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SPX" sheetId="1" state="visible" r:id="rId3"/>
    <sheet name="VIX" sheetId="2" state="visible" r:id="rId4"/>
    <sheet name="QQQ" sheetId="3" state="visible" r:id="rId5"/>
    <sheet name="IWM" sheetId="4" state="visible" r:id="rId6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<sst xmlns="http://schemas.openxmlformats.org/spreadsheetml/2006/main" count="870" uniqueCount="825">
  <si>
    <t xml:space="preserve">Call Wall</t>
  </si>
  <si>
    <t xml:space="preserve">Call Wall CE</t>
  </si>
  <si>
    <t xml:space="preserve">Call Dominate</t>
  </si>
  <si>
    <t xml:space="preserve">Put Wall</t>
  </si>
  <si>
    <t xml:space="preserve">Put Wall CE</t>
  </si>
  <si>
    <t xml:space="preserve">Put Dominate</t>
  </si>
  <si>
    <t xml:space="preserve">Gamma Flip</t>
  </si>
  <si>
    <t xml:space="preserve">Gamma Flip CE</t>
  </si>
  <si>
    <t xml:space="preserve">Gamma Field</t>
  </si>
  <si>
    <t xml:space="preserve">Gamma Field CE</t>
  </si>
  <si>
    <t xml:space="preserve">Implied Movement -σ</t>
  </si>
  <si>
    <t xml:space="preserve">Implied Movement -2σ</t>
  </si>
  <si>
    <t xml:space="preserve">Implied Movement +σ</t>
  </si>
  <si>
    <t xml:space="preserve">Implied Movement +2σ</t>
  </si>
  <si>
    <t xml:space="preserve">TV Code</t>
  </si>
  <si>
    <t xml:space="preserve">SPX: Call Dominate , 5420.0, Put Wall CE, 5165.0, Implied Movement -σ, 5165.45, Gamma Flip &amp; Gamma Flip CE, 5205.0, Gamma Field CE, 5200.0, Implied Movement -2σ, 5149.34, Call Wall, 5570.0, Put Wall &amp; Gamma Field, 4975.0, Large Gamma 1 &amp; Large Gamma 2 &amp; Key Delta, 5000.0, Put Dominate , 4290.0, Implied Movement +σ, 5243.23, Call Wall CE, 5235.0, Implied Movement +2σ, 5259.34, 20240408 070000</t>
  </si>
  <si>
    <t xml:space="preserve">SPX: Large Gamma 2 &amp; Gamma Field CE, 5200.0, Put Wall CE, 5185.0, Call Dominate , 5420.0, Put Wall &amp; Gamma Field, 4975.0, Implied Movement +σ, 5240.12, Gamma Flip, 5195.0, Gamma Flip CE, 5215.0, Call Wall, 5570.0, Put Dominate , 4290.0, Implied Movement +2σ, 5255.74, Call Wall CE, 5225.0, Implied Movement -2σ, 5149.04, Implied Movement -σ, 5164.66, Large Gamma 1 &amp; Key Delta, 5000.0, 20240409 070000</t>
  </si>
  <si>
    <t xml:space="preserve">SPX: Implied Movement -σ, 5169.78, Implied Movement -2σ, 5153.16, Implied Movement +σ, 5250.04, Put Dominate , 4290.0, Large Gamma 2, 5300.0, Call Wall CE, 5250.0, Put Wall, 4975.0, Gamma Field &amp; Call Wall, 5570.0, Put Wall CE, 5175.0, Large Gamma 1 &amp; Key Delta, 5000.0, Gamma Flip, 5195.0, Implied Movement +2σ, 5266.66, Gamma Field CE &amp; Gamma Flip CE, 5200.0, Call Dominate , 5420.0, 20240410 070000</t>
  </si>
  <si>
    <t xml:space="preserve">SPX: Implied Movement -2σ, 5102.03, Gamma Flip, 5195.0, Implied Movement +2σ, 5219.25, Call Wall CE, 5200.0, Implied Movement +σ, 5202.08, Call Dominate , 5420.0, Put Dominate , 4290.0, Gamma Field CE, 5150.0, Large Gamma 1 &amp; Large Gamma 2 &amp; Key Delta, 5000.0, Put Wall &amp; Gamma Field, 4975.0, Implied Movement -σ, 5119.2, Call Wall, 5570.0, Put Wall CE, 5105.0, Gamma Flip CE, 5145.0, 20240411 070000</t>
  </si>
  <si>
    <t xml:space="preserve">SPX: Implied Movement +2σ, 5273.01, Implied Movement +σ, 5236.04, Large Gamma 2 &amp; Gamma Field CE &amp; Call Wall CE, 5200.0, Implied Movement -σ, 5162.08, Implied Movement -2σ, 5125.11, Put Wall CE, 5175.0, Call Dominate , 5420.0, Gamma Flip &amp; Gamma Flip CE, 5190.0, Put Wall &amp; Large Gamma 1 &amp; Gamma Field &amp; Call Wall &amp; Key Delta, 5000.0, Put Dominate , 4525.0, 20240412 070000</t>
  </si>
  <si>
    <t xml:space="preserve">SPX: Put Wall &amp; Large Gamma 1 &amp; Gamma Field &amp; Call Wall &amp; Key Delta, 5000.0, Put Dominate , 4525.0, Implied Movement -σ, 5080.67, Gamma Field CE &amp; Call Wall CE, 5175.0, Put Wall CE, 5065.0, Call Dominate , 5420.0, Implied Movement +σ, 5166.15, Large Gamma 2, 5200.0, Gamma Flip CE, 5145.0, Gamma Flip, 5160.0, Implied Movement +2σ, 5183.86, Implied Movement -2σ, 5062.96, 20240415 070000</t>
  </si>
  <si>
    <t xml:space="preserve">SPX: Put Wall CE, 5015.0, Implied Movement -σ, 5014.42, Implied Movement -2σ, 4994.79, Gamma Field CE &amp; Call Wall CE, 5105.0, Put Wall &amp; Large Gamma 1 &amp; Large Gamma 2 &amp; Gamma Field &amp; Call Wall &amp; Key Delta, 5000.0, Call Dominate , 5420.0, Gamma Flip &amp; Gamma Flip CE, 5100.0, Implied Movement +σ, 5109.22, Implied Movement +2σ, 5128.85, Put Dominate , 4525.0, 20240416 070000</t>
  </si>
  <si>
    <t xml:space="preserve">SPX: Gamma Flip CE, 5080.0, Implied Movement -2σ, 4987.65, Implied Movement +2σ, 5115.17, Call Wall CE, 5110.0, Gamma Flip, 5125.0, Call Dominate , 5420.0, Implied Movement -σ, 5006.32, Gamma Field CE, 5100.0, Put Wall CE &amp; Put Wall &amp; Large Gamma 1 &amp; Large Gamma 2 &amp; Gamma Field &amp; Call Wall &amp; Key Delta, 5000.0, Implied Movement +σ, 5096.5, Put Dominate , 4525.0, 20240417 070000</t>
  </si>
  <si>
    <t xml:space="preserve">SPX: Gamma Flip, 5100.0, Put Wall CE &amp; Gamma Field CE, 5020.0, Put Wall &amp; Large Gamma 1 &amp; Large Gamma 2 &amp; Gamma Field &amp; Call Wall &amp; Key Delta, 5000.0, Implied Movement +2σ, 5083.43, Implied Movement -σ, 4978.66, Implied Movement +σ, 5065.76, Call Dominate , 5420.0, Put Dominate , 4525.0, Implied Movement -2σ, 4960.99, Call Wall CE, 5080.0, Gamma Flip CE, 5035.0, 20240418 070000</t>
  </si>
  <si>
    <t xml:space="preserve">SPX: Implied Movement -σ, 4968.16, Implied Movement -2σ, 4924.96, Call Wall CE, 5060.0, Gamma Flip CE, 5050.0, Implied Movement +2σ, 5097.28, Call Dominate , 5420.0, Gamma Flip, 5105.0, Put Wall CE &amp; Put Wall &amp; Large Gamma 1 &amp; Large Gamma 2 &amp; Gamma Field &amp; Gamma Field CE &amp; Call Wall &amp; Key Delta, 5000.0, Put Dominate , 4530.0, Implied Movement +σ, 5054.08, 20240419 070000</t>
  </si>
  <si>
    <t xml:space="preserve">SPX: Implied Movement +2σ, 5029.53, Gamma Field CE, 5005.0, Put Wall CE, 4975.0, Call Dominate , 5420.0, Put Dominate , 4530.0, Gamma Flip, 5090.0, Implied Movement +σ, 5011.28, Implied Movement -σ, 4923.18, Put Wall &amp; Large Gamma 1 &amp; Large Gamma 2 &amp; Gamma Field &amp; Call Wall &amp; Key Delta, 5000.0, Implied Movement -2σ, 4904.93, Gamma Flip CE, 4995.0, Call Wall CE, 5010.0, 20240422 070000</t>
  </si>
  <si>
    <t xml:space="preserve">SPX: Gamma Field CE &amp; Call Wall CE, 5040.0, Gamma Flip, 5030.0, Implied Movement +2σ, 5067.49, Implied Movement -2σ, 4953.71, Put Dominate , 4530.0, Gamma Flip CE, 5025.0, Put Wall &amp; Large Gamma 1 &amp; Large Gamma 2 &amp; Gamma Field &amp; Call Wall &amp; Key Delta, 5000.0, Implied Movement +σ, 5050.83, Call Dominate , 5420.0, Implied Movement -σ, 4970.37, Put Wall CE, 4980.0, 20240423 070000</t>
  </si>
  <si>
    <t xml:space="preserve">SPX: Implied Movement +σ, 5108.57, Put Wall CE, 5040.0, Implied Movement -σ, 5032.53, Gamma Flip, 5075.0, Key Delta, 5200.0, Implied Movement +2σ, 5124.32, Implied Movement -2σ, 5016.78, Gamma Flip CE, 5045.0, Large Gamma 2 &amp; Gamma Field CE, 5100.0, Call Wall, 5675.0, Call Wall CE, 5095.0, Large Gamma 1, 5000.0, Put Dominate , 4795.0, Call Dominate , 5490.0, Put Wall &amp; Gamma Field, 3750.0, 20240424 070000</t>
  </si>
  <si>
    <t xml:space="preserve">SPX: Call Wall, 5675.0, Gamma Flip &amp; Gamma Flip CE, 5075.0, Implied Movement -σ, 5033.54, Put Dominate , 4795.0, Implied Movement -2σ, 5017.76, Call Dominate , 5490.0, Put Wall CE &amp; Large Gamma 1 &amp; Large Gamma 2, 5000.0, Gamma Field CE, 5050.0, Implied Movement +σ, 5109.72, Call Wall CE, 5100.0, Implied Movement +2σ, 5125.5, Key Delta, 5200.0, Put Wall &amp; Gamma Field, 3750.0, 20240425 070000</t>
  </si>
  <si>
    <t xml:space="preserve">SPX: Gamma Flip, 5055.0, Key Delta, 5200.0, Implied Movement -2σ, 4970.77, Implied Movement +σ, 5087.25, Put Wall CE &amp; Gamma Flip CE, 5045.0, Gamma Field CE &amp; Call Wall CE, 5100.0, Call Wall, 5675.0, Large Gamma 1 &amp; Large Gamma 2, 5000.0, Implied Movement -σ, 5009.6, Call Dominate , 5850.0, Put Wall &amp; Gamma Field, 3750.0, Put Dominate , 4170.0, Implied Movement +2σ, 5126.07, 20240426 070000</t>
  </si>
  <si>
    <t xml:space="preserve">SPX: Call Dominate , 5850.0, Call Wall, 5675.0, Implied Movement -2σ, 5046.1, Implied Movement +σ, 5138.04, Gamma Field &amp; Key Delta, 5200.0, Large Gamma 1, 5000.0, Call Wall CE, 5125.0, Put Wall &amp; Large Gamma 2 &amp; Gamma Field CE, 5100.0, Implied Movement -σ, 5061.88, Gamma Flip CE, 5070.0, Implied Movement +2σ, 5153.82, Gamma Flip, 5090.0, Put Wall CE, 5060.0, Put Dominate , 4030.0, 20240429 070000</t>
  </si>
  <si>
    <t xml:space="preserve">SPX: Implied Movement -σ, 5079.13, Call Wall, 5675.0, Put Wall &amp; Large Gamma 2 &amp; Gamma Field CE &amp; Call Wall CE, 5100.0, Implied Movement +2σ, 5168.55, Implied Movement +σ, 5153.21, Put Wall CE, 5050.0, Call Dominate , 5850.0, Large Gamma 1, 5000.0, Implied Movement -2σ, 5063.79, Gamma Field &amp; Key Delta, 5200.0, Put Dominate , 4030.0, Gamma Flip &amp; Gamma Flip CE, 5095.0, 20240430 070000</t>
  </si>
  <si>
    <t xml:space="preserve">SPX: Put Wall, 4765.0, Implied Movement -2σ, 4977.5, Implied Movement +2σ, 5093.88, Gamma Flip CE, 5065.0, Call Wall CE, 5085.0, Gamma Field &amp; Call Wall &amp; Key Delta, 5325.0, Call Dominate , 5850.0, Put Wall CE, 4980.0, Large Gamma 1 &amp; Large Gamma 2 &amp; Gamma Field CE, 5000.0, Implied Movement -σ, 4994.54, Implied Movement +σ, 5076.83, Put Dominate , 4030.0, Gamma Flip, 5075.0, 20240501 070000</t>
  </si>
  <si>
    <t xml:space="preserve">SPX: Implied Movement -σ, 4979.59, Put Wall, 4765.0, Large Gamma 1 &amp; Large Gamma 2, 5000.0, Call Dominate , 5850.0, Put Wall CE &amp; Gamma Field CE &amp; Gamma Flip CE, 5050.0, Implied Movement -2σ, 4963.52, Gamma Flip, 5075.0, Gamma Field &amp; Call Wall &amp; Key Delta, 5325.0, Call Wall CE, 5100.0, Put Dominate , 3880.0, Implied Movement +σ, 5057.19, Implied Movement +2σ, 5073.26, 20240502 070000</t>
  </si>
  <si>
    <t xml:space="preserve">SPX: Put Dominate , 3880.0, Implied Movement +σ, 5101.69, Gamma Flip, 5075.0, Gamma Field &amp; Call Wall &amp; Key Delta, 5325.0, Call Dominate , 5850.0, Implied Movement +2σ, 5139.19, Implied Movement -2σ, 4989.21, Implied Movement -σ, 5026.71, Large Gamma 1 &amp; Large Gamma 2, 5000.0, Gamma Flip CE, 5070.0, Put Wall, 4765.0, Gamma Field CE &amp; Call Wall CE, 5100.0, Put Wall CE, 5050.0, 20240503 070000</t>
  </si>
  <si>
    <t xml:space="preserve">SPX: Implied Movement -σ, 5093.51, Implied Movement -2σ, 5079.31, Call Dominate , 5850.0, Gamma Flip &amp; Gamma Flip CE, 5115.0, Put Dominate , 3880.0, Implied Movement +2σ, 5176.27, Put Wall CE, 5105.0, Large Gamma 1, 5000.0, Gamma Field CE &amp; Call Wall CE, 5150.0, Gamma Field &amp; Call Wall &amp; Key Delta, 5325.0, Large Gamma 2, 5200.0, Implied Movement +σ, 5162.07, Put Wall, 4765.0, 20240506 070000</t>
  </si>
  <si>
    <t xml:space="preserve">SPX: Put Wall CE, 5160.0, Implied Movement -2σ, 5134.1, Implied Movement +σ, 5213.72, Put Dominate , 4170.0, Put Wall, 4765.0, Implied Movement -σ, 5147.76, Large Gamma 2 &amp; Gamma Field CE &amp; Call Wall CE, 5200.0, Implied Movement +2σ, 5227.38, Gamma Field &amp; Call Wall &amp; Key Delta, 5325.0, Gamma Flip &amp; Gamma Flip CE, 5165.0, Call Dominate , 5850.0, Large Gamma 1, 5000.0, 20240507 070000</t>
  </si>
  <si>
    <t xml:space="preserve">SPX: Gamma Field CE, 5170.0, Gamma Flip, 5165.0, Large Gamma 1, 5000.0, Call Dominate , 5850.0, Put Dominate , 4170.0, Implied Movement -σ, 5155.66, Implied Movement +σ, 5219.74, Implied Movement +2σ, 5233.01, Gamma Field &amp; Call Wall &amp; Key Delta, 5325.0, Large Gamma 2 &amp; Call Wall CE, 5200.0, Put Wall CE &amp; Gamma Flip CE, 5180.0, Implied Movement -2σ, 5142.39, Put Wall, 4765.0, 20240508 070000</t>
  </si>
  <si>
    <t xml:space="preserve">SPX: Put Wall, 4765.0, Large Gamma 1, 5000.0, Put Dominate , 4170.0, Implied Movement -2σ, 5143.27, Gamma Flip CE, 5185.0, Implied Movement -σ, 5156.28, Call Dominate , 5850.0, Implied Movement +2σ, 5232.07, Put Wall CE &amp; Gamma Flip, 5170.0, Gamma Field &amp; Call Wall &amp; Key Delta, 5325.0, Gamma Field CE, 5180.0, Large Gamma 2 &amp; Call Wall CE, 5200.0, Implied Movement +σ, 5219.06, 20240509 070000</t>
  </si>
  <si>
    <t xml:space="preserve">SPX: Call Dominate , 5360.0, Gamma Field CE, 5250.0, Implied Movement -σ, 5183.13, Implied Movement -2σ, 5152.18, Put Dominate , 4380.0, Implied Movement +σ, 5245.03, Call Wall CE, 5240.0, Put Wall CE &amp; Gamma Flip CE, 5195.0, Gamma Flip, 5165.0, Put Wall &amp; Large Gamma 1 &amp; Gamma Field &amp; Call Wall &amp; Key Delta, 5000.0, Large Gamma 2, 5200.0, Implied Movement +2σ, 5275.98, 20240510 070000</t>
  </si>
  <si>
    <t xml:space="preserve">SPX: Implied Movement -2σ, 5176.33, Put Wall &amp; Large Gamma 1 &amp; Gamma Field &amp; Call Wall &amp; Key Delta, 5000.0, Put Dominate , 4380.0, Put Wall CE, 5205.0, Implied Movement +2σ, 5269.03, Implied Movement -σ, 5189.91, Gamma Field CE, 5225.0, Gamma Flip, 5170.0, Call Wall CE, 5240.0, Implied Movement +σ, 5255.46, Call Dominate , 5230.0, Large Gamma 2, 5200.0, Gamma Flip CE, 5215.0, 20240513 070000</t>
  </si>
  <si>
    <t xml:space="preserve">SPX: Large Gamma 2, 5200.0, Put Dominate , 4380.0, Put Wall CE &amp; Gamma Field CE &amp; Gamma Flip CE, 5225.0, Implied Movement -2σ, 5171.26, Gamma Flip, 5195.0, Call Wall CE, 5250.0, Implied Movement +σ, 5256.89, Implied Movement +2σ, 5271.58, Put Wall &amp; Large Gamma 1 &amp; Gamma Field &amp; Call Wall &amp; Key Delta, 5000.0, Implied Movement -σ, 5185.95, Call Dominate , 5310.0, 20240514 070000</t>
  </si>
  <si>
    <t xml:space="preserve">SPX: Implied Movement -σ, 5210.71, Put Wall &amp; Gamma Field &amp; Call Wall &amp; Key Delta, 5000.0, Gamma Flip, 5195.0, Call Dominate , 5310.0, Put Wall CE &amp; Gamma Flip CE, 5220.0, Large Gamma 1, 5250.0, Gamma Field CE &amp; Call Wall CE, 5280.0, Implied Movement +σ, 5282.65, Put Dominate , 4380.0, Implied Movement +2σ, 5297.55, Implied Movement -2σ, 5195.81, Large Gamma 2, 5200.0, 20240515 070000</t>
  </si>
  <si>
    <t xml:space="preserve">SPX: Implied Movement +2σ, 5348.72, Implied Movement -σ, 5279.6, Large Gamma 1 &amp; Large Gamma 2 &amp; Gamma Field CE, 5300.0, Call Dominate , 5330.0, Call Wall CE, 5340.0, Put Wall CE &amp; Gamma Flip CE, 5290.0, Implied Movement -2σ, 5267.58, Gamma Flip, 5195.0, Put Wall &amp; Gamma Field &amp; Call Wall &amp; Key Delta, 5000.0, Put Dominate , 4380.0, Implied Movement +σ, 5336.7, 20240516 070000</t>
  </si>
  <si>
    <t xml:space="preserve">SPX: Implied Movement -2σ, 5242.5, Implied Movement +2σ, 5351.7, Gamma Flip, 5245.0, Implied Movement -σ, 5270.01, Call Dominate , 5330.0, Implied Movement +σ, 5324.19, Put Dominate , 4400.0, Put Wall &amp; Gamma Field &amp; Call Wall &amp; Key Delta, 5000.0, Put Wall CE &amp; Gamma Flip CE, 5270.0, Large Gamma 1 &amp; Large Gamma 2 &amp; Gamma Field CE &amp; Call Wall CE, 5300.0, 20240517 070000</t>
  </si>
  <si>
    <t xml:space="preserve">SPX: Implied Movement -2σ, 5262.97, Put Wall CE, 5295.0, Put Wall &amp; Gamma Field &amp; Call Wall &amp; Key Delta, 5000.0, Call Dominate , 5370.0, Implied Movement +σ, 5331.76, Large Gamma 2, 5200.0, Large Gamma 1 &amp; Gamma Field CE, 5300.0, Gamma Flip CE, 5285.0, Implied Movement +2σ, 5343.57, Put Dominate , 4400.0, Call Wall CE, 5325.0, Gamma Flip, 5270.0, Implied Movement -σ, 5274.78, 20240520 070000</t>
  </si>
  <si>
    <t xml:space="preserve">SPX: Call Wall CE, 5320.0, Gamma Flip CE, 5315.0, Large Gamma 2, 5200.0, Call Dominate , 5395.0, Implied Movement -2σ, 5266.63, Implied Movement +2σ, 5349.62, Implied Movement +σ, 5337.47, Put Wall CE &amp; Gamma Flip, 5295.0, Large Gamma 1 &amp; Gamma Field CE, 5300.0, Put Wall &amp; Gamma Field &amp; Call Wall &amp; Key Delta, 5000.0, Put Dominate , 4400.0, Implied Movement -σ, 5278.79, 20240521 070000</t>
  </si>
  <si>
    <t xml:space="preserve">SPX: Implied Movement -σ, 5292.25, Large Gamma 1 &amp; Gamma Field CE, 5300.0, Put Dominate , 4400.0, Implied Movement -2σ, 5280.17, Gamma Flip, 5295.0, Gamma Flip CE, 5320.0, Put Wall &amp; Gamma Field &amp; Call Wall &amp; Key Delta, 5000.0, Implied Movement +2σ, 5362.65, Call Wall CE, 5340.0, Large Gamma 2, 5200.0, Call Dominate , 5395.0, Implied Movement +σ, 5350.57, Put Wall CE, 5305.0, 20240522 070000</t>
  </si>
  <si>
    <t xml:space="preserve">SPX: Large Gamma 1, 5300.0, Put Wall CE, 5270.0, Gamma Field CE &amp; Call Wall CE, 5350.0, Implied Movement +2σ, 5346.94, Call Dominate , 5495.0, Put Dominate , 4400.0, Gamma Flip CE, 5320.0, Implied Movement -σ, 5278.77, Large Gamma 2, 5200.0, Implied Movement -2σ, 5267.08, Gamma Flip, 5295.0, Implied Movement +σ, 5335.25, Put Wall &amp; Gamma Field &amp; Call Wall &amp; Key Delta, 5000.0, 20240523 070000</t>
  </si>
  <si>
    <t xml:space="preserve">SPX: Call Wall, 5750.0, Large Gamma 2, 5200.0, Implied Movement -2σ, 5204.09, Call Wall CE, 5295.0, Call Dominate , 5505.0, Gamma Flip &amp; Gamma Flip CE, 5290.0, Implied Movement -σ, 5239.33, Put Wall CE, 5250.0, Put Wall &amp; Gamma Field, 4000.0, Large Gamma 1 &amp; Gamma Field CE, 5300.0, Key Delta, 5400.0, Implied Movement +2σ, 5331.59, Implied Movement +σ, 5296.35, Put Dominate , 4420.0, 20240524 070000</t>
  </si>
  <si>
    <t xml:space="preserve">SPX: Implied Movement -2σ, 5263.68, Implied Movement +2σ, 5345.76, Gamma Field CE &amp; Call Wall CE, 5325.0, Implied Movement +σ, 5333.74, Implied Movement -σ, 5275.7, Put Wall, 4000.0, Gamma Flip CE, 5305.0, Call Wall, 5750.0, Put Dominate , 4420.0, Gamma Field &amp; Key Delta, 5400.0, Gamma Flip, 5295.0, Large Gamma 2, 5200.0, Call Dominate , 5505.0, Put Wall CE, 5285.0, Large Gamma 1, 5300.0, 20240528 070000</t>
  </si>
  <si>
    <t xml:space="preserve">SPX: Large Gamma 2, 5000.0, Implied Movement -2σ, 5262.1, Gamma Flip CE, 5295.0, Call Dominate , 5555.0, Implied Movement +2σ, 5349.98, Put Dominate , 4420.0, Implied Movement -σ, 5274.97, Put Wall &amp; Gamma Field, 4000.0, Large Gamma 1 &amp; Gamma Field CE, 5300.0, Put Wall CE, 5275.0, Gamma Flip &amp; Call Wall CE &amp; Key Delta, 5400.0, Implied Movement +σ, 5337.11, Call Wall, 5750.0, 20240529 070000</t>
  </si>
  <si>
    <t xml:space="preserve">SPX: Gamma Flip &amp; Call Wall CE &amp; Key Delta, 5400.0, Call Dominate , 5555.0, Implied Movement +2σ, 5313.08, Implied Movement +σ, 5299.57, Gamma Flip CE, 5275.0, Implied Movement -σ, 5234.33, Put Wall, 4000.0, Put Wall CE, 5250.0, Large Gamma 2 &amp; Gamma Field, 5200.0, Call Wall, 5550.0, Put Dominate , 4420.0, Large Gamma 1 &amp; Gamma Field CE, 5300.0, Implied Movement -2σ, 5220.82, 20240530 070000</t>
  </si>
  <si>
    <t xml:space="preserve">SPX: Put Dominate , 4420.0, Implied Movement +σ, 5268.96, Put Wall CE, 5205.0, Gamma Flip CE, 5260.0, Large Gamma 1, 5300.0, Gamma Flip &amp; Call Wall CE, 5400.0, Implied Movement -2σ, 5168.51, Implied Movement +2σ, 5302.45, Call Wall, 5750.0, Put Wall &amp; Large Gamma 2 &amp; Gamma Field &amp; Gamma Field CE &amp; Key Delta, 5200.0, Call Dominate , 5555.0, Implied Movement -σ, 5202.0, 20240531 070000</t>
  </si>
  <si>
    <t xml:space="preserve">SPX: Gamma Flip &amp; Call Dominate , 5260.0, Implied Movement +2σ, 5324.03, Implied Movement -σ, 5244.62, Large Gamma 2, 5200.0, Put Wall &amp; Large Gamma 1 &amp; Gamma Field &amp; Gamma Field CE &amp; Call Wall, 5300.0, Call Wall CE, 5305.0, Put Dominate , 5265.0, Implied Movement -2σ, 5230.99, Put Wall CE &amp; Gamma Flip CE, 5255.0, Implied Movement +σ, 5310.4, Key Delta, 5000.0, 20240603 070000</t>
  </si>
  <si>
    <t xml:space="preserve">SPX: Implied Movement -2σ, 5234.52, Implied Movement +σ, 5317.97, Put Wall &amp; Large Gamma 1 &amp; Gamma Field &amp; Gamma Field CE &amp; Call Wall, 5300.0, Implied Movement +2σ, 5332.28, Put Dominate , 5275.0, Large Gamma 2, 5200.0, Key Delta, 5000.0, Call Wall CE, 5310.0, Gamma Flip &amp; Gamma Flip CE &amp; Call Dominate , 5270.0, Implied Movement -σ, 5248.83, Put Wall CE, 5240.0, 20240604 070000</t>
  </si>
  <si>
    <t xml:space="preserve">SPX: Gamma Flip CE &amp; Put Dominate , 5275.0, Key Delta, 5000.0, Gamma Flip &amp; Call Dominate , 5270.0, Implied Movement -2σ, 5242.8, Implied Movement +σ, 5325.66, Implied Movement +2σ, 5339.88, Put Wall &amp; Large Gamma 1 &amp; Gamma Field &amp; Call Wall, 5300.0, Gamma Field CE &amp; Call Wall CE, 5325.0, Put Wall CE, 5265.0, Implied Movement -σ, 5257.02, Large Gamma 2, 5200.0, 20240605 070000</t>
  </si>
  <si>
    <t xml:space="preserve">SPX: Implied Movement -σ, 5324.53, Put Wall &amp; Large Gamma 1 &amp; Gamma Field &amp; Call Wall, 5300.0, Put Wall CE &amp; Gamma Flip &amp; Call Dominate , 5325.0, Large Gamma 2, 5200.0, Implied Movement +2σ, 5395.74, Gamma Flip CE, 5335.0, Implied Movement -2σ, 5312.32, Gamma Field CE &amp; Call Wall CE, 5380.0, Put Dominate , 5305.0, Implied Movement +σ, 5383.53, Key Delta, 5000.0, 20240606 070000</t>
  </si>
  <si>
    <t xml:space="preserve">SPX: Call Wall CE, 5375.0, Put Wall CE &amp; Gamma Flip &amp; Call Dominate , 5325.0, Put Wall &amp; Large Gamma 1 &amp; Gamma Field &amp; Gamma Field CE &amp; Call Wall, 5300.0, Key Delta, 5000.0, Implied Movement -σ, 5320.28, Gamma Flip CE, 5330.0, Implied Movement +2σ, 5418.32, Implied Movement +σ, 5385.64, Implied Movement -2σ, 5287.6, Large Gamma 2, 5200.0, Put Dominate , 5305.0, 20240607 070000</t>
  </si>
  <si>
    <t xml:space="preserve">SPX: Implied Movement +σ, 5380.87, Put Dominate , 5305.0, Key Delta, 5000.0, Implied Movement -σ, 5313.11, Gamma Field CE &amp; Call Wall CE, 5350.0, Large Gamma 2, 5200.0, Implied Movement +2σ, 5394.91, Implied Movement -2σ, 5299.07, Put Wall &amp; Large Gamma 1 &amp; Gamma Field &amp; Call Wall, 5300.0, Put Wall CE, 5325.0, Gamma Flip &amp; Gamma Flip CE &amp; Call Dominate , 5345.0, 20240610 070000</t>
  </si>
  <si>
    <t xml:space="preserve">SPX: Implied Movement +σ, 5395.57, Implied Movement +2σ, 5409.97, Put Wall CE, 5340.0, Large Gamma 2, 5200.0, Call Wall CE, 5380.0, Put Dominate , 5305.0, Gamma Field CE, 5350.0, Implied Movement -2σ, 5311.61, Gamma Flip CE, 5355.0, Put Wall &amp; Large Gamma 1 &amp; Gamma Field &amp; Call Wall, 5300.0, Implied Movement -σ, 5326.01, Gamma Flip &amp; Call Dominate , 5345.0, Key Delta, 5000.0, 20240611 070000</t>
  </si>
  <si>
    <t xml:space="preserve">SPX: Key Delta, 5000.0, Large Gamma 2 &amp; Gamma Field CE &amp; Gamma Flip CE, 5350.0, Implied Movement -2σ, 5325.47, Put Dominate , 5305.0, Put Wall &amp; Large Gamma 1 &amp; Gamma Field &amp; Call Wall, 5300.0, Implied Movement -σ, 5340.07, Implied Movement +2σ, 5425.17, Gamma Flip &amp; Call Dominate , 5345.0, Put Wall CE, 5325.0, Call Wall CE, 5450.0, Implied Movement +σ, 5410.57, 20240612 070000</t>
  </si>
  <si>
    <t xml:space="preserve">SPX: Implied Movement -σ, 5391.97, Gamma Flip CE, 5425.0, Gamma Flip, 5315.0, Put Wall CE &amp; Call Dominate , 5395.0, Key Delta, 5000.0, Implied Movement +2σ, 5462.13, Put Wall &amp; Large Gamma 1 &amp; Call Wall, 5300.0, Gamma Field CE &amp; Call Wall CE, 5430.0, Implied Movement -2σ, 5379.93, Put Dominate , 4400.0, Large Gamma 2 &amp; Gamma Field, 5400.0, Implied Movement +σ, 5450.09, 20240613 070000</t>
  </si>
  <si>
    <t xml:space="preserve">SPX: Implied Movement +2σ, 5493.23, Key Delta, 5000.0, Implied Movement +σ, 5463.49, Gamma Flip CE, 5420.0, Call Dominate , 6025.0, Gamma Flip, 5365.0, Put Dominate , 5305.0, Implied Movement -2σ, 5374.25, Put Wall &amp; Large Gamma 1 &amp; Call Wall, 5300.0, Put Wall CE, 5410.0, Call Wall CE, 5450.0, Implied Movement -σ, 5403.99, Large Gamma 2 &amp; Gamma Field &amp; Gamma Field CE, 5400.0, 20240614 070000</t>
  </si>
  <si>
    <t xml:space="preserve">SPX: Gamma Flip CE, 5420.0, Put Wall CE, 5410.0, Implied Movement +σ, 5462.73, Call Dominate , 6025.0, Call Wall CE, 5455.0, Put Wall &amp; Large Gamma 1 &amp; Gamma Field &amp; Gamma Field CE &amp; Call Wall, 5400.0, Implied Movement +2σ, 5475.62, Large Gamma 2, 5300.0, Gamma Flip, 5395.0, Put Dominate , 5305.0, Implied Movement -σ, 5400.47, Implied Movement -2σ, 5387.58, Key Delta, 5000.0, 20240617 070000</t>
  </si>
  <si>
    <t xml:space="preserve">SPX: Put Dominate , 5305.0, Put Wall &amp; Large Gamma 1 &amp; Gamma Field &amp; Call Wall, 5450.0, Call Dominate , 6025.0, Implied Movement +2σ, 5525.83, Large Gamma 2, 5400.0, Gamma Flip, 5395.0, Implied Movement -2σ, 5420.63, Gamma Field CE &amp; Call Wall CE, 5500.0, Implied Movement -σ, 5442.86, Gamma Flip CE, 5455.0, Key Delta, 5000.0, Put Wall CE, 5445.0, Implied Movement +σ, 5503.6, 20240618 070000</t>
  </si>
  <si>
    <t xml:space="preserve">SPX: Call Dominate , 5445.0, Put Wall &amp; Large Gamma 1 &amp; Gamma Field, 5550.0, Implied Movement +σ, 5518.91, Gamma Flip CE, 5485.0, Gamma Flip, 5395.0, Implied Movement +2σ, 5531.91, Key Delta, 5000.0, Large Gamma 2 &amp; Call Wall, 5500.0, Gamma Field CE &amp; Call Wall CE, 5520.0, Implied Movement -2σ, 5442.15, Put Dominate , 5305.0, Implied Movement -σ, 5455.15, Put Wall CE, 5450.0, 20240620 070000</t>
  </si>
  <si>
    <t xml:space="preserve">SPX: Implied Movement +2σ, 5537.26, Key Delta, 5000.0, Put Dominate , 5400.0, Implied Movement +σ, 5505.31, Large Gamma 2 &amp; Call Dominate , 5475.0, Put Wall CE &amp; Put Wall &amp; Large Gamma 1 &amp; Gamma Field &amp; Gamma Field CE &amp; Call Wall &amp; Call Wall CE, 5450.0, Gamma Flip &amp; Gamma Flip CE, 5445.0, Implied Movement -σ, 5441.03, Implied Movement -2σ, 5409.08, 20240621 070000</t>
  </si>
  <si>
    <t xml:space="preserve">SPX: Implied Movement +σ, 5497.94, Put Wall, 5425.0, Key Delta, 5000.0, Implied Movement -σ, 5431.3, Implied Movement -2σ, 5417.5, Gamma Flip CE, 5465.0, Put Wall CE, 5440.0, Gamma Flip, 5445.0, Gamma Field CE, 5470.0, Call Dominate , 5475.0, Put Dominate , 5400.0, Call Wall CE, 5495.0, Implied Movement +2σ, 5511.74, Large Gamma 1 &amp; Large Gamma 2 &amp; Gamma Field, 5550.0, Call Wall, 5570.0, 20240624 070000</t>
  </si>
  <si>
    <t xml:space="preserve">SPX: Implied Movement +σ, 5480.9, Put Wall CE, 5430.0, Call Wall CE, 5480.0, Gamma Flip, 5445.0, Gamma Flip CE, 5460.0, Put Wall &amp; Large Gamma 1 &amp; Large Gamma 2 &amp; Gamma Field &amp; Call Wall, 5550.0, Put Dominate , 5450.0, Call Dominate , 5455.0, Gamma Field CE, 5465.0, Implied Movement +2σ, 5494.58, Key Delta, 5000.0, Implied Movement -2σ, 5401.16, Implied Movement -σ, 5414.84, 20240625 070000</t>
  </si>
  <si>
    <t xml:space="preserve">SPX: Gamma Field &amp; Gamma Field CE &amp; Call Wall &amp; Call Wall CE, 5500.0, Put Wall &amp; Large Gamma 1 &amp; Large Gamma 2, 5550.0, Implied Movement +σ, 5508.92, Implied Movement -σ, 5446.88, Gamma Flip CE &amp; Call Dominate , 5475.0, Implied Movement +2σ, 5521.77, Put Dominate , 4210.0, Implied Movement -2σ, 5434.03, Key Delta, 5000.0, Put Wall CE, 5455.0, Gamma Flip, 5465.0, 20240626 070000</t>
  </si>
  <si>
    <t xml:space="preserve">SPX: Put Dominate , 4210.0, Key Delta, 5000.0, Implied Movement -σ, 5451.7, Put Wall &amp; Large Gamma 2 &amp; Gamma Field, 5550.0, Large Gamma 1 &amp; Gamma Field CE &amp; Call Wall, 5500.0, Call Wall CE, 5510.0, Gamma Flip, 5465.0, Implied Movement +2σ, 5545.21, Implied Movement +σ, 5514.04, Put Wall CE &amp; Gamma Flip CE &amp; Call Dominate , 5475.0, Implied Movement -2σ, 5420.53, 20240627 070000</t>
  </si>
  <si>
    <t xml:space="preserve">SPX: Implied Movement +σ, 5492.69, Call Dominate , 5480.0, Gamma Flip &amp; Gamma Flip CE, 5465.0, Key Delta, 5000.0, Call Wall CE, 5490.0, Implied Movement +2σ, 5506.04, Implied Movement -σ, 5428.27, Put Wall &amp; Large Gamma 1 &amp; Large Gamma 2 &amp; Gamma Field &amp; Call Wall, 5550.0, Gamma Field CE, 5500.0, Put Dominate , 4210.0, Put Wall CE, 5460.0, Implied Movement -2σ, 5414.92, 20240628 070000</t>
  </si>
  <si>
    <t xml:space="preserve">SPX: Put Wall CE, 5410.0, Put Wall &amp; Large Gamma 1 &amp; Large Gamma 2 &amp; Gamma Field &amp; Call Wall, 5550.0, Put Dominate , 4210.0, Implied Movement +2σ, 5517.26, Gamma Field CE, 5450.0, Gamma Flip CE, 5480.0, Implied Movement +σ, 5504.91, Call Wall CE, 5500.0, Implied Movement -2σ, 5432.92, Gamma Flip &amp; Call Dominate , 5465.0, Implied Movement -σ, 5445.27, Key Delta, 5000.0, 20240701 070000</t>
  </si>
  <si>
    <t xml:space="preserve">SPX: Implied Movement -σ, 5480.61, Key Delta, 5000.0, Put Wall &amp; Large Gamma 1 &amp; Large Gamma 2 &amp; Gamma Field, 5550.0, Implied Movement +2σ, 5558.19, Put Dominate , 5475.0, Implied Movement +σ, 5537.41, Put Wall CE &amp; Gamma Flip &amp; Gamma Flip CE, 5495.0, Gamma Field CE &amp; Call Wall &amp; Call Wall CE, 5525.0, Implied Movement -2σ, 5459.83, Call Dominate , 5540.0, 20240702 070000</t>
  </si>
  <si>
    <t xml:space="preserve">SPX: Call Dominate , 5610.0, Gamma Flip CE, 5515.0, Implied Movement -σ, 5507.32, Implied Movement +2σ, 5596.41, Put Wall CE, 5505.0, Put Wall &amp; Large Gamma 1 &amp; Large Gamma 2 &amp; Gamma Field &amp; Gamma Field CE &amp; Call Wall, 5550.0, Put Dominate , 5495.0, Call Wall CE, 5560.0, Implied Movement -2σ, 5477.63, Key Delta, 5000.0, Implied Movement +σ, 5566.72, Gamma Flip, 5510.0, 20240703 070000</t>
  </si>
  <si>
    <t xml:space="preserve">SPX: Put Dominate , 5535.0, Call Wall &amp; Call Wall CE, 5585.0, Implied Movement -2σ, 5524.34, Call Dominate , 5600.0, Implied Movement +σ, 5597.49, Gamma Flip &amp; Gamma Flip CE, 5555.0, Implied Movement +2σ, 5610.04, Large Gamma 2, 5545.0, Implied Movement -σ, 5536.89, Put Wall CE &amp; Put Wall &amp; Large Gamma 1 &amp; Gamma Field &amp; Gamma Field CE, 5550.0, Key Delta, 5000.0, 20240705 070000</t>
  </si>
  <si>
    <t xml:space="preserve">SPX: Key Delta, 5000.0, Put Dominate , Implied Movement -2σ, 5529.31, Put Wall CE &amp; Put Wall &amp; Large Gamma 1 &amp; Large Gamma 2 &amp; Gamma Field &amp; Call Wall, 5550.0, Gamma Field CE &amp; Call Wall CE &amp; Call Dominate , 5610.0, Implied Movement +2σ, 5616.39, Implied Movement -σ, 5542.06, Implied Movement +σ, 5603.64, Gamma Flip, 5545.0, Gamma Flip CE, 5565.0, 20240708 070000</t>
  </si>
  <si>
    <t xml:space="preserve">SPX: Key Delta, 5000.0, Put Dominate , Implied Movement -σ, 5546.18, Put Wall &amp; Large Gamma 1 &amp; Large Gamma 2 &amp; Gamma Field &amp; Call Wall, 5550.0, Call Dominate , 5625.0, Implied Movement +2σ, 5620.53, Implied Movement +σ, 5607.78, Implied Movement -2σ, 5533.43, Gamma Flip, 5545.0, Gamma Field CE &amp; Call Wall CE, 5600.0, Gamma Flip CE, 5575.0, Put Wall CE, 5560.0, 20240709 070000</t>
  </si>
  <si>
    <t xml:space="preserve">SPX: Key Delta, 5000.0, Call Dominate , 5710.0, Put Wall &amp; Large Gamma 1 &amp; Large Gamma 2 &amp; Gamma Field &amp; Call Wall, 5550.0, Put Wall CE, 5595.0, Gamma Flip, 5545.0, Implied Movement +σ, 5666.41, Implied Movement +2σ, 5679.87, Gamma Flip CE, 5600.0, Call Wall CE, 5665.0, Put Dominate , 5480.0, Gamma Field CE, 5670.0, Implied Movement -σ, 5601.41, Implied Movement -2σ, 5587.95, 20240710 070000</t>
  </si>
  <si>
    <t xml:space="preserve">SPX: Gamma Flip CE, 5580.0, Put Wall CE, 5560.0, Key Delta, 5000.0, Implied Movement +2σ, 5646.34, Put Wall &amp; Large Gamma 1 &amp; Large Gamma 2 &amp; Gamma Field &amp; Call Wall, 5550.0, Gamma Flip, 5575.0, Implied Movement -σ, 5553.64, Put Dominate , 5485.0, Gamma Field CE &amp; Call Wall CE, 5615.0, Implied Movement -2σ, 5522.74, Call Dominate , 5620.0, Implied Movement +σ, 5615.44, 20240711 070000</t>
  </si>
  <si>
    <t xml:space="preserve">SPX: Call Dominate , 5650.0, Gamma Flip CE, 5625.0, Implied Movement -2σ, 5569.61, Large Gamma 1 &amp; Gamma Field CE &amp; Call Wall &amp; Call Wall CE, 5635.0, Put Wall &amp; Gamma Field, 5550.0, Implied Movement +σ, 5647.69, Key Delta, 5000.0, Put Wall CE, 5590.0, Gamma Flip, 5595.0, Implied Movement -σ, 5583.01, Put Dominate , 5575.0, Implied Movement +2σ, 5661.09, Large Gamma 2, 5640.0, 20240712 070000</t>
  </si>
  <si>
    <t xml:space="preserve">SPX: Implied Movement +σ, 5665.1, Implied Movement +2σ, 5679.13, Implied Movement -2σ, 5583.31, Put Wall CE, 5600.0, Put Wall &amp; Large Gamma 1 &amp; Gamma Field &amp; Call Wall, 5550.0, Gamma Flip, 5615.0, Gamma Flip CE, 5625.0, Implied Movement -σ, 5597.34, Key Delta, 5000.0, Large Gamma 2 &amp; Gamma Field CE &amp; Call Wall CE, 5650.0, Put Dominate , Call Dominate , 5660.0, 20240715 070000</t>
  </si>
  <si>
    <t xml:space="preserve">SPX: Implied Movement -2σ, 5618.92, Implied Movement +2σ, 5715.48, Call Dominate , 5760.0, Put Wall CE &amp; Gamma Field CE &amp; Gamma Flip &amp; Gamma Flip CE, 5640.0, Implied Movement -σ, 5633.06, Put Wall &amp; Large Gamma 1 &amp; Large Gamma 2 &amp; Gamma Field &amp; Call Wall, 5550.0, Put Dominate , 5490.0, Call Wall CE, 5645.0, Implied Movement +σ, 5701.34, Key Delta, 5000.0, 20240716 070000</t>
  </si>
  <si>
    <t xml:space="preserve">SPX: Key Delta, 5000.0, Large Gamma 2 &amp; Call Wall, 5600.0, Implied Movement -2σ, 5537.31, Gamma Flip CE, 5610.0, Gamma Field CE &amp; Call Wall CE, 5620.0, Gamma Flip, 5595.0, Call Dominate , 5760.0, Put Wall &amp; Large Gamma 1, 5650.0, Implied Movement +σ, 5624.41, Implied Movement +2σ, 5639.23, Implied Movement -σ, 5552.13, Put Wall CE, 5560.0, Gamma Field, 5550.0, Put Dominate , 5485.0, 20240717 070000</t>
  </si>
  <si>
    <t xml:space="preserve">SPX: Implied Movement +2σ, 5618.53, Call Wall CE, 5560.0, Gamma Flip &amp; Gamma Flip CE, 5555.0, Put Wall CE, 5500.0, Put Wall &amp; Large Gamma 1 &amp; Large Gamma 2 &amp; Gamma Field &amp; Gamma Field CE &amp; Call Wall, 5550.0, Implied Movement +σ, 5581.82, Implied Movement -2σ, 5470.65, Call Dominate , 5760.0, Put Dominate , 5485.0, Key Delta, 5000.0, Implied Movement -σ, 5507.36, 20240718 070000</t>
  </si>
  <si>
    <t xml:space="preserve">SPX: Key Delta, 5000.0, Large Gamma 2, 5545.0, Implied Movement -2σ, 5445.97, Implied Movement +2σ, 5564.03, Put Wall &amp; Gamma Field, 5550.0, Implied Movement +σ, 5546.74, Implied Movement -σ, 5463.26, Call Dominate , 5560.0, Gamma Flip &amp; Gamma Flip CE, 5525.0, Put Dominate , 5485.0, Large Gamma 1 &amp; Gamma Field CE &amp; Call Wall &amp; Call Wall CE, 5540.0, Put Wall CE, 5470.0, 20240719 070000</t>
  </si>
  <si>
    <t xml:space="preserve">SPX: Gamma Flip &amp; Gamma Flip CE, 5565.0, Implied Movement +σ, 5602.52, Implied Movement +2σ, 5618.3, Put Wall CE &amp; Put Wall, 5535.0, Implied Movement -2σ, 5510.52, Implied Movement -σ, 5526.3, Key Delta, 5000.0, Large Gamma 2, 5595.0, Put Dominate , 5510.0, Call Dominate , 5610.0, Large Gamma 1 &amp; Gamma Field &amp; Gamma Field CE &amp; Call Wall &amp; Call Wall CE, 5590.0, 20240722 070000</t>
  </si>
  <si>
    <t xml:space="preserve">SPX: Implied Movement -2σ, 5502.24, Put Dominate , 5490.0, Put Wall CE &amp; Gamma Field CE, 5500.0, Call Wall CE, 5570.0, Implied Movement +2σ, 5609.24, Gamma Flip, 5555.0, Gamma Flip CE, 5565.0, Large Gamma 2, 5650.0, Call Dominate , 5760.0, Put Wall &amp; Large Gamma 1 &amp; Gamma Field &amp; Call Wall, 5550.0, Implied Movement +σ, 5593.57, Key Delta, 5000.0, Implied Movement -σ, 5517.91, 20240723 070000</t>
  </si>
  <si>
    <t xml:space="preserve">SPX: Gamma Flip CE, 5475.0, Call Dominate , 5760.0, Gamma Flip, 5525.0, Implied Movement -2σ, 5360.04, Implied Movement +σ, 5474.57, Large Gamma 2 &amp; Key Delta, 5000.0, Call Wall CE, 5515.0, Put Wall &amp; Large Gamma 1 &amp; Gamma Field &amp; Call Wall, 5550.0, Implied Movement +2σ, 5494.22, Implied Movement -σ, 5379.69, Put Dominate , 5390.0, Put Wall CE &amp; Gamma Field CE, 5425.0, 20240724 070000</t>
  </si>
  <si>
    <t xml:space="preserve">SPX: Call Wall CE, 5480.0, Implied Movement +σ, 5444.66, Implied Movement -2σ, 5308.35, Call Dominate , 5760.0, Large Gamma 2 &amp; Key Delta, 5000.0, Gamma Flip CE, 5465.0, Put Wall &amp; Large Gamma 1 &amp; Gamma Field &amp; Call Wall, 5550.0, Implied Movement +2σ, 5490.09, Gamma Flip, 5495.0, Gamma Field CE, 5450.0, Put Wall CE, 5400.0, Put Dominate , 5390.0, Implied Movement -σ, 5353.78, 20240725 070000</t>
  </si>
  <si>
    <t xml:space="preserve">SPX: Implied Movement -2σ, 5394.11, Call Dominate , 5760.0, Large Gamma 2 &amp; Gamma Field &amp; Gamma Field CE &amp; Call Wall CE, 5500.0, Gamma Flip, 5495.0, Implied Movement -σ, 5413.14, Implied Movement +σ, 5505.06, Implied Movement +2σ, 5524.09, Put Wall &amp; Large Gamma 1 &amp; Call Wall, 5550.0, Put Wall CE, 5430.0, Put Dominate , 5390.0, Gamma Flip CE, 5465.0, Key Delta, 5000.0, 20240726 070000</t>
  </si>
  <si>
    <t xml:space="preserve">SPX: Put Wall &amp; Large Gamma 1 &amp; Call Wall, 5550.0, Large Gamma 2 &amp; Gamma Field &amp; Gamma Field CE &amp; Call Wall CE, 5500.0, Gamma Flip &amp; Gamma Flip CE, 5485.0, Implied Movement +σ, 5509.17, Put Wall CE, 5420.0, Implied Movement +2σ, 5528.07, Implied Movement -2σ, 5399.01, Put Dominate , 5390.0, Call Dominate , 5760.0, Key Delta, 5000.0, Implied Movement -σ, 5417.91, 20240729 070000</t>
  </si>
  <si>
    <t xml:space="preserve">SPX: Implied Movement +σ, 5483.99, Large Gamma 2 &amp; Gamma Field &amp; Gamma Field CE, 5500.0, Call Wall CE, 5535.0, Call Dominate , 5760.0, Gamma Flip, 5495.0, Gamma Flip CE, 5480.0, Put Wall CE, 5465.0, Implied Movement -σ, 5388.89, Put Dominate , 5290.0, Implied Movement -2σ, 5369.19, Put Wall &amp; Large Gamma 1 &amp; Call Wall, 5550.0, Implied Movement +2σ, 5503.69, Key Delta, 5000.0, 20240730 070000</t>
  </si>
  <si>
    <t xml:space="preserve">SPX: Implied Movement +σ, 5566.46, Gamma Flip CE, 5495.0, Call Wall CE, 5575.0, Large Gamma 2, 5500.0, Implied Movement -σ, 5478.14, Put Wall CE &amp; Put Wall &amp; Large Gamma 1 &amp; Gamma Field &amp; Call Wall, 5550.0, Implied Movement -2σ, 5459.85, Put Dominate , 5390.0, Call Dominate , 5760.0, Key Delta, 5000.0, Gamma Field CE, 5600.0, Gamma Flip, 5505.0, Implied Movement +2σ, 5584.75, 20240731 070000</t>
  </si>
  <si>
    <t xml:space="preserve">SPX: Implied Movement -2σ, 5341.86, Gamma Flip, 5505.0, Call Wall CE, 5525.0, Implied Movement +2σ, 5551.5, Call Dominate , 5760.0, Gamma Flip CE, 5495.0, Put Dominate , 5285.0, Put Wall CE &amp; Gamma Field CE, 5350.0, Implied Movement +σ, 5499.09, Large Gamma 1 &amp; Call Wall, 5550.0, Put Wall &amp; Large Gamma 2 &amp; Gamma Field &amp; Key Delta, 5000.0, Implied Movement -σ, 5394.27, 20240801 070000</t>
  </si>
  <si>
    <t xml:space="preserve">SPX: Put Dominate , 5185.0, Implied Movement +2σ, 5469.33, Gamma Flip CE, 5370.0, Large Gamma 2, 5550.0, Call Dominate , 5760.0, Implied Movement -2σ, 5223.79, Call Wall CE, 5405.0, Implied Movement +σ, 5433.37, Implied Movement -σ, 5259.75, Gamma Flip, 5500.0, Put Wall &amp; Large Gamma 1 &amp; Gamma Field &amp; Call Wall &amp; Key Delta, 5000.0, Put Wall CE &amp; Gamma Field CE, 5200.0, 20240802 070000</t>
  </si>
  <si>
    <t xml:space="preserve">SPX: Large Gamma 2, 5550.0, Implied Movement -2σ, 5077.91, Put Wall CE &amp; Gamma Field CE, 5215.0, Gamma Flip CE, 5340.0, Gamma Flip, 5495.0, Implied Movement +σ, 5262.99, Implied Movement -σ, 5109.67, Put Dominate , 5190.0, Call Dominate , 5775.0, Call Wall CE, 5320.0, Put Wall &amp; Large Gamma 1 &amp; Gamma Field &amp; Call Wall &amp; Key Delta, 5000.0, Implied Movement +2σ, 5294.75, 20240805 070000</t>
  </si>
  <si>
    <t xml:space="preserve">SPX: Implied Movement +σ, 5300.15, Gamma Field CE, 5300.0, Put Wall &amp; Large Gamma 1 &amp; Gamma Field &amp; Key Delta, 5000.0, Call Wall CE, 5305.0, Put Dominate , 5290.0, Implied Movement +2σ, 5325.05, Implied Movement -σ, 5179.91, Large Gamma 2 &amp; Call Wall, 5550.0, Gamma Flip CE, 5275.0, Put Wall CE, 5245.0, Call Dominate , Implied Movement -2σ, 5155.01, Gamma Flip, 5495.0, 20240806 070000</t>
  </si>
  <si>
    <t xml:space="preserve">SPX: Call Dominate , 5760.0, Implied Movement -2σ, 5109.11, Implied Movement +σ, 5263.41, Implied Movement +2σ, 5289.89, Call Wall CE, 5300.0, Implied Movement -σ, 5135.59, Gamma Flip, 5495.0, Put Wall CE &amp; Gamma Field CE, 5200.0, Gamma Flip CE, 5220.0, Put Dominate , 5190.0, Large Gamma 2, 5550.0, Put Wall &amp; Large Gamma 1 &amp; Gamma Field &amp; Call Wall &amp; Key Delta, 5000.0, 20240807 070000</t>
  </si>
  <si>
    <t xml:space="preserve">SPX: Implied Movement +2σ, 5429.15, Gamma Flip CE, 5325.0, Gamma Flip, 5400.0, Put Wall CE &amp; Gamma Field &amp; Gamma Field CE, 5300.0, Implied Movement +σ, 5374.23, Call Wall CE, 5415.0, Implied Movement -σ, 5264.39, Put Wall &amp; Large Gamma 2 &amp; Key Delta, 5000.0, Call Dominate , 5760.0, Put Dominate , 5290.0, Large Gamma 1 &amp; Call Wall, 5550.0, Implied Movement -2σ, 5209.47, 20240808 070000</t>
  </si>
  <si>
    <t xml:space="preserve">SPX: Large Gamma 2 &amp; Key Delta, 5000.0, Gamma Flip CE, 5335.0, Put Wall CE, 5315.0, Implied Movement -σ, 5314.11, Implied Movement -2σ, 5293.93, Call Dominate , 5775.0, Implied Movement +σ, 5411.53, Call Wall CE, 5380.0, Gamma Field CE &amp; Gamma Flip, 5350.0, Put Wall &amp; Large Gamma 1 &amp; Call Wall, 5550.0, Put Dominate , 5290.0, Implied Movement +2σ, 5431.71, Gamma Field, 5400.0, 20240809 070000</t>
  </si>
  <si>
    <t xml:space="preserve">SPX: Implied Movement +2σ, 5418.57, Gamma Field &amp; Gamma Field CE &amp; Call Wall CE, 5400.0, Call Dominate , 5760.0, Large Gamma 2 &amp; Key Delta, 5000.0, Implied Movement -σ, 5291.93, Gamma Flip CE, 5355.0, Gamma Flip, 5365.0, Put Wall &amp; Large Gamma 1 &amp; Call Wall, 5550.0, Put Wall CE, 5300.0, Implied Movement +σ, 5396.85, Put Dominate , 5290.0, Implied Movement -2σ, 5270.21, 20240812 070000</t>
  </si>
  <si>
    <t xml:space="preserve">SPX: Implied Movement -σ, 5386.44, Put Dominate , 5290.0, Large Gamma 2 &amp; Key Delta, 5000.0, Implied Movement -2σ, 5366.56, Gamma Field CE, 5450.0, Put Wall CE &amp; Gamma Flip &amp; Gamma Flip CE, 5400.0, Implied Movement +2σ, 5502.3, Call Dominate , 5510.0, Gamma Field &amp; Call Wall CE, 5500.0, Put Wall &amp; Large Gamma 1 &amp; Call Wall, 5550.0, Implied Movement +σ, 5482.42, 20240813 070000</t>
  </si>
  <si>
    <t xml:space="preserve">SPX: Large Gamma 2, 5450.0, Implied Movement +σ, 5476.1, Implied Movement -σ, 5434.32, Gamma Flip CE, 5430.0, Put Wall &amp; Large Gamma 1 &amp; Call Wall, 5550.0, Put Dominate , 5290.0, Put Wall CE, 5400.0, Key Delta, 5000.0, Implied Movement -2σ, 5423.97, Implied Movement +2σ, 5486.45, Call Dominate , 5510.0, Gamma Flip, 5425.0, Gamma Field &amp; Gamma Field CE &amp; Call Wall CE, 5500.0, 20240814 070000</t>
  </si>
  <si>
    <t xml:space="preserve">SPX: Call Wall CE, 5530.0, Put Dominate , 5290.0, Key Delta, 5000.0, Implied Movement -2σ, 5471.86, Implied Movement -σ, 5507.55, Gamma Flip &amp; Gamma Flip CE, 5495.0, Implied Movement +σ, 5578.89, Implied Movement +2σ, 5614.58, Put Wall CE &amp; Put Wall &amp; Large Gamma 1 &amp; Large Gamma 2 &amp; Gamma Field &amp; Gamma Field CE &amp; Call Wall &amp; Call Dominate , 5550.0, 20240815 070000</t>
  </si>
  <si>
    <t xml:space="preserve">SPX: Implied Movement +σ, 5592.03, Put Wall CE &amp; Gamma Flip CE, 5540.0, Put Wall &amp; Large Gamma 1 &amp; Gamma Field &amp; Gamma Field CE &amp; Call Wall, 5550.0, Implied Movement -2σ, 5500.82, Key Delta, 5000.0, Put Dominate , 5290.0, Call Dominate , 5625.0, Call Wall CE, 5570.0, Implied Movement -σ, 5516.47, Large Gamma 2 &amp; Gamma Flip, 5500.0, Implied Movement +2σ, 5607.68, 20240816 070000</t>
  </si>
  <si>
    <t xml:space="preserve">SPX: Put Wall CE &amp; Gamma Flip CE, 5580.0, Implied Movement -σ, 5571.86, Key Delta, 5000.0, Put Wall &amp; Large Gamma 1 &amp; Gamma Field &amp; Call Wall, 5550.0, Call Dominate , 5760.0, Implied Movement -2σ, 5556.79, Put Dominate , 5290.0, Gamma Field CE &amp; Call Wall CE, 5635.0, Large Gamma 2, 5500.0, Gamma Flip, 5505.0, Implied Movement +σ, 5644.64, Implied Movement +2σ, 5659.71, 20240819 070000</t>
  </si>
  <si>
    <t xml:space="preserve">SPX: Implied Movement +σ, 5637.69, Key Delta, 5000.0, Implied Movement +2σ, 5654.5, Gamma Field CE &amp; Gamma Flip CE, 5600.0, Call Dominate , 5760.0, Large Gamma 2, 5500.0, Put Wall CE, 5590.0, Gamma Flip, 5510.0, Put Wall &amp; Large Gamma 1 &amp; Gamma Field &amp; Call Wall, 5550.0, Put Dominate , 5375.0, Implied Movement -σ, 5556.55, Implied Movement -2σ, 5539.74, Call Wall CE, 5630.0, 20240820 070000</t>
  </si>
  <si>
    <t xml:space="preserve">SPX: Call Wall CE, 5650.0, Gamma Flip, 5515.0, Put Dominate , 5390.0, Implied Movement -σ, 5580.95, Implied Movement +2σ, 5677.28, Implied Movement -2σ, 5564.42, Call Dominate , 5760.0, Put Wall &amp; Large Gamma 1 &amp; Call Wall, 5550.0, Large Gamma 2, 5500.0, Put Wall CE &amp; Gamma Field &amp; Gamma Field CE, 5600.0, Gamma Flip CE, 5610.0, Key Delta, 5000.0, Implied Movement +σ, 5660.75, 20240821 070000</t>
  </si>
  <si>
    <t xml:space="preserve">SPX: Put Wall &amp; Large Gamma 1 &amp; Call Wall, 5550.0, Put Dominate , 5390.0, Implied Movement -2σ, 5485.62, Gamma Flip CE, 5570.0, Put Wall CE, 5540.0, Implied Movement -σ, 5528.13, Key Delta, 5000.0, Implied Movement +2σ, 5655.66, Implied Movement +σ, 5613.15, Call Dominate , 5760.0, Large Gamma 2, 5500.0, Gamma Field &amp; Gamma Field CE, 5600.0, Call Wall CE, 5650.0, Gamma Flip, 5545.0, 20240822 070000</t>
  </si>
  <si>
    <t xml:space="preserve">SPX: Implied Movement -σ, 5595.32, Put Dominate , 5390.0, Gamma Field CE &amp; Call Wall CE, 5660.0, Implied Movement -2σ, 5579.05, Implied Movement +2σ, 5690.17, Put Wall &amp; Large Gamma 1 &amp; Call Wall, 5550.0, Call Dominate , 5760.0, Gamma Flip CE, 5620.0, Put Wall CE &amp; Gamma Field, 5600.0, Implied Movement +σ, 5673.9, Large Gamma 2, 5500.0, Gamma Flip, 5605.0, Key Delta, 5000.0, 20240823 070000</t>
  </si>
  <si>
    <t xml:space="preserve">SPX: Put Wall &amp; Large Gamma 1 &amp; Call Wall, 5550.0, Implied Movement -σ, 5577.51, Call Dominate , 5760.0, Key Delta, 5000.0, Gamma Field &amp; Gamma Field CE, 5600.0, Implied Movement -2σ, 5561.22, Gamma Flip CE, 5610.0, Call Wall CE, 5650.0, Implied Movement +σ, 5656.17, Large Gamma 2, 5500.0, Gamma Flip, 5595.0, Put Dominate , 5390.0, Implied Movement +2σ, 5672.46, Put Wall CE, 5585.0, 20240826 070000</t>
  </si>
  <si>
    <t xml:space="preserve">SPX: Large Gamma 2, 5500.0, Implied Movement +σ, 5664.93, Put Wall &amp; Large Gamma 1 &amp; Call Wall, 5550.0, Implied Movement -2σ, 5570.46, Put Dominate , 5490.0, Gamma Flip, 5620.0, Put Wall CE &amp; Gamma Field &amp; Gamma Field CE, 5600.0, Gamma Flip CE, 5625.0, Call Wall CE, 5650.0, Key Delta, 5000.0, Call Dominate , 5760.0, Implied Movement -σ, 5586.67, Implied Movement +2σ, 5681.14, 20240827 070000</t>
  </si>
  <si>
    <t xml:space="preserve">SPX: Implied Movement +σ, 5632.6, Gamma Field &amp; Gamma Field CE &amp; Gamma Flip CE, 5600.0, Implied Movement -σ, 5551.76, Key Delta, 5000.0, Implied Movement +2σ, 5649.35, Call Dominate , 5760.0, Gamma Flip, 5595.0, Implied Movement -2σ, 5535.01, Put Dominate , 5490.0, Large Gamma 2, 5500.0, Call Wall CE, 5640.0, Put Wall CE &amp; Put Wall &amp; Large Gamma 1 &amp; Call Wall, 5550.0, 20240828 070000</t>
  </si>
  <si>
    <t xml:space="preserve">SPX: Key Delta, 5000.0, Gamma Flip CE, 5610.0, Implied Movement -2σ, 5507.21, Implied Movement +2σ, 5676.71, Gamma Flip, 5595.0, Implied Movement +σ, 5629.86, Put Dominate , 5475.0, Put Wall &amp; Large Gamma 1 &amp; Call Wall, 5550.0, Gamma Field CE &amp; Call Wall CE, 5650.0, Call Dominate , 5760.0, Large Gamma 2, 5500.0, Gamma Field, 5600.0, Implied Movement -σ, 5554.06, Put Wall CE, 5585.0, 20240829 070000</t>
  </si>
  <si>
    <t xml:space="preserve">SPX: Gamma Flip CE, 5625.0, Implied Movement +σ, 5687.68, Call Wall CE, 5675.0, Put Wall CE, 5615.0, Gamma Field &amp; Gamma Field CE, 5600.0, Large Gamma 2, 5500.0, Implied Movement -σ, 5609.12, Call Dominate , 5760.0, Implied Movement +2σ, 5703.95, Key Delta, 5000.0, Implied Movement -2σ, 5592.85, Put Wall &amp; Large Gamma 1 &amp; Call Wall, 5550.0, Put Dominate , 5490.0, Gamma Flip, 5620.0, 20240830 070000</t>
  </si>
  <si>
    <t xml:space="preserve">SPX: Put Wall CE &amp; Gamma Field CE &amp; Put Dominate , 5490.0, Gamma Flip CE, 5555.0, Implied Movement -σ, 5478.73, Gamma Flip, 5560.0, Key Delta, 5000.0, Implied Movement +2σ, 5599.93, Call Dominate , 5760.0, Call Wall CE, 5565.0, Large Gamma 2, 5500.0, Implied Movement +σ, 5579.13, Implied Movement -2σ, 5457.93, Put Wall &amp; Large Gamma 1 &amp; Gamma Field &amp; Call Wall, 5550.0, 20240903 070000</t>
  </si>
  <si>
    <t xml:space="preserve">SPX: Put Wall &amp; Large Gamma 1 &amp; Gamma Flip &amp; Call Wall, 5550.0, Implied Movement +σ, 5569.95, Key Delta, 5000.0, Implied Movement -2σ, 5449.53, Large Gamma 2 &amp; Gamma Field &amp; Gamma Field CE, 5500.0, Gamma Flip CE, 5540.0, Call Dominate , 5760.0, Put Wall CE, 5515.0, Implied Movement +2σ, 5590.61, Implied Movement -σ, 5470.19, Put Dominate , 5490.0, Call Wall CE, 5560.0, 20240904 070000</t>
  </si>
  <si>
    <t xml:space="preserve">SPX: Put Wall &amp; Large Gamma 1 &amp; Gamma Flip &amp; Call Wall, 5550.0, Implied Movement +σ, 5554.54, Implied Movement +2σ, 5605.68, Key Delta, 5000.0, Call Wall CE, 5555.0, Call Dominate , 5760.0, Implied Movement -2σ, 5401.14, Put Wall CE &amp; Gamma Field CE, 5450.0, Large Gamma 2 &amp; Gamma Field, 5500.0, Gamma Flip CE, 5515.0, Put Dominate , 5390.0, Implied Movement -σ, 5452.28, 20240905 070000</t>
  </si>
  <si>
    <t xml:space="preserve">SPX: Implied Movement +σ, 5464.04, Put Dominate , 5390.0, Key Delta, 5000.0, Implied Movement -σ, 5352.8, Gamma Flip &amp; Gamma Flip CE, 5515.0, Call Wall CE, 5465.0, Call Dominate , 5775.0, Put Wall &amp; Large Gamma 1 &amp; Call Wall, 5550.0, Implied Movement -2σ, 5329.76, Put Wall CE &amp; Large Gamma 2 &amp; Gamma Field &amp; Gamma Field CE, 5500.0, Implied Movement +2σ, 5487.08, 20240906 070000</t>
  </si>
  <si>
    <t xml:space="preserve">SPX: Key Delta, 5000.0, Put Wall CE, 5430.0, Implied Movement +σ, 5521.46, Large Gamma 2 &amp; Gamma Field &amp; Gamma Flip, 5500.0, Put Wall &amp; Large Gamma 1 &amp; Call Wall, 5550.0, Gamma Flip CE, 5465.0, Call Dominate , 5520.0, Implied Movement -2σ, 5399.76, Gamma Field CE &amp; Call Wall CE, 5505.0, Put Dominate , 5390.0, Implied Movement -σ, 5420.64, Implied Movement +2σ, 5542.34, 20240909 070000</t>
  </si>
  <si>
    <t xml:space="preserve">SPX: Implied Movement -σ, 5445.87, Put Wall &amp; Large Gamma 1 &amp; Gamma Field CE &amp; Call Wall, 5550.0, Call Dominate , 5775.0, Gamma Flip CE, 5475.0, Put Wall CE, 5450.0, Large Gamma 2 &amp; Gamma Field &amp; Gamma Flip, 5500.0, Key Delta, 5000.0, Implied Movement +σ, 5545.17, Implied Movement -2σ, 5425.3, Put Dominate , 5390.0, Implied Movement +2σ, 5565.74, Call Wall CE, 5540.0, 20240910 070000</t>
  </si>
  <si>
    <t xml:space="preserve">SPX: Large Gamma 2, 5500.0, Key Delta, 5000.0, Put Wall CE &amp; Gamma Flip CE, 5510.0, Gamma Field CE &amp; Call Wall CE, 5575.0, Implied Movement -2σ, 5489.53, Call Dominate , 5775.0, Implied Movement -σ, 5508.45, Put Wall &amp; Large Gamma 1 &amp; Gamma Field &amp; Call Wall, 5550.0, Implied Movement +σ, 5599.81, Gamma Flip, 5515.0, Implied Movement +2σ, 5618.73, Put Dominate , 5390.0, 20240911 070000</t>
  </si>
  <si>
    <t xml:space="preserve">SPX: Implied Movement +2σ, 5680.16, Gamma Flip CE, 5560.0, Gamma Flip, 5515.0, Call Wall CE, 5650.0, Implied Movement +σ, 5637.96, Implied Movement -2σ, 5511.36, Large Gamma 2 &amp; Gamma Field CE, 5600.0, Key Delta, 5000.0, Put Wall &amp; Large Gamma 1 &amp; Gamma Field &amp; Call Wall, 5550.0, Implied Movement -σ, 5553.56, Put Dominate , 5475.0, Call Dominate , 5760.0, Put Wall CE, 5555.0, 20240912 070000</t>
  </si>
  <si>
    <t xml:space="preserve">SPX: Put Dominate , 5475.0, Call Dominate , 5760.0, Implied Movement +σ, 5637.91, Put Wall &amp; Large Gamma 1 &amp; Gamma Field &amp; Call Wall, 5550.0, Gamma Flip, 5515.0, Key Delta, 5000.0, Implied Movement +2σ, 5680.06, Implied Movement -2σ, 5511.46, Put Wall CE, 5555.0, Implied Movement -σ, 5553.61, Call Wall CE, 5650.0, Large Gamma 2 &amp; Gamma Field CE, 5600.0, Gamma Flip CE, 5560.0, 20240913 070000</t>
  </si>
  <si>
    <t xml:space="preserve">SPX: Implied Movement +2σ, 5688.31, Implied Movement -σ, 5581.97, Key Delta, 5000.0, Large Gamma 2 &amp; Gamma Field, 5600.0, Call Wall CE, 5655.0, Implied Movement +σ, 5670.07, Put Dominate , 5475.0, Gamma Flip CE, 5615.0, Call Dominate , 5760.0, Put Wall CE &amp; Gamma Field CE &amp; Gamma Flip, 5590.0, Implied Movement -2σ, 5563.73, Put Wall &amp; Large Gamma 1 &amp; Call Wall, 5550.0,  20240916 084955</t>
  </si>
  <si>
    <t xml:space="preserve">SPX: Implied Movement +σ, 5678.6, Implied Movement +2σ, 5697.46, Gamma Flip CE, 5620.0, Implied Movement -σ, 5587.57, Gamma Flip, 5575.0, Key Delta, 5000.0, Gamma Field CE, 5630.0, Put Wall CE &amp; Large Gamma 2 &amp; Gamma Field, 5600.0, Call Dominate , 5760.0, Call Wall CE, 5650.0, Implied Movement -2σ, 5568.72, Put Wall &amp; Large Gamma 1 &amp; Call Wall, 5550.0, Put Dominate , 5490.0,  20240917 072359</t>
  </si>
  <si>
    <t xml:space="preserve">SPX: Gamma Flip &amp; Gamma Flip CE, 5590.0, Gamma Field CE, 5625.0, Key Delta, 5000.0, Put Dominate , 5490.0, Call Wall CE, 5635.0, Call Dominate , 5760.0, Implied Movement +σ, 5683.03, Large Gamma 2 &amp; Gamma Field, 5600.0, Put Wall CE, 5545.0, Put Wall &amp; Large Gamma 1 &amp; Call Wall, 5550.0, Implied Movement -σ, 5586.13, Implied Movement -2σ, 5566.07, Implied Movement +2σ, 5703.09,  20240918 074918</t>
  </si>
  <si>
    <t xml:space="preserve">SPX: Put Dominate , 5390.0, Call Dominate , 5760.0, Put Wall &amp; Large Gamma 1 &amp; Gamma Field &amp; Gamma Field CE &amp; Call Wall &amp; Call Wall CE, 5700.0, Large Gamma 2, 5650.0, Implied Movement +σ, 5665.18, Gamma Flip CE, 5630.0, Implied Movement +2σ, 5685.11, Implied Movement -2σ, 5551.41, Put Wall CE, 5660.0, Key Delta, 5000.0, Implied Movement -σ, 5571.34, Gamma Flip, 5600.0,  20240919 070259</t>
  </si>
  <si>
    <t xml:space="preserve">SPX: Large Gamma 2, 5650.0, Call Wall CE, 5750.0, Key Delta, 5000.0, Put Dominate , 5390.0, Implied Movement +2σ, 5788.62, Implied Movement -σ, 5676.07, Call Dominate , 5760.0, Implied Movement -2σ, 5638.66, Implied Movement +σ, 5751.21, Put Wall &amp; Large Gamma 1 &amp; Gamma Field &amp; Gamma Field CE &amp; Call Wall, 5700.0, Gamma Flip CE, 5690.0, Put Wall CE, 5680.0, Gamma Flip, 5615.0,  20240920 074315</t>
  </si>
  <si>
    <t xml:space="preserve">SPX: Implied Movement +σ, 5742.64, Implied Movement -σ, 5662.46, Call Wall CE, 5725.0, Put Wall &amp; Key Delta, 5000.0, Implied Movement -2σ, 5645.85, Large Gamma 1 &amp; Gamma Field &amp; Call Wall, 5750.0, Gamma Flip CE, 5695.0, Implied Movement +2σ, 5759.24, Gamma Field CE, 5700.0, Put Wall CE, 5650.0, Call Dominate , 5760.0, Put Dominate , 5390.0, Large Gamma 2, 5600.0, Gamma Flip, 5645.0, 20240923 070000</t>
  </si>
  <si>
    <t xml:space="preserve">SPX: Large Gamma 2, 5600.0, Put Wall &amp; Key Delta, 5000.0, Put Dominate , 5390.0, Large Gamma 1 &amp; Gamma Field &amp; Call Wall, 5750.0, Gamma Field CE &amp; Call Wall CE, 5700.0, Call Dominate , 5760.0, Gamma Flip, 5670.0, Implied Movement +2σ, 5772.12, Implied Movement -σ, 5680.7, Gamma Flip CE, 5695.0, Implied Movement -2σ, 5665.02, Put Wall CE, 5690.0, Implied Movement +σ, 5756.44,  20240924 073514</t>
  </si>
  <si>
    <t xml:space="preserve">SPX: Implied Movement +2σ, 5784.76, Large Gamma 1 &amp; Large Gamma 2 &amp; Gamma Field &amp; Gamma Field CE &amp; Call Wall &amp; Call Wall CE, 5750.0, Implied Movement -σ, 5696.28, Put Wall CE, 5710.0, Implied Movement +σ, 5769.58, Gamma Flip, 5685.0, Put Dominate , 5390.0, Put Wall, 5600.0, Gamma Flip CE, 5720.0, Call Dominate , 5760.0, Implied Movement -2σ, 5681.1, Key Delta, 5000.0,  20240925 072102</t>
  </si>
  <si>
    <t xml:space="preserve">SPX: Gamma Field CE &amp; Call Wall CE &amp; Call Dominate , 5760.0, Put Wall &amp; Large Gamma 1 &amp; Large Gamma 2 &amp; Gamma Field &amp; Call Wall, 5750.0, Put Wall CE, 5700.0, Implied Movement -σ, 5682.83, Key Delta, 5000.0, Gamma Flip, 5685.0, Implied Movement -2σ, 5666.49, Put Dominate , 5390.0, Implied Movement +2σ, 5778.03, Gamma Flip CE, 5705.0, Implied Movement +σ, 5761.69,  20240926 075045</t>
  </si>
  <si>
    <t xml:space="preserve">SPX: Gamma Flip CE, 5725.0, Put Wall CE, 5720.0, Implied Movement -2σ, 5669.86, Put Wall &amp; Large Gamma 1 &amp; Large Gamma 2 &amp; Gamma Field &amp; Gamma Field CE &amp; Call Wall &amp; Call Wall CE, 5750.0, Gamma Flip, 5685.0, Implied Movement -σ, 5707.61, Key Delta, 5000.0, Put Dominate , 5390.0, Implied Movement +2σ, 5820.88, Implied Movement +σ, 5783.13, Call Dominate , 5770.0,  20240927 073752</t>
  </si>
  <si>
    <t xml:space="preserve">SPX: Put Wall &amp; Large Gamma 1 &amp; Gamma Field &amp; Gamma Field CE &amp; Call Wall &amp; Call Wall CE, 5750.0, Call Dominate , 5775.0, Put Wall CE &amp; Gamma Flip, 5720.0, Implied Movement +2σ, 5798.87, Gamma Flip CE, 5730.0, Implied Movement -2σ, 5677.47, Implied Movement -σ, 5695.25, Put Dominate , 5590.0, Key Delta, 5000.0, Large Gamma 2, 5800.0, Implied Movement +σ, 5781.09,  20240930 072938</t>
  </si>
  <si>
    <t xml:space="preserve">SPX: Gamma Flip CE, 5735.0, Put Dominate , 5390.0, Implied Movement +2σ, 5822.6, Put Wall &amp; Large Gamma 1 &amp; Gamma Field &amp; Gamma Field CE &amp; Call Wall &amp; Call Wall CE, 5750.0, Implied Movement +σ, 5804.99, Large Gamma 2, 5800.0, Gamma Flip, 5695.0, Key Delta, 5000.0, Implied Movement -σ, 5719.97, Implied Movement -2σ, 5702.36, Put Wall CE, 5715.0, Call Dominate , 5815.0,  20241001 072939</t>
  </si>
  <si>
    <t xml:space="preserve">SPX: Put Wall &amp; Key Delta, 5000.0, Gamma Flip CE, 5710.0, Call Wall CE, 5715.0, Implied Movement -2σ, 5640.59, Gamma Flip, 5705.0, Call Wall, 5800.0, Implied Movement +σ, 5756.94, Put Wall CE &amp; Gamma Field &amp; Gamma Field CE, 5700.0, Large Gamma 1, 5600.0, Implied Movement -σ, 5660.56, Large Gamma 2, 5750.0, Call Dominate , 5810.0, Implied Movement +2σ, 5776.91, Put Dominate , 5590.0,  20241002 054800</t>
  </si>
  <si>
    <t xml:space="preserve">SPX: Implied Movement +σ, 5756.9, Put Wall &amp; Large Gamma 1, 5600.0, Call Wall CE, 5745.0, Implied Movement -2σ, 5642.57, Large Gamma 2 &amp; Gamma Field, 5750.0, Gamma Field CE, 5700.0, Gamma Flip CE, 5715.0, Put Wall CE, 5680.0, Implied Movement +2σ, 5776.51, Put Dominate , 5590.0, Gamma Flip, 5695.0, Implied Movement -σ, 5662.18, Call Dominate , 5810.0, Call Wall, 5800.0, Key Delta, 5000.0,  20241003 072940</t>
  </si>
  <si>
    <t xml:space="preserve">SPX: Gamma Flip CE, 5710.0, Call Dominate , 5810.0, Call Wall, 5800.0, Put Wall CE, 5650.0, Implied Movement +σ, 5748.62, Put Dominate , 5590.0, Large Gamma 1, 5600.0, Call Wall CE, 5755.0, Put Wall &amp; Key Delta, 5000.0, Implied Movement +2σ, 5797.3, Large Gamma 2 &amp; Gamma Field &amp; Gamma Field CE, 5750.0, Implied Movement -2σ, 5602.58, Gamma Flip, 5695.0, Implied Movement -σ, 5651.26,  20241004 072936</t>
  </si>
  <si>
    <t xml:space="preserve">SPX: Put Dominate , 5590.0, Large Gamma 2 &amp; Gamma Field, 5750.0, Call Dominate , 5810.0, Large Gamma 1 &amp; Call Wall, 5800.0, Gamma Flip, 5715.0, Gamma Flip CE, 5720.0, Implied Movement -2σ, 5685.87, Implied Movement +σ, 5797.17, Implied Movement +2σ, 5816.27, Call Wall CE, 5780.0, Implied Movement -σ, 5704.96, Put Wall &amp; Key Delta, 5000.0, Put Wall CE &amp; Gamma Field CE, 5700.0,  20241007 072938</t>
  </si>
  <si>
    <t xml:space="preserve">SPX: Put Wall CE, 5675.0, Gamma Field CE, 5700.0, Gamma Flip, 5695.0, Implied Movement -2σ, 5624.82, Large Gamma 1 &amp; Call Wall, 5800.0, Implied Movement +σ, 5746.23, Implied Movement +2σ, 5767.06, Gamma Flip CE, 5710.0, Gamma Field &amp; Call Wall CE, 5750.0, Large Gamma 2, 5600.0, Put Wall &amp; Key Delta, 5000.0, Put Dominate , 5585.0, Call Dominate , 5810.0, Implied Movement -σ, 5645.65,  20241008 072939</t>
  </si>
  <si>
    <t xml:space="preserve">SPX: Implied Movement +2σ, 5814.77, Gamma Field, 5750.0, Key Delta, 5000.0, Gamma Flip &amp; Gamma Flip CE, 5730.0, Put Wall CE &amp; Put Wall, 5720.0, Put Dominate , 5700.0, Implied Movement -2σ, 5687.49, Call Dominate , 5790.0, Large Gamma 2 &amp; Gamma Field CE &amp; Call Wall &amp; Call Wall CE, 5775.0, Implied Movement -σ, 5706.13, Large Gamma 1, 5800.0, Implied Movement +σ, 5796.13,  20241009 072948</t>
  </si>
  <si>
    <t xml:space="preserve">SPX: Implied Movement -σ, 5747.36, Put Wall CE &amp; Put Wall &amp; Large Gamma 2 &amp; Gamma Field CE &amp; Gamma Flip, 5745.0, Call Wall &amp; Call Wall CE, 5825.0, Put Dominate , 5730.0, Call Dominate , 5850.0, Large Gamma 1 &amp; Gamma Field, 5800.0, Key Delta, 5000.0, Gamma Flip CE, 5750.0, Implied Movement +2σ, 5855.23, Implied Movement +σ, 5836.72, Implied Movement -2σ, 5728.85,  20241010 072936</t>
  </si>
  <si>
    <t xml:space="preserve">SPX: Gamma Flip CE, 5760.0, Put Wall CE, 5725.0, Put Dominate , 5475.0, Call Dominate , 5810.0, Implied Movement -σ, 5737.49, Implied Movement +σ, 5822.61, Key Delta, 5000.0, Implied Movement -2σ, 5694.93, Gamma Flip, 5745.0, Implied Movement +2σ, 5865.17, Put Wall &amp; Large Gamma 1 &amp; Large Gamma 2 &amp; Gamma Field &amp; Gamma Field CE &amp; Call Wall &amp; Call Wall CE, 5800.0,  20241011 072941</t>
  </si>
  <si>
    <t xml:space="preserve">SPX: Call Wall CE, 5840.0, Implied Movement +2σ, 5876.26, Key Delta, 5000.0, Call Dominate , 5860.0, Gamma Flip CE, 5795.0, Put Wall CE, 5775.0, Put Dominate , 5490.0, Implied Movement -2σ, 5753.79, Put Wall &amp; Large Gamma 1 &amp; Gamma Field &amp; Gamma Field CE &amp; Call Wall, 5800.0, Large Gamma 2, 5750.0, Implied Movement +σ, 5858.33, Gamma Flip, 5770.0, Implied Movement -σ, 5771.73,  20241014 072938</t>
  </si>
  <si>
    <t xml:space="preserve">SPX: Implied Movement +2σ, 5918.76, Put Dominate , 5815.0, Implied Movement -2σ, 5800.94, Key Delta, 5000.0, Gamma Flip, 5755.0, Put Wall CE, 5835.0, Gamma Field CE &amp; Call Wall CE, 5885.0, Gamma Flip CE, 5855.0, Call Dominate , 5910.0, Implied Movement -σ, 5818.19, Large Gamma 2, 5900.0, Implied Movement +σ, 5901.51, Put Wall &amp; Large Gamma 1 &amp; Gamma Field &amp; Call Wall, 5800.0,  20241015 072943</t>
  </si>
  <si>
    <t xml:space="preserve">SPX: Key Delta, 5000.0, Implied Movement -2σ, 5752.07, Implied Movement +2σ, 5878.45, Put Dominate , 5765.0, Gamma Flip CE, 5825.0, Large Gamma 2 &amp; Gamma Field CE &amp; Call Wall &amp; Call Wall CE, 5845.0, Gamma Flip, 5795.0, Put Wall CE &amp; Put Wall, 5790.0, Implied Movement +σ, 5859.94, Large Gamma 1 &amp; Gamma Field, 5800.0, Call Dominate , 5860.0, Implied Movement -σ, 5770.58,  20241016 072940</t>
  </si>
  <si>
    <t xml:space="preserve">SPX: Key Delta, 5000.0, Put Wall CE &amp; Gamma Flip CE, 5840.0, Gamma Flip, 5755.0, Implied Movement +σ, 5885.75, Call Dominate , 5910.0, Call Wall CE, 5895.0, Gamma Field CE, 5870.0, Put Dominate , 5590.0, Put Wall &amp; Large Gamma 2, 5850.0, Implied Movement -2σ, 5781.28, Implied Movement -σ, 5799.19, Implied Movement +2σ, 5903.66, Large Gamma 1 &amp; Gamma Field &amp; Call Wall, 5900.0,  20241017 072941</t>
  </si>
  <si>
    <t xml:space="preserve">SPX: Put Wall &amp; Large Gamma 1 &amp; Large Gamma 2 &amp; Gamma Field &amp; Gamma Field CE &amp; Call Wall &amp; Call Wall CE, 5850.0, Put Wall CE, 5815.0, Call Dominate , 5865.0, Implied Movement -2σ, 5762.01, Implied Movement +2σ, 5920.93, Gamma Flip CE, 5840.0, Implied Movement -σ, 5801.65, Gamma Flip, 5820.0, Put Dominate , 5735.0, Key Delta, 5000.0, Implied Movement +σ, 5881.29,  20241018 072940</t>
  </si>
  <si>
    <t xml:space="preserve">SPX: Implied Movement -σ, 5822.95, Implied Movement +σ, 5906.39, Key Delta, 5000.0, Gamma Field &amp; Gamma Field CE &amp; Gamma Flip CE, 5850.0, Put Wall &amp; Large Gamma 1, 5750.0, Implied Movement -2σ, 5805.67, Gamma Flip, 5845.0, Call Dominate , 5910.0, Call Wall CE, 5875.0, Put Wall CE, 5835.0, Large Gamma 2 &amp; Call Wall, 6000.0, Put Dominate , 5735.0, Implied Movement +2σ, 5923.67,  20241021 072938</t>
  </si>
  <si>
    <t xml:space="preserve">SPX: Implied Movement -σ, 5810.78, Put Dominate , 5740.0, Gamma Flip, 5845.0, Implied Movement +2σ, 5915.08, Put Wall &amp; Large Gamma 1, 5750.0, Put Wall CE &amp; Gamma Field, 5800.0, Call Wall CE, 5875.0, Implied Movement +σ, 5897.18, Call Dominate , 5910.0, Implied Movement -2σ, 5792.88, Gamma Field CE &amp; Gamma Flip CE, 5850.0, Key Delta, 5000.0, Large Gamma 2 &amp; Call Wall, 6000.0,  20241022 072941</t>
  </si>
  <si>
    <t xml:space="preserve">SPX: Key Delta, 5000.0, Gamma Field &amp; Gamma Field CE &amp; Gamma Flip CE, 5850.0, Call Dominate , 5910.0, Implied Movement -2σ, 5790.88, Implied Movement -σ, 5808.55, Implied Movement +2σ, 5911.52, Large Gamma 2 &amp; Call Wall, 6000.0, Put Dominate , 5800.0, Gamma Flip, 5845.0, Put Wall CE, 5825.0, Call Wall CE, 5870.0, Put Wall &amp; Large Gamma 1, 5750.0, Implied Movement +σ, 5893.85,  20241023 072939</t>
  </si>
  <si>
    <t xml:space="preserve">SPX: Gamma Flip CE, 5805.0, Large Gamma 1 &amp; Gamma Field &amp; Gamma Field CE &amp; Call Wall &amp; Call Wall CE, 5850.0, Put Wall CE &amp; Put Wall &amp; Large Gamma 2, 5750.0, Implied Movement -2σ, 5731.17, Key Delta, 5000.0, Call Dominate , 5910.0, Gamma Flip, 5815.0, Implied Movement +σ, 5844.26, Put Dominate , 5740.0, Implied Movement +2σ, 5863.67, Implied Movement -σ, 5750.58,  20241024 072940</t>
  </si>
  <si>
    <t xml:space="preserve">SPX: Implied Movement -σ, 5764.06, Implied Movement +2σ, 5901.45, Implied Movement -2σ, 5718.27, Call Dominate , 5910.0, Put Wall &amp; Large Gamma 1 &amp; Gamma Field &amp; Gamma Field CE &amp; Call Wall, 5850.0, Call Wall CE, 5820.0, Gamma Flip &amp; Gamma Flip CE, 5830.0, Large Gamma 2, 5800.0, Put Dominate , 5740.0, Key Delta, 5000.0, Implied Movement +σ, 5855.66, Put Wall CE, 5780.0,  20241025 072936</t>
  </si>
  <si>
    <t xml:space="preserve">SPX: Key Delta, 5000.0, Put Wall CE &amp; Gamma Flip, 5820.0, Implied Movement +σ, 5858.51, Implied Movement -2σ, 5736.86, Call Wall, 6000.0, Implied Movement +2σ, 5879.38, Implied Movement -σ, 5757.73, Large Gamma 2, 5800.0, Put Dominate , 5740.0, Put Wall &amp; Large Gamma 1, 5750.0, Gamma Field &amp; Gamma Field CE &amp; Call Wall CE, 5850.0, Gamma Flip CE, 5825.0, Call Dominate , 5910.0,  20241028 082936</t>
  </si>
  <si>
    <t xml:space="preserve">SPX: Implied Movement -σ, 5773.26, Gamma Field, 5800.0, Gamma Flip CE, 5835.0, Put Wall CE &amp; Gamma Flip, 5820.0, Put Dominate , 5780.0, Call Dominate , 6010.0, Gamma Field CE &amp; Call Wall CE, 5850.0, Implied Movement +σ, 5873.78, Implied Movement -2σ, 5752.44, Key Delta, 5000.0, Put Wall &amp; Large Gamma 1, 5750.0, Implied Movement +2σ, 5894.6, Large Gamma 2 &amp; Call Wall, 6000.0,  20241029 082941</t>
  </si>
  <si>
    <t xml:space="preserve">SPX: Call Wall, 5835.0, Put Wall CE &amp; Large Gamma 2, 5800.0, Put Wall &amp; Large Gamma 1, 5750.0, Implied Movement -σ, 5781.91, Implied Movement +σ, 5883.93, Implied Movement -2σ, 5760.78, Call Dominate , 6010.0, Call Wall CE, 5875.0, Gamma Field &amp; Gamma Field CE, 5850.0, Implied Movement +2σ, 5905.06, Key Delta, 5000.0, Put Dominate , 5690.0, Gamma Flip &amp; Gamma Flip CE, 5820.0,  20241030 082940</t>
  </si>
  <si>
    <t xml:space="preserve">SPX: Call Wall, 6000.0, Key Delta, 5000.0, Call Wall CE, 5835.0, Put Wall CE &amp; Put Wall &amp; Large Gamma 1 &amp; Gamma Field &amp; Gamma Field CE, 5800.0, Put Dominate , 5690.0, Implied Movement -σ, 5759.96, Implied Movement -2σ, 5737.71, Implied Movement +2σ, 5889.63, Implied Movement +σ, 5867.38, Gamma Flip &amp; Gamma Flip CE, 5820.0, Large Gamma 2, 5750.0, Call Dominate , 6010.0,  20241031 082943</t>
  </si>
  <si>
    <t xml:space="preserve">SPX: Put Wall &amp; Large Gamma 1 &amp; Call Wall, 5750.0, Gamma Flip CE, 5760.0, Gamma Flip, 5795.0, Implied Movement -2σ, 5589.28, Put Dominate , 5690.0, Implied Movement +2σ, 5821.62, Put Wall CE &amp; Gamma Field CE, 5700.0, Call Dominate , 6010.0, Large Gamma 2 &amp; Gamma Field &amp; Call Wall CE, 5800.0, Implied Movement -σ, 5647.36, Key Delta, 5000.0, Implied Movement +σ, 5763.54,  20241101 082941</t>
  </si>
  <si>
    <t xml:space="preserve">SPX: Key Delta, 5000.0, Large Gamma 2 &amp; Gamma Field, 5800.0, Implied Movement -2σ, 5642.5, Gamma Flip &amp; Gamma Flip CE, 5760.0, Implied Movement -σ, 5667.78, Call Wall CE, 5765.0, Put Wall &amp; Large Gamma 1 &amp; Gamma Field CE &amp; Call Wall, 5750.0, Put Wall CE, 5700.0, Call Dominate , 6010.0, Implied Movement +σ, 5789.82, Implied Movement +2σ, 5815.1, Put Dominate , 5690.0,  20241104 072942</t>
  </si>
  <si>
    <t xml:space="preserve">SPX: Key Delta, 5000.0, Implied Movement +2σ, 5799.47, Put Dominate , 5590.0, Put Wall &amp; Large Gamma 1 &amp; Gamma Field CE &amp; Gamma Flip &amp; Call Wall, 5750.0, Call Wall CE, 5755.0, Implied Movement -σ, 5651.33, Gamma Flip CE, 5730.0, Put Wall CE, 5700.0, Implied Movement +σ, 5774.05, Implied Movement -2σ, 5625.91, Call Dominate , 6010.0, Large Gamma 2 &amp; Gamma Field, 5800.0,  20241105 072937</t>
  </si>
  <si>
    <t xml:space="preserve">SPX: Gamma Field CE &amp; Call Wall CE, 5900.0, Put Dominate , 5590.0, Implied Movement +2σ, 5852.63, Gamma Flip, 5765.0, Implied Movement -σ, 5733.35, Put Wall CE, 5690.0, Call Dominate , 6010.0, Large Gamma 1 &amp; Large Gamma 2 &amp; Gamma Field &amp; Call Wall, 6000.0, Put Wall, 5750.0, Gamma Flip CE, 5760.0, Key Delta, 5000.0, Implied Movement +σ, 5832.17, Implied Movement -2σ, 5712.89,  20241106 072939</t>
  </si>
  <si>
    <t xml:space="preserve">SPX: Call Dominate , 6010.0, Put Wall CE, 5885.0, Gamma Flip, 5820.0, Gamma Field CE &amp; Call Wall CE, 5970.0, Put Dominate , 5590.0, Key Delta, 5000.0, Implied Movement -2σ, 5871.85, Implied Movement -σ, 5888.6, Put Wall &amp; Large Gamma 1 &amp; Large Gamma 2 &amp; Gamma Field &amp; Call Wall, 6000.0, Implied Movement +2σ, 5986.23, Gamma Flip CE, 5910.0, Implied Movement +σ, 5969.48,  20241107 072951</t>
  </si>
  <si>
    <t xml:space="preserve">SPX: Gamma Flip CE, 5955.0, Implied Movement -σ, 5936.91, Put Wall &amp; Large Gamma 1 &amp; Large Gamma 2 &amp; Gamma Field &amp; Gamma Field CE &amp; Call Wall &amp; Call Wall CE, 6000.0, Gamma Flip, 5835.0, Put Dominate , 5935.0, Put Wall CE, 5945.0, Call Dominate , 6025.0, Key Delta, 5000.0, Implied Movement -2σ, 5900.72, Implied Movement +2σ, 6045.49, Implied Movement +σ, 6009.29,  20241108 072937</t>
  </si>
  <si>
    <t xml:space="preserve">SPX: Key Delta, 5000.0, Put Wall CE &amp; Gamma Flip CE, 5995.0, Call Dominate , 6010.0, Implied Movement -2σ, 5940.26, Implied Movement +σ, 6034.63, Call Wall CE, 6030.0, Put Wall &amp; Large Gamma 1 &amp; Large Gamma 2 &amp; Gamma Field &amp; Gamma Field CE &amp; Call Wall, 6000.0, Gamma Flip, 5845.0, Put Dominate , 5690.0, Implied Movement +2σ, 6050.82, Implied Movement -σ, 5956.45,  20241111 072940</t>
  </si>
  <si>
    <t xml:space="preserve">SPX: Call Wall CE, 6020.0, Implied Movement +2σ, 6055.06, Gamma Flip CE, 5995.0, Put Wall &amp; Large Gamma 1 &amp; Large Gamma 2 &amp; Gamma Field &amp; Gamma Field CE &amp; Call Wall, 6000.0, Put Dominate , 5970.0, Implied Movement -2σ, 5947.64, Implied Movement -σ, 5963.37, Implied Movement +σ, 6039.33, Put Wall CE, 5980.0, Call Dominate , 6025.0, Key Delta, 5000.0, Gamma Flip, 5895.0,  20241112 072940</t>
  </si>
  <si>
    <t xml:space="preserve">SPX: Implied Movement +σ, 6022.99, Implied Movement -2σ, 5928.84, Put Wall &amp; Large Gamma 1 &amp; Large Gamma 2 &amp; Gamma Field &amp; Gamma Field CE &amp; Call Wall &amp; Call Wall CE, 6000.0, Put Wall CE, 5900.0, Call Dominate , 6025.0, Gamma Flip CE, 5995.0, Key Delta, 5000.0, Implied Movement -σ, 5944.99, Gamma Flip, 5945.0, Implied Movement +2σ, 6039.14, Put Dominate , 5935.0,  20241113 072941</t>
  </si>
  <si>
    <t xml:space="preserve">SPX: Call Wall CE, 6010.0, Gamma Flip, 5945.0, Call Dominate , 6025.0, Implied Movement -σ, 5949.26, Implied Movement +σ, 6021.5, Implied Movement -2σ, 5934.53, Put Dominate , 5935.0, Put Wall &amp; Large Gamma 1 &amp; Large Gamma 2 &amp; Gamma Field &amp; Gamma Field CE &amp; Call Wall, 6000.0, Put Wall CE, 5960.0, Gamma Flip CE, 5995.0, Implied Movement +2σ, 6036.23, Key Delta, 5000.0,  20241114 072941</t>
  </si>
  <si>
    <t xml:space="preserve">SPX: Implied Movement +2σ, 5930.58, Call Dominate , 6010.0, Put Wall CE, 5860.0, Large Gamma 2 &amp; Gamma Field CE, 5900.0, Put Dominate , 5850.0, Call Wall CE, 5905.0, Put Wall &amp; Large Gamma 1 &amp; Gamma Field &amp; Call Wall, 6000.0, Key Delta, 5000.0, Gamma Flip &amp; Gamma Flip CE, 5895.0, Implied Movement -σ, 5828.22, Implied Movement +σ, 5913.02, Implied Movement -2σ, 5810.66,</t>
  </si>
  <si>
    <t xml:space="preserve">SPX: Call Wall CE, 5920.0, Implied Movement -σ, 5851.88, Implied Movement +σ, 5935.36, Put Wall &amp; Large Gamma 1 &amp; Gamma Field &amp; Call Wall, 6000.0, Gamma Flip &amp; Gamma Flip CE, 5895.0, Key Delta, 5000.0, Put Dominate , 5770.0, Implied Movement -2σ, 5834.59, Large Gamma 2 &amp; Gamma Field CE, 5900.0, Call Dominate , 6010.0, Implied Movement +2σ, 5952.65, Put Wall CE, 5870.0, </t>
  </si>
  <si>
    <t xml:space="preserve">SPX: Put Wall &amp; Large Gamma 1 &amp; Gamma Field &amp; Call Wall, 6000.0, Gamma Flip, 5915.0, Call Dominate , 6010.0, Gamma Flip CE, 5880.0, Put Dominate , 5790.0, Implied Movement -2σ, 5857.92, Implied Movement +σ, 5958.96, Key Delta, 5000.0, Implied Movement -σ, 5875.26, Gamma Field CE &amp; Call Wall CE, 5950.0, Large Gamma 2, 5900.0, Implied Movement +2σ, 5976.3, Put Wall CE, 5865.0, </t>
  </si>
  <si>
    <t xml:space="preserve">SPX: Put Dominate , 5790.0, Key Delta, 5000.0, Implied Movement -σ, 5875.62, Gamma Field CE, 5950.0, Implied Movement +σ, 5958.34, Call Wall CE, 5975.0, Call Dominate , 6010.0, Put Wall &amp; Large Gamma 1 &amp; Gamma Field &amp; Call Wall, 6000.0, Put Wall CE, 5850.0, Large Gamma 2 &amp; Gamma Flip &amp; Gamma Flip CE, 5900.0, Implied Movement +2σ, 5975.47, Implied Movement -2σ, 5858.49, </t>
  </si>
  <si>
    <t xml:space="preserve">SPX: Implied Movement +σ, 6007.16, Put Wall CE, 5920.0, Large Gamma 2, 5900.0, Call Dominate , 6010.0, Key Delta, 5000.0, Implied Movement -2σ, 5915.86, Put Wall &amp; Large Gamma 1 &amp; Gamma Field &amp; Gamma Field CE &amp; Call Wall &amp; Call Wall CE, 6000.0, Put Dominate , 5690.0, Gamma Flip CE, 5965.0, Gamma Flip, 5935.0, Implied Movement +2σ, 6022.82, Implied Movement -σ, 5931.52, </t>
  </si>
  <si>
    <t xml:space="preserve">SPX: Put Wall CE &amp; Large Gamma 2, 5900.0, Call Wall CE, 5975.0, Put Wall &amp; Large Gamma 1 &amp; Gamma Field &amp; Call Wall, 6000.0, Key Delta, 5000.0, Gamma Flip &amp; Gamma Flip CE, 5920.0, Put Dominate , 5790.0, Gamma Field CE, 5950.0, Implied Movement +σ, 5989.2, Implied Movement -2σ, 5867.72, Call Dominate , 6010.0, Implied Movement +2σ, 6029.7, Implied Movement -σ, 5908.22, </t>
  </si>
  <si>
    <t xml:space="preserve">SPX: Implied Movement +2σ, 6079.48, Implied Movement -σ, 5988.23, Gamma Flip, 5985.0, Put Wall CE, 5995.0, Put Wall &amp; Large Gamma 1 &amp; Gamma Field &amp; Gamma Field CE &amp; Gamma Flip CE &amp; Call Wall, 6000.0, Call Wall CE, 6020.0, Key Delta, 5000.0, Large Gamma 2, 5900.0, Call Dominate , 6075.0, Implied Movement -2σ, 5963.78, Implied Movement +σ, 6055.03, </t>
  </si>
  <si>
    <t xml:space="preserve">SPX: Put Dominate , 5930.0, Call Dominate , 6125.0, Implied Movement -σ, 5965.17, Implied Movement -2σ, 5931.6, Implied Movement +σ, 6032.31, Gamma Flip &amp; Gamma Flip CE, 5985.0, Put Wall &amp; Large Gamma 1 &amp; Large Gamma 2 &amp; Gamma Field &amp; Gamma Field CE &amp; Call Wall, 6000.0, Put Wall CE, 5975.0, Implied Movement +2σ, 6065.88, Key Delta, 5000.0, Call Wall CE, 6030.0, </t>
  </si>
  <si>
    <t xml:space="preserve">SPX: Gamma Field CE, 6035.0, Put Wall &amp; Large Gamma 1 &amp; Gamma Field &amp; Call Wall, 6000.0, Implied Movement +2σ, 6081.14, Call Wall CE, 6055.0, Implied Movement -2σ, 5983.62, Call Dominate , 6125.0, Implied Movement +σ, 6066.86, Put Dominate , 5990.0, Key Delta, 5000.0, Implied Movement -σ, 5997.9, Gamma Flip CE, 6025.0, Put Wall CE, 6010.0, Large Gamma 2, 5900.0, Gamma Flip, 5995.0, </t>
  </si>
  <si>
    <t xml:space="preserve">SPX: Put Wall &amp; Large Gamma 1 &amp; Gamma Field &amp; Gamma Field CE &amp; Call Wall &amp; Call Wall CE, 6000.0, Large Gamma 2, 5900.0, Implied Movement +2σ, 6037.62, Key Delta, 5000.0, Put Dominate , 5690.0, Put Wall CE, 5960.0, Gamma Flip, 5965.0, Call Dominate , 6010.0, Implied Movement -σ, 5951.84, Gamma Flip CE, 5980.0, Implied Movement +σ, 6022.9, Implied Movement -2σ, 5937.12, </t>
  </si>
  <si>
    <t xml:space="preserve">SPX: Put Wall &amp; Large Gamma 1 &amp; Gamma Field &amp; Call Wall, 6000.0, Put Dominate , 5790.0, Large Gamma 2, 5900.0, Implied Movement -2σ, 6002.54, Put Wall CE &amp; Gamma Flip, 6030.0, Gamma Flip CE, 6045.0, Gamma Field CE &amp; Call Wall CE, 6070.0, Implied Movement +2σ, 6097.22, Call Dominate , 6125.0, Implied Movement +σ, 6083.36, Implied Movement -σ, 6016.4, Key Delta, 5000.0, </t>
  </si>
  <si>
    <t xml:space="preserve">SPX: Large Gamma 2, 5900.0, Put Wall CE, 6060.0, Gamma Flip, 6045.0, Gamma Field CE, 6080.0, Implied Movement +σ, 6118.46, Implied Movement -σ, 6054.52, Put Wall &amp; Large Gamma 1 &amp; Gamma Field &amp; Call Wall, 6000.0, Call Wall CE, 6100.0, Implied Movement -2σ, 6041.28, Call Dominate , 6125.0, Implied Movement +2σ, 6131.7, Key Delta, 5000.0, Gamma Flip CE, 6070.0, </t>
  </si>
  <si>
    <t xml:space="preserve">SPX: Gamma Flip CE, 6040.0, Large Gamma 2, 5900.0, Call Dominate , 6125.0, Implied Movement +σ, 6080.46, Put Dominate , 5785.0, Put Wall CE &amp; Gamma Flip, 6035.0, Gamma Field CE, 6050.0, Key Delta, 5000.0, Implied Movement +2σ, 6094.26, Implied Movement -2σ, 6000.04, Implied Movement -σ, 6013.84, Call Wall CE, 6065.0, Put Wall &amp; Large Gamma 1 &amp; Gamma Field &amp; Call Wall, 6000.0, </t>
  </si>
  <si>
    <t xml:space="preserve">SPX: Gamma Flip, 6045.0, Put Dominate , 5935.0, Implied Movement -σ, 6042.71, Gamma Flip CE, 6055.0, Implied Movement +2σ, 6139.9, Put Wall CE, 6020.0, Large Gamma 2, 5900.0, Implied Movement +σ, 6107.51, Call Dominate , 6125.0, Key Delta, 5000.0, Implied Movement -2σ, 6010.32, Put Wall &amp; Large Gamma 1 &amp; Gamma Field &amp; Call Wall, 6000.0, Gamma Field CE &amp; Call Wall CE, 6100.0, </t>
  </si>
  <si>
    <t xml:space="preserve">SPX: Call Wall CE, 6075.0, Gamma Field CE, 6055.0, Implied Movement -σ, 6018.61, Gamma Flip CE, 6070.0, Key Delta, 5000.0, Implied Movement +σ, 6087.09, Implied Movement +2σ, 6101.27, Put Wall &amp; Large Gamma 1 &amp; Gamma Field &amp; Call Wall &amp; Put Dominate , 6000.0, Call Dominate , 6110.0, Large Gamma 2, 6100.0, Implied Movement -2σ, 6004.43, Put Wall CE, 6025.0, Gamma Flip, 6045.0, </t>
  </si>
  <si>
    <t xml:space="preserve">SPX: Gamma Flip CE, 6075.0, Call Dominate , 6110.0, Implied Movement -2σ, 6045.37, Put Wall CE &amp; Gamma Flip, 6070.0, Gamma Field CE, 6085.0, Implied Movement -σ, 6058.52, Put Dominate , 6040.0, Key Delta, 5000.0, Implied Movement +σ, 6122.02, Put Wall &amp; Large Gamma 1 &amp; Gamma Field &amp; Call Wall, 6000.0, Implied Movement +2σ, 6135.17, Large Gamma 2 &amp; Call Wall CE, 6100.0, </t>
  </si>
  <si>
    <t xml:space="preserve">SPX: Implied Movement +2σ, 6084.56, Gamma Flip CE, 6060.0, Implied Movement -σ, 5999.8, Implied Movement -2σ, 5985.26, Key Delta, 5000.0, Implied Movement +σ, 6070.02, Gamma Flip, 6045.0, Put Dominate , 5990.0, Put Wall CE &amp; Put Wall &amp; Large Gamma 1 &amp; Gamma Field &amp; Call Wall, 6000.0, Gamma Field CE, 6050.0, Large Gamma 2 &amp; Call Wall CE, 6100.0, Call Dominate , 6110.0, </t>
  </si>
  <si>
    <t xml:space="preserve">SPX: Implied Movement +2σ, 6115.74, Gamma Flip, 6045.0, Gamma Field CE &amp; Call Wall CE, 6075.0, Key Delta, 5000.0, Put Wall &amp; Large Gamma 1 &amp; Gamma Field &amp; Call Wall, 6000.0, Put Dominate , 6010.0, Gamma Flip CE, 6065.0, Put Wall CE, 6030.0, Implied Movement -σ, 6019.01, Implied Movement +σ, 6083.49, Call Dominate , 6125.0, Implied Movement -2σ, 5986.76, Large Gamma 2, 6100.0, </t>
  </si>
  <si>
    <t xml:space="preserve">SPX: Put Wall CE, 6040.0, Call Dominate , 6115.0, Implied Movement -σ, 6016.59, Gamma Flip CE, 6055.0, Put Dominate , 6030.0, Gamma Field CE, 6050.0, Call Wall CE, 6075.0, Gamma Flip, 6045.0, Implied Movement +σ, 6085.59, Large Gamma 2, 6100.0, Key Delta, 5000.0, Implied Movement +2σ, 6099.88, Put Wall &amp; Large Gamma 1 &amp; Gamma Field &amp; Call Wall, 6000.0, Implied Movement -2σ, 6002.3, </t>
  </si>
  <si>
    <t xml:space="preserve">SPX: Gamma Flip CE, 6085.0, Implied Movement -σ, 6052.77, Call Dominate , 6125.0, Implied Movement +σ, 6115.61, Put Wall CE &amp; Gamma Field CE, 6060.0, Put Wall &amp; Large Gamma 1 &amp; Gamma Field &amp; Call Wall, 6000.0, Gamma Flip, 6070.0, Key Delta, 5000.0, Large Gamma 2 &amp; Call Wall CE, 6100.0, Implied Movement +2σ, 6128.62, Put Dominate , 6040.0, Implied Movement -2σ, 6039.76, </t>
  </si>
  <si>
    <t xml:space="preserve">SPX: Put Wall CE &amp; Put Wall &amp; Large Gamma 1 &amp; Gamma Field &amp; Call Wall, 6000.0, Call Dominate , 6115.0, Implied Movement +σ, 6088.75, Implied Movement -σ, 6012.47, Key Delta, 5000.0, Gamma Flip CE, 6060.0, Implied Movement +2σ, 6104.54, Large Gamma 2 &amp; Gamma Field CE &amp; Call Wall CE, 6100.0, Gamma Flip, 6040.0, Implied Movement -2σ, 5996.68, Put Dominate , 5890.0, </t>
  </si>
  <si>
    <t xml:space="preserve">SPX: Call Dominate , 6065.0, Put Wall CE &amp; Put Wall &amp; Large Gamma 1 &amp; Gamma Field CE &amp; Call Wall, 5900.0, Key Delta, 5000.0, Implied Movement -2σ, 5798.79, Put Dominate , 5890.0, Large Gamma 2 &amp; Gamma Field, 6000.0, Gamma Flip &amp; Gamma Flip CE, 6040.0, Implied Movement +σ, 5924.47, Implied Movement +2σ, 5945.54, Implied Movement -σ, 5819.85, Call Wall CE, 5930.0, </t>
  </si>
  <si>
    <t xml:space="preserve">SPX: Implied Movement -σ, 6038.76, Put Wall &amp; Large Gamma 1 &amp; Gamma Field &amp; Call Wall, 6000.0, Implied Movement +σ, 6109.4, Implied Movement +2σ, 6124.02, Gamma Flip &amp; Gamma Flip CE, 6070.0, Implied Movement -2σ, 6024.14, Call Dominate , 6115.0, Put Wall CE, 6040.0, Large Gamma 2 &amp; Call Wall CE, 6100.0, Put Dominate , 6030.0, Gamma Field CE, 6050.0, Key Delta, 5000.0, </t>
  </si>
  <si>
    <t xml:space="preserve">SPX: Gamma Flip &amp; Gamma Flip CE, 5970.0, Implied Movement +2σ, 5998.0, Put Wall &amp; Large Gamma 1 &amp; Gamma Field, 6000.0, Call Wall CE, 5975.0, Put Dominate , 5875.0, Key Delta, 5000.0, Implied Movement +σ, 5978.33, Put Wall CE &amp; Gamma Field CE, 5915.0, Implied Movement -σ, 5883.37, Implied Movement -2σ, 5863.7, Call Dominate , 6065.0, Large Gamma 2 &amp; Call Wall, 6055.0, </t>
  </si>
  <si>
    <t xml:space="preserve">SPX: Implied Movement -2σ, 5744.85, Implied Movement +2σ, 5989.31, Call Dominate , 6210.0, Implied Movement -σ, 5805.98, Call Wall, 5900.0, Put Dominate , 5790.0, Key Delta, 5000.0, Put Wall CE &amp; Put Wall &amp; Large Gamma 1 &amp; Gamma Field &amp; Gamma Field CE, 5800.0, Implied Movement +σ, 5928.18, Call Wall CE, 5500.0, Gamma Flip CE, 5975.0, Large Gamma 2, 5750.0, Gamma Flip, 6010.0, </t>
  </si>
  <si>
    <t xml:space="preserve">SPX: Implied Movement +2σ, 6090.23, Implied Movement -2σ, 5989.85, Key Delta, 5000.0, Put Wall CE, 5980.0, Implied Movement +σ, 6075.53, Call Dominate , 6075.0, Put Dominate , 5885.0, Gamma Flip CE, 6005.0, Gamma Field CE &amp; Call Wall CE, 6050.0, Implied Movement -σ, 6004.55, Large Gamma 1 &amp; Call Wall, 6055.0, Put Wall &amp; Large Gamma 2 &amp; Gamma Field, 6000.0, Gamma Flip, 5990.0, </t>
  </si>
  <si>
    <t xml:space="preserve">SPX: Call Wall CE, 6050.0, Implied Movement -σ, 6002.71, Key Delta, 5000.0, Gamma Flip CE, 6030.0, Put Wall CE &amp; Put Wall &amp; Large Gamma 2 &amp; Gamma Field &amp; Gamma Field CE, 6000.0, Implied Movement -2σ, 5967.82, Implied Movement +σ, 6072.47, Gamma Flip, 6010.0, Call Dominate , 6075.0, Large Gamma 1 &amp; Call Wall, 6055.0, Implied Movement +2σ, 6107.36, Put Dominate , 5885.0, </t>
  </si>
  <si>
    <t xml:space="preserve">SPX: Implied Movement +2σ, 6030.99, Put Wall CE, 5925.0, Put Dominate , 5890.0, Gamma Flip, 5990.0, Large Gamma 2, 6050.0, Implied Movement -σ, 5928.31, Implied Movement -2σ, 5910.69, Call Dominate , 6075.0, Gamma Flip CE, 5975.0, Put Wall &amp; Large Gamma 1 &amp; Gamma Field &amp; Gamma Field CE &amp; Call Wall, 6000.0, Key Delta, 5000.0, Implied Movement +σ, 6013.37, Call Wall CE, 6010.0, </t>
  </si>
  <si>
    <t xml:space="preserve">SPX: Put Wall CE &amp; Gamma Flip &amp; Gamma Flip CE, 5950.0, Implied Movement -2σ, 5903.15, Implied Movement +2σ, 6044.99, Key Delta, 5000.0, Implied Movement +σ, 6015.01, Put Wall &amp; Large Gamma 1 &amp; Gamma Field &amp; Gamma Field CE, 6000.0, Call Dominate , 6065.0, Large Gamma 2 &amp; Call Wall, 6055.0, Implied Movement -σ, 5933.13, Put Dominate , 5885.0, Call Wall CE, 5995.0, </t>
  </si>
  <si>
    <t xml:space="preserve">SPX: Put Dominate , 5890.0, Put Wall CE, 5910.0, Large Gamma 2, 6050.0, Implied Movement +σ, 5986.97, Put Wall &amp; Large Gamma 1 &amp; Gamma Field &amp; Gamma Field CE &amp; Call Wall &amp; Call Wall CE, 6000.0, Implied Movement -σ, 5897.97, Implied Movement +2σ, 6005.41, Key Delta, 5000.0, Gamma Flip &amp; Gamma Flip CE, 5940.0, Call Dominate , 6010.0, Implied Movement -2σ, 5879.53, </t>
  </si>
  <si>
    <t xml:space="preserve">SPX: Put Wall &amp; Large Gamma 1 &amp; Gamma Field &amp; Call Wall, 6000.0, Key Delta, 5000.0, Call Wall CE, 5980.0, Implied Movement -2σ, 5816.24, Call Dominate , 6110.0, Gamma Field CE &amp; Gamma Flip, 5950.0, Large Gamma 2, 6050.0, Implied Movement +σ, 5927.87, Implied Movement +2σ, 5947.02, Put Wall CE, 5915.0, Put Dominate , 5890.0, Implied Movement -σ, 5835.39, Gamma Flip CE, 5920.0, </t>
  </si>
  <si>
    <t xml:space="preserve">SPX: Implied Movement -2σ, 5777.02, Call Wall CE, 5915.0, Put Wall &amp; Large Gamma 1 &amp; Gamma Field &amp; Call Wall, 6000.0, Put Wall CE, 5820.0, Put Dominate , 5790.0, Gamma Flip, 5950.0, Call Dominate , 6175.0, Key Delta, 5000.0, Implied Movement -σ, 5822.78, Implied Movement +2σ, 5960.08, Implied Movement +σ, 5914.32, Large Gamma 2 &amp; Gamma Field CE &amp; Gamma Flip CE, 5900.0, </t>
  </si>
  <si>
    <t xml:space="preserve">SPX: Large Gamma 2 &amp; Gamma Field CE, 5950.0, Call Dominate , 6075.0, Key Delta, 5000.0, Put Wall CE, 5860.0, Implied Movement -2σ, 5829.65, Put Wall &amp; Large Gamma 1 &amp; Gamma Field &amp; Call Wall, 6000.0, Put Dominate , 5890.0, Gamma Flip &amp; Gamma Flip CE, 5945.0, Implied Movement -σ, 5862.32, Implied Movement +σ, 5951.56, Implied Movement +2σ, 5984.23, Call Wall CE, 6055.0, </t>
  </si>
  <si>
    <t xml:space="preserve">SPX: Put Wall CE, 5945.0, Gamma Flip CE, 5970.0, Implied Movement +2σ, 6034.65, Large Gamma 2, 6050.0, Implied Movement +σ, 6017.29, Implied Movement -2σ, 5916.11, Put Dominate , 5890.0, Gamma Field CE &amp; Call Wall CE, 6005.0, Key Delta, 5000.0, Implied Movement -σ, 5933.47, Put Wall &amp; Large Gamma 1 &amp; Gamma Field &amp; Call Wall, 6000.0, Call Dominate , 6025.0, Gamma Flip, 5975.0, </t>
  </si>
  <si>
    <t xml:space="preserve">SPX: Call Dominate , 5970.0, Call Wall CE, 5945.0, Implied Movement +2σ, 5976.58, Put Wall CE &amp; Put Wall &amp; Large Gamma 2 &amp; Gamma Field CE, 5870.0, Key Delta, 5000.0, Implied Movement -σ, 5861.27, Put Dominate , 5850.0, Implied Movement +σ, 5956.79, Implied Movement -2σ, 5841.48, Gamma Flip &amp; Gamma Flip CE, 5940.0, Large Gamma 1 &amp; Gamma Field &amp; Call Wall, 6000.0, </t>
  </si>
  <si>
    <t xml:space="preserve">SPX: Put Wall &amp; Large Gamma 1 &amp; Gamma Field &amp; Call Wall, 6000.0, Call Wall CE, 5920.0, Put Wall CE &amp; Large Gamma 2 &amp; Gamma Field CE, 5900.0, Implied Movement +σ, 5960.78, Implied Movement -σ, 5875.72, Key Delta, 5000.0, Gamma Flip, 5955.0, Gamma Flip CE, 5910.0, Call Dominate , 6210.0, Implied Movement +2σ, 5978.39, Implied Movement -2σ, 5858.11, Put Dominate , 5890.0, </t>
  </si>
  <si>
    <t xml:space="preserve">SPX: Put Wall CE, 5800.0, Put Dominate , 5890.0, Implied Movement +2σ, 6014.83, Gamma Flip CE, 5935.0, Call Wall CE, 5960.0, Implied Movement -2σ, 5821.67, Large Gamma 2 &amp; Gamma Field CE, 5900.0, Implied Movement -σ, 5869.96, Gamma Flip, 5955.0, Key Delta, 5000.0, Put Wall &amp; Large Gamma 1 &amp; Gamma Field &amp; Call Wall, 6000.0, Implied Movement +σ, 5966.54, Call Dominate , 6210.0, </t>
  </si>
  <si>
    <t xml:space="preserve">SPX: Put Dominate , 5790.0, Call Dominate , 6175.0, Gamma Flip CE, 5830.0, Large Gamma 1 &amp; Gamma Field &amp; Call Wall, 6000.0, Call Wall CE, 5840.0, Implied Movement +2σ, 5910.7, Put Wall CE, 5800.0, Implied Movement -σ, 5783.56, Implied Movement -2σ, 5761.74, Key Delta, 5000.0, Implied Movement +σ, 5888.88, Put Wall &amp; Large Gamma 2 &amp; Gamma Field CE &amp; Gamma Flip, 5900.0, </t>
  </si>
  <si>
    <t xml:space="preserve">SPX: Put Wall &amp; Large Gamma 2, 5900.0, Call Dominate , 6175.0, Key Delta, 5000.0, Implied Movement -2σ, 5751.39, Implied Movement +2σ, 5902.69, Gamma Flip, 5925.0, Large Gamma 1 &amp; Gamma Field &amp; Call Wall, 6000.0, Call Wall CE, 5840.0, Put Dominate , 5785.0, Put Wall CE &amp; Gamma Field CE, 5770.0, Gamma Flip CE, 5835.0, Implied Movement +σ, 5880.53, Implied Movement -σ, 5773.55, </t>
  </si>
  <si>
    <t xml:space="preserve">SPX: Put Wall &amp; Large Gamma 1 &amp; Gamma Field &amp; Call Wall &amp; Call Wall CE, 6000.0, Call Dominate , 6010.0, Implied Movement -2σ, 5889.65, Put Wall CE &amp; Gamma Field CE, 5900.0, Implied Movement -σ, 5907.35, Key Delta, 5000.0, Implied Movement +2σ, 6010.17, Large Gamma 2, 5950.0, Put Dominate , 5890.0, Gamma Flip &amp; Gamma Flip CE, 5930.0, Implied Movement +σ, 5992.47, </t>
  </si>
  <si>
    <t xml:space="preserve">SPX: Call Dominate , 6010.0, Put Wall CE &amp; Put Wall &amp; Large Gamma 1 &amp; Gamma Field &amp; Gamma Field CE &amp; Gamma Flip CE &amp; Call Wall, 5950.0, Implied Movement +2σ, 6028.81, Implied Movement +σ, 5978.11, Implied Movement -2σ, 5845.87, Key Delta, 5000.0, Large Gamma 2 &amp; Call Wall CE, 6000.0, Put Dominate , 5890.0, Implied Movement -σ, 5896.57, Gamma Flip, 5930.0, </t>
  </si>
  <si>
    <t xml:space="preserve">SPX: Implied Movement +σ, 5978.12, Implied Movement +2σ, 6028.82, Key Delta, 5000.0, Implied Movement -2σ, 5845.85, Gamma Flip, 5930.0, Put Wall CE &amp; Put Wall &amp; Large Gamma 1 &amp; Gamma Field &amp; Gamma Field CE &amp; Gamma Flip CE &amp; Call Wall, 5950.0, Large Gamma 2 &amp; Call Wall CE, 6000.0, Implied Movement -σ, 5896.56, Put Dominate , 5890.0, Call Dominate , 6010.0, </t>
  </si>
  <si>
    <t xml:space="preserve">SPX: Implied Movement +2σ, 6060.15, Gamma Flip, 5975.0, Call Dominate , 6110.0, Call Wall CE, 6050.0, Implied Movement -σ, 5951.77, Put Dominate , 5790.0, Put Wall &amp; Large Gamma 1 &amp; Large Gamma 2 &amp; Gamma Field &amp; Gamma Field CE &amp; Call Wall, 6000.0, Implied Movement +σ, 6041.55, Implied Movement -2σ, 5933.17, Put Wall CE, 5950.0, Key Delta, 5000.0, Gamma Flip CE, 5970.0, </t>
  </si>
  <si>
    <t xml:space="preserve">SPX: Key Delta, 5000.0, Call Dominate , 6090.0, Implied Movement +2σ, 6105.97, Implied Movement +σ, 6089.36, Put Dominate , 5790.0, Implied Movement -σ, 6009.12, Put Wall &amp; Large Gamma 1 &amp; Gamma Field, 6000.0, Implied Movement -2σ, 5992.51, Put Wall CE &amp; Gamma Flip &amp; Gamma Flip CE, 6020.0, Large Gamma 2 &amp; Gamma Field CE &amp; Call Wall &amp; Call Wall CE, 6075.0, </t>
  </si>
  <si>
    <t xml:space="preserve">SPX: Call Dominate , 6125.0, Gamma Field, 6000.0, Put Wall CE &amp; Put Wall &amp; Large Gamma 1 &amp; Gamma Field CE, 6060.0, Call Wall &amp; Call Wall CE, 6110.0, Implied Movement -σ, 6048.7, Implied Movement +2σ, 6139.65, Implied Movement +σ, 6124.04, Gamma Flip CE, 6080.0, Put Dominate , 6045.0, Gamma Flip, 6065.0, Key Delta, 5000.0, Implied Movement -2σ, 6033.09, Large Gamma 2, 6055.0, </t>
  </si>
  <si>
    <t xml:space="preserve">SPX: Gamma Flip CE, 6105.0, Implied Movement +σ, 6149.46, Gamma Flip, 6065.0, Implied Movement -σ, 6053.02, Put Wall &amp; Large Gamma 1 &amp; Large Gamma 2 &amp; Gamma Field &amp; Call Wall, 6000.0, Implied Movement -2σ, 6033.05, Key Delta, 5000.0, Put Wall CE &amp; Gamma Field CE, 5960.0, Put Dominate , 5890.0, Implied Movement +2σ, 6169.43, Call Wall CE, 6185.0, Call Dominate , 6215.0, </t>
  </si>
  <si>
    <t xml:space="preserve">SPX: Call Dominate , 6165.0, Implied Movement -σ, 6081.85, Large Gamma 2 &amp; Call Wall &amp; Call Wall CE, 6140.0, Key Delta, 5000.0, Implied Movement +σ, 6155.57, Gamma Field, 6100.0, Gamma Flip &amp; Gamma Flip CE, 6095.0, Implied Movement +2σ, 6192.44, Put Dominate , 6055.0, Put Wall CE &amp; Put Wall &amp; Large Gamma 1 &amp; Gamma Field CE, 6090.0, Implied Movement -2σ, 6044.98, </t>
  </si>
  <si>
    <t xml:space="preserve">SPX: Implied Movement +2σ, 6071.3, Key Delta, 5000.0, Implied Movement +σ, 6057.6, Put Wall CE, 5940.0, Call Dominate , 6110.0, Gamma Flip, 5975.0, Put Dominate , 5790.0, Put Wall &amp; Large Gamma 1 &amp; Large Gamma 2 &amp; Gamma Field &amp; Gamma Field CE &amp; Call Wall, 6000.0, Call Wall CE, 6050.0, Implied Movement -σ, 5935.72, Implied Movement -2σ, 5922.02, Gamma Flip CE, 5970.0, </t>
  </si>
  <si>
    <t xml:space="preserve">SPX: Call Dominate , 6215.0, Implied Movement -σ, 5995.49, Put Dominate , 5890.0, Put Wall CE &amp; Put Wall &amp; Large Gamma 1 &amp; Large Gamma 2 &amp; Gamma Field &amp; Call Wall, 6000.0, Gamma Flip CE, 6045.0, Implied Movement -2σ, 5977.33, Gamma Field CE &amp; Call Wall CE, 6100.0, Gamma Flip, 6015.0, Implied Movement +2σ, 6101.29, Implied Movement +σ, 6083.14, Key Delta, 5000.0, </t>
  </si>
  <si>
    <t xml:space="preserve">SPX: Key Delta, 5000.0, Gamma Flip, 6060.0, Implied Movement +2σ, 6154.02, Gamma Flip CE, 6010.0, Implied Movement +σ, 6112.6, Put Wall CE &amp; Put Wall &amp; Large Gamma 1, 6000.0, Call Dominate , 6165.0, Large Gamma 2 &amp; Gamma Field &amp; Gamma Field CE &amp; Call Wall &amp; Call Wall CE, 6100.0, Put Dominate , 5990.0, Implied Movement -2σ, 5988.32, Implied Movement -σ, 6029.74, </t>
  </si>
  <si>
    <t xml:space="preserve">SPX: Call Dominate , 6210.0, Implied Movement +2σ, 6131.82, Implied Movement -σ, 6022.36, Gamma Field CE &amp; Call Wall CE, 6100.0, Put Wall CE &amp; Gamma Flip, 6025.0, Key Delta, 5000.0, Implied Movement -2σ, 6003.58, Put Dominate , 5975.0, Implied Movement +σ, 6113.04, Gamma Flip CE, 6045.0, Put Wall &amp; Large Gamma 1 &amp; Large Gamma 2 &amp; Gamma Field &amp; Call Wall, 6000.0, </t>
  </si>
  <si>
    <t xml:space="preserve">SPX: Call Dominate , 6210.0, Put Wall CE, 5950.0, Put Dominate , 5890.0, Implied Movement -σ, 5944.34, Implied Movement +2σ, 6065.61, Implied Movement +σ, 6044.8, Gamma Field CE, 6030.0, Key Delta, 5000.0, Implied Movement -2σ, 5923.53, Put Wall &amp; Large Gamma 1 &amp; Large Gamma 2 &amp; Gamma Field &amp; Call Wall, 6000.0, Gamma Flip CE, 5990.0, Gamma Flip, 6025.0, Call Wall CE, 6035.0, </t>
  </si>
  <si>
    <t xml:space="preserve">SPX: Implied Movement -σ, 5991.32, Put Dominate , 5925.0, Implied Movement +2σ, 6110.12, Call Dominate , 6210.0, Key Delta, 5000.0, Implied Movement -2σ, 5970.94, Gamma Flip &amp; Gamma Flip CE, 6060.0, Put Wall CE &amp; Gamma Field CE, 5950.0, Put Wall &amp; Large Gamma 1 &amp; Large Gamma 2 &amp; Gamma Field &amp; Call Wall, 6000.0, Implied Movement +σ, 6089.74, Call Wall CE, 6075.0, </t>
  </si>
  <si>
    <t xml:space="preserve">SPX: Put Dominate , 5975.0, Put Wall CE, 6035.0, Call Dominate , 6110.0, Implied Movement +2σ, 6121.78, Implied Movement -σ, 6018.84, Gamma Flip &amp; Gamma Flip CE, 6045.0, Implied Movement -2σ, 6001.18, Key Delta, 5000.0, Put Wall &amp; Large Gamma 1 &amp; Large Gamma 2 &amp; Gamma Field &amp; Call Wall, 6000.0, Implied Movement +σ, 6104.12, Gamma Field CE &amp; Call Wall CE, 6080.0, </t>
  </si>
  <si>
    <t xml:space="preserve">SPX: Implied Movement -2σ, 5973.45, Implied Movement +2σ, 6102.31, Implied Movement +σ, 6083.44, Call Dominate , 6210.0, Implied Movement -σ, 5992.32, Key Delta, 5000.0, Put Dominate , 5975.0, Put Wall CE &amp; Put Wall &amp; Large Gamma 1 &amp; Large Gamma 2 &amp; Gamma Field &amp; Gamma Field CE &amp; Call Wall, 6000.0, Gamma Flip &amp; Gamma Flip CE, 6035.0, Call Wall CE, 6055.0, </t>
  </si>
  <si>
    <t xml:space="preserve">SPX: Implied Movement -2σ, 6004.39, Gamma Flip, 6050.0, Implied Movement -σ, 6043.98, Call Dominate , 6210.0, Gamma Flip CE, 6045.0, Key Delta, 5000.0, Implied Movement +σ, 6123.16, Gamma Field CE &amp; Call Wall CE, 6100.0, Put Wall CE &amp; Put Wall &amp; Large Gamma 1 &amp; Large Gamma 2 &amp; Gamma Field &amp; Call Wall, 6000.0, Implied Movement +2σ, 6162.75, Put Dominate , 5990.0, </t>
  </si>
  <si>
    <t xml:space="preserve">SPX: Implied Movement +σ, 5938.57, Implied Movement +2σ, 5951.36, Put Wall &amp; Large Gamma 1 &amp; Large Gamma 2 &amp; Gamma Field &amp; Call Wall, 6000.0, Key Delta, 5000.0, Gamma Flip, 5975.0, Put Dominate , 5790.0, Implied Movement -σ, 5824.69, Gamma Field CE, 5900.0, Put Wall CE, 5835.0, Call Dominate , 6175.0, Gamma Flip CE, 5920.0, Implied Movement -2σ, 5811.9, Call Wall CE, 5925.0, </t>
  </si>
  <si>
    <t xml:space="preserve">VIX: Implied Movement +σ, 20.68, Call Dominate , 170.0, Implied Movement -σ, 17.3, Large Gamma 1 &amp; Gamma Field &amp; Call Wall &amp; Call Wall CE &amp; Key Delta, 20.0, Put Wall CE, 15.0, Implied Movement +2σ, 22.58, Put Dominate , 10.0, Put Wall, 18.0, Implied Movement -2σ, 15.4, Large Gamma 2 &amp; Gamma Field CE, 17.0, Gamma Flip CE, 15.5, Gamma Flip, 16.0, 20240416 070000</t>
  </si>
  <si>
    <t xml:space="preserve">VIX: Gamma Flip CE, 15.5, Implied Movement +2σ, 19.96, Put Wall CE, 15.0, Implied Movement -2σ, 15.78, Implied Movement -σ, 17.13, Large Gamma 1 &amp; Gamma Field CE, 17.0, Put Dominate , 10.0, Call Dominate , 170.0, Gamma Flip, 16.0, Put Wall &amp; Large Gamma 2, 18.0, Gamma Field &amp; Call Wall &amp; Call Wall CE &amp; Key Delta, 20.0, Implied Movement +σ, 18.61, 20240417 070000</t>
  </si>
  <si>
    <t xml:space="preserve">VIX: Gamma Field &amp; Call Wall &amp; Key Delta, 20.0, Large Gamma 2 &amp; Gamma Flip CE, 17.0, Implied Movement +σ, 20.26, Implied Movement +2σ, 21.18, Implied Movement -σ, 15.84, Put Wall CE, 15.0, Put Wall &amp; Large Gamma 1 &amp; Gamma Field CE &amp; Call Wall CE, 18.0, Implied Movement -2σ, 14.92, Gamma Flip, 16.0, Put Dominate , 10.0, Call Dominate , 170.0, 20240418 070000</t>
  </si>
  <si>
    <t xml:space="preserve">VIX: Put Wall CE, 15.0, Large Gamma 2 &amp; Gamma Flip CE, 17.0, Implied Movement -σ, 17.16, Call Dominate , 170.0, Gamma Field &amp; Call Wall &amp; Key Delta, 20.0, Implied Movement +σ, 21.68, Put Dominate , 10.0, Gamma Flip, 16.0, Put Wall &amp; Large Gamma 1 &amp; Gamma Field CE &amp; Call Wall CE, 18.0, Implied Movement -2σ, 16.09, Implied Movement +2σ, 22.75, 20240419 070000</t>
  </si>
  <si>
    <t xml:space="preserve">VIX: Implied Movement -σ, 16.77, Put Wall &amp; Large Gamma 1 &amp; Gamma Field CE &amp; Call Wall CE, 18.0, Large Gamma 2 &amp; Gamma Flip CE, 17.0, Put Dominate , 10.0, Implied Movement +2σ, 21.03, Gamma Flip, 16.0, Gamma Field &amp; Call Wall &amp; Key Delta, 20.0, Implied Movement +σ, 19.79, Put Wall CE, 15.0, Implied Movement -2σ, 15.53, Call Dominate , 170.0, 20240422 070000</t>
  </si>
  <si>
    <t xml:space="preserve">VIX: Implied Movement +σ, 17.74, Implied Movement -2σ, 14.52, Put Wall CE, 15.0, Implied Movement -σ, 15.68, Put Dominate , 10.0, Implied Movement +2σ, 18.9, Gamma Field &amp; Call Wall &amp; Key Delta, 20.0, Put Wall &amp; Large Gamma 1 &amp; Gamma Field CE &amp; Call Wall CE, 18.0, Gamma Flip, 16.0, Call Dominate , 170.0, Large Gamma 2 &amp; Gamma Flip CE, 17.0, 20240423 070000</t>
  </si>
  <si>
    <t xml:space="preserve">VIX: Implied Movement +2σ, 17.21, Large Gamma 2, 17.0, Implied Movement -2σ, 14.43, Gamma Field &amp; Call Wall &amp; Key Delta, 20.0, Implied Movement +σ, 16.31, Put Dominate , 10.0, Call Dominate , 170.0, Put Wall &amp; Large Gamma 1, 18.0, Put Wall CE &amp; Gamma Flip CE, 15.0, Gamma Field CE &amp; Gamma Flip &amp; Call Wall CE, 16.0, Implied Movement -σ, 15.33, 20240424 070000</t>
  </si>
  <si>
    <t xml:space="preserve">VIX: Large Gamma 2, 17.0, Put Wall CE &amp; Gamma Flip CE, 15.0, Put Dominate , 10.0, Put Wall &amp; Large Gamma 1, 18.0, Implied Movement -2σ, 14.04, Implied Movement +2σ, 18.42, Implied Movement +σ, 17.78, Implied Movement -σ, 14.68, Gamma Field CE &amp; Gamma Flip &amp; Call Wall CE, 16.0, Gamma Field &amp; Call Wall &amp; Key Delta, 20.0, Call Dominate , 170.0, 20240425 070000</t>
  </si>
  <si>
    <t xml:space="preserve">VIX: Put Wall &amp; Large Gamma 1, 18.0, Call Dominate , 170.0, Large Gamma 2, 17.0, Implied Movement +σ, 16.9, Gamma Flip &amp; Call Wall CE, 16.0, Implied Movement -2σ, 13.81, Implied Movement +2σ, 17.49, Put Wall CE &amp; Gamma Field CE &amp; Gamma Flip CE, 15.0, Put Dominate , 10.0, Gamma Field &amp; Call Wall &amp; Key Delta, 20.0, Implied Movement -σ, 14.4, 20240426 070000</t>
  </si>
  <si>
    <t xml:space="preserve">VIX: Implied Movement -σ, 14.32, Implied Movement +2σ, 16.87, Put Wall CE &amp; Large Gamma 1 &amp; Gamma Flip CE, 15.0, Implied Movement +σ, 16.12, Gamma Field CE &amp; Call Wall CE, 17.0, Gamma Flip, 16.0, Put Dominate , 10.0, Call Dominate , 170.0, Gamma Field &amp; Call Wall &amp; Key Delta, 20.0, Put Wall &amp; Large Gamma 2, 18.0, Implied Movement -2σ, 13.57, 20240429 070000</t>
  </si>
  <si>
    <t xml:space="preserve">VIX: Large Gamma 1 &amp; Gamma Flip CE, 15.0, Implied Movement -2σ, 13.41, Gamma Flip, 16.0, Put Wall, 18.0, Call Dominate , 170.0, Put Wall CE, 14.0, Implied Movement -σ, 14.15, Implied Movement +σ, 15.48, Put Dominate , 10.0, Gamma Field &amp; Call Wall &amp; Key Delta, 20.0, Large Gamma 2 &amp; Gamma Field CE &amp; Call Wall CE, 17.0, Implied Movement +2σ, 16.23, 20240430 070000</t>
  </si>
  <si>
    <t xml:space="preserve">VIX: Large Gamma 2, 17.0, Put Dominate , 10.0, Call Dominate , 170.0, Gamma Field &amp; Call Wall &amp; Key Delta, 20.0, Implied Movement +σ, 16.61, Implied Movement -σ, 15.55, Implied Movement -2σ, 14.59, Put Wall CE &amp; Gamma Flip CE, 15.0, Gamma Field CE &amp; Gamma Flip &amp; Call Wall CE, 16.0, Implied Movement +2σ, 17.57, Put Wall &amp; Large Gamma 1, 18.0, 20240501 070000</t>
  </si>
  <si>
    <t xml:space="preserve">VIX: Large Gamma 1 &amp; Gamma Field CE &amp; Call Wall CE, 15.0, Implied Movement +σ, 16.23, Gamma Field &amp; Call Wall &amp; Key Delta, 20.0, Implied Movement -2σ, 13.19, Gamma Flip CE, 14.5, Gamma Flip, 16.0, Large Gamma 2, 17.0, Put Dominate , 10.0, Put Wall CE, 14.0, Implied Movement -σ, 13.72, Put Wall, 18.0, Implied Movement +2σ, 16.75, Call Dominate , 170.0, 20240502 070000</t>
  </si>
  <si>
    <t xml:space="preserve">VIX: Gamma Flip, 16.0, Implied Movement +σ, 15.53, Implied Movement +2σ, 16.03, Large Gamma 2, 17.0, Implied Movement -2σ, 12.95, Put Wall, 18.0, Gamma Flip CE, 14.5, Put Wall CE, 14.0, Implied Movement -σ, 13.45, Large Gamma 1 &amp; Gamma Field CE &amp; Call Wall CE, 15.0, Gamma Field &amp; Call Wall &amp; Key Delta, 20.0, Call Dominate , 170.0, Put Dominate , 10.0, 20240503 070000</t>
  </si>
  <si>
    <t xml:space="preserve">VIX: Implied Movement +2σ, 15.24, Call Dominate , 170.0, Put Wall &amp; Large Gamma 2 &amp; Gamma Flip, 16.0, Implied Movement -σ, 13.06, Put Wall CE &amp; Gamma Flip CE, 14.0, Large Gamma 1 &amp; Gamma Field CE &amp; Call Wall CE, 15.0, Put Dominate , 10.0, Implied Movement +σ, 14.6, Implied Movement -2σ, 12.42, Gamma Field &amp; Call Wall &amp; Key Delta, 20.0, 20240506 070000</t>
  </si>
  <si>
    <t xml:space="preserve">VIX: Call Dominate , 170.0, Put Dominate , 10.0, Implied Movement +2σ, 14.85, Implied Movement -2σ, 12.25, Implied Movement -σ, 12.94, Key Delta, 18.0, Large Gamma 1 &amp; Call Wall CE, 15.0, Put Wall CE &amp; Gamma Field CE &amp; Gamma Flip CE, 14.0, Implied Movement +σ, 14.16, Put Wall &amp; Large Gamma 2 &amp; Gamma Flip, 16.0, Gamma Field &amp; Call Wall, 20.0, 20240507 070000</t>
  </si>
  <si>
    <t xml:space="preserve">VIX: Put Dominate , 10.0, Call Dominate , 170.0, Implied Movement +σ, 13.58, Gamma Field &amp; Call Wall &amp; Key Delta, 20.0, Implied Movement -σ, 13.04, Gamma Flip, 15.5, Put Wall &amp; Large Gamma 2, 16.0, Large Gamma 1 &amp; Call Wall CE, 15.0, Put Wall CE &amp; Gamma Field CE &amp; Gamma Flip CE, 14.0, Implied Movement +2σ, 14.08, Implied Movement -2σ, 12.54, 20240508 070000</t>
  </si>
  <si>
    <t xml:space="preserve">VIX: Put Dominate , 10.0, Gamma Field &amp; Call Wall, 20.0, Implied Movement +2σ, 14.76, Gamma Field CE &amp; Call Wall CE, 17.0, Key Delta, 18.0, Put Wall &amp; Large Gamma 2, 16.0, Implied Movement -σ, 12.16, Implied Movement -2σ, 11.72, Large Gamma 1, 15.0, Gamma Flip, 15.5, Put Wall CE &amp; Gamma Flip CE, 13.5, Implied Movement +σ, 14.31, Call Dominate , 170.0, 20240509 070000</t>
  </si>
  <si>
    <t xml:space="preserve">VIX: Call Wall CE, 14.0, Implied Movement +σ, 13.72, Implied Movement -σ, 11.96, Put Dominate , 10.0, Gamma Flip CE, 12.0, Gamma Field &amp; Call Wall, 20.0, Implied Movement -2σ, 11.55, Gamma Field CE, 17.0, Put Wall CE &amp; Large Gamma 1, 13.5, Key Delta, 18.0, Large Gamma 2, 15.0, Gamma Flip, 15.5, Implied Movement +2σ, 14.13, Call Dominate , 170.0, Put Wall, 16.0, 20240510 070000</t>
  </si>
  <si>
    <t xml:space="preserve">VIX: Implied Movement +2σ, 14.62, Implied Movement -σ, 12.64, Put Dominate , 10.0, Gamma Flip CE, 12.0, Put Wall, 16.0, Implied Movement +σ, 14.04, Gamma Field CE &amp; Call Wall CE, 14.0, Gamma Field &amp; Call Wall, 20.0, Implied Movement -2σ, 12.06, Put Wall CE &amp; Large Gamma 1, 13.5, Key Delta, 18.0, Call Dominate , 170.0, Gamma Flip, 15.5, Large Gamma 2, 15.0, 20240513 070000</t>
  </si>
  <si>
    <t xml:space="preserve">VIX: Large Gamma 2, 15.0, Gamma Field &amp; Call Wall, 20.0, Call Dominate , 170.0, Gamma Field CE &amp; Call Wall CE, 14.0, Gamma Flip, 15.5, Gamma Flip CE, 12.0, Put Wall CE &amp; Large Gamma 1, 13.5, Key Delta, 18.0, Implied Movement +σ, 14.5, Implied Movement +2σ, 15.27, Implied Movement -2σ, 12.37, Implied Movement -σ, 13.14, Put Wall, 16.0, Put Dominate , 10.0, 20240514 070000</t>
  </si>
  <si>
    <t xml:space="preserve">VIX: Put Wall &amp; Large Gamma 2, 15.0, Gamma Field &amp; Key Delta, 16.0, Implied Movement -σ, 13.48, Implied Movement +2σ, 15.06, Call Wall, 22.0, Implied Movement +σ, 14.31, Put Wall CE &amp; Large Gamma 1 &amp; Gamma Field CE &amp; Gamma Flip CE, 13.5, Call Dominate , 140.0, Implied Movement -2σ, 12.72, Put Dominate , 10.0, Call Wall CE, 14.0, Gamma Flip, 15.5, 20240515 070000</t>
  </si>
  <si>
    <t xml:space="preserve">VIX: Implied Movement +σ, 13.36, Put Wall, 15.0, Large Gamma 1 &amp; Gamma Field CE, 13.5, Gamma Field &amp; Key Delta, 16.0, Call Dominate , 140.0, Gamma Flip &amp; Gamma Flip CE, 15.5, Implied Movement +2σ, 13.74, Implied Movement -2σ, 11.14, Implied Movement -σ, 11.52, Put Wall CE &amp; Large Gamma 2, 13.0, Call Wall, 17.0, Call Wall CE, 18.0, Put Dominate , 10.0, 20240516 070000</t>
  </si>
  <si>
    <t xml:space="preserve">VIX: Gamma Flip &amp; Gamma Flip CE, 15.5, Gamma Field &amp; Call Wall &amp; Key Delta, 16.0, Large Gamma 2, 13.5, Put Wall, 15.0, Implied Movement +σ, 13.19, Call Wall CE, 18.0, Implied Movement -2σ, 11.19, Put Wall CE &amp; Large Gamma 1 &amp; Gamma Field CE, 13.0, Put Dominate , 17.0, Implied Movement -σ, 11.57, Implied Movement +2σ, 13.57, Call Dominate , 140.0, 20240517 070000</t>
  </si>
  <si>
    <t xml:space="preserve">VIX: Implied Movement -2σ, 11.11, Large Gamma 2, 12.5, Put Wall CE, 12.0, Put Wall, 15.0, Call Wall CE, 18.0, Implied Movement +σ, 12.75, Put Dominate , 10.0, Gamma Flip &amp; Gamma Flip CE, 15.5, Implied Movement +2σ, 13.23, Call Dominate , 140.0, Implied Movement -σ, 11.59, Gamma Field &amp; Call Wall &amp; Key Delta, 16.0, Large Gamma 1 &amp; Gamma Field CE, 13.0, 20240520 070000</t>
  </si>
  <si>
    <t xml:space="preserve">VIX: Gamma Flip &amp; Gamma Flip CE, 15.5, Gamma Field &amp; Call Wall &amp; Key Delta, 16.0, Call Dominate , 140.0, Put Wall, 15.0, Implied Movement +2σ, 13.5, Implied Movement -σ, 11.94, Implied Movement -2σ, 11.38, Implied Movement +σ, 12.94, Call Wall CE, 18.0, Put Dominate , 10.0, Large Gamma 2, 12.5, Put Wall CE &amp; Large Gamma 1 &amp; Gamma Field CE, 13.0, 20240521 070000</t>
  </si>
  <si>
    <t xml:space="preserve">VIX: Implied Movement -σ, 11.89, Implied Movement +σ, 12.37, Gamma Flip, 15.5, Implied Movement -2σ, 11.45, Implied Movement +2σ, 12.81, Put Wall CE &amp; Large Gamma 1 &amp; Gamma Field CE, 12.0, Call Dominate , 140.0, Large Gamma 2, 12.5, Call Wall CE &amp; Put Dominate , 10.0, Gamma Flip CE, 33.0, Put Wall, 15.0, Gamma Field &amp; Call Wall &amp; Key Delta, 16.0, 20240522 070000</t>
  </si>
  <si>
    <t xml:space="preserve">VIX: Implied Movement -σ, 10.92, Put Wall CE, 75.0, Gamma Flip, 15.5, Implied Movement +2σ, 12.51, Call Dominate , 140.0, Large Gamma 1, 14.0, Put Wall, 15.0, Gamma Flip CE &amp; Put Dominate , 10.0, Implied Movement +σ, 12.24, Implied Movement -2σ, 10.65, Large Gamma 2 &amp; Gamma Field &amp; Call Wall &amp; Key Delta, 16.0, Gamma Field CE &amp; Call Wall CE, 13.0, 20240523 070000</t>
  </si>
  <si>
    <t xml:space="preserve">VIX: Large Gamma 2 &amp; Call Wall &amp; Key Delta, 16.0, Implied Movement +2σ, 13.91, Gamma Flip, 14.5, Put Wall CE &amp; Gamma Flip CE, 12.0, Put Dominate , 10.5, Large Gamma 1, 14.0, Implied Movement +σ, 13.48, Put Wall &amp; Gamma Field &amp; Gamma Field CE &amp; Call Wall CE, 15.0, Implied Movement -σ, 11.69, Implied Movement -2σ, 11.27, Call Dominate , 140.0, 20240524 070000</t>
  </si>
  <si>
    <t xml:space="preserve">VIX: Large Gamma 1, 14.0, Implied Movement +2σ, 13.69, Implied Movement +σ, 13.07, Put Wall &amp; Gamma Field &amp; Call Wall CE &amp; Key Delta, 15.0, Gamma Flip, 14.5, Implied Movement -2σ, 11.35, Put Dominate , 10.5, Implied Movement -σ, 11.97, Put Wall CE &amp; Gamma Field CE &amp; Gamma Flip CE, 12.0, Call Dominate , 140.0, Large Gamma 2 &amp; Call Wall, 16.0, 20240528 070000</t>
  </si>
  <si>
    <t xml:space="preserve">VIX: Implied Movement -2σ, 12.97, Large Gamma 2 &amp; Gamma Field CE &amp; Call Wall &amp; Key Delta, 16.0, Implied Movement -σ, 13.72, Call Dominate , 140.0, Put Dominate , 10.5, Large Gamma 1, 14.0, Gamma Flip CE, 14.5, Implied Movement +2σ, 15.29, Put Wall CE, 13.0, Call Wall CE, 20.0, Implied Movement +σ, 14.54, Put Wall &amp; Gamma Field &amp; Gamma Flip, 15.0, 20240529 070000</t>
  </si>
  <si>
    <t xml:space="preserve">VIX: Large Gamma 1, 14.0, Implied Movement +σ, 15.89, Large Gamma 2 &amp; Gamma Field &amp; Gamma Field CE &amp; Call Wall &amp; Key Delta, 16.0, Call Wall CE, 20.0, Call Dominate , 140.0, Put Dominate , 10.5, Put Wall &amp; Gamma Flip, 15.0, Implied Movement -2σ, 12.42, Gamma Flip CE, 14.5, Implied Movement -σ, 13.01, Implied Movement +2σ, 16.48, Put Wall CE, 13.0, 20240530 070000</t>
  </si>
  <si>
    <t xml:space="preserve">VIX: Large Gamma 2 &amp; Gamma Field &amp; Call Wall &amp; Key Delta, 16.0, Put Wall CE, 13.0, Implied Movement -2σ, 12.62, Gamma Flip CE, 14.5, Implied Movement -σ, 13.22, Call Wall CE, 20.0, Call Dominate , 140.0, Put Dominate , 12.0, Implied Movement +2σ, 16.38, Implied Movement +σ, 15.78, Put Wall &amp; Gamma Flip, 15.0, Large Gamma 1 &amp; Gamma Field CE, 14.0, 20240531 070000</t>
  </si>
  <si>
    <t xml:space="preserve">VIX: Implied Movement -σ, 12.58, Gamma Field CE &amp; Gamma Flip &amp; Call Wall CE &amp; Call Dominate , 14.5, Implied Movement +σ, 13.76, Put Wall CE &amp; Gamma Flip CE, 12.5, Put Wall &amp; Large Gamma 1 &amp; Gamma Field &amp; Call Wall, 14.0, Implied Movement -2σ, 12.1, Key Delta, 16.0, Implied Movement +2σ, 14.24, Large Gamma 2, 13.5, Put Dominate , 10.0, 20240603 070000</t>
  </si>
  <si>
    <t xml:space="preserve">VIX: Implied Movement +σ, 13.84, Put Wall CE &amp; Gamma Flip CE, 12.5, Put Wall &amp; Large Gamma 1 &amp; Gamma Field, 14.0, Implied Movement -2σ, 13.26, Implied Movement -σ, 13.46, Implied Movement +2σ, 14.04, Gamma Field CE &amp; Call Wall &amp; Call Wall CE &amp; Key Delta, 16.0, Gamma Flip &amp; Call Dominate , 14.5, Large Gamma 2, 13.5, Put Dominate , 15.0, 20240604 070000</t>
  </si>
  <si>
    <t xml:space="preserve">VIX: Put Dominate , 10.0, Key Delta, 16.0, Implied Movement +σ, 13.29, Large Gamma 1 &amp; Gamma Field &amp; Call Wall, 14.0, Implied Movement -2σ, 12.07, Large Gamma 2, 13.5, Implied Movement -σ, 12.65, Put Wall &amp; Gamma Field CE &amp; Call Wall CE, 13.0, Put Wall CE &amp; Gamma Flip CE, 12.5, Implied Movement +2σ, 13.87, Gamma Flip &amp; Call Dominate , 14.5, 20240605 070000</t>
  </si>
  <si>
    <t xml:space="preserve">VIX: Call Wall CE &amp; Key Delta, 16.0, Implied Movement +σ, 13.75, Gamma Flip &amp; Call Dominate , 14.5, Put Wall CE, 20.0, Gamma Flip CE, 11.5, Implied Movement +2σ, 14.13, Gamma Field CE, 12.5, Put Wall &amp; Large Gamma 2, 13.0, Implied Movement -σ, 11.95, Large Gamma 1 &amp; Gamma Field &amp; Call Wall, 14.0, Implied Movement -2σ, 11.57, Put Dominate , 10.0, 20240607 070000</t>
  </si>
  <si>
    <t xml:space="preserve">VIX: Put Wall CE, 20.0, Implied Movement -2σ, 11.88, Put Dominate , 10.0, Key Delta, 15.0, Gamma Flip &amp; Call Dominate , 14.5, Large Gamma 1 &amp; Gamma Field &amp; Call Wall, 14.0, Gamma Field CE, 12.5, Gamma Flip CE, 11.5, Implied Movement +2σ, 14.44, Implied Movement +σ, 13.9, Implied Movement -σ, 12.42, Put Wall &amp; Large Gamma 2 &amp; Call Wall CE, 13.0, 20240610 070000</t>
  </si>
  <si>
    <t xml:space="preserve">VIX: Implied Movement +σ, 13.88, Put Wall CE &amp; Put Wall &amp; Large Gamma 1 &amp; Gamma Field CE, 13.0, Call Dominate , 150.0, Implied Movement +2σ, 14.38, Gamma Flip &amp; Gamma Flip CE, 14.5, Implied Movement -σ, 12.22, Call Wall CE &amp; Key Delta, 16.0, Put Dominate , 10.0, Implied Movement -2σ, 11.72, Large Gamma 2 &amp; Gamma Field &amp; Call Wall, 14.0, 20240614 070000</t>
  </si>
  <si>
    <t xml:space="preserve">VIX: Implied Movement -σ, 12.57, Put Dominate , 10.0, Call Wall CE &amp; Key Delta, 16.0, Gamma Flip &amp; Gamma Flip CE, 14.5, Put Wall CE &amp; Put Wall &amp; Large Gamma 1 &amp; Gamma Field &amp; Gamma Field CE, 13.0, Large Gamma 2 &amp; Call Wall, 14.0, Call Dominate , 150.0, Implied Movement +σ, 13.89, Implied Movement +2σ, 14.7, Implied Movement -2σ, 11.76, 20240617 070000</t>
  </si>
  <si>
    <t xml:space="preserve">VIX: Implied Movement -2σ, 11.71, Call Wall CE, 15.0, Implied Movement -σ, 12.35, Put Dominate , 10.0, Put Wall CE &amp; Put Wall &amp; Large Gamma 1 &amp; Gamma Field &amp; Gamma Field CE &amp; Call Wall, 13.0, Implied Movement +σ, 12.99, Gamma Flip &amp; Gamma Flip CE, 14.5, Key Delta, 16.0, Large Gamma 2, 12.5, Call Dominate , 150.0, Implied Movement +2σ, 13.63, 20240618 070000</t>
  </si>
  <si>
    <t xml:space="preserve">VIX: Implied Movement -σ, 11.78, Put Wall CE &amp; Gamma Flip CE, 12.5, Large Gamma 2 &amp; Gamma Flip, 14.5, Implied Movement +σ, 13.34, Large Gamma 1 &amp; Gamma Field, 15.0, Gamma Field CE &amp; Call Wall CE, 13.0, Implied Movement +2σ, 13.66, Call Dominate , 150.0, Implied Movement -2σ, 11.46, Put Dominate , 10.0, Key Delta, 16.0, Call Wall, 20.0, Put Wall, 14.0, 20240620 070000</t>
  </si>
  <si>
    <t xml:space="preserve">VIX: Large Gamma 2, 18.0, Gamma Flip, 14.5, Implied Movement -σ, 12.39, Put Wall, 14.0, Implied Movement -2σ, 11.87, Implied Movement +σ, 14.61, Large Gamma 1 &amp; Gamma Field &amp; Gamma Field CE &amp; Call Wall &amp; Call Wall CE &amp; Put Dominate  &amp; Key Delta, 15.0, Call Dominate , 150.0, Put Wall CE &amp; Gamma Flip CE, 12.5, Implied Movement +2σ, 15.13, 20240621 070000</t>
  </si>
  <si>
    <t xml:space="preserve">VIX: Put Wall CE &amp; Gamma Flip CE, 12.5, Implied Movement +2σ, 15.19, Implied Movement +σ, 14.53, Implied Movement -2σ, 12.29, Implied Movement -σ, 12.95, Large Gamma 2, 18.0, Gamma Flip, 14.5, Call Dominate , 150.0, Large Gamma 1 &amp; Gamma Field &amp; Gamma Field CE &amp; Call Wall &amp; Call Wall CE &amp; Put Dominate  &amp; Key Delta, 15.0, Put Wall, 14.0, 20240624 070000</t>
  </si>
  <si>
    <t xml:space="preserve">VIX: Implied Movement -σ, 12.78, Put Wall, 14.0, Large Gamma 1 &amp; Gamma Field &amp; Gamma Field CE &amp; Call Wall &amp; Call Wall CE &amp; Put Dominate  &amp; Key Delta, 15.0, Large Gamma 2 &amp; Gamma Flip, 14.5, Implied Movement +σ, 14.08, Call Dominate , 150.0, Implied Movement +2σ, 14.81, Put Wall CE &amp; Gamma Flip CE, 12.5, Implied Movement -2σ, 12.05, 20240625 070000</t>
  </si>
  <si>
    <t xml:space="preserve">VIX: Implied Movement -2σ, 12.01, Implied Movement +σ, 13.25, Large Gamma 1 &amp; Gamma Field &amp; Call Wall &amp; Key Delta, 15.0, Put Wall, 14.0, Put Dominate , 9.0, Put Wall CE &amp; Gamma Flip CE, 12.5, Implied Movement -σ, 12.61, Large Gamma 2 &amp; Gamma Flip, 14.5, Gamma Field CE &amp; Call Wall CE, 13.0, Implied Movement +2σ, 13.85, Call Dominate , 150.0, 20240626 070000</t>
  </si>
  <si>
    <t xml:space="preserve">VIX: Implied Movement -σ, 11.8, Gamma Flip, 14.5, Gamma Field CE &amp; Call Wall CE, 13.0, Large Gamma 1 &amp; Gamma Field &amp; Call Wall &amp; Put Dominate  &amp; Key Delta, 15.0, Put Wall &amp; Large Gamma 2, 14.0, Implied Movement +2σ, 13.99, Put Wall CE &amp; Gamma Flip CE, 12.0, Implied Movement -2σ, 11.43, Call Dominate , 150.0, Implied Movement +σ, 13.62, 20240627 070000</t>
  </si>
  <si>
    <t xml:space="preserve">VIX: Implied Movement +2σ, 13.45, Implied Movement -2σ, 11.21, Gamma Flip, 14.5, Gamma Field CE &amp; Call Wall CE, 13.0, Put Wall CE &amp; Gamma Flip CE, 12.0, Implied Movement -σ, 11.57, Implied Movement +σ, 13.09, Large Gamma 1 &amp; Gamma Field &amp; Call Wall &amp; Put Dominate  &amp; Key Delta, 15.0, Call Dominate , 150.0, Put Wall &amp; Large Gamma 2, 14.0, 20240628 070000</t>
  </si>
  <si>
    <t xml:space="preserve">VIX: Gamma Flip, 14.5, Call Wall CE, 13.5, Implied Movement +σ, 13.79, Implied Movement -2σ, 11.65, Implied Movement -σ, 12.27, Put Wall CE &amp; Gamma Field CE &amp; Gamma Flip CE, 13.0, Put Wall &amp; Large Gamma 2, 14.0, Large Gamma 1 &amp; Gamma Field &amp; Call Wall &amp; Put Dominate  &amp; Key Delta, 15.0, Implied Movement +2σ, 14.41, Call Dominate , 150.0, 20240701 070000</t>
  </si>
  <si>
    <t xml:space="preserve">VIX: Large Gamma 1 &amp; Gamma Field &amp; Call Wall &amp; Put Dominate  &amp; Key Delta, 15.0, Put Wall CE &amp; Gamma Field CE &amp; Gamma Flip CE, 13.0, Gamma Flip, 14.5, Call Wall CE, 13.5, Implied Movement -σ, 12.16, Implied Movement +σ, 13.14, Implied Movement +2σ, 13.68, Put Wall &amp; Large Gamma 2, 14.0, Implied Movement -2σ, 11.62, Call Dominate , 150.0, 20240702 070000</t>
  </si>
  <si>
    <t xml:space="preserve">VIX: Put Dominate , 11.0, Implied Movement +2σ, 12.73, Gamma Field CE &amp; Call Wall CE, 12.5, Implied Movement -2σ, 11.55, Gamma Field &amp; Call Wall &amp; Key Delta, 15.0, Put Wall CE, 13.0, Implied Movement +σ, 12.35, Put Wall &amp; Large Gamma 2, 13.5, Implied Movement -σ, 11.93, Large Gamma 1 &amp; Gamma Flip, 14.0, Gamma Flip CE &amp; Call Dominate , 11.5, 20240703 070000</t>
  </si>
  <si>
    <t xml:space="preserve">VIX: Gamma Flip, 14.5, Implied Movement -σ, 11.47, Put Dominate , 11.0, Implied Movement +2σ, 13.35, Put Wall CE &amp; Gamma Field CE &amp; Gamma Flip CE, 12.5, Put Wall, 13.5, Large Gamma 2 &amp; Call Wall CE, 14.0, Implied Movement -2σ, 11.11, Implied Movement +σ, 12.99, Large Gamma 1 &amp; Gamma Field &amp; Call Wall &amp; Key Delta, 15.0, 20240705 070000</t>
  </si>
  <si>
    <t xml:space="preserve">VIX: Implied Movement -σ, 12.1, Gamma Field &amp; Call Wall &amp; Key Delta, 15.0, Put Wall CE &amp; Gamma Field CE &amp; Gamma Flip CE, 12.5, Put Dominate , 11.0, Implied Movement +2σ, 13.56, Implied Movement +σ, 13.14, Put Wall &amp; Large Gamma 2, 13.0, Implied Movement -2σ, 11.68, Gamma Flip, 14.5, Large Gamma 1 &amp; Call Wall CE, 14.0, 20240708 070000</t>
  </si>
  <si>
    <t xml:space="preserve">VIX: Gamma Field &amp; Call Wall &amp; Key Delta, 15.0, Put Dominate , 11.0, Put Wall &amp; Large Gamma 1 &amp; Call Wall CE, 13.0, Large Gamma 2 &amp; Gamma Flip, 14.0, Implied Movement -σ, 12.04, Implied Movement -2σ, 11.55, Implied Movement +σ, 12.92, Put Wall CE &amp; Gamma Field CE &amp; Gamma Flip CE, 12.5, Implied Movement +2σ, 13.41, 20240709 070000</t>
  </si>
  <si>
    <t xml:space="preserve">VIX: Put Wall CE &amp; Gamma Field CE &amp; Gamma Flip CE, 12.5, Implied Movement +2σ, 13.24, Implied Movement -σ, 12.17, Put Wall &amp; Large Gamma 1 &amp; Gamma Field &amp; Call Wall CE, 13.0, Large Gamma 2 &amp; Gamma Flip, 14.0, Put Dominate , 11.0, Implied Movement +σ, 12.73, Implied Movement -2σ, 11.66, Call Wall &amp; Key Delta, 15.0, 20240710 070000</t>
  </si>
  <si>
    <t xml:space="preserve">VIX: Put Dominate , 11.0, Put Wall &amp; Large Gamma 1 &amp; Gamma Field &amp; Gamma Field CE &amp; Call Wall, 13.0, Large Gamma 2 &amp; Call Wall CE &amp; Key Delta, 15.0, Implied Movement -σ, 12.11, Implied Movement +σ, 13.87, Implied Movement -2σ, 11.75, Put Wall CE, 12.5, Gamma Flip &amp; Gamma Flip CE, 14.0, Implied Movement +2σ, 14.23, 20240711 070000</t>
  </si>
  <si>
    <t xml:space="preserve">VIX: Implied Movement -2σ, 11.5, Put Wall CE, 12.5, Implied Movement +2σ, 13.96, Large Gamma 2, 13.5, Implied Movement +σ, 13.56, Implied Movement -σ, 11.9, Put Dominate , 11.0, Call Wall CE &amp; Key Delta, 15.0, Gamma Flip &amp; Gamma Flip CE, 14.0, Put Wall &amp; Large Gamma 1 &amp; Gamma Field &amp; Gamma Field CE &amp; Call Wall, 13.0, 20240712 070000</t>
  </si>
  <si>
    <t xml:space="preserve">VIX: Put Wall &amp; Large Gamma 1 &amp; Gamma Field &amp; Gamma Field CE &amp; Call Wall, 13.0, Implied Movement -2σ, 11.69, Call Wall CE &amp; Key Delta, 15.0, Put Wall CE &amp; Large Gamma 2, 12.5, Implied Movement +σ, 13.61, Gamma Flip &amp; Gamma Flip CE, 14.0, Put Dominate , 10.0, Implied Movement -σ, 12.25, Implied Movement +2σ, 14.17, 20240715 070000</t>
  </si>
  <si>
    <t xml:space="preserve">VIX: Implied Movement +σ, 13.71, Put Dominate , 10.0, Put Wall &amp; Large Gamma 1 &amp; Gamma Field &amp; Gamma Field CE &amp; Call Wall, 13.0, Call Wall CE &amp; Key Delta, 15.0, Implied Movement -σ, 12.47, Put Wall CE &amp; Large Gamma 2, 12.5, Implied Movement +2σ, 14.41, Gamma Flip &amp; Gamma Flip CE, 14.0, Implied Movement -2σ, 11.77, 20240716 070000</t>
  </si>
  <si>
    <t xml:space="preserve">VIX: Gamma Flip &amp; Call Wall CE &amp; Key Delta, 15.0, Implied Movement +σ, 14.04, Implied Movement +2σ, 14.72, Large Gamma 2 &amp; Gamma Flip CE, 14.0, Put Wall CE &amp; Put Wall &amp; Large Gamma 1 &amp; Gamma Field &amp; Gamma Field CE &amp; Call Wall, 13.5, Implied Movement -2σ, 12.62, Implied Movement -σ, 13.3, 20240717 070000</t>
  </si>
  <si>
    <t xml:space="preserve">VIX: Implied Movement +σ, 15.99, Call Wall CE, 14.5, Large Gamma 2 &amp; Call Wall &amp; Key Delta, 17.0, Implied Movement -2σ, 12.51, Implied Movement -σ, 13.11, Put Wall &amp; Large Gamma 1 &amp; Gamma Field &amp; Gamma Flip, 15.0, Gamma Field CE, 14.0, Put Dominate , 10.0, Put Wall CE &amp; Gamma Flip CE, 12.5, Implied Movement +2σ, 16.59, 20240718 070000</t>
  </si>
  <si>
    <t xml:space="preserve">VIX: Implied Movement -σ, 14.45, Implied Movement -2σ, 13.59, Large Gamma 2 &amp; Gamma Field &amp; Call Wall &amp; Key Delta, 17.0, Put Dominate , 10.0, Implied Movement +2σ, 18.97, Call Dominate , 22.0, Call Wall CE, 18.0, Implied Movement +σ, 18.11, Put Wall CE &amp; Put Wall &amp; Large Gamma 1 &amp; Gamma Field CE &amp; Gamma Flip &amp; Gamma Flip CE, 15.0, 20240719 070000</t>
  </si>
  <si>
    <t xml:space="preserve">VIX: Implied Movement +σ, 17.65, Call Wall CE, 18.0, Implied Movement -2σ, 13.73, Implied Movement +2σ, 18.79, Put Wall CE &amp; Put Wall &amp; Large Gamma 1 &amp; Gamma Field &amp; Gamma Field CE &amp; Gamma Flip, 15.0, Large Gamma 2 &amp; Call Wall &amp; Key Delta, 17.0, Implied Movement -σ, 14.87, Put Dominate , 14.0, Gamma Flip CE, 16.0, 20240722 070000</t>
  </si>
  <si>
    <t xml:space="preserve">VIX: Put Wall CE &amp; Put Wall &amp; Large Gamma 1 &amp; Gamma Field &amp; Gamma Field CE &amp; Gamma Flip, 15.0, Implied Movement +σ, 15.72, Put Dominate , 14.0, Implied Movement +2σ, 16.6, Call Wall CE, 14.5, Implied Movement -σ, 14.16, Gamma Flip CE, 16.0, Large Gamma 2 &amp; Call Wall &amp; Key Delta, 17.0, Implied Movement -2σ, 13.28, 20240723 070000</t>
  </si>
  <si>
    <t xml:space="preserve">VIX: Implied Movement +σ, 15.88, Large Gamma 1 &amp; Call Wall &amp; Key Delta, 17.0, Call Wall CE, 14.5, Implied Movement -σ, 14.84, Put Wall CE &amp; Put Wall &amp; Large Gamma 2 &amp; Gamma Field &amp; Gamma Field CE &amp; Gamma Flip, 15.0, Implied Movement -2σ, 13.89, Put Dominate , 14.0, Implied Movement +2σ, 16.83, Gamma Flip CE, 16.0, 20240724 070000</t>
  </si>
  <si>
    <t xml:space="preserve">VIX: Call Dominate , 25.0, Large Gamma 1 &amp; Gamma Field &amp; Call Wall &amp; Key Delta, 17.0, Large Gamma 2, 16.0, Implied Movement +σ, 20.85, Put Wall CE &amp; Put Wall &amp; Gamma Flip &amp; Gamma Flip CE, 15.0, Gamma Field CE &amp; Call Wall CE, 20.0, Implied Movement -2σ, 14.52, Put Dominate , 14.0, Implied Movement +2σ, 21.94, Implied Movement -σ, 15.61, 20240725 070000</t>
  </si>
  <si>
    <t xml:space="preserve">VIX: Large Gamma 1 &amp; Gamma Flip CE, 16.0, Implied Movement +2σ, 20.81, Implied Movement +σ, 19.75, Implied Movement -σ, 15.27, Put Dominate , 14.0, Put Wall CE &amp; Put Wall &amp; Gamma Flip, 15.0, Large Gamma 2 &amp; Gamma Field &amp; Call Wall &amp; Key Delta, 17.0, Call Dominate , 25.0, Gamma Field CE &amp; Call Wall CE, 20.0, Implied Movement -2σ, 14.21, 20240726 070000</t>
  </si>
  <si>
    <t xml:space="preserve">VIX: Implied Movement -2σ, 13.95, Implied Movement +2σ, 19.39, Large Gamma 1 &amp; Gamma Field CE &amp; Gamma Flip CE, 16.0, Put Dominate , 14.0, Call Wall &amp; Key Delta, 17.0, Put Wall CE &amp; Put Wall &amp; Large Gamma 2 &amp; Gamma Field &amp; Gamma Flip, 15.0, Call Wall CE, 20.0, Implied Movement -σ, 15.18, Implied Movement +σ, 18.16, 20240729 070000</t>
  </si>
  <si>
    <t xml:space="preserve">VIX: Implied Movement -2σ, 14.07, Call Wall CE, 20.0, Large Gamma 1 &amp; Gamma Field CE &amp; Gamma Flip CE, 16.0, Implied Movement +σ, 17.66, Implied Movement +2σ, 18.95, Put Dominate , 14.0, Call Wall &amp; Key Delta, 17.0, Implied Movement -σ, 15.36, Put Wall CE &amp; Put Wall &amp; Large Gamma 2 &amp; Gamma Field &amp; Gamma Flip, 15.0, 20240730 070000</t>
  </si>
  <si>
    <t xml:space="preserve">VIX: Implied Movement -2σ, 14.7, Put Dominate , 14.0, Gamma Field &amp; Gamma Field CE &amp; Call Wall &amp; Call Wall CE &amp; Key Delta, 17.0, Put Wall &amp; Large Gamma 2, 15.0, Put Wall CE &amp; Large Gamma 1 &amp; Gamma Flip &amp; Gamma Flip CE, 16.0, Implied Movement +σ, 17.33, Implied Movement -σ, 15.95, Implied Movement +2σ, 18.58, 20240731 070000</t>
  </si>
  <si>
    <t xml:space="preserve">VIX: Implied Movement -σ, 14.55, Implied Movement -2σ, 13.78, Call Wall &amp; Call Wall CE &amp; Key Delta, 17.0, Implied Movement +σ, 18.23, Put Wall &amp; Large Gamma 2 &amp; Gamma Field, 15.0, Implied Movement +2σ, 19.0, Put Wall CE &amp; Put Dominate , 14.0, Large Gamma 1 &amp; Gamma Field CE &amp; Gamma Flip &amp; Gamma Flip CE, 16.0, 20240801 070000</t>
  </si>
  <si>
    <t xml:space="preserve">VIX: Call Dominate , 25.0, Implied Movement +σ, 23.43, Put Wall CE &amp; Put Wall &amp; Large Gamma 2 &amp; Gamma Flip, 16.0, Large Gamma 1 &amp; Gamma Field &amp; Gamma Field CE &amp; Gamma Flip CE &amp; Call Wall &amp; Key Delta, 17.0, Call Wall CE, 20.0, Implied Movement +2σ, 24.86, Implied Movement -2σ, 15.94, Put Dominate , 14.0, Implied Movement -σ, 17.37, 20240802 070000</t>
  </si>
  <si>
    <t xml:space="preserve">VIX: Implied Movement +σ, 57.37, Put Wall CE &amp; Gamma Flip CE, 24.0, Implied Movement -2σ, 56.1, Gamma Flip, 16.0, Gamma Field CE &amp; Call Wall CE, 30.0, Gamma Field &amp; Call Wall, 25.0, Put Wall &amp; Key Delta, 17.0, Implied Movement -σ, 56.47, Implied Movement +2σ, 57.74, Large Gamma 1 &amp; Large Gamma 2, 50.0, 20240805 070000</t>
  </si>
  <si>
    <t xml:space="preserve">VIX: Gamma Field CE &amp; Call Wall CE, 30.0, Large Gamma 2 &amp; Gamma Field &amp; Call Wall, 25.0, Put Wall &amp; Large Gamma 1 &amp; Key Delta, 17.0, Implied Movement +2σ, 43.98, Implied Movement -σ, 26.28, Implied Movement +σ, 37.62, Gamma Flip CE, 29.0, Gamma Flip, 16.0, Put Dominate , 14.0, Call Dominate , 28.0, Put Wall CE, 20.0, Implied Movement -2σ, 19.92, 20240806 070000</t>
  </si>
  <si>
    <t xml:space="preserve">VIX: Put Dominate , 14.0, Call Wall CE, 30.0, Implied Movement +σ, 24.41, Gamma Flip, 16.0, Gamma Field CE, 26.0, Large Gamma 2, 20.0, Put Wall &amp; Large Gamma 1 &amp; Gamma Field &amp; Call Wall &amp; Key Delta, 17.0, Gamma Flip CE, 25.0, Implied Movement -σ, 21.13, Implied Movement -2σ, 18.13, Put Wall CE, 24.0, Call Dominate , 28.0, Implied Movement +2σ, 27.41, 20240807 070000</t>
  </si>
  <si>
    <t xml:space="preserve">VIX: Implied Movement +σ, 35.87, Large Gamma 2 &amp; Call Wall, 25.0, Gamma Flip CE, 24.0, Call Wall CE, 30.0, Put Wall &amp; Large Gamma 1 &amp; Gamma Field &amp; Key Delta, 17.0, Implied Movement -2σ, 17.5, Put Dominate , 14.0, Put Wall CE &amp; Gamma Field CE, 22.0, Gamma Flip, 16.0, Implied Movement +2σ, 39.02, Implied Movement -σ, 20.65, Call Dominate , 28.0, 20240808 070000</t>
  </si>
  <si>
    <t xml:space="preserve">VIX: Implied Movement -2σ, 16.51, Large Gamma 2, 20.0, Gamma Flip, 16.0, Put Dominate , 14.0, Implied Movement +2σ, 30.73, Call Wall CE, 30.0, Implied Movement -σ, 18.79, Call Dominate , 28.0, Put Wall CE &amp; Gamma Field CE, 22.0, Implied Movement +σ, 28.45, Gamma Flip CE, 24.0, Put Wall &amp; Large Gamma 1 &amp; Gamma Field &amp; Call Wall &amp; Key Delta, 17.0, 20240809 070000</t>
  </si>
  <si>
    <t xml:space="preserve">VIX: Call Dominate , 28.0, Implied Movement -σ, 17.9, Gamma Flip CE, 22.0, Put Wall CE &amp; Gamma Field CE, 19.0, Put Dominate , 14.0, Implied Movement +2σ, 25.44, Gamma Flip, 18.0, Put Wall &amp; Large Gamma 1 &amp; Large Gamma 2 &amp; Gamma Field &amp; Call Wall &amp; Key Delta, 17.0, Implied Movement +σ, 23.24, Implied Movement -2σ, 15.7, Call Wall CE, 30.0, 20240812 070000</t>
  </si>
  <si>
    <t xml:space="preserve">VIX: Call Wall CE, 23.0, Put Dominate , 14.0, Implied Movement -σ, 18.41, Implied Movement -2σ, 15.89, Implied Movement +σ, 22.91, Implied Movement +2σ, 25.43, Gamma Flip, 18.0, Call Dominate , 28.0, Put Wall CE &amp; Gamma Field CE, 19.0, Put Wall &amp; Large Gamma 1 &amp; Large Gamma 2 &amp; Gamma Field &amp; Call Wall &amp; Key Delta, 17.0, Gamma Flip CE, 22.0, 20240813 070000</t>
  </si>
  <si>
    <t xml:space="preserve">VIX: Put Wall &amp; Large Gamma 1, 16.0, Implied Movement -σ, 17.42, Put Dominate , 14.0, Implied Movement +2σ, 20.9, Put Wall CE &amp; Gamma Field CE, 18.0, Call Wall CE, 20.0, Large Gamma 2 &amp; Gamma Field &amp; Gamma Flip &amp; Call Wall &amp; Key Delta, 17.0, Gamma Flip CE, 19.0, Implied Movement +σ, 19.24, Implied Movement -2σ, 15.76, 20240814 070000</t>
  </si>
  <si>
    <t xml:space="preserve">VIX: Gamma Flip &amp; Call Wall CE, 18.0, Implied Movement +σ, 17.54, Implied Movement -σ, 15.3, Put Dominate , 14.0, Call Dominate , 22.0, Large Gamma 1 &amp; Gamma Field &amp; Call Wall &amp; Key Delta, 17.0, Put Wall CE &amp; Put Wall &amp; Gamma Field CE, 15.0, Implied Movement -2σ, 14.04, Large Gamma 2 &amp; Gamma Flip CE, 16.0, Implied Movement +2σ, 18.8, 20240903 070000</t>
  </si>
  <si>
    <t xml:space="preserve">VIX: Put Dominate , 14.0, Large Gamma 2 &amp; Key Delta, 20.0, Put Wall CE &amp; Call Dominate , 22.0, Implied Movement +2σ, 27.39, Implied Movement -2σ, 18.07, Gamma Flip CE, 19.0, Implied Movement +σ, 24.38, Put Wall &amp; Large Gamma 1 &amp; Gamma Field &amp; Call Wall, 17.0, Implied Movement -σ, 21.08, Gamma Flip, 18.0, Gamma Field CE &amp; Call Wall CE, 21.0, 20240904 070000</t>
  </si>
  <si>
    <t xml:space="preserve">VIX: Implied Movement +2σ, 26.49, Put Dominate , 14.0, Implied Movement +σ, 24.9, Call Dominate , 22.0, Put Wall CE &amp; Put Wall &amp; Large Gamma 1 &amp; Gamma Field &amp; Gamma Field CE &amp; Gamma Flip CE &amp; Call Wall, 17.0, Gamma Flip, 19.0, Large Gamma 2 &amp; Call Wall CE &amp; Key Delta, 20.0, Implied Movement -σ, 17.24, Implied Movement -2σ, 15.65, 20240905 070000</t>
  </si>
  <si>
    <t xml:space="preserve">VIX: Implied Movement +2σ, 24.93, Implied Movement -2σ, 15.43, Gamma Field CE &amp; Call Wall CE, 21.0, Implied Movement +σ, 23.41, Call Dominate , 28.0, Put Dominate , 14.0, Large Gamma 2 &amp; Key Delta, 20.0, Put Wall CE &amp; Put Wall &amp; Large Gamma 1 &amp; Gamma Field &amp; Gamma Flip CE &amp; Call Wall, 17.0, Gamma Flip, 19.0, Implied Movement -σ, 16.95, 20240906 070000</t>
  </si>
  <si>
    <t xml:space="preserve">VIX: Implied Movement +σ, 23.6, Implied Movement -σ, 18.58, Implied Movement +2σ, 25.68, Implied Movement -2σ, 16.5, Call Dominate , 25.0, Put Wall CE &amp; Put Wall &amp; Large Gamma 1, 17.0, Large Gamma 2 &amp; Gamma Field &amp; Call Wall &amp; Key Delta, 20.0, Put Dominate , 14.0, Gamma Field CE &amp; Call Wall CE, 21.0, Gamma Flip &amp; Gamma Flip CE, 19.0, 20240909 070000</t>
  </si>
  <si>
    <t xml:space="preserve">VIX: Put Wall CE &amp; Large Gamma 2 &amp; Gamma Field CE &amp; Gamma Flip CE, 20.0, Implied Movement +σ, 21.56, Implied Movement -σ, 17.88, Implied Movement +2σ, 23.61, Gamma Flip, 19.0, Implied Movement -2σ, 15.83, Call Wall CE, 21.0, Put Wall &amp; Large Gamma 1 &amp; Gamma Field &amp; Call Wall &amp; Key Delta, 17.0, Call Dominate , 22.0, Put Dominate , 14.0, 20240910 070000</t>
  </si>
  <si>
    <t xml:space="preserve">VIX: Call Dominate , 22.0, Large Gamma 2 &amp; Gamma Flip CE, 20.0, Put Dominate , 14.0, Put Wall CE &amp; Gamma Field CE &amp; Gamma Flip, 19.0, Implied Movement +2σ, 21.96, Call Wall CE, 21.0, Implied Movement +σ, 20.29, Implied Movement -2σ, 16.8, Implied Movement -σ, 18.47, Put Wall &amp; Large Gamma 1 &amp; Gamma Field &amp; Call Wall &amp; Key Delta, 17.0, 20240911 070000</t>
  </si>
  <si>
    <t xml:space="preserve">VIX: Call Wall CE, 20.0, Put Wall &amp; Large Gamma 1 &amp; Gamma Field &amp; Gamma Field CE &amp; Call Wall &amp; Key Delta, 17.0, Implied Movement +2σ, 21.02, Call Dominate , 22.0, Implied Movement -σ, 15.66, Gamma Flip &amp; Gamma Flip CE, 19.0, Implied Movement -2σ, 14.74, Implied Movement +σ, 20.1, Put Dominate , 14.0, Put Wall CE &amp; Large Gamma 2, 16.0, 20240912 070000</t>
  </si>
  <si>
    <t xml:space="preserve">VIX: Implied Movement -2σ, 14.23, Put Wall CE, 15.0, Call Wall CE, 20.0, Gamma Flip CE, 19.0, Put Wall &amp; Large Gamma 1 &amp; Gamma Field &amp; Gamma Field CE &amp; Call Wall &amp; Key Delta, 17.0, Large Gamma 2, 16.0, Implied Movement +σ, 18.8, Implied Movement -σ, 15.1, Call Dominate , 22.0, Implied Movement +2σ, 19.67, Put Dominate , 14.0, Gamma Flip, 18.0, 20240913 070000</t>
  </si>
  <si>
    <t xml:space="preserve">VIX: Call Dominate , 22.0, Put Dominate , 14.0, Implied Movement -2σ, 14.8, Put Wall &amp; Large Gamma 1 &amp; Gamma Field &amp; Gamma Field CE &amp; Call Wall &amp; Key Delta, 17.0, Large Gamma 2, 18.0, Call Wall CE, 20.0, Put Wall CE &amp; Gamma Flip CE, 16.0, Implied Movement +2σ, 19.48, Implied Movement +σ, 18.24, Implied Movement -σ, 16.04, Gamma Flip, 19.0,  20240916 020552</t>
  </si>
  <si>
    <t xml:space="preserve">VIX: Put Dominate , 14.0, Implied Movement -2σ, 14.68, Put Wall &amp; Large Gamma 1 &amp; Gamma Field &amp; Gamma Field CE &amp; Gamma Flip &amp; Call Wall &amp; Key Delta, 17.0, Put Wall CE &amp; Large Gamma 2 &amp; Gamma Flip CE, 16.0, Implied Movement -σ, 15.93, Implied Movement +2σ, 19.42, Call Dominate , 22.0, Call Wall CE, 20.0, Implied Movement +σ, 18.17,  20240917 072430</t>
  </si>
  <si>
    <t xml:space="preserve">VIX: Implied Movement +σ, 18.4, Gamma Flip CE, 16.0, Implied Movement -2σ, 15.5, Put Dominate , 14.0, Put Wall &amp; Large Gamma 1 &amp; Gamma Field &amp; Gamma Field CE &amp; Call Wall &amp; Call Wall CE, 18.0, Call Dominate , 22.0, Large Gamma 2 &amp; Gamma Flip &amp; Key Delta, 17.0, Implied Movement +2σ, 19.78, Implied Movement -σ, 16.88, Put Wall CE, 19.0,  20240918 074953</t>
  </si>
  <si>
    <t xml:space="preserve">VIX: Implied Movement -σ, 14.7, Implied Movement +σ, 18.4, Implied Movement -2σ, 13.93, Call Wall CE, 20.0, Large Gamma 2 &amp; Gamma Field &amp; Call Wall &amp; Key Delta, 19.0, Put Dominate , 14.0, Implied Movement +2σ, 19.17, Put Wall &amp; Large Gamma 1 &amp; Gamma Flip, 18.0, Call Dominate , 22.0, Put Wall CE &amp; Gamma Field CE &amp; Gamma Flip CE, 16.0,  20240919 070329</t>
  </si>
  <si>
    <t xml:space="preserve">VIX: Call Wall CE, 20.0, Put Dominate , 14.0, Implied Movement -σ, 14.89, Implied Movement +σ, 17.91, Implied Movement +2σ, 18.63, Put Wall &amp; Large Gamma 1 &amp; Gamma Field &amp; Gamma Flip &amp; Key Delta, 18.0, Large Gamma 2 &amp; Call Wall, 19.0, Call Dominate , 22.0, Implied Movement -2σ, 14.17, Put Wall CE &amp; Gamma Field CE &amp; Gamma Flip CE, 16.0,  20240920 074349</t>
  </si>
  <si>
    <t xml:space="preserve">VIX: Put Wall CE &amp; Gamma Field CE &amp; Gamma Flip CE, 16.0, Put Dominate , 14.0, Implied Movement -σ, 15.42, Implied Movement -2σ, 14.54, Put Wall &amp; Call Wall CE, 17.0, Implied Movement +σ, 17.56, Large Gamma 2 &amp; Call Wall &amp; Key Delta, 19.0, Implied Movement +2σ, 18.44, Call Dominate , 22.0, Large Gamma 1 &amp; Gamma Field &amp; Gamma Flip, 18.0,  20240923 075920</t>
  </si>
  <si>
    <t xml:space="preserve">VIX: Implied Movement -σ, 15.23, Put Dominate , 14.0, Large Gamma 2 &amp; Gamma Flip, 19.0, Implied Movement -2σ, 14.28, Implied Movement +2σ, 17.88, Put Wall, 17.0, Put Wall CE &amp; Gamma Field CE &amp; Gamma Flip CE, 16.0, Large Gamma 1 &amp; Gamma Field &amp; Call Wall &amp; Call Wall CE &amp; Key Delta, 18.0, Implied Movement +σ, 16.93,  20240924 073607</t>
  </si>
  <si>
    <t xml:space="preserve">VIX: Put Wall CE &amp; Gamma Field CE &amp; Gamma Flip CE, 16.0, Implied Movement +2σ, 16.93, Call Wall CE, 17.0, Put Dominate , 14.0, Implied Movement +σ, 16.12, Large Gamma 2 &amp; Gamma Flip, 19.0, Implied Movement -2σ, 14.43, Put Wall &amp; Large Gamma 1 &amp; Gamma Field &amp; Call Wall &amp; Key Delta, 18.0, Implied Movement -σ, 15.24,  20240925 072146</t>
  </si>
  <si>
    <t xml:space="preserve">VIX: Implied Movement +σ, 16.63, Implied Movement -2σ, 13.15, Large Gamma 2 &amp; Gamma Flip, 19.0, Put Wall CE &amp; Gamma Flip CE, 15.0, Gamma Field CE &amp; Call Wall CE, 17.0, Implied Movement -σ, 13.75, Put Wall &amp; Large Gamma 1 &amp; Gamma Field &amp; Call Wall &amp; Key Delta, 18.0, Implied Movement +2σ, 17.23, Put Dominate , 14.0,  20240926 075141</t>
  </si>
  <si>
    <t xml:space="preserve">VIX: Put Dominate , 14.0, Put Wall CE &amp; Gamma Flip CE, 15.0, Implied Movement -σ, 14.39, Implied Movement -2σ, 13.83, Gamma Field CE &amp; Call Wall CE, 17.0, Large Gamma 2 &amp; Gamma Flip, 19.0, Implied Movement +σ, 16.79, Put Wall &amp; Large Gamma 1 &amp; Gamma Field &amp; Call Wall &amp; Key Delta, 18.0, Implied Movement +2σ, 17.35,  20240927 073838</t>
  </si>
  <si>
    <t xml:space="preserve">VIX: Large Gamma 2 &amp; Gamma Flip, 19.0, Implied Movement -2σ, 14.74, Call Dominate , 22.0, Implied Movement +σ, 18.73, Implied Movement -σ, 15.91, Gamma Field CE &amp; Call Wall CE, 17.0, Put Wall &amp; Large Gamma 1 &amp; Gamma Field, 18.0, Put Wall CE &amp; Gamma Flip CE, 15.0, Put Dominate , 14.0, Implied Movement +2σ, 19.9, Call Wall &amp; Key Delta, 20.0,  20240930 073023</t>
  </si>
  <si>
    <t xml:space="preserve">VIX: Gamma Field CE &amp; Call Wall CE, 17.0, Implied Movement -σ, 15.82, Implied Movement -2σ, 14.88, Implied Movement +2σ, 18.44, Put Dominate , 14.0, Large Gamma 2 &amp; Gamma Flip, 19.0, Put Wall &amp; Large Gamma 1 &amp; Gamma Field &amp; Key Delta, 18.0, Put Wall CE, 15.0, Implied Movement +σ, 17.5, Gamma Flip CE, 16.0, Call Wall, 20.0,  20241001 073010</t>
  </si>
  <si>
    <t xml:space="preserve">VIX: Put Wall &amp; Large Gamma 1 &amp; Gamma Field &amp; Gamma Flip, 19.0, Gamma Field CE &amp; Call Wall &amp; Call Wall CE &amp; Key Delta, 20.0, Call Dominate , 22.0, Put Dominate , 14.0, Implied Movement +σ, 17.93, Large Gamma 2, 18.0, Gamma Flip CE, 15.0, Implied Movement -σ, 16.55, Implied Movement -2σ, 15.28, Put Wall CE, 14.5, Implied Movement +2σ, 19.2, 20241002 074800</t>
  </si>
  <si>
    <t xml:space="preserve">VIX: Put Wall CE &amp; Large Gamma 2 &amp; Gamma Field CE, 18.0, Put Dominate , 14.0, Gamma Flip CE &amp; Call Dominate , 22.0, Implied Movement +2σ, 23.6, Put Wall &amp; Large Gamma 1 &amp; Gamma Field &amp; Gamma Flip, 19.0, Call Wall &amp; Key Delta, 20.0, Implied Movement +σ, 22.48, Call Wall CE, 28.0, Implied Movement -2σ, 15.96, Implied Movement -σ, 17.08,  20241003 073010</t>
  </si>
  <si>
    <t xml:space="preserve">VIX: Implied Movement -σ, 17.32, Implied Movement -2σ, 16.04, Put Wall CE &amp; Put Wall &amp; Large Gamma 1 &amp; Gamma Field &amp; Gamma Field CE &amp; Gamma Flip, 19.0, Large Gamma 2, 18.0, Call Wall CE, 28.0, Call Wall &amp; Key Delta, 20.0, Put Dominate , 14.0, Implied Movement +σ, 22.72, Implied Movement +2σ, 24.0, Gamma Flip CE &amp; Call Dominate , 22.0,  20241004 073010</t>
  </si>
  <si>
    <t xml:space="preserve">VIX: Implied Movement -2σ, 16.04, Put Wall &amp; Large Gamma 1 &amp; Gamma Field &amp; Gamma Field CE &amp; Gamma Flip, 19.0, Implied Movement -σ, 17.47, Put Wall CE, 18.0, Implied Movement +2σ, 22.38, Implied Movement +σ, 20.95, Large Gamma 2 &amp; Call Wall &amp; Key Delta, 20.0, Gamma Flip CE &amp; Call Dominate , 22.0, Put Dominate , 14.0, Call Wall CE, 23.0,  20241007 073013</t>
  </si>
  <si>
    <t xml:space="preserve">VIX: Large Gamma 2 &amp; Call Wall &amp; Key Delta, 20.0, Call Wall CE, 23.0, Implied Movement -2σ, 17.87, Implied Movement +σ, 24.89, Put Dominate , 14.0, Gamma Field CE &amp; Gamma Flip CE &amp; Call Dominate , 22.0, Implied Movement +2σ, 27.41, Implied Movement -σ, 20.39, Put Wall CE &amp; Put Wall &amp; Large Gamma 1 &amp; Gamma Field &amp; Gamma Flip, 19.0,  20241008 073009</t>
  </si>
  <si>
    <t xml:space="preserve">VIX: Call Wall CE, 23.0, Put Dominate , 15.0, Implied Movement -2σ, 18.53, Large Gamma 1 &amp; Gamma Field &amp; Call Wall &amp; Key Delta, 20.0, Put Wall CE, 21.0, Gamma Field CE &amp; Gamma Flip CE &amp; Call Dominate , 22.0, Implied Movement -σ, 20.4, Implied Movement +σ, 22.44, Put Wall &amp; Large Gamma 2 &amp; Gamma Flip, 19.0, Implied Movement +2σ, 24.31,  20241009 073019</t>
  </si>
  <si>
    <t xml:space="preserve">VIX: Implied Movement -2σ, 16.56, Large Gamma 2, 21.0, Call Dominate , 22.0, Put Wall CE &amp; Put Wall &amp; Gamma Flip &amp; Gamma Flip CE, 19.0, Put Dominate , 15.0, Call Wall CE, 25.0, Implied Movement -σ, 17.82, Large Gamma 1 &amp; Gamma Field &amp; Gamma Field CE &amp; Call Wall &amp; Key Delta, 20.0, Implied Movement +σ, 23.9, Implied Movement +2σ, 25.16,  20241010 073007</t>
  </si>
  <si>
    <t xml:space="preserve">VIX: Put Wall &amp; Large Gamma 1 &amp; Gamma Field CE, 21.0, Implied Movement +2σ, 24.93, Implied Movement -2σ, 16.93, Call Dominate , 25.0, Implied Movement -σ, 18.21, Put Wall CE &amp; Gamma Flip &amp; Gamma Flip CE, 19.0, Put Dominate , 15.0, Large Gamma 2 &amp; Gamma Field &amp; Call Wall &amp; Call Wall CE &amp; Key Delta, 20.0, Implied Movement +σ, 23.65,  20241011 073013</t>
  </si>
  <si>
    <t xml:space="preserve">VIX: Put Dominate , 15.0, Implied Movement +σ, 22.4, Implied Movement -2σ, 16.92, Put Wall &amp; Large Gamma 2, 21.0, Implied Movement -σ, 18.52, Put Wall CE &amp; Gamma Flip &amp; Gamma Flip CE, 19.0, Call Dominate , 22.0, Implied Movement +2σ, 24.0, Large Gamma 1 &amp; Gamma Field &amp; Gamma Field CE &amp; Call Wall &amp; Call Wall CE &amp; Key Delta, 20.0,  20241014 073009</t>
  </si>
  <si>
    <t xml:space="preserve">VIX: Put Wall &amp; Large Gamma 1 &amp; Gamma Field &amp; Gamma Field CE &amp; Call Wall &amp; Call Wall CE &amp; Key Delta, 20.0, Implied Movement +2σ, 22.73, Put Wall CE &amp; Large Gamma 2 &amp; Gamma Flip &amp; Gamma Flip CE, 19.0, Implied Movement +σ, 21.13, Call Dominate , 22.0, Implied Movement -σ, 18.27, Implied Movement -2σ, 16.67, Put Dominate , 17.0,  20241015 073019</t>
  </si>
  <si>
    <t xml:space="preserve">VIX: Implied Movement -σ, 19.65, Implied Movement -2σ, 17.85, Put Wall &amp; Large Gamma 1 &amp; Gamma Field &amp; Gamma Field CE &amp; Call Wall &amp; Call Wall CE, 21.0, Call Dominate , 25.0, Implied Movement +2σ, 23.43, Implied Movement +σ, 21.63, Gamma Flip, 18.0, Put Wall CE &amp; Large Gamma 2 &amp; Gamma Flip CE, 19.0, Put Dominate , 15.0, Key Delta, 20.0,  20241016 073020</t>
  </si>
  <si>
    <t xml:space="preserve">VIX: Call Dominate , 22.0, Implied Movement -2σ, 15.96, Put Wall CE &amp; Put Wall &amp; Large Gamma 1 &amp; Gamma Field &amp; Gamma Flip CE, 19.0, Large Gamma 2 &amp; Gamma Field CE &amp; Call Wall &amp; Call Wall CE &amp; Key Delta, 20.0, Implied Movement +σ, 22.14, Gamma Flip, 18.0, Implied Movement -σ, 17.02, Put Dominate , 14.0, Implied Movement +2σ, 23.2,  20241017 073015</t>
  </si>
  <si>
    <t xml:space="preserve">VIX: Gamma Flip, 18.0, Put Wall CE &amp; Put Wall &amp; Large Gamma 1 &amp; Gamma Field &amp; Gamma Field CE &amp; Gamma Flip CE, 19.0, Implied Movement -σ, 16.93, Implied Movement +2σ, 22.31, Put Dominate , 14.0, Implied Movement +σ, 21.29, Call Dominate , 22.0, Implied Movement -2σ, 15.91, Large Gamma 2 &amp; Call Wall &amp; Call Wall CE &amp; Key Delta, 20.0,  20241018 073012</t>
  </si>
  <si>
    <t xml:space="preserve">VIX: Implied Movement -2σ, 15.31, Large Gamma 2 &amp; Gamma Field CE &amp; Call Wall &amp; Call Wall CE &amp; Key Delta, 20.0, Implied Movement -σ, 16.54, Gamma Flip, 18.0, Implied Movement +σ, 19.52, Implied Movement +2σ, 20.75, Call Dominate , 22.0, Put Dominate , 14.0, Put Wall CE &amp; Put Wall &amp; Large Gamma 1 &amp; Gamma Field &amp; Gamma Flip CE, 19.0,  20241021 073009</t>
  </si>
  <si>
    <t xml:space="preserve">VIX: Implied Movement -2σ, 15.35, Put Wall CE &amp; Gamma Field CE &amp; Gamma Flip, 18.0, Large Gamma 2 &amp; Call Wall &amp; Call Wall CE, 20.0, Put Wall &amp; Large Gamma 1 &amp; Gamma Field &amp; Gamma Flip CE &amp; Key Delta, 19.0, Implied Movement +2σ, 21.39, Implied Movement -σ, 16.95, Call Dominate , 22.0, Put Dominate , 14.0, Implied Movement +σ, 19.79,  20241022 073012</t>
  </si>
  <si>
    <t xml:space="preserve">VIX: Call Dominate , 25.0, Large Gamma 2 &amp; Call Wall CE, 20.0, Implied Movement -σ, 17.48, Put Wall &amp; Large Gamma 1 &amp; Gamma Field &amp; Gamma Flip CE &amp; Call Wall &amp; Key Delta, 19.0, Implied Movement +σ, 18.92, Implied Movement +2σ, 20.23, Put Dominate , 14.0, Put Wall CE &amp; Gamma Field CE &amp; Gamma Flip, 18.0, Implied Movement -2σ, 16.17,  20241023 073010</t>
  </si>
  <si>
    <t xml:space="preserve">VIX: Put Wall &amp; Large Gamma 1 &amp; Gamma Field &amp; Call Wall &amp; Key Delta, 19.0, Large Gamma 2 &amp; Call Wall CE, 20.0, Implied Movement +σ, 21.72, Call Dominate , 25.0, Implied Movement +2σ, 22.74, Put Dominate , 14.0, Put Wall CE &amp; Gamma Field CE &amp; Gamma Flip &amp; Gamma Flip CE, 18.0, Implied Movement -σ, 16.76, Implied Movement -2σ, 15.74,  20241024 073013</t>
  </si>
  <si>
    <t xml:space="preserve">VIX: Put Dominate , 14.0, Implied Movement -σ, 16.71, Large Gamma 2 &amp; Call Wall &amp; Call Wall CE &amp; Key Delta, 20.0, Call Dominate , 25.0, Implied Movement +σ, 21.45, Put Wall &amp; Large Gamma 1 &amp; Gamma Field &amp; Gamma Flip CE, 19.0, Implied Movement +2σ, 22.57, Implied Movement -2σ, 15.59, Put Wall CE &amp; Gamma Field CE &amp; Gamma Flip, 18.0,  20241025 073008</t>
  </si>
  <si>
    <t xml:space="preserve">VIX: Implied Movement -σ, 18.5, Large Gamma 2 &amp; Gamma Field CE &amp; Call Wall &amp; Call Wall CE, 20.0, Put Dominate , 14.0, Implied Movement +σ, 22.16, Call Dominate , 22.0, Implied Movement +2σ, 23.67, Implied Movement -2σ, 16.99, Put Wall &amp; Large Gamma 1 &amp; Gamma Field &amp; Key Delta, 19.0, Put Wall CE &amp; Gamma Flip &amp; Gamma Flip CE, 18.0,  20241028 083006</t>
  </si>
  <si>
    <t xml:space="preserve">VIX: Call Dominate , 22.0, Implied Movement -2σ, 16.54, Put Wall CE &amp; Gamma Field CE &amp; Gamma Flip, 18.0, Large Gamma 2 &amp; Call Wall &amp; Call Wall CE, 20.0, Put Wall &amp; Large Gamma 1 &amp; Gamma Field &amp; Gamma Flip CE &amp; Key Delta, 19.0, Implied Movement +2σ, 23.06, Put Dominate , 14.0, Implied Movement -σ, 18.26, Implied Movement +σ, 21.34,  20241029 083020</t>
  </si>
  <si>
    <t xml:space="preserve">VIX: Implied Movement +σ, 20.25, Call Dominate , 22.0, Large Gamma 2 &amp; Call Wall &amp; Call Wall CE, 20.0, Implied Movement +2σ, 21.9, Implied Movement -σ, 18.43, Put Wall &amp; Large Gamma 1 &amp; Gamma Field &amp; Gamma Field CE &amp; Gamma Flip CE &amp; Key Delta, 19.0, Implied Movement -2σ, 16.78, Put Wall CE &amp; Gamma Flip, 18.0, Put Dominate , 14.0,  20241030 083022</t>
  </si>
  <si>
    <t xml:space="preserve">VIX: Implied Movement -2σ, 17.45, Put Dominate , 14.0, Implied Movement -σ, 18.3, Implied Movement +2σ, 23.25, Large Gamma 2 &amp; Gamma Field CE &amp; Call Wall &amp; Call Wall CE &amp; Key Delta, 20.0, Call Dominate , 22.0, Put Wall CE &amp; Gamma Flip &amp; Gamma Flip CE, 18.0, Implied Movement +σ, 22.4, Put Wall &amp; Large Gamma 1 &amp; Gamma Field, 19.0,  20241031 083013</t>
  </si>
  <si>
    <t xml:space="preserve">VIX: Implied Movement +σ, 25.47, Large Gamma 2, 19.0, Implied Movement -2σ, 19.76, Implied Movement -σ, 20.85, Large Gamma 1 &amp; Gamma Field &amp; Call Wall &amp; Key Delta, 20.0, Put Wall, 16.0, Put Wall CE &amp; Gamma Flip &amp; Gamma Flip CE, 18.0, Implied Movement +2σ, 26.56, Call Dominate , 22.0, Gamma Field CE &amp; Call Wall CE, 23.0,  20241101 083013</t>
  </si>
  <si>
    <t xml:space="preserve">VIX: Put Wall, 16.0, Large Gamma 1 &amp; Gamma Field &amp; Call Wall &amp; Key Delta, 20.0, Put Dominate , 14.0, Put Wall CE &amp; Gamma Flip &amp; Gamma Flip CE, 18.0, Implied Movement +2σ, 26.65, Gamma Field CE &amp; Call Wall CE, 23.0, Implied Movement -σ, 19.27, Large Gamma 2, 19.0, Implied Movement -2σ, 17.11, Implied Movement +σ, 24.49, Call Dominate , 22.0,  20241104 073014</t>
  </si>
  <si>
    <t xml:space="preserve">VIX: Implied Movement +σ, 24.29, Put Wall CE &amp; Gamma Flip &amp; Gamma Flip CE, 18.0, Call Wall CE, 23.0, Put Dominate , 14.0, Implied Movement -2σ, 17.08, Implied Movement +2σ, 26.88, Large Gamma 2, 19.0, Large Gamma 1 &amp; Gamma Field &amp; Gamma Field CE &amp; Call Wall &amp; Key Delta, 20.0, Implied Movement -σ, 19.67, Put Wall, 15.0, Call Dominate , 22.0,  20241105 073009</t>
  </si>
  <si>
    <t xml:space="preserve">VIX: Implied Movement +2σ, 23.42, Key Delta, 19.0, Call Dominate , 23.0, Put Dominate , 14.0, Large Gamma 2, 16.0, Put Wall CE &amp; Gamma Field CE &amp; Gamma Flip &amp; Gamma Flip CE, 18.0, Implied Movement +σ, 21.52, Implied Movement -2σ, 17.56, Call Wall &amp; Call Wall CE, 20.0, Put Wall &amp; Large Gamma 1 &amp; Gamma Field, 15.0, Implied Movement -σ, 19.46,  20241106 073010</t>
  </si>
  <si>
    <t xml:space="preserve">VIX: Implied Movement +2σ, 18.92, Put Wall &amp; Large Gamma 1 &amp; Gamma Field, 15.0, Implied Movement +σ, 18.14, Implied Movement -σ, 14.4, Call Wall &amp; Call Wall CE, 20.0, Key Delta, 17.0, Implied Movement -2σ, 13.62, Gamma Field CE &amp; Gamma Flip, 18.0, Put Dominate , 14.0, Put Wall CE &amp; Large Gamma 2 &amp; Gamma Flip CE, 16.0,  20241107 073030</t>
  </si>
  <si>
    <t xml:space="preserve">VIX: Implied Movement -2σ, 13.15, Put Wall &amp; Large Gamma 1 &amp; Gamma Field, 15.0, Implied Movement +σ, 16.59, Implied Movement +2σ, 17.25, Put Dominate , 14.0, Gamma Flip, 18.0, Put Wall CE &amp; Large Gamma 2 &amp; Gamma Field CE &amp; Gamma Flip CE, 16.0, Implied Movement -σ, 13.81, Call Wall &amp; Call Wall CE, 20.0, Key Delta, 17.0,  20241108 073010</t>
  </si>
  <si>
    <t xml:space="preserve">VIX: Put Wall &amp; Large Gamma 1 &amp; Gamma Field, 15.0, Implied Movement +2σ, 16.74, Large Gamma 2 &amp; Put Dominate , 14.0, Implied Movement -σ, 13.96, Gamma Flip, 18.0, Key Delta, 17.0, Call Wall &amp; Call Wall CE, 20.0, Put Wall CE &amp; Gamma Field CE &amp; Gamma Flip CE, 16.0, Implied Movement +σ, 15.92, Implied Movement -2σ, 13.14,  20241111 073013</t>
  </si>
  <si>
    <t xml:space="preserve">VIX: Gamma Flip, 18.0, Call Wall &amp; Call Wall CE, 20.0, Implied Movement +σ, 15.79, Implied Movement -σ, 14.15, Put Wall CE &amp; Put Wall &amp; Large Gamma 1 &amp; Gamma Field &amp; Gamma Flip CE, 15.0, Put Dominate , 14.0, Implied Movement -2σ, 13.22, Large Gamma 2 &amp; Gamma Field CE, 16.0, Implied Movement +2σ, 16.72, Key Delta, 17.0,  20241112 073012</t>
  </si>
  <si>
    <t xml:space="preserve">VIX: Implied Movement -σ, 14.24, Put Dominate , 14.0, Put Wall &amp; Large Gamma 1 &amp; Gamma Field &amp; Gamma Field CE, 15.0, Implied Movement +σ, 15.18, Implied Movement -2σ, 13.37, Gamma Flip, 18.0, Large Gamma 2 &amp; Call Wall CE, 16.0, Key Delta, 17.0, Call Wall, 20.0, Implied Movement +2σ, 16.05, Put Wall CE &amp; Gamma Flip CE, 14.5,  20241113 073014</t>
  </si>
  <si>
    <t xml:space="preserve">VIX: Implied Movement -σ, 12.81, Implied Movement +2σ, 15.73, Gamma Flip &amp; Gamma Flip CE, 18.0, Large Gamma 2 &amp; Put Dominate , 14.0, Implied Movement -2σ, 12.31, Put Wall CE &amp; Put Wall &amp; Large Gamma 1 &amp; Gamma Field &amp; Gamma Field CE, 15.0, Key Delta, 17.0, Call Wall CE, 20.0, Implied Movement +σ, 15.23, Call Wall, 16.0,  20241114 073013</t>
  </si>
  <si>
    <t xml:space="preserve">VIX: Call Wall CE, 20.0, Implied Movement +σ, 15.59, Gamma Flip &amp; Gamma Flip CE, 18.0, Call Wall, 16.0, Implied Movement -2σ, 12.42, Large Gamma 2 &amp; Put Dominate , 14.0, Put Wall CE &amp; Put Wall &amp; Large Gamma 1 &amp; Gamma Field &amp; Gamma Field CE, 15.0, Key Delta, 17.0, Implied Movement -σ, 13.03, Implied Movement +2σ, 16.2,  20241115 073014</t>
  </si>
  <si>
    <t xml:space="preserve">VIX: Put Dominate , 14.0, Large Gamma 1 &amp; Gamma Field &amp; Gamma Field CE &amp; Call Wall &amp; Key Delta, 17.0, Call Dominate , 21.0, Put Wall CE &amp; Put Wall &amp; Large Gamma 2, 15.0, Implied Movement +σ, 17.48, Call Wall CE, 20.0, Gamma Flip, 18.5, Gamma Flip CE, 18.0, Implied Movement -σ, 14.8, Implied Movement -2σ, 13.7, Implied Movement +2σ, 18.58, </t>
  </si>
  <si>
    <t xml:space="preserve">VIX: Large Gamma 2 &amp; Gamma Field &amp; Call Wall &amp; Key Delta, 17.0, Implied Movement +2σ, 17.84, Put Wall &amp; Large Gamma 1 &amp; Gamma Field CE, 16.0, Call Dominate , 21.0, Put Wall CE, 15.0, Implied Movement -2σ, 13.32, Gamma Flip &amp; Gamma Flip CE, 18.0, Implied Movement -σ, 14.51, Implied Movement +σ, 16.65, Put Dominate , 14.0, Call Wall CE, 20.0, </t>
  </si>
  <si>
    <t xml:space="preserve">VIX: Call Wall CE, 20.0, Implied Movement +σ &amp; Large Gamma 1 &amp; Gamma Field &amp; Gamma Field CE &amp; Call Wall &amp; Key Delta, 17.0, Gamma Flip &amp; Gamma Flip CE, 18.0, Implied Movement -σ, 15.7, Put Wall CE, 15.0, Put Wall &amp; Large Gamma 2, 16.0, Put Dominate , 14.0, Call Dominate , 21.0, Implied Movement +2σ, 18.18, Implied Movement -2σ, 14.52, </t>
  </si>
  <si>
    <t xml:space="preserve">VIX: Implied Movement -2σ, 14.13, Put Dominate , 14.0, Implied Movement +σ, 19.3, Gamma Flip, 18.0, Put Wall CE &amp; Put Wall &amp; Large Gamma 2 &amp; Gamma Field CE, 15.0, Call Dominate , 21.0, Gamma Field &amp; Key Delta, 17.0, Call Wall &amp; Call Wall CE, 20.0, Implied Movement -σ, 15.02, Implied Movement +2σ, 20.19, Large Gamma 1 &amp; Gamma Flip CE, 16.0, </t>
  </si>
  <si>
    <t xml:space="preserve">VIX: Gamma Flip, 18.0, Call Dominate , 21.0, Gamma Field &amp; Call Wall CE &amp; Key Delta, 17.0, Implied Movement +2σ, 17.2, Implied Movement +σ, 16.31, Large Gamma 2 &amp; Gamma Flip CE, 16.0, Implied Movement -2σ, 13.28, Implied Movement -σ, 14.17, Put Wall CE &amp; Put Wall &amp; Large Gamma 1 &amp; Gamma Field CE, 15.0, Put Dominate , 14.0, Call Wall, 20.0, </t>
  </si>
  <si>
    <t xml:space="preserve">VIX: Implied Movement +2σ, 19.77, Put Dominate , 14.0, Put Wall CE &amp; Put Wall &amp; Large Gamma 2 &amp; Gamma Field CE, 15.0, Gamma Field &amp; Key Delta, 17.0, Call Dominate , 21.0, Large Gamma 1 &amp; Gamma Flip CE, 16.0, Implied Movement +σ, 18.84, Gamma Flip, 18.0, Call Wall &amp; Call Wall CE, 20.0, Implied Movement -2σ, 13.97, Implied Movement -σ, 14.9, </t>
  </si>
  <si>
    <t xml:space="preserve">VIX: Implied Movement -2σ, 12.96, Put Dominate , 14.0, Implied Movement -σ, 13.83, Implied Movement +σ, 15.37, Gamma Flip, 18.0, Call Wall, 20.0, Large Gamma 2 &amp; Gamma Flip CE, 16.0, Put Wall CE &amp; Put Wall &amp; Large Gamma 1 &amp; Gamma Field CE, 15.0, Implied Movement +2σ, 16.24, Gamma Field &amp; Call Wall CE &amp; Key Delta, 17.0, </t>
  </si>
  <si>
    <t xml:space="preserve">VIX: Call Wall CE &amp; Put Dominate , 14.0, Gamma Field &amp; Gamma Flip &amp; Key Delta, 17.0, Put Wall CE &amp; Large Gamma 1 &amp; Gamma Field CE, 15.0, Call Wall, 20.0, Implied Movement +σ, 15.25, Put Wall &amp; Large Gamma 2, 13.0, Gamma Flip CE, 16.0, Implied Movement -2σ, 12.4, Implied Movement +2σ, 15.8, Implied Movement -σ, 12.95, </t>
  </si>
  <si>
    <t xml:space="preserve">VIX: Implied Movement +σ, 14.5, Implied Movement -2σ, 12.95, Implied Movement +2σ, 15.25, Gamma Field &amp; Gamma Flip &amp; Call Wall CE &amp; Key Delta, 17.0, Call Wall, 20.0, Put Dominate , 14.0, Put Wall CE &amp; Put Wall &amp; Large Gamma 1 &amp; Gamma Field CE, 15.0, Implied Movement -σ, 13.7, Large Gamma 2 &amp; Gamma Flip CE, 16.0, </t>
  </si>
  <si>
    <t xml:space="preserve">VIX: Put Wall &amp; Large Gamma 1, 13.0, Put Wall CE &amp; Gamma Flip CE, 13.5, Implied Movement +σ, 13.98, Put Dominate , 11.0, Gamma Flip &amp; Key Delta, 17.0, Implied Movement -2σ, 11.99, Implied Movement +2σ, 14.69, Implied Movement -σ, 12.7, Large Gamma 2 &amp; Gamma Field, 15.0, Call Wall, 18.0, Gamma Field CE &amp; Call Wall CE, 14.0, </t>
  </si>
  <si>
    <t xml:space="preserve">VIX: Implied Movement -2σ, 12.2, Implied Movement -σ, 12.79, Implied Movement +2σ, 14.82, Put Wall CE &amp; Gamma Flip CE, 13.5, Implied Movement +σ, 14.23, Put Wall &amp; Large Gamma 1, 13.0, Call Wall, 18.0, Large Gamma 2 &amp; Gamma Field &amp; Gamma Field CE, 15.0, Put Dominate , 11.0, Call Wall CE, 14.0, Gamma Flip &amp; Key Delta, 17.0, </t>
  </si>
  <si>
    <t xml:space="preserve">VIX: Put Dominate , 11.0, Implied Movement -2σ, 11.81, Implied Movement +σ, 14.61, Call Wall, 18.0, Large Gamma 1 &amp; Gamma Field, 15.0, Gamma Flip CE, 12.5, Gamma Field CE &amp; Call Wall CE, 14.5, Put Wall CE, 14.0, Gamma Flip &amp; Key Delta, 17.0, Implied Movement +2σ, 15.09, Put Wall &amp; Large Gamma 2, 13.0, Implied Movement -σ, 12.29, </t>
  </si>
  <si>
    <t xml:space="preserve">VIX: Implied Movement +σ, 13.55, Implied Movement -2σ, 11.34, Implied Movement -σ, 11.99, Gamma Field CE &amp; Call Wall CE, 14.5, Implied Movement +2σ, 14.2, Large Gamma 2 &amp; Gamma Field &amp; Call Wall, 15.0, Gamma Flip &amp; Key Delta, 17.0, Put Wall &amp; Large Gamma 1, 13.0, Put Wall CE &amp; Gamma Flip CE, 14.0, </t>
  </si>
  <si>
    <t xml:space="preserve">VIX: Implied Movement +2σ, 15.86, Put Wall, 13.0, Put Wall CE &amp; Gamma Flip CE, 14.0, Large Gamma 2 &amp; Gamma Field CE &amp; Call Wall CE, 14.5, Implied Movement -2σ, 12.52, Put Dominate , 10.0, Gamma Flip &amp; Key Delta, 17.0, Implied Movement -σ, 13.4, Implied Movement +σ, 14.98, Large Gamma 1 &amp; Gamma Field &amp; Call Wall, 15.0, </t>
  </si>
  <si>
    <t xml:space="preserve">VIX: Gamma Flip &amp; Call Wall &amp; Key Delta, 17.0, Implied Movement +2σ, 14.46, Implied Movement -σ, 12.89, Implied Movement +σ, 13.71, Put Wall CE &amp; Gamma Field CE &amp; Gamma Flip CE, 13.5, Call Wall CE, 14.0, Implied Movement -2σ, 12.14, Put Dominate , 11.0, Large Gamma 2 &amp; Gamma Field, 15.0, Put Wall &amp; Large Gamma 1, 13.0, </t>
  </si>
  <si>
    <t xml:space="preserve">VIX: Put Dominate , 11.0, Implied Movement -2σ, 11.72, Implied Movement +2σ, 15.36, Large Gamma 1 &amp; Gamma Field &amp; Call Wall, 15.0, Implied Movement -σ, 12.3, Gamma Field CE &amp; Call Wall CE, 14.5, Gamma Flip &amp; Key Delta, 17.0, Put Wall CE, 14.0, Implied Movement +σ, 14.78, Gamma Flip CE, 12.5, Put Wall &amp; Large Gamma 2, 13.0, </t>
  </si>
  <si>
    <t xml:space="preserve">VIX: Large Gamma 2 &amp; Call Wall CE, 14.5, Gamma Flip &amp; Key Delta, 17.0, Implied Movement +σ, 14.67, Implied Movement +2σ, 15.57, Implied Movement -σ, 13.69, Put Wall, 13.0, Put Dominate , 10.0, Put Wall CE &amp; Gamma Field CE &amp; Gamma Flip CE, 14.0, Large Gamma 1 &amp; Gamma Field &amp; Call Wall, 15.0, Implied Movement -2σ, 12.79, Call Dominate , 19.0, </t>
  </si>
  <si>
    <t xml:space="preserve">VIX: Call Dominate , 19.0, Call Wall CE, 20.0, Put Wall CE, 13.0, Put Dominate , 10.0, Put Wall &amp; Large Gamma 1 &amp; Gamma Field CE, 14.0, Implied Movement +σ, 15.22, Implied Movement +2σ, 15.76, Implied Movement -σ, 12.62, Implied Movement -2σ, 12.08, Large Gamma 2 &amp; Gamma Field &amp; Call Wall, 15.0, Gamma Flip &amp; Gamma Flip CE &amp; Key Delta, 17.0, </t>
  </si>
  <si>
    <t xml:space="preserve">VIX: Implied Movement -σ, 12.82, Put Wall CE &amp; Put Wall, 14.0, Put Dominate , 10.0, Implied Movement -2σ, 12.1, Large Gamma 1 &amp; Gamma Field &amp; Gamma Field CE &amp; Call Wall, 15.0, Gamma Flip &amp; Gamma Flip CE &amp; Key Delta, 17.0, Large Gamma 2, 14.5, Call Wall CE, 18.0, Call Dominate , 19.0, Implied Movement +2σ, 15.52, Implied Movement +σ, 14.8, </t>
  </si>
  <si>
    <t xml:space="preserve">VIX: Call Wall CE, 20.0, Implied Movement +σ, 14.79, Implied Movement +2σ, 15.23, Implied Movement -σ, 12.37, Large Gamma 1 &amp; Gamma Field &amp; Gamma Field CE &amp; Call Wall, 15.0, Implied Movement -2σ, 11.93, Gamma Flip &amp; Gamma Flip CE &amp; Key Delta, 17.0, Put Dominate , 10.0, Large Gamma 2, 14.5, Put Wall CE &amp; Put Wall, 13.0, </t>
  </si>
  <si>
    <t xml:space="preserve">VIX: Put Wall CE &amp; Put Wall &amp; Large Gamma 1 &amp; Gamma Field &amp; Gamma Field CE &amp; Call Wall, 15.0, Implied Movement +σ, 16.37, Gamma Flip &amp; Key Delta, 17.0, Call Wall CE, 18.0, Call Dominate , 21.0, Large Gamma 2, 15.5, Gamma Flip CE, 16.0, Implied Movement +2σ, 17.42, Implied Movement -2σ, 14.32, Implied Movement -σ, 15.37, </t>
  </si>
  <si>
    <t xml:space="preserve">VIX: Implied Movement -2σ, 12.69, Implied Movement +σ, 15.69, Call Wall CE, 18.0, Gamma Flip &amp; Gamma Flip CE &amp; Key Delta, 17.0, Put Dominate , 10.0, Call Dominate , 21.0, Put Wall CE, 14.0, Large Gamma 2, 14.5, Put Wall &amp; Large Gamma 1 &amp; Gamma Field &amp; Gamma Field CE &amp; Call Wall, 15.0, Implied Movement -σ, 13.69, Implied Movement +2σ, 16.69, </t>
  </si>
  <si>
    <t xml:space="preserve">VIX: Put Dominate , 14.0, Implied Movement +σ, 34.13, Put Wall CE &amp; Gamma Field CE, 14.5, Large Gamma 2 &amp; Call Wall &amp; Call Wall CE &amp; Key Delta, 20.0, Call Dominate , 21.0, Implied Movement -σ, 21.11, Put Wall &amp; Large Gamma 1 &amp; Gamma Field &amp; Gamma Flip, 17.0, Implied Movement +2σ, 37.2, Gamma Flip CE, 16.0, Implied Movement -2σ, 18.04, </t>
  </si>
  <si>
    <t xml:space="preserve">VIX: Call Dominate , 21.0, Implied Movement -σ, 16.67, Gamma Flip, 17.5, Implied Movement +σ, 20.05, Implied Movement +2σ, 21.94, Put Wall &amp; Large Gamma 1 &amp; Gamma Field, 17.0, Put Wall CE &amp; Gamma Field CE, 14.5, Large Gamma 2 &amp; Gamma Flip CE, 18.0, Implied Movement -2σ, 14.78, Call Wall &amp; Call Wall CE &amp; Key Delta, 20.0, Put Dominate , 14.0, </t>
  </si>
  <si>
    <t xml:space="preserve">VIX: Put Dominate , 16.0, Put Wall, 17.0, Large Gamma 1 &amp; Gamma Field &amp; Call Wall &amp; Key Delta, 20.0, Implied Movement -2σ, 18.01, Put Wall CE &amp; Gamma Field CE, 14.5, Call Wall CE, 28.0, Call Dominate , 21.0, Implied Movement -σ, 20.16, Implied Movement +σ, 28.02, Gamma Flip, 17.5, Large Gamma 2 &amp; Gamma Flip CE, 18.0, Implied Movement +2σ, 30.17, </t>
  </si>
  <si>
    <t xml:space="preserve">VIX: Implied Movement -σ, 16.1, Call Wall, 20.0, Put Wall &amp; Large Gamma 1 &amp; Gamma Field &amp; Gamma Field CE &amp; Call Wall CE &amp; Key Delta, 17.0, Implied Movement +2σ, 18.69, Implied Movement -2σ, 14.87, Call Dominate , 21.0, Large Gamma 2, 18.0, Gamma Flip, 17.5, Gamma Flip CE, 16.0, Put Wall CE, 14.5, Implied Movement +σ, 17.46, Put Dominate , 14.0, </t>
  </si>
  <si>
    <t xml:space="preserve">VIX: Put Wall CE &amp; Put Wall &amp; Large Gamma 2 &amp; Gamma Field CE, 15.0, Large Gamma 1 &amp; Gamma Field &amp; Key Delta, 17.0, Gamma Flip CE, 19.0, Implied Movement +σ, 15.86, Call Wall, 20.0, Implied Movement -2σ, 12.92, Call Wall CE, 16.0, Implied Movement +2σ, 16.54, Gamma Flip, 17.5, Put Dominate , 14.0, Implied Movement -σ, 13.6, </t>
  </si>
  <si>
    <t xml:space="preserve">VIX: Implied Movement +2σ, 18.23, Put Wall &amp; Large Gamma 1 &amp; Gamma Field, 17.0, Put Dominate , 14.0, Implied Movement -σ, 14.93, Call Wall CE, 22.0, Put Wall CE &amp; Gamma Field CE, 15.0, Implied Movement -2σ, 13.67, Gamma Flip CE, 19.0, Gamma Flip, 17.5, Call Wall &amp; Key Delta, 20.0, Implied Movement +σ, 16.97, Large Gamma 2, 18.0, Call Dominate , 21.0, </t>
  </si>
  <si>
    <t xml:space="preserve">VIX: Call Wall CE, 22.0, Put Wall CE &amp; Put Wall &amp; Large Gamma 2 &amp; Gamma Field CE, 15.0, Gamma Flip CE, 19.0, Large Gamma 1 &amp; Gamma Field &amp; Key Delta, 17.0, Put Dominate , 14.0, Implied Movement -σ, 13.26, Gamma Flip, 17.5, Implied Movement +2σ, 15.81, Implied Movement -2σ, 12.73, Implied Movement +σ, 15.28, Call Wall, 20.0, </t>
  </si>
  <si>
    <t xml:space="preserve">VIX: Implied Movement -σ, 13.37, Call Dominate , 21.0, Put Wall &amp; Large Gamma 1 &amp; Gamma Field, 17.0, Put Wall CE &amp; Gamma Field CE &amp; Gamma Flip CE, 15.0, Implied Movement +σ, 21.33, Large Gamma 2, 18.0, Call Wall &amp; Key Delta, 20.0, Gamma Flip, 17.5, Call Wall CE, 16.0, Put Dominate , 14.0, Implied Movement +2σ, 22.8, Implied Movement -2σ, 11.9, </t>
  </si>
  <si>
    <t xml:space="preserve">VIX: Call Wall, 20.0, Implied Movement +2σ, 18.06, Call Dominate , 21.0, Gamma Flip, 17.5, Implied Movement -2σ, 14.2, Implied Movement +σ, 17.19, Implied Movement -σ, 15.07, Large Gamma 2, 16.0, Put Wall &amp; Large Gamma 1 &amp; Gamma Field &amp; Gamma Field CE &amp; Call Wall CE &amp; Key Delta, 17.0, Put Wall CE &amp; Gamma Flip CE, 15.0, </t>
  </si>
  <si>
    <t xml:space="preserve">VIX: Gamma Field CE &amp; Call Wall CE, 16.0, Large Gamma 2, 18.0, Implied Movement -σ, 15.72, Call Wall &amp; Key Delta, 20.0, Gamma Flip CE, 19.0, Gamma Flip, 17.5, Implied Movement +2σ, 21.19, Put Wall &amp; Large Gamma 1 &amp; Gamma Field, 17.0, Call Dominate , 21.0, Implied Movement -2σ, 14.67, Implied Movement +σ, 20.14, Put Wall CE, 15.0, </t>
  </si>
  <si>
    <t xml:space="preserve">VIX: Call Wall, 20.0, Call Dominate , 21.0, Put Wall &amp; Large Gamma 1 &amp; Gamma Field &amp; Gamma Field CE &amp; Call Wall CE &amp; Key Delta, 17.0, Implied Movement +2σ, 17.9, Put Wall CE &amp; Gamma Flip CE, 15.0, Gamma Flip, 17.5, Implied Movement -2σ, 14.18, Large Gamma 2, 16.0, Implied Movement -σ, 15.16, Implied Movement +σ, 16.92, </t>
  </si>
  <si>
    <t xml:space="preserve">VIX: Call Wall &amp; Key Delta, 20.0, Call Dominate , 21.0, Gamma Flip CE, 19.0, Implied Movement +2σ, 19.95, Large Gamma 2, 18.0, Call Wall CE &amp; Put Dominate , 16.0, Put Wall CE &amp; Put Wall &amp; Large Gamma 1 &amp; Gamma Field &amp; Gamma Field CE, 17.0, Gamma Flip, 17.5, Implied Movement -σ, 17.07, Implied Movement -2σ, 15.69, Implied Movement +σ, 18.57, </t>
  </si>
  <si>
    <t xml:space="preserve">VIX: Implied Movement +σ, 19.7, Put Wall CE &amp; Gamma Field CE &amp; Gamma Flip CE &amp; Put Dominate , 16.0, Implied Movement +2σ, 20.44, Call Dominate , 21.0, Large Gamma 2, 18.0, Implied Movement -σ, 15.7, Gamma Flip, 17.5, Call Wall &amp; Call Wall CE &amp; Key Delta, 20.0, Implied Movement -2σ, 14.96, Put Wall &amp; Large Gamma 1 &amp; Gamma Field, 17.0, </t>
  </si>
  <si>
    <t xml:space="preserve">VIX: Implied Movement +2σ, 20.74, Put Wall CE &amp; Put Dominate , 16.0, Put Wall &amp; Large Gamma 1 &amp; Gamma Field, 17.0, Gamma Flip, 17.5, Implied Movement -2σ, 14.66, Call Wall &amp; Call Wall CE &amp; Key Delta, 20.0, Call Dominate , 21.0, Gamma Flip CE, 19.0, Large Gamma 2 &amp; Gamma Field CE, 18.0, Implied Movement -σ, 15.59, Implied Movement +σ, 19.81, </t>
  </si>
  <si>
    <t xml:space="preserve">VIX: Implied Movement -2σ, 15.84, Implied Movement +σ, 20.74, Large Gamma 2 &amp; Gamma Field CE, 18.0, Call Wall CE &amp; Call Dominate , 21.0, Implied Movement -σ, 17.64, Put Wall CE &amp; Gamma Flip CE, 19.0, Put Wall &amp; Large Gamma 1 &amp; Gamma Field, 17.0, Call Wall &amp; Key Delta, 20.0, Gamma Flip, 17.5, Put Dominate , 16.0, Implied Movement +2σ, 22.54, </t>
  </si>
  <si>
    <t xml:space="preserve">VIX: Implied Movement +σ, 21.73, Gamma Flip, 17.5, Implied Movement -σ, 17.35, Large Gamma 2, 18.0, Implied Movement -2σ, 15.55, Put Wall, 17.0, Put Wall CE &amp; Gamma Field CE, 19.0, Call Wall CE &amp; Call Dominate , 21.0, Large Gamma 1 &amp; Gamma Field &amp; Gamma Flip CE &amp; Call Wall &amp; Key Delta, 20.0, Put Dominate , 16.0, Implied Movement +2σ, 23.53, </t>
  </si>
  <si>
    <t xml:space="preserve">VIX: Put Dominate , 16.0, Gamma Flip CE, 19.0, Put Wall CE &amp; Large Gamma 2 &amp; Gamma Field CE &amp; Gamma Flip, 18.0, Implied Movement -σ, 17.85, Call Wall &amp; Call Wall CE &amp; Key Delta, 20.0, Call Dominate , 21.0, Implied Movement +σ, 19.57, Put Wall &amp; Large Gamma 1 &amp; Gamma Field, 17.0, Implied Movement +2σ, 21.12, Implied Movement -2σ, 16.3, </t>
  </si>
  <si>
    <t xml:space="preserve">VIX: Implied Movement -σ, 14.55, Implied Movement +2σ, 18.37, Key Delta, 18.0, Call Wall CE, 20.0, Gamma Flip &amp; Gamma Flip CE, 17.5, Call Dominate , 21.0, Implied Movement +σ, 17.69, Put Wall &amp; Large Gamma 1 &amp; Gamma Field CE, 16.0, Put Wall CE, 15.0, Implied Movement -2σ, 13.87, Large Gamma 2 &amp; Gamma Field &amp; Call Wall, 17.0, </t>
  </si>
  <si>
    <t xml:space="preserve">VIX: Large Gamma 2 &amp; Gamma Field, 17.0, Call Wall CE, 20.0, Put Wall CE, 15.0, Put Wall &amp; Large Gamma 1 &amp; Gamma Field CE, 16.0, Implied Movement +2σ, 19.02, Call Dominate , 21.0, Call Wall &amp; Key Delta, 18.0, Implied Movement -σ, 15.01, Implied Movement -2σ, 14.18, Implied Movement +σ, 18.19, Gamma Flip &amp; Gamma Flip CE, 17.5, </t>
  </si>
  <si>
    <t xml:space="preserve">VIX: Implied Movement +2σ, 16.49, Key Delta, 17.0, Large Gamma 2, 15.5, Implied Movement -2σ, 13.63, Gamma Flip CE, 16.0, Implied Movement +σ, 15.54, Call Wall CE, 18.0, Put Wall CE &amp; Put Wall &amp; Large Gamma 1 &amp; Gamma Field &amp; Gamma Field CE &amp; Call Wall, 15.0, Implied Movement -σ, 14.58, Gamma Flip, 17.5, </t>
  </si>
  <si>
    <t xml:space="preserve">VIX: Large Gamma 1 &amp; Gamma Field &amp; Gamma Flip &amp; Call Wall CE, 17.0, Implied Movement +σ, 16.74, Large Gamma 2 &amp; Call Wall, 19.0, Put Wall CE &amp; Put Wall, 15.0, Implied Movement -2σ, 12.78, Implied Movement +2σ, 17.42, Put Dominate , 14.0, Implied Movement -σ, 13.46, Gamma Field CE &amp; Gamma Flip CE, 16.0, Key Delta, 20.0, </t>
  </si>
  <si>
    <t xml:space="preserve">VIX: Implied Movement +σ, 16.29, Implied Movement -2σ, 13.16, Large Gamma 2 &amp; Call Wall, 19.0, Implied Movement -σ, 13.75, Put Wall, 15.0, Put Wall CE &amp; Gamma Field CE &amp; Gamma Flip CE, 16.0, Large Gamma 1 &amp; Gamma Field &amp; Call Wall CE, 17.0, Key Delta, 20.0, Implied Movement +2σ, 16.88, Put Dominate , 14.0, Gamma Flip, 17.5, </t>
  </si>
  <si>
    <t xml:space="preserve">VIX: Large Gamma 2, 19.0, Implied Movement +σ, 16.67, Call Wall CE, 25.0, Implied Movement +2σ, 18.18, Call Dominate , 21.0, Gamma Flip CE, 18.0, Implied Movement -2σ, 11.52, Put Dominate , 14.0, Put Wall CE &amp; Gamma Field CE, 16.0, Put Wall &amp; Large Gamma 1 &amp; Gamma Flip, 17.0, Gamma Field &amp; Call Wall &amp; Key Delta, 20.0, Implied Movement -σ, 13.03, </t>
  </si>
  <si>
    <t xml:space="preserve">VIX: Put Wall CE &amp; Gamma Field CE, 16.0, Gamma Flip, 17.5, Implied Movement -σ, 16.42, Put Dominate , 14.0, Implied Movement +2σ, 21.04, Call Wall &amp; Call Wall CE &amp; Key Delta, 20.0, Implied Movement +σ, 19.38, Put Wall &amp; Large Gamma 1 &amp; Gamma Field, 17.0, Call Dominate , 21.0, Implied Movement -2σ, 14.76, Large Gamma 2 &amp; Gamma Flip CE, 18.0, </t>
  </si>
  <si>
    <t xml:space="preserve">VIX: Call Dominate , 21.0, Implied Movement +σ &amp; Large Gamma 1 &amp; Gamma Field &amp; Gamma Field CE &amp; Call Wall &amp; Call Wall CE, 17.0, Gamma Flip, 17.5, Implied Movement -σ, 15.82, Key Delta, 20.0, Implied Movement -2σ, 14.74, Put Wall, 15.0, Put Dominate , 14.0, Implied Movement +2σ, 18.08, Large Gamma 2, 18.0, Put Wall CE &amp; Gamma Flip CE, 16.0, </t>
  </si>
  <si>
    <t xml:space="preserve">VIX: Call Dominate , 21.0, Implied Movement -2σ, 13.9, Implied Movement +σ, 17.01, Call Wall &amp; Call Wall CE &amp; Key Delta, 18.0, Put Wall CE, 15.0, Large Gamma 2 &amp; Gamma Flip, 17.0, Implied Movement +2σ, 18.04, Put Wall &amp; Large Gamma 1 &amp; Gamma Field &amp; Gamma Field CE &amp; Gamma Flip CE, 16.0, Implied Movement -σ, 14.93, </t>
  </si>
  <si>
    <t xml:space="preserve">VIX: Key Delta, 20.0, Implied Movement +2σ, 18.1, Call Wall CE, 19.0, Implied Movement -σ, 14.31, Put Wall &amp; Large Gamma 1 &amp; Gamma Field &amp; Gamma Field CE &amp; Call Wall, 17.0, Put Wall CE &amp; Gamma Flip CE, 15.0, Large Gamma 2, 18.0, Call Dominate , 21.0, Implied Movement -2σ, 13.58, Gamma Flip, 17.5, Implied Movement +σ, 17.37, Put Dominate , 14.0, </t>
  </si>
  <si>
    <t xml:space="preserve">VIX: Implied Movement -2σ, 14.98, Gamma Flip, 17.5, Put Dominate , 14.0, Implied Movement +2σ, 22.26, Large Gamma 2 &amp; Gamma Field CE, 18.0, Call Wall CE, 19.0, Put Wall &amp; Large Gamma 1 &amp; Gamma Field &amp; Call Wall, 17.0, Call Dominate , 21.0, Key Delta, 20.0, Implied Movement +σ, 20.33, Implied Movement -σ, 16.91, Put Wall CE &amp; Gamma Flip CE, 15.0, </t>
  </si>
  <si>
    <t xml:space="preserve">VIX: Implied Movement +2σ, 19.12, Implied Movement -σ, 16.54, Key Delta, 20.0, Call Wall, 19.0, Put Wall &amp; Large Gamma 1 &amp; Gamma Field &amp; Gamma Field CE, 17.0, Gamma Flip, 17.5, Call Dominate , 21.0, Implied Movement -2σ, 15.3, Large Gamma 2 &amp; Call Wall CE, 18.0, Implied Movement +σ, 17.88, Put Dominate , 14.0, Put Wall CE &amp; Gamma Flip CE, 15.0, </t>
  </si>
  <si>
    <t xml:space="preserve">VIX: Implied Movement +2σ, 19.37, Call Wall &amp; Call Wall CE &amp; Key Delta, 20.0, Call Dominate , 21.0, Implied Movement -σ, 14.82, Put Wall &amp; Large Gamma 1 &amp; Gamma Field &amp; Gamma Field CE &amp; Gamma Flip CE, 17.0, Put Dominate , 14.0, Implied Movement +σ, 18.04, Gamma Flip, 17.5, Implied Movement -2σ, 13.49, Large Gamma 2, 18.0, Put Wall CE, 15.0, </t>
  </si>
  <si>
    <t xml:space="preserve">VIX: Implied Movement -2σ, 13.66, Implied Movement +σ, 17.27, Put Wall CE &amp; Gamma Flip CE, 15.0, Put Wall &amp; Large Gamma 1 &amp; Gamma Field &amp; Gamma Field CE &amp; Call Wall &amp; Call Wall CE, 17.0, Implied Movement -σ, 14.27, Large Gamma 2, 18.0, Put Dominate , 14.0, Key Delta, 20.0, Gamma Flip, 17.5, Implied Movement +2σ, 17.88, </t>
  </si>
  <si>
    <t xml:space="preserve">VIX: Key Delta, 20.0, Put Wall &amp; Large Gamma 1 &amp; Gamma Field &amp; Gamma Field CE &amp; Call Wall, 17.0, Large Gamma 2 &amp; Call Wall CE, 18.0, Put Dominate , 14.0, Implied Movement +σ, 16.77, Gamma Flip, 17.5, Implied Movement -σ, 14.23, Implied Movement +2σ, 17.47, Put Wall CE &amp; Gamma Flip CE, 15.0, Implied Movement -2σ, 13.53, </t>
  </si>
  <si>
    <t xml:space="preserve">VIX: Gamma Flip, 17.5, Implied Movement -σ, 14.51, Implied Movement +2σ, 19.46, Put Wall &amp; Large Gamma 1 &amp; Gamma Field &amp; Gamma Field CE &amp; Call Wall, 17.0, Implied Movement +σ, 18.61, Key Delta, 20.0, Call Wall CE, 19.0, Large Gamma 2, 18.0, Implied Movement -2σ, 13.66, Put Wall CE &amp; Gamma Flip CE, 15.0, Put Dominate , 14.0, Call Dominate , 21.0, </t>
  </si>
  <si>
    <t xml:space="preserve">VIX: Implied Movement +σ, 17.19, Implied Movement -2σ, 13.82, Implied Movement -σ, 14.75, Call Wall &amp; Call Wall CE &amp; Key Delta, 18.0, Put Wall &amp; Large Gamma 1 &amp; Gamma Field CE &amp; Gamma Flip CE, 16.0, Put Wall CE, 15.0, Implied Movement +2σ, 18.12, Call Dominate , 21.0, Large Gamma 2 &amp; Gamma Field &amp; Gamma Flip, 17.0, </t>
  </si>
  <si>
    <t xml:space="preserve">VIX: Call Dominate , 21.0, Put Wall &amp; Large Gamma 1 &amp; Gamma Field &amp; Key Delta, 17.0, Gamma Flip, 17.5, Implied Movement +σ, 19.45, Put Wall CE &amp; Gamma Field CE &amp; Gamma Flip CE, 15.0, Large Gamma 2, 18.0, Call Wall CE, 16.0, Call Wall, 20.0, Implied Movement +2σ, 20.32, Implied Movement -σ, 15.25, Put Dominate , 14.0, Implied Movement -2σ, 14.38, </t>
  </si>
  <si>
    <t xml:space="preserve">VIX: Put Wall CE &amp; Put Wall &amp; Large Gamma 1 &amp; Gamma Field &amp; Gamma Field CE &amp; Key Delta, 17.0, Put Dominate , 14.0, Call Dominate , 21.0, Implied Movement +2σ, 19.44, Call Wall &amp; Call Wall CE, 20.0, Gamma Flip, 17.5, Implied Movement -σ, 16.72, Implied Movement +σ, 18.08, Large Gamma 2, 18.0, Gamma Flip CE, 19.0, Implied Movement -2σ, 15.36, </t>
  </si>
  <si>
    <t xml:space="preserve">QQQ: Gamma Flip CE, 425.0, Put Wall CE &amp; Put Wall &amp; Large Gamma 1, 420.0, Large Gamma 2 &amp; Gamma Field CE &amp; Call Wall CE, 430.0, Gamma Field &amp; Call Wall &amp; Put Dominate  &amp; Key Delta, 450.0, Gamma Flip, 435.0, Call Dominate , 445.0, Implied Movement +σ, 430.89, Implied Movement +2σ, 432.6, Implied Movement -2σ, 420.95, Implied Movement -σ, 422.65, 20240418 070000, 20240418 070000</t>
  </si>
  <si>
    <t xml:space="preserve">QQQ: Implied Movement +σ, 425.06, Implied Movement -2σ, 411.55, Large Gamma 2, 425.0, Implied Movement +2σ, 429.43, Put Wall CE &amp; Put Wall &amp; Large Gamma 1 &amp; Gamma Field CE, 420.0, Gamma Field &amp; Call Wall &amp; Key Delta, 450.0, Implied Movement -σ, 415.92, Gamma Flip CE, 432.0, Put Dominate , 427.0, Call Dominate , 445.0, Gamma Flip, 432.5, Call Wall CE, 428.0, 20240419 070000, 20240419 070000</t>
  </si>
  <si>
    <t xml:space="preserve">QQQ: Gamma Flip CE, 417.0, Put Wall &amp; Large Gamma 1 &amp; Gamma Field &amp; Call Wall CE &amp; Key Delta, 420.0, Call Wall, 450.0, Implied Movement +σ, 421.36, Put Wall CE, 410.0, Large Gamma 2 &amp; Gamma Flip, 430.0, Implied Movement -σ, 413.5, Call Dominate , 444.0, Gamma Field CE, 415.0, Implied Movement +2σ, 422.99, Implied Movement -2σ, 411.87, Put Dominate , 426.0, 20240422 070000, 20240422 070000</t>
  </si>
  <si>
    <t xml:space="preserve">QQQ: Gamma Field &amp; Call Wall &amp; Key Delta, 450.0, Large Gamma 2, 430.0, Put Wall CE, 416.0, Call Dominate , 444.0, Implied Movement -σ, 415.67, Call Wall CE, 422.0, Implied Movement +σ, 424.21, Implied Movement -2σ, 413.91, Implied Movement +2σ, 425.97, Put Wall &amp; Large Gamma 1 &amp; Gamma Field CE &amp; Gamma Flip, 420.0, Put Dominate , 426.0, Gamma Flip CE, 417.0, 20240423 070000, 20240423 070000</t>
  </si>
  <si>
    <t xml:space="preserve">QQQ: Implied Movement +2σ, 433.0, Put Wall &amp; Large Gamma 1, 420.0, Gamma Field &amp; Call Wall &amp; Key Delta, 450.0, Call Dominate , 444.0, Large Gamma 2 &amp; Call Wall CE, 430.0, Implied Movement -2σ, 422.24, Gamma Flip CE, 427.0, Implied Movement +σ, 431.43, Implied Movement -σ, 423.81, Put Wall CE &amp; Gamma Field CE &amp; Gamma Flip &amp; Put Dominate , 426.0, 20240424 070000, 20240424 070000</t>
  </si>
  <si>
    <t xml:space="preserve">QQQ: Implied Movement +σ, 426.55, Put Wall &amp; Large Gamma 1, 420.0, Implied Movement +2σ, 428.14, Put Wall CE &amp; Gamma Field CE, 425.0, Call Dominate , 443.0, Implied Movement -2σ, 417.05, Implied Movement -σ, 418.65, Gamma Field &amp; Call Wall &amp; Key Delta, 450.0, Large Gamma 2 &amp; Call Wall CE, 430.0, Gamma Flip &amp; Gamma Flip CE &amp; Put Dominate , 426.0, 20240425 070000, 20240425 070000</t>
  </si>
  <si>
    <t xml:space="preserve">QQQ: Gamma Flip CE, 424.0, Implied Movement +2σ, 436.84, Implied Movement +σ, 432.65, Implied Movement -σ, 424.25, Put Dominate , 426.0, Put Wall CE &amp; Put Wall &amp; Large Gamma 2, 420.0, Gamma Flip, 425.0, Implied Movement -2σ, 420.06, Gamma Field &amp; Call Wall &amp; Key Delta, 450.0, Large Gamma 1 &amp; Gamma Field CE &amp; Call Wall CE, 430.0, Call Dominate , 443.0, 20240426 070000, 20240426 070000</t>
  </si>
  <si>
    <t xml:space="preserve">QQQ: Put Wall &amp; Large Gamma 1, 420.0, Call Wall CE, 435.0, Implied Movement -σ, 429.42, Large Gamma 2, 440.0, Implied Movement -2σ, 427.92, Gamma Field &amp; Call Wall &amp; Key Delta, 450.0, Call Dominate , 442.0, Put Wall CE, 430.0, Gamma Field CE &amp; Gamma Flip &amp; Gamma Flip CE, 431.0, Put Dominate , 428.0, Implied Movement +σ, 436.64, Implied Movement +2σ, 438.14, 20240429 070000, 20240429 070000</t>
  </si>
  <si>
    <t xml:space="preserve">QQQ: Implied Movement -σ, 427.9, Put Wall &amp; Large Gamma 2, 420.0, Gamma Flip &amp; Gamma Flip CE, 433.0, Implied Movement -2σ, 426.15, Call Dominate , 442.0, Gamma Field &amp; Call Wall &amp; Key Delta, 450.0, Large Gamma 1, 440.0, Put Dominate , 441.0, Put Wall CE &amp; Gamma Field CE, 430.0, Implied Movement +2σ, 438.11, Implied Movement +σ, 436.36, Call Wall CE, 437.0, 20240430 070000, 20240430 070000</t>
  </si>
  <si>
    <t xml:space="preserve">QQQ: Implied Movement +2σ, 427.86, Implied Movement +σ, 426.03, Put Dominate , 441.0, Implied Movement -2σ, 415.36, Put Wall CE &amp; Put Wall &amp; Large Gamma 1 &amp; Gamma Field CE, 420.0, Call Dominate , 442.0, Gamma Flip, 431.0, Large Gamma 2, 430.0, Gamma Flip CE, 426.0, Implied Movement -σ, 417.19, Gamma Field &amp; Call Wall &amp; Key Delta, 450.0, Call Wall CE, 433.0, 20240501 070000, 20240501 070000</t>
  </si>
  <si>
    <t xml:space="preserve">QQQ: Gamma Flip CE, 424.0, Put Wall CE &amp; Put Wall &amp; Large Gamma 1 &amp; Gamma Field CE, 420.0, Put Dominate , 441.0, Gamma Field &amp; Call Wall &amp; Key Delta, 450.0, Implied Movement +2σ, 431.09, Implied Movement +σ, 429.55, Implied Movement -σ, 422.13, Call Dominate , 442.0, Implied Movement -2σ, 420.59, Large Gamma 2, 430.0, Call Wall CE, 425.0, Gamma Flip, 426.0, 20240502 070000, 20240502 070000</t>
  </si>
  <si>
    <t xml:space="preserve">QQQ: Implied Movement -σ, 425.43, Gamma Flip &amp; Gamma Flip CE, 426.0, Gamma Field &amp; Call Wall &amp; Key Delta, 450.0, Large Gamma 2 &amp; Gamma Field CE, 430.0, Put Dominate , 431.0, Call Dominate , 442.0, Put Wall CE &amp; Put Wall &amp; Large Gamma 1, 420.0, Implied Movement +σ, 433.75, Implied Movement -2σ, 421.27, Implied Movement +2σ, 437.92, Call Wall CE, 433.0, 20240503 070000, 20240503 070000</t>
  </si>
  <si>
    <t xml:space="preserve">QQQ: Gamma Field CE, 435.0, Implied Movement -2σ, 432.09, Implied Movement +σ, 439.74, Gamma Field &amp; Call Wall &amp; Key Delta, 450.0, Implied Movement +2σ, 441.05, Implied Movement -σ, 433.4, Large Gamma 1 &amp; Call Wall CE, 440.0, Gamma Flip CE, 436.0, Large Gamma 2, 430.0, Call Dominate , 442.0, Put Dominate , 431.0, Put Wall, 420.0, Put Wall CE &amp; Gamma Flip, 434.0, 20240506 070000, 20240506 070000</t>
  </si>
  <si>
    <t xml:space="preserve">QQQ: Large Gamma 1 &amp; Gamma Field CE &amp; Call Wall CE, 440.0, Implied Movement +2σ, 444.68, Implied Movement +σ, 443.27, Implied Movement -2σ, 435.06, Put Wall, 420.0, Put Wall CE &amp; Gamma Flip CE, 439.0, Gamma Flip, 437.0, Large Gamma 2, 430.0, Gamma Field &amp; Call Wall &amp; Key Delta, 450.0, Call Dominate , 442.0, Put Dominate , 431.0, Implied Movement -σ, 436.47, 20240507 070000, 20240507 070000</t>
  </si>
  <si>
    <t xml:space="preserve">QQQ: Put Wall CE &amp; Large Gamma 1 &amp; Gamma Field CE &amp; Gamma Flip CE, 440.0, Large Gamma 2, 438.0, Gamma Flip, 437.5, Implied Movement +σ, 442.88, Put Wall, 420.0, Implied Movement -2σ, 434.96, Gamma Field &amp; Call Wall &amp; Key Delta, 450.0, Put Dominate , 431.0, Implied Movement -σ, 436.32, Implied Movement +2σ, 444.24, Call Wall CE &amp; Call Dominate , 442.0, 20240508 070000, 20240508 070000</t>
  </si>
  <si>
    <t xml:space="preserve">QQQ: Put Wall CE &amp; Large Gamma 2, 438.0, Call Dominate , 442.0, Implied Movement -σ, 436.13, Gamma Field &amp; Call Wall &amp; Key Delta, 450.0, Implied Movement +σ, 442.71, Gamma Flip, 437.5, Implied Movement -2σ, 434.77, Large Gamma 1 &amp; Gamma Field CE &amp; Gamma Flip CE, 440.0, Call Wall CE, 441.0, Implied Movement +2σ, 444.07, Put Wall, 420.0, Put Dominate , 431.0, 20240509 070000, 20240509 070000</t>
  </si>
  <si>
    <t xml:space="preserve">QQQ: Implied Movement -σ, 439.89, Call Wall, 475.0, Gamma Flip CE, 441.0, Call Wall CE, 442.0, Implied Movement -2σ, 436.8, Implied Movement +2σ, 449.2, Implied Movement +σ, 446.11, Call Dominate , 435.0, Gamma Flip, 437.5, Put Wall &amp; Gamma Field &amp; Key Delta, 425.0, Large Gamma 2 &amp; Gamma Field CE, 438.0, Put Wall CE &amp; Large Gamma 1 &amp; Put Dominate , 440.0, 20240510 070000, 20240510 070000</t>
  </si>
  <si>
    <t xml:space="preserve">QQQ: Put Wall CE &amp; Gamma Flip CE, 441.0, Implied Movement +2σ, 447.84, Implied Movement -σ, 439.92, Gamma Field CE &amp; Gamma Flip, 442.0, Call Dominate , 435.0, Large Gamma 2, 445.0, Call Wall CE, 443.0, Implied Movement -2σ, 438.56, Call Wall, 475.0, Implied Movement +σ, 446.48, Large Gamma 1 &amp; Put Dominate , 440.0, Put Wall &amp; Gamma Field &amp; Key Delta, 425.0, 20240513 070000, 20240513 070000</t>
  </si>
  <si>
    <t xml:space="preserve">QQQ: Put Wall &amp; Gamma Field &amp; Key Delta, 425.0, Implied Movement -2σ, 437.77, Implied Movement -σ, 439.35, Large Gamma 2 &amp; Call Wall CE, 445.0, Call Dominate , 435.0, Gamma Field CE &amp; Gamma Flip CE, 443.0, Large Gamma 1 &amp; Put Dominate , 440.0, Call Wall, 475.0, Implied Movement +σ, 446.93, Implied Movement +2σ, 448.51, Put Wall CE &amp; Gamma Flip, 442.0, 20240514 070000, 20240514 070000</t>
  </si>
  <si>
    <t xml:space="preserve">QQQ: Implied Movement -2σ, 440.52, Gamma Flip CE, 444.0, Gamma Flip, 442.0, Implied Movement -σ, 442.11, Implied Movement +σ, 449.81, Call Dominate , 435.0, Large Gamma 1 &amp; Put Dominate , 440.0, Gamma Field CE &amp; Call Wall CE, 450.0, Implied Movement +2σ, 451.4, Call Wall, 475.0, Large Gamma 2, 445.0, Put Wall &amp; Gamma Field &amp; Key Delta, 425.0, Put Wall CE, 443.0, 20240515 070000, 20240515 070000</t>
  </si>
  <si>
    <t xml:space="preserve">QQQ: Call Dominate , 435.0, Gamma Field &amp; Call Wall &amp; Key Delta, 475.0, Large Gamma 2, 453.0, Implied Movement +2σ, 458.15, Large Gamma 1, 450.0, Call Wall CE, 456.0, Implied Movement +σ, 456.85, Implied Movement -2σ, 449.35, Put Wall, 425.0, Put Wall CE, 448.0, Implied Movement -σ, 450.65, Gamma Flip CE, 451.0, Put Dominate , 440.0, Gamma Field CE, 452.0, Gamma Flip, 449.0, 20240516 070000, 20240516 070000</t>
  </si>
  <si>
    <t xml:space="preserve">QQQ: Implied Movement +2σ, 458.93, Implied Movement +σ, 455.65, Large Gamma 2, 452.0, Implied Movement -σ, 449.09, Gamma Field &amp; Call Wall &amp; Key Delta, 475.0, Gamma Flip &amp; Gamma Flip CE, 449.0, Large Gamma 1 &amp; Gamma Field CE &amp; Call Wall CE, 450.0, Implied Movement -2σ, 445.81, Put Dominate , 440.0, Put Wall, 425.0, Call Dominate , 435.0, Put Wall CE, 451.0, 20240517 070000, 20240517 070000</t>
  </si>
  <si>
    <t xml:space="preserve">QQQ: Call Dominate , 435.0, Implied Movement +σ, 455.59, Gamma Flip &amp; Gamma Flip CE, 451.0, Implied Movement +2σ, 456.74, Implied Movement -σ, 450.03, Put Wall CE &amp; Large Gamma 1 &amp; Large Gamma 2 &amp; Gamma Field CE, 450.0, Put Dominate , 440.0, Call Wall, 475.0, Call Wall CE, 453.0, Put Wall &amp; Gamma Field &amp; Key Delta, 425.0, Implied Movement -2σ, 448.88, 20240520 070000, 20240520 070000</t>
  </si>
  <si>
    <t xml:space="preserve">QQQ: Put Wall &amp; Gamma Field &amp; Key Delta, 425.0, Implied Movement +2σ, 459.45, Implied Movement -2σ, 450.05, Put Dominate , 440.0, Large Gamma 1, 450.0, Call Dominate , 435.0, Call Wall, 475.0, Implied Movement -σ, 451.42, Put Wall CE &amp; Large Gamma 2 &amp; Gamma Field CE &amp; Gamma Flip &amp; Gamma Flip CE, 454.0, Call Wall CE, 456.0, Implied Movement +σ, 458.08, 20240521 070000 20240521 070000</t>
  </si>
  <si>
    <t xml:space="preserve">QQQ: Call Wall, 475.0, Large Gamma 2, 460.0, Call Wall CE, 461.0, Call Dominate , 455.0, Put Wall &amp; Gamma Field &amp; Key Delta, 425.0, Gamma Flip CE, 454.0, Large Gamma 1, 450.0, Implied Movement -σ, 452.47, Implied Movement +σ, 459.25, Implied Movement -2σ, 451.07, Gamma Flip, 452.5, Put Wall CE &amp; Gamma Field CE, 451.0, Put Dominate , 440.0, Implied Movement +2σ, 460.65, 20240522 070000 20240522 070000</t>
  </si>
  <si>
    <t xml:space="preserve">QQQ: Implied Movement +σ, 463.85, Implied Movement -2σ, 455.41, Put Dominate , 440.0, Implied Movement -σ, 456.86, Gamma Field CE &amp; Call Wall CE, 464.0, Call Wall, 475.0, Call Dominate , 455.0, Put Wall &amp; Gamma Field, 425.0, Gamma Flip, 452.5, Implied Movement +2σ, 465.29, Key Delta, 445.0, Gamma Flip CE, 453.0, Large Gamma 2, 460.0, Put Wall CE &amp; Large Gamma 1, 450.0, 20240523 070000 20240523 070000</t>
  </si>
  <si>
    <t xml:space="preserve">QQQ: Key Delta, 445.0, Call Wall, 475.0, Put Wall &amp; Gamma Field, 425.0, Large Gamma 2 &amp; Gamma Field CE &amp; Call Dominate , 455.0, Put Dominate , 440.0, Put Wall CE &amp; Large Gamma 1, 450.0, Implied Movement -σ, 451.99, Implied Movement +2σ, 461.97, Implied Movement +σ, 458.15, Implied Movement -2σ, 448.17, Call Wall CE, 457.0, Gamma Flip &amp; Gamma Flip CE, 454.0, 20240524 070000 20240524 070000</t>
  </si>
  <si>
    <t xml:space="preserve">QQQ: Large Gamma 1, 450.0, Implied Movement +σ, 461.54, Large Gamma 2 &amp; Gamma Field CE, 458.0, Put Wall, 425.0, Call Dominate , 455.0, Gamma Flip, 457.0, Implied Movement -2σ, 455.89, Put Wall CE, 456.0, Call Wall CE, 460.0, Implied Movement -σ, 456.86, Put Dominate , 440.0, Implied Movement +2σ, 462.51, Gamma Field &amp; Call Wall, 475.0, Gamma Flip CE, 459.0, Key Delta, 445.0, 20240528 070000 20240528 070000</t>
  </si>
  <si>
    <t xml:space="preserve">QQQ: Put Wall, 425.0, Gamma Flip &amp; Call Dominate , 455.0, Implied Movement -2σ, 451.19, Put Wall CE &amp; Large Gamma 1 &amp; Gamma Field CE, 450.0, Put Dominate , 440.0, Implied Movement +2σ, 460.91, Large Gamma 2 &amp; Call Wall CE, 465.0, Implied Movement -σ, 452.62, Gamma Field &amp; Call Wall, 475.0, Implied Movement +σ, 459.48, Gamma Flip CE, 459.0, Key Delta, 445.0, 20240529 070000 20240529 070000</t>
  </si>
  <si>
    <t xml:space="preserve">QQQ: Implied Movement +σ, 457.91, Gamma Flip &amp; Call Dominate , 455.0, Call Wall CE, 465.0, Gamma Flip CE, 457.0, Implied Movement -2σ, 450.7, Put Dominate , 440.0, Implied Movement +2σ, 459.14, Put Wall, 425.0, Gamma Field &amp; Key Delta, 445.0, Implied Movement -σ, 451.93, Call Wall, 475.0, Put Wall CE &amp; Large Gamma 1 &amp; Large Gamma 2 &amp; Gamma Field CE, 450.0, 20240530 070000 20240530 070000</t>
  </si>
  <si>
    <t xml:space="preserve">QQQ: Gamma Flip &amp; Call Dominate , 455.0, Implied Movement +σ, 453.72, Implied Movement -2σ, 442.32, Put Wall &amp; Gamma Field, 425.0, Key Delta, 445.0, Call Wall CE, 465.0, Put Wall CE &amp; Large Gamma 1 &amp; Large Gamma 2 &amp; Gamma Field CE, 450.0, Call Wall, 475.0, Implied Movement -σ, 446.12, Gamma Flip CE, 453.0, Put Dominate , 440.0, Implied Movement +2σ, 457.52, 20240531 070000 20240531 070000</t>
  </si>
  <si>
    <t xml:space="preserve">QQQ: Implied Movement +2σ, 458.07, Put Wall CE, 445.0, Gamma Flip &amp; Call Dominate , 452.5, Put Wall &amp; Large Gamma 1 &amp; Gamma Field &amp; Gamma Field CE &amp; Call Wall &amp; Key Delta, 450.0, Implied Movement -2σ, 449.55, Call Wall CE, 453.0, Gamma Flip CE, 449.0, Implied Movement +σ, 456.82, Put Dominate , 429.78, Large Gamma 2, 440.0, Implied Movement -σ, 450.8, 20240603 070000 20240603 070000</t>
  </si>
  <si>
    <t xml:space="preserve">QQQ: Put Wall CE &amp; Gamma Flip CE, 452.0, Large Gamma 2 &amp; Gamma Field CE, 455.0, Call Wall CE, 456.0, Put Dominate , 424.78, Put Wall &amp; Large Gamma 1 &amp; Gamma Field &amp; Call Wall &amp; Key Delta, 450.0, Implied Movement +2σ, 457.15, Implied Movement +σ, 455.62, Implied Movement -2σ, 446.75, Gamma Flip &amp; Call Dominate , 452.5, Implied Movement -σ, 448.28, 20240604 070000 20240604 070000</t>
  </si>
  <si>
    <t xml:space="preserve">QQQ: Implied Movement +σ, 460.37, Gamma Flip &amp; Call Dominate , 452.5, Call Wall, 465.0, Put Wall CE, 451.0, Put Dominate , 424.78, Large Gamma 2 &amp; Gamma Field CE &amp; Call Wall CE, 455.0, Implied Movement +2σ, 461.99, Gamma Flip CE, 454.0, Implied Movement -σ, 452.57, Put Wall &amp; Large Gamma 1 &amp; Gamma Field &amp; Key Delta, 450.0, Implied Movement -2σ, 450.95, 20240605 070000 20240605 070000</t>
  </si>
  <si>
    <t xml:space="preserve">QQQ: Call Wall, 465, Call Wall CE, 465, Put Wall, 460, Put Wall CE, 460, Gamma Flip, 461, Gamma Flip CE, 462,  20240606 070000 20240606 070000</t>
  </si>
  <si>
    <t xml:space="preserve">QQQ: Put Wall CE &amp; Put Wall &amp; Large Gamma 1 &amp; Gamma Field &amp; Gamma Field CE, 460.0, Large Gamma 2 &amp; Call Wall &amp; Call Wall CE, 463.0, Implied Movement +σ, 465.71, Put Dominate , 429.78, Gamma Flip &amp; Gamma Flip CE &amp; Call Dominate , 461.0, Implied Movement +2σ, 469.6, Implied Movement -σ, 457.95, Implied Movement -2σ, 454.06, Key Delta, 450.0, 20240607 070000 20240607 070000</t>
  </si>
  <si>
    <t xml:space="preserve">QQQ: Implied Movement -σ, 459.52, Gamma Flip &amp; Call Dominate , 462.0, Implied Movement +2σ, 467.29, Large Gamma 1 &amp; Key Delta, 450.0, Call Wall CE, 467.0, Put Dominate , 439.78, Put Wall &amp; Large Gamma 2, 455.0, Implied Movement +σ, 465.96, Gamma Field &amp; Gamma Field CE &amp; Gamma Flip CE &amp; Call Wall, 465.0, Put Wall CE, 460.0, Implied Movement -2σ, 458.19, 20240610 070000 20240610 070000</t>
  </si>
  <si>
    <t xml:space="preserve">QQQ: Gamma Flip &amp; Call Dominate , 464.0, Call Wall CE, 468.0, Put Wall CE &amp; Put Wall &amp; Large Gamma 1 &amp; Large Gamma 2 &amp; Gamma Field &amp; Gamma Field CE &amp; Gamma Flip CE &amp; Call Wall, 465.0, Put Dominate , 439.78, Implied Movement -σ, 459.65, Implied Movement +2σ, 468.76, Implied Movement -2σ, 458.08, Key Delta, 450.0, Implied Movement +σ, 467.19, 20240611 070000 20240611 070000</t>
  </si>
  <si>
    <t xml:space="preserve">QQQ: Put Wall, 460.0, Gamma Flip CE, 466.0, Implied Movement +2σ, 474.17, Key Delta, 450.0, Implied Movement +σ, 472.57, Put Wall CE, 461.0, Call Wall CE, 471.0, Implied Movement -σ, 464.81, Large Gamma 2 &amp; Gamma Field, 470.0, Large Gamma 1 &amp; Gamma Field CE &amp; Call Wall, 465.0, Gamma Flip &amp; Call Dominate , 462.0, Put Dominate , 394.78, Implied Movement -2σ, 463.21, 20240612 070000 20240612 070000</t>
  </si>
  <si>
    <t xml:space="preserve">QQQ: Put Dominate , 394.78, Put Wall CE &amp; Large Gamma 2 &amp; Key Delta, 470.0, Call Dominate , 472.0, Implied Movement -σ, 474.86, Put Wall, 460.0, Implied Movement +σ, 479.12, Gamma Flip, 462.0, Gamma Flip CE, 473.0, Implied Movement -2σ, 473.97, Large Gamma 1 &amp; Gamma Field &amp; Gamma Field CE &amp; Call Wall, 475.0, Call Wall CE, 476.0, Implied Movement +2σ, 480.01, 20240613 070000 20240613 070000</t>
  </si>
  <si>
    <t xml:space="preserve">QQQ: Implied Movement +σ, 478.99, Implied Movement +2σ, 482.13, Call Wall CE, 480.0, Implied Movement -σ, 472.73, Gamma Flip CE, 476.0, Put Wall CE, 474.0, Put Wall &amp; Large Gamma 1 &amp; Large Gamma 2 &amp; Gamma Field &amp; Gamma Field CE &amp; Call Wall, 475.0, Gamma Flip, 464.0, Key Delta, 470.0, Implied Movement -2σ, 469.59, Put Dominate , 394.78, Call Dominate , 515.0, 20240614 070000 20240614 070000</t>
  </si>
  <si>
    <t xml:space="preserve">QQQ: Large Gamma 2 &amp; Key Delta, 470.0, Implied Movement -σ, 476.58, Put Wall CE &amp; Put Wall &amp; Gamma Flip CE, 477.0, Gamma Field CE &amp; Call Dominate , 478.0, Implied Movement -2σ, 475.36, Implied Movement +σ, 482.5, Put Dominate , 294.78, Call Wall CE, 480.0, Gamma Flip, 468.0, Large Gamma 1 &amp; Gamma Field &amp; Call Wall, 475.0, Implied Movement +2σ, 483.72, 20240617 070000 20240617 070000</t>
  </si>
  <si>
    <t xml:space="preserve">QQQ: Call Wall CE, 490.0, Put Dominate , 394.78, Implied Movement +σ, 489.4, Implied Movement +2σ, 491.85, Gamma Field CE, 485.0, Implied Movement -σ, 482.68, Put Wall CE &amp; Large Gamma 2 &amp; Gamma Field &amp; Call Wall, 480.0, Key Delta, 470.0, Put Wall &amp; Large Gamma 1, 475.0, Gamma Flip CE &amp; Call Dominate , 484.0, Implied Movement -2σ, 480.23, Gamma Flip, 469.0, 20240618 070000 20240618 070000</t>
  </si>
  <si>
    <t xml:space="preserve">QQQ: Implied Movement +2σ, 492.87, Put Dominate , 394.78, Gamma Flip, 474.0, Call Wall CE, 490.0, Implied Movement -σ, 485.44, Call Dominate , 484.0, Implied Movement +σ, 491.54, Large Gamma 1 &amp; Large Gamma 2 &amp; Gamma Field &amp; Call Wall, 480.0, Put Wall CE, 479.0, Key Delta, 470.0, Put Wall &amp; Gamma Field CE &amp; Gamma Flip CE, 485.0, Implied Movement -2σ, 484.11, 20240620 070000 20240620 070000</t>
  </si>
  <si>
    <t xml:space="preserve">QQQ: Key Delta, 470.0, Large Gamma 2 &amp; Gamma Field &amp; Call Wall, 480.0, Call Wall CE, 485.0, Implied Movement +2σ, 488.68, Put Wall &amp; Large Gamma 1 &amp; Gamma Field CE, 475.0, Put Wall CE, 474.0, Implied Movement +σ, 484.97, Implied Movement -σ, 477.57, Put Dominate , 377.78, Implied Movement -2σ, 473.86, Gamma Flip &amp; Gamma Flip CE &amp; Call Dominate , 483.0, 20240621 070000 20240621 070000</t>
  </si>
  <si>
    <t xml:space="preserve">QQQ: Put Dominate , 346.78, Gamma Flip &amp; Gamma Flip CE &amp; Call Dominate , 481.0, Implied Movement +2σ, 483.45, Implied Movement +σ, 482.19, Implied Movement -2σ, 474.85, Put Wall CE &amp; Put Wall &amp; Large Gamma 1 &amp; Gamma Field &amp; Gamma Field CE &amp; Call Wall &amp; Key Delta, 480.0, Large Gamma 2, 470.0, Implied Movement -σ, 476.11, Call Wall CE, 485.0, 20240624 070000 20240624 070000</t>
  </si>
  <si>
    <t xml:space="preserve">QQQ: Implied Movement +2σ, 481.17, Implied Movement -2σ, 471.05, Put Dominate , 346.78, Implied Movement +σ, 479.69, Large Gamma 1 &amp; Gamma Field &amp; Call Wall &amp; Call Wall CE, 480.0, Gamma Field CE, 474.0, Implied Movement -σ, 472.53, Gamma Flip &amp; Gamma Flip CE, 475.0, Put Wall CE &amp; Put Wall &amp; Large Gamma 2 &amp; Key Delta, 470.0, Call Dominate , 477.5, 20240625 070000 20240625 070000</t>
  </si>
  <si>
    <t xml:space="preserve">QQQ: Gamma Flip &amp; Call Dominate , 479.0, Implied Movement +σ, 484.18, Put Wall CE &amp; Large Gamma 1 &amp; Large Gamma 2 &amp; Gamma Field &amp; Gamma Field CE &amp; Gamma Flip CE &amp; Call Wall &amp; Key Delta, 480.0, Call Wall CE, 484.0, Implied Movement +2σ, 485.62, Put Dominate , 346.78, Implied Movement -σ, 477.22, Put Wall, 475.0, Implied Movement -2σ, 475.78, 20240626 070000 20240626 070000</t>
  </si>
  <si>
    <t xml:space="preserve">QQQ: Implied Movement +σ, 483.19, Implied Movement +2σ, 484.68, Large Gamma 1 &amp; Gamma Field &amp; Call Wall, 480.0, Put Wall CE &amp; Gamma Field CE, 478.0, Large Gamma 2 &amp; Key Delta, 470.0, Implied Movement -2σ, 475.3, Put Wall, 475.0, Call Wall CE, 483.0, Put Dominate , 346.78, Gamma Flip &amp; Gamma Flip CE &amp; Call Dominate , 479.0, Implied Movement -σ, 476.79, 20240627 070000 20240627 070000</t>
  </si>
  <si>
    <t xml:space="preserve">QQQ: Large Gamma 2 &amp; Key Delta, 470.0, Put Dominate , 346.78, Implied Movement -2σ, 476.68, Put Wall &amp; Large Gamma 1 &amp; Gamma Field &amp; Gamma Field CE &amp; Call Wall, 480.0, Gamma Flip &amp; Gamma Flip CE, 479.0, Call Wall CE, 485.0, Implied Movement -σ, 480.15, Implied Movement +2σ, 490.78, Call Dominate , 482.5, Implied Movement +σ, 487.31, Put Wall CE, 478.0, 20240628 070000 20240628 070000</t>
  </si>
  <si>
    <t xml:space="preserve">QQQ: Implied Movement -σ, 476.04, Large Gamma 2 &amp; Gamma Field &amp; Gamma Flip &amp; Gamma Flip CE &amp; Call Dominate , 480.0, Put Wall CE, 477.0, Implied Movement +2σ, 483.52, Implied Movement +σ, 482.24, Gamma Field CE &amp; Call Wall CE, 482.0, Implied Movement -2σ, 474.76, Put Wall &amp; Large Gamma 1 &amp; Call Wall &amp; Key Delta, 470.0, Put Dominate , 346.78, 20240701 070000 20240701 070000</t>
  </si>
  <si>
    <t xml:space="preserve">QQQ: Implied Movement +σ, 483.07, Gamma Flip &amp; Gamma Flip CE &amp; Call Dominate , 481.0, Put Wall CE &amp; Large Gamma 2 &amp; Gamma Field &amp; Gamma Field CE, 480.0, Implied Movement +2σ, 484.42, Call Wall, 490.0, Implied Movement -2σ, 475.18, Implied Movement -σ, 476.53, Put Dominate , 264.78, Put Wall &amp; Large Gamma 1 &amp; Key Delta, 470.0, Call Wall CE, 485.0, 20240702 070000 20240702 070000</t>
  </si>
  <si>
    <t xml:space="preserve">QQQ: Large Gamma 2 &amp; Gamma Field CE &amp; Call Wall CE, 487.0 , Call Dominate , 493.0, Implied Movement -2σ, 482.52, Put Wall &amp; Large Gamma 1 &amp; Key Delta, 470.0, Implied Movement +σ, 490.33, Put Wall CE &amp; Gamma Field &amp; Gamma Flip CE, 485.0, Gamma Flip, 484.0, Implied Movement +2σ, 492.42, Implied Movement -σ, 484.61, Call Wall, 490.0, 20240703 070000 20240703 070000</t>
  </si>
  <si>
    <t xml:space="preserve">QQQ: Call Wall, 490, Call Wall CE, 490, Put Wall, 490, Put Wall CE, 489, Gamma Flip, 484, Gamma Flip CE, 489, Gamma Field, 490, 20240705 070000, 20240705 070000</t>
  </si>
  <si>
    <t xml:space="preserve">QQQ: Implied Movement -2σ, 491.58, Put Wall CE &amp; Gamma Field CE, 493.0, Put Wall &amp; Large Gamma 2 &amp; Gamma Field &amp; Put Dominate , 490.0, Implied Movement +2σ, 499.94, Large Gamma 1 &amp; Call Wall &amp; Call Wall CE, 500.0, Implied Movement +σ, 498.71, Gamma Flip &amp; Gamma Flip CE, 494.0, Key Delta, 470.0, Implied Movement -σ, 492.81, Call Dominate , 502.5, 20240708 070000 20240708 070000</t>
  </si>
  <si>
    <t xml:space="preserve">QQQ: Gamma Field CE, 496.0, Implied Movement -2σ, 493.91, Implied Movement +σ, 502.62, Gamma Flip CE, 495.0, Large Gamma 2 &amp; Put Dominate , 490.0, Key Delta, 470.0, Implied Movement -σ, 495.4, Call Wall CE, 499.0, Call Dominate , 503.0, Large Gamma 1 &amp; Gamma Field &amp; Call Wall, 500.0, Implied Movement +2σ, 504.11, Put Wall, 492.0, Put Wall CE, 493.0, Gamma Flip, 494.0, 20240709 070000 20240709 070000</t>
  </si>
  <si>
    <t xml:space="preserve">QQQ: Implied Movement +2σ, 504.96, Implied Movement -2σ, 494.86, Put Wall CE, 495.0, Implied Movement +σ, 503.48, Gamma Flip &amp; Gamma Flip CE, 497.0, Large Gamma 1 &amp; Gamma Field &amp; Call Wall &amp; Call Wall CE, 500.0, Implied Movement -σ, 496.34, Key Delta, 470.0, Put Wall, 492.0, Large Gamma 2 &amp; Put Dominate , 490.0, Call Dominate , 503.0, Gamma Field CE, 498.0, 20240710 070000</t>
  </si>
  <si>
    <t xml:space="preserve">QQQ: Call Dominate , 503.0, Gamma Flip, 493.0, Implied Movement -2σ, 484.16, Put Wall CE &amp; Large Gamma 2 &amp; Gamma Field &amp; Put Dominate , 490.0, Key Delta, 470.0, Implied Movement -σ, 488.19, Put Wall &amp; Gamma Flip CE, 492.0, Implied Movement +2σ, 500.42, Large Gamma 1 &amp; Gamma Field CE &amp; Call Wall &amp; Call Wall CE, 495.0, Implied Movement +σ, 496.39, 20240711 070000</t>
  </si>
  <si>
    <t xml:space="preserve">QQQ: Implied Movement -2σ, 484.11, Large Gamma 1 &amp; Gamma Field CE &amp; Call Wall &amp; Call Wall CE, 495.0, Implied Movement +2σ, 500.37, Call Dominate , 503.0, Implied Movement -σ, 488.14, Put Wall CE &amp; Large Gamma 2 &amp; Gamma Field &amp; Put Dominate , 490.0, Gamma Flip, 493.0, Key Delta, 470.0, Put Wall &amp; Gamma Flip CE, 492.0, Implied Movement +σ, 496.34, 20240712 070000 20240712 070000</t>
  </si>
  <si>
    <t xml:space="preserve">QQQ: Call Dominate , 503.0, Implied Movement -2σ, 492.28, Large Gamma 2, 493.0, Key Delta, 470.0, Gamma Flip &amp; Gamma Flip CE, 496.0, Implied Movement +2σ, 501.78, Put Wall CE &amp; Put Wall, 492.0, Large Gamma 1 &amp; Gamma Field &amp; Put Dominate , 490.0, Call Wall &amp; Call Wall CE, 500.0, Gamma Field CE, 495.0, Implied Movement +σ, 500.39, Implied Movement -σ, 493.67, 20240715 070000 20240715 070000</t>
  </si>
  <si>
    <t xml:space="preserve">QQQ: Implied Movement +σ, 501.23, Put Wall CE &amp; Gamma Flip &amp; Gamma Flip CE, 495.0, Large Gamma 1 &amp; Gamma Field &amp; Put Dominate , 490.0, Gamma Field CE &amp; Call Wall CE, 498.0, Implied Movement -2σ, 491.58, Implied Movement +2σ, 502.88, Large Gamma 2, 493.0, Call Dominate , 502.0, Put Wall, 492.0, Implied Movement -σ, 493.23, Call Wall, 500.0, Key Delta, 470.0, 20240716 070000 20240716 070000</t>
  </si>
  <si>
    <t xml:space="preserve">QQQ: Implied Movement +σ, 493.06, Put Wall CE &amp; Put Wall &amp; Gamma Field CE, 492.0, Large Gamma 1 &amp; Put Dominate , 490.0, Call Dominate , 502.0, Large Gamma 2, 493.0, Gamma Flip &amp; Gamma Flip CE, 496.0, Gamma Field &amp; Call Wall &amp; Call Wall CE, 500.0, Key Delta, 470.0, Implied Movement -σ, 484.64, Implied Movement +2σ, 494.8, Implied Movement -2σ, 482.9, 20240717 070000 20240717 070000</t>
  </si>
  <si>
    <t xml:space="preserve">QQQ: Put Dominate , 479.0, Put Wall CE &amp; Put Wall &amp; Large Gamma 1 &amp; Gamma Field &amp; Call Wall, 480.0, Implied Movement +2σ, 490.94, Gamma Field CE, 482.0, Implied Movement -σ, 480.16, Implied Movement +σ, 489.1, Gamma Flip CE, 481.0, Large Gamma 2, 490.0, Key Delta, 470.0, Call Dominate , 502.0, Implied Movement -2σ, 478.32, Gamma Flip, 483.0, Call Wall CE, 485.0, 20240718 070000 20240718 070000</t>
  </si>
  <si>
    <t xml:space="preserve">QQQ: Call Dominate , 502.0, Gamma Flip, 483.0, Put Dominate , 468.0, Gamma Flip CE, 479.0, Put Wall CE &amp; Large Gamma 2, 475.0, Implied Movement +2σ, 490.44, Key Delta, 470.0, Implied Movement -2σ, 470.86, Put Wall &amp; Large Gamma 1 &amp; Gamma Field &amp; Gamma Field CE &amp; Call Wall &amp; Call Wall CE, 480.0, Implied Movement +σ, 485.54, Implied Movement -σ, 475.76, 20240719 070000 20240719 070000</t>
  </si>
  <si>
    <t xml:space="preserve">QQQ: Large Gamma 1 &amp; Call Wall, 479.0, Put Wall &amp; Gamma Field &amp; Call Wall CE &amp; Key Delta, 480.0, Implied Movement +σ, 484.1, Implied Movement -σ, 475.66, Gamma Flip, 477.5, Implied Movement +2σ, 485.85, Put Wall CE &amp; Gamma Field CE &amp; Gamma Flip CE, 475.0, Implied Movement -2σ, 473.91, Call Dominate , 481.0, Large Gamma 2, 470.0, Put Dominate , 468.0, 20240722 070000 20240722 070000</t>
  </si>
  <si>
    <t xml:space="preserve">QQQ: Put Dominate , 468.0, Large Gamma 1, 470.0, Put Wall CE &amp; Gamma Flip CE, 477.0, Implied Movement -σ, 476.9, Implied Movement +σ, 486.2, Implied Movement +2σ, 488.13, Put Wall &amp; Large Gamma 2 &amp; Gamma Field &amp; Key Delta, 480.0, Call Dominate , 504.0, Gamma Flip, 481.0, Gamma Field CE &amp; Call Wall &amp; Call Wall CE, 478.0, Implied Movement -2σ, 474.97, 20240723 070000 20240723 070000</t>
  </si>
  <si>
    <t xml:space="preserve">QQQ: Gamma Flip &amp; Gamma Flip CE, 481.0, Put Wall CE &amp; Put Wall &amp; Large Gamma 2 &amp; Gamma Field &amp; Gamma Field CE &amp; Key Delta, 480.0, Implied Movement +σ, 477.61, Large Gamma 1, 470.0, Implied Movement +2σ, 479.37, Implied Movement -σ, 469.11, Put Dominate , 468.0, Call Dominate , 504.0, Call Wall, 500.0, Implied Movement -2σ, 467.35, Call Wall CE, 485.0, 20240724 070000 20240724 070000</t>
  </si>
  <si>
    <t xml:space="preserve">QQQ: Implied Movement -σ, 458.4, Large Gamma 1 &amp; Gamma Field CE &amp; Call Wall &amp; Call Wall CE, 465.0, Put Wall CE &amp; Gamma Flip CE, 462.0, Implied Movement +2σ, 468.01, Implied Movement -2σ, 456.99, Put Wall &amp; Large Gamma 2 &amp; Gamma Field &amp; Key Delta, 470.0, Implied Movement +σ, 466.6, Put Dominate , 458.0, Call Dominate , 469.0, Gamma Flip, 464.78, 20240725 070000 20240725 070000</t>
  </si>
  <si>
    <t xml:space="preserve">QQQ: Call Dominate , 466.0, Put Wall CE, 456.0, Implied Movement +σ, 469.49, Gamma Flip, 462.5, Put Dominate , 449.0, Implied Movement -σ, 457.47, Implied Movement -2σ, 451.46, Put Wall &amp; Large Gamma 1 &amp; Gamma Field &amp; Key Delta, 470.0, Gamma Flip CE, 462.0, Implied Movement +2σ, 475.5, Large Gamma 2 &amp; Gamma Field CE &amp; Call Wall &amp; Call Wall CE, 465.0, 20240726 070000 20240726 070000</t>
  </si>
  <si>
    <t xml:space="preserve">QQQ: Implied Movement +σ, 470.72, Large Gamma 2, 480.0, Gamma Flip CE, 462.0, Implied Movement +2σ, 472.38, Put Dominate , 458.0, Gamma Field CE &amp; Call Wall &amp; Call Wall CE, 463.0, Implied Movement -2σ, 461.06, Call Dominate , 487.0, Gamma Flip, 462.5, Implied Movement -σ, 462.72, Put Wall CE, 460.0, Put Wall &amp; Large Gamma 1 &amp; Gamma Field &amp; Key Delta, 470.0, 20240729 070000 20240729 070000</t>
  </si>
  <si>
    <t xml:space="preserve">QQQ: Put Dominate , 458.0, Gamma Field CE &amp; Call Wall CE, 468.0, Implied Movement -σ, 459.46, Implied Movement -2σ, 457.04, Gamma Flip &amp; Gamma Flip CE, 465.0, Implied Movement +σ, 471.12, Put Wall &amp; Large Gamma 1 &amp; Gamma Field &amp; Call Wall &amp; Key Delta, 470.0, Call Dominate , 487.0, Large Gamma 2, 480.0, Put Wall CE, 460.0, Implied Movement +2σ, 473.54, 20240730 070000 20240730 070000</t>
  </si>
  <si>
    <t xml:space="preserve">QQQ: Call Wall CE, 463.0, Put Dominate , 447.5, Implied Movement -2σ, 458.2, Put Wall &amp; Large Gamma 1 &amp; Gamma Field &amp; Call Wall &amp; Key Delta, 470.0, Put Wall CE &amp; Gamma Field CE, 445.0, Implied Movement +σ, 471.94, Implied Movement +2σ, 474.3, Call Dominate , 488.0, Implied Movement -σ, 460.56, Large Gamma 2 &amp; Gamma Flip, 465.0, Gamma Flip CE, 461.0, 20240731 070000 20240731 070000</t>
  </si>
  <si>
    <t xml:space="preserve">QQQ: Implied Movement +2σ, 479.88, Implied Movement -σ, 467.8, Put Wall &amp; Large Gamma 1 &amp; Gamma Field &amp; Gamma Field CE &amp; Gamma Flip &amp; Call Wall &amp; Key Delta, 470.0, Large Gamma 2, 480.0, Put Dominate , 458.0, Put Wall CE, 467.0, Implied Movement -2σ, 465.62, Implied Movement +σ, 477.7, Gamma Flip CE, 469.0, Call Dominate , 488.0, Call Wall CE, 473.0, 20240801 070000 20240801 070000</t>
  </si>
  <si>
    <t xml:space="preserve">QQQ: Put Dominate , 448.0, Gamma Flip CE, 459.0, Put Wall CE, 450.0, Large Gamma 2 &amp; Gamma Field CE, 460.0, Implied Movement +2σ, 462.03, Implied Movement +σ, 455.73, Call Dominate , 488.0, Implied Movement -σ, 443.13, Implied Movement -2σ, 436.83, Put Wall &amp; Large Gamma 1 &amp; Gamma Field &amp; Gamma Flip &amp; Call Wall &amp; Call Wall CE &amp; Key Delta, 470.0, 20240802 070000 20240802 070000</t>
  </si>
  <si>
    <t xml:space="preserve">QQQ: Large Gamma 1 &amp; Call Wall &amp; Key Delta, 470.0, Implied Movement +2σ, 434.44, Implied Movement -σ, 421.43, Call Wall CE, 454.0, Put Wall CE &amp; Gamma Field CE &amp; Gamma Flip CE, 448.0, Put Wall &amp; Large Gamma 2 &amp; Gamma Field, 460.0, Call Dominate , 457.0, Implied Movement -2σ, 419.19, Put Dominate , 438.0, Gamma Flip, 465.0, Implied Movement +σ, 432.21, 20240805 070000 20240805 070000</t>
  </si>
  <si>
    <t xml:space="preserve">QQQ: Gamma Flip CE, 437.0, Put Wall CE, 430.0, Gamma Flip, 465.0, Gamma Field CE, 435.0, Implied Movement +σ, 449.4, Implied Movement -2σ, 427.31, Put Wall &amp; Large Gamma 1, 460.0, Call Wall CE, 440.0, Large Gamma 2 &amp; Call Wall &amp; Key Delta, 470.0, Gamma Field, 450.0, Put Dominate , 425.0, Implied Movement +2σ, 453.19, Implied Movement -σ, 431.1, Call Dominate , 488.0, 20240806 070000 20240806 070000</t>
  </si>
  <si>
    <t xml:space="preserve">QQQ: Gamma Flip CE, 444.0, Implied Movement -2σ, 436.53, Call Dominate , 447.0, Put Wall CE, 435.0, Implied Movement +2σ, 454.81, Gamma Flip &amp; Key Delta, 470.0, Implied Movement -σ, 439.21, Put Dominate , 439.0, Large Gamma 1 &amp; Gamma Field &amp; Gamma Field CE &amp; Call Wall &amp; Call Wall CE, 445.0, Put Wall &amp; Large Gamma 2, 460.0, Implied Movement +σ, 452.13, 20240807 070000 20240807 070000</t>
  </si>
  <si>
    <t xml:space="preserve">QQQ: Large Gamma 1 &amp; Gamma Flip, 460.0, Implied Movement +σ, 445.54, Gamma Flip CE, 441.0, Call Dominate , 488.0, Put Dominate , 429.0, Implied Movement -σ, 434.12, Put Wall CE &amp; Put Wall &amp; Gamma Field &amp; Gamma Field CE, 440.0, Implied Movement -2σ, 431.75, Call Wall &amp; Key Delta, 470.0, Implied Movement +2σ, 447.91, Large Gamma 2 &amp; Call Wall CE, 450.0, 20240808 070000 20240808 070000</t>
  </si>
  <si>
    <t xml:space="preserve">QQQ: Put Dominate , 438.0, Call Wall CE, 459.0, Implied Movement -2σ, 435.01, Implied Movement -σ, 441.65, Call Dominate , 488.0, Large Gamma 2 &amp; Key Delta, 470.0, Implied Movement +2σ, 461.45, Put Wall &amp; Large Gamma 1 &amp; Call Wall, 460.0, Implied Movement +σ, 454.81, Put Wall CE &amp; Gamma Field &amp; Gamma Field CE &amp; Gamma Flip &amp; Gamma Flip CE, 450.0, 20240809 070000 20240809 070000</t>
  </si>
  <si>
    <t xml:space="preserve">QQQ: Put Dominate , 438.0, Call Wall CE, 459.0, Implied Movement -2σ, 435.01, Implied Movement -σ, 441.65, Call Dominate , 488.0, Large Gamma 2 &amp; Key Delta, 470.0, Implied Movement +2σ, 461.45, Put Wall &amp; Large Gamma 1 &amp; Call Wall, 460.0, Implied Movement +σ, 454.81, Put Wall CE &amp; Gamma Field &amp; Gamma Field CE &amp; Gamma Flip &amp; Gamma Flip CE, 450.0, 20240812 070000 20240812 070000</t>
  </si>
  <si>
    <t xml:space="preserve">QQQ: Call Dominate , 490.0, Implied Movement -2σ, 445.17, Key Delta, 470.0, Implied Movement +σ, 459.05, Call Wall CE, 456.0, Implied Movement -σ, 447.55, Implied Movement +2σ, 461.43, Large Gamma 1 &amp; Gamma Field &amp; Call Wall, 460.0, Put Wall CE &amp; Put Wall &amp; Large Gamma 2 &amp; Gamma Field CE &amp; Gamma Flip &amp; Gamma Flip CE, 455.0, Put Dominate , 452.5, 20240813 070000 20240813 070000</t>
  </si>
  <si>
    <t xml:space="preserve">QQQ: Gamma Flip &amp; Gamma Flip CE, 461.0, Implied Movement -2σ, 455.85, Large Gamma 1 &amp; Gamma Field &amp; Call Wall &amp; Key Delta, 470.0, Implied Movement +σ, 468.79, Implied Movement -σ, 458.07, Call Dominate , 483.0, Large Gamma 2, 460.0, Put Dominate , 457.0, Call Wall CE, 465.0, Put Wall CE &amp; Put Wall &amp; Gamma Field CE, 459.0, Implied Movement +2σ, 471.01, 20240814 070000 20240814 070000</t>
  </si>
  <si>
    <t xml:space="preserve">QQQ: Gamma Flip &amp; Gamma Flip CE, 461.0, Call Dominate , 483.0, Implied Movement +2σ, 470.99, Put Wall &amp; Large Gamma 1 &amp; Gamma Field &amp; Call Wall &amp; Key Delta, 470.0, Large Gamma 2, 465.0, Call Wall CE, 472.0, Put Dominate , 457.0, Put Wall CE &amp; Gamma Field CE, 459.0, Implied Movement -σ, 459.87, Implied Movement -2σ, 457.97, Implied Movement +σ, 469.08, 20240815 070000 20240815 070000</t>
  </si>
  <si>
    <t xml:space="preserve">QQQ: Gamma Flip CE, 471.0, Call Wall CE, 480.0, Call Dominate , 482.0, Implied Movement -2σ, 465.61, Put Wall CE &amp; Put Wall &amp; Large Gamma 1 &amp; Gamma Field &amp; Gamma Field CE &amp; Gamma Flip &amp; Call Wall &amp; Key Delta, 470.0, Put Dominate , 468.0, Large Gamma 2, 475.0, Implied Movement -σ, 469.82, Implied Movement +σ, 478.22, Implied Movement +2σ, 482.43, 20240816 070000 20240816 070000</t>
  </si>
  <si>
    <t xml:space="preserve">QQQ: Implied Movement -2σ, 470.19, Implied Movement -σ, 471.81, Put Wall CE &amp; Gamma Flip CE &amp; Put Dominate , 472.0, Large Gamma 1, 480.0, Key Delta, 470.0, Put Wall &amp; Gamma Flip, 474.0, Implied Movement +2σ, 481.27, Large Gamma 2 &amp; Gamma Field &amp; Gamma Field CE &amp; Call Wall &amp; Call Wall CE, 475.0, Call Dominate , 482.0, Implied Movement +σ, 479.65, 20240819 070000 20240819 070000</t>
  </si>
  <si>
    <t xml:space="preserve">QQQ: Put Dominate , 475.0, Large Gamma 1 &amp; Gamma Field &amp; Call Wall &amp; Key Delta, 480.0, Gamma Field CE &amp; Call Wall CE, 482.0, Implied Movement +2σ, 487.04, Put Wall CE &amp; Put Wall &amp; Gamma Flip, 477.0, Implied Movement +σ, 485.3, Large Gamma 2, 485.0, Gamma Flip CE, 472.0, Implied Movement -σ, 476.9, Call Dominate , 488.0, Implied Movement -2σ, 475.16, 20240820 070000 20240820 070000</t>
  </si>
  <si>
    <t xml:space="preserve">QQQ: Large Gamma 2, 470.0, Implied Movement -σ, 475.69, Put Dominate , 475.0, Call Wall CE, 483.0, Gamma Flip &amp; Gamma Flip CE, 479.0, Call Dominate , 488.0, Implied Movement -2σ, 473.8, Implied Movement +2σ, 486.72, Put Wall CE &amp; Put Wall &amp; Gamma Field CE, 477.0, Large Gamma 1 &amp; Gamma Field &amp; Call Wall &amp; Key Delta, 480.0, Implied Movement +σ, 484.83, 20240821 070000 20240821 070000</t>
  </si>
  <si>
    <t xml:space="preserve">QQQ: Implied Movement -2σ, 478.7, Gamma Field CE, 484.0, Put Wall &amp; Large Gamma 2, 470.0, Gamma Flip, 479.0, Implied Movement +2σ, 490.24, Large Gamma 1 &amp; Gamma Field &amp; Gamma Flip CE &amp; Call Wall &amp; Key Delta, 480.0, Put Dominate , 459.0, Put Wall CE, 478.0, Implied Movement +σ, 488.55, Call Wall CE, 485.0, Call Dominate , 487.0, Implied Movement -σ, 480.39, 20240822 070000 20240822 070000</t>
  </si>
  <si>
    <t xml:space="preserve">QQQ: Put Wall &amp; Large Gamma 2 &amp; Key Delta, 470.0, Implied Movement -2σ, 468.53, Call Dominate , 487.0, Implied Movement -σ, 473.79, Large Gamma 1 &amp; Gamma Field &amp; Gamma Field CE &amp; Call Wall &amp; Call Wall CE, 480.0, Implied Movement +2σ, 489.55, Gamma Flip, 473.0, Gamma Flip CE, 477.0, Put Dominate , 469.0, Put Wall CE, 474.0, Implied Movement +σ, 484.29, 20240823 070000 20240823 070000</t>
  </si>
  <si>
    <t xml:space="preserve">QQQ: Implied Movement +2σ, 486.68, Put Dominate , 478.0, Implied Movement -2σ, 474.82, Call Wall CE, 485.0, Put Wall CE &amp; Put Wall &amp; Large Gamma 1 &amp; Large Gamma 2 &amp; Gamma Field &amp; Gamma Field CE &amp; Gamma Flip &amp; Gamma Flip CE &amp; Call Wall &amp; Key Delta, 480.0, Implied Movement -σ, 476.56, Implied Movement +σ, 484.94, Call Dominate , 487.0, 20240826 070000 20240826 070000</t>
  </si>
  <si>
    <t xml:space="preserve">QQQ: Implied Movement +2σ, 480.77, Large Gamma 1 &amp; Gamma Field &amp; Call Wall, 480.0, Call Dominate , 484.0, Gamma Field CE &amp; Call Wall CE, 472.0, Gamma Flip, 474.0, Implied Movement -σ, 468.7, Put Dominate , 469.0, Put Wall CE &amp; Put Wall &amp; Large Gamma 2 &amp; Key Delta, 470.0, Implied Movement -2σ, 466.63, Gamma Flip CE, 471.0, Implied Movement +σ, 478.7, 20240827 070000 20240827 070000</t>
  </si>
  <si>
    <t xml:space="preserve">QQQ: Implied Movement -σ, 471.51, Gamma Flip, 474.0, Put Dominate , 468.0, Gamma Field CE &amp; Call Wall CE, 477.0, Call Dominate , 487.0, Implied Movement +2σ, 483.56, Implied Movement +σ, 481.49, Large Gamma 1 &amp; Gamma Field &amp; Call Wall, 480.0, Put Wall CE, 471.0, Gamma Flip CE, 476.0, Put Wall &amp; Large Gamma 2 &amp; Key Delta, 470.0, Implied Movement -2σ, 469.44, 20240828 070000 20240828 070000</t>
  </si>
  <si>
    <t xml:space="preserve">QQQ: Gamma Flip, 471.0, Implied Movement -σ, 467.08, Put Dominate , 459.0, Call Dominate , 484.0, Implied Movement +2σ, 479.92, Large Gamma 1 &amp; Gamma Field &amp; Call Wall, 480.0, Implied Movement +σ, 477.72, Put Wall CE, 460.0, Gamma Field CE &amp; Call Wall CE, 473.0, Implied Movement -2σ, 464.88, Put Wall &amp; Large Gamma 2 &amp; Gamma Flip CE &amp; Key Delta, 470.0, 20240829 070000 20240829 070000</t>
  </si>
  <si>
    <t xml:space="preserve">QQQ: Put Wall CE &amp; Put Wall &amp; Large Gamma 2 &amp; Gamma Field &amp; Gamma Field CE &amp; Key Delta, 470.0, Gamma Flip CE, 471.0, Call Dominate , 482.0, Implied Movement -2σ, 464.77, Implied Movement -σ, 470.1, Gamma Flip, 473.0, Implied Movement +σ, 478.9, Implied Movement +2σ, 484.23, Put Dominate , 468.0, Large Gamma 1 &amp; Call Wall &amp; Call Wall CE, 480.0, 20240830 070000 20240830 070000</t>
  </si>
  <si>
    <t xml:space="preserve">QQQ: Gamma Field CE, 478.0, Implied Movement -σ, 470.41, Put Wall CE &amp; Put Wall &amp; Large Gamma 2 &amp; Key Delta, 470.0, Gamma Flip CE, 471.0, Call Dominate , 487.0, Implied Movement -2σ, 468.98, Implied Movement +σ, 477.33, Implied Movement +2σ, 478.76, Large Gamma 1 &amp; Gamma Field &amp; Call Wall &amp; Call Wall CE, 480.0, Gamma Flip, 472.5, Put Dominate , 464.0, 20240903 070000 20240903 070000</t>
  </si>
  <si>
    <t xml:space="preserve">QQQ: Put Wall CE, 460.0, Implied Movement +2σ, 464.96, Implied Movement -2σ, 451.86, Implied Movement -σ, 453.78, Implied Movement +σ, 463.04, Gamma Flip &amp; Gamma Flip CE, 461.0, Gamma Field CE &amp; Call Wall &amp; Call Wall CE, 462.0, Large Gamma 2, 480.0, Put Wall &amp; Large Gamma 1 &amp; Gamma Field &amp; Key Delta, 470.0, Put Dominate , 458.0, Call Dominate , 487.0, GEX -60M, 450, GEX -50M, 455, 20240904 070000 20240904 070000</t>
  </si>
  <si>
    <t xml:space="preserve">QQQ: Implied Movement -σ, 452.77, Implied Movement +2σ, 464.98, Implied Movement -2σ, 450.68, Call Dominate , 464.0, Implied Movement +σ, 462.89, Put Wall &amp; Large Gamma 1 &amp; Gamma Field &amp; Key Delta, 470.0, Large Gamma 2 &amp; Gamma Field CE &amp; Call Wall &amp; Call Wall CE, 462.0, Put Wall CE, 455.0, Put Dominate , 458.0, Gamma Flip &amp; Gamma Flip CE, 461.0, 20240905 070000 20240905 070000</t>
  </si>
  <si>
    <t xml:space="preserve">QQQ: Large Gamma 2 &amp; Call Wall, 480.0, Put Wall &amp; Large Gamma 1 &amp; Call Wall CE &amp; Key Delta, 470.0, Implied Movement -σ, 454.1, Implied Movement -2σ, 448.48, Put Dominate , 458.0, Implied Movement +σ, 465.34, Implied Movement +2σ, 470.96, Put Wall CE &amp; Gamma Field &amp; Gamma Field CE &amp; Gamma Flip &amp; Gamma Flip CE, 460.0, Call Dominate , 487.0, 20240906 070000 20240906 070000</t>
  </si>
  <si>
    <t xml:space="preserve">QQQ: Call Wall CE, 458.0, Put Dominate , 439.0, Put Wall &amp; Large Gamma 1 &amp; Gamma Field &amp; Gamma Field CE &amp; Gamma Flip CE &amp; Key Delta, 450.0, Implied Movement +σ, 456.71, Implied Movement +2σ, 458.66, Large Gamma 2, 440.0, Put Wall CE, 445.0, Implied Movement -σ, 447.31, Implied Movement -2σ, 445.36, Call Dominate , 487.0, Gamma Flip &amp; Call Wall, 470.0, 20240909 070000 20240909 070000</t>
  </si>
  <si>
    <t xml:space="preserve">QQQ: Implied Movement +2σ, 463.71, Implied Movement +σ, 461.55, Gamma Field &amp; Gamma Field CE &amp; Gamma Flip &amp; Call Wall CE &amp; Key Delta, 460.0, Large Gamma 1 &amp; Call Wall, 470.0, Implied Movement -2σ, 448.91, Call Dominate , 482.0, Put Wall CE, 457.0, Gamma Flip CE, 453.0, Put Wall &amp; Large Gamma 2, 450.0, Put Dominate , 448.0, Implied Movement -σ, 451.07, 20240910 070000 20240910 070000</t>
  </si>
  <si>
    <t xml:space="preserve">QQQ: Put Wall CE &amp; Gamma Flip CE, 458.0, Implied Movement -2σ, 450.6, Put Dominate , 448.0, Put Wall &amp; Large Gamma 1 &amp; Call Wall, 470.0, Implied Movement -σ, 452.85, Implied Movement +2σ, 465.96, Gamma Field &amp; Gamma Flip &amp; Call Wall CE &amp; Key Delta, 460.0, Implied Movement +σ, 463.71, Large Gamma 2, 450.0, Gamma Field CE, 456.0, Call Dominate , 477.0, 20240911 070000 20240911 070000</t>
  </si>
  <si>
    <t xml:space="preserve">QQQ: Large Gamma 1 &amp; Gamma Field &amp; Call Wall CE &amp; Key Delta, 470.0, Implied Movement +σ, 474.22, Call Dominate , 482.0, Implied Movement -2σ, 463.11, Implied Movement +2σ, 476.13, Put Dominate , 459.0, Put Wall CE &amp; Put Wall &amp; Gamma Field CE &amp; Gamma Flip, 465.0, Implied Movement -σ, 465.02, Gamma Flip CE, 466.0, Large Gamma 2 &amp; Call Wall, 480.0, 20240912 070000 20240912 070000</t>
  </si>
  <si>
    <t xml:space="preserve">QQQ: Implied Movement -σ, 469.33, Large Gamma 2 &amp; Call Wall, 480.0, Gamma Flip, 471.0, Implied Movement +σ, 477.67, Put Dominate , 435.0, Gamma Flip CE, 472.0, Call Dominate , 482.0, Call Wall CE, 475.0, Implied Movement +2σ, 481.66, Put Wall CE, 460.0, Implied Movement -2σ, 465.34, Put Wall &amp; Large Gamma 1 &amp; Gamma Field &amp; Gamma Field CE &amp; Key Delta, 470.0, 20240913 070000 20240913 070000</t>
  </si>
  <si>
    <t xml:space="preserve">QQQ: Put Wall CE &amp; Gamma Flip &amp; Gamma Flip CE, 474.0, Large Gamma 2 &amp; Gamma Field CE, 475.0, Put Dominate , 435.0, Implied Movement +2σ, 479.49, Implied Movement +σ, 477.63, Call Dominate , 482.0, Key Delta, 440.0, Implied Movement -σ, 468.65, Put Wall, 470.0, Implied Movement -2σ, 466.79, Large Gamma 1 &amp; Gamma Field &amp; Call Wall &amp; Call Wall CE, 480.0,  20240916 085042</t>
  </si>
  <si>
    <t xml:space="preserve">QQQ: Gamma Flip &amp; Gamma Flip CE, 472.0, Implied Movement -σ, 470.57, Put Wall CE &amp; Put Wall &amp; Large Gamma 2, 470.0, Implied Movement +σ, 480.21, Put Dominate , 435.0, Implied Movement -2σ, 468.57, Implied Movement +2σ, 482.21, Call Dominate , 482.0, Gamma Field CE, 473.0, Call Wall, 480.0, Large Gamma 1 &amp; Gamma Field &amp; Call Wall CE &amp; Key Delta, 475.0,  20240917 072456</t>
  </si>
  <si>
    <t xml:space="preserve">QQQ: Put Dominate , 435.0, Implied Movement +2σ, 481.88, Implied Movement +σ, 479.7, Put Wall CE &amp; Put Wall &amp; Large Gamma 2, 470.0, Large Gamma 1 &amp; Gamma Field &amp; Key Delta, 475.0, Implied Movement -σ, 469.2, Call Dominate , 482.0, Implied Movement -2σ, 467.02, Gamma Field CE &amp; Call Wall &amp; Call Wall CE, 480.0, Gamma Flip &amp; Gamma Flip CE, 473.0,  20240918 075023</t>
  </si>
  <si>
    <t xml:space="preserve">QQQ: Gamma Flip &amp; Gamma Flip CE, 473.0, Large Gamma 1 &amp; Gamma Field &amp; Call Wall, 475.0, Implied Movement -σ, 476.56, Call Dominate , 482.0, Call Wall CE, 480.0, Put Wall CE &amp; Put Wall &amp; Large Gamma 2 &amp; Gamma Field CE &amp; Key Delta, 470.0, Implied Movement +σ, 485.86, Implied Movement +2σ, 487.79, Implied Movement -2σ, 474.63,  20240919 070354</t>
  </si>
  <si>
    <t xml:space="preserve">QQQ: Implied Movement -2σ, 473.92, Implied Movement -σ, 477.76, Call Dominate , 487.0, Implied Movement +σ, 485.46, Put Dominate , 448.0, Put Wall &amp; Large Gamma 1 &amp; Gamma Field &amp; Gamma Field CE &amp; Key Delta, 480.0, Put Wall CE, 482.0, Gamma Flip &amp; Gamma Flip CE, 474.0, Large Gamma 2 &amp; Call Wall &amp; Call Wall CE, 485.0, Implied Movement +2σ, 489.3,  20240920 074418</t>
  </si>
  <si>
    <t xml:space="preserve">QQQ: Gamma Field CE, 482.0, Large Gamma 1 &amp; Call Wall, 475.0, Implied Movement -σ, 479.36, Put Dominate , 458.0, Call Dominate , 494.0, Gamma Flip, 479.0, Put Wall CE &amp; Large Gamma 2 &amp; Gamma Field &amp; Gamma Flip CE &amp; Key Delta, 480.0, Implied Movement +σ, 485.98, Implied Movement +2σ, 487.35, Call Wall CE, 485.0, Put Wall, 460.0, Implied Movement -2σ, 477.99,  20240923 075836</t>
  </si>
  <si>
    <t xml:space="preserve">QQQ: Large Gamma 1 &amp; Call Wall, 475.0, Put Dominate , 458.0, Large Gamma 2 &amp; Gamma Field &amp; Key Delta, 480.0, Call Wall CE, 484.0, Implied Movement -2σ, 477.55, Implied Movement +σ, 486.82, Gamma Field CE &amp; Gamma Flip CE, 483.0, Implied Movement -σ, 479.14, Implied Movement +2σ, 488.41, Put Wall CE &amp; Put Wall &amp; Gamma Flip, 482.0, Call Dominate , 492.0,  20240924 073548</t>
  </si>
  <si>
    <t xml:space="preserve">QQQ: Implied Movement +σ, 488.45, Put Wall CE &amp; Put Wall &amp; Gamma Flip &amp; Gamma Flip CE, 484.0, Implied Movement -σ, 480.55, Put Dominate , 458.0, Implied Movement -2σ, 478.91, Call Dominate , 492.0, Call Wall CE, 487.0, Implied Movement +2σ, 490.09, Large Gamma 2 &amp; Gamma Field &amp; Key Delta, 480.0, Large Gamma 1 &amp; Call Wall, 475.0, Gamma Field CE, 485.0,  20240925 072131</t>
  </si>
  <si>
    <t xml:space="preserve">QQQ: Call Dominate , 493.0, Put Wall &amp; Gamma Flip CE, 485.0, Large Gamma 1 &amp; Call Wall, 475.0, Put Wall CE &amp; Gamma Flip, 484.0, Put Dominate , 468.0, Gamma Field CE &amp; Call Wall CE, 487.0, Implied Movement -σ, 490.11, Implied Movement +σ, 496.21, Implied Movement -2σ, 488.85, Implied Movement +2σ, 497.47, Large Gamma 2 &amp; Gamma Field &amp; Key Delta, 480.0,  20240926 075117</t>
  </si>
  <si>
    <t xml:space="preserve">QQQ: Put Wall CE, 486.0, Large Gamma 1 &amp; Gamma Field &amp; Gamma Field CE &amp; Call Wall &amp; Call Wall CE, 490.0, Call Dominate , 503.0, Implied Movement +σ, 493.11, Implied Movement -σ, 484.41, Gamma Flip CE, 488.0, Implied Movement -2σ, 480.07, Put Dominate , 458.0, Implied Movement +2σ, 497.45, Large Gamma 2, 475.0, Gamma Flip, 487.0, Put Wall &amp; Key Delta, 480.0,  20240927 073823</t>
  </si>
  <si>
    <t xml:space="preserve">QQQ: Large Gamma 1, 475.0, Gamma Flip &amp; Gamma Flip CE, 486.0, Implied Movement +2σ, 491.0, Implied Movement -2σ, 479.12, Put Wall CE &amp; Put Wall &amp; Key Delta, 480.0, Implied Movement -σ, 481.03, Put Dominate , 458.0, Call Dominate , 492.0, Implied Movement +σ, 489.09, Large Gamma 2 &amp; Gamma Field &amp; Gamma Field CE &amp; Call Wall &amp; Call Wall CE, 490.0,  20240930 073009</t>
  </si>
  <si>
    <t xml:space="preserve">QQQ: Put Wall CE &amp; Put Wall &amp; Large Gamma 2 &amp; Key Delta, 480.0, Put Dominate , 458.0, Implied Movement +2σ, 495.42, Gamma Field &amp; Call Wall CE, 490.0, Implied Movement +σ, 493.6, Large Gamma 1 &amp; Call Wall, 475.0, Implied Movement -2σ, 482.98, Gamma Field CE, 488.0, Gamma Flip &amp; Gamma Flip CE, 486.0, Call Dominate , 503.0, Implied Movement -σ, 484.8,  20241001 073021</t>
  </si>
  <si>
    <t xml:space="preserve">QQQ: Implied Movement +σ, 486.23, Put Wall, 460.0, Put Wall CE &amp; Large Gamma 2 &amp; Gamma Field &amp; Gamma Field CE &amp; Gamma Flip &amp; Key Delta, 480.0, Gamma Flip CE, 481.0, Implied Movement +2σ, 488.28, Implied Movement -2σ, 474.26, Put Dominate , 458.0, Call Wall CE, 483.0, Call Dominate , 503.0, Implied Movement -σ, 476.31, Large Gamma 1 &amp; Call Wall, 475.0, 20241002 054200</t>
  </si>
  <si>
    <t xml:space="preserve">QQQ: Implied Movement +2σ &amp; Call Wall CE, 487.0, Large Gamma 1 &amp; Call Wall, 475.0, Put Dominate , 468.0, Gamma Flip, 482.5, Put Wall, 460.0, Gamma Field CE &amp; Gamma Flip CE, 483.0, Implied Movement +σ, 485.11, Implied Movement -2σ, 474.14, Implied Movement -σ, 476.03, Put Wall CE &amp; Large Gamma 2 &amp; Gamma Field &amp; Key Delta, 480.0, Call Dominate , 503.0,  20241003 073017</t>
  </si>
  <si>
    <t xml:space="preserve">QQQ: Put Wall CE &amp; Put Wall &amp; Large Gamma 1 &amp; Call Wall, 475.0, Implied Movement +2σ, 493.79, Gamma Field CE, 483.0, Implied Movement +σ, 488.65, Put Dominate , 469.0, Call Dominate , 503.0, Large Gamma 2 &amp; Gamma Field &amp; Gamma Flip &amp; Gamma Flip CE &amp; Key Delta, 480.0, Call Wall CE, 487.0, Implied Movement -2σ, 473.21, Implied Movement -σ, 478.35,  20241004 073018</t>
  </si>
  <si>
    <t xml:space="preserve">QQQ: Implied Movement +2σ, 493.16, Large Gamma 2 &amp; Call Wall, 475.0, Implied Movement +σ, 491.45, Implied Movement -2σ, 481.48, Put Dominate , 459.0, Call Dominate , 503.0, Put Wall CE, 484.0, Call Wall CE, 490.0, Implied Movement -σ, 483.19, Gamma Field CE &amp; Gamma Flip, 485.0, Put Wall &amp; Large Gamma 1 &amp; Gamma Field &amp; Key Delta, 480.0, Gamma Flip CE, 487.0,  20241007 073022</t>
  </si>
  <si>
    <t xml:space="preserve">QQQ: Put Wall &amp; Large Gamma 2 &amp; Gamma Field &amp; Key Delta, 480.0, Put Dominate , 459.0, Gamma Flip &amp; Gamma Flip CE, 483.0, Call Wall CE, 487.0, Implied Movement -2σ, 475.12, Implied Movement +2σ, 489.08, Put Wall CE &amp; Large Gamma 1 &amp; Call Wall, 475.0, Call Dominate , 492.0, Gamma Field CE, 485.0, Implied Movement +σ, 487.03, Implied Movement -σ, 477.17,  20241008 073016</t>
  </si>
  <si>
    <t xml:space="preserve">QQQ: Put Dominate , 469.0, Implied Movement +2σ, 495.89, Gamma Field, 490.0, Gamma Flip CE, 489.0, Call Wall, 500.0, Put Wall CE &amp; Gamma Field CE &amp; Gamma Flip, 487.0, Implied Movement +σ, 493.96, Call Dominate , 502.0, Implied Movement -2σ, 482.71, Call Wall CE, 493.0, Put Wall &amp; Large Gamma 1 &amp; Key Delta, 480.0, Large Gamma 2, 475.0, Implied Movement -σ, 484.64,  20241009 073028</t>
  </si>
  <si>
    <t xml:space="preserve">QQQ: Implied Movement +σ, 497.36, Call Dominate , 503.0, Large Gamma 2, 485.0, Put Wall &amp; Large Gamma 1 &amp; Key Delta, 480.0, Gamma Flip, 489.0, Gamma Flip CE, 493.0, Call Wall, 500.0, Implied Movement -2σ, 487.07, Call Wall CE, 497.0, Put Dominate , 478.0, Implied Movement +2σ, 499.23, Implied Movement -σ, 488.94, Put Wall CE &amp; Gamma Field CE, 488.0, Gamma Field, 490.0,  20241010 073016</t>
  </si>
  <si>
    <t xml:space="preserve">QQQ: Gamma Flip, 489.0, Put Wall &amp; Large Gamma 1 &amp; Key Delta, 480.0, Implied Movement -σ, 487.97, Large Gamma 2 &amp; Gamma Field &amp; Gamma Field CE &amp; Gamma Flip CE, 490.0, Call Dominate , 503.0, Call Wall CE, 495.0, Put Dominate , 469.0, Call Wall, 500.0, Implied Movement +2σ, 501.64, Implied Movement -2σ, 483.54, Implied Movement +σ, 497.21, Put Wall CE, 484.0,  20241011 073021</t>
  </si>
  <si>
    <t xml:space="preserve">QQQ: Implied Movement +2σ, 498.84, Call Dominate , 503.0, Call Wall, 500.0, Large Gamma 2, 485.0, Implied Movement -σ, 489.49, Large Gamma 1 &amp; Gamma Field, 490.0, Put Dominate , 487.0, Implied Movement -2σ, 487.88, Put Wall CE &amp; Put Wall, 488.0, Gamma Field CE &amp; Gamma Flip &amp; Gamma Flip CE, 493.0, Key Delta, 480.0, Call Wall CE, 496.0, Implied Movement +σ, 497.23,  20241014 073017</t>
  </si>
  <si>
    <t xml:space="preserve">QQQ: Key Delta, 480.0, Gamma Flip, 493.0, Call Dominate , 502.0, Put Wall CE &amp; Put Wall &amp; Large Gamma 1 &amp; Gamma Field CE &amp; Gamma Flip CE, 498.0, Large Gamma 2 &amp; Gamma Field &amp; Call Wall &amp; Call Wall CE, 500.0, Put Dominate , 494.78, Implied Movement +2σ, 503.38, Implied Movement +σ, 501.66, Implied Movement -2σ, 491.62, Implied Movement -σ, 493.34,  20241015 073028</t>
  </si>
  <si>
    <t xml:space="preserve">QQQ: Call Wall CE, 492.0, Put Wall &amp; Large Gamma 1 &amp; Gamma Field &amp; Gamma Field CE &amp; Gamma Flip CE &amp; Call Wall, 490.0, Put Wall CE &amp; Gamma Flip, 489.0, Implied Movement -2σ, 484.44, Put Dominate , 484.0, Implied Movement +σ, 495.38, Implied Movement +2σ, 497.26, Large Gamma 2, 485.0, Key Delta, 480.0, Call Dominate , 502.0, Implied Movement -σ, 486.32,  20241016 073029</t>
  </si>
  <si>
    <t xml:space="preserve">QQQ: Implied Movement +2σ, 497.2, Call Wall CE, 494.0, Large Gamma 2, 485.0, Key Delta, 480.0, Put Wall CE &amp; Put Wall &amp; Large Gamma 1 &amp; Gamma Field &amp; Gamma Field CE &amp; Gamma Flip CE &amp; Call Wall, 490.0, Gamma Flip, 489.0, Implied Movement -σ, 486.46, Implied Movement +σ, 495.36, Call Dominate , 503.0, Implied Movement -2σ, 484.62, Put Dominate , 483.0,  20241017 073027</t>
  </si>
  <si>
    <t xml:space="preserve">QQQ: Implied Movement -σ, 486.83, Implied Movement +σ, 495.67, Gamma Flip &amp; Gamma Flip CE, 491.0, Call Wall CE, 496.0, Call Dominate , 503.0, Put Wall &amp; Large Gamma 1 &amp; Gamma Field &amp; Gamma Field CE &amp; Call Wall, 490.0, Put Dominate , 483.0, Put Wall CE, 486.0, Key Delta, 480.0, Large Gamma 2, 495.0, Implied Movement -2σ, 482.42, Implied Movement +2σ, 500.08,  20241018 073023</t>
  </si>
  <si>
    <t xml:space="preserve">QQQ: Implied Movement +2σ, 499.52, Put Dominate , 483.0, Implied Movement -2σ, 489.42, Put Wall &amp; Large Gamma 1 &amp; Gamma Field CE &amp; Call Wall, 494.0, Gamma Flip &amp; Gamma Flip CE, 493.0, Key Delta, 490.0, Put Wall CE, 487.0, Implied Movement -σ, 490.9, Large Gamma 2 &amp; Gamma Field, 495.0, Call Dominate , 503.0, Implied Movement +σ, 498.04, Call Wall CE, 497.0,  20241021 073018</t>
  </si>
  <si>
    <t xml:space="preserve">QQQ: Put Wall CE &amp; Put Wall &amp; Large Gamma 2, 493.0, Call Dominate , 502.0, Implied Movement -2σ, 489.37, Implied Movement +σ, 499.7, Implied Movement -σ, 491.14, Gamma Flip &amp; Gamma Flip CE, 494.0, Key Delta, 490.0, Put Dominate , 483.0, Call Wall CE, 500.0, Implied Movement +2σ, 501.47, Large Gamma 1 &amp; Gamma Field &amp; Gamma Field CE &amp; Call Wall, 495.0,  20241022 073022</t>
  </si>
  <si>
    <t xml:space="preserve">QQQ: Implied Movement -σ, 491.63, Call Wall, 500.0, Put Dominate , 483.0, Implied Movement -2σ, 489.84, Gamma Flip CE, 496.0, Put Wall CE &amp; Put Wall &amp; Large Gamma 1 &amp; Gamma Field CE, 494.0, Key Delta, 480.0, Call Dominate , 503.0, Call Wall CE, 499.0, Implied Movement +σ, 500.29, Implied Movement +2σ, 502.08, Large Gamma 2 &amp; Gamma Field &amp; Gamma Flip, 495.0,  20241023 073019</t>
  </si>
  <si>
    <t xml:space="preserve">QQQ: Put Wall &amp; Large Gamma 1, 485.0, Call Dominate , 503.0, Implied Movement -2σ, 482.04, Gamma Flip CE, 487.0, Key Delta, 480.0, Large Gamma 2, 492.0, Implied Movement -σ, 483.89, Gamma Field &amp; Gamma Field CE, 490.0, Put Dominate , 483.0, Implied Movement +2σ, 494.68, Gamma Flip, 489.0, Put Wall CE, 484.0, Call Wall &amp; Call Wall CE, 494.0, Implied Movement +σ, 492.83,  20241024 073021</t>
  </si>
  <si>
    <t xml:space="preserve">QQQ: Put Dominate , 483.0, Gamma Field &amp; Key Delta, 490.0, Implied Movement -σ, 487.33, Put Wall CE, 485.0, Implied Movement +σ, 497.31, Implied Movement -2σ, 482.36, Call Wall CE, 497.0, Put Wall, 480.0, Call Dominate , 503.0, Gamma Flip CE, 491.0, Large Gamma 1 &amp; Gamma Field CE &amp; Call Wall, 495.0, Large Gamma 2 &amp; Gamma Flip, 492.0, Implied Movement +2σ, 502.28,  20241025 073016</t>
  </si>
  <si>
    <t xml:space="preserve">QQQ: Call Dominate , 503.0, Implied Movement +σ, 500.16, Put Wall CE, 492.0, Implied Movement +2σ, 502.16, Gamma Flip CE, 495.0, Large Gamma 1, 485.0, Implied Movement -2σ, 488.48, Gamma Flip, 494.0, Put Wall, 480.0, Implied Movement -σ, 490.48, Put Dominate , 478.0, Large Gamma 2 &amp; Gamma Field CE, 498.0, Gamma Field &amp; Call Wall &amp; Call Wall CE &amp; Key Delta, 500.0,  20241028 083016</t>
  </si>
  <si>
    <t xml:space="preserve">QQQ: Large Gamma 2, 485.0, Put Dominate , 478.0, Implied Movement +σ, 500.81, Implied Movement -σ, 489.99, Implied Movement -2σ, 487.75, Gamma Field &amp; Key Delta, 500.0, Call Dominate , 498.0, Large Gamma 1 &amp; Gamma Field CE &amp; Call Wall &amp; Call Wall CE, 497.0, Gamma Flip &amp; Gamma Flip CE, 496.0, Put Wall, 480.0, Put Wall CE, 490.0, Implied Movement +2σ, 503.05,  20241029 083029</t>
  </si>
  <si>
    <t xml:space="preserve">QQQ: Put Wall, 480.0, Large Gamma 2, 485.0, Call Wall CE, 503.0, Gamma Flip &amp; Gamma Flip CE, 499.0, Implied Movement -σ, 494.5, Implied Movement +2σ, 508.16, Put Wall CE, 496.0, Large Gamma 1 &amp; Gamma Field &amp; Gamma Field CE &amp; Call Wall &amp; Key Delta, 500.0, Implied Movement -2σ, 492.16, Put Dominate , 483.0, Call Dominate , 512.0, Implied Movement +σ, 505.82,  20241030 083032</t>
  </si>
  <si>
    <t xml:space="preserve">QQQ: Put Wall CE, 492.0, Put Wall &amp; Large Gamma 2, 480.0, Key Delta, 490.0, Gamma Flip, 496.0, Implied Movement -2σ, 488.9, Implied Movement -σ, 491.03, Gamma Flip CE, 497.0, Implied Movement +2σ, 503.86, Large Gamma 1 &amp; Gamma Field &amp; Gamma Field CE &amp; Call Wall &amp; Call Wall CE, 500.0, Put Dominate , 484.0, Call Dominate , 504.0, Implied Movement +σ, 501.73,  20241031 083021</t>
  </si>
  <si>
    <t xml:space="preserve">QQQ: Put Wall &amp; Large Gamma 1 &amp; Gamma Field CE &amp; Gamma Flip &amp; Gamma Flip CE, 485.0, Implied Movement -σ, 477.84, Implied Movement -2σ, 471.83, Call Wall &amp; Key Delta, 490.0, Call Dominate , 504.0, Put Dominate , 478.0, Call Wall CE, 486.0, Implied Movement +σ, 489.86, Implied Movement +2σ, 495.87, Put Wall CE &amp; Large Gamma 2 &amp; Gamma Field, 480.0,  20241101 083021</t>
  </si>
  <si>
    <t xml:space="preserve">QQQ: Call Wall CE, 492.0, Call Wall, 500.0, Implied Movement -2σ, 479.55, Put Wall &amp; Large Gamma 1, 480.0, Call Dominate , 504.0, Put Dominate , 479.0, Implied Movement -σ, 481.86, Large Gamma 2, 485.0, Implied Movement +2σ, 495.31, Implied Movement +σ, 493.0, Gamma Field &amp; Gamma Flip &amp; Key Delta, 490.0, Put Wall CE &amp; Gamma Field CE &amp; Gamma Flip CE, 487.0,  20241104 073021</t>
  </si>
  <si>
    <t xml:space="preserve">QQQ: Implied Movement -σ, 479.42, Implied Movement +σ, 492.6, Large Gamma 2, 480.0, Implied Movement +2σ, 495.33, Put Wall CE &amp; Put Wall &amp; Large Gamma 1 &amp; Gamma Field CE &amp; Gamma Flip CE, 487.0, Call Dominate , 504.0, Put Dominate , 479.0, Gamma Flip, 487.5, Gamma Field &amp; Call Wall &amp; Call Wall CE &amp; Key Delta, 490.0, Implied Movement -2σ, 476.69,  20241105 073018</t>
  </si>
  <si>
    <t xml:space="preserve">QQQ: Gamma Flip CE, 492.0, Implied Movement +2σ, 501.23, Large Gamma 2 &amp; Key Delta, 490.0, Implied Movement -σ, 485.83, Put Wall &amp; Large Gamma 1, 480.0, Put Dominate , 478.0, Gamma Field &amp; Gamma Field CE &amp; Call Wall &amp; Call Wall CE, 500.0, Put Wall CE, 485.0, Call Dominate , 504.0, Implied Movement +σ, 498.59, Gamma Flip, 491.0, Implied Movement -2σ, 483.19,  20241106 073018</t>
  </si>
  <si>
    <t xml:space="preserve">QQQ: Gamma Field CE, 505.0, Large Gamma 2, 510.0, Put Wall, 490.0, Gamma Flip CE, 503.0, Implied Movement +σ, 509.57, Implied Movement -σ, 501.59, Implied Movement +2σ, 511.22, Put Dominate , 484.0, Call Wall CE, 511.0, Call Dominate , 513.0, Put Wall CE &amp; Gamma Flip, 499.0, Large Gamma 1 &amp; Gamma Field &amp; Call Wall &amp; Key Delta, 500.0, Implied Movement -2σ, 499.94,  20241107 073041</t>
  </si>
  <si>
    <t xml:space="preserve">QQQ: Put Wall &amp; Large Gamma 1 &amp; Gamma Field &amp; Gamma Field CE, 510.0, Gamma Flip CE, 514.0, Key Delta, 500.0, Call Dominate , 517.0, Implied Movement -2σ, 505.58, Large Gamma 2 &amp; Call Wall &amp; Call Wall CE, 515.0, Implied Movement +2σ, 521.5, Implied Movement -σ, 509.56, Put Wall CE &amp; Gamma Flip, 509.0, Put Dominate , 484.0, Implied Movement +σ, 517.52,  20241108 073019</t>
  </si>
  <si>
    <t xml:space="preserve">QQQ: Call Dominate , 517.0, Implied Movement -σ, 510.56, Implied Movement +2σ, 519.21, Implied Movement +σ, 517.72, Put Dominate , 484.0, Put Wall &amp; Large Gamma 1 &amp; Gamma Field, 510.0, Gamma Flip, 509.0, Put Wall CE, 511.0, Gamma Flip CE, 514.0, Large Gamma 2 &amp; Gamma Field CE &amp; Call Wall, 515.0, Implied Movement -2σ, 509.07, Call Wall CE, 518.0, Key Delta, 500.0,  20241111 073024</t>
  </si>
  <si>
    <t xml:space="preserve">QQQ: Gamma Flip CE, 513.0, Put Wall CE, 512.0, Implied Movement -2σ, 508.58, Implied Movement +2σ, 519.1, Put Dominate , 498.0, Put Wall &amp; Large Gamma 1 &amp; Gamma Field &amp; Gamma Field CE, 510.0, Implied Movement -σ, 510.12, Large Gamma 2 &amp; Call Wall, 515.0, Gamma Flip, 509.0, Key Delta, 500.0, Implied Movement +σ, 517.56, Call Wall CE, 516.0, Call Dominate , 518.0,  20241112 073022</t>
  </si>
  <si>
    <t xml:space="preserve">QQQ: Gamma Flip, 509.0, Large Gamma 2 &amp; Call Wall, 515.0, Gamma Flip CE, 512.0, Put Dominate , 498.0, Implied Movement -2σ &amp; Put Wall CE, 507.0, Put Wall &amp; Key Delta, 500.0, Implied Movement +2σ, 518.82, Large Gamma 1 &amp; Gamma Field, 510.0, Implied Movement +σ, 517.09, Call Dominate , 524.0, Implied Movement -σ, 508.73, Call Wall CE, 517.0, Gamma Field CE, 513.0,  20241113 073024</t>
  </si>
  <si>
    <t xml:space="preserve">QQQ: Put Wall CE &amp; Put Wall &amp; Large Gamma 1 &amp; Gamma Field &amp; Gamma Flip &amp; Gamma Flip CE, 510.0, Gamma Field CE, 513.0, Implied Movement -2σ, 506.27, Call Wall CE, 516.0, Large Gamma 2 &amp; Call Wall, 515.0, Key Delta, 500.0, Call Dominate , 518.0, Implied Movement +2σ, 518.23, Implied Movement +σ, 516.48, Implied Movement -σ, 508.02, Put Dominate , 498.0,  20241114 073022</t>
  </si>
  <si>
    <t xml:space="preserve">QQQ: Implied Movement -σ, 504.5, Implied Movement +σ, 512.88, Large Gamma 1 &amp; Gamma Field &amp; Gamma Field CE &amp; Call Wall, 510.0, Call Wall CE, 515.0, Put Wall CE &amp; Put Wall &amp; Key Delta, 500.0, Large Gamma 2, 505.0, Put Dominate , 498.0, Call Dominate , 523.0, Implied Movement -2σ, 500.32, Gamma Flip &amp; Gamma Flip CE, 509.0, Implied Movement +2σ, 517.06,  20241115 073022</t>
  </si>
  <si>
    <t xml:space="preserve">QQQ: Put Wall, 490.0, Implied Movement +σ, 500.84, Gamma Flip &amp; Gamma Flip CE, 496.0, Implied Movement -2σ, 490.53, Large Gamma 1 &amp; Large Gamma 2 &amp; Gamma Field &amp; Gamma Field CE &amp; Call Wall &amp; Call Wall CE &amp; Key Delta, 500.0, Implied Movement +2σ, 502.61, Implied Movement -σ, 492.3, Put Wall CE, 495.0, Put Dominate , 484.0, Call Dominate , 502.0, </t>
  </si>
  <si>
    <t xml:space="preserve">QQQ: Put Wall &amp; Large Gamma 2, 490.0, Implied Movement +2σ, 506.62, Gamma Field CE, 501.0, Large Gamma 1 &amp; Gamma Field &amp; Call Wall &amp; Key Delta, 500.0, Gamma Flip &amp; Gamma Flip CE, 499.0, Call Dominate , 523.0, Implied Movement -σ, 495.35, Call Wall CE, 504.0, Implied Movement +σ, 504.69, Implied Movement -2σ, 493.42, Put Dominate , 484.0, Put Wall CE, 495.0, </t>
  </si>
  <si>
    <t xml:space="preserve">QQQ: Call Wall CE, 506.0, Implied Movement +2σ, 510.24, Call Dominate , 512.0, Put Wall CE &amp; Gamma Field CE, 501.0, Put Dominate , 483.0, Implied Movement -σ, 498.67, Implied Movement +σ, 508.25, Gamma Flip CE, 504.0, Put Wall &amp; Large Gamma 1 &amp; Large Gamma 2 &amp; Gamma Field &amp; Call Wall &amp; Key Delta, 500.0, Implied Movement -2σ, 496.68, Gamma Flip, 502.0, </t>
  </si>
  <si>
    <t xml:space="preserve">QQQ: Put Wall &amp; Large Gamma 1 &amp; Large Gamma 2 &amp; Gamma Field &amp; Call Wall &amp; Key Delta, 500.0, Implied Movement +σ, 507.97, Call Wall CE, 505.0, Gamma Flip &amp; Gamma Flip CE, 499.0, Gamma Field CE, 504.0, Put Wall CE, 490.0, Implied Movement -σ, 498.37, Implied Movement -2σ, 496.48, Implied Movement +2σ, 509.86, Put Dominate , 489.0, Call Dominate , 512.0, </t>
  </si>
  <si>
    <t xml:space="preserve">QQQ: Call Wall, 510.0, Implied Movement +σ, 509.36, Implied Movement -σ, 500.6, Implied Movement +2σ, 513.73, Call Wall CE, 508.0, Implied Movement -2σ, 496.23, Call Dominate , 512.0, Put Wall CE &amp; Put Wall &amp; Large Gamma 1 &amp; Large Gamma 2 &amp; Gamma Field &amp; Gamma Field CE &amp; Key Delta, 500.0, Put Dominate , 489.0, Gamma Flip CE, 504.0, Gamma Flip, 502.5, </t>
  </si>
  <si>
    <t xml:space="preserve">QQQ: Call Wall, 510.0, Put Wall CE &amp; Put Wall &amp; Large Gamma 1 &amp; Large Gamma 2 &amp; Gamma Field &amp; Key Delta, 500.0, Call Wall CE, 509.0, Implied Movement -σ, 502.29, Call Dominate , 513.0, Gamma Field CE, 506.0, Implied Movement +σ, 509.29, Implied Movement -2σ, 500.84, Implied Movement +2σ, 510.74, Gamma Flip CE, 504.0, Gamma Flip, 505.0, Put Dominate , 489.0, </t>
  </si>
  <si>
    <t xml:space="preserve">QQQ: Put Dominate , 483.0, Implied Movement +2σ, 511.63, Gamma Flip &amp; Gamma Flip CE, 505.0, Call Dominate , 512.0, Implied Movement -σ, 503.03, Implied Movement -2σ, 501.55, Put Wall &amp; Large Gamma 2 &amp; Key Delta, 500.0, Implied Movement +σ, 510.15, Put Wall CE, 503.0, Large Gamma 1 &amp; Gamma Field &amp; Gamma Field CE &amp; Call Wall &amp; Call Wall CE, 510.0, </t>
  </si>
  <si>
    <t xml:space="preserve">QQQ: Large Gamma 1 &amp; Key Delta, 500.0, Implied Movement -2σ, 503.87, Implied Movement +2σ, 514.75, Implied Movement -σ, 506.17, Put Wall, 490.0, Implied Movement +σ, 512.45, Gamma Field CE &amp; Gamma Flip &amp; Gamma Flip CE, 509.0, Put Wall CE, 507.0, Call Wall CE &amp; Call Dominate , 512.0, Large Gamma 2 &amp; Gamma Field &amp; Call Wall, 510.0, Put Dominate , 504.0, </t>
  </si>
  <si>
    <t xml:space="preserve">QQQ: Implied Movement +σ, 508.64, Implied Movement -σ, 501.96, Put Dominate , 483.0, Implied Movement -2σ, 498.63, Large Gamma 1 &amp; Gamma Field CE &amp; Call Wall, 505.0, Call Wall CE, 507.0, Call Dominate , 513.0, Gamma Flip &amp; Gamma Flip CE, 504.0, Put Wall CE &amp; Put Wall &amp; Large Gamma 2 &amp; Gamma Field &amp; Key Delta, 500.0, Implied Movement +2σ, 511.97, </t>
  </si>
  <si>
    <t xml:space="preserve">QQQ: Implied Movement +σ, 512.99, Put Dominate , 503.0, Put Wall &amp; Large Gamma 1 &amp; Key Delta, 500.0, Implied Movement -σ, 506.49, Implied Movement -2σ, 505.15, Call Dominate , 525.0, Call Wall CE, 511.0, Put Wall CE, 507.0, Large Gamma 2 &amp; Gamma Field &amp; Call Wall, 510.0, Gamma Field CE, 508.0, Implied Movement +2σ, 514.33, Gamma Flip &amp; Gamma Flip CE, 509.0, </t>
  </si>
  <si>
    <t xml:space="preserve">QQQ: Large Gamma 1 &amp; Key Delta, 500.0, Implied Movement -σ, 511.61, Call Dominate , 523.0, Gamma Flip, 514.0, Implied Movement +2σ, 520.49, Call Wall CE, 520.0, Implied Movement -2σ, 510.09, Put Wall CE &amp; Put Wall &amp; Gamma Field CE &amp; Gamma Flip CE, 515.0, Implied Movement +σ, 518.97, Large Gamma 2 &amp; Gamma Field &amp; Call Wall, 510.0, Put Dominate , 503.0, </t>
  </si>
  <si>
    <t xml:space="preserve">QQQ: Implied Movement +σ, 520.39, Implied Movement -2σ, 511.89, Large Gamma 2, 510.0, Implied Movement -σ, 513.35, Gamma Flip CE, 516.0, Large Gamma 1 &amp; Gamma Field &amp; Gamma Field CE &amp; Call Wall &amp; Call Wall CE, 520.0, Put Wall &amp; Key Delta, 500.0, Put Dominate , 503.0, Gamma Flip, 514.0, Implied Movement +2σ, 521.85, Call Dominate , 522.0, Put Wall CE, 515.0, </t>
  </si>
  <si>
    <t xml:space="preserve">QQQ: Call Wall CE &amp; Call Dominate , 528.0, Put Dominate , 503.0, Put Wall CE &amp; Put Wall &amp; Large Gamma 2 &amp; Gamma Field, 520.0, Implied Movement -2σ, 518.69, Implied Movement +σ, 526.49, Implied Movement -σ, 520.03, Gamma Flip, 519.0, Call Wall &amp; Key Delta, 510.0, Large Gamma 1 &amp; Gamma Field CE, 523.0, Implied Movement +2σ, 527.83, Gamma Flip CE, 522.0, </t>
  </si>
  <si>
    <t xml:space="preserve">QQQ: Implied Movement -σ, 523.33, Gamma Flip CE, 526.0, Put Wall CE &amp; Gamma Flip, 524.0, Large Gamma 2 &amp; Call Wall, 520.0, Key Delta, 500.0, Put Wall &amp; Large Gamma 1 &amp; Gamma Field &amp; Gamma Field CE, 525.0, Implied Movement +σ, 529.63, Call Dominate , 533.0, Implied Movement +2σ, 530.94, Call Wall CE, 530.0, Put Dominate , 521.0, Implied Movement -2σ, 522.02, </t>
  </si>
  <si>
    <t xml:space="preserve">QQQ: Put Wall CE &amp; Put Wall &amp; Large Gamma 1 &amp; Gamma Field &amp; Gamma Field CE &amp; Gamma Flip CE, 520.0, Implied Movement -2σ, 514.63, Gamma Flip, 519.0, Call Dominate , 528.0, Implied Movement +σ, 525.4, Implied Movement -σ, 518.22, Put Dominate , 514.0, Key Delta, 500.0, Call Wall CE, 524.0, Large Gamma 2 &amp; Call Wall, 510.0, Implied Movement +2σ, 528.99, </t>
  </si>
  <si>
    <t xml:space="preserve">QQQ: Gamma Flip &amp; Gamma Flip CE, 521.0, Put Dominate , 518.0, Call Dominate , 533.0, Large Gamma 1 &amp; Gamma Field CE, 523.0, Implied Movement +σ, 526.11, Implied Movement -σ, 518.65, Implied Movement -2σ, 517.11, Implied Movement +2σ, 527.65, Put Wall CE &amp; Put Wall &amp; Large Gamma 2 &amp; Gamma Field &amp; Call Wall, 520.0, Call Wall CE, 525.0, Key Delta, 500.0, </t>
  </si>
  <si>
    <t xml:space="preserve">QQQ: Put Wall CE &amp; Put Wall, 517.0, Implied Movement +σ, 524.61, Put Dominate , 515.0, Large Gamma 2 &amp; Call Wall, 510.0, Implied Movement +2σ, 526.27, Gamma Flip, 519.0, Implied Movement -σ, 516.59, Call Wall CE, 525.0, Large Gamma 1 &amp; Gamma Field, 520.0, Implied Movement -2σ, 514.93, Key Delta, 500.0, Gamma Field CE &amp; Gamma Flip CE, 521.0, Call Dominate , 528.0, </t>
  </si>
  <si>
    <t xml:space="preserve">QQQ: Implied Movement +2σ, 534.74, Implied Movement +σ, 533.33, Large Gamma 2 &amp; Gamma Field &amp; Call Wall, 530.0, Large Gamma 1, 520.0, Call Dominate , 538.0, Implied Movement -σ, 526.51, Gamma Flip &amp; Gamma Flip CE, 529.0, Implied Movement -2σ, 525.1, Call Wall CE, 533.0, Key Delta, 500.0, Put Wall CE, 526.0, Put Dominate , 503.0, Put Wall &amp; Gamma Field CE, 528.0, </t>
  </si>
  <si>
    <t xml:space="preserve">QQQ: Large Gamma 2, 525.0, Implied Movement +σ, 530.25, Gamma Flip &amp; Gamma Flip CE, 527.0, Call Dominate , 532.0, Implied Movement -σ, 522.75, Implied Movement -2σ, 518.8, Put Wall CE &amp; Put Wall &amp; Gamma Field CE, 522.0, Key Delta, 510.0, Put Dominate , 503.0, Large Gamma 1 &amp; Gamma Field &amp; Call Wall, 520.0, Call Wall CE, 530.0, Implied Movement +2σ, 534.2, </t>
  </si>
  <si>
    <t xml:space="preserve">QQQ: Implied Movement +σ, 533.87, Call Dominate , 538.0, Put Dominate , 503.0, Key Delta, 500.0, Implied Movement -σ, 527.19, Implied Movement +2σ, 535.25, Large Gamma 1 &amp; Gamma Field &amp; Gamma Field CE &amp; Call Wall, 530.0, Gamma Flip CE, 529.0, Implied Movement -2σ, 525.81, Put Wall &amp; Large Gamma 2, 520.0, Call Wall CE, 534.0, Put Wall CE &amp; Gamma Flip, 528.0, </t>
  </si>
  <si>
    <t xml:space="preserve">QQQ: Gamma Field, 535.0, Put Dominate , 503.0, Implied Movement +σ, 542.48, Call Dominate , 542.0, Large Gamma 2 &amp; Call Wall, 550.0, Call Wall CE, 540.0, Key Delta, 500.0, Gamma Flip CE, 538.0, Implied Movement -2σ, 532.07, Implied Movement +2σ, 544.27, Implied Movement -σ, 533.86, Gamma Flip, 529.0, Large Gamma 1, 530.0, Put Wall CE &amp; Put Wall &amp; Gamma Field CE, 536.0, </t>
  </si>
  <si>
    <t xml:space="preserve">QQQ: Key Delta, 500.0, Call Wall CE, 539.0, Call Wall, 540.0, Implied Movement -2σ, 529.25, Large Gamma 1, 530.0, Implied Movement +σ, 540.43, Implied Movement -σ, 531.17, Call Dominate , 545.0, Put Dominate , 499.0, Implied Movement +2σ, 542.35, Gamma Flip, 529.0, Put Wall &amp; Large Gamma 2, 520.0, Put Wall CE &amp; Gamma Field &amp; Gamma Field CE &amp; Gamma Flip CE, 535.0, </t>
  </si>
  <si>
    <t xml:space="preserve">QQQ: Implied Movement -2σ, 507.17, Implied Movement +2σ, 525.77, Call Wall CE, 525.0, Implied Movement +σ, 523.05, Large Gamma 1 &amp; Call Wall, 510.0, Gamma Flip &amp; Gamma Flip CE, 524.0, Call Dominate , 537.0, Implied Movement -σ, 509.89, Put Dominate , 499.0, Large Gamma 2 &amp; Gamma Field &amp; Gamma Field CE, 520.0, Put Wall CE, 515.0, Put Wall &amp; Key Delta, 500.0, </t>
  </si>
  <si>
    <t xml:space="preserve">QQQ: Put Wall &amp; Large Gamma 1 &amp; Gamma Field &amp; Gamma Field CE &amp; Call Wall, 510.0, Gamma Flip CE, 517.0, Call Dominate , 537.0, Put Wall CE, 505.0, Implied Movement -2σ, 502.46, Implied Movement +2σ, 525.88, Gamma Flip, 521.0, Put Dominate , 499.0, Implied Movement +σ &amp; Large Gamma 2 &amp; Call Wall CE, 520.0, Implied Movement -σ, 508.34, Key Delta, 500.0, </t>
  </si>
  <si>
    <t xml:space="preserve">QQQ: Call Dominate , 537.0, Implied Movement -σ, 514.55, Put Wall &amp; Large Gamma 1 &amp; Key Delta, 500.0, Implied Movement +σ, 522.77, Implied Movement +2σ, 524.47, Implied Movement -2σ, 512.85, Put Dominate , 504.0, Large Gamma 2 &amp; Gamma Field &amp; Gamma Field CE &amp; Gamma Flip &amp; Call Wall, 520.0, Put Wall CE &amp; Gamma Flip CE, 519.0, Call Wall CE, 525.0, </t>
  </si>
  <si>
    <t xml:space="preserve">QQQ: Implied Movement +σ, 526.47, Gamma Field CE &amp; Gamma Flip CE, 522.0, Gamma Flip, 521.0, Call Wall &amp; Call Wall CE, 525.0, Implied Movement -2σ, 516.64, Put Dominate , 503.0, Implied Movement -σ, 519.27, Put Wall CE, 519.0, Large Gamma 1 &amp; Gamma Field &amp; Key Delta, 520.0, Implied Movement +2σ, 529.1, Put Wall &amp; Large Gamma 2, 500.0, Call Dominate , 537.0, </t>
  </si>
  <si>
    <t xml:space="preserve">QQQ: Large Gamma 2 &amp; Call Wall, 535.0, Implied Movement +2σ, 534.09, Implied Movement +σ, 532.88, Key Delta, 500.0, Put Dominate , 503.0, Implied Movement -2σ, 525.83, Gamma Flip, 524.0, Call Dominate , 537.0, Gamma Field &amp; Gamma Field CE &amp; Call Wall CE, 530.0, Put Wall &amp; Large Gamma 1, 520.0, Put Wall CE &amp; Gamma Flip CE, 528.0, Implied Movement -σ, 527.04, </t>
  </si>
  <si>
    <t xml:space="preserve">QQQ: Call Wall, 535.0, Large Gamma 2, 525.0, Implied Movement -σ, 525.67, Implied Movement +2σ, 537.46, Key Delta, 500.0, Implied Movement +σ, 533.53, Put Wall CE &amp; Gamma Flip &amp; Gamma Flip CE, 528.0, Put Wall &amp; Large Gamma 1, 520.0, Call Dominate , 538.0, Put Dominate , 503.0, Implied Movement -2σ, 521.74, Gamma Field &amp; Gamma Field CE &amp; Call Wall CE, 530.0, </t>
  </si>
  <si>
    <t xml:space="preserve">QQQ: Gamma Flip &amp; Gamma Flip CE, 521.0, Implied Movement +2σ, 527.71, Implied Movement -2σ, 517.41, Put Wall CE, 515.0, Put Dominate , 509.0, Large Gamma 1 &amp; Call Wall &amp; Call Wall CE, 525.0, Implied Movement +σ, 526.2, Implied Movement -σ, 518.92, Put Wall &amp; Large Gamma 2 &amp; Gamma Field &amp; Gamma Field CE &amp; Key Delta, 520.0, Call Dominate , 538.0, </t>
  </si>
  <si>
    <t xml:space="preserve">QQQ: Large Gamma 2 &amp; Key Delta, 500.0, Put Dominate , 509.0, Call Dominate , 540.0, Gamma Flip CE, 518.0, Implied Movement +2σ, 523.85, Put Wall CE &amp; Put Wall &amp; Gamma Field CE, 515.0, Implied Movement -2σ, 507.37, Large Gamma 1 &amp; Gamma Field &amp; Gamma Flip &amp; Call Wall &amp; Call Wall CE, 520.0, Implied Movement -σ, 510.85, Implied Movement +σ, 520.37, </t>
  </si>
  <si>
    <t xml:space="preserve">QQQ: Gamma Flip &amp; Gamma Flip CE, 516.0, Put Wall &amp; Large Gamma 1 &amp; Gamma Field &amp; Call Wall, 520.0, Put Dominate , 504.0, Implied Movement -2σ, 512.72, Implied Movement +2σ, 524.44, Call Dominate , 540.0, Gamma Field CE &amp; Call Wall CE, 518.0, Put Wall CE, 515.0, Large Gamma 2 &amp; Key Delta, 500.0, Implied Movement -σ, 514.44, Implied Movement +σ, 522.72, </t>
  </si>
  <si>
    <t xml:space="preserve">QQQ: Large Gamma 2 &amp; Call Wall &amp; Call Wall CE, 520.0, Put Wall CE &amp; Gamma Field &amp; Gamma Field CE, 510.0, Implied Movement +2σ, 520.07, Implied Movement -σ, 505.31, Put Dominate , 504.0, Implied Movement +σ, 515.15, Call Dominate , 540.0, Implied Movement -2σ, 500.39, Put Wall &amp; Large Gamma 1 &amp; Key Delta, 500.0, Gamma Flip &amp; Gamma Flip CE, 511.0, </t>
  </si>
  <si>
    <t xml:space="preserve">QQQ: Implied Movement -2σ, 505.3, Implied Movement +2σ, 517.16, Call Wall CE, 515.0, Implied Movement +σ, 515.43, Gamma Field CE, 514.0, Large Gamma 2 &amp; Call Wall, 520.0, Gamma Flip CE, 511.0, Gamma Flip, 512.5, Put Wall &amp; Large Gamma 1 &amp; Key Delta, 500.0, Put Dominate , 509.0, Call Dominate , 540.0, Gamma Field, 510.0, Implied Movement -σ, 507.03, Put Wall CE, 505.0, </t>
  </si>
  <si>
    <t xml:space="preserve">QQQ: Implied Movement -2σ, 518.26, Put Wall &amp; Large Gamma 1 &amp; Gamma Field &amp; Call Wall, 520.0, Call Dominate , 534.0, Implied Movement +σ, 528.98, Large Gamma 2 &amp; Key Delta, 500.0, Put Dominate , 519.0, Gamma Field CE, 525.0, Implied Movement -σ, 520.1, Gamma Flip &amp; Gamma Flip CE, 523.0, Call Wall CE, 530.0, Put Wall CE, 516.0, Implied Movement +2σ, 530.82, </t>
  </si>
  <si>
    <t xml:space="preserve">QQQ: Implied Movement +2σ, 521.76, Implied Movement -2σ, 508.6, Implied Movement -σ, 510.53, Call Dominate , 532.0, Call Wall CE, 518.0, Large Gamma 2 &amp; Key Delta, 500.0, Implied Movement +σ, 519.83, Put Wall CE, 510.0, Put Dominate , 508.0, Gamma Flip &amp; Gamma Flip CE, 515.0, Put Wall &amp; Large Gamma 1 &amp; Gamma Field &amp; Gamma Field CE &amp; Call Wall, 520.0, </t>
  </si>
  <si>
    <t xml:space="preserve">QQQ: Call Dominate , 532.0, Gamma Flip &amp; Gamma Flip CE, 515.0, Put Dominate , 508.0, Implied Movement +2σ, 524.69, Implied Movement -2σ, 505.85, Put Wall &amp; Large Gamma 1 &amp; Gamma Field &amp; Gamma Field CE &amp; Call Wall, 520.0, Implied Movement +σ, 519.98, Implied Movement -σ, 510.56, Put Wall CE, 510.0, Large Gamma 2 &amp; Key Delta, 500.0, Call Wall CE, 525.0, </t>
  </si>
  <si>
    <t xml:space="preserve">QQQ: Large Gamma 2 &amp; Gamma Field CE &amp; Gamma Flip, 510.0, Put Wall CE &amp; Put Dominate , 498.0, Implied Movement -2σ, 500.26, Implied Movement -σ, 502.29, Call Wall CE, 513.0, Put Wall &amp; Large Gamma 1 &amp; Gamma Field &amp; Call Wall &amp; Key Delta, 500.0, Implied Movement +2σ, 514.12, Gamma Flip CE, 507.0, Implied Movement +σ, 512.09, Call Dominate , 532.0, </t>
  </si>
  <si>
    <t xml:space="preserve">QQQ: Large Gamma 2 &amp; Gamma Flip, 510.0, Implied Movement -σ, 500.15, Put Dominate , 498.0, Implied Movement +σ, 510.97, Gamma Field CE &amp; Gamma Flip CE, 505.0, Implied Movement +2σ, 513.21, Put Wall CE &amp; Put Wall &amp; Large Gamma 1 &amp; Gamma Field &amp; Call Wall &amp; Key Delta, 500.0, Call Wall CE, 511.0, Implied Movement -2σ, 497.91, Call Dominate , 532.0, </t>
  </si>
  <si>
    <t xml:space="preserve">QQQ: Put Wall CE &amp; Put Wall &amp; Large Gamma 1 &amp; Gamma Field &amp; Gamma Field CE &amp; Call Wall &amp; Key Delta, 500.0, Call Dominate , 532.0, Call Wall CE, 512.0, Implied Movement -2σ, 496.94, Put Dominate , 499.0, Implied Movement +σ, 510.83, Implied Movement +2σ, 513.22, Implied Movement -σ, 499.33, Gamma Flip CE, 503.0, Large Gamma 2 &amp; Gamma Flip, 510.0, </t>
  </si>
  <si>
    <t xml:space="preserve">QQQ: Implied Movement +σ, 521.13, Implied Movement +2σ, 522.96, Key Delta, 500.0, Put Wall CE, 511.0, Put Dominate , 499.0, Put Wall &amp; Large Gamma 1 &amp; Gamma Field &amp; Call Wall, 520.0, Call Wall CE &amp; Call Dominate , 522.0, Implied Movement -2σ, 510.44, Large Gamma 2, 510.0, Gamma Field CE &amp; Gamma Flip, 515.0, Gamma Flip CE, 516.0, Implied Movement -σ, 512.27, </t>
  </si>
  <si>
    <t xml:space="preserve">QQQ: Large Gamma 2 &amp; Gamma Flip &amp; Gamma Flip CE, 515.0, Call Wall CE, 518.0, Implied Movement +2σ, 523.01, Implied Movement -σ, 508.64, Put Wall CE &amp; Put Wall &amp; Large Gamma 1 &amp; Gamma Field &amp; Gamma Field CE &amp; Call Wall, 510.0, Put Dominate , 499.0, Key Delta, 500.0, Implied Movement +σ, 517.52, Call Dominate , 520.0, Implied Movement -2σ, 503.15, </t>
  </si>
  <si>
    <t xml:space="preserve">QQQ: Gamma Field CE, 521.0, Implied Movement -σ, 518.25, Implied Movement +σ, 525.23, Implied Movement +2σ, 526.67, Large Gamma 2 &amp; Gamma Field &amp; Call Wall &amp; Call Wall CE, 530.0, Put Dominate , 498.0, Call Dominate , 532.0, Large Gamma 1 &amp; Key Delta, 510.0, Implied Movement -2σ, 516.81, Put Wall, 500.0, Put Wall CE, 515.0, Gamma Flip &amp; Gamma Flip CE, 520.0, </t>
  </si>
  <si>
    <t xml:space="preserve">QQQ: Put Wall CE, 520.0, Large Gamma 2, 525.0, Key Delta, 510.0, Gamma Flip CE, 524.0, Implied Movement +σ, 529.23, Call Dominate , 532.0, Implied Movement -2σ, 518.54, Implied Movement +2σ, 531.06, Gamma Flip, 522.5, Put Dominate , 498.0, Large Gamma 1 &amp; Gamma Field &amp; Gamma Field CE &amp; Call Wall &amp; Call Wall CE, 530.0, Put Wall, 500.0, Implied Movement -σ, 520.37, </t>
  </si>
  <si>
    <t xml:space="preserve">QQQ: Implied Movement +2σ, 536.95, Call Dominate , 545.0, Put Wall CE &amp; Put Wall &amp; Large Gamma 2 &amp; Gamma Field, 530.0, Large Gamma 1 &amp; Call Wall, 540.0, Gamma Field CE &amp; Gamma Flip CE, 532.0, Implied Movement -2σ, 526.07, Implied Movement +σ, 535.41, Implied Movement -σ, 527.61, Key Delta, 510.0, Gamma Flip, 529.0, Call Wall CE, 535.0, Put Dominate , 498.0, </t>
  </si>
  <si>
    <t xml:space="preserve">QQQ: Put Wall &amp; Large Gamma 1 &amp; Gamma Field &amp; Gamma Field CE &amp; Key Delta, 530.0, Put Wall CE, 525.0, Call Dominate , 545.0, Call Wall CE, 535.0, Large Gamma 2 &amp; Call Wall, 540.0, Implied Movement -σ, 528.25, Put Dominate , 498.0, Implied Movement -2σ, 523.94, Gamma Flip &amp; Gamma Flip CE, 529.0, Implied Movement +σ, 537.03, Implied Movement +2σ, 541.34, </t>
  </si>
  <si>
    <t xml:space="preserve">QQQ: Gamma Field &amp; Call Wall, 530.0, Large Gamma 1 &amp; Key Delta, 520.0, Implied Movement -2σ, 524.03, Call Dominate , 545.0, Gamma Flip &amp; Gamma Flip CE, 529.0, Call Wall CE, 533.0, Put Dominate , 527.0, Implied Movement +σ, 533.59, Implied Movement -σ, 525.67, Put Wall CE &amp; Put Wall &amp; Large Gamma 2 &amp; Gamma Field CE, 528.0, Implied Movement +2σ, 535.23, </t>
  </si>
  <si>
    <t xml:space="preserve">QQQ: Call Wall, 525.0, Implied Movement +σ, 519.53, Implied Movement +2σ, 521.74, Call Dominate , 532.0, Gamma Field CE &amp; Gamma Flip, 515.0, Put Wall CE &amp; Large Gamma 2 &amp; Key Delta, 510.0, Implied Movement -2σ, 506.68, Put Dominate , 508.0, Put Wall &amp; Large Gamma 1 &amp; Gamma Field &amp; Call Wall CE, 520.0, Implied Movement -σ, 508.89, Gamma Flip CE, 513.0, </t>
  </si>
  <si>
    <t xml:space="preserve">QQQ: Implied Movement -2σ, 513.99, Gamma Flip, 521.0, Implied Movement -σ, 516.28, Put Wall &amp; Large Gamma 2 &amp; Gamma Field &amp; Gamma Field CE &amp; Key Delta, 520.0, Implied Movement +σ, 527.34, Large Gamma 1 &amp; Call Wall &amp; Call Wall CE, 525.0, Put Dominate , 508.0, Gamma Flip CE, 519.0, Put Wall CE, 510.0, Call Dominate , 538.0, Implied Movement +2σ, 529.63, </t>
  </si>
  <si>
    <t xml:space="preserve">QQQ: Implied Movement +σ, 525.96, Put Wall &amp; Large Gamma 2 &amp; Gamma Field &amp; Gamma Field CE, 520.0, Put Wall CE, 516.0, Implied Movement -σ, 515.7, Gamma Flip CE, 518.0, Implied Movement -2σ, 513.57, Put Dominate , 508.0, Large Gamma 1 &amp; Call Wall &amp; Call Wall CE, 525.0, Gamma Flip, 521.0, Call Dominate , 532.0, Key Delta, 510.0, Implied Movement +2σ, 528.09, </t>
  </si>
  <si>
    <t xml:space="preserve">QQQ: Gamma Flip CE, 523.0, Large Gamma 1 &amp; Gamma Field &amp; Gamma Field CE &amp; Call Wall, 525.0, Implied Movement +2σ, 533.5, Put Wall CE &amp; Gamma Flip, 521.0, Call Dominate , 538.0, Implied Movement +σ, 528.28, Put Dominate , 508.0, Implied Movement -σ, 517.82, Implied Movement -2σ, 512.6, Call Wall CE, 530.0, Put Wall &amp; Large Gamma 2 &amp; Key Delta, 520.0, </t>
  </si>
  <si>
    <t xml:space="preserve">QQQ: Large Gamma 1 &amp; Gamma Field &amp; Gamma Field CE &amp; Gamma Flip &amp; Call Wall, 520.0, Gamma Flip CE, 518.0, Put Wall CE &amp; Put Wall &amp; Large Gamma 2 &amp; Key Delta, 510.0, Implied Movement +2σ, 526.49, Implied Movement -σ, 512.18, Implied Movement +σ, 524.04, Implied Movement -2σ, 509.73, Call Wall CE, 523.0, Put Dominate , 505.0, Call Dominate , 540.0, </t>
  </si>
  <si>
    <t xml:space="preserve">QQQ: Put Wall CE &amp; Large Gamma 1 &amp; Gamma Field &amp; Call Wall &amp; Key Delta, 520.0, Implied Movement +σ, 527.47, Implied Movement -σ, 517.11, Implied Movement +2σ, 529.61, Put Wall &amp; Large Gamma 2, 510.0, Call Dominate , 540.0, Gamma Flip &amp; Gamma Flip CE, 523.0, Gamma Field CE, 525.0, Put Dominate , 508.0, Call Wall CE, 527.0, Implied Movement -2σ, 514.97, </t>
  </si>
  <si>
    <t xml:space="preserve">QQQ: Implied Movement +σ, 529.66, Put Wall CE, 519.0, Gamma Field CE &amp; Call Wall CE, 525.0, Implied Movement -σ, 519.28, Implied Movement -2σ, 517.13, Implied Movement +2σ, 531.81, Gamma Flip &amp; Gamma Flip CE, 524.0, Put Wall &amp; Large Gamma 2, 510.0, Call Wall, 535.0, Large Gamma 1 &amp; Gamma Field &amp; Key Delta, 520.0, Call Dominate , 540.0, Put Dominate , 505.0, </t>
  </si>
  <si>
    <t xml:space="preserve">QQQ: Implied Movement +2σ, 533.01, Gamma Field CE, 525.0, Implied Movement +σ, 531.23, Call Dominate , 540.0, Implied Movement -σ, 522.47, Put Dominate , 507.0, Large Gamma 2, 510.0, Put Wall CE &amp; Gamma Flip, 523.0, Gamma Field &amp; Call Wall CE, 530.0, Implied Movement -2σ, 520.69, Put Wall &amp; Large Gamma 1 &amp; Key Delta, 520.0, Call Wall, 535.0, Gamma Flip CE, 526.0, </t>
  </si>
  <si>
    <t xml:space="preserve">QQQ: Implied Movement -2σ, 520.32, Implied Movement -σ, 524.96, Put Wall CE &amp; Put Wall &amp; Large Gamma 1 &amp; Key Delta, 520.0, Call Dominate , 538.0, Implied Movement +σ, 534.24, Implied Movement +2σ, 538.88, Gamma Flip CE, 527.5, Gamma Flip, 524.0, Call Wall &amp; Call Wall CE, 535.0, Large Gamma 2 &amp; Gamma Field &amp; Gamma Field CE, 530.0, Put Dominate , 507.0, </t>
  </si>
  <si>
    <t xml:space="preserve">QQQ: Large Gamma 1 &amp; Key Delta, 510.0, Gamma Flip &amp; Gamma Flip CE, 520.0, Put Wall, 500.0, Implied Movement +σ, 526.67, Large Gamma 2 &amp; Gamma Field &amp; Call Wall &amp; Call Wall CE, 530.0, Put Wall CE, 515.0, Put Dominate , 498.0, Call Dominate , 532.0, Implied Movement +2σ, 527.78, Implied Movement -2σ, 515.7, Implied Movement -σ, 516.81, Gamma Field CE, 521.0, </t>
  </si>
  <si>
    <t xml:space="preserve">QQQ: Gamma Field CE &amp; Gamma Flip &amp; Call Wall CE, 515.0, Implied Movement -σ, 510.7, Call Dominate , 532.0, Large Gamma 2 &amp; Key Delta, 500.0, Implied Movement +2σ, 521.73, Put Wall CE &amp; Gamma Flip CE, 512.0, Implied Movement +σ, 519.84, Put Dominate , 508.0, Implied Movement -2σ, 508.81, Put Wall &amp; Large Gamma 1 &amp; Gamma Field &amp; Call Wall, 520.0, </t>
  </si>
  <si>
    <t xml:space="preserve">QQQ: Put Wall CE, 505.0, Implied Movement +2σ, 518.5, Call Dominate , 540.0, Gamma Field CE, 514.0, Gamma Field, 510.0, Implied Movement +σ, 517.16, Gamma Flip, 512.5, Implied Movement -2σ, 503.96, Large Gamma 2 &amp; Call Wall, 520.0, Put Dominate , 509.0, Implied Movement -σ, 505.3, Gamma Flip CE, 511.0, Call Wall CE, 515.0, Put Wall &amp; Large Gamma 1 &amp; Key Delta, 500.0, </t>
  </si>
  <si>
    <t xml:space="preserve">IWM: Implied Movement +σ, 200.89, Implied Movement -σ, 197.15, Call Wall CE &amp; Call Dominate , 200.0, Implied Movement -2σ, 196.38, Large Gamma 2, 195.0, Put Wall CE &amp; Gamma Flip CE, 197.0, Call Wall &amp; Key Delta, 206.0, Put Wall &amp; Gamma Field, 185.0, Implied Movement +2σ, 201.66, Large Gamma 1, 190.0, Gamma Field CE, 198.0, Gamma Flip, 201.0, Put Dominate , 196.0, 20240429 070000</t>
  </si>
  <si>
    <t xml:space="preserve">IWM: Implied Movement +σ, 201.16, Large Gamma 1, 190.0, Put Wall CE &amp; Gamma Flip CE, 199.0, Put Wall &amp; Gamma Field, 185.0, Call Dominate , 202.0, Gamma Field CE &amp; Call Wall CE, 200.0, Implied Movement +2σ, 202.02, Gamma Flip, 201.0, Put Dominate , 196.0, Implied Movement -σ, 197.0, Implied Movement -2σ, 196.14, Call Wall &amp; Key Delta, 206.0, Large Gamma 2, 195.0, 20240430 070000</t>
  </si>
  <si>
    <t xml:space="preserve">IWM: Put Wall CE &amp; Large Gamma 2 &amp; Gamma Flip CE, 195.0, Implied Movement +σ, 197.15, Gamma Field CE &amp; Call Wall CE &amp; Put Dominate , 196.0, Put Wall &amp; Gamma Field &amp; Key Delta, 185.0, Implied Movement -σ, 192.63, Large Gamma 1, 190.0, Call Dominate , 202.0, Call Wall, 206.0, Implied Movement -2σ, 191.69, Implied Movement +2σ, 198.09, Gamma Flip, 201.0, 20240501 070000</t>
  </si>
  <si>
    <t xml:space="preserve">IWM: Call Wall, 206.0, Put Wall &amp; Gamma Field &amp; Key Delta, 185.0, Large Gamma 1, 190.0, Gamma Flip CE &amp; Put Dominate , 196.0, Gamma Field CE, 197.0, Implied Movement +σ, 200.4, Call Dominate , 202.0, Implied Movement -2σ, 195.71, Implied Movement -σ, 196.5, Put Wall CE &amp; Large Gamma 2, 195.0, Gamma Flip, 200.0, Implied Movement +2σ, 201.19, Call Wall CE, 198.0, 20240502 070000</t>
  </si>
  <si>
    <t xml:space="preserve">IWM: Call Wall CE, 201.0, Put Wall &amp; Gamma Field &amp; Key Delta, 185.0, Gamma Flip CE, 199.0, Implied Movement -σ, 197.54, Implied Movement +2σ, 204.11, Put Wall CE &amp; Large Gamma 2, 195.0, Call Wall, 206.0, Put Dominate , 196.0, Implied Movement -2σ, 195.35, Large Gamma 1 &amp; Gamma Field CE &amp; Gamma Flip, 200.0, Implied Movement +σ, 201.92, Call Dominate , 202.0, 20240503 070000</t>
  </si>
  <si>
    <t xml:space="preserve">IWM: Gamma Field CE &amp; Call Dominate , 202.0, Call Wall CE, 204.0, Implied Movement +σ, 205.37, Call Wall, 206.0, Implied Movement -σ, 201.95, Gamma Flip &amp; Gamma Flip CE, 201.0, Implied Movement -2σ, 201.24, Put Dominate , 199.0, Implied Movement +2σ, 206.08, Large Gamma 2, 195.0, Put Wall &amp; Gamma Field &amp; Key Delta, 185.0, Put Wall CE &amp; Large Gamma 1, 200.0, 20240506 070000</t>
  </si>
  <si>
    <t xml:space="preserve">IWM: Put Dominate , 199.0, Gamma Field CE &amp; Gamma Flip CE, 204.0, Implied Movement -σ, 202.95, Implied Movement -2σ, 202.16, Implied Movement +σ, 206.73, Call Wall CE &amp; Call Dominate , 205.0, Gamma Flip, 202.0, Call Wall, 220.0, Implied Movement +2σ, 207.52, Large Gamma 1 &amp; Large Gamma 2, 200.0, Put Wall &amp; Gamma Field &amp; Key Delta, 185.0, Put Wall CE, 201.0, 20240507 070000</t>
  </si>
  <si>
    <t xml:space="preserve">IWM: Put Wall CE &amp; Gamma Field CE &amp; Gamma Flip, 204.0, Put Dominate , 199.0, Implied Movement -2σ, 201.23, Gamma Flip CE &amp; Call Dominate , 205.0, Call Wall CE, 206.0, Large Gamma 1 &amp; Large Gamma 2, 200.0, Put Wall &amp; Gamma Field &amp; Key Delta, 185.0, Implied Movement +σ, 205.79, Implied Movement +2σ, 206.57, Implied Movement -σ, 202.01, Call Wall, 220.0, 20240508 070000</t>
  </si>
  <si>
    <t xml:space="preserve">IWM: Call Wall, 220.0, Put Wall &amp; Gamma Field &amp; Key Delta, 185.0, Implied Movement -σ, 201.61, Put Wall CE &amp; Gamma Flip &amp; Gamma Flip CE, 202.0, Large Gamma 1 &amp; Large Gamma 2, 200.0, Call Dominate , 205.0, Put Dominate , 199.0, Gamma Field CE, 203.0, Call Wall CE, 204.0, Implied Movement +2σ, 206.15, Implied Movement -2σ, 200.82, Implied Movement +σ, 205.35, 20240509 070000</t>
  </si>
  <si>
    <t xml:space="preserve">IWM: Implied Movement +2σ, 210.55, Put Wall, 190.0, Implied Movement +σ, 208.66, Large Gamma 1, 200.0, Gamma Flip, 204.0, Gamma Field &amp; Call Wall, 220.0, Put Wall CE &amp; Gamma Flip CE, 203.0, Put Dominate  &amp; Key Delta, 195.0, Call Wall CE, 207.0, Call Dominate , 211.0, Implied Movement -2σ, 202.97, Implied Movement -σ, 204.86, Large Gamma 2 &amp; Gamma Field CE, 205.0, 20240510 070000</t>
  </si>
  <si>
    <t xml:space="preserve">IWM: Put Wall CE, 203.0, Gamma Field &amp; Call Wall, 220.0, Implied Movement -2σ, 202.48, Call Wall CE, 205.0, Large Gamma 1 &amp; Large Gamma 2, 200.0, Put Dominate  &amp; Key Delta, 195.0, Gamma Field CE &amp; Gamma Flip &amp; Gamma Flip CE, 204.0, Put Wall, 190.0, Call Dominate , 211.0, Implied Movement -σ, 203.28, Implied Movement +σ, 207.12, Implied Movement +2σ, 207.92, 20240513 070000</t>
  </si>
  <si>
    <t xml:space="preserve">IWM: Large Gamma 1 &amp; Large Gamma 2, 200.0, Put Wall, 190.0, Implied Movement +2σ, 208.73, Call Wall CE, 207.0, Implied Movement -2σ, 201.87, Gamma Field CE, 205.0, Call Dominate , 211.0, Put Dominate  &amp; Key Delta, 195.0, Implied Movement +σ, 207.73, Implied Movement -σ, 202.87, Gamma Flip &amp; Gamma Flip CE, 204.0, Gamma Field &amp; Call Wall, 220.0, Put Wall CE, 203.0, 20240514 070000</t>
  </si>
  <si>
    <t xml:space="preserve">IWM: Put Wall CE &amp; Large Gamma 2 &amp; Gamma Flip CE, 205.0, Implied Movement -σ, 205.13, Implied Movement -2σ, 204.15, Put Dominate  &amp; Key Delta, 195.0, Gamma Flip, 204.0, Large Gamma 1, 200.0, Put Wall, 190.0, Gamma Field CE &amp; Call Wall CE, 209.0, Implied Movement +σ, 209.9, Call Dominate , 211.0, Implied Movement +2σ, 210.89, Gamma Field &amp; Call Wall, 220.0, 20240515 070000</t>
  </si>
  <si>
    <t xml:space="preserve">IWM: Put Wall CE &amp; Gamma Flip CE, 206.0, Implied Movement -σ, 207.35, Put Dominate  &amp; Key Delta, 195.0, Implied Movement +2σ, 211.33, Call Dominate , 211.0, Gamma Field CE, 209.0, Large Gamma 1 &amp; Call Wall CE, 210.0, Implied Movement -2σ, 206.67, Large Gamma 2, 208.0, Put Wall, 190.0, Gamma Flip, 205.0, Gamma Field &amp; Call Wall, 220.0, Implied Movement +σ, 210.65, 20240516 070000</t>
  </si>
  <si>
    <t xml:space="preserve">IWM: Large Gamma 2 &amp; Gamma Flip, 205.0, Put Dominate  &amp; Key Delta, 195.0, Implied Movement -2σ, 204.9, Put Wall, 190.0, Implied Movement +2σ, 211.48, Put Wall CE, 200.0, Gamma Field &amp; Call Wall, 220.0, Gamma Flip CE, 204.0, Implied Movement -σ, 206.54, Call Wall CE, 210.0, Large Gamma 1 &amp; Gamma Field CE, 208.0, Implied Movement +σ, 209.84, Call Dominate , 211.0, 20240517 070000</t>
  </si>
  <si>
    <t xml:space="preserve">IWM: Implied Movement -σ, 207.15, Gamma Field &amp; Call Wall, 220.0, Put Wall CE &amp; Gamma Flip, 207.0, Key Delta, 195.0, Implied Movement -2σ, 206.56, Put Dominate , 204.0, Large Gamma 2, 210.0, Implied Movement +σ, 210.01, Call Dominate , 211.0, Put Wall, 190.0, Implied Movement +2σ, 210.6, Gamma Field CE &amp; Gamma Flip CE, 208.0, Call Wall CE, 209.0, Large Gamma 1, 200.0, 20240520 070000</t>
  </si>
  <si>
    <t xml:space="preserve">IWM: Gamma Field &amp; Call Wall, 220.0, Implied Movement -σ, 206.68, Put Dominate , 204.0, Gamma Field CE &amp; Call Wall CE, 209.0, Implied Movement +2σ, 210.43, Large Gamma 2, 210.0, Put Wall, 190.0, Key Delta, 195.0, Call Dominate , 211.0, Put Wall CE &amp; Gamma Flip &amp; Gamma Flip CE, 208.0, Implied Movement +σ, 209.78, Large Gamma 1, 200.0, Implied Movement -2σ, 206.03, 20240521 070000</t>
  </si>
  <si>
    <t xml:space="preserve">IWM: Large Gamma 2, 200.0, Large Gamma 1, 210.0, Implied Movement -σ, 206.54, Implied Movement +σ, 209.52, Gamma Field &amp; Call Wall, 220.0, Call Dominate , 211.0, Key Delta, 195.0, Put Wall CE &amp; Gamma Field CE &amp; Gamma Flip &amp; Gamma Flip CE, 208.0, Implied Movement -2σ, 205.93, Put Dominate , 204.0, Implied Movement +2σ, 210.13, Put Wall, 190.0, Call Wall CE, 209.0, 20240522 070000</t>
  </si>
  <si>
    <t xml:space="preserve">IWM: Key Delta, 195.0, Large Gamma 2 &amp; Call Wall CE, 210.0, Gamma Flip, 207.5, Put Wall CE &amp; Gamma Field &amp; Gamma Field CE, 205.0, Call Wall, 220.0, Implied Movement -2σ, 205.27, Put Wall, 190.0, Implied Movement -σ, 205.86, Large Gamma 1, 200.0, Implied Movement +2σ, 209.41, Put Dominate , 204.0, Implied Movement +σ, 208.82, Call Dominate , 211.0, Gamma Flip CE, 207.0, 20240523 070000</t>
  </si>
  <si>
    <t xml:space="preserve">IWM: Key Delta, 195.0, Implied Movement -σ, 202.54, Implied Movement +2σ, 207.89, Gamma Flip &amp; Gamma Flip CE, 205.0, Call Dominate , 211.0, Implied Movement +σ, 205.85, Large Gamma 2, 210.0, Call Wall, 220.0, Gamma Field CE &amp; Put Dominate , 204.0, Put Wall &amp; Gamma Field, 190.0, Call Wall CE, 206.0, Put Wall CE &amp; Large Gamma 1, 200.0, Implied Movement -2σ, 200.49, 20240524 070000</t>
  </si>
  <si>
    <t xml:space="preserve">IWM: Implied Movement +2σ, 208.05, Put Wall, 190.0, Large Gamma 1, 200.0, Gamma Field &amp; Gamma Field CE &amp; Gamma Flip &amp; Gamma Flip CE, 205.0, Large Gamma 2, 210.0, Call Dominate , 211.0, Implied Movement +σ, 207.52, Implied Movement -σ, 204.98, Key Delta, 195.0, Put Wall CE &amp; Put Dominate , 204.0, Call Wall CE, 207.0, Call Wall, 220.0, Implied Movement -2σ, 204.45, 20240528 070000</t>
  </si>
  <si>
    <t xml:space="preserve">IWM: Implied Movement +σ, 204.23, Call Wall CE, 215.0, Key Delta, 195.0, Put Wall CE, 194.0, Implied Movement -2σ, 200.2, Gamma Field &amp; Gamma Flip CE, 205.0, Implied Movement +2σ, 204.92, Large Gamma 1 &amp; Gamma Field CE, 200.0, Gamma Flip, 207.0, Put Dominate , 204.0, Large Gamma 2, 210.0, Call Dominate , 211.0, Implied Movement -σ, 200.89, Put Wall, 190.0, Call Wall, 220.0, 20240529 070000</t>
  </si>
  <si>
    <t xml:space="preserve">IWM: Call Wall, 220.0, Implied Movement -σ, 200.85, Gamma Flip, 207.0, Implied Movement +2σ, 204.92, Gamma Flip CE, 205.0, Large Gamma 2, 210.0, Implied Movement -2σ, 200.14, Call Dominate , 211.0, Implied Movement +σ, 204.21, Put Wall &amp; Gamma Field, 190.0, Key Delta, 195.0, Call Wall CE, 202.0, Put Wall CE &amp; Large Gamma 1 &amp; Gamma Field CE, 200.0, Put Dominate , 204.0, 20240530 070000</t>
  </si>
  <si>
    <t xml:space="preserve">IWM: Large Gamma 1 &amp; Gamma Field CE, 200.0, Gamma Flip CE, 205.0, Key Delta, 195.0, Implied Movement +σ, 205.36, Put Wall CE, 194.0, Put Wall &amp; Gamma Field, 190.0, Implied Movement -2σ, 199.44, Call Wall CE, 206.0, Implied Movement +2σ, 207.32, Call Wall, 220.0, Put Dominate , 204.0, Large Gamma 2 &amp; Call Dominate , 210.0, Gamma Flip, 207.0, Implied Movement -σ, 201.4, 20240531 070000</t>
  </si>
  <si>
    <t xml:space="preserve">IWM: Put Wall &amp; Large Gamma 1 &amp; Gamma Field &amp; Key Delta, 200.0, Implied Movement +σ, 209.83, Implied Movement -2σ, 205.73, Large Gamma 2 &amp; Call Wall, 210.0, Implied Movement +2σ, 210.53, Gamma Field CE &amp; Gamma Flip CE &amp; Put Dominate , 206.0, Gamma Flip &amp; Call Dominate , 205.0, Call Wall CE, 207.0, Implied Movement -σ, 206.43, Put Wall CE, 203.0, 20240603 070000</t>
  </si>
  <si>
    <t xml:space="preserve">IWM: Implied Movement -2σ, 200.75, Put Dominate , 206.0, Gamma Flip CE, 204.0, Put Wall CE, 203.0, Put Wall &amp; Large Gamma 1 &amp; Gamma Field &amp; Key Delta, 200.0, Large Gamma 2 &amp; Call Wall, 210.0, Implied Movement +2σ, 205.85, Implied Movement +σ, 205.11, Gamma Field CE &amp; Gamma Flip &amp; Call Wall CE &amp; Call Dominate , 205.0, Implied Movement -σ, 201.49, 20240604 070000</t>
  </si>
  <si>
    <t xml:space="preserve">IWM: Gamma Field CE, 202.0, Call Wall CE &amp; Put Dominate , 203.0, Implied Movement +σ, 204.44, Large Gamma 2, 210.0, Gamma Flip &amp; Call Dominate , 205.0, Implied Movement +2σ, 205.35, Put Wall CE &amp; Put Wall &amp; Large Gamma 1 &amp; Gamma Field &amp; Gamma Flip CE &amp; Call Wall &amp; Key Delta, 200.0, Implied Movement -σ, 200.08, Implied Movement -2σ, 199.17, 20240605 070000</t>
  </si>
  <si>
    <t xml:space="preserve">IWM: Implied Movement -2σ, 201.46, Large Gamma 2 &amp; Call Wall, 210.0, Implied Movement +2σ, 206.92, Implied Movement -σ, 202.26, Implied Movement +σ, 206.12, Call Wall CE, 205.0, Put Wall &amp; Large Gamma 1 &amp; Gamma Field &amp; Key Delta, 200.0, Gamma Field CE &amp; Put Dominate , 204.0, Put Wall CE &amp; Gamma Flip &amp; Gamma Flip CE &amp; Call Dominate , 203.0, 20240606 070000</t>
  </si>
  <si>
    <t xml:space="preserve">IWM: Put Wall &amp; Large Gamma 1 &amp; Gamma Field &amp; Call Wall &amp; Key Delta, 200.0, Gamma Flip CE, 203.0, Implied Movement +σ, 205.62, Gamma Field CE &amp; Call Wall CE &amp; Put Dominate , 205.0, Gamma Flip &amp; Call Dominate , 204.0, Implied Movement +2σ, 207.81, Implied Movement -2σ, 199.01, Large Gamma 2, 210.0, Put Wall CE, 201.0, Implied Movement -σ, 201.2, 20240607 070000</t>
  </si>
  <si>
    <t xml:space="preserve">IWM: Put Wall &amp; Large Gamma 1 &amp; Gamma Field &amp; Call Wall &amp; Key Delta, 200.0, Gamma Flip, 205.0, Large Gamma 2, 195.0, Implied Movement +2σ, 202.58, Implied Movement +σ, 201.82, Call Dominate , 207.0, Implied Movement -2σ, 197.38, Call Wall CE, 208.0, Put Dominate , 206.0, Implied Movement -σ, 198.14, Put Wall CE &amp; Gamma Field CE &amp; Gamma Flip CE, 201.0, 20240610 070000</t>
  </si>
  <si>
    <t xml:space="preserve">IWM: Put Wall &amp; Large Gamma 1 &amp; Gamma Field &amp; Gamma Flip CE &amp; Call Wall &amp; Key Delta, 200.0, Put Wall CE, 199.0, Large Gamma 2, 195.0, Gamma Field CE &amp; Call Wall CE &amp; Put Dominate , 202.0, Implied Movement -σ, 197.78, Gamma Flip, 201.0, Implied Movement -2σ, 196.89, Implied Movement +σ, 202.1, Implied Movement +2σ, 202.99, Call Dominate , 205.0, 20240611 070000</t>
  </si>
  <si>
    <t xml:space="preserve">IWM: Implied Movement -2σ, 197.52, Call Wall CE &amp; Put Dominate , 203.0, Implied Movement -σ, 198.49, Implied Movement +2σ, 204.18, Put Wall CE &amp; Gamma Field CE, 198.0, Put Wall &amp; Large Gamma 1 &amp; Gamma Field &amp; Gamma Flip CE &amp; Call Wall &amp; Key Delta, 200.0, Implied Movement +σ, 203.21, Large Gamma 2, 195.0, Gamma Flip, 202.5, Call Dominate , 205.0, 20240612 070000</t>
  </si>
  <si>
    <t xml:space="preserve">IWM: Implied Movement -2σ, 200.19, Put Wall CE &amp; Gamma Field CE, 202.0, Put Wall &amp; Large Gamma 1 &amp; Gamma Field &amp; Call Wall &amp; Key Delta, 200.0, Implied Movement +2σ, 204.93, Put Dominate , 205.0, Large Gamma 2, 210.0, Implied Movement -σ, 200.92, Gamma Flip &amp; Gamma Flip CE &amp; Call Dominate , 204.0, Implied Movement +σ, 204.2, Call Wall CE, 208.0, 20240613 070000</t>
  </si>
  <si>
    <t xml:space="preserve">IWM: Implied Movement -σ, 197.63, Implied Movement +σ, 201.23, Implied Movement -2σ, 195.84, Gamma Flip CE, 203.0, Gamma Field CE, 202.0, Gamma Flip &amp; Call Dominate , 204.0, Implied Movement +2σ, 203.02, Put Wall CE &amp; Put Wall &amp; Large Gamma 1 &amp; Gamma Field &amp; Call Wall &amp; Key Delta, 200.0, Large Gamma 2 &amp; Call Wall CE &amp; Put Dominate , 205.0, 20240614 070000</t>
  </si>
  <si>
    <t xml:space="preserve">IWM: Put Wall &amp; Large Gamma 1 &amp; Gamma Field &amp; Gamma Field CE &amp; Call Wall &amp; Key Delta, 200.0, Call Wall CE, 201.0, Implied Movement +2σ, 200.35, Implied Movement -σ, 196.17, Put Dominate , 203.0, Gamma Flip CE, 198.0, Implied Movement -2σ, 195.45, Gamma Flip &amp; Call Dominate , 204.0, Put Wall CE &amp; Large Gamma 2, 195.0, Implied Movement +σ, 199.63, 20240617 070000</t>
  </si>
  <si>
    <t xml:space="preserve">IWM: Gamma Flip CE, 199.0, Put Wall CE, 197.0, Implied Movement -σ, 198.13, Implied Movement +σ, 201.75, Large Gamma 2, 195.0, Gamma Flip, 201.0, Implied Movement -2σ, 196.8, Call Dominate , 202.5, Implied Movement +2σ, 203.08, Call Wall CE &amp; Put Dominate , 202.0, Put Wall &amp; Large Gamma 1 &amp; Gamma Field &amp; Gamma Field CE &amp; Call Wall &amp; Key Delta, 200.0, 20240618 070000</t>
  </si>
  <si>
    <t xml:space="preserve">IWM: Large Gamma 2 &amp; Call Wall CE &amp; Put Dominate , 202.0, Implied Movement -σ, 199.71, Put Wall CE &amp; Put Wall &amp; Large Gamma 1 &amp; Gamma Field &amp; Gamma Field CE &amp; Gamma Flip CE &amp; Call Wall &amp; Key Delta, 200.0, Implied Movement +2σ, 203.72, Implied Movement +σ, 203.03, Gamma Flip &amp; Call Dominate , 202.5, Implied Movement -2σ, 199.02, 20240620 070000</t>
  </si>
  <si>
    <t xml:space="preserve">IWM: Put Dominate , 202.0, Put Wall CE &amp; Put Wall &amp; Large Gamma 1 &amp; Gamma Field &amp; Gamma Field CE &amp; Call Wall &amp; Key Delta, 200.0, Implied Movement +2σ, 203.6, Call Dominate , 202.5, Implied Movement +σ, 201.78, Gamma Flip &amp; Gamma Flip CE, 201.0, Implied Movement -σ, 198.14, Large Gamma 2, 198.0, Call Wall CE, 203.0, Implied Movement -2σ, 196.32, 20240621 070000</t>
  </si>
  <si>
    <t xml:space="preserve">IWM: Implied Movement +2σ, 203.08, Call Dominate , 204.0, Large Gamma 1 &amp; Gamma Field &amp; Gamma Field CE &amp; Call Wall &amp; Call Wall CE &amp; Key Delta, 200.0, Put Wall CE &amp; Gamma Flip CE, 199.0, Put Wall &amp; Large Gamma 2, 195.0, Implied Movement +σ, 202.42, Implied Movement -2σ, 198.6, Put Dominate , 202.0, Implied Movement -σ, 199.26, Gamma Flip, 201.0, 20240624 070000</t>
  </si>
  <si>
    <t xml:space="preserve">IWM: Gamma Field CE &amp; Call Wall CE &amp; Put Dominate , 202.0, Implied Movement -2σ, 198.77, Call Wall, 210.0, Call Dominate , 202.5, Put Wall, 195.0, Implied Movement -σ, 199.49, Gamma Flip, 201.0, Put Wall CE &amp; Large Gamma 1 &amp; Large Gamma 2 &amp; Gamma Field &amp; Gamma Flip CE &amp; Key Delta, 200.0, Implied Movement +σ, 202.97, Implied Movement +2σ, 203.69, 20240625 070000</t>
  </si>
  <si>
    <t xml:space="preserve">IWM: Implied Movement -σ, 198.63, Implied Movement +σ, 202.07, Put Wall CE, 198.0, Put Wall, 190.0, Implied Movement +2σ, 202.79, Implied Movement -2σ, 197.91, Large Gamma 1 &amp; Large Gamma 2 &amp; Gamma Field &amp; Gamma Field CE &amp; Call Wall &amp; Key Delta, 200.0, Gamma Flip CE, 199.0, Put Dominate , 202.0, Gamma Flip &amp; Call Wall CE, 201.0, Call Dominate , 202.5, 20240626 070000</t>
  </si>
  <si>
    <t xml:space="preserve">IWM: Put Dominate , 202.0, Implied Movement +2σ, 202.2, Gamma Flip &amp; Call Dominate , 201.0, Implied Movement -σ, 198.32, Large Gamma 2 &amp; Gamma Field &amp; Gamma Field CE &amp; Call Wall CE &amp; Key Delta, 200.0, Put Wall CE &amp; Gamma Flip CE, 199.0, Put Wall, 190.0, Implied Movement -2σ, 197.66, Implied Movement +σ, 201.54, Large Gamma 1 &amp; Call Wall, 204.0, 20240627 070000</t>
  </si>
  <si>
    <t xml:space="preserve">IWM: Put Wall, 195.0, Implied Movement -2σ, 199.68, Put Dominate , 202.0, Implied Movement +2σ, 207.14, Implied Movement +σ, 205.27, Gamma Flip &amp; Call Dominate , 201.0, Put Wall CE &amp; Gamma Flip CE &amp; Key Delta, 200.0, Large Gamma 1 &amp; Gamma Field CE &amp; Call Wall &amp; Call Wall CE, 204.0, Large Gamma 2 &amp; Gamma Field, 205.0, Implied Movement -σ, 201.55, 20240628 070000</t>
  </si>
  <si>
    <t xml:space="preserve">IWM: Put Dominate , 202.5, Put Wall, 195.0, Large Gamma 1 &amp; Gamma Field &amp; Key Delta, 200.0, Gamma Field CE &amp; Call Wall CE, 204.0, Implied Movement +2σ, 205.51, Implied Movement -σ, 201.71, Put Wall CE &amp; Gamma Flip &amp; Gamma Flip CE &amp; Call Dominate , 202.0, Large Gamma 2 &amp; Call Wall, 210.0, Implied Movement +σ, 204.85, Implied Movement -2σ, 201.05, 20240701 070000</t>
  </si>
  <si>
    <t xml:space="preserve">IWM: Put Wall &amp; Large Gamma 2, 195.0, Implied Movement +σ, 202.04, Implied Movement +2σ, 202.71, Gamma Field CE &amp; Gamma Flip &amp; Call Dominate , 201.0, Put Wall CE &amp; Large Gamma 1 &amp; Gamma Field &amp; Gamma Flip CE &amp; Call Wall &amp; Key Delta, 200.0, Implied Movement -σ, 198.8, Implied Movement -2σ, 198.13, Call Wall CE &amp; Put Dominate , 202.0, 20240702 070000</t>
  </si>
  <si>
    <t xml:space="preserve">IWM: Implied Movement +2σ, 204.93, Implied Movement +σ, 203.84, Put Dominate , 190.0, Call Dominate , 208.0, Implied Movement -σ, 200.88, Put Wall CE &amp; Large Gamma 1 &amp; Gamma Field &amp; Call Wall &amp; Key Delta, 200.0, Implied Movement -2σ, 199.79, Put Wall &amp; Large Gamma 2, 195.0, Gamma Field CE &amp; Call Wall CE, 202.0, Gamma Flip &amp; Gamma Flip CE, 201.0, 20240703 070000</t>
  </si>
  <si>
    <t xml:space="preserve">IWM: Large Gamma 2, 195.0, Implied Movement -σ, 199.69, Call Dominate , 208.0, Gamma Flip &amp; Gamma Flip CE, 201.0, Call Wall CE, 204.0, Gamma Field CE, 202.0, Implied Movement -2σ, 198.1, Implied Movement +2σ, 204.44, Put Wall CE &amp; Put Wall &amp; Large Gamma 1 &amp; Gamma Field &amp; Call Wall &amp; Key Delta, 200.0, Implied Movement +σ, 202.85, Put Dominate , 190.0, 20240705 070000</t>
  </si>
  <si>
    <t xml:space="preserve">IWM: Implied Movement +σ, 203.07, Put Dominate , 190.0, Put Wall &amp; Large Gamma 2, 195.0, Implied Movement -σ, 200.11, Put Wall CE &amp; Gamma Flip CE, 199.0, Large Gamma 1 &amp; Gamma Field &amp; Gamma Flip &amp; Call Wall &amp; Key Delta, 200.0, Gamma Field CE &amp; Call Wall CE, 201.0, Call Dominate , 208.0, Implied Movement +2σ, 203.68, Implied Movement -2σ, 199.5, 20240708 070000</t>
  </si>
  <si>
    <t xml:space="preserve">IWM: Implied Movement +σ, 203.95, Implied Movement +2σ, 204.64, Put Dominate , 195.0, Put Wall &amp; Large Gamma 1 &amp; Gamma Field &amp; Call Wall &amp; Key Delta, 200.0, Implied Movement -2σ, 199.92, Large Gamma 2, 205.0, Implied Movement -σ, 200.61, Gamma Field CE &amp; Call Wall CE, 203.0, Call Dominate , 208.0, Put Wall CE &amp; Gamma Flip &amp; Gamma Flip CE, 201.0, 20240709 070000</t>
  </si>
  <si>
    <t xml:space="preserve">IWM: Implied Movement -σ, 200.34, Implied Movement +2σ, 204.54, Implied Movement +σ, 203.82, Put Dominate , 190.0, Call Wall CE, 202.0, Call Dominate , 208.0, Implied Movement -2σ, 199.62, Large Gamma 2, 195.0, Gamma Flip, 201.0, Put Wall CE &amp; Put Wall &amp; Large Gamma 1 &amp; Gamma Field &amp; Gamma Field CE &amp; Gamma Flip CE &amp; Call Wall &amp; Key Delta, 200.0, 20240710 070000</t>
  </si>
  <si>
    <t xml:space="preserve">IWM: Large Gamma 2 &amp; Gamma Field &amp; Gamma Field CE &amp; Call Wall &amp; Call Wall CE, 205.0, Put Wall CE &amp; Put Wall &amp; Large Gamma 1 &amp; Key Delta, 200.0, Implied Movement -σ, 201.33, Implied Movement -2σ, 200.6, Call Dominate , 208.0, Put Dominate , 190.0, Gamma Flip &amp; Gamma Flip CE, 201.0, Implied Movement +2σ, 205.72, Implied Movement +σ, 204.99, 20240711 070000</t>
  </si>
  <si>
    <t xml:space="preserve">IWM: Call Wall, 215.0, Gamma Flip &amp; Gamma Flip CE, 202.0, Call Dominate , 217.0, Put Wall, 200.0, Implied Movement +σ, 214.82, Large Gamma 1 &amp; Large Gamma 2 &amp; Gamma Field &amp; Gamma Field CE &amp; Call Wall CE &amp; Key Delta, 210.0, Implied Movement -σ, 210.48, Implied Movement +2σ, 216.94, Put Dominate , 198.0, Put Wall CE, 199.0, Implied Movement -2σ, 208.36, 20240712 070000</t>
  </si>
  <si>
    <t xml:space="preserve">IWM: Implied Movement -2σ, 212.84, Large Gamma 1 &amp; Gamma Field &amp; Gamma Field CE &amp; Call Wall &amp; Call Wall CE, 215.0, Put Wall, 200.0, Implied Movement +2σ, 217.6, Put Wall CE &amp; Gamma Flip CE, 211.0, Implied Movement +σ, 216.9, Large Gamma 2 &amp; Key Delta, 210.0, Implied Movement -σ, 213.54, Gamma Flip, 204.0, Call Dominate , 217.0, Put Dominate , 20240715 070000</t>
  </si>
  <si>
    <t xml:space="preserve">IWM: Implied Movement +2σ, 222.54, Put Wall &amp; Key Delta, 210.0, Gamma Flip, 206.0, Put Wall CE, 214.0, Implied Movement +σ, 221.59, Implied Movement -2σ, 216.04, Large Gamma 2, 220.0, Put Dominate , 198.0, Call Wall CE, 218.0, Large Gamma 1 &amp; Gamma Field &amp; Gamma Flip CE &amp; Call Wall, 215.0, Implied Movement -σ, 216.99, Gamma Field CE, 217.0, Call Dominate , 222.0, 20240716 070000</t>
  </si>
  <si>
    <t xml:space="preserve">IWM: Put Wall &amp; Large Gamma 2 &amp; Key Delta, 210.0, Implied Movement -2σ, 220.49, Implied Movement -σ, 221.63, Large Gamma 1 &amp; Gamma Field &amp; Call Wall, 220.0, Implied Movement +2σ, 228.29, Call Dominate , 230.0, Call Wall CE, 224.0, Gamma Flip, 207.5, Implied Movement +σ, 227.15, Put Dominate , 198.0, Gamma Field CE, 223.0, Put Wall CE &amp; Gamma Flip CE, 222.0, 20240717 070000</t>
  </si>
  <si>
    <t xml:space="preserve">IWM: Implied Movement +σ, 224.62, Gamma Flip, 213.0, Gamma Field CE, 223.0, Implied Movement +2σ, 225.71, Gamma Flip CE, 221.0, Put Dominate , 198.0, Put Wall CE &amp; Put Wall &amp; Large Gamma 1 &amp; Gamma Field &amp; Call Wall, 220.0, Large Gamma 2 &amp; Key Delta, 210.0, Call Dominate , 230.0, Implied Movement -σ, 219.38, Call Wall CE, 225.0, Implied Movement -2σ, 218.29, 20240718 070000</t>
  </si>
  <si>
    <t xml:space="preserve">IWM: Large Gamma 1 &amp; Gamma Field &amp; Gamma Field CE &amp; Call Wall &amp; Call Wall CE, 215.0, Implied Movement -σ, 215.63, Implied Movement -2σ, 213.15, Large Gamma 2, 220.0, Implied Movement +2σ, 223.07, Gamma Flip CE, 202.0, Key Delta, 200.0, Put Dominate , 206.0, Put Wall CE &amp; Put Wall &amp; Gamma Flip, 216.0, Call Dominate , 222.0, Implied Movement +σ, 220.59, 20240719 070000</t>
  </si>
  <si>
    <t xml:space="preserve">IWM: Implied Movement -2σ, 214.28, Call Wall, 225.0, Call Dominate , 228.0, Implied Movement +σ, 219.74, Put Wall &amp; Large Gamma 2, 200.0, Gamma Field, 215.0, Gamma Flip, 219.0, Implied Movement -σ, 215.22, Implied Movement +2σ, 220.68, Call Wall CE, 220.0, Gamma Field CE &amp; Gamma Flip CE, 218.0, Put Dominate , 213.0, Put Wall CE, 214.0, Large Gamma 1 &amp; Key Delta, 210.0, 20240722 070000</t>
  </si>
  <si>
    <t xml:space="preserve">IWM: Gamma Field &amp; Call Wall CE, 220.0, Call Wall, 225.0, Implied Movement -σ, 218.51, Implied Movement +σ, 223.43, Put Wall CE &amp; Gamma Flip &amp; Gamma Flip CE, 219.0, Implied Movement +2σ, 224.45, Implied Movement -2σ, 217.49, Call Dominate , 233.0, Put Dominate , 203.0, Large Gamma 2 &amp; Gamma Field CE, 222.0, Put Wall &amp; Large Gamma 1 &amp; Key Delta, 210.0, 20240723 070000</t>
  </si>
  <si>
    <t xml:space="preserve">IWM: Implied Movement -σ, 219.11, Large Gamma 2 &amp; Gamma Field &amp; Call Wall &amp; Call Wall CE, 225.0, Gamma Flip, 219.0, Implied Movement +σ, 224.29, Call Dominate , 230.0, Implied Movement -2σ, 218.04, Put Wall CE &amp; Gamma Field CE &amp; Gamma Flip CE, 220.0, Put Wall, 215.0, Large Gamma 1 &amp; Key Delta, 210.0, Put Dominate , 203.0, Implied Movement +2σ, 225.36, 20240724 070000</t>
  </si>
  <si>
    <t xml:space="preserve">IWM: Implied Movement +2σ, 222.08, Put Wall CE &amp; Gamma Flip CE, 218.0, Implied Movement +σ, 220.91, Gamma Field CE &amp; Gamma Flip &amp; Call Wall CE, 219.0, Large Gamma 2, 200.0, Call Wall, 225.0, Put Dominate , 208.0, Call Dominate , 228.0, Implied Movement -σ, 215.51, Put Wall &amp; Large Gamma 1 &amp; Gamma Field &amp; Key Delta, 210.0, Implied Movement -2σ, 214.34, 20240725 070000</t>
  </si>
  <si>
    <t xml:space="preserve">IWM: Implied Movement -2σ, 217.35, Implied Movement +2σ, 230.29, Implied Movement -σ, 220.59, Call Dominate , 228.0, Put Wall CE &amp; Gamma Flip &amp; Gamma Flip CE, 219.0, Large Gamma 2, 200.0, Implied Movement +σ, 227.05, Gamma Field CE, 220.0, Put Dominate , 208.0, Put Wall &amp; Large Gamma 1 &amp; Key Delta, 210.0, Gamma Field &amp; Call Wall &amp; Call Wall CE, 225.0, 20240726 070000</t>
  </si>
  <si>
    <t xml:space="preserve">IWM: Gamma Flip, 219.0, Large Gamma 2 &amp; Gamma Field &amp; Call Wall CE, 225.0, Implied Movement +σ, 228.28, Implied Movement -σ, 223.06, Put Dominate , 208.0, Call Wall, 230.0, Gamma Field CE, 223.0, Put Wall &amp; Large Gamma 1 &amp; Key Delta, 210.0, Call Dominate , 232.0, Implied Movement -2σ, 221.98, Put Wall CE, 221.0, Gamma Flip CE, 222.0, Implied Movement +2σ, 229.36, 20240729 070000</t>
  </si>
  <si>
    <t xml:space="preserve">IWM: Implied Movement +σ, 225.6, Call Dominate , 228.0, Gamma Field CE, 222.0, Put Wall &amp; Large Gamma 1 &amp; Key Delta, 210.0, Put Wall CE, 220.0, Implied Movement +2σ, 226.89, Implied Movement -σ, 219.4, Gamma Flip, 219.0, Put Dominate , 215.0, Call Wall, 230.0, Large Gamma 2, 211.0, Gamma Flip CE, 221.0, Implied Movement -2σ, 218.11, Gamma Field &amp; Call Wall CE, 225.0, 20240730 070000</t>
  </si>
  <si>
    <t xml:space="preserve">IWM: Implied Movement -σ, 220.96, Implied Movement +2σ, 228.75, Call Wall, 225.0, Call Wall CE, 226.0, Implied Movement +σ, 227.42, Gamma Flip, 221.0, Large Gamma 2 &amp; Put Dominate , 215.0, Gamma Flip CE, 222.0, Implied Movement -2σ, 219.63, Put Wall &amp; Large Gamma 1 &amp; Key Delta, 210.0, Call Dominate , 232.0, Put Wall CE &amp; Gamma Field &amp; Gamma Field CE, 220.0, 20240731 070000</t>
  </si>
  <si>
    <t xml:space="preserve">IWM: Large Gamma 2 &amp; Gamma Field &amp; Call Wall, 225.0, Put Dominate , 215.0, Gamma Field CE &amp; Call Wall CE, 224.0, Call Dominate , 232.0, Implied Movement -σ, 220.48, Gamma Flip, 221.0, Implied Movement +σ, 226.04, Gamma Flip CE, 223.0, Implied Movement +2σ, 227.19, Put Wall CE, 220.0, Implied Movement -2σ, 219.33, Put Wall &amp; Large Gamma 1 &amp; Key Delta, 210.0, 20240801 070000</t>
  </si>
  <si>
    <t xml:space="preserve">IWM: Gamma Field CE, 215.0, Put Wall CE &amp; Gamma Flip &amp; Gamma Flip CE, 218.0, Implied Movement +2σ, 218.59, Put Dominate , 208.0, Implied Movement -σ, 209.2, Implied Movement +σ, 215.46, Put Wall &amp; Large Gamma 1 &amp; Gamma Field &amp; Call Wall &amp; Key Delta, 210.0, Call Wall CE, 225.0, Implied Movement -2σ, 206.07, Large Gamma 2, 200.0, Call Dominate , 232.0, 20240802 070000</t>
  </si>
  <si>
    <t xml:space="preserve">IWM: Gamma Field CE, 211.0, Implied Movement +σ, 201.79, Put Wall &amp; Large Gamma 1 &amp; Call Wall, 200.0, Implied Movement +2σ, 202.94, Put Dominate , 198.0, Implied Movement -2σ, 195.06, Large Gamma 2 &amp; Gamma Field &amp; Key Delta, 210.0, Implied Movement -σ, 196.21, Put Wall CE, 207.0, Gamma Flip CE, 209.0, Call Dominate , 222.0, Call Wall CE, 212.0, Gamma Flip, 216.0, 20240805 070000</t>
  </si>
  <si>
    <t xml:space="preserve">IWM: Implied Movement -2σ, 197.09, Call Dominate , 232.0, Gamma Field CE &amp; Call Wall CE, 203.0, Implied Movement +σ, 207.43, Gamma Flip, 216.0, Implied Movement +2σ, 209.21, Put Dominate , 198.0, Gamma Flip CE, 201.0, Implied Movement -σ, 198.87, Large Gamma 2 &amp; Key Delta, 210.0, Put Wall CE &amp; Put Wall &amp; Large Gamma 1 &amp; Gamma Field &amp; Call Wall, 200.0, 20240806 070000</t>
  </si>
  <si>
    <t xml:space="preserve">IWM: Gamma Flip, 216.0, Put Wall CE, 201.0, Call Wall CE, 208.0, Implied Movement -2σ, 203.29, Put Wall &amp; Large Gamma 1 &amp; Gamma Field &amp; Call Wall, 200.0, Gamma Flip CE, 204.0, Call Dominate , 232.0, Put Dominate , 198.0, Implied Movement -σ, 204.68, Implied Movement +2σ, 212.77, Implied Movement +σ, 211.38, Gamma Field CE, 207.0, Large Gamma 2 &amp; Key Delta, 210.0, 20240807 070000</t>
  </si>
  <si>
    <t xml:space="preserve">IWM: Implied Movement +σ, 204.54, Gamma Flip, 216.0, Large Gamma 2 &amp; Key Delta, 210.0, Call Wall CE, 206.0, Implied Movement +2σ, 205.84, Put Wall CE &amp; Put Wall &amp; Large Gamma 1 &amp; Gamma Field &amp; Gamma Field CE &amp; Call Wall, 200.0, Put Dominate , 198.0, Implied Movement -σ, 198.26, Call Dominate , 222.0, Implied Movement -2σ, 196.96, Gamma Flip CE, 202.0, 20240808 070000</t>
  </si>
  <si>
    <t xml:space="preserve">IWM: Gamma Flip, 216.0, Implied Movement -2σ, 201.3, Implied Movement +2σ, 213.5, Put Wall &amp; Large Gamma 1 &amp; Gamma Field &amp; Call Wall &amp; Call Wall CE &amp; Key Delta, 210.0, Put Wall CE &amp; Gamma Field CE &amp; Gamma Flip CE, 209.0, Implied Movement +σ, 210.45, Implied Movement -σ, 204.35, Call Dominate , 228.0, Large Gamma 2, 200.0, Put Dominate , 198.0, 20240809 070000</t>
  </si>
  <si>
    <t xml:space="preserve">IWM: Large Gamma 2 &amp; Call Wall CE &amp; Key Delta, 210.0, Implied Movement +2σ, 208.94, Gamma Flip, 216.0, Put Wall &amp; Large Gamma 1 &amp; Gamma Field &amp; Call Wall, 200.0, Implied Movement +σ, 207.67, Implied Movement -2σ, 200.26, Call Dominate , 228.0, Implied Movement -σ, 201.53, Put Dominate , 198.0, Put Wall CE &amp; Gamma Field CE &amp; Gamma Flip CE, 206.0, 20240812 070000</t>
  </si>
  <si>
    <t xml:space="preserve">IWM: Implied Movement -2σ, 199.71, Put Wall CE, 201.0, Implied Movement +2σ, 208.13, Put Dominate , 198.0, Call Dominate , 228.0, Put Wall &amp; Large Gamma 1, 200.0, Gamma Field CE &amp; Gamma Flip CE, 205.0, Implied Movement -σ, 200.95, Call Wall CE, 207.0, Implied Movement +σ, 206.89, Gamma Flip, 216.0, Large Gamma 2 &amp; Gamma Field &amp; Call Wall &amp; Key Delta, 210.0, 20240813 070000</t>
  </si>
  <si>
    <t xml:space="preserve">IWM: Implied Movement +2σ, 212.65, Put Dominate , 198.0, Put Wall CE &amp; Gamma Flip CE, 206.0, Gamma Flip, 213.0, Put Wall &amp; Large Gamma 1 &amp; Gamma Field &amp; Gamma Field CE &amp; Call Wall &amp; Call Wall CE &amp; Key Delta, 210.0, Implied Movement -2σ, 204.33, Call Dominate , 222.0, Implied Movement -σ, 205.55, Large Gamma 2, 200.0, Implied Movement +σ, 211.43, 20240814 070000</t>
  </si>
  <si>
    <t xml:space="preserve">IWM: Put Wall &amp; Large Gamma 1 &amp; Gamma Field &amp; Call Wall &amp; Key Delta, 210.0, Gamma Flip CE, 205.0, Large Gamma 2 &amp; Call Wall CE, 208.0, Implied Movement +σ, 208.47, Implied Movement -σ, 203.57, Implied Movement +2σ, 209.48, Put Wall CE &amp; Put Dominate , 204.0, Gamma Flip, 216.0, Implied Movement -2σ, 202.56, Gamma Field CE, 207.0, Call Dominate , 222.0, 20240815 070000</t>
  </si>
  <si>
    <t xml:space="preserve">IWM: Implied Movement +σ, 214.87, Implied Movement +2σ, 217.23, Large Gamma 2, 211.0, Gamma Flip &amp; Gamma Flip CE, 213.0, Put Wall CE &amp; Put Wall &amp; Large Gamma 1 &amp; Gamma Field &amp; Gamma Field CE &amp; Call Wall &amp; Key Delta, 210.0, Implied Movement -σ, 210.13, Call Dominate , 222.0, Put Dominate , 206.0, Implied Movement -2σ, 207.77, Call Wall CE, 214.0, 20240816 070000</t>
  </si>
  <si>
    <t xml:space="preserve">IWM: Large Gamma 2, 200.0, Implied Movement +2σ, 215.45, Put Wall &amp; Large Gamma 1 &amp; Gamma Field &amp; Gamma Flip &amp; Gamma Flip CE &amp; Key Delta, 210.0, Implied Movement -2σ, 209.51, Call Dominate , 225.0, Implied Movement +σ, 214.58, Gamma Field CE &amp; Call Wall CE, 213.0, Put Wall CE, 209.0, Call Wall, 220.0, Put Dominate , 205.0, Implied Movement -σ, 210.38, 20240819 070000</t>
  </si>
  <si>
    <t xml:space="preserve">IWM: Gamma Flip &amp; Gamma Flip CE, 213.0, Call Wall, 220.0, Put Wall CE, 212.0, Implied Movement -σ, 213.07, Large Gamma 1 &amp; Gamma Field &amp; Key Delta, 210.0, Implied Movement +2σ, 218.21, Implied Movement -2σ, 212.19, Put Wall &amp; Large Gamma 2, 205.0, Put Dominate , 203.0, Implied Movement +σ, 217.33, Gamma Field CE &amp; Call Wall CE, 215.0, Call Dominate , 225.0, 20240820 070000</t>
  </si>
  <si>
    <t xml:space="preserve">IWM: Call Wall CE, 215.0, Put Dominate , 205.0, Put Wall CE &amp; Put Wall &amp; Large Gamma 1 &amp; Gamma Field &amp; Gamma Field CE &amp; Key Delta, 210.0, Implied Movement +σ, 216.15, Large Gamma 2, 200.0, Implied Movement +2σ, 217.1, Gamma Flip CE, 211.0, Call Wall, 220.0, Implied Movement -2σ, 210.6, Implied Movement -σ, 211.55, Call Dominate , 225.0, Gamma Flip, 212.0, 20240821 070000</t>
  </si>
  <si>
    <t xml:space="preserve">IWM: Gamma Field &amp; Call Wall, 220.0, Implied Movement -2σ, 212.01, Call Wall CE, 217.0, Implied Movement -σ, 212.98, Put Wall &amp; Large Gamma 2, 205.0, Implied Movement +2σ, 218.61, Gamma Flip &amp; Gamma Flip CE, 213.0, Implied Movement +σ, 217.64, Large Gamma 1 &amp; Key Delta, 210.0, Put Wall CE &amp; Gamma Field CE, 212.0, Put Dominate , 203.0, Call Dominate , 225.0, 20240822 070000</t>
  </si>
  <si>
    <t xml:space="preserve">IWM: Large Gamma 2, 205.0, Call Dominate , 225.0, Gamma Field CE &amp; Gamma Flip, 213.0, Implied Movement -σ, 212.43, Put Dominate , 200.0, Implied Movement +2σ, 220.29, Call Wall CE, 215.0, Implied Movement +σ, 217.67, Put Wall CE &amp; Gamma Flip CE, 212.0, Put Wall &amp; Large Gamma 1 &amp; Gamma Field &amp; Key Delta, 210.0, Implied Movement -2σ, 209.81, Call Wall, 220.0, 20240823 070000</t>
  </si>
  <si>
    <t xml:space="preserve">IWM: Implied Movement -σ, 220.3, Large Gamma 2 &amp; Gamma Field &amp; Gamma Field CE &amp; Call Wall &amp; Call Wall CE &amp; Key Delta, 220.0, Put Wall CE &amp; Gamma Flip CE, 218.0, Put Dominate , 208.0, Implied Movement -2σ, 219.48, Implied Movement +σ, 224.26, Call Dominate , 227.0, Gamma Flip, 216.0, Put Wall &amp; Large Gamma 1, 210.0, Implied Movement +2σ, 225.08, 20240826 070000</t>
  </si>
  <si>
    <t xml:space="preserve">IWM: Put Wall &amp; Large Gamma 1, 210.0, Put Wall CE, 218.0, Implied Movement +2σ, 223.93, Large Gamma 2 &amp; Gamma Field &amp; Gamma Flip CE &amp; Call Wall &amp; Key Delta, 220.0, Implied Movement +σ, 222.96, Put Dominate , 208.0, Implied Movement -σ, 218.26, Call Dominate , 228.0, Gamma Field CE &amp; Call Wall CE, 221.0, Implied Movement -2σ, 217.29, Gamma Flip, 216.0, 20240827 070000</t>
  </si>
  <si>
    <t xml:space="preserve">IWM: Call Dominate , 228.0, Put Dominate , 208.0, Implied Movement +σ, 220.03, Put Wall CE &amp; Gamma Field CE, 217.0, Put Wall &amp; Large Gamma 1 &amp; Key Delta, 210.0, Gamma Flip CE, 218.0, Implied Movement -σ, 214.82, Large Gamma 2 &amp; Gamma Field &amp; Call Wall, 220.0, Implied Movement +2σ, 221.11, Call Wall CE, 219.0, Implied Movement -2σ, 213.74, Gamma Flip, 217.5, 20240828 070000</t>
  </si>
  <si>
    <t xml:space="preserve">IWM: Implied Movement -σ, 216.5, Implied Movement -2σ, 215.56, Call Dominate , 228.0, Put Wall CE, 215.0, Gamma Field CE &amp; Gamma Flip, 217.0, Implied Movement +σ, 221.02, Call Wall CE, 219.0, Put Wall &amp; Large Gamma 1 &amp; Key Delta, 210.0, Gamma Flip CE, 216.0, Put Dominate , 208.0, Implied Movement +2σ, 221.96, Large Gamma 2 &amp; Gamma Field &amp; Call Wall, 220.0, 20240829 070000</t>
  </si>
  <si>
    <t xml:space="preserve">IWM: Implied Movement -σ, 217.52, Put Dominate , 208.0, Implied Movement +2σ, 225.32, Implied Movement -2σ, 214.54, Gamma Flip &amp; Gamma Flip CE, 217.0, Put Wall &amp; Large Gamma 2, 210.0, Put Wall CE, 216.0, Call Dominate , 222.0, Large Gamma 1 &amp; Gamma Field &amp; Gamma Field CE &amp; Call Wall &amp; Call Wall CE &amp; Key Delta, 220.0, Implied Movement +σ, 222.34, 20240830 070000</t>
  </si>
  <si>
    <t xml:space="preserve">IWM: Call Dominate , 228.0, Gamma Flip, 219.0, Large Gamma 1 &amp; Gamma Field &amp; Call Wall &amp; Key Delta, 220.0, Implied Movement -2σ, 215.13, Put Wall CE &amp; Gamma Flip CE, 218.0, Implied Movement +2σ, 220.75, Gamma Field CE &amp; Call Wall CE, 222.0, Put Dominate , 208.0, Implied Movement +σ, 219.93, Put Wall &amp; Large Gamma 2, 210.0, Implied Movement -σ, 215.95, 20240903 070000</t>
  </si>
  <si>
    <t xml:space="preserve">IWM: Implied Movement -σ, 209.73, Put Wall &amp; Large Gamma 1 &amp; Gamma Field &amp; Key Delta, 210.0, Implied Movement +2σ, 216.35, Large Gamma 2 &amp; Call Wall, 220.0, Call Dominate , 228.0, Implied Movement +σ, 215.21, Put Dominate , 208.0, Call Wall CE, 218.0, Put Wall CE &amp; Gamma Field CE &amp; Gamma Flip CE, 217.0, Implied Movement -2σ, 208.59, Gamma Flip, 217.5, 20240904 070000</t>
  </si>
  <si>
    <t xml:space="preserve">IWM: Call Dominate , 222.0, Put Wall CE &amp; Put Wall &amp; Large Gamma 1 &amp; Gamma Field &amp; Key Delta, 210.0, Large Gamma 2 &amp; Call Wall, 220.0, Implied Movement +2σ, 216.7, Implied Movement +σ, 215.58, Put Dominate , 208.0, Gamma Flip, 216.0, Implied Movement -2σ, 209.1, Gamma Field CE &amp; Gamma Flip CE, 214.0, Call Wall CE, 215.0, Implied Movement -σ, 210.22, 20240905 070000</t>
  </si>
  <si>
    <t xml:space="preserve">IWM: Implied Movement +2σ, 216.81, Implied Movement -σ, 207.6, Implied Movement +σ, 213.74, Put Dominate , 208.0, Gamma Field CE, 215.0, Implied Movement -2σ, 204.53, Gamma Flip, 213.0, Call Dominate , 222.0, Put Wall &amp; Large Gamma 1 &amp; Gamma Field &amp; Key Delta, 210.0, Large Gamma 2 &amp; Call Wall &amp; Call Wall CE, 220.0, Gamma Flip CE, 212.0, Put Wall CE, 207.0, 20240906 070000</t>
  </si>
  <si>
    <t xml:space="preserve">IWM: Implied Movement +σ, 210.95, Gamma Flip, 216.0, Put Wall CE, 205.0, Implied Movement +2σ, 212.03, Call Wall CE, 213.0, Implied Movement -σ, 205.75, Implied Movement -2σ, 204.67, Large Gamma 2 &amp; Put Dominate , 200.0, Gamma Flip CE, 211.0, Put Wall &amp; Large Gamma 1 &amp; Gamma Field &amp; Gamma Field CE &amp; Call Wall &amp; Key Delta, 210.0, 20240909 070000</t>
  </si>
  <si>
    <t xml:space="preserve">IWM: Gamma Flip, 213.0, Implied Movement -2σ, 204.31, Gamma Field CE, 209.0, Call Dominate , 228.0, Large Gamma 2, 200.0, Put Wall CE, 207.0, Call Wall CE, 212.0, Implied Movement -σ, 205.4, Gamma Flip CE, 208.0, Put Wall &amp; Put Dominate , 203.0, Large Gamma 1 &amp; Gamma Field &amp; Call Wall &amp; Key Delta, 210.0, Implied Movement +2σ, 211.71, Implied Movement +σ, 210.62, 20240910 070000</t>
  </si>
  <si>
    <t xml:space="preserve">IWM: Large Gamma 1 &amp; Gamma Field &amp; Gamma Field CE &amp; Call Wall &amp; Call Wall CE &amp; Key Delta, 210.0, Gamma Flip, 213.0, Large Gamma 2, 200.0, Implied Movement +σ, 210.4, Implied Movement -σ, 204.8, Put Wall &amp; Put Dominate , 203.0, Call Dominate , 222.0, Put Wall CE, 206.0, Gamma Flip CE, 207.0, Implied Movement +2σ, 211.57, Implied Movement -2σ, 203.63, 20240911 070000</t>
  </si>
  <si>
    <t xml:space="preserve">IWM: Implied Movement +2σ, 213.47, Gamma Flip, 213.0, Gamma Field CE &amp; Call Wall CE, 209.0, Put Wall &amp; Large Gamma 1 &amp; Gamma Field &amp; Call Wall &amp; Key Delta, 210.0, Put Wall CE &amp; Large Gamma 2, 205.0, Put Dominate , 203.0, Implied Movement -2σ, 207.07, Implied Movement +σ, 212.53, Call Dominate , 222.0, Gamma Flip CE, 207.0, Implied Movement -σ, 208.01, 20240912 070000</t>
  </si>
  <si>
    <t xml:space="preserve">IWM: Implied Movement -2σ, 208.87, Call Wall CE, 215.0, Put Wall CE &amp; Gamma Flip CE, 209.0, Implied Movement -σ, 211.18, Implied Movement +σ, 216.1, Put Dominate , 203.0, Call Dominate , 222.0, Put Wall &amp; Large Gamma 1 &amp; Gamma Field &amp; Gamma Field CE &amp; Call Wall &amp; Key Delta, 210.0, Large Gamma 2, 205.0, Gamma Flip, 213.0, Implied Movement +2σ, 218.41,  20240913 070000</t>
  </si>
  <si>
    <t xml:space="preserve">IWM: Large Gamma 1 &amp; Gamma Field &amp; Call Wall, 220.0, Gamma Flip, 213.0, Implied Movement -2σ, 213.71, Gamma Field CE &amp; Call Wall CE, 216.0, Put Wall &amp; Large Gamma 2 &amp; Key Delta, 210.0, Implied Movement +2σ, 221.29, Implied Movement -σ, 214.82, Implied Movement +σ, 220.18, Call Dominate , 222.0, Put Wall CE &amp; Gamma Flip CE, 215.0, Put Dominate , 203.0,  20240916 085107</t>
  </si>
  <si>
    <t xml:space="preserve">IWM: Implied Movement +2σ, 222.22, Implied Movement -2σ, 213.92, Implied Movement +σ, 221.01, Implied Movement -σ, 215.13, Put Wall &amp; Large Gamma 2 &amp; Key Delta, 210.0, Large Gamma 1 &amp; Gamma Field &amp; Call Wall, 220.0, Put Dominate , 203.0, Call Dominate , 222.0, Put Wall CE &amp; Gamma Flip &amp; Gamma Flip CE, 213.0, Gamma Field CE &amp; Call Wall CE, 215.0,  20240917 072521</t>
  </si>
  <si>
    <t xml:space="preserve">IWM: Implied Movement -σ, 216.34, Put Dominate , 205.0, Put Wall &amp; Large Gamma 2 &amp; Key Delta, 210.0, Gamma Field CE &amp; Gamma Flip, 216.0, Call Dominate , 228.0, Gamma Flip CE, 218.0, Implied Movement +σ, 222.74, Put Wall CE, 212.0, Implied Movement -2σ, 215.02, Implied Movement +2σ, 224.06, Large Gamma 1 &amp; Gamma Field &amp; Call Wall &amp; Call Wall CE, 220.0,  20240918 075047</t>
  </si>
  <si>
    <t xml:space="preserve">IWM: Put Wall &amp; Large Gamma 1 &amp; Gamma Field &amp; Gamma Field CE &amp; Call Wall &amp; Call Wall CE &amp; Key Delta, 220.0, Call Dominate , 228.0, Implied Movement -σ, 223.31, Large Gamma 2, 215.0, Implied Movement +σ, 228.99, Put Wall CE, 214.0, Implied Movement -2σ, 222.13, Gamma Flip &amp; Gamma Flip CE, 218.0, Put Dominate , 205.0, Implied Movement +2σ, 230.17,  20240919 070418</t>
  </si>
  <si>
    <t xml:space="preserve">IWM: Large Gamma 2 &amp; Call Wall &amp; Call Wall CE, 225.0, Put Wall &amp; Large Gamma 1 &amp; Gamma Field &amp; Gamma Field CE &amp; Key Delta, 220.0, Implied Movement -2σ, 218.47, Put Dominate , 208.0, Call Dominate , 228.0, Implied Movement -σ, 220.95, Implied Movement +2σ, 228.37, Put Wall CE, 216.0, Implied Movement +σ, 225.89, Gamma Flip &amp; Gamma Flip CE, 218.0,  20240920 074442</t>
  </si>
  <si>
    <t xml:space="preserve">IWM: Implied Movement -2σ, 219.71, Put Dominate , 208.0, Large Gamma 1 &amp; Gamma Field &amp; Gamma Field CE &amp; Call Wall &amp; Key Delta, 220.0, Implied Movement -σ, 220.55, Gamma Flip, 219.0, Implied Movement +2σ, 225.41, Put Wall CE, 218.0, Call Dominate , 228.0, Call Wall CE, 225.0, Put Wall &amp; Large Gamma 2, 210.0, Implied Movement +σ, 224.57, Gamma Flip CE, 221.0,  20240923 075943</t>
  </si>
  <si>
    <t xml:space="preserve">IWM: Large Gamma 1 &amp; Gamma Field &amp; Gamma Flip CE &amp; Call Wall &amp; Key Delta, 220.0, Implied Movement +σ, 223.64, Put Wall CE &amp; Gamma Flip, 219.0, Implied Movement +2σ, 224.54, Put Wall &amp; Large Gamma 2, 210.0, Gamma Field CE &amp; Call Wall CE, 221.0, Call Dominate , 228.0, Put Dominate , 208.0, Implied Movement -2σ, 218.44, Implied Movement -σ, 219.34,  20240924 073632</t>
  </si>
  <si>
    <t xml:space="preserve">IWM: Gamma Field CE, 222.0, Large Gamma 2, 215.0, Implied Movement +σ, 222.66, Call Wall CE, 223.0, Put Wall CE &amp; Put Wall &amp; Large Gamma 1 &amp; Gamma Field &amp; Gamma Flip CE &amp; Call Wall &amp; Key Delta, 220.0, Implied Movement -2σ, 217.63, Implied Movement -σ, 218.5, Implied Movement +2σ, 223.53, Put Dominate , 208.0, Gamma Flip, 219.0, Call Dominate , 228.0,  20240925 072211</t>
  </si>
  <si>
    <t xml:space="preserve">IWM: Implied Movement +σ, 221.88, Put Dominate , 208.0, Gamma Flip, 218.0, Put Wall &amp; Large Gamma 2, 210.0, Implied Movement -2σ, 216.83, Large Gamma 1 &amp; Gamma Field &amp; Call Wall &amp; Call Wall CE &amp; Key Delta, 220.0, Implied Movement +2σ, 222.75, Gamma Field CE, 217.0, Implied Movement -σ, 217.7, Call Dominate , 228.0, Put Wall CE &amp; Gamma Flip CE, 216.0,  20240926 075227</t>
  </si>
  <si>
    <t xml:space="preserve">IWM: Implied Movement +2σ, 224.13, Implied Movement -2σ, 214.71, Put Wall, 210.0, Gamma Flip &amp; Gamma Flip CE, 219.0, Large Gamma 1 &amp; Large Gamma 2 &amp; Gamma Field &amp; Gamma Field CE &amp; Call Wall &amp; Key Delta, 220.0, Put Wall CE, 217.0, Implied Movement -σ, 217.07, Implied Movement +σ, 221.77, Put Dominate , 208.0, Call Dominate , 228.0, Call Wall CE, 221.0,  20240927 073904</t>
  </si>
  <si>
    <t xml:space="preserve">IWM: Put Wall CE, 217.0, Implied Movement +σ, 221.35, Implied Movement +2σ, 222.3, Put Wall, 210.0, Implied Movement -σ, 216.73, Put Dominate , 208.0, Implied Movement -2σ, 215.78, Call Dominate , 228.0, Large Gamma 1 &amp; Large Gamma 2 &amp; Gamma Field &amp; Gamma Field CE &amp; Call Wall &amp; Key Delta, 220.0, Call Wall CE, 222.0, Gamma Flip &amp; Gamma Flip CE, 219.0,  20240930 073052</t>
  </si>
  <si>
    <t xml:space="preserve">IWM: Implied Movement -σ, 218.33, Implied Movement -2σ, 217.28, Put Wall CE &amp; Gamma Flip &amp; Gamma Flip CE, 219.0, Large Gamma 2, 210.0, Call Dominate , 228.0, Put Dominate , 207.0, Put Wall &amp; Large Gamma 1 &amp; Gamma Field &amp; Call Wall &amp; Key Delta, 220.0, Implied Movement +2σ, 224.4, Implied Movement +σ, 223.35, Gamma Field CE &amp; Call Wall CE, 222.0,  20241001 073103</t>
  </si>
  <si>
    <t xml:space="preserve">IWM: Put Wall CE, 216.0, Implied Movement +σ, 220.48, Implied Movement -σ, 214.86, Gamma Field CE &amp; Gamma Flip &amp; Gamma Flip CE, 218.0, Call Dominate , 228.0, Implied Movement -2σ, 213.69, Put Dominate , 208.0, Put Wall &amp; Large Gamma 2, 210.0, Call Wall CE, 219.0, Implied Movement +2σ, 221.65, Large Gamma 1 &amp; Gamma Field &amp; Call Wall &amp; Key Delta, 220.0,  20241002 124850</t>
  </si>
  <si>
    <t xml:space="preserve">IWM: Implied Movement +2σ &amp; Large Gamma 1 &amp; Gamma Field &amp; Call Wall &amp; Key Delta, 220.0, Gamma Flip, 218.0, Put Wall CE, 216.0, Put Wall &amp; Large Gamma 2, 210.0, Implied Movement +σ, 218.97, Implied Movement -2σ, 212.96, Implied Movement -σ, 213.99, Gamma Field CE &amp; Gamma Flip CE, 217.0, Call Wall CE, 219.0, Call Dominate , 228.0, Put Dominate , 208.0,  20241003 073049</t>
  </si>
  <si>
    <t xml:space="preserve">IWM: Implied Movement +σ, 219.95, Large Gamma 1 &amp; Gamma Field &amp; Call Wall, 220.0, Put Dominate , 208.0, Implied Movement -σ, 214.25, Call Wall CE, 216.0, Put Wall CE &amp; Gamma Flip &amp; Gamma Flip CE, 218.0, Implied Movement +2σ, 222.8, Gamma Field CE, 217.0, Put Wall &amp; Large Gamma 2 &amp; Key Delta, 210.0, Implied Movement -2σ, 211.4, Call Dominate , 228.0,  20241004 073049</t>
  </si>
  <si>
    <t xml:space="preserve">IWM: Put Dominate , 208.0, Call Dominate , 228.0, Implied Movement -2σ, 216.0, Put Wall CE, 217.0, Implied Movement +2σ, 222.3, Implied Movement -σ, 216.92, Large Gamma 2, 210.0, Gamma Field CE &amp; Gamma Flip &amp; Gamma Flip CE, 218.0, Implied Movement +σ, 221.38, Put Wall &amp; Large Gamma 1 &amp; Gamma Field &amp; Call Wall &amp; Call Wall CE &amp; Key Delta, 220.0,  20241007 073055</t>
  </si>
  <si>
    <t xml:space="preserve">IWM: Implied Movement -σ, 214.87, Implied Movement +σ, 219.99, Gamma Field CE &amp; Gamma Flip, 218.0, Put Wall &amp; Large Gamma 2 &amp; Key Delta, 210.0, Put Dominate , 208.0, Large Gamma 1 &amp; Gamma Field &amp; Call Wall, 220.0, Implied Movement -2σ, 213.81, Implied Movement +2σ, 221.05, Gamma Flip CE, 217.0, Put Wall CE, 214.0, Call Wall CE, 221.0, Call Dominate , 228.0,  20241008 073048</t>
  </si>
  <si>
    <t xml:space="preserve">IWM: Key Delta, 210.0, Call Dominate , 228.0, Implied Movement -σ, 215.19, Put Wall &amp; Large Gamma 1 &amp; Gamma Field &amp; Call Wall &amp; Call Wall CE, 220.0, Implied Movement +2σ, 220.96, Large Gamma 2, 215.0, Put Wall CE &amp; Gamma Field CE &amp; Gamma Flip &amp; Gamma Flip CE, 218.0, Implied Movement +σ, 219.97, Implied Movement -2σ, 214.2, Put Dominate , 208.0,  20241009 073059</t>
  </si>
  <si>
    <t xml:space="preserve">IWM: Gamma Flip &amp; Gamma Flip CE, 218.0, Call Wall CE, 222.0, Implied Movement -2σ, 214.77, Implied Movement +2σ, 221.35, Large Gamma 2, 215.0, Implied Movement +σ, 220.4, Call Dominate , 228.0, Put Dominate , 213.0, Put Wall CE &amp; Gamma Field CE, 217.0, Put Wall &amp; Large Gamma 1 &amp; Gamma Field &amp; Call Wall, 220.0, Implied Movement -σ, 215.72, Key Delta, 210.0,  20241010 073048</t>
  </si>
  <si>
    <t xml:space="preserve">IWM: Put Wall CE &amp; Large Gamma 2 &amp; Gamma Field &amp; Gamma Field CE, 215.0, Implied Movement -σ, 214.55, Implied Movement +σ, 219.15, Put Dominate , 213.0, Put Wall &amp; Large Gamma 1 &amp; Call Wall &amp; Call Wall CE &amp; Key Delta, 220.0, Implied Movement +2σ, 221.39, Gamma Flip &amp; Gamma Flip CE, 216.0, Call Dominate , 228.0, Implied Movement -2σ, 212.31,  20241011 073054</t>
  </si>
  <si>
    <t xml:space="preserve">IWM: Call Wall CE, 222.0, Implied Movement -2σ, 218.33, Call Dominate , 228.0, Put Wall &amp; Large Gamma 1 &amp; Gamma Field &amp; Gamma Flip CE &amp; Call Wall &amp; Key Delta, 220.0, Implied Movement +2σ, 224.19, Implied Movement -σ, 219.19, Gamma Flip, 219.0, Large Gamma 2, 225.0, Put Wall CE &amp; Gamma Field CE, 218.0, Put Dominate , 205.0, Implied Movement +σ, 223.33,  20241014 073051</t>
  </si>
  <si>
    <t xml:space="preserve">IWM: Large Gamma 2 &amp; Call Wall, 225.0, Call Wall CE, 224.0, Put Dominate , 205.0, Call Dominate , 228.0, Implied Movement +2σ, 226.01, Implied Movement -σ, 220.68, Implied Movement +σ, 225.1, Gamma Flip, 219.0, Implied Movement -2σ, 219.77, Gamma Field CE, 222.0, Put Wall CE &amp; Put Wall &amp; Large Gamma 1 &amp; Gamma Field &amp; Gamma Flip CE &amp; Key Delta, 220.0,  20241015 073111</t>
  </si>
  <si>
    <t xml:space="preserve">IWM: Gamma Field CE &amp; Call Wall CE, 224.0, Gamma Flip, 219.0, Call Dominate , 228.0, Implied Movement +2σ, 226.25, Implied Movement +σ, 225.32, Put Wall &amp; Large Gamma 1 &amp; Gamma Field &amp; Key Delta, 220.0, Implied Movement -2σ, 219.89, Put Dominate , 205.0, Implied Movement -σ, 220.82, Put Wall CE &amp; Gamma Flip CE, 222.0, Large Gamma 2 &amp; Call Wall, 225.0,  20241016 073105</t>
  </si>
  <si>
    <t xml:space="preserve">IWM: Call Wall CE, 228.0, Implied Movement +σ, 229.06, Implied Movement +2σ, 230.02, Put Dominate , 207.0, Key Delta, 220.0, Put Wall CE &amp; Put Wall &amp; Large Gamma 1 &amp; Gamma Field CE &amp; Call Wall, 225.0, Implied Movement -2σ, 223.46, Gamma Flip, 219.0, Gamma Flip CE, 226.0, Implied Movement -σ, 224.42, Call Dominate , 232.0, Large Gamma 2 &amp; Gamma Field, 230.0,  20241017 073100</t>
  </si>
  <si>
    <t xml:space="preserve">IWM: Implied Movement +2σ, 230.6, Put Wall &amp; Large Gamma 1 &amp; Gamma Field &amp; Gamma Field CE &amp; Call Wall &amp; Call Wall CE, 225.0, Implied Movement -2σ, 221.64, Large Gamma 2, 226.0, Implied Movement +σ, 228.36, Gamma Flip &amp; Gamma Flip CE, 219.0, Key Delta, 220.0, Put Dominate , 207.0, Call Dominate , 227.0, Put Wall CE, 218.0, Implied Movement -σ, 223.88,  20241018 073101</t>
  </si>
  <si>
    <t xml:space="preserve">IWM: Large Gamma 1 &amp; Gamma Field &amp; Call Wall, 230.0, Implied Movement -2σ, 222.78, Call Wall CE, 227.0, Call Dominate , 232.0, Put Dominate , 212.0, Put Wall &amp; Large Gamma 2, 210.0, Implied Movement +σ, 227.68, Gamma Field CE &amp; Gamma Flip CE, 225.0, Implied Movement -σ, 223.62, Key Delta, 220.0, Put Wall CE &amp; Gamma Flip, 224.0, Implied Movement +2σ, 228.52,  20241021 073047</t>
  </si>
  <si>
    <t xml:space="preserve">IWM: Large Gamma 2 &amp; Gamma Field &amp; Key Delta, 220.0, Put Wall CE &amp; Gamma Flip CE, 221.0, Implied Movement +2σ, 225.36, Put Wall &amp; Large Gamma 1, 210.0, Implied Movement +σ, 224.41, Implied Movement -σ, 219.79, Gamma Field CE &amp; Call Wall &amp; Call Wall CE, 223.0, Put Dominate , 217.0, Call Dominate , 232.0, Implied Movement -2σ, 218.84, Gamma Flip, 222.5,  20241022 073053</t>
  </si>
  <si>
    <t xml:space="preserve">IWM: Call Wall CE, 222.0, Implied Movement +2σ, 224.45, Put Wall &amp; Large Gamma 1, 210.0, Implied Movement -2σ, 218.07, Call Wall, 230.0, Put Wall CE &amp; Large Gamma 2 &amp; Gamma Field &amp; Gamma Flip CE &amp; Key Delta, 220.0, Implied Movement -σ, 219.01, Call Dominate , 232.0, Gamma Field CE &amp; Gamma Flip, 221.0, Implied Movement +σ, 223.51, Put Dominate , 217.0,  20241023 073048</t>
  </si>
  <si>
    <t xml:space="preserve">IWM: Implied Movement -2σ, 216.05, Put Dominate , 212.0, Call Dominate , 232.0, Gamma Flip, 221.0, Gamma Flip CE, 218.0, Put Wall &amp; Large Gamma 1 &amp; Gamma Field &amp; Call Wall CE &amp; Key Delta, 220.0, Implied Movement +2σ, 222.43, Gamma Field CE, 219.0, Call Wall, 230.0, Implied Movement +σ, 221.49, Implied Movement -σ, 216.99, Put Wall CE, 217.0, Large Gamma 2, 210.0,  20241024 073051</t>
  </si>
  <si>
    <t xml:space="preserve">IWM: Implied Movement +2σ, 224.69, Call Wall CE, 222.0, Put Dominate , 217.0, Put Wall CE &amp; Put Wall &amp; Large Gamma 1 &amp; Gamma Field &amp; Gamma Field CE &amp; Call Wall &amp; Key Delta, 220.0, Call Dominate , 232.0, Large Gamma 2, 210.0, Implied Movement -σ, 217.24, Implied Movement +σ, 222.2, Implied Movement -2σ, 214.75, Gamma Flip &amp; Gamma Flip CE, 221.0,  20241025 073048</t>
  </si>
  <si>
    <t xml:space="preserve">IWM: Implied Movement -σ, 216.48, Implied Movement +σ, 221.3, Put Wall &amp; Large Gamma 1 &amp; Key Delta, 210.0, Implied Movement +2σ, 222.3, Implied Movement -2σ, 215.48, Put Dominate , 208.0, Put Wall CE &amp; Gamma Field &amp; Gamma Field CE &amp; Gamma Flip &amp; Gamma Flip CE, 220.0, Call Dominate , 232.0, Large Gamma 2 &amp; Call Wall, 230.0, Call Wall CE, 221.0,  20241028 083044</t>
  </si>
  <si>
    <t xml:space="preserve">IWM: Put Wall CE &amp; Gamma Flip, 221.0, Implied Movement +σ, 225.2, Put Wall &amp; Large Gamma 1, 210.0, Implied Movement -2σ, 218.58, Gamma Field CE &amp; Gamma Flip CE, 222.0, Gamma Field &amp; Key Delta, 220.0, Call Dominate , 232.0, Implied Movement -σ, 219.72, Call Wall, 225.0, Large Gamma 2, 230.0, Call Wall CE, 224.0, Implied Movement +2σ, 226.34, Put Dominate , 208.0,  20241029 083057</t>
  </si>
  <si>
    <t xml:space="preserve">IWM: Large Gamma 2 &amp; Call Wall, 225.0, Gamma Field CE, 221.0, Implied Movement -σ, 218.91, Gamma Field &amp; Gamma Flip &amp; Gamma Flip CE &amp; Key Delta, 220.0, Implied Movement +2σ, 225.74, Implied Movement +σ, 224.57, Put Dominate , 208.0, Put Wall &amp; Large Gamma 1, 210.0, Implied Movement -2σ, 217.74, Call Wall CE, 224.0, Put Wall CE, 219.0, Call Dominate , 232.0,  20241030 083104</t>
  </si>
  <si>
    <t xml:space="preserve">IWM: Implied Movement -2σ, 217.46, Implied Movement -σ, 218.6, Put Dominate , 208.0, Implied Movement +2σ, 225.42, Put Wall CE &amp; Gamma Field &amp; Gamma Field CE &amp; Key Delta, 220.0, Gamma Flip, 222.5, Gamma Flip CE, 222.0, Put Wall &amp; Large Gamma 1, 210.0, Implied Movement +σ, 224.28, Call Wall CE, 224.0, Large Gamma 2 &amp; Call Wall, 225.0, Call Dominate , 232.0,  20241031 083053</t>
  </si>
  <si>
    <t xml:space="preserve">IWM: Put Wall &amp; Large Gamma 1 &amp; Key Delta, 210.0, Implied Movement +2σ, 224.41, Call Wall CE, 225.0, Implied Movement -σ, 214.42, Large Gamma 2 &amp; Gamma Field &amp; Gamma Field CE &amp; Gamma Flip &amp; Gamma Flip CE, 220.0, Call Dominate , 233.0, Implied Movement +σ, 221.1, Call Wall, 230.0, Implied Movement -2σ, 211.11, Put Dominate , 212.0, Put Wall CE, 215.0,  20241101 083052</t>
  </si>
  <si>
    <t xml:space="preserve">IWM: Large Gamma 2 &amp; Call Wall, 230.0, Implied Movement +σ, 222.01, Call Dominate , 233.0, Implied Movement +2σ, 223.27, Put Dominate , 208.0, Put Wall &amp; Large Gamma 1 &amp; Gamma Field &amp; Key Delta, 210.0, Implied Movement -2σ, 214.69, Put Wall CE &amp; Gamma Field CE &amp; Gamma Flip &amp; Gamma Flip CE, 219.0, Call Wall CE, 222.0, Implied Movement -σ, 215.95,  20241104 073050</t>
  </si>
  <si>
    <t xml:space="preserve">IWM: Implied Movement +2σ, 225.23, Call Dominate , 233.0, Large Gamma 2 &amp; Call Wall, 230.0, Implied Movement -σ, 216.45, Call Wall CE, 222.0, Put Wall CE, 217.0, Implied Movement -2σ, 214.95, Put Dominate , 207.0, Put Wall &amp; Large Gamma 1 &amp; Gamma Field &amp; Key Delta, 210.0, Gamma Field CE &amp; Gamma Flip &amp; Gamma Flip CE, 220.0, Implied Movement +σ, 223.73,  20241105 073051</t>
  </si>
  <si>
    <t xml:space="preserve">IWM: Large Gamma 1 &amp; Gamma Field &amp; Call Wall, 230.0, Put Wall CE, 215.0, Implied Movement +σ, 228.27, Gamma Flip, 221.0, Put Dominate , 208.0, Implied Movement -σ, 220.19, Put Wall &amp; Large Gamma 2 &amp; Key Delta, 210.0, Gamma Flip CE, 222.0, Call Dominate , 233.0, Implied Movement -2σ, 218.52, Gamma Field CE &amp; Call Wall CE, 227.0, Implied Movement +2σ, 229.94,  20241106 073051</t>
  </si>
  <si>
    <t xml:space="preserve">IWM: Implied Movement -2σ, 233.23, Implied Movement +σ, 240.04, Call Dominate , 242.0, Put Wall &amp; Large Gamma 2, 225.0, Gamma Flip, 223.0, Implied Movement -σ, 234.4, Put Wall CE &amp; Gamma Flip CE, 234.0, Implied Movement +2σ, 241.21, Gamma Field CE &amp; Call Wall CE, 240.0, Large Gamma 1 &amp; Gamma Field &amp; Call Wall &amp; Key Delta, 230.0,  20241107 073117</t>
  </si>
  <si>
    <t xml:space="preserve">IWM: Large Gamma 1 &amp; Gamma Field &amp; Call Wall &amp; Key Delta, 230.0, Put Dominate , 223.0, Call Dominate , 243.0, Put Wall &amp; Large Gamma 2, 225.0, Implied Movement +σ, 238.82, Implied Movement -σ, 233.94, Implied Movement +2σ, 241.26, Implied Movement -2σ, 231.5, Gamma Flip, 226.0, Gamma Field CE, 235.0, Call Wall CE, 240.0, Put Wall CE &amp; Gamma Flip CE, 233.0,  20241108 073054</t>
  </si>
  <si>
    <t xml:space="preserve">IWM: Implied Movement -2σ, 234.99, Put Wall &amp; Large Gamma 2, 225.0, Gamma Flip, 227.0, Implied Movement -σ, 235.9, Call Dominate , 243.0, Implied Movement +σ, 240.34, Gamma Field &amp; Call Wall CE, 240.0, Put Wall CE &amp; Gamma Field CE &amp; Gamma Flip CE, 237.0, Put Dominate , 223.0, Large Gamma 1 &amp; Call Wall &amp; Key Delta, 230.0, Implied Movement +2σ, 241.25,  20241111 073057</t>
  </si>
  <si>
    <t xml:space="preserve">IWM: Put Dominate , 225.0, Implied Movement +σ, 244.01, Call Wall CE, 244.0, Implied Movement -2σ, 238.43, Implied Movement +2σ, 244.97, Key Delta, 230.0, Large Gamma 1 &amp; Call Wall, 245.0, Implied Movement -σ, 239.39, Gamma Field CE, 241.0, Put Wall CE &amp; Large Gamma 2 &amp; Gamma Field &amp; Gamma Flip CE, 240.0, Put Wall &amp; Gamma Flip, 229.0, Call Dominate , 247.0,  20241112 073054</t>
  </si>
  <si>
    <t xml:space="preserve">IWM: Implied Movement -σ, 234.89, Put Wall &amp; Large Gamma 1 &amp; Call Wall &amp; Key Delta, 230.0, Implied Movement +σ, 240.03, Call Dominate , 243.0, Call Wall CE, 240.0, Implied Movement -2σ, 233.82, Gamma Flip CE, 237.0, Implied Movement +2σ, 241.1, Gamma Flip, 236.0, Put Wall CE &amp; Large Gamma 2 &amp; Gamma Field &amp; Gamma Field CE, 235.0, Put Dominate , 223.0,  20241113 073056</t>
  </si>
  <si>
    <t xml:space="preserve">IWM: Implied Movement +σ, 237.55, Put Wall CE &amp; Gamma Flip CE, 234.0, Put Dominate , 232.0, Implied Movement +2σ, 238.56, Implied Movement -σ, 232.67, Call Dominate , 242.0, Gamma Flip, 237.5, Implied Movement -2σ, 231.66, Large Gamma 2, 235.0, Gamma Field CE &amp; Call Wall CE, 236.0, Put Wall &amp; Large Gamma 1 &amp; Gamma Field &amp; Call Wall &amp; Key Delta, 230.0,  20241114 073054</t>
  </si>
  <si>
    <t xml:space="preserve">IWM: Implied Movement -σ, 229.52, Put Wall CE &amp; Gamma Flip, 234.0, Call Dominate , 242.0, Put Dominate , 223.0, Call Wall CE, 225.0, Implied Movement +2σ, 236.77, Implied Movement +σ, 234.36, Gamma Flip CE, 224.0, Implied Movement -2σ, 227.11, Put Wall &amp; Large Gamma 1 &amp; Gamma Field &amp; Gamma Field CE &amp; Call Wall &amp; Key Delta, 230.0, Large Gamma 2, 235.0,  20241115 073053</t>
  </si>
  <si>
    <t xml:space="preserve">IWM: Implied Movement -σ, 226.19, Implied Movement -2σ, 225.25, Call Wall CE, 232.0, Put Wall CE &amp; Gamma Field CE, 228.0, Put Dominate , 223.0, Implied Movement +σ, 230.77, Implied Movement +2σ, 231.71, Put Wall &amp; Large Gamma 1, 225.0, Call Dominate , 242.0, Large Gamma 2 &amp; Gamma Field &amp; Gamma Flip &amp; Gamma Flip CE &amp; Call Wall &amp; Key Delta, 230.0, </t>
  </si>
  <si>
    <t xml:space="preserve">IWM: Put Wall &amp; Large Gamma 2, 225.0, Implied Movement -2σ, 225.73, Gamma Field CE &amp; Call Wall CE, 229.0, Implied Movement +2σ, 232.13, Implied Movement -σ, 226.66, Call Dominate , 242.0, Put Wall CE &amp; Gamma Flip CE, 228.0, Put Dominate , 223.0, Large Gamma 1 &amp; Gamma Field &amp; Gamma Flip &amp; Call Wall &amp; Key Delta, 230.0, Implied Movement +σ, 231.2, </t>
  </si>
  <si>
    <t xml:space="preserve">IWM: Put Wall CE &amp; Gamma Flip CE, 229.0, Large Gamma 1 &amp; Gamma Field &amp; Gamma Field CE &amp; Gamma Flip &amp; Call Wall &amp; Key Delta, 230.0, Implied Movement -σ, 228.46, Call Wall CE, 232.0, Implied Movement -2σ, 227.56, Implied Movement +σ, 232.8, Call Dominate , 242.0, Implied Movement +2σ, 233.7, Put Wall &amp; Large Gamma 2, 225.0, Put Dominate , 223.0, </t>
  </si>
  <si>
    <t xml:space="preserve">IWM: Gamma Flip CE, 229.0, Call Dominate , 242.0, Implied Movement -σ, 228.73, Put Dominate , 223.0, Implied Movement +2σ, 234.04, Put Wall CE, 228.0, Gamma Field CE &amp; Call Wall CE, 231.0, Large Gamma 2, 225.0, Implied Movement +σ, 233.13, Implied Movement -2σ, 227.82, Put Wall &amp; Large Gamma 1 &amp; Gamma Field &amp; Gamma Flip &amp; Call Wall &amp; Key Delta, 230.0, </t>
  </si>
  <si>
    <t xml:space="preserve">IWM: Implied Movement -2σ, 229.48, Call Dominate , 242.0, Gamma Flip &amp; Gamma Flip CE, 232.5, Large Gamma 2 &amp; Gamma Field CE &amp; Call Wall CE, 235.0, Put Wall CE &amp; Put Wall &amp; Large Gamma 1 &amp; Gamma Field &amp; Call Wall &amp; Key Delta, 230.0, Put Dominate , 223.0, Implied Movement -σ, 231.96, Implied Movement +σ, 236.92, Implied Movement +2σ, 239.4, </t>
  </si>
  <si>
    <t xml:space="preserve">IWM: Gamma Flip, 233.0, Put Wall &amp; Large Gamma 1 &amp; Key Delta, 230.0, Call Dominate , 242.0, Implied Movement +2σ, 241.85, Large Gamma 2 &amp; Gamma Field &amp; Gamma Field CE &amp; Call Wall &amp; Call Wall CE, 240.0, Implied Movement -σ, 236.6, Implied Movement -2σ, 235.69, Put Dominate , 223.0, Implied Movement +σ, 240.94, Put Wall CE &amp; Gamma Flip CE, 237.0, </t>
  </si>
  <si>
    <t xml:space="preserve">IWM: Implied Movement +σ, 244.76, Call Wall, 250.0, Implied Movement +2σ, 245.73, Put Dominate , 223.0, Put Wall &amp; Large Gamma 1 &amp; Key Delta, 230.0, Put Wall CE &amp; Gamma Flip CE, 242.0, Gamma Field, 240.0, Implied Movement -2σ, 239.07, Implied Movement -σ, 240.04, Gamma Flip, 239.0, Gamma Field CE &amp; Call Wall CE, 243.0, Call Dominate , 252.0, Large Gamma 2, 235.0, </t>
  </si>
  <si>
    <t xml:space="preserve">IWM: Gamma Flip, 239.0, Implied Movement -σ, 238.38, Put Dominate , 223.0, Large Gamma 2, 235.0, Implied Movement +σ, 242.86, Call Dominate , 252.0, Put Wall &amp; Large Gamma 1 &amp; Key Delta, 230.0, Implied Movement -2σ, 236.74, Implied Movement +2σ, 244.5, Call Wall CE, 242.0, Put Wall CE &amp; Gamma Field &amp; Gamma Field CE &amp; Gamma Flip CE &amp; Call Wall, 240.0, </t>
  </si>
  <si>
    <t xml:space="preserve">IWM: Implied Movement -σ, 238.6, Put Dominate , 223.0, Put Wall CE, 238.0, Gamma Flip, 239.0, Put Wall &amp; Large Gamma 2 &amp; Key Delta, 230.0, Implied Movement +σ, 243.3, Gamma Flip CE, 241.0, Implied Movement -2σ, 236.26, Large Gamma 1 &amp; Gamma Field &amp; Gamma Field CE &amp; Call Wall, 240.0, Call Dominate , 252.0, Implied Movement +2σ, 245.64, Call Wall CE, 245.0, </t>
  </si>
  <si>
    <t xml:space="preserve">IWM: Put Wall &amp; Large Gamma 1 &amp; Key Delta, 230.0, Call Dominate , 252.0, Large Gamma 2, 235.0, Put Dominate , 223.0, Implied Movement -2σ, 238.53, Implied Movement -σ, 239.51, Put Wall CE &amp; Gamma Field, 240.0, Implied Movement +σ, 244.23, Gamma Field CE, 242.0, Gamma Flip CE, 241.0, Call Wall, 250.0, Implied Movement +2σ, 245.21, Gamma Flip, 239.0, Call Wall CE, 244.0, </t>
  </si>
  <si>
    <t xml:space="preserve">IWM: Gamma Field CE &amp; Call Wall CE, 242.0, Implied Movement +σ, 244.31, Large Gamma 2, 235.0, Put Dominate , 225.0, Put Wall CE &amp; Gamma Field &amp; Gamma Flip CE, 240.0, Gamma Flip, 239.0, Call Dominate , 252.0, Implied Movement -σ, 239.19, Implied Movement -2σ, 238.13, Put Wall &amp; Large Gamma 1 &amp; Key Delta, 230.0, Implied Movement +2σ, 245.37, Call Wall, 250.0, </t>
  </si>
  <si>
    <t xml:space="preserve">IWM: Implied Movement +σ, 242.47, Implied Movement -σ, 237.59, Put Wall CE, 238.0, Call Dominate , 252.0, Gamma Field &amp; Gamma Field CE &amp; Call Wall, 240.0, Put Dominate , 223.0, Implied Movement -2σ, 236.58, Large Gamma 2, 235.0, Call Wall CE, 242.0, Implied Movement +2σ, 243.48, Put Wall &amp; Large Gamma 1 &amp; Key Delta, 230.0, Gamma Flip &amp; Gamma Flip CE, 239.0, </t>
  </si>
  <si>
    <t xml:space="preserve">IWM: Put Wall CE, 238.0, Implied Movement +2σ, 244.14, Implied Movement -σ, 238.59, Put Wall &amp; Large Gamma 1 &amp; Key Delta, 230.0, Implied Movement +σ, 243.19, Gamma Flip &amp; Gamma Flip CE, 239.0, Gamma Field CE, 241.0, Implied Movement -2σ, 237.64, Call Wall CE, 243.0, Call Dominate , 252.0, Put Dominate , 225.0, Large Gamma 2 &amp; Gamma Field &amp; Call Wall, 240.0, </t>
  </si>
  <si>
    <t xml:space="preserve">IWM: Gamma Field &amp; Gamma Field CE &amp; Call Wall &amp; Call Wall CE, 240.0, Implied Movement +2σ, 243.37, Implied Movement +σ, 240.72, Put Wall &amp; Large Gamma 1 &amp; Key Delta, 230.0, Gamma Flip CE, 238.0, Gamma Flip, 239.0, Call Dominate , 252.0, Put Dominate , 223.0, Implied Movement -σ, 235.44, Put Wall CE &amp; Large Gamma 2, 235.0, Implied Movement -2σ, 232.79, </t>
  </si>
  <si>
    <t xml:space="preserve">IWM: Gamma Field CE &amp; Call Wall CE, 241.0, Implied Movement -2σ, 235.91, Put Wall CE &amp; Gamma Flip CE, 238.0, Put Wall &amp; Large Gamma 1 &amp; Key Delta, 230.0, Gamma Field &amp; Call Wall, 240.0, Implied Movement +σ, 241.07, Implied Movement +2σ, 241.95, Gamma Flip, 239.0, Large Gamma 2, 235.0, Call Dominate , 252.0, Implied Movement -σ, 236.79, Put Dominate , 227.0, </t>
  </si>
  <si>
    <t xml:space="preserve">IWM: Call Wall, 240.0, Put Wall &amp; Large Gamma 1 &amp; Key Delta, 230.0, Put Dominate , 227.0, Put Wall CE &amp; Large Gamma 2 &amp; Gamma Field, 235.0, Gamma Flip CE, 237.0, Implied Movement -σ, 235.26, Gamma Field CE &amp; Call Wall CE, 239.0, Implied Movement +σ, 240.2, Implied Movement +2σ, 241.22, Implied Movement -2σ, 234.24, Call Dominate , 252.0, Gamma Flip, 238.0, </t>
  </si>
  <si>
    <t xml:space="preserve">IWM: Gamma Field CE &amp; Gamma Flip CE, 236.0, Put Wall &amp; Large Gamma 1 &amp; Gamma Field &amp; Key Delta, 230.0, Implied Movement -σ, 234.02, Implied Movement +2σ, 240.5, Implied Movement -2σ, 232.9, Call Dominate , 242.0, Put Dominate , 223.0, Gamma Flip, 238.0, Put Wall CE &amp; Large Gamma 2, 235.0, Implied Movement +σ, 239.38, Call Wall &amp; Call Wall CE, 240.0, </t>
  </si>
  <si>
    <t xml:space="preserve">IWM: Large Gamma 2 &amp; Gamma Field &amp; Call Wall &amp; Call Wall CE, 240.0, Implied Movement +σ, 239.91, Put Dominate , 227.0, Put Wall &amp; Large Gamma 1 &amp; Key Delta, 230.0, Implied Movement -σ, 235.63, Implied Movement -2σ, 234.78, Put Wall CE, 236.0, Implied Movement +2σ, 240.76, Call Dominate , 242.0, Gamma Field CE &amp; Gamma Flip, 238.0, Gamma Flip CE, 237.0, </t>
  </si>
  <si>
    <t xml:space="preserve">IWM: Gamma Flip &amp; Gamma Flip CE, 234.0, Implied Movement -2σ, 229.92, Put Wall CE, 233.0, Implied Movement -σ, 232.3, Implied Movement +2σ, 239.44, Large Gamma 2 &amp; Gamma Field CE, 235.0, Implied Movement +σ, 237.06, Call Dominate , 242.0, Call Wall CE, 239.0, Put Wall &amp; Large Gamma 1 &amp; Gamma Field &amp; Call Wall &amp; Key Delta, 230.0, Put Dominate , 227.0, </t>
  </si>
  <si>
    <t xml:space="preserve">IWM: Call Wall CE, 234.0, Put Wall CE &amp; Put Wall &amp; Large Gamma 1 &amp; Gamma Field &amp; Call Wall &amp; Key Delta, 230.0, Gamma Flip CE, 232.0, Implied Movement +σ, 235.17, Gamma Field CE, 233.0, Gamma Flip, 232.5, Implied Movement -σ, 230.97, Large Gamma 2, 235.0, Put Dominate , 227.0, Implied Movement -2σ, 230.1, Call Dominate , 242.0, Implied Movement +2σ, 236.04, </t>
  </si>
  <si>
    <t xml:space="preserve">IWM: Large Gamma 2 &amp; Gamma Field CE &amp; Call Wall CE, 235.0, Implied Movement -σ, 231.83, Implied Movement +2σ, 238.13, Put Wall CE &amp; Gamma Flip &amp; Gamma Flip CE, 233.0, Implied Movement -2σ, 230.75, Put Dominate , 227.0, Put Wall &amp; Large Gamma 1 &amp; Gamma Field &amp; Call Wall &amp; Key Delta, 230.0, Call Dominate , 242.0, Implied Movement +σ, 237.05, </t>
  </si>
  <si>
    <t xml:space="preserve">IWM: Put Dominate , 227.0, Implied Movement -2σ, 227.18, Put Wall CE &amp; Gamma Field CE &amp; Gamma Flip CE, 232.0, Gamma Flip, 232.5, Implied Movement +2σ, 234.96, Implied Movement -σ, 228.32, Large Gamma 2 &amp; Call Wall CE, 235.0, Put Wall &amp; Large Gamma 1 &amp; Gamma Field &amp; Call Wall &amp; Key Delta, 230.0, Implied Movement +σ, 233.82, Call Dominate , 242.0, </t>
  </si>
  <si>
    <t xml:space="preserve">IWM: Put Dominate , 223.0, Call Dominate , 242.0, Gamma Flip, 232.5, Implied Movement +σ, 224.03, Large Gamma 1 &amp; Large Gamma 2 &amp; Gamma Field &amp; Call Wall &amp; Key Delta, 230.0, Implied Movement -2σ, 216.32, Implied Movement -σ, 217.65, Put Wall CE &amp; Gamma Field CE, 224.0, Put Wall &amp; Gamma Flip CE, 225.0, Implied Movement +2σ, 225.36, Call Wall CE, 232.0, </t>
  </si>
  <si>
    <t xml:space="preserve">IWM: Implied Movement +2σ, 225.81, Implied Movement -σ, 216.89, Gamma Flip CE, 229.0, Call Dominate , 242.0, Put Wall CE &amp; Put Wall &amp; Large Gamma 1 &amp; Gamma Field &amp; Gamma Field CE, 220.0, Implied Movement +σ, 222.83, Large Gamma 2 &amp; Key Delta, 225.0, Gamma Flip, 232.5, Call Wall &amp; Call Wall CE, 230.0, Implied Movement -2σ, 213.91, Put Dominate , 218.0, </t>
  </si>
  <si>
    <t xml:space="preserve">IWM: Put Wall CE &amp; Large Gamma 2, 220.0, Implied Movement -2σ, 218.55, Call Dominate , 242.0, Gamma Flip, 232.5, Implied Movement +σ, 224.31, Implied Movement -σ, 219.53, Put Dominate , 207.0, Implied Movement +2σ, 225.29, Gamma Flip CE, 221.0, Gamma Field CE &amp; Call Wall CE, 225.0, Put Wall &amp; Large Gamma 1 &amp; Gamma Field &amp; Call Wall &amp; Key Delta, 230.0, </t>
  </si>
  <si>
    <t xml:space="preserve">IWM: Put Dominate , 205.0, Call Dominate , 242.0, Implied Movement -σ, 219.12, Put Wall &amp; Large Gamma 1 &amp; Call Wall &amp; Key Delta, 230.0, Gamma Field CE &amp; Call Wall CE, 222.0, Implied Movement +σ, 223.7, Implied Movement +2σ, 225.37, Gamma Flip, 232.0, Put Wall CE &amp; Large Gamma 2 &amp; Gamma Field &amp; Gamma Flip CE, 220.0, Implied Movement -2σ, 217.45, </t>
  </si>
  <si>
    <t xml:space="preserve">IWM: Implied Movement +σ, 225.16, Implied Movement -σ, 221.62, Put Wall &amp; Large Gamma 1 &amp; Call Wall &amp; Key Delta, 230.0, Put Dominate , 207.0, Put Wall CE, 221.0, Large Gamma 2, 220.0, Gamma Flip CE, 222.0, Implied Movement +2σ, 225.89, Gamma Field &amp; Gamma Field CE &amp; Call Wall CE, 225.0, Gamma Flip, 232.0, Implied Movement -2σ, 220.89, </t>
  </si>
  <si>
    <t xml:space="preserve">IWM: Implied Movement +2σ, 230.05, Gamma Field CE &amp; Call Wall CE, 225.0, Gamma Flip, 224.0, Put Wall CE &amp; Large Gamma 2, 220.0, Implied Movement -2σ, 221.31, Gamma Flip CE, 223.0, Put Wall &amp; Large Gamma 1 &amp; Gamma Field &amp; Call Wall &amp; Key Delta, 230.0, Call Dominate , 242.0, Implied Movement +σ, 227.87, Put Dominate , 207.0, Implied Movement -σ, 223.49, </t>
  </si>
  <si>
    <t xml:space="preserve">IWM: Call Wall CE, 227.0, Implied Movement +2σ, 225.39, Gamma Field CE, 222.0, Put Wall &amp; Large Gamma 1 &amp; Call Wall &amp; Key Delta, 230.0, Implied Movement -σ, 220.27, Implied Movement -2σ, 219.39, Implied Movement +σ, 224.51, Put Dominate , 207.0, Gamma Flip, 232.0, Put Wall CE &amp; Large Gamma 2 &amp; Gamma Field &amp; Gamma Flip CE, 220.0, </t>
  </si>
  <si>
    <t xml:space="preserve">IWM: Large Gamma 2 &amp; Key Delta, 230.0, Call Wall CE, 225.0, Put Wall CE &amp; Put Wall &amp; Large Gamma 1 &amp; Gamma Field &amp; Gamma Field CE &amp; Gamma Flip CE &amp; Call Wall, 220.0, Implied Movement +σ, 222.99, Put Dominate , 207.0, Implied Movement +2σ, 224.67, Implied Movement -2σ, 216.69, Gamma Flip, 232.0, Implied Movement -σ, 218.37, </t>
  </si>
  <si>
    <t xml:space="preserve">IWM: Put Wall &amp; Large Gamma 1 &amp; Gamma Field &amp; Call Wall &amp; Key Delta, 230.0, Implied Movement +2σ, 227.38, Gamma Flip, 229.0, Gamma Field CE &amp; Call Wall CE, 226.0, Implied Movement -2σ, 221.48, Call Dominate , 243.0, Implied Movement -σ, 222.35, Put Dominate , 207.0, Large Gamma 2, 225.0, Implied Movement +σ, 226.51, Put Wall CE &amp; Gamma Flip CE, 222.0, </t>
  </si>
  <si>
    <t xml:space="preserve">IWM: Implied Movement +σ, 223.49, Put Wall CE &amp; Gamma Field CE &amp; Gamma Flip CE, 221.0, Put Wall &amp; Large Gamma 1 &amp; Gamma Field, 220.0, Put Dominate , 205.0, Implied Movement -σ, 218.79, Call Wall CE, 224.0, Gamma Flip, 232.0, Call Dominate , 243.0, Implied Movement -2σ, 216.44, Implied Movement +2σ, 225.84, Large Gamma 2 &amp; Call Wall &amp; Key Delta, 230.0, </t>
  </si>
  <si>
    <t xml:space="preserve">IWM: Implied Movement -2σ, 217.97, Large Gamma 1 &amp; Call Wall &amp; Key Delta, 230.0, Put Wall CE, 217.0, Implied Movement +σ, 223.07, Put Dominate , 207.0, Implied Movement -σ, 218.85, Put Wall &amp; Large Gamma 2 &amp; Gamma Field &amp; Gamma Flip CE, 220.0, Gamma Flip, 232.0, Gamma Field CE &amp; Call Wall CE, 223.0, Implied Movement +2σ, 223.95, </t>
  </si>
  <si>
    <t xml:space="preserve">IWM: Put Dominate , 207.0, Gamma Field CE &amp; Call Wall CE, 226.0, Implied Movement -2σ, 221.32, Large Gamma 2, 225.0, Put Wall &amp; Large Gamma 1 &amp; Gamma Field &amp; Call Wall &amp; Key Delta, 230.0, Gamma Flip CE, 223.0, Implied Movement -σ, 222.26, Call Dominate , 243.0, Implied Movement +2σ, 227.72, Put Wall CE, 221.0, Gamma Flip, 229.0, Implied Movement +σ, 226.78, </t>
  </si>
  <si>
    <t xml:space="preserve">IWM: Put Dominate , 217.0, Implied Movement +2σ, 225.88, Implied Movement -σ, 220.49, Put Wall CE &amp; Put Wall &amp; Large Gamma 2 &amp; Gamma Field, 220.0, Gamma Flip CE, 223.0, Call Wall CE, 225.0, Gamma Field CE, 222.0, Implied Movement -2σ, 219.56, Gamma Flip, 229.0, Implied Movement +σ, 224.95, Large Gamma 1 &amp; Call Wall &amp; Key Delta, 230.0, </t>
  </si>
  <si>
    <t xml:space="preserve">IWM: Call Wall, 230.0, Put Wall &amp; Large Gamma 1 &amp; Gamma Field &amp; Gamma Flip CE &amp; Key Delta, 220.0, Put Wall CE, 216.0, Large Gamma 2 &amp; Gamma Field CE, 225.0, Put Dominate , 207.0, Gamma Flip, 229.0, Implied Movement -2σ, 216.83, Implied Movement +2σ, 226.59, Implied Movement -σ, 219.23, Implied Movement +σ, 224.19, Call Wall CE, 223.0, Call Dominate , 245.0, </t>
  </si>
  <si>
    <t xml:space="preserve">IWM: Implied Movement -σ, 214.39, Put Wall CE, 215.0, Large Gamma 2, 225.0, Call Wall CE, 217.0, Put Wall &amp; Large Gamma 1 &amp; Gamma Field &amp; Gamma Field CE &amp; Call Wall &amp; Key Delta, 220.0, Implied Movement +2σ, 220.28, Implied Movement -2σ, 213.38, Put Dominate , 205.0, Implied Movement +σ, 219.27, Gamma Flip, 229.0, Gamma Flip CE, 216.0, </t>
  </si>
  <si>
    <t xml:space="preserve">IWM: Implied Movement -σ, 214.38, Gamma Flip, 229.0, Call Wall CE, 221.0, Put Wall &amp; Large Gamma 1 &amp; Gamma Field &amp; Gamma Field CE &amp; Call Wall &amp; Key Delta, 220.0, Put Wall CE, 214.0, Gamma Flip CE, 215.0, Implied Movement +2σ, 221.31, Large Gamma 2, 225.0, Implied Movement -2σ, 213.19, Implied Movement +σ, 220.12, Put Dominate , 205.0, </t>
  </si>
  <si>
    <t xml:space="preserve">IWM: Put Wall CE &amp; Gamma Flip CE, 217.0, Implied Movement -σ, 216.78, Put Dominate , 207.0, Gamma Field CE &amp; Call Wall CE, 222.0, Put Wall &amp; Large Gamma 1 &amp; Gamma Field &amp; Call Wall &amp; Key Delta, 220.0, Implied Movement +2σ, 223.88, Gamma Flip, 229.0, Implied Movement +σ, 222.66, Call Dominate , 245.0, Large Gamma 2, 225.0, Implied Movement -2σ, 215.56, </t>
  </si>
  <si>
    <t xml:space="preserve">IWM: Put Dominate , 207.0, Gamma Flip, 229.0, Key Delta, 230.0, Put Wall &amp; Large Gamma 1 &amp; Gamma Field &amp; Call Wall, 225.0, Large Gamma 2, 220.0, Gamma Field CE &amp; Call Wall CE, 224.0, Gamma Flip CE, 223.0, Put Wall CE, 222.0, Call Dominate , 232.0, Implied Movement +σ, 226.26, Implied Movement +2σ, 227.19, Implied Movement -σ, 221.82, Implied Movement -2σ, 220.89, </t>
  </si>
  <si>
    <t xml:space="preserve">IWM: Call Wall CE, 230.0, Implied Movement +σ, 226.72, Put Wall CE &amp; Large Gamma 2, 223.0, Implied Movement -2σ, 219.51, Implied Movement -σ, 222.26, Implied Movement +2σ, 229.47, Gamma Flip &amp; Gamma Flip CE, 227.0, Call Dominate , 233.0, Put Dominate , 220.0, Put Wall &amp; Large Gamma 1 &amp; Gamma Field &amp; Gamma Field CE &amp; Call Wall &amp; Key Delta, 225.0, </t>
  </si>
  <si>
    <t xml:space="preserve">IWM: Implied Movement +2σ, 228.2, Implied Movement +σ, 227.4, Gamma Field CE, 226.0, Put Dominate , 212.0, Call Dominate , 233.0, Implied Movement -2σ, 222.72, Large Gamma 1 &amp; Key Delta, 220.0, Put Wall CE, 223.0, Gamma Flip &amp; Gamma Flip CE, 224.0, Implied Movement -σ, 223.52, Put Wall &amp; Large Gamma 2, 215.0, Gamma Field &amp; Call Wall &amp; Call Wall CE, 230.0, </t>
  </si>
  <si>
    <t xml:space="preserve">IWM: Implied Movement -2σ, 226.71, Put Wall &amp; Key Delta, 220.0, Gamma Flip, 224.0, Gamma Flip CE, 228.0, Implied Movement -σ, 227.61, Gamma Field CE, 229.0, Large Gamma 1 &amp; Gamma Field &amp; Call Wall &amp; Call Wall CE, 230.0, Put Dominate , 212.0, Implied Movement +2σ, 232.87, Call Dominate , 233.0, Large Gamma 2, 235.0, Implied Movement +σ, 231.97, Put Wall CE, 227.0, </t>
  </si>
  <si>
    <t xml:space="preserve">IWM: Put Wall CE, 225.0, Call Dominate , 233.0, Implied Movement -2σ, 225.54, Put Dominate , 212.0, Call Wall CE, 229.0, Implied Movement +2σ, 231.04, Gamma Flip, 227.5, Gamma Field CE, 228.0, Gamma Flip CE, 227.0, Large Gamma 2 &amp; Gamma Field &amp; Call Wall, 230.0, Implied Movement -σ, 226.32, Implied Movement +σ, 230.26, Put Wall &amp; Large Gamma 1 &amp; Key Delta, 220.0, </t>
  </si>
  <si>
    <t xml:space="preserve">IWM: Implied Movement -2σ, 225.05, Put Wall &amp; Large Gamma 2 &amp; Key Delta, 220.0, Implied Movement -σ, 227.19, Large Gamma 1 &amp; Gamma Field &amp; Gamma Field CE &amp; Call Wall &amp; Call Wall CE, 230.0, Put Dominate , 212.0, Implied Movement +2σ, 233.61, Put Wall CE, 227.5, Gamma Flip &amp; Gamma Flip CE, 228.0, Call Dominate , 233.0, Implied Movement +σ, 231.47, </t>
  </si>
  <si>
    <t xml:space="preserve">IWM: Large Gamma 2 &amp; Call Wall, 235.0, Implied Movement -2σ, 225.89, Call Dominate , 238.0, Put Dominate , 217.0, Implied Movement -σ, 226.71, Gamma Field CE &amp; Gamma Flip &amp; Gamma Flip CE, 229.0, Implied Movement +2σ, 231.49, Put Wall CE, 226.0, Put Wall &amp; Large Gamma 1 &amp; Key Delta, 220.0, Gamma Field &amp; Call Wall CE, 230.0, Implied Movement +σ, 230.67, </t>
  </si>
  <si>
    <t xml:space="preserve">IWM: Implied Movement +σ, 228.92, Gamma Flip, 227.0, Gamma Flip CE, 225.0, Put Dominate , 212.0, Implied Movement -2σ, 223.07, Implied Movement +2σ, 229.93, Large Gamma 2 &amp; Call Wall CE, 230.0, Put Wall &amp; Large Gamma 1 &amp; Gamma Field &amp; Key Delta, 220.0, Put Wall CE, 224.0, Gamma Field CE, 226.0, Call Wall, 235.0, Call Dominate , 238.0, Implied Movement -σ, 224.08, </t>
  </si>
  <si>
    <t xml:space="preserve">IWM: Put Wall CE, 226.0, Implied Movement +2σ, 230.02, Call Dominate , 233.0, Implied Movement -2σ, 223.48, Gamma Flip, 227.0, Implied Movement +σ, 229.06, Put Dominate , 212.0, Call Wall, 235.0, Gamma Flip CE, 229.0, Implied Movement -σ, 224.44, Put Wall &amp; Large Gamma 1 &amp; Key Delta, 220.0, Large Gamma 2 &amp; Gamma Field &amp; Call Wall CE, 230.0, Gamma Field CE, 228.0, </t>
  </si>
  <si>
    <t xml:space="preserve">IWM: Gamma Flip CE, 227.0, Put Dominate , 212.0, Implied Movement -2σ, 223.2, Implied Movement +2σ, 229.26, Put Wall &amp; Large Gamma 1 &amp; Key Delta, 220.0, Implied Movement -σ, 224.09, Call Dominate , 233.0, Put Wall CE, 223.0, Gamma Flip, 226.0, Implied Movement +σ, 228.37, Large Gamma 2 &amp; Gamma Field &amp; Gamma Field CE &amp; Call Wall CE, 230.0, Call Wall, 235.0, </t>
  </si>
  <si>
    <t xml:space="preserve">IWM: Put Wall CE &amp; Gamma Field &amp; Gamma Field CE, 225.0, Call Dominate , 233.0, Implied Movement +2σ, 233.42, Implied Movement +σ, 231.02, Put Dominate , 223.0, Put Wall &amp; Large Gamma 1 &amp; Key Delta, 220.0, Large Gamma 2, 235.0, Implied Movement -2σ, 223.64, Implied Movement -σ, 226.04, Gamma Flip CE, 229.0, Gamma Flip, 227.5, Call Wall &amp; Call Wall CE, 230.0, </t>
  </si>
  <si>
    <t xml:space="preserve">IWM: Call Dominate , 238.0, Gamma Flip CE, 227.0, Put Dominate , 222.0, Implied Movement +2σ, 230.09, Implied Movement -σ, 223.93, Gamma Field, 225.0, Call Wall, 235.0, Gamma Flip, 228.0, Implied Movement +σ, 229.03, Call Wall CE, 230.0, Large Gamma 1 &amp; Key Delta, 220.0, Implied Movement -2σ, 222.87, Put Wall CE &amp; Put Wall &amp; Large Gamma 2 &amp; Gamma Field CE, 223.0, </t>
  </si>
  <si>
    <t xml:space="preserve">IWM: Implied Movement -2σ, 223.5, Put Wall CE, 224.0, Gamma Field CE, 227.0, Large Gamma 2 &amp; Call Wall, 235.0, Call Dominate , 238.0, Put Dominate , 213.0, Call Wall CE, 229.0, Implied Movement -σ, 224.51, Put Wall &amp; Large Gamma 1 &amp; Gamma Field &amp; Key Delta, 220.0, Implied Movement +σ, 229.35, Gamma Flip &amp; Gamma Flip CE, 226.0, Implied Movement +2σ, 230.36, </t>
  </si>
  <si>
    <t xml:space="preserve">IWM: Put Dominate , 218.0, Implied Movement -2σ, 219.87, Implied Movement -σ, 221.03, Call Wall, 235.0, Call Dominate , 238.0, Implied Movement +2σ, 227.79, Implied Movement +σ, 226.63, Gamma Flip &amp; Call Wall CE, 226.0, Put Wall &amp; Large Gamma 1 &amp; Gamma Field &amp; Key Delta, 220.0, Put Wall CE &amp; Large Gamma 2 &amp; Gamma Field CE &amp; Gamma Flip CE, 225.0, </t>
  </si>
  <si>
    <t xml:space="preserve">IWM: Implied Movement -σ, 227.26, Implied Movement -2σ, 226.38, Gamma Field &amp; Gamma Field CE &amp; Call Wall CE, 230.0, Gamma Flip &amp; Gamma Flip CE, 228.0, Implied Movement +σ, 231.54, Put Wall, 218.0, Large Gamma 2 &amp; Key Delta, 220.0, Implied Movement +2σ, 232.42, Put Wall CE, 227.0, Large Gamma 1 &amp; Call Wall, 235.0, Call Dominate , 240.0, Put Dominate , 217.0, </t>
  </si>
  <si>
    <t xml:space="preserve">IWM: Call Wall, 235.0, Implied Movement +2σ, 233.54, Call Wall CE, 234.0, Implied Movement -2σ, 223.76, Gamma Field, 225.0, Implied Movement +σ, 231.15, Call Dominate , 240.0, Put Wall CE &amp; Put Wall &amp; Large Gamma 1 &amp; Gamma Field CE, 226.0, Large Gamma 2 &amp; Gamma Flip &amp; Gamma Flip CE, 228.0, Key Delta, 220.0, Put Dominate , 218.0, Implied Movement -σ, 226.15, </t>
  </si>
  <si>
    <t xml:space="preserve">IWM: Gamma Flip &amp; Gamma Flip CE, 224.0, Gamma Field &amp; Call Wall &amp; Call Wall CE, 230.0, Implied Movement -σ, 222.72, Implied Movement +σ, 228.2, Implied Movement +2σ, 228.82, Gamma Field CE, 226.0, Call Dominate , 233.0, Put Wall CE, 223.0, Put Dominate , 212.0, Large Gamma 1 &amp; Key Delta, 220.0, Implied Movement -2σ, 222.1, Put Wall &amp; Large Gamma 2, 215.0, </t>
  </si>
  <si>
    <t xml:space="preserve">IWM: Call Wall CE, 230.0, Implied Movement -2σ, 219.51, Put Wall &amp; Large Gamma 1 &amp; Gamma Field &amp; Gamma Field CE &amp; Call Wall &amp; Key Delta, 225.0, Implied Movement +2σ, 229.47, Implied Movement +σ, 226.72, Call Dominate , 233.0, Put Wall CE &amp; Large Gamma 2, 223.0, Implied Movement -σ, 222.26, Put Dominate , 220.0, Gamma Flip &amp; Gamma Flip CE, 227.0, </t>
  </si>
  <si>
    <t xml:space="preserve">IWM: Call Dominate , 245.0, Gamma Field CE &amp; Call Wall CE, 223.0, Large Gamma 2, 225.0, Gamma Flip CE, 222.0, Call Wall, 230.0, Implied Movement -2σ, 218.13, Put Wall CE &amp; Put Wall &amp; Large Gamma 1 &amp; Gamma Field &amp; Key Delta, 220.0, Put Dominate , 207.0, Implied Movement -σ, 219.23, Implied Movement +2σ, 225.29, Gamma Flip, 229.0, Implied Movement +σ, 224.19, </t>
  </si>
  <si>
    <t xml:space="preserve">IWM: Put Wall CE, 217.0, Put Dominate , 207.0, Gamma Flip, 232.0, Put Wall &amp; Large Gamma 1 &amp; Gamma Field &amp; Gamma Field CE, 220.0, Implied Movement -σ, 217.6, Gamma Flip CE, 218.0, Large Gamma 2 &amp; Call Wall &amp; Key Delta, 230.0, Call Wall CE, 225.0, Implied Movement +2σ, 225.08, Call Dominate , 243.0, Implied Movement +σ, 224.32, Implied Movement -2σ, 216.84, 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</si>
</sst>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yyyy/mm/dd"/>
    <numFmt numFmtId="166" formatCode="#,##0.00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theme="1"/>
      <name val="Arial"/>
      <family val="0"/>
      <charset val="1"/>
    </font>
    <font>
      <sz val="11"/>
      <color rgb="FFFF0000"/>
      <name val="Arial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3F3F3"/>
      </patternFill>
    </fill>
    <fill>
      <patternFill patternType="solid">
        <fgColor rgb="FFF3F3F3"/>
        <bgColor rgb="FFFFFF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5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F3F3F3"/>
          <bgColor rgb="FF000000"/>
        </patternFill>
      </fill>
    </dxf>
    <dxf>
      <fill>
        <patternFill patternType="solid">
          <fgColor rgb="FFFFFFFF"/>
          <bgColor rgb="FF000000"/>
        </patternFill>
      </fill>
    </dxf>
    <dxf>
      <fill>
        <patternFill patternType="solid">
          <fgColor rgb="FFFF0000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3F3F3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_1" displayName="Table_1" ref="A1:U1118" headerRowCount="0" totalsRowCount="0" totalsRowShown="0">
  <tableColumns count="21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/>
    <tableColumn id="11" name="Column11"/>
    <tableColumn id="12" name="Column12"/>
    <tableColumn id="13" name="Column13"/>
    <tableColumn id="14" name="Column14"/>
    <tableColumn id="15" name="Column15"/>
    <tableColumn id="16" name="Column16"/>
    <tableColumn id="17" name="Column17"/>
    <tableColumn id="18" name="Column18"/>
    <tableColumn id="19" name="Column19"/>
    <tableColumn id="20" name="Column20"/>
    <tableColumn id="21" name="Column21"/>
  </tableColumns>
</table>
</file>

<file path=xl/tables/table2.xml><?xml version="1.0" encoding="utf-8"?>
<table xmlns="http://schemas.openxmlformats.org/spreadsheetml/2006/main" id="2" name="Table_2" displayName="Table_2" ref="A1:T1116" headerRowCount="0" totalsRowCount="0" totalsRowShown="0">
  <tableColumns count="20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/>
    <tableColumn id="11" name="Column11"/>
    <tableColumn id="12" name="Column12"/>
    <tableColumn id="13" name="Column13"/>
    <tableColumn id="14" name="Column14"/>
    <tableColumn id="15" name="Column15"/>
    <tableColumn id="16" name="Column16"/>
    <tableColumn id="17" name="Column17"/>
    <tableColumn id="18" name="Column18"/>
    <tableColumn id="19" name="Column19"/>
    <tableColumn id="20" name="Column20"/>
  </tableColumns>
</table>
</file>

<file path=xl/tables/table3.xml><?xml version="1.0" encoding="utf-8"?>
<table xmlns="http://schemas.openxmlformats.org/spreadsheetml/2006/main" id="3" name="Table_3" displayName="Table_3" ref="A1:T1116" headerRowCount="0" totalsRowCount="0" totalsRowShown="0">
  <tableColumns count="20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/>
    <tableColumn id="11" name="Column11"/>
    <tableColumn id="12" name="Column12"/>
    <tableColumn id="13" name="Column13"/>
    <tableColumn id="14" name="Column14"/>
    <tableColumn id="15" name="Column15"/>
    <tableColumn id="16" name="Column16"/>
    <tableColumn id="17" name="Column17"/>
    <tableColumn id="18" name="Column18"/>
    <tableColumn id="19" name="Column19"/>
    <tableColumn id="20" name="Column20"/>
  </tableColumns>
</table>
</file>

<file path=xl/tables/table4.xml><?xml version="1.0" encoding="utf-8"?>
<table xmlns="http://schemas.openxmlformats.org/spreadsheetml/2006/main" id="4" name="Table_4" displayName="Table_4" ref="A1:T1116" headerRowCount="0" totalsRowCount="0" totalsRowShown="0">
  <tableColumns count="20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/>
    <tableColumn id="11" name="Column11"/>
    <tableColumn id="12" name="Column12"/>
    <tableColumn id="13" name="Column13"/>
    <tableColumn id="14" name="Column14"/>
    <tableColumn id="15" name="Column15"/>
    <tableColumn id="16" name="Column16"/>
    <tableColumn id="17" name="Column17"/>
    <tableColumn id="18" name="Column18"/>
    <tableColumn id="19" name="Column19"/>
    <tableColumn id="20" name="Column20"/>
  </tableColumns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table" Target="../tables/table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table" Target="../tables/table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table" Target="../tables/table4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U11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E2" activePane="bottomRight" state="frozen"/>
      <selection pane="topLeft" activeCell="A1" activeCellId="0" sqref="A1"/>
      <selection pane="topRight" activeCell="E1" activeCellId="0" sqref="E1"/>
      <selection pane="bottomLeft" activeCell="A2" activeCellId="0" sqref="A2"/>
      <selection pane="bottomRight" activeCell="B2" activeCellId="0" sqref="B2"/>
    </sheetView>
  </sheetViews>
  <sheetFormatPr defaultColWidth="12.6328125" defaultRowHeight="15.75" zeroHeight="false" outlineLevelRow="0" outlineLevelCol="0"/>
  <cols>
    <col collapsed="false" customWidth="true" hidden="false" outlineLevel="0" max="13" min="13" style="0" width="14.51"/>
    <col collapsed="false" customWidth="true" hidden="false" outlineLevel="0" max="15" min="15" style="0" width="14.75"/>
    <col collapsed="false" customWidth="true" hidden="false" outlineLevel="0" max="16" min="16" style="0" width="16.63"/>
    <col collapsed="false" customWidth="true" hidden="false" outlineLevel="0" max="19" min="17" style="0" width="17.63"/>
    <col collapsed="false" customWidth="true" hidden="false" outlineLevel="0" max="20" min="20" style="0" width="25.51"/>
  </cols>
  <sheetData>
    <row r="1" customFormat="false" ht="15.75" hidden="false" customHeight="false" outlineLevel="0" collapsed="false">
      <c r="A1" s="1" t="str">
        <f aca="false">IFERROR(__xludf.dummyfunction("QUERY(GOOGLEFINANCE("".inx"",""All"",""2024/4/8"",""2025/12/31""), ""select Col1,Col2,Col3,Col4,Col5"", -1)"),"Date")</f>
        <v>Date</v>
      </c>
      <c r="B1" s="2" t="str">
        <f aca="false">IFERROR(__xludf.dummyfunction("""COMPUTED_VALUE"""),"Open")</f>
        <v>Open</v>
      </c>
      <c r="C1" s="2" t="str">
        <f aca="false">IFERROR(__xludf.dummyfunction("""COMPUTED_VALUE"""),"High")</f>
        <v>High</v>
      </c>
      <c r="D1" s="2" t="str">
        <f aca="false">IFERROR(__xludf.dummyfunction("""COMPUTED_VALUE"""),"Low")</f>
        <v>Low</v>
      </c>
      <c r="E1" s="2" t="str">
        <f aca="false">IFERROR(__xludf.dummyfunction("""COMPUTED_VALUE"""),"Close")</f>
        <v>Close</v>
      </c>
      <c r="F1" s="3" t="s">
        <v>0</v>
      </c>
      <c r="G1" s="3" t="s">
        <v>1</v>
      </c>
      <c r="H1" s="3" t="s">
        <v>2</v>
      </c>
      <c r="I1" s="3" t="s">
        <v>3</v>
      </c>
      <c r="J1" s="3" t="s">
        <v>4</v>
      </c>
      <c r="K1" s="3" t="s">
        <v>5</v>
      </c>
      <c r="L1" s="3" t="s">
        <v>6</v>
      </c>
      <c r="M1" s="3" t="s">
        <v>7</v>
      </c>
      <c r="N1" s="3" t="s">
        <v>8</v>
      </c>
      <c r="O1" s="3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/>
    </row>
    <row r="2" customFormat="false" ht="15.75" hidden="false" customHeight="false" outlineLevel="0" collapsed="false">
      <c r="A2" s="4" t="n">
        <f aca="false">IFERROR(__xludf.dummyfunction("""COMPUTED_VALUE"""),45390.6666666667)</f>
        <v>45390.6666666667</v>
      </c>
      <c r="B2" s="2" t="n">
        <f aca="false">IFERROR(__xludf.dummyfunction("""COMPUTED_VALUE"""),5211.37)</f>
        <v>5211.37</v>
      </c>
      <c r="C2" s="2" t="n">
        <f aca="false">IFERROR(__xludf.dummyfunction("""COMPUTED_VALUE"""),5219.57)</f>
        <v>5219.57</v>
      </c>
      <c r="D2" s="2" t="n">
        <f aca="false">IFERROR(__xludf.dummyfunction("""COMPUTED_VALUE"""),5197.35)</f>
        <v>5197.35</v>
      </c>
      <c r="E2" s="2" t="n">
        <f aca="false">IFERROR(__xludf.dummyfunction("""COMPUTED_VALUE"""),5202.39)</f>
        <v>5202.39</v>
      </c>
      <c r="F2" s="3" t="n">
        <f aca="false">IFERROR(__xludf.dummyfunction("if($T2&lt;&gt;"""",VALUE(REGEXEXTRACT(SUBSTITUTE ($T2,F$1&amp;"" CE"",""""), F$1&amp;""[\w &amp;]*, (\d+\.\d+)"")),"""")
"),5570)</f>
        <v>5570</v>
      </c>
      <c r="G2" s="3" t="n">
        <f aca="false">IFERROR(__xludf.dummyfunction("if($T2&lt;&gt;"""",VALUE(REGEXEXTRACT($T2, G$1&amp;""[\w &amp;]*, (\d+\.\d+)"")),"""")
"),5235)</f>
        <v>5235</v>
      </c>
      <c r="H2" s="3" t="n">
        <f aca="false">IFERROR(__xludf.dummyfunction("if($T2&lt;&gt;"""",VALUE(REGEXEXTRACT($T2, H$1&amp;""[\w &amp;]*, (\d+\.\d+)"")),"""")"),5420)</f>
        <v>5420</v>
      </c>
      <c r="I2" s="3" t="n">
        <f aca="false">IFERROR(__xludf.dummyfunction("if($T2&lt;&gt;"""",VALUE(REGEXEXTRACT(SUBSTITUTE ($T2,I$1&amp;"" CE"",""""), I$1&amp;""[\w &amp;]*, (\d+\.\d+)"")),"""")
"),4975)</f>
        <v>4975</v>
      </c>
      <c r="J2" s="3" t="n">
        <f aca="false">IFERROR(__xludf.dummyfunction("if($T2&lt;&gt;"""",VALUE(REGEXEXTRACT($T2, J$1&amp;""[\w &amp;]*, (\d+\.\d+)"")),"""")
"),5165)</f>
        <v>5165</v>
      </c>
      <c r="K2" s="3" t="n">
        <f aca="false">IFERROR(__xludf.dummyfunction("if($T2&lt;&gt;"""",VALUE(REGEXEXTRACT($T2, K$1&amp;""[\w &amp;]*, (\d+\.\d+)"")),"""")
"),4290)</f>
        <v>4290</v>
      </c>
      <c r="L2" s="3" t="n">
        <f aca="false">IFERROR(__xludf.dummyfunction("if($T2&lt;&gt;"""",VALUE(REGEXEXTRACT(SUBSTITUTE ($T2,L$1&amp;"" CE"",""""), L$1&amp;""[\w &amp;]*, (\d+\.\d+)"")),"""")
"),5205)</f>
        <v>5205</v>
      </c>
      <c r="M2" s="3" t="n">
        <f aca="false">IFERROR(__xludf.dummyfunction("if($T2&lt;&gt;"""",VALUE(REGEXEXTRACT($T2, M$1&amp;""[\w &amp;]*, (\d+\.\d+)"")),"""")
"),5205)</f>
        <v>5205</v>
      </c>
      <c r="N2" s="3" t="n">
        <f aca="false">IFERROR(__xludf.dummyfunction("if($T2&lt;&gt;"""",VALUE(REGEXEXTRACT(SUBSTITUTE($T2,N$1&amp;"" CE"",""""), N$1&amp;""[\w &amp;]*, (\d+\.\d+)"")),"""")
"),4975)</f>
        <v>4975</v>
      </c>
      <c r="O2" s="3" t="n">
        <f aca="false">IFERROR(__xludf.dummyfunction("if($T2&lt;&gt;"""",VALUE(REGEXEXTRACT($T2, O$1&amp;""[\w &amp;]*, (\d+\.\d+)"")),"""")
"),5200)</f>
        <v>5200</v>
      </c>
      <c r="P2" s="2" t="n">
        <f aca="false">IFERROR(__xludf.dummyfunction("if($T2&lt;&gt;"""",VALUE(REGEXEXTRACT($T2, P$1&amp;""[\w &amp;]*, (\d+\.\d+)"")),"""")
"),5165.45)</f>
        <v>5165.45</v>
      </c>
      <c r="Q2" s="2" t="n">
        <f aca="false">IFERROR(__xludf.dummyfunction("if($T2&lt;&gt;"""",VALUE(REGEXEXTRACT($T2, Q$1&amp;""[\w &amp;]*, (\d+\.\d+)"")),"""")
"),5149.34)</f>
        <v>5149.34</v>
      </c>
      <c r="R2" s="2" t="n">
        <f aca="false">IFERROR(__xludf.dummyfunction("if($T2&lt;&gt;"""",VALUE(REGEXEXTRACT($T2, SUBSTITUTE(R$1, ""+"", ""\+"")&amp;""[\w &amp;]*, (\d+\.\d+)"")),"""")"),5243.23)</f>
        <v>5243.23</v>
      </c>
      <c r="S2" s="2" t="n">
        <f aca="false">IFERROR(__xludf.dummyfunction("if($T2&lt;&gt;"""",VALUE(REGEXEXTRACT($T2, SUBSTITUTE(S$1, ""+"", ""\+"")&amp;""[\w &amp;]*, (\d+\.\d+)"")),"""")"),5259.34)</f>
        <v>5259.34</v>
      </c>
      <c r="T2" s="5" t="s">
        <v>15</v>
      </c>
      <c r="U2" s="5"/>
    </row>
    <row r="3" customFormat="false" ht="15.75" hidden="false" customHeight="false" outlineLevel="0" collapsed="false">
      <c r="A3" s="4" t="n">
        <f aca="false">IFERROR(__xludf.dummyfunction("""COMPUTED_VALUE"""),45391.6666666667)</f>
        <v>45391.6666666667</v>
      </c>
      <c r="B3" s="2" t="n">
        <f aca="false">IFERROR(__xludf.dummyfunction("""COMPUTED_VALUE"""),5217.03)</f>
        <v>5217.03</v>
      </c>
      <c r="C3" s="2" t="n">
        <f aca="false">IFERROR(__xludf.dummyfunction("""COMPUTED_VALUE"""),5224.81)</f>
        <v>5224.81</v>
      </c>
      <c r="D3" s="2" t="n">
        <f aca="false">IFERROR(__xludf.dummyfunction("""COMPUTED_VALUE"""),5160.78)</f>
        <v>5160.78</v>
      </c>
      <c r="E3" s="2" t="n">
        <f aca="false">IFERROR(__xludf.dummyfunction("""COMPUTED_VALUE"""),5209.91)</f>
        <v>5209.91</v>
      </c>
      <c r="F3" s="3" t="n">
        <f aca="false">IFERROR(__xludf.dummyfunction("if($T3&lt;&gt;"""",VALUE(REGEXEXTRACT(SUBSTITUTE ($T3,F$1&amp;"" CE"",""""), F$1&amp;""[\w &amp;]*, (\d+\.\d+)"")),"""")
"),5570)</f>
        <v>5570</v>
      </c>
      <c r="G3" s="3" t="n">
        <f aca="false">IFERROR(__xludf.dummyfunction("if($T3&lt;&gt;"""",VALUE(REGEXEXTRACT($T3, G$1&amp;""[\w &amp;]*, (\d+\.\d+)"")),"""")
"),5225)</f>
        <v>5225</v>
      </c>
      <c r="H3" s="3" t="n">
        <f aca="false">IFERROR(__xludf.dummyfunction("if($T3&lt;&gt;"""",VALUE(REGEXEXTRACT($T3, H$1&amp;""[\w &amp;]*, (\d+\.\d+)"")),"""")"),5420)</f>
        <v>5420</v>
      </c>
      <c r="I3" s="3" t="n">
        <f aca="false">IFERROR(__xludf.dummyfunction("if($T3&lt;&gt;"""",VALUE(REGEXEXTRACT(SUBSTITUTE ($T3,I$1&amp;"" CE"",""""), I$1&amp;""[\w &amp;]*, (\d+\.\d+)"")),"""")
"),4975)</f>
        <v>4975</v>
      </c>
      <c r="J3" s="3" t="n">
        <f aca="false">IFERROR(__xludf.dummyfunction("if($T3&lt;&gt;"""",VALUE(REGEXEXTRACT($T3, J$1&amp;""[\w &amp;]*, (\d+\.\d+)"")),"""")
"),5185)</f>
        <v>5185</v>
      </c>
      <c r="K3" s="3" t="n">
        <f aca="false">IFERROR(__xludf.dummyfunction("if($T3&lt;&gt;"""",VALUE(REGEXEXTRACT($T3, K$1&amp;""[\w &amp;]*, (\d+\.\d+)"")),"""")
"),4290)</f>
        <v>4290</v>
      </c>
      <c r="L3" s="3" t="n">
        <f aca="false">IFERROR(__xludf.dummyfunction("if($T3&lt;&gt;"""",VALUE(REGEXEXTRACT(SUBSTITUTE ($T3,L$1&amp;"" CE"",""""), L$1&amp;""[\w &amp;]*, (\d+\.\d+)"")),"""")
"),5195)</f>
        <v>5195</v>
      </c>
      <c r="M3" s="3" t="n">
        <f aca="false">IFERROR(__xludf.dummyfunction("if($T3&lt;&gt;"""",VALUE(REGEXEXTRACT($T3, M$1&amp;""[\w &amp;]*, (\d+\.\d+)"")),"""")
"),5215)</f>
        <v>5215</v>
      </c>
      <c r="N3" s="3" t="n">
        <f aca="false">IFERROR(__xludf.dummyfunction("if($T3&lt;&gt;"""",VALUE(REGEXEXTRACT(SUBSTITUTE ($T3,N$1&amp;"" CE"",""""), N$1&amp;""[\w &amp;]*, (\d+\.\d+)"")),"""")
"),4975)</f>
        <v>4975</v>
      </c>
      <c r="O3" s="3" t="n">
        <f aca="false">IFERROR(__xludf.dummyfunction("if($T3&lt;&gt;"""",VALUE(REGEXEXTRACT($T3, O$1&amp;""[\w &amp;]*, (\d+\.\d+)"")),"""")
"),5200)</f>
        <v>5200</v>
      </c>
      <c r="P3" s="2" t="n">
        <f aca="false">IFERROR(__xludf.dummyfunction("if($T3&lt;&gt;"""",VALUE(REGEXEXTRACT($T3, P$1&amp;""[\w &amp;]*, (\d+\.\d+)"")),"""")
"),5164.66)</f>
        <v>5164.66</v>
      </c>
      <c r="Q3" s="2" t="n">
        <f aca="false">IFERROR(__xludf.dummyfunction("if($T3&lt;&gt;"""",VALUE(REGEXEXTRACT($T3, Q$1&amp;""[\w &amp;]*, (\d+\.\d+)"")),"""")
"),5149.04)</f>
        <v>5149.04</v>
      </c>
      <c r="R3" s="2" t="n">
        <f aca="false">IFERROR(__xludf.dummyfunction("if($T3&lt;&gt;"""",VALUE(REGEXEXTRACT($T3, SUBSTITUTE(R$1, ""+"", ""\+"")&amp;""[\w &amp;]*, (\d+\.\d+)"")),"""")"),5240.12)</f>
        <v>5240.12</v>
      </c>
      <c r="S3" s="2" t="n">
        <f aca="false">IFERROR(__xludf.dummyfunction("if($T3&lt;&gt;"""",VALUE(REGEXEXTRACT($T3, SUBSTITUTE(S$1, ""+"", ""\+"")&amp;""[\w &amp;]*, (\d+\.\d+)"")),"""")"),5255.74)</f>
        <v>5255.74</v>
      </c>
      <c r="T3" s="5" t="s">
        <v>16</v>
      </c>
      <c r="U3" s="5"/>
    </row>
    <row r="4" customFormat="false" ht="15.75" hidden="false" customHeight="false" outlineLevel="0" collapsed="false">
      <c r="A4" s="4" t="n">
        <f aca="false">IFERROR(__xludf.dummyfunction("""COMPUTED_VALUE"""),45392.6666666667)</f>
        <v>45392.6666666667</v>
      </c>
      <c r="B4" s="2" t="n">
        <f aca="false">IFERROR(__xludf.dummyfunction("""COMPUTED_VALUE"""),5167.88)</f>
        <v>5167.88</v>
      </c>
      <c r="C4" s="2" t="n">
        <f aca="false">IFERROR(__xludf.dummyfunction("""COMPUTED_VALUE"""),5178.43)</f>
        <v>5178.43</v>
      </c>
      <c r="D4" s="2" t="n">
        <f aca="false">IFERROR(__xludf.dummyfunction("""COMPUTED_VALUE"""),5138.7)</f>
        <v>5138.7</v>
      </c>
      <c r="E4" s="2" t="n">
        <f aca="false">IFERROR(__xludf.dummyfunction("""COMPUTED_VALUE"""),5160.64)</f>
        <v>5160.64</v>
      </c>
      <c r="F4" s="3" t="n">
        <f aca="false">IFERROR(__xludf.dummyfunction("if($T4&lt;&gt;"""",VALUE(REGEXEXTRACT(SUBSTITUTE ($T4,F$1&amp;"" CE"",""""), F$1&amp;""[\w &amp;]*, (\d+\.\d+)"")),"""")
"),5570)</f>
        <v>5570</v>
      </c>
      <c r="G4" s="3" t="n">
        <f aca="false">IFERROR(__xludf.dummyfunction("if($T4&lt;&gt;"""",VALUE(REGEXEXTRACT($T4, G$1&amp;""[\w &amp;]*, (\d+\.\d+)"")),"""")
"),5250)</f>
        <v>5250</v>
      </c>
      <c r="H4" s="3" t="n">
        <f aca="false">IFERROR(__xludf.dummyfunction("if($T4&lt;&gt;"""",VALUE(REGEXEXTRACT($T4, H$1&amp;""[\w &amp;]*, (\d+\.\d+)"")),"""")"),5420)</f>
        <v>5420</v>
      </c>
      <c r="I4" s="3" t="n">
        <f aca="false">IFERROR(__xludf.dummyfunction("if($T4&lt;&gt;"""",VALUE(REGEXEXTRACT(SUBSTITUTE ($T4,I$1&amp;"" CE"",""""), I$1&amp;""[\w &amp;]*, (\d+\.\d+)"")),"""")
"),4975)</f>
        <v>4975</v>
      </c>
      <c r="J4" s="3" t="n">
        <f aca="false">IFERROR(__xludf.dummyfunction("if($T4&lt;&gt;"""",VALUE(REGEXEXTRACT($T4, J$1&amp;""[\w &amp;]*, (\d+\.\d+)"")),"""")
"),5175)</f>
        <v>5175</v>
      </c>
      <c r="K4" s="3" t="n">
        <f aca="false">IFERROR(__xludf.dummyfunction("if($T4&lt;&gt;"""",VALUE(REGEXEXTRACT($T4, K$1&amp;""[\w &amp;]*, (\d+\.\d+)"")),"""")
"),4290)</f>
        <v>4290</v>
      </c>
      <c r="L4" s="3" t="n">
        <f aca="false">IFERROR(__xludf.dummyfunction("if($T4&lt;&gt;"""",VALUE(REGEXEXTRACT(SUBSTITUTE ($T4,L$1&amp;"" CE"",""""), L$1&amp;""[\w &amp;]*, (\d+\.\d+)"")),"""")
"),5195)</f>
        <v>5195</v>
      </c>
      <c r="M4" s="3" t="n">
        <f aca="false">IFERROR(__xludf.dummyfunction("if($T4&lt;&gt;"""",VALUE(REGEXEXTRACT($T4, M$1&amp;""[\w &amp;]*, (\d+\.\d+)"")),"""")
"),5200)</f>
        <v>5200</v>
      </c>
      <c r="N4" s="3" t="n">
        <f aca="false">IFERROR(__xludf.dummyfunction("if($T4&lt;&gt;"""",VALUE(REGEXEXTRACT(SUBSTITUTE ($T4,N$1&amp;"" CE"",""""), N$1&amp;""[\w &amp;]*, (\d+\.\d+)"")),"""")
"),5570)</f>
        <v>5570</v>
      </c>
      <c r="O4" s="3" t="n">
        <f aca="false">IFERROR(__xludf.dummyfunction("if($T4&lt;&gt;"""",VALUE(REGEXEXTRACT($T4, O$1&amp;""[\w &amp;]*, (\d+\.\d+)"")),"""")
"),5200)</f>
        <v>5200</v>
      </c>
      <c r="P4" s="2" t="n">
        <f aca="false">IFERROR(__xludf.dummyfunction("if($T4&lt;&gt;"""",VALUE(REGEXEXTRACT($T4, P$1&amp;""[\w &amp;]*, (\d+\.\d+)"")),"""")
"),5169.78)</f>
        <v>5169.78</v>
      </c>
      <c r="Q4" s="2" t="n">
        <f aca="false">IFERROR(__xludf.dummyfunction("if($T4&lt;&gt;"""",VALUE(REGEXEXTRACT($T4, Q$1&amp;""[\w &amp;]*, (\d+\.\d+)"")),"""")
"),5153.16)</f>
        <v>5153.16</v>
      </c>
      <c r="R4" s="2" t="n">
        <f aca="false">IFERROR(__xludf.dummyfunction("if($T4&lt;&gt;"""",VALUE(REGEXEXTRACT($T4, SUBSTITUTE(R$1, ""+"", ""\+"")&amp;""[\w &amp;]*, (\d+\.\d+)"")),"""")"),5250.04)</f>
        <v>5250.04</v>
      </c>
      <c r="S4" s="2" t="n">
        <f aca="false">IFERROR(__xludf.dummyfunction("if($T4&lt;&gt;"""",VALUE(REGEXEXTRACT($T4, SUBSTITUTE(S$1, ""+"", ""\+"")&amp;""[\w &amp;]*, (\d+\.\d+)"")),"""")"),5266.66)</f>
        <v>5266.66</v>
      </c>
      <c r="T4" s="5" t="s">
        <v>17</v>
      </c>
      <c r="U4" s="5"/>
    </row>
    <row r="5" customFormat="false" ht="15.75" hidden="false" customHeight="false" outlineLevel="0" collapsed="false">
      <c r="A5" s="4" t="n">
        <f aca="false">IFERROR(__xludf.dummyfunction("""COMPUTED_VALUE"""),45393.6666666667)</f>
        <v>45393.6666666667</v>
      </c>
      <c r="B5" s="2" t="n">
        <f aca="false">IFERROR(__xludf.dummyfunction("""COMPUTED_VALUE"""),5172.95)</f>
        <v>5172.95</v>
      </c>
      <c r="C5" s="2" t="n">
        <f aca="false">IFERROR(__xludf.dummyfunction("""COMPUTED_VALUE"""),5211.78)</f>
        <v>5211.78</v>
      </c>
      <c r="D5" s="2" t="n">
        <f aca="false">IFERROR(__xludf.dummyfunction("""COMPUTED_VALUE"""),5138.77)</f>
        <v>5138.77</v>
      </c>
      <c r="E5" s="2" t="n">
        <f aca="false">IFERROR(__xludf.dummyfunction("""COMPUTED_VALUE"""),5199.06)</f>
        <v>5199.06</v>
      </c>
      <c r="F5" s="3" t="n">
        <f aca="false">IFERROR(__xludf.dummyfunction("if($T5&lt;&gt;"""",VALUE(REGEXEXTRACT(SUBSTITUTE ($T5,F$1&amp;"" CE"",""""), F$1&amp;""[\w &amp;]*, (\d+\.\d+)"")),"""")
"),5570)</f>
        <v>5570</v>
      </c>
      <c r="G5" s="3" t="n">
        <f aca="false">IFERROR(__xludf.dummyfunction("if($T5&lt;&gt;"""",VALUE(REGEXEXTRACT($T5, G$1&amp;""[\w &amp;]*, (\d+\.\d+)"")),"""")
"),5200)</f>
        <v>5200</v>
      </c>
      <c r="H5" s="3" t="n">
        <f aca="false">IFERROR(__xludf.dummyfunction("if($T5&lt;&gt;"""",VALUE(REGEXEXTRACT($T5, H$1&amp;""[\w &amp;]*, (\d+\.\d+)"")),"""")"),5420)</f>
        <v>5420</v>
      </c>
      <c r="I5" s="3" t="n">
        <f aca="false">IFERROR(__xludf.dummyfunction("if($T5&lt;&gt;"""",VALUE(REGEXEXTRACT(SUBSTITUTE ($T5,I$1&amp;"" CE"",""""), I$1&amp;""[\w &amp;]*, (\d+\.\d+)"")),"""")
"),4975)</f>
        <v>4975</v>
      </c>
      <c r="J5" s="3" t="n">
        <f aca="false">IFERROR(__xludf.dummyfunction("if($T5&lt;&gt;"""",VALUE(REGEXEXTRACT($T5, J$1&amp;""[\w &amp;]*, (\d+\.\d+)"")),"""")
"),5105)</f>
        <v>5105</v>
      </c>
      <c r="K5" s="3" t="n">
        <f aca="false">IFERROR(__xludf.dummyfunction("if($T5&lt;&gt;"""",VALUE(REGEXEXTRACT($T5, K$1&amp;""[\w &amp;]*, (\d+\.\d+)"")),"""")
"),4290)</f>
        <v>4290</v>
      </c>
      <c r="L5" s="3" t="n">
        <f aca="false">IFERROR(__xludf.dummyfunction("if($T5&lt;&gt;"""",VALUE(REGEXEXTRACT(SUBSTITUTE ($T5,L$1&amp;"" CE"",""""), L$1&amp;""[\w &amp;]*, (\d+\.\d+)"")),"""")
"),5195)</f>
        <v>5195</v>
      </c>
      <c r="M5" s="3" t="n">
        <f aca="false">IFERROR(__xludf.dummyfunction("if($T5&lt;&gt;"""",VALUE(REGEXEXTRACT($T5, M$1&amp;""[\w &amp;]*, (\d+\.\d+)"")),"""")
"),5145)</f>
        <v>5145</v>
      </c>
      <c r="N5" s="3" t="n">
        <f aca="false">IFERROR(__xludf.dummyfunction("if($T5&lt;&gt;"""",VALUE(REGEXEXTRACT(SUBSTITUTE ($T5,N$1&amp;"" CE"",""""), N$1&amp;""[\w &amp;]*, (\d+\.\d+)"")),"""")
"),4975)</f>
        <v>4975</v>
      </c>
      <c r="O5" s="3" t="n">
        <f aca="false">IFERROR(__xludf.dummyfunction("if($T5&lt;&gt;"""",VALUE(REGEXEXTRACT($T5, O$1&amp;""[\w &amp;]*, (\d+\.\d+)"")),"""")
"),5150)</f>
        <v>5150</v>
      </c>
      <c r="P5" s="2" t="n">
        <f aca="false">IFERROR(__xludf.dummyfunction("if($T5&lt;&gt;"""",VALUE(REGEXEXTRACT($T5, P$1&amp;""[\w &amp;]*, (\d+\.\d+)"")),"""")
"),5119.2)</f>
        <v>5119.2</v>
      </c>
      <c r="Q5" s="2" t="n">
        <f aca="false">IFERROR(__xludf.dummyfunction("if($T5&lt;&gt;"""",VALUE(REGEXEXTRACT($T5, Q$1&amp;""[\w &amp;]*, (\d+\.\d+)"")),"""")
"),5102.03)</f>
        <v>5102.03</v>
      </c>
      <c r="R5" s="2" t="n">
        <f aca="false">IFERROR(__xludf.dummyfunction("if($T5&lt;&gt;"""",VALUE(REGEXEXTRACT($T5, SUBSTITUTE(R$1, ""+"", ""\+"")&amp;""[\w &amp;]*, (\d+\.\d+)"")),"""")"),5202.08)</f>
        <v>5202.08</v>
      </c>
      <c r="S5" s="2" t="n">
        <f aca="false">IFERROR(__xludf.dummyfunction("if($T5&lt;&gt;"""",VALUE(REGEXEXTRACT($T5, SUBSTITUTE(S$1, ""+"", ""\+"")&amp;""[\w &amp;]*, (\d+\.\d+)"")),"""")"),5219.25)</f>
        <v>5219.25</v>
      </c>
      <c r="T5" s="5" t="s">
        <v>18</v>
      </c>
      <c r="U5" s="5"/>
    </row>
    <row r="6" customFormat="false" ht="15.75" hidden="false" customHeight="false" outlineLevel="0" collapsed="false">
      <c r="A6" s="4" t="n">
        <f aca="false">IFERROR(__xludf.dummyfunction("""COMPUTED_VALUE"""),45394.6666666667)</f>
        <v>45394.6666666667</v>
      </c>
      <c r="B6" s="2" t="n">
        <f aca="false">IFERROR(__xludf.dummyfunction("""COMPUTED_VALUE"""),5171.51)</f>
        <v>5171.51</v>
      </c>
      <c r="C6" s="2" t="n">
        <f aca="false">IFERROR(__xludf.dummyfunction("""COMPUTED_VALUE"""),5175.03)</f>
        <v>5175.03</v>
      </c>
      <c r="D6" s="2" t="n">
        <f aca="false">IFERROR(__xludf.dummyfunction("""COMPUTED_VALUE"""),5107.94)</f>
        <v>5107.94</v>
      </c>
      <c r="E6" s="2" t="n">
        <f aca="false">IFERROR(__xludf.dummyfunction("""COMPUTED_VALUE"""),5123.41)</f>
        <v>5123.41</v>
      </c>
      <c r="F6" s="3" t="n">
        <f aca="false">IFERROR(__xludf.dummyfunction("if($T6&lt;&gt;"""",VALUE(REGEXEXTRACT(SUBSTITUTE ($T6,F$1&amp;"" CE"",""""), F$1&amp;""[\w &amp;]*, (\d+\.\d+)"")),"""")
"),5000)</f>
        <v>5000</v>
      </c>
      <c r="G6" s="3" t="n">
        <f aca="false">IFERROR(__xludf.dummyfunction("if($T6&lt;&gt;"""",VALUE(REGEXEXTRACT($T6, G$1&amp;""[\w &amp;]*, (\d+\.\d+)"")),"""")
"),5200)</f>
        <v>5200</v>
      </c>
      <c r="H6" s="3" t="n">
        <f aca="false">IFERROR(__xludf.dummyfunction("if($T6&lt;&gt;"""",VALUE(REGEXEXTRACT($T6, H$1&amp;""[\w &amp;]*, (\d+\.\d+)"")),"""")"),5420)</f>
        <v>5420</v>
      </c>
      <c r="I6" s="3" t="n">
        <f aca="false">IFERROR(__xludf.dummyfunction("if($T6&lt;&gt;"""",VALUE(REGEXEXTRACT(SUBSTITUTE ($T6,I$1&amp;"" CE"",""""), I$1&amp;""[\w &amp;]*, (\d+\.\d+)"")),"""")
"),5000)</f>
        <v>5000</v>
      </c>
      <c r="J6" s="3" t="n">
        <f aca="false">IFERROR(__xludf.dummyfunction("if($T6&lt;&gt;"""",VALUE(REGEXEXTRACT($T6, J$1&amp;""[\w &amp;]*, (\d+\.\d+)"")),"""")
"),5175)</f>
        <v>5175</v>
      </c>
      <c r="K6" s="3" t="n">
        <f aca="false">IFERROR(__xludf.dummyfunction("if($T6&lt;&gt;"""",VALUE(REGEXEXTRACT($T6, K$1&amp;""[\w &amp;]*, (\d+\.\d+)"")),"""")
"),4525)</f>
        <v>4525</v>
      </c>
      <c r="L6" s="3" t="n">
        <f aca="false">IFERROR(__xludf.dummyfunction("if($T6&lt;&gt;"""",VALUE(REGEXEXTRACT(SUBSTITUTE ($T6,L$1&amp;"" CE"",""""), L$1&amp;""[\w &amp;]*, (\d+\.\d+)"")),"""")
"),5190)</f>
        <v>5190</v>
      </c>
      <c r="M6" s="3" t="n">
        <f aca="false">IFERROR(__xludf.dummyfunction("if($T6&lt;&gt;"""",VALUE(REGEXEXTRACT($T6, M$1&amp;""[\w &amp;]*, (\d+\.\d+)"")),"""")
"),5190)</f>
        <v>5190</v>
      </c>
      <c r="N6" s="3" t="n">
        <f aca="false">IFERROR(__xludf.dummyfunction("if($T6&lt;&gt;"""",VALUE(REGEXEXTRACT(SUBSTITUTE ($T6,N$1&amp;"" CE"",""""), N$1&amp;""[\w &amp;]*, (\d+\.\d+)"")),"""")
"),5000)</f>
        <v>5000</v>
      </c>
      <c r="O6" s="3" t="n">
        <f aca="false">IFERROR(__xludf.dummyfunction("if($T6&lt;&gt;"""",VALUE(REGEXEXTRACT($T6, O$1&amp;""[\w &amp;]*, (\d+\.\d+)"")),"""")
"),5200)</f>
        <v>5200</v>
      </c>
      <c r="P6" s="2" t="n">
        <f aca="false">IFERROR(__xludf.dummyfunction("if($T6&lt;&gt;"""",VALUE(REGEXEXTRACT($T6, P$1&amp;""[\w &amp;]*, (\d+\.\d+)"")),"""")
"),5162.08)</f>
        <v>5162.08</v>
      </c>
      <c r="Q6" s="2" t="n">
        <f aca="false">IFERROR(__xludf.dummyfunction("if($T6&lt;&gt;"""",VALUE(REGEXEXTRACT($T6, Q$1&amp;""[\w &amp;]*, (\d+\.\d+)"")),"""")
"),5125.11)</f>
        <v>5125.11</v>
      </c>
      <c r="R6" s="2" t="n">
        <f aca="false">IFERROR(__xludf.dummyfunction("if($T6&lt;&gt;"""",VALUE(REGEXEXTRACT($T6, SUBSTITUTE(R$1, ""+"", ""\+"")&amp;""[\w &amp;]*, (\d+\.\d+)"")),"""")"),5236.04)</f>
        <v>5236.04</v>
      </c>
      <c r="S6" s="2" t="n">
        <f aca="false">IFERROR(__xludf.dummyfunction("if($T6&lt;&gt;"""",VALUE(REGEXEXTRACT($T6, SUBSTITUTE(S$1, ""+"", ""\+"")&amp;""[\w &amp;]*, (\d+\.\d+)"")),"""")"),5273.01)</f>
        <v>5273.01</v>
      </c>
      <c r="T6" s="5" t="s">
        <v>19</v>
      </c>
      <c r="U6" s="5"/>
    </row>
    <row r="7" customFormat="false" ht="15.75" hidden="false" customHeight="false" outlineLevel="0" collapsed="false">
      <c r="A7" s="4" t="n">
        <f aca="false">IFERROR(__xludf.dummyfunction("""COMPUTED_VALUE"""),45397.6666666667)</f>
        <v>45397.6666666667</v>
      </c>
      <c r="B7" s="2" t="n">
        <f aca="false">IFERROR(__xludf.dummyfunction("""COMPUTED_VALUE"""),5149.67)</f>
        <v>5149.67</v>
      </c>
      <c r="C7" s="2" t="n">
        <f aca="false">IFERROR(__xludf.dummyfunction("""COMPUTED_VALUE"""),5168.43)</f>
        <v>5168.43</v>
      </c>
      <c r="D7" s="2" t="n">
        <f aca="false">IFERROR(__xludf.dummyfunction("""COMPUTED_VALUE"""),5052.47)</f>
        <v>5052.47</v>
      </c>
      <c r="E7" s="2" t="n">
        <f aca="false">IFERROR(__xludf.dummyfunction("""COMPUTED_VALUE"""),5061.82)</f>
        <v>5061.82</v>
      </c>
      <c r="F7" s="3" t="n">
        <f aca="false">IFERROR(__xludf.dummyfunction("if($T7&lt;&gt;"""",VALUE(REGEXEXTRACT(SUBSTITUTE ($T7,F$1&amp;"" CE"",""""), F$1&amp;""[\w &amp;]*, (\d+\.\d+)"")),"""")
"),5000)</f>
        <v>5000</v>
      </c>
      <c r="G7" s="3" t="n">
        <f aca="false">IFERROR(__xludf.dummyfunction("if($T7&lt;&gt;"""",VALUE(REGEXEXTRACT($T7, G$1&amp;""[\w &amp;]*, (\d+\.\d+)"")),"""")
"),5175)</f>
        <v>5175</v>
      </c>
      <c r="H7" s="3" t="n">
        <f aca="false">IFERROR(__xludf.dummyfunction("if($T7&lt;&gt;"""",VALUE(REGEXEXTRACT($T7, H$1&amp;""[\w &amp;]*, (\d+\.\d+)"")),"""")"),5420)</f>
        <v>5420</v>
      </c>
      <c r="I7" s="3" t="n">
        <f aca="false">IFERROR(__xludf.dummyfunction("if($T7&lt;&gt;"""",VALUE(REGEXEXTRACT(SUBSTITUTE ($T7,I$1&amp;"" CE"",""""), I$1&amp;""[\w &amp;]*, (\d+\.\d+)"")),"""")
"),5000)</f>
        <v>5000</v>
      </c>
      <c r="J7" s="3" t="n">
        <f aca="false">IFERROR(__xludf.dummyfunction("if($T7&lt;&gt;"""",VALUE(REGEXEXTRACT($T7, J$1&amp;""[\w &amp;]*, (\d+\.\d+)"")),"""")
"),5065)</f>
        <v>5065</v>
      </c>
      <c r="K7" s="3" t="n">
        <f aca="false">IFERROR(__xludf.dummyfunction("if($T7&lt;&gt;"""",VALUE(REGEXEXTRACT($T7, K$1&amp;""[\w &amp;]*, (\d+\.\d+)"")),"""")
"),4525)</f>
        <v>4525</v>
      </c>
      <c r="L7" s="3" t="n">
        <f aca="false">IFERROR(__xludf.dummyfunction("if($T7&lt;&gt;"""",VALUE(REGEXEXTRACT(SUBSTITUTE ($T7,L$1&amp;"" CE"",""""), L$1&amp;""[\w &amp;]*, (\d+\.\d+)"")),"""")
"),5160)</f>
        <v>5160</v>
      </c>
      <c r="M7" s="3" t="n">
        <f aca="false">IFERROR(__xludf.dummyfunction("if($T7&lt;&gt;"""",VALUE(REGEXEXTRACT($T7, M$1&amp;""[\w &amp;]*, (\d+\.\d+)"")),"""")
"),5145)</f>
        <v>5145</v>
      </c>
      <c r="N7" s="3" t="n">
        <f aca="false">IFERROR(__xludf.dummyfunction("if($T7&lt;&gt;"""",VALUE(REGEXEXTRACT(SUBSTITUTE ($T7,N$1&amp;"" CE"",""""), N$1&amp;""[\w &amp;]*, (\d+\.\d+)"")),"""")
"),5000)</f>
        <v>5000</v>
      </c>
      <c r="O7" s="3" t="n">
        <f aca="false">IFERROR(__xludf.dummyfunction("if($T7&lt;&gt;"""",VALUE(REGEXEXTRACT($T7, O$1&amp;""[\w &amp;]*, (\d+\.\d+)"")),"""")
"),5175)</f>
        <v>5175</v>
      </c>
      <c r="P7" s="2" t="n">
        <f aca="false">IFERROR(__xludf.dummyfunction("if($T7&lt;&gt;"""",VALUE(REGEXEXTRACT($T7, P$1&amp;""[\w &amp;]*, (\d+\.\d+)"")),"""")
"),5080.67)</f>
        <v>5080.67</v>
      </c>
      <c r="Q7" s="2" t="n">
        <f aca="false">IFERROR(__xludf.dummyfunction("if($T7&lt;&gt;"""",VALUE(REGEXEXTRACT($T7, Q$1&amp;""[\w &amp;]*, (\d+\.\d+)"")),"""")
"),5062.96)</f>
        <v>5062.96</v>
      </c>
      <c r="R7" s="2" t="n">
        <f aca="false">IFERROR(__xludf.dummyfunction("if($T7&lt;&gt;"""",VALUE(REGEXEXTRACT($T7, SUBSTITUTE(R$1, ""+"", ""\+"")&amp;""[\w &amp;]*, (\d+\.\d+)"")),"""")"),5166.15)</f>
        <v>5166.15</v>
      </c>
      <c r="S7" s="2" t="n">
        <f aca="false">IFERROR(__xludf.dummyfunction("if($T7&lt;&gt;"""",VALUE(REGEXEXTRACT($T7, SUBSTITUTE(S$1, ""+"", ""\+"")&amp;""[\w &amp;]*, (\d+\.\d+)"")),"""")"),5183.86)</f>
        <v>5183.86</v>
      </c>
      <c r="T7" s="5" t="s">
        <v>20</v>
      </c>
      <c r="U7" s="5"/>
    </row>
    <row r="8" customFormat="false" ht="15.75" hidden="false" customHeight="false" outlineLevel="0" collapsed="false">
      <c r="A8" s="4" t="n">
        <f aca="false">IFERROR(__xludf.dummyfunction("""COMPUTED_VALUE"""),45398.6666666667)</f>
        <v>45398.6666666667</v>
      </c>
      <c r="B8" s="2" t="n">
        <f aca="false">IFERROR(__xludf.dummyfunction("""COMPUTED_VALUE"""),5064.59)</f>
        <v>5064.59</v>
      </c>
      <c r="C8" s="2" t="n">
        <f aca="false">IFERROR(__xludf.dummyfunction("""COMPUTED_VALUE"""),5079.84)</f>
        <v>5079.84</v>
      </c>
      <c r="D8" s="2" t="n">
        <f aca="false">IFERROR(__xludf.dummyfunction("""COMPUTED_VALUE"""),5039.83)</f>
        <v>5039.83</v>
      </c>
      <c r="E8" s="2" t="n">
        <f aca="false">IFERROR(__xludf.dummyfunction("""COMPUTED_VALUE"""),5051.41)</f>
        <v>5051.41</v>
      </c>
      <c r="F8" s="3" t="n">
        <f aca="false">IFERROR(__xludf.dummyfunction("if($T8&lt;&gt;"""",VALUE(REGEXEXTRACT(SUBSTITUTE ($T8,F$1&amp;"" CE"",""""), F$1&amp;""[\w &amp;]*, (\d+\.\d+)"")),"""")
"),5000)</f>
        <v>5000</v>
      </c>
      <c r="G8" s="3" t="n">
        <f aca="false">IFERROR(__xludf.dummyfunction("if($T8&lt;&gt;"""",VALUE(REGEXEXTRACT($T8, G$1&amp;""[\w &amp;]*, (\d+\.\d+)"")),"""")
"),5105)</f>
        <v>5105</v>
      </c>
      <c r="H8" s="3" t="n">
        <f aca="false">IFERROR(__xludf.dummyfunction("if($T8&lt;&gt;"""",VALUE(REGEXEXTRACT($T8, H$1&amp;""[\w &amp;]*, (\d+\.\d+)"")),"""")"),5420)</f>
        <v>5420</v>
      </c>
      <c r="I8" s="3" t="n">
        <f aca="false">IFERROR(__xludf.dummyfunction("if($T8&lt;&gt;"""",VALUE(REGEXEXTRACT(SUBSTITUTE ($T8,I$1&amp;"" CE"",""""), I$1&amp;""[\w &amp;]*, (\d+\.\d+)"")),"""")
"),5000)</f>
        <v>5000</v>
      </c>
      <c r="J8" s="3" t="n">
        <f aca="false">IFERROR(__xludf.dummyfunction("if($T8&lt;&gt;"""",VALUE(REGEXEXTRACT($T8, J$1&amp;""[\w &amp;]*, (\d+\.\d+)"")),"""")
"),5015)</f>
        <v>5015</v>
      </c>
      <c r="K8" s="3" t="n">
        <f aca="false">IFERROR(__xludf.dummyfunction("if($T8&lt;&gt;"""",VALUE(REGEXEXTRACT($T8, K$1&amp;""[\w &amp;]*, (\d+\.\d+)"")),"""")
"),4525)</f>
        <v>4525</v>
      </c>
      <c r="L8" s="3" t="n">
        <f aca="false">IFERROR(__xludf.dummyfunction("if($T8&lt;&gt;"""",VALUE(REGEXEXTRACT(SUBSTITUTE ($T8,L$1&amp;"" CE"",""""), L$1&amp;""[\w &amp;]*, (\d+\.\d+)"")),"""")
"),5100)</f>
        <v>5100</v>
      </c>
      <c r="M8" s="3" t="n">
        <f aca="false">IFERROR(__xludf.dummyfunction("if($T8&lt;&gt;"""",VALUE(REGEXEXTRACT($T8, M$1&amp;""[\w &amp;]*, (\d+\.\d+)"")),"""")
"),5100)</f>
        <v>5100</v>
      </c>
      <c r="N8" s="3" t="n">
        <f aca="false">IFERROR(__xludf.dummyfunction("if($T8&lt;&gt;"""",VALUE(REGEXEXTRACT(SUBSTITUTE ($T8,N$1&amp;"" CE"",""""), N$1&amp;""[\w &amp;]*, (\d+\.\d+)"")),"""")
"),5000)</f>
        <v>5000</v>
      </c>
      <c r="O8" s="3" t="n">
        <f aca="false">IFERROR(__xludf.dummyfunction("if($T8&lt;&gt;"""",VALUE(REGEXEXTRACT($T8, O$1&amp;""[\w &amp;]*, (\d+\.\d+)"")),"""")
"),5105)</f>
        <v>5105</v>
      </c>
      <c r="P8" s="2" t="n">
        <f aca="false">IFERROR(__xludf.dummyfunction("if($T8&lt;&gt;"""",VALUE(REGEXEXTRACT($T8, P$1&amp;""[\w &amp;]*, (\d+\.\d+)"")),"""")
"),5014.42)</f>
        <v>5014.42</v>
      </c>
      <c r="Q8" s="2" t="n">
        <f aca="false">IFERROR(__xludf.dummyfunction("if($T8&lt;&gt;"""",VALUE(REGEXEXTRACT($T8, Q$1&amp;""[\w &amp;]*, (\d+\.\d+)"")),"""")
"),4994.79)</f>
        <v>4994.79</v>
      </c>
      <c r="R8" s="2" t="n">
        <f aca="false">IFERROR(__xludf.dummyfunction("if($T8&lt;&gt;"""",VALUE(REGEXEXTRACT($T8, SUBSTITUTE(R$1, ""+"", ""\+"")&amp;""[\w &amp;]*, (\d+\.\d+)"")),"""")"),5109.22)</f>
        <v>5109.22</v>
      </c>
      <c r="S8" s="2" t="n">
        <f aca="false">IFERROR(__xludf.dummyfunction("if($T8&lt;&gt;"""",VALUE(REGEXEXTRACT($T8, SUBSTITUTE(S$1, ""+"", ""\+"")&amp;""[\w &amp;]*, (\d+\.\d+)"")),"""")"),5128.85)</f>
        <v>5128.85</v>
      </c>
      <c r="T8" s="5" t="s">
        <v>21</v>
      </c>
      <c r="U8" s="5"/>
    </row>
    <row r="9" customFormat="false" ht="15.75" hidden="false" customHeight="false" outlineLevel="0" collapsed="false">
      <c r="A9" s="4" t="n">
        <f aca="false">IFERROR(__xludf.dummyfunction("""COMPUTED_VALUE"""),45399.6666666667)</f>
        <v>45399.6666666667</v>
      </c>
      <c r="B9" s="2" t="n">
        <f aca="false">IFERROR(__xludf.dummyfunction("""COMPUTED_VALUE"""),5068.97)</f>
        <v>5068.97</v>
      </c>
      <c r="C9" s="2" t="n">
        <f aca="false">IFERROR(__xludf.dummyfunction("""COMPUTED_VALUE"""),5077.96)</f>
        <v>5077.96</v>
      </c>
      <c r="D9" s="2" t="n">
        <f aca="false">IFERROR(__xludf.dummyfunction("""COMPUTED_VALUE"""),5007.25)</f>
        <v>5007.25</v>
      </c>
      <c r="E9" s="2" t="n">
        <f aca="false">IFERROR(__xludf.dummyfunction("""COMPUTED_VALUE"""),5022.21)</f>
        <v>5022.21</v>
      </c>
      <c r="F9" s="3" t="n">
        <f aca="false">IFERROR(__xludf.dummyfunction("if($T9&lt;&gt;"""",VALUE(REGEXEXTRACT(SUBSTITUTE ($T9,F$1&amp;"" CE"",""""), F$1&amp;""[\w &amp;]*, (\d+\.\d+)"")),"""")
"),5000)</f>
        <v>5000</v>
      </c>
      <c r="G9" s="3" t="n">
        <f aca="false">IFERROR(__xludf.dummyfunction("if($T9&lt;&gt;"""",VALUE(REGEXEXTRACT($T9, G$1&amp;""[\w &amp;]*, (\d+\.\d+)"")),"""")
"),5110)</f>
        <v>5110</v>
      </c>
      <c r="H9" s="3" t="n">
        <f aca="false">IFERROR(__xludf.dummyfunction("if($T9&lt;&gt;"""",VALUE(REGEXEXTRACT($T9, H$1&amp;""[\w &amp;]*, (\d+\.\d+)"")),"""")"),5420)</f>
        <v>5420</v>
      </c>
      <c r="I9" s="3" t="n">
        <f aca="false">IFERROR(__xludf.dummyfunction("if($T9&lt;&gt;"""",VALUE(REGEXEXTRACT(SUBSTITUTE ($T9,I$1&amp;"" CE"",""""), I$1&amp;""[\w &amp;]*, (\d+\.\d+)"")),"""")
"),5000)</f>
        <v>5000</v>
      </c>
      <c r="J9" s="3" t="n">
        <f aca="false">IFERROR(__xludf.dummyfunction("if($T9&lt;&gt;"""",VALUE(REGEXEXTRACT($T9, J$1&amp;""[\w &amp;]*, (\d+\.\d+)"")),"""")
"),5000)</f>
        <v>5000</v>
      </c>
      <c r="K9" s="3" t="n">
        <f aca="false">IFERROR(__xludf.dummyfunction("if($T9&lt;&gt;"""",VALUE(REGEXEXTRACT($T9, K$1&amp;""[\w &amp;]*, (\d+\.\d+)"")),"""")
"),4525)</f>
        <v>4525</v>
      </c>
      <c r="L9" s="3" t="n">
        <f aca="false">IFERROR(__xludf.dummyfunction("if($T9&lt;&gt;"""",VALUE(REGEXEXTRACT(SUBSTITUTE ($T9,L$1&amp;"" CE"",""""), L$1&amp;""[\w &amp;]*, (\d+\.\d+)"")),"""")
"),5125)</f>
        <v>5125</v>
      </c>
      <c r="M9" s="3" t="n">
        <f aca="false">IFERROR(__xludf.dummyfunction("if($T9&lt;&gt;"""",VALUE(REGEXEXTRACT($T9, M$1&amp;""[\w &amp;]*, (\d+\.\d+)"")),"""")
"),5080)</f>
        <v>5080</v>
      </c>
      <c r="N9" s="3" t="n">
        <f aca="false">IFERROR(__xludf.dummyfunction("if($T9&lt;&gt;"""",VALUE(REGEXEXTRACT(SUBSTITUTE ($T9,N$1&amp;"" CE"",""""), N$1&amp;""[\w &amp;]*, (\d+\.\d+)"")),"""")
"),5000)</f>
        <v>5000</v>
      </c>
      <c r="O9" s="3" t="n">
        <f aca="false">IFERROR(__xludf.dummyfunction("if($T9&lt;&gt;"""",VALUE(REGEXEXTRACT($T9, O$1&amp;""[\w &amp;]*, (\d+\.\d+)"")),"""")
"),5100)</f>
        <v>5100</v>
      </c>
      <c r="P9" s="2" t="n">
        <f aca="false">IFERROR(__xludf.dummyfunction("if($T9&lt;&gt;"""",VALUE(REGEXEXTRACT($T9, P$1&amp;""[\w &amp;]*, (\d+\.\d+)"")),"""")
"),5006.32)</f>
        <v>5006.32</v>
      </c>
      <c r="Q9" s="2" t="n">
        <f aca="false">IFERROR(__xludf.dummyfunction("if($T9&lt;&gt;"""",VALUE(REGEXEXTRACT($T9, Q$1&amp;""[\w &amp;]*, (\d+\.\d+)"")),"""")
"),4987.65)</f>
        <v>4987.65</v>
      </c>
      <c r="R9" s="2" t="n">
        <f aca="false">IFERROR(__xludf.dummyfunction("if($T9&lt;&gt;"""",VALUE(REGEXEXTRACT($T9, SUBSTITUTE(R$1, ""+"", ""\+"")&amp;""[\w &amp;]*, (\d+\.\d+)"")),"""")"),5096.5)</f>
        <v>5096.5</v>
      </c>
      <c r="S9" s="2" t="n">
        <f aca="false">IFERROR(__xludf.dummyfunction("if($T9&lt;&gt;"""",VALUE(REGEXEXTRACT($T9, SUBSTITUTE(S$1, ""+"", ""\+"")&amp;""[\w &amp;]*, (\d+\.\d+)"")),"""")"),5115.17)</f>
        <v>5115.17</v>
      </c>
      <c r="T9" s="5" t="s">
        <v>22</v>
      </c>
      <c r="U9" s="5"/>
    </row>
    <row r="10" customFormat="false" ht="15.75" hidden="false" customHeight="false" outlineLevel="0" collapsed="false">
      <c r="A10" s="4" t="n">
        <f aca="false">IFERROR(__xludf.dummyfunction("""COMPUTED_VALUE"""),45400.6666666667)</f>
        <v>45400.6666666667</v>
      </c>
      <c r="B10" s="2" t="n">
        <f aca="false">IFERROR(__xludf.dummyfunction("""COMPUTED_VALUE"""),5031.52)</f>
        <v>5031.52</v>
      </c>
      <c r="C10" s="2" t="n">
        <f aca="false">IFERROR(__xludf.dummyfunction("""COMPUTED_VALUE"""),5056.66)</f>
        <v>5056.66</v>
      </c>
      <c r="D10" s="2" t="n">
        <f aca="false">IFERROR(__xludf.dummyfunction("""COMPUTED_VALUE"""),5001.89)</f>
        <v>5001.89</v>
      </c>
      <c r="E10" s="2" t="n">
        <f aca="false">IFERROR(__xludf.dummyfunction("""COMPUTED_VALUE"""),5011.12)</f>
        <v>5011.12</v>
      </c>
      <c r="F10" s="3" t="n">
        <f aca="false">IFERROR(__xludf.dummyfunction("if($T10&lt;&gt;"""",VALUE(REGEXEXTRACT(SUBSTITUTE ($T10,F$1&amp;"" CE"",""""), F$1&amp;""[\w &amp;]*, (\d+\.\d+)"")),"""")
"),5000)</f>
        <v>5000</v>
      </c>
      <c r="G10" s="3" t="n">
        <f aca="false">IFERROR(__xludf.dummyfunction("if($T10&lt;&gt;"""",VALUE(REGEXEXTRACT($T10, G$1&amp;""[\w &amp;]*, (\d+\.\d+)"")),"""")
"),5080)</f>
        <v>5080</v>
      </c>
      <c r="H10" s="3" t="n">
        <f aca="false">IFERROR(__xludf.dummyfunction("if($T10&lt;&gt;"""",VALUE(REGEXEXTRACT($T10, H$1&amp;""[\w &amp;]*, (\d+\.\d+)"")),"""")"),5420)</f>
        <v>5420</v>
      </c>
      <c r="I10" s="3" t="n">
        <f aca="false">IFERROR(__xludf.dummyfunction("if($T10&lt;&gt;"""",VALUE(REGEXEXTRACT(SUBSTITUTE ($T10,I$1&amp;"" CE"",""""), I$1&amp;""[\w &amp;]*, (\d+\.\d+)"")),"""")
"),5000)</f>
        <v>5000</v>
      </c>
      <c r="J10" s="3" t="n">
        <f aca="false">IFERROR(__xludf.dummyfunction("if($T10&lt;&gt;"""",VALUE(REGEXEXTRACT($T10, J$1&amp;""[\w &amp;]*, (\d+\.\d+)"")),"""")
"),5020)</f>
        <v>5020</v>
      </c>
      <c r="K10" s="3" t="n">
        <f aca="false">IFERROR(__xludf.dummyfunction("if($T10&lt;&gt;"""",VALUE(REGEXEXTRACT($T10, K$1&amp;""[\w &amp;]*, (\d+\.\d+)"")),"""")
"),4525)</f>
        <v>4525</v>
      </c>
      <c r="L10" s="3" t="n">
        <f aca="false">IFERROR(__xludf.dummyfunction("if($T10&lt;&gt;"""",VALUE(REGEXEXTRACT(SUBSTITUTE ($T10,L$1&amp;"" CE"",""""), L$1&amp;""[\w &amp;]*, (\d+\.\d+)"")),"""")
"),5100)</f>
        <v>5100</v>
      </c>
      <c r="M10" s="3" t="n">
        <f aca="false">IFERROR(__xludf.dummyfunction("if($T10&lt;&gt;"""",VALUE(REGEXEXTRACT($T10, M$1&amp;""[\w &amp;]*, (\d+\.\d+)"")),"""")
"),5035)</f>
        <v>5035</v>
      </c>
      <c r="N10" s="3" t="n">
        <f aca="false">IFERROR(__xludf.dummyfunction("if($T10&lt;&gt;"""",VALUE(REGEXEXTRACT(SUBSTITUTE ($T10,N$1&amp;"" CE"",""""), N$1&amp;""[\w &amp;]*, (\d+\.\d+)"")),"""")
"),5000)</f>
        <v>5000</v>
      </c>
      <c r="O10" s="3" t="n">
        <f aca="false">IFERROR(__xludf.dummyfunction("if($T10&lt;&gt;"""",VALUE(REGEXEXTRACT($T10, O$1&amp;""[\w &amp;]*, (\d+\.\d+)"")),"""")
"),5020)</f>
        <v>5020</v>
      </c>
      <c r="P10" s="2" t="n">
        <f aca="false">IFERROR(__xludf.dummyfunction("if($T10&lt;&gt;"""",VALUE(REGEXEXTRACT($T10, P$1&amp;""[\w &amp;]*, (\d+\.\d+)"")),"""")
"),4978.66)</f>
        <v>4978.66</v>
      </c>
      <c r="Q10" s="2" t="n">
        <f aca="false">IFERROR(__xludf.dummyfunction("if($T10&lt;&gt;"""",VALUE(REGEXEXTRACT($T10, Q$1&amp;""[\w &amp;]*, (\d+\.\d+)"")),"""")
"),4960.99)</f>
        <v>4960.99</v>
      </c>
      <c r="R10" s="2" t="n">
        <f aca="false">IFERROR(__xludf.dummyfunction("if($T10&lt;&gt;"""",VALUE(REGEXEXTRACT($T10, SUBSTITUTE(R$1, ""+"", ""\+"")&amp;""[\w &amp;]*, (\d+\.\d+)"")),"""")"),5065.76)</f>
        <v>5065.76</v>
      </c>
      <c r="S10" s="2" t="n">
        <f aca="false">IFERROR(__xludf.dummyfunction("if($T10&lt;&gt;"""",VALUE(REGEXEXTRACT($T10, SUBSTITUTE(S$1, ""+"", ""\+"")&amp;""[\w &amp;]*, (\d+\.\d+)"")),"""")"),5083.43)</f>
        <v>5083.43</v>
      </c>
      <c r="T10" s="5" t="s">
        <v>23</v>
      </c>
      <c r="U10" s="5"/>
    </row>
    <row r="11" customFormat="false" ht="15.75" hidden="false" customHeight="false" outlineLevel="0" collapsed="false">
      <c r="A11" s="4" t="n">
        <f aca="false">IFERROR(__xludf.dummyfunction("""COMPUTED_VALUE"""),45401.6666666667)</f>
        <v>45401.6666666667</v>
      </c>
      <c r="B11" s="2" t="n">
        <f aca="false">IFERROR(__xludf.dummyfunction("""COMPUTED_VALUE"""),5005.44)</f>
        <v>5005.44</v>
      </c>
      <c r="C11" s="2" t="n">
        <f aca="false">IFERROR(__xludf.dummyfunction("""COMPUTED_VALUE"""),5019.02)</f>
        <v>5019.02</v>
      </c>
      <c r="D11" s="2" t="n">
        <f aca="false">IFERROR(__xludf.dummyfunction("""COMPUTED_VALUE"""),4953.56)</f>
        <v>4953.56</v>
      </c>
      <c r="E11" s="2" t="n">
        <f aca="false">IFERROR(__xludf.dummyfunction("""COMPUTED_VALUE"""),4967.23)</f>
        <v>4967.23</v>
      </c>
      <c r="F11" s="3" t="n">
        <f aca="false">IFERROR(__xludf.dummyfunction("if($T11&lt;&gt;"""",VALUE(REGEXEXTRACT(SUBSTITUTE ($T11,F$1&amp;"" CE"",""""), F$1&amp;""[\w &amp;]*, (\d+\.\d+)"")),"""")
"),5000)</f>
        <v>5000</v>
      </c>
      <c r="G11" s="3" t="n">
        <f aca="false">IFERROR(__xludf.dummyfunction("if($T11&lt;&gt;"""",VALUE(REGEXEXTRACT($T11, G$1&amp;""[\w &amp;]*, (\d+\.\d+)"")),"""")
"),5060)</f>
        <v>5060</v>
      </c>
      <c r="H11" s="3" t="n">
        <f aca="false">IFERROR(__xludf.dummyfunction("if($T11&lt;&gt;"""",VALUE(REGEXEXTRACT($T11, H$1&amp;""[\w &amp;]*, (\d+\.\d+)"")),"""")"),5420)</f>
        <v>5420</v>
      </c>
      <c r="I11" s="3" t="n">
        <f aca="false">IFERROR(__xludf.dummyfunction("if($T11&lt;&gt;"""",VALUE(REGEXEXTRACT(SUBSTITUTE ($T11,I$1&amp;"" CE"",""""), I$1&amp;""[\w &amp;]*, (\d+\.\d+)"")),"""")
"),5000)</f>
        <v>5000</v>
      </c>
      <c r="J11" s="3" t="n">
        <f aca="false">IFERROR(__xludf.dummyfunction("if($T11&lt;&gt;"""",VALUE(REGEXEXTRACT($T11, J$1&amp;""[\w &amp;]*, (\d+\.\d+)"")),"""")
"),5000)</f>
        <v>5000</v>
      </c>
      <c r="K11" s="3" t="n">
        <f aca="false">IFERROR(__xludf.dummyfunction("if($T11&lt;&gt;"""",VALUE(REGEXEXTRACT($T11, K$1&amp;""[\w &amp;]*, (\d+\.\d+)"")),"""")
"),4530)</f>
        <v>4530</v>
      </c>
      <c r="L11" s="3" t="n">
        <f aca="false">IFERROR(__xludf.dummyfunction("if($T11&lt;&gt;"""",VALUE(REGEXEXTRACT(SUBSTITUTE ($T11,L$1&amp;"" CE"",""""), L$1&amp;""[\w &amp;]*, (\d+\.\d+)"")),"""")
"),5105)</f>
        <v>5105</v>
      </c>
      <c r="M11" s="3" t="n">
        <f aca="false">IFERROR(__xludf.dummyfunction("if($T11&lt;&gt;"""",VALUE(REGEXEXTRACT($T11, M$1&amp;""[\w &amp;]*, (\d+\.\d+)"")),"""")
"),5050)</f>
        <v>5050</v>
      </c>
      <c r="N11" s="3" t="n">
        <f aca="false">IFERROR(__xludf.dummyfunction("if($T11&lt;&gt;"""",VALUE(REGEXEXTRACT(SUBSTITUTE ($T11,N$1&amp;"" CE"",""""), N$1&amp;""[\w &amp;]*, (\d+\.\d+)"")),"""")
"),5000)</f>
        <v>5000</v>
      </c>
      <c r="O11" s="3" t="n">
        <f aca="false">IFERROR(__xludf.dummyfunction("if($T11&lt;&gt;"""",VALUE(REGEXEXTRACT($T11, O$1&amp;""[\w &amp;]*, (\d+\.\d+)"")),"""")
"),5000)</f>
        <v>5000</v>
      </c>
      <c r="P11" s="2" t="n">
        <f aca="false">IFERROR(__xludf.dummyfunction("if($T11&lt;&gt;"""",VALUE(REGEXEXTRACT($T11, P$1&amp;""[\w &amp;]*, (\d+\.\d+)"")),"""")
"),4968.16)</f>
        <v>4968.16</v>
      </c>
      <c r="Q11" s="2" t="n">
        <f aca="false">IFERROR(__xludf.dummyfunction("if($T11&lt;&gt;"""",VALUE(REGEXEXTRACT($T11, Q$1&amp;""[\w &amp;]*, (\d+\.\d+)"")),"""")
"),4924.96)</f>
        <v>4924.96</v>
      </c>
      <c r="R11" s="2" t="n">
        <f aca="false">IFERROR(__xludf.dummyfunction("if($T11&lt;&gt;"""",VALUE(REGEXEXTRACT($T11, SUBSTITUTE(R$1, ""+"", ""\+"")&amp;""[\w &amp;]*, (\d+\.\d+)"")),"""")"),5054.08)</f>
        <v>5054.08</v>
      </c>
      <c r="S11" s="2" t="n">
        <f aca="false">IFERROR(__xludf.dummyfunction("if($T11&lt;&gt;"""",VALUE(REGEXEXTRACT($T11, SUBSTITUTE(S$1, ""+"", ""\+"")&amp;""[\w &amp;]*, (\d+\.\d+)"")),"""")"),5097.28)</f>
        <v>5097.28</v>
      </c>
      <c r="T11" s="5" t="s">
        <v>24</v>
      </c>
      <c r="U11" s="5"/>
    </row>
    <row r="12" customFormat="false" ht="15.75" hidden="false" customHeight="false" outlineLevel="0" collapsed="false">
      <c r="A12" s="4" t="n">
        <f aca="false">IFERROR(__xludf.dummyfunction("""COMPUTED_VALUE"""),45404.6666666667)</f>
        <v>45404.6666666667</v>
      </c>
      <c r="B12" s="2" t="n">
        <f aca="false">IFERROR(__xludf.dummyfunction("""COMPUTED_VALUE"""),4987.33)</f>
        <v>4987.33</v>
      </c>
      <c r="C12" s="2" t="n">
        <f aca="false">IFERROR(__xludf.dummyfunction("""COMPUTED_VALUE"""),5038.84)</f>
        <v>5038.84</v>
      </c>
      <c r="D12" s="2" t="n">
        <f aca="false">IFERROR(__xludf.dummyfunction("""COMPUTED_VALUE"""),4969.4)</f>
        <v>4969.4</v>
      </c>
      <c r="E12" s="2" t="n">
        <f aca="false">IFERROR(__xludf.dummyfunction("""COMPUTED_VALUE"""),5010.6)</f>
        <v>5010.6</v>
      </c>
      <c r="F12" s="3" t="n">
        <f aca="false">IFERROR(__xludf.dummyfunction("if($T12&lt;&gt;"""",VALUE(REGEXEXTRACT(SUBSTITUTE ($T12,F$1&amp;"" CE"",""""), F$1&amp;""[\w &amp;]*, (\d+\.\d+)"")),"""")
"),5000)</f>
        <v>5000</v>
      </c>
      <c r="G12" s="3" t="n">
        <f aca="false">IFERROR(__xludf.dummyfunction("if($T12&lt;&gt;"""",VALUE(REGEXEXTRACT($T12, G$1&amp;""[\w &amp;]*, (\d+\.\d+)"")),"""")
"),5010)</f>
        <v>5010</v>
      </c>
      <c r="H12" s="3" t="n">
        <f aca="false">IFERROR(__xludf.dummyfunction("if($T12&lt;&gt;"""",VALUE(REGEXEXTRACT($T12, H$1&amp;""[\w &amp;]*, (\d+\.\d+)"")),"""")"),5420)</f>
        <v>5420</v>
      </c>
      <c r="I12" s="3" t="n">
        <f aca="false">IFERROR(__xludf.dummyfunction("if($T12&lt;&gt;"""",VALUE(REGEXEXTRACT(SUBSTITUTE ($T12,I$1&amp;"" CE"",""""), I$1&amp;""[\w &amp;]*, (\d+\.\d+)"")),"""")
"),5000)</f>
        <v>5000</v>
      </c>
      <c r="J12" s="3" t="n">
        <f aca="false">IFERROR(__xludf.dummyfunction("if($T12&lt;&gt;"""",VALUE(REGEXEXTRACT($T12, J$1&amp;""[\w &amp;]*, (\d+\.\d+)"")),"""")
"),4975)</f>
        <v>4975</v>
      </c>
      <c r="K12" s="3" t="n">
        <f aca="false">IFERROR(__xludf.dummyfunction("if($T12&lt;&gt;"""",VALUE(REGEXEXTRACT($T12, K$1&amp;""[\w &amp;]*, (\d+\.\d+)"")),"""")
"),4530)</f>
        <v>4530</v>
      </c>
      <c r="L12" s="3" t="n">
        <f aca="false">IFERROR(__xludf.dummyfunction("if($T12&lt;&gt;"""",VALUE(REGEXEXTRACT(SUBSTITUTE ($T12,L$1&amp;"" CE"",""""), L$1&amp;""[\w &amp;]*, (\d+\.\d+)"")),"""")
"),5090)</f>
        <v>5090</v>
      </c>
      <c r="M12" s="3" t="n">
        <f aca="false">IFERROR(__xludf.dummyfunction("if($T12&lt;&gt;"""",VALUE(REGEXEXTRACT($T12, M$1&amp;""[\w &amp;]*, (\d+\.\d+)"")),"""")
"),4995)</f>
        <v>4995</v>
      </c>
      <c r="N12" s="3" t="n">
        <f aca="false">IFERROR(__xludf.dummyfunction("if($T12&lt;&gt;"""",VALUE(REGEXEXTRACT(SUBSTITUTE ($T12,N$1&amp;"" CE"",""""), N$1&amp;""[\w &amp;]*, (\d+\.\d+)"")),"""")
"),5000)</f>
        <v>5000</v>
      </c>
      <c r="O12" s="3" t="n">
        <f aca="false">IFERROR(__xludf.dummyfunction("if($T12&lt;&gt;"""",VALUE(REGEXEXTRACT($T12, O$1&amp;""[\w &amp;]*, (\d+\.\d+)"")),"""")
"),5005)</f>
        <v>5005</v>
      </c>
      <c r="P12" s="2" t="n">
        <f aca="false">IFERROR(__xludf.dummyfunction("if($T12&lt;&gt;"""",VALUE(REGEXEXTRACT($T12, P$1&amp;""[\w &amp;]*, (\d+\.\d+)"")),"""")
"),4923.18)</f>
        <v>4923.18</v>
      </c>
      <c r="Q12" s="2" t="n">
        <f aca="false">IFERROR(__xludf.dummyfunction("if($T12&lt;&gt;"""",VALUE(REGEXEXTRACT($T12, Q$1&amp;""[\w &amp;]*, (\d+\.\d+)"")),"""")
"),4904.93)</f>
        <v>4904.93</v>
      </c>
      <c r="R12" s="2" t="n">
        <f aca="false">IFERROR(__xludf.dummyfunction("if($T12&lt;&gt;"""",VALUE(REGEXEXTRACT($T12, SUBSTITUTE(R$1, ""+"", ""\+"")&amp;""[\w &amp;]*, (\d+\.\d+)"")),"""")"),5011.28)</f>
        <v>5011.28</v>
      </c>
      <c r="S12" s="2" t="n">
        <f aca="false">IFERROR(__xludf.dummyfunction("if($T12&lt;&gt;"""",VALUE(REGEXEXTRACT($T12, SUBSTITUTE(S$1, ""+"", ""\+"")&amp;""[\w &amp;]*, (\d+\.\d+)"")),"""")"),5029.53)</f>
        <v>5029.53</v>
      </c>
      <c r="T12" s="5" t="s">
        <v>25</v>
      </c>
      <c r="U12" s="5"/>
    </row>
    <row r="13" customFormat="false" ht="15.75" hidden="false" customHeight="false" outlineLevel="0" collapsed="false">
      <c r="A13" s="4" t="n">
        <f aca="false">IFERROR(__xludf.dummyfunction("""COMPUTED_VALUE"""),45405.6666666667)</f>
        <v>45405.6666666667</v>
      </c>
      <c r="B13" s="2" t="n">
        <f aca="false">IFERROR(__xludf.dummyfunction("""COMPUTED_VALUE"""),5028.85)</f>
        <v>5028.85</v>
      </c>
      <c r="C13" s="2" t="n">
        <f aca="false">IFERROR(__xludf.dummyfunction("""COMPUTED_VALUE"""),5076.12)</f>
        <v>5076.12</v>
      </c>
      <c r="D13" s="2" t="n">
        <f aca="false">IFERROR(__xludf.dummyfunction("""COMPUTED_VALUE"""),5027.96)</f>
        <v>5027.96</v>
      </c>
      <c r="E13" s="2" t="n">
        <f aca="false">IFERROR(__xludf.dummyfunction("""COMPUTED_VALUE"""),5070.55)</f>
        <v>5070.55</v>
      </c>
      <c r="F13" s="3" t="n">
        <f aca="false">IFERROR(__xludf.dummyfunction("if($T13&lt;&gt;"""",VALUE(REGEXEXTRACT(SUBSTITUTE ($T13,F$1&amp;"" CE"",""""), F$1&amp;""[\w &amp;]*, (\d+\.\d+)"")),"""")
"),5000)</f>
        <v>5000</v>
      </c>
      <c r="G13" s="3" t="n">
        <f aca="false">IFERROR(__xludf.dummyfunction("if($T13&lt;&gt;"""",VALUE(REGEXEXTRACT($T13, G$1&amp;""[\w &amp;]*, (\d+\.\d+)"")),"""")
"),5040)</f>
        <v>5040</v>
      </c>
      <c r="H13" s="3" t="n">
        <f aca="false">IFERROR(__xludf.dummyfunction("if($T13&lt;&gt;"""",VALUE(REGEXEXTRACT($T13, H$1&amp;""[\w &amp;]*, (\d+\.\d+)"")),"""")"),5420)</f>
        <v>5420</v>
      </c>
      <c r="I13" s="3" t="n">
        <f aca="false">IFERROR(__xludf.dummyfunction("if($T13&lt;&gt;"""",VALUE(REGEXEXTRACT(SUBSTITUTE ($T13,I$1&amp;"" CE"",""""), I$1&amp;""[\w &amp;]*, (\d+\.\d+)"")),"""")
"),5000)</f>
        <v>5000</v>
      </c>
      <c r="J13" s="3" t="n">
        <f aca="false">IFERROR(__xludf.dummyfunction("if($T13&lt;&gt;"""",VALUE(REGEXEXTRACT($T13, J$1&amp;""[\w &amp;]*, (\d+\.\d+)"")),"""")
"),4980)</f>
        <v>4980</v>
      </c>
      <c r="K13" s="3" t="n">
        <f aca="false">IFERROR(__xludf.dummyfunction("if($T13&lt;&gt;"""",VALUE(REGEXEXTRACT($T13, K$1&amp;""[\w &amp;]*, (\d+\.\d+)"")),"""")
"),4530)</f>
        <v>4530</v>
      </c>
      <c r="L13" s="3" t="n">
        <f aca="false">IFERROR(__xludf.dummyfunction("if($T13&lt;&gt;"""",VALUE(REGEXEXTRACT(SUBSTITUTE ($T13,L$1&amp;"" CE"",""""), L$1&amp;""[\w &amp;]*, (\d+\.\d+)"")),"""")
"),5030)</f>
        <v>5030</v>
      </c>
      <c r="M13" s="3" t="n">
        <f aca="false">IFERROR(__xludf.dummyfunction("if($T13&lt;&gt;"""",VALUE(REGEXEXTRACT($T13, M$1&amp;""[\w &amp;]*, (\d+\.\d+)"")),"""")
"),5025)</f>
        <v>5025</v>
      </c>
      <c r="N13" s="3" t="n">
        <f aca="false">IFERROR(__xludf.dummyfunction("if($T13&lt;&gt;"""",VALUE(REGEXEXTRACT(SUBSTITUTE ($T13,N$1&amp;"" CE"",""""), N$1&amp;""[\w &amp;]*, (\d+\.\d+)"")),"""")
"),5000)</f>
        <v>5000</v>
      </c>
      <c r="O13" s="3" t="n">
        <f aca="false">IFERROR(__xludf.dummyfunction("if($T13&lt;&gt;"""",VALUE(REGEXEXTRACT($T13, O$1&amp;""[\w &amp;]*, (\d+\.\d+)"")),"""")
"),5040)</f>
        <v>5040</v>
      </c>
      <c r="P13" s="2" t="n">
        <f aca="false">IFERROR(__xludf.dummyfunction("if($T13&lt;&gt;"""",VALUE(REGEXEXTRACT($T13, P$1&amp;""[\w &amp;]*, (\d+\.\d+)"")),"""")
"),4970.37)</f>
        <v>4970.37</v>
      </c>
      <c r="Q13" s="2" t="n">
        <f aca="false">IFERROR(__xludf.dummyfunction("if($T13&lt;&gt;"""",VALUE(REGEXEXTRACT($T13, Q$1&amp;""[\w &amp;]*, (\d+\.\d+)"")),"""")
"),4953.71)</f>
        <v>4953.71</v>
      </c>
      <c r="R13" s="2" t="n">
        <f aca="false">IFERROR(__xludf.dummyfunction("if($T13&lt;&gt;"""",VALUE(REGEXEXTRACT($T13, SUBSTITUTE(R$1, ""+"", ""\+"")&amp;""[\w &amp;]*, (\d+\.\d+)"")),"""")"),5050.83)</f>
        <v>5050.83</v>
      </c>
      <c r="S13" s="2" t="n">
        <f aca="false">IFERROR(__xludf.dummyfunction("if($T13&lt;&gt;"""",VALUE(REGEXEXTRACT($T13, SUBSTITUTE(S$1, ""+"", ""\+"")&amp;""[\w &amp;]*, (\d+\.\d+)"")),"""")"),5067.49)</f>
        <v>5067.49</v>
      </c>
      <c r="T13" s="5" t="s">
        <v>26</v>
      </c>
      <c r="U13" s="5"/>
    </row>
    <row r="14" customFormat="false" ht="15.75" hidden="false" customHeight="false" outlineLevel="0" collapsed="false">
      <c r="A14" s="4" t="n">
        <f aca="false">IFERROR(__xludf.dummyfunction("""COMPUTED_VALUE"""),45406.6666666667)</f>
        <v>45406.6666666667</v>
      </c>
      <c r="B14" s="2" t="n">
        <f aca="false">IFERROR(__xludf.dummyfunction("""COMPUTED_VALUE"""),5084.86)</f>
        <v>5084.86</v>
      </c>
      <c r="C14" s="2" t="n">
        <f aca="false">IFERROR(__xludf.dummyfunction("""COMPUTED_VALUE"""),5089.48)</f>
        <v>5089.48</v>
      </c>
      <c r="D14" s="2" t="n">
        <f aca="false">IFERROR(__xludf.dummyfunction("""COMPUTED_VALUE"""),5047.02)</f>
        <v>5047.02</v>
      </c>
      <c r="E14" s="2" t="n">
        <f aca="false">IFERROR(__xludf.dummyfunction("""COMPUTED_VALUE"""),5071.63)</f>
        <v>5071.63</v>
      </c>
      <c r="F14" s="3" t="n">
        <f aca="false">IFERROR(__xludf.dummyfunction("if($T14&lt;&gt;"""",VALUE(REGEXEXTRACT(SUBSTITUTE ($T14,F$1&amp;"" CE"",""""), F$1&amp;""[\w &amp;]*, (\d+\.\d+)"")),"""")
"),5675)</f>
        <v>5675</v>
      </c>
      <c r="G14" s="3" t="n">
        <f aca="false">IFERROR(__xludf.dummyfunction("if($T14&lt;&gt;"""",VALUE(REGEXEXTRACT($T14, G$1&amp;""[\w &amp;]*, (\d+\.\d+)"")),"""")
"),5095)</f>
        <v>5095</v>
      </c>
      <c r="H14" s="3" t="n">
        <f aca="false">IFERROR(__xludf.dummyfunction("if($T14&lt;&gt;"""",VALUE(REGEXEXTRACT($T14, H$1&amp;""[\w &amp;]*, (\d+\.\d+)"")),"""")"),5490)</f>
        <v>5490</v>
      </c>
      <c r="I14" s="3" t="n">
        <f aca="false">IFERROR(__xludf.dummyfunction("if($T14&lt;&gt;"""",VALUE(REGEXEXTRACT(SUBSTITUTE ($T14,I$1&amp;"" CE"",""""), I$1&amp;""[\w &amp;]*, (\d+\.\d+)"")),"""")
"),3750)</f>
        <v>3750</v>
      </c>
      <c r="J14" s="3" t="n">
        <f aca="false">IFERROR(__xludf.dummyfunction("if($T14&lt;&gt;"""",VALUE(REGEXEXTRACT($T14, J$1&amp;""[\w &amp;]*, (\d+\.\d+)"")),"""")
"),5040)</f>
        <v>5040</v>
      </c>
      <c r="K14" s="3" t="n">
        <f aca="false">IFERROR(__xludf.dummyfunction("if($T14&lt;&gt;"""",VALUE(REGEXEXTRACT($T14, K$1&amp;""[\w &amp;]*, (\d+\.\d+)"")),"""")
"),4795)</f>
        <v>4795</v>
      </c>
      <c r="L14" s="3" t="n">
        <f aca="false">IFERROR(__xludf.dummyfunction("if($T14&lt;&gt;"""",VALUE(REGEXEXTRACT(SUBSTITUTE ($T14,L$1&amp;"" CE"",""""), L$1&amp;""[\w &amp;]*, (\d+\.\d+)"")),"""")
"),5075)</f>
        <v>5075</v>
      </c>
      <c r="M14" s="3" t="n">
        <f aca="false">IFERROR(__xludf.dummyfunction("if($T14&lt;&gt;"""",VALUE(REGEXEXTRACT($T14, M$1&amp;""[\w &amp;]*, (\d+\.\d+)"")),"""")
"),5045)</f>
        <v>5045</v>
      </c>
      <c r="N14" s="3" t="n">
        <f aca="false">IFERROR(__xludf.dummyfunction("if($T14&lt;&gt;"""",VALUE(REGEXEXTRACT(SUBSTITUTE ($T14,N$1&amp;"" CE"",""""), N$1&amp;""[\w &amp;]*, (\d+\.\d+)"")),"""")
"),3750)</f>
        <v>3750</v>
      </c>
      <c r="O14" s="3" t="n">
        <f aca="false">IFERROR(__xludf.dummyfunction("if($T14&lt;&gt;"""",VALUE(REGEXEXTRACT($T14, O$1&amp;""[\w &amp;]*, (\d+\.\d+)"")),"""")
"),5100)</f>
        <v>5100</v>
      </c>
      <c r="P14" s="2" t="n">
        <f aca="false">IFERROR(__xludf.dummyfunction("if($T14&lt;&gt;"""",VALUE(REGEXEXTRACT($T14, P$1&amp;""[\w &amp;]*, (\d+\.\d+)"")),"""")
"),5032.53)</f>
        <v>5032.53</v>
      </c>
      <c r="Q14" s="2" t="n">
        <f aca="false">IFERROR(__xludf.dummyfunction("if($T14&lt;&gt;"""",VALUE(REGEXEXTRACT($T14, Q$1&amp;""[\w &amp;]*, (\d+\.\d+)"")),"""")
"),5016.78)</f>
        <v>5016.78</v>
      </c>
      <c r="R14" s="2" t="n">
        <f aca="false">IFERROR(__xludf.dummyfunction("if($T14&lt;&gt;"""",VALUE(REGEXEXTRACT($T14, SUBSTITUTE(R$1, ""+"", ""\+"")&amp;""[\w &amp;]*, (\d+\.\d+)"")),"""")"),5108.57)</f>
        <v>5108.57</v>
      </c>
      <c r="S14" s="2" t="n">
        <f aca="false">IFERROR(__xludf.dummyfunction("if($T14&lt;&gt;"""",VALUE(REGEXEXTRACT($T14, SUBSTITUTE(S$1, ""+"", ""\+"")&amp;""[\w &amp;]*, (\d+\.\d+)"")),"""")"),5124.32)</f>
        <v>5124.32</v>
      </c>
      <c r="T14" s="5" t="s">
        <v>27</v>
      </c>
      <c r="U14" s="5"/>
    </row>
    <row r="15" customFormat="false" ht="15.75" hidden="false" customHeight="false" outlineLevel="0" collapsed="false">
      <c r="A15" s="4" t="n">
        <f aca="false">IFERROR(__xludf.dummyfunction("""COMPUTED_VALUE"""),45407.6666666667)</f>
        <v>45407.6666666667</v>
      </c>
      <c r="B15" s="2" t="n">
        <f aca="false">IFERROR(__xludf.dummyfunction("""COMPUTED_VALUE"""),5019.88)</f>
        <v>5019.88</v>
      </c>
      <c r="C15" s="2" t="n">
        <f aca="false">IFERROR(__xludf.dummyfunction("""COMPUTED_VALUE"""),5057.75)</f>
        <v>5057.75</v>
      </c>
      <c r="D15" s="2" t="n">
        <f aca="false">IFERROR(__xludf.dummyfunction("""COMPUTED_VALUE"""),4990.58)</f>
        <v>4990.58</v>
      </c>
      <c r="E15" s="2" t="n">
        <f aca="false">IFERROR(__xludf.dummyfunction("""COMPUTED_VALUE"""),5048.42)</f>
        <v>5048.42</v>
      </c>
      <c r="F15" s="3" t="n">
        <f aca="false">IFERROR(__xludf.dummyfunction("if($T15&lt;&gt;"""",VALUE(REGEXEXTRACT(SUBSTITUTE ($T15,F$1&amp;"" CE"",""""), F$1&amp;""[\w &amp;]*, (\d+\.\d+)"")),"""")
"),5675)</f>
        <v>5675</v>
      </c>
      <c r="G15" s="3" t="n">
        <f aca="false">IFERROR(__xludf.dummyfunction("if($T15&lt;&gt;"""",VALUE(REGEXEXTRACT($T15, G$1&amp;""[\w &amp;]*, (\d+\.\d+)"")),"""")
"),5100)</f>
        <v>5100</v>
      </c>
      <c r="H15" s="3" t="n">
        <f aca="false">IFERROR(__xludf.dummyfunction("if($T15&lt;&gt;"""",VALUE(REGEXEXTRACT($T15, H$1&amp;""[\w &amp;]*, (\d+\.\d+)"")),"""")"),5490)</f>
        <v>5490</v>
      </c>
      <c r="I15" s="3" t="n">
        <f aca="false">IFERROR(__xludf.dummyfunction("if($T15&lt;&gt;"""",VALUE(REGEXEXTRACT(SUBSTITUTE ($T15,I$1&amp;"" CE"",""""), I$1&amp;""[\w &amp;]*, (\d+\.\d+)"")),"""")
"),3750)</f>
        <v>3750</v>
      </c>
      <c r="J15" s="3" t="n">
        <f aca="false">IFERROR(__xludf.dummyfunction("if($T15&lt;&gt;"""",VALUE(REGEXEXTRACT($T15, J$1&amp;""[\w &amp;]*, (\d+\.\d+)"")),"""")
"),5000)</f>
        <v>5000</v>
      </c>
      <c r="K15" s="3" t="n">
        <f aca="false">IFERROR(__xludf.dummyfunction("if($T15&lt;&gt;"""",VALUE(REGEXEXTRACT($T15, K$1&amp;""[\w &amp;]*, (\d+\.\d+)"")),"""")
"),4795)</f>
        <v>4795</v>
      </c>
      <c r="L15" s="3" t="n">
        <f aca="false">IFERROR(__xludf.dummyfunction("if($T15&lt;&gt;"""",VALUE(REGEXEXTRACT(SUBSTITUTE ($T15,L$1&amp;"" CE"",""""), L$1&amp;""[\w &amp;]*, (\d+\.\d+)"")),"""")
"),5075)</f>
        <v>5075</v>
      </c>
      <c r="M15" s="3" t="n">
        <f aca="false">IFERROR(__xludf.dummyfunction("if($T15&lt;&gt;"""",VALUE(REGEXEXTRACT($T15, M$1&amp;""[\w &amp;]*, (\d+\.\d+)"")),"""")
"),5075)</f>
        <v>5075</v>
      </c>
      <c r="N15" s="3" t="n">
        <f aca="false">IFERROR(__xludf.dummyfunction("if($T15&lt;&gt;"""",VALUE(REGEXEXTRACT(SUBSTITUTE ($T15,N$1&amp;"" CE"",""""), N$1&amp;""[\w &amp;]*, (\d+\.\d+)"")),"""")
"),3750)</f>
        <v>3750</v>
      </c>
      <c r="O15" s="3" t="n">
        <f aca="false">IFERROR(__xludf.dummyfunction("if($T15&lt;&gt;"""",VALUE(REGEXEXTRACT($T15, O$1&amp;""[\w &amp;]*, (\d+\.\d+)"")),"""")
"),5050)</f>
        <v>5050</v>
      </c>
      <c r="P15" s="2" t="n">
        <f aca="false">IFERROR(__xludf.dummyfunction("if($T15&lt;&gt;"""",VALUE(REGEXEXTRACT($T15, P$1&amp;""[\w &amp;]*, (\d+\.\d+)"")),"""")
"),5033.54)</f>
        <v>5033.54</v>
      </c>
      <c r="Q15" s="2" t="n">
        <f aca="false">IFERROR(__xludf.dummyfunction("if($T15&lt;&gt;"""",VALUE(REGEXEXTRACT($T15, Q$1&amp;""[\w &amp;]*, (\d+\.\d+)"")),"""")
"),5017.76)</f>
        <v>5017.76</v>
      </c>
      <c r="R15" s="2" t="n">
        <f aca="false">IFERROR(__xludf.dummyfunction("if($T15&lt;&gt;"""",VALUE(REGEXEXTRACT($T15, SUBSTITUTE(R$1, ""+"", ""\+"")&amp;""[\w &amp;]*, (\d+\.\d+)"")),"""")"),5109.72)</f>
        <v>5109.72</v>
      </c>
      <c r="S15" s="2" t="n">
        <f aca="false">IFERROR(__xludf.dummyfunction("if($T15&lt;&gt;"""",VALUE(REGEXEXTRACT($T15, SUBSTITUTE(S$1, ""+"", ""\+"")&amp;""[\w &amp;]*, (\d+\.\d+)"")),"""")"),5125.5)</f>
        <v>5125.5</v>
      </c>
      <c r="T15" s="5" t="s">
        <v>28</v>
      </c>
      <c r="U15" s="5"/>
    </row>
    <row r="16" customFormat="false" ht="15.75" hidden="false" customHeight="false" outlineLevel="0" collapsed="false">
      <c r="A16" s="4" t="n">
        <f aca="false">IFERROR(__xludf.dummyfunction("""COMPUTED_VALUE"""),45408.6666666667)</f>
        <v>45408.6666666667</v>
      </c>
      <c r="B16" s="2" t="n">
        <f aca="false">IFERROR(__xludf.dummyfunction("""COMPUTED_VALUE"""),5084.65)</f>
        <v>5084.65</v>
      </c>
      <c r="C16" s="2" t="n">
        <f aca="false">IFERROR(__xludf.dummyfunction("""COMPUTED_VALUE"""),5114.62)</f>
        <v>5114.62</v>
      </c>
      <c r="D16" s="2" t="n">
        <f aca="false">IFERROR(__xludf.dummyfunction("""COMPUTED_VALUE"""),5073.14)</f>
        <v>5073.14</v>
      </c>
      <c r="E16" s="2" t="n">
        <f aca="false">IFERROR(__xludf.dummyfunction("""COMPUTED_VALUE"""),5099.96)</f>
        <v>5099.96</v>
      </c>
      <c r="F16" s="3" t="n">
        <f aca="false">IFERROR(__xludf.dummyfunction("if($T16&lt;&gt;"""",VALUE(REGEXEXTRACT(SUBSTITUTE ($T16,F$1&amp;"" CE"",""""), F$1&amp;""[\w &amp;]*, (\d+\.\d+)"")),"""")
"),5675)</f>
        <v>5675</v>
      </c>
      <c r="G16" s="3" t="n">
        <f aca="false">IFERROR(__xludf.dummyfunction("if($T16&lt;&gt;"""",VALUE(REGEXEXTRACT($T16, G$1&amp;""[\w &amp;]*, (\d+\.\d+)"")),"""")
"),5100)</f>
        <v>5100</v>
      </c>
      <c r="H16" s="3" t="n">
        <f aca="false">IFERROR(__xludf.dummyfunction("if($T16&lt;&gt;"""",VALUE(REGEXEXTRACT($T16, H$1&amp;""[\w &amp;]*, (\d+\.\d+)"")),"""")"),5850)</f>
        <v>5850</v>
      </c>
      <c r="I16" s="3" t="n">
        <f aca="false">IFERROR(__xludf.dummyfunction("if($T16&lt;&gt;"""",VALUE(REGEXEXTRACT(SUBSTITUTE ($T16,I$1&amp;"" CE"",""""), I$1&amp;""[\w &amp;]*, (\d+\.\d+)"")),"""")
"),3750)</f>
        <v>3750</v>
      </c>
      <c r="J16" s="3" t="n">
        <f aca="false">IFERROR(__xludf.dummyfunction("if($T16&lt;&gt;"""",VALUE(REGEXEXTRACT($T16, J$1&amp;""[\w &amp;]*, (\d+\.\d+)"")),"""")
"),5045)</f>
        <v>5045</v>
      </c>
      <c r="K16" s="3" t="n">
        <f aca="false">IFERROR(__xludf.dummyfunction("if($T16&lt;&gt;"""",VALUE(REGEXEXTRACT($T16, K$1&amp;""[\w &amp;]*, (\d+\.\d+)"")),"""")
"),4170)</f>
        <v>4170</v>
      </c>
      <c r="L16" s="3" t="n">
        <f aca="false">IFERROR(__xludf.dummyfunction("if($T16&lt;&gt;"""",VALUE(REGEXEXTRACT(SUBSTITUTE ($T16,L$1&amp;"" CE"",""""), L$1&amp;""[\w &amp;]*, (\d+\.\d+)"")),"""")
"),5055)</f>
        <v>5055</v>
      </c>
      <c r="M16" s="3" t="n">
        <f aca="false">IFERROR(__xludf.dummyfunction("if($T16&lt;&gt;"""",VALUE(REGEXEXTRACT($T16, M$1&amp;""[\w &amp;]*, (\d+\.\d+)"")),"""")
"),5045)</f>
        <v>5045</v>
      </c>
      <c r="N16" s="3" t="n">
        <f aca="false">IFERROR(__xludf.dummyfunction("if($T16&lt;&gt;"""",VALUE(REGEXEXTRACT(SUBSTITUTE ($T16,N$1&amp;"" CE"",""""), N$1&amp;""[\w &amp;]*, (\d+\.\d+)"")),"""")
"),3750)</f>
        <v>3750</v>
      </c>
      <c r="O16" s="3" t="n">
        <f aca="false">IFERROR(__xludf.dummyfunction("if($T16&lt;&gt;"""",VALUE(REGEXEXTRACT($T16, O$1&amp;""[\w &amp;]*, (\d+\.\d+)"")),"""")
"),5100)</f>
        <v>5100</v>
      </c>
      <c r="P16" s="2" t="n">
        <f aca="false">IFERROR(__xludf.dummyfunction("if($T16&lt;&gt;"""",VALUE(REGEXEXTRACT($T16, P$1&amp;""[\w &amp;]*, (\d+\.\d+)"")),"""")
"),5009.6)</f>
        <v>5009.6</v>
      </c>
      <c r="Q16" s="2" t="n">
        <f aca="false">IFERROR(__xludf.dummyfunction("if($T16&lt;&gt;"""",VALUE(REGEXEXTRACT($T16, Q$1&amp;""[\w &amp;]*, (\d+\.\d+)"")),"""")
"),4970.77)</f>
        <v>4970.77</v>
      </c>
      <c r="R16" s="2" t="n">
        <f aca="false">IFERROR(__xludf.dummyfunction("if($T16&lt;&gt;"""",VALUE(REGEXEXTRACT($T16, SUBSTITUTE(R$1, ""+"", ""\+"")&amp;""[\w &amp;]*, (\d+\.\d+)"")),"""")"),5087.25)</f>
        <v>5087.25</v>
      </c>
      <c r="S16" s="2" t="n">
        <f aca="false">IFERROR(__xludf.dummyfunction("if($T16&lt;&gt;"""",VALUE(REGEXEXTRACT($T16, SUBSTITUTE(S$1, ""+"", ""\+"")&amp;""[\w &amp;]*, (\d+\.\d+)"")),"""")"),5126.07)</f>
        <v>5126.07</v>
      </c>
      <c r="T16" s="5" t="s">
        <v>29</v>
      </c>
      <c r="U16" s="5"/>
    </row>
    <row r="17" customFormat="false" ht="15.75" hidden="false" customHeight="false" outlineLevel="0" collapsed="false">
      <c r="A17" s="4" t="n">
        <f aca="false">IFERROR(__xludf.dummyfunction("""COMPUTED_VALUE"""),45411.6666666667)</f>
        <v>45411.6666666667</v>
      </c>
      <c r="B17" s="2" t="n">
        <f aca="false">IFERROR(__xludf.dummyfunction("""COMPUTED_VALUE"""),5114.13)</f>
        <v>5114.13</v>
      </c>
      <c r="C17" s="2" t="n">
        <f aca="false">IFERROR(__xludf.dummyfunction("""COMPUTED_VALUE"""),5123.49)</f>
        <v>5123.49</v>
      </c>
      <c r="D17" s="2" t="n">
        <f aca="false">IFERROR(__xludf.dummyfunction("""COMPUTED_VALUE"""),5088.65)</f>
        <v>5088.65</v>
      </c>
      <c r="E17" s="2" t="n">
        <f aca="false">IFERROR(__xludf.dummyfunction("""COMPUTED_VALUE"""),5116.17)</f>
        <v>5116.17</v>
      </c>
      <c r="F17" s="3" t="n">
        <f aca="false">IFERROR(__xludf.dummyfunction("if($T17&lt;&gt;"""",VALUE(REGEXEXTRACT(SUBSTITUTE ($T17,F$1&amp;"" CE"",""""), F$1&amp;""[\w &amp;]*, (\d+\.\d+)"")),"""")
"),5675)</f>
        <v>5675</v>
      </c>
      <c r="G17" s="3" t="n">
        <f aca="false">IFERROR(__xludf.dummyfunction("if($T17&lt;&gt;"""",VALUE(REGEXEXTRACT($T17, G$1&amp;""[\w &amp;]*, (\d+\.\d+)"")),"""")
"),5125)</f>
        <v>5125</v>
      </c>
      <c r="H17" s="3" t="n">
        <f aca="false">IFERROR(__xludf.dummyfunction("if($T17&lt;&gt;"""",VALUE(REGEXEXTRACT($T17, H$1&amp;""[\w &amp;]*, (\d+\.\d+)"")),"""")"),5850)</f>
        <v>5850</v>
      </c>
      <c r="I17" s="3" t="n">
        <f aca="false">IFERROR(__xludf.dummyfunction("if($T17&lt;&gt;"""",VALUE(REGEXEXTRACT(SUBSTITUTE ($T17,I$1&amp;"" CE"",""""), I$1&amp;""[\w &amp;]*, (\d+\.\d+)"")),"""")
"),5100)</f>
        <v>5100</v>
      </c>
      <c r="J17" s="3" t="n">
        <f aca="false">IFERROR(__xludf.dummyfunction("if($T17&lt;&gt;"""",VALUE(REGEXEXTRACT($T17, J$1&amp;""[\w &amp;]*, (\d+\.\d+)"")),"""")
"),5060)</f>
        <v>5060</v>
      </c>
      <c r="K17" s="3" t="n">
        <f aca="false">IFERROR(__xludf.dummyfunction("if($T17&lt;&gt;"""",VALUE(REGEXEXTRACT($T17, K$1&amp;""[\w &amp;]*, (\d+\.\d+)"")),"""")
"),4030)</f>
        <v>4030</v>
      </c>
      <c r="L17" s="3" t="n">
        <f aca="false">IFERROR(__xludf.dummyfunction("if($T17&lt;&gt;"""",VALUE(REGEXEXTRACT(SUBSTITUTE ($T17,L$1&amp;"" CE"",""""), L$1&amp;""[\w &amp;]*, (\d+\.\d+)"")),"""")
"),5090)</f>
        <v>5090</v>
      </c>
      <c r="M17" s="3" t="n">
        <f aca="false">IFERROR(__xludf.dummyfunction("if($T17&lt;&gt;"""",VALUE(REGEXEXTRACT($T17, M$1&amp;""[\w &amp;]*, (\d+\.\d+)"")),"""")
"),5070)</f>
        <v>5070</v>
      </c>
      <c r="N17" s="3" t="n">
        <f aca="false">IFERROR(__xludf.dummyfunction("if($T17&lt;&gt;"""",VALUE(REGEXEXTRACT(SUBSTITUTE ($T17,N$1&amp;"" CE"",""""), N$1&amp;""[\w &amp;]*, (\d+\.\d+)"")),"""")
"),5200)</f>
        <v>5200</v>
      </c>
      <c r="O17" s="3" t="n">
        <f aca="false">IFERROR(__xludf.dummyfunction("if($T17&lt;&gt;"""",VALUE(REGEXEXTRACT($T17, O$1&amp;""[\w &amp;]*, (\d+\.\d+)"")),"""")
"),5100)</f>
        <v>5100</v>
      </c>
      <c r="P17" s="2" t="n">
        <f aca="false">IFERROR(__xludf.dummyfunction("if($T17&lt;&gt;"""",VALUE(REGEXEXTRACT($T17, P$1&amp;""[\w &amp;]*, (\d+\.\d+)"")),"""")
"),5061.88)</f>
        <v>5061.88</v>
      </c>
      <c r="Q17" s="2" t="n">
        <f aca="false">IFERROR(__xludf.dummyfunction("if($T17&lt;&gt;"""",VALUE(REGEXEXTRACT($T17, Q$1&amp;""[\w &amp;]*, (\d+\.\d+)"")),"""")
"),5046.1)</f>
        <v>5046.1</v>
      </c>
      <c r="R17" s="2" t="n">
        <f aca="false">IFERROR(__xludf.dummyfunction("if($T17&lt;&gt;"""",VALUE(REGEXEXTRACT($T17, SUBSTITUTE(R$1, ""+"", ""\+"")&amp;""[\w &amp;]*, (\d+\.\d+)"")),"""")"),5138.04)</f>
        <v>5138.04</v>
      </c>
      <c r="S17" s="2" t="n">
        <f aca="false">IFERROR(__xludf.dummyfunction("if($T17&lt;&gt;"""",VALUE(REGEXEXTRACT($T17, SUBSTITUTE(S$1, ""+"", ""\+"")&amp;""[\w &amp;]*, (\d+\.\d+)"")),"""")"),5153.82)</f>
        <v>5153.82</v>
      </c>
      <c r="T17" s="5" t="s">
        <v>30</v>
      </c>
      <c r="U17" s="5"/>
    </row>
    <row r="18" customFormat="false" ht="15.75" hidden="false" customHeight="false" outlineLevel="0" collapsed="false">
      <c r="A18" s="4" t="n">
        <f aca="false">IFERROR(__xludf.dummyfunction("""COMPUTED_VALUE"""),45412.6666666667)</f>
        <v>45412.6666666667</v>
      </c>
      <c r="B18" s="2" t="n">
        <f aca="false">IFERROR(__xludf.dummyfunction("""COMPUTED_VALUE"""),5103.78)</f>
        <v>5103.78</v>
      </c>
      <c r="C18" s="2" t="n">
        <f aca="false">IFERROR(__xludf.dummyfunction("""COMPUTED_VALUE"""),5110.83)</f>
        <v>5110.83</v>
      </c>
      <c r="D18" s="2" t="n">
        <f aca="false">IFERROR(__xludf.dummyfunction("""COMPUTED_VALUE"""),5035.31)</f>
        <v>5035.31</v>
      </c>
      <c r="E18" s="2" t="n">
        <f aca="false">IFERROR(__xludf.dummyfunction("""COMPUTED_VALUE"""),5035.69)</f>
        <v>5035.69</v>
      </c>
      <c r="F18" s="3" t="n">
        <f aca="false">IFERROR(__xludf.dummyfunction("if($T18&lt;&gt;"""",VALUE(REGEXEXTRACT(SUBSTITUTE ($T18,F$1&amp;"" CE"",""""), F$1&amp;""[\w &amp;]*, (\d+\.\d+)"")),"""")
"),5675)</f>
        <v>5675</v>
      </c>
      <c r="G18" s="3" t="n">
        <f aca="false">IFERROR(__xludf.dummyfunction("if($T18&lt;&gt;"""",VALUE(REGEXEXTRACT($T18, G$1&amp;""[\w &amp;]*, (\d+\.\d+)"")),"""")
"),5100)</f>
        <v>5100</v>
      </c>
      <c r="H18" s="3" t="n">
        <f aca="false">IFERROR(__xludf.dummyfunction("if($T18&lt;&gt;"""",VALUE(REGEXEXTRACT($T18, H$1&amp;""[\w &amp;]*, (\d+\.\d+)"")),"""")"),5850)</f>
        <v>5850</v>
      </c>
      <c r="I18" s="3" t="n">
        <f aca="false">IFERROR(__xludf.dummyfunction("if($T18&lt;&gt;"""",VALUE(REGEXEXTRACT(SUBSTITUTE ($T18,I$1&amp;"" CE"",""""), I$1&amp;""[\w &amp;]*, (\d+\.\d+)"")),"""")
"),5100)</f>
        <v>5100</v>
      </c>
      <c r="J18" s="3" t="n">
        <f aca="false">IFERROR(__xludf.dummyfunction("if($T18&lt;&gt;"""",VALUE(REGEXEXTRACT($T18, J$1&amp;""[\w &amp;]*, (\d+\.\d+)"")),"""")
"),5050)</f>
        <v>5050</v>
      </c>
      <c r="K18" s="3" t="n">
        <f aca="false">IFERROR(__xludf.dummyfunction("if($T18&lt;&gt;"""",VALUE(REGEXEXTRACT($T18, K$1&amp;""[\w &amp;]*, (\d+\.\d+)"")),"""")
"),4030)</f>
        <v>4030</v>
      </c>
      <c r="L18" s="3" t="n">
        <f aca="false">IFERROR(__xludf.dummyfunction("if($T18&lt;&gt;"""",VALUE(REGEXEXTRACT(SUBSTITUTE ($T18,L$1&amp;"" CE"",""""), L$1&amp;""[\w &amp;]*, (\d+\.\d+)"")),"""")
"),5095)</f>
        <v>5095</v>
      </c>
      <c r="M18" s="3" t="n">
        <f aca="false">IFERROR(__xludf.dummyfunction("if($T18&lt;&gt;"""",VALUE(REGEXEXTRACT($T18, M$1&amp;""[\w &amp;]*, (\d+\.\d+)"")),"""")
"),5095)</f>
        <v>5095</v>
      </c>
      <c r="N18" s="3" t="n">
        <f aca="false">IFERROR(__xludf.dummyfunction("if($T18&lt;&gt;"""",VALUE(REGEXEXTRACT(SUBSTITUTE ($T18,N$1&amp;"" CE"",""""), N$1&amp;""[\w &amp;]*, (\d+\.\d+)"")),"""")
"),5200)</f>
        <v>5200</v>
      </c>
      <c r="O18" s="3" t="n">
        <f aca="false">IFERROR(__xludf.dummyfunction("if($T18&lt;&gt;"""",VALUE(REGEXEXTRACT($T18, O$1&amp;""[\w &amp;]*, (\d+\.\d+)"")),"""")
"),5100)</f>
        <v>5100</v>
      </c>
      <c r="P18" s="2" t="n">
        <f aca="false">IFERROR(__xludf.dummyfunction("if($T18&lt;&gt;"""",VALUE(REGEXEXTRACT($T18, P$1&amp;""[\w &amp;]*, (\d+\.\d+)"")),"""")
"),5079.13)</f>
        <v>5079.13</v>
      </c>
      <c r="Q18" s="2" t="n">
        <f aca="false">IFERROR(__xludf.dummyfunction("if($T18&lt;&gt;"""",VALUE(REGEXEXTRACT($T18, Q$1&amp;""[\w &amp;]*, (\d+\.\d+)"")),"""")
"),5063.79)</f>
        <v>5063.79</v>
      </c>
      <c r="R18" s="2" t="n">
        <f aca="false">IFERROR(__xludf.dummyfunction("if($T18&lt;&gt;"""",VALUE(REGEXEXTRACT($T18, SUBSTITUTE(R$1, ""+"", ""\+"")&amp;""[\w &amp;]*, (\d+\.\d+)"")),"""")"),5153.21)</f>
        <v>5153.21</v>
      </c>
      <c r="S18" s="2" t="n">
        <f aca="false">IFERROR(__xludf.dummyfunction("if($T18&lt;&gt;"""",VALUE(REGEXEXTRACT($T18, SUBSTITUTE(S$1, ""+"", ""\+"")&amp;""[\w &amp;]*, (\d+\.\d+)"")),"""")"),5168.55)</f>
        <v>5168.55</v>
      </c>
      <c r="T18" s="5" t="s">
        <v>31</v>
      </c>
      <c r="U18" s="5"/>
    </row>
    <row r="19" customFormat="false" ht="15.75" hidden="false" customHeight="false" outlineLevel="0" collapsed="false">
      <c r="A19" s="4" t="n">
        <f aca="false">IFERROR(__xludf.dummyfunction("""COMPUTED_VALUE"""),45413.6666666667)</f>
        <v>45413.6666666667</v>
      </c>
      <c r="B19" s="2" t="n">
        <f aca="false">IFERROR(__xludf.dummyfunction("""COMPUTED_VALUE"""),5029.03)</f>
        <v>5029.03</v>
      </c>
      <c r="C19" s="2" t="n">
        <f aca="false">IFERROR(__xludf.dummyfunction("""COMPUTED_VALUE"""),5096.12)</f>
        <v>5096.12</v>
      </c>
      <c r="D19" s="2" t="n">
        <f aca="false">IFERROR(__xludf.dummyfunction("""COMPUTED_VALUE"""),5013.45)</f>
        <v>5013.45</v>
      </c>
      <c r="E19" s="2" t="n">
        <f aca="false">IFERROR(__xludf.dummyfunction("""COMPUTED_VALUE"""),5018.39)</f>
        <v>5018.39</v>
      </c>
      <c r="F19" s="3" t="n">
        <f aca="false">IFERROR(__xludf.dummyfunction("if($T19&lt;&gt;"""",VALUE(REGEXEXTRACT(SUBSTITUTE ($T19,F$1&amp;"" CE"",""""), F$1&amp;""[\w &amp;]*, (\d+\.\d+)"")),"""")
"),5325)</f>
        <v>5325</v>
      </c>
      <c r="G19" s="3" t="n">
        <f aca="false">IFERROR(__xludf.dummyfunction("if($T19&lt;&gt;"""",VALUE(REGEXEXTRACT($T19, G$1&amp;""[\w &amp;]*, (\d+\.\d+)"")),"""")
"),5085)</f>
        <v>5085</v>
      </c>
      <c r="H19" s="3" t="n">
        <f aca="false">IFERROR(__xludf.dummyfunction("if($T19&lt;&gt;"""",VALUE(REGEXEXTRACT($T19, H$1&amp;""[\w &amp;]*, (\d+\.\d+)"")),"""")"),5850)</f>
        <v>5850</v>
      </c>
      <c r="I19" s="3" t="n">
        <f aca="false">IFERROR(__xludf.dummyfunction("if($T19&lt;&gt;"""",VALUE(REGEXEXTRACT(SUBSTITUTE ($T19,I$1&amp;"" CE"",""""), I$1&amp;""[\w &amp;]*, (\d+\.\d+)"")),"""")
"),4765)</f>
        <v>4765</v>
      </c>
      <c r="J19" s="3" t="n">
        <f aca="false">IFERROR(__xludf.dummyfunction("if($T19&lt;&gt;"""",VALUE(REGEXEXTRACT($T19, J$1&amp;""[\w &amp;]*, (\d+\.\d+)"")),"""")
"),4980)</f>
        <v>4980</v>
      </c>
      <c r="K19" s="3" t="n">
        <f aca="false">IFERROR(__xludf.dummyfunction("if($T19&lt;&gt;"""",VALUE(REGEXEXTRACT($T19, K$1&amp;""[\w &amp;]*, (\d+\.\d+)"")),"""")
"),4030)</f>
        <v>4030</v>
      </c>
      <c r="L19" s="3" t="n">
        <f aca="false">IFERROR(__xludf.dummyfunction("if($T19&lt;&gt;"""",VALUE(REGEXEXTRACT(SUBSTITUTE ($T19,L$1&amp;"" CE"",""""), L$1&amp;""[\w &amp;]*, (\d+\.\d+)"")),"""")
"),5075)</f>
        <v>5075</v>
      </c>
      <c r="M19" s="3" t="n">
        <f aca="false">IFERROR(__xludf.dummyfunction("if($T19&lt;&gt;"""",VALUE(REGEXEXTRACT($T19, M$1&amp;""[\w &amp;]*, (\d+\.\d+)"")),"""")
"),5065)</f>
        <v>5065</v>
      </c>
      <c r="N19" s="3" t="n">
        <f aca="false">IFERROR(__xludf.dummyfunction("if($T19&lt;&gt;"""",VALUE(REGEXEXTRACT(SUBSTITUTE ($T19,N$1&amp;"" CE"",""""), N$1&amp;""[\w &amp;]*, (\d+\.\d+)"")),"""")
"),5325)</f>
        <v>5325</v>
      </c>
      <c r="O19" s="3" t="n">
        <f aca="false">IFERROR(__xludf.dummyfunction("if($T19&lt;&gt;"""",VALUE(REGEXEXTRACT($T19, O$1&amp;""[\w &amp;]*, (\d+\.\d+)"")),"""")
"),5000)</f>
        <v>5000</v>
      </c>
      <c r="P19" s="2" t="n">
        <f aca="false">IFERROR(__xludf.dummyfunction("if($T19&lt;&gt;"""",VALUE(REGEXEXTRACT($T19, P$1&amp;""[\w &amp;]*, (\d+\.\d+)"")),"""")
"),4994.54)</f>
        <v>4994.54</v>
      </c>
      <c r="Q19" s="2" t="n">
        <f aca="false">IFERROR(__xludf.dummyfunction("if($T19&lt;&gt;"""",VALUE(REGEXEXTRACT($T19, Q$1&amp;""[\w &amp;]*, (\d+\.\d+)"")),"""")
"),4977.5)</f>
        <v>4977.5</v>
      </c>
      <c r="R19" s="2" t="n">
        <f aca="false">IFERROR(__xludf.dummyfunction("if($T19&lt;&gt;"""",VALUE(REGEXEXTRACT($T19, SUBSTITUTE(R$1, ""+"", ""\+"")&amp;""[\w &amp;]*, (\d+\.\d+)"")),"""")"),5076.83)</f>
        <v>5076.83</v>
      </c>
      <c r="S19" s="2" t="n">
        <f aca="false">IFERROR(__xludf.dummyfunction("if($T19&lt;&gt;"""",VALUE(REGEXEXTRACT($T19, SUBSTITUTE(S$1, ""+"", ""\+"")&amp;""[\w &amp;]*, (\d+\.\d+)"")),"""")"),5093.88)</f>
        <v>5093.88</v>
      </c>
      <c r="T19" s="5" t="s">
        <v>32</v>
      </c>
      <c r="U19" s="5"/>
    </row>
    <row r="20" customFormat="false" ht="15.75" hidden="false" customHeight="false" outlineLevel="0" collapsed="false">
      <c r="A20" s="4" t="n">
        <f aca="false">IFERROR(__xludf.dummyfunction("""COMPUTED_VALUE"""),45414.6666666667)</f>
        <v>45414.6666666667</v>
      </c>
      <c r="B20" s="2" t="n">
        <f aca="false">IFERROR(__xludf.dummyfunction("""COMPUTED_VALUE"""),5049.32)</f>
        <v>5049.32</v>
      </c>
      <c r="C20" s="2" t="n">
        <f aca="false">IFERROR(__xludf.dummyfunction("""COMPUTED_VALUE"""),5073.21)</f>
        <v>5073.21</v>
      </c>
      <c r="D20" s="2" t="n">
        <f aca="false">IFERROR(__xludf.dummyfunction("""COMPUTED_VALUE"""),5011.05)</f>
        <v>5011.05</v>
      </c>
      <c r="E20" s="2" t="n">
        <f aca="false">IFERROR(__xludf.dummyfunction("""COMPUTED_VALUE"""),5064.2)</f>
        <v>5064.2</v>
      </c>
      <c r="F20" s="3" t="n">
        <f aca="false">IFERROR(__xludf.dummyfunction("if($T20&lt;&gt;"""",VALUE(REGEXEXTRACT(SUBSTITUTE ($T20,F$1&amp;"" CE"",""""), F$1&amp;""[\w &amp;]*, (\d+\.\d+)"")),"""")
"),5325)</f>
        <v>5325</v>
      </c>
      <c r="G20" s="3" t="n">
        <f aca="false">IFERROR(__xludf.dummyfunction("if($T20&lt;&gt;"""",VALUE(REGEXEXTRACT($T20, G$1&amp;""[\w &amp;]*, (\d+\.\d+)"")),"""")
"),5100)</f>
        <v>5100</v>
      </c>
      <c r="H20" s="3" t="n">
        <f aca="false">IFERROR(__xludf.dummyfunction("if($T20&lt;&gt;"""",VALUE(REGEXEXTRACT($T20, H$1&amp;""[\w &amp;]*, (\d+\.\d+)"")),"""")"),5850)</f>
        <v>5850</v>
      </c>
      <c r="I20" s="3" t="n">
        <f aca="false">IFERROR(__xludf.dummyfunction("if($T20&lt;&gt;"""",VALUE(REGEXEXTRACT(SUBSTITUTE ($T20,I$1&amp;"" CE"",""""), I$1&amp;""[\w &amp;]*, (\d+\.\d+)"")),"""")
"),4765)</f>
        <v>4765</v>
      </c>
      <c r="J20" s="3" t="n">
        <f aca="false">IFERROR(__xludf.dummyfunction("if($T20&lt;&gt;"""",VALUE(REGEXEXTRACT($T20, J$1&amp;""[\w &amp;]*, (\d+\.\d+)"")),"""")
"),5050)</f>
        <v>5050</v>
      </c>
      <c r="K20" s="3" t="n">
        <f aca="false">IFERROR(__xludf.dummyfunction("if($T20&lt;&gt;"""",VALUE(REGEXEXTRACT($T20, K$1&amp;""[\w &amp;]*, (\d+\.\d+)"")),"""")
"),3880)</f>
        <v>3880</v>
      </c>
      <c r="L20" s="3" t="n">
        <f aca="false">IFERROR(__xludf.dummyfunction("if($T20&lt;&gt;"""",VALUE(REGEXEXTRACT(SUBSTITUTE ($T20,L$1&amp;"" CE"",""""), L$1&amp;""[\w &amp;]*, (\d+\.\d+)"")),"""")
"),5075)</f>
        <v>5075</v>
      </c>
      <c r="M20" s="3" t="n">
        <f aca="false">IFERROR(__xludf.dummyfunction("if($T20&lt;&gt;"""",VALUE(REGEXEXTRACT($T20, M$1&amp;""[\w &amp;]*, (\d+\.\d+)"")),"""")
"),5050)</f>
        <v>5050</v>
      </c>
      <c r="N20" s="3" t="n">
        <f aca="false">IFERROR(__xludf.dummyfunction("if($T20&lt;&gt;"""",VALUE(REGEXEXTRACT(SUBSTITUTE ($T20,N$1&amp;"" CE"",""""), N$1&amp;""[\w &amp;]*, (\d+\.\d+)"")),"""")
"),5325)</f>
        <v>5325</v>
      </c>
      <c r="O20" s="3" t="n">
        <f aca="false">IFERROR(__xludf.dummyfunction("if($T20&lt;&gt;"""",VALUE(REGEXEXTRACT($T20, O$1&amp;""[\w &amp;]*, (\d+\.\d+)"")),"""")
"),5050)</f>
        <v>5050</v>
      </c>
      <c r="P20" s="2" t="n">
        <f aca="false">IFERROR(__xludf.dummyfunction("if($T20&lt;&gt;"""",VALUE(REGEXEXTRACT($T20, P$1&amp;""[\w &amp;]*, (\d+\.\d+)"")),"""")
"),4979.59)</f>
        <v>4979.59</v>
      </c>
      <c r="Q20" s="2" t="n">
        <f aca="false">IFERROR(__xludf.dummyfunction("if($T20&lt;&gt;"""",VALUE(REGEXEXTRACT($T20, Q$1&amp;""[\w &amp;]*, (\d+\.\d+)"")),"""")
"),4963.52)</f>
        <v>4963.52</v>
      </c>
      <c r="R20" s="2" t="n">
        <f aca="false">IFERROR(__xludf.dummyfunction("if($T20&lt;&gt;"""",VALUE(REGEXEXTRACT($T20, SUBSTITUTE(R$1, ""+"", ""\+"")&amp;""[\w &amp;]*, (\d+\.\d+)"")),"""")"),5057.19)</f>
        <v>5057.19</v>
      </c>
      <c r="S20" s="2" t="n">
        <f aca="false">IFERROR(__xludf.dummyfunction("if($T20&lt;&gt;"""",VALUE(REGEXEXTRACT($T20, SUBSTITUTE(S$1, ""+"", ""\+"")&amp;""[\w &amp;]*, (\d+\.\d+)"")),"""")"),5073.26)</f>
        <v>5073.26</v>
      </c>
      <c r="T20" s="5" t="s">
        <v>33</v>
      </c>
      <c r="U20" s="5"/>
    </row>
    <row r="21" customFormat="false" ht="15.75" hidden="false" customHeight="false" outlineLevel="0" collapsed="false">
      <c r="A21" s="4" t="n">
        <f aca="false">IFERROR(__xludf.dummyfunction("""COMPUTED_VALUE"""),45415.6666666667)</f>
        <v>45415.6666666667</v>
      </c>
      <c r="B21" s="2" t="n">
        <f aca="false">IFERROR(__xludf.dummyfunction("""COMPUTED_VALUE"""),5122.78)</f>
        <v>5122.78</v>
      </c>
      <c r="C21" s="2" t="n">
        <f aca="false">IFERROR(__xludf.dummyfunction("""COMPUTED_VALUE"""),5139.12)</f>
        <v>5139.12</v>
      </c>
      <c r="D21" s="2" t="n">
        <f aca="false">IFERROR(__xludf.dummyfunction("""COMPUTED_VALUE"""),5101.22)</f>
        <v>5101.22</v>
      </c>
      <c r="E21" s="2" t="n">
        <f aca="false">IFERROR(__xludf.dummyfunction("""COMPUTED_VALUE"""),5127.79)</f>
        <v>5127.79</v>
      </c>
      <c r="F21" s="3" t="n">
        <f aca="false">IFERROR(__xludf.dummyfunction("if($T21&lt;&gt;"""",VALUE(REGEXEXTRACT(SUBSTITUTE ($T21,F$1&amp;"" CE"",""""), F$1&amp;""[\w &amp;]*, (\d+\.\d+)"")),"""")
"),5325)</f>
        <v>5325</v>
      </c>
      <c r="G21" s="3" t="n">
        <f aca="false">IFERROR(__xludf.dummyfunction("if($T21&lt;&gt;"""",VALUE(REGEXEXTRACT($T21, G$1&amp;""[\w &amp;]*, (\d+\.\d+)"")),"""")
"),5100)</f>
        <v>5100</v>
      </c>
      <c r="H21" s="3" t="n">
        <f aca="false">IFERROR(__xludf.dummyfunction("if($T21&lt;&gt;"""",VALUE(REGEXEXTRACT($T21, H$1&amp;""[\w &amp;]*, (\d+\.\d+)"")),"""")"),5850)</f>
        <v>5850</v>
      </c>
      <c r="I21" s="3" t="n">
        <f aca="false">IFERROR(__xludf.dummyfunction("if($T21&lt;&gt;"""",VALUE(REGEXEXTRACT(SUBSTITUTE ($T21,I$1&amp;"" CE"",""""), I$1&amp;""[\w &amp;]*, (\d+\.\d+)"")),"""")
"),4765)</f>
        <v>4765</v>
      </c>
      <c r="J21" s="3" t="n">
        <f aca="false">IFERROR(__xludf.dummyfunction("if($T21&lt;&gt;"""",VALUE(REGEXEXTRACT($T21, J$1&amp;""[\w &amp;]*, (\d+\.\d+)"")),"""")
"),5050)</f>
        <v>5050</v>
      </c>
      <c r="K21" s="3" t="n">
        <f aca="false">IFERROR(__xludf.dummyfunction("if($T21&lt;&gt;"""",VALUE(REGEXEXTRACT($T21, K$1&amp;""[\w &amp;]*, (\d+\.\d+)"")),"""")
"),3880)</f>
        <v>3880</v>
      </c>
      <c r="L21" s="3" t="n">
        <f aca="false">IFERROR(__xludf.dummyfunction("if($T21&lt;&gt;"""",VALUE(REGEXEXTRACT(SUBSTITUTE ($T21,L$1&amp;"" CE"",""""), L$1&amp;""[\w &amp;]*, (\d+\.\d+)"")),"""")
"),5075)</f>
        <v>5075</v>
      </c>
      <c r="M21" s="3" t="n">
        <f aca="false">IFERROR(__xludf.dummyfunction("if($T21&lt;&gt;"""",VALUE(REGEXEXTRACT($T21, M$1&amp;""[\w &amp;]*, (\d+\.\d+)"")),"""")
"),5070)</f>
        <v>5070</v>
      </c>
      <c r="N21" s="3" t="n">
        <f aca="false">IFERROR(__xludf.dummyfunction("if($T21&lt;&gt;"""",VALUE(REGEXEXTRACT(SUBSTITUTE ($T21,N$1&amp;"" CE"",""""), N$1&amp;""[\w &amp;]*, (\d+\.\d+)"")),"""")
"),5325)</f>
        <v>5325</v>
      </c>
      <c r="O21" s="3" t="n">
        <f aca="false">IFERROR(__xludf.dummyfunction("if($T21&lt;&gt;"""",VALUE(REGEXEXTRACT($T21, O$1&amp;""[\w &amp;]*, (\d+\.\d+)"")),"""")
"),5100)</f>
        <v>5100</v>
      </c>
      <c r="P21" s="2" t="n">
        <f aca="false">IFERROR(__xludf.dummyfunction("if($T21&lt;&gt;"""",VALUE(REGEXEXTRACT($T21, P$1&amp;""[\w &amp;]*, (\d+\.\d+)"")),"""")
"),5026.71)</f>
        <v>5026.71</v>
      </c>
      <c r="Q21" s="2" t="n">
        <f aca="false">IFERROR(__xludf.dummyfunction("if($T21&lt;&gt;"""",VALUE(REGEXEXTRACT($T21, Q$1&amp;""[\w &amp;]*, (\d+\.\d+)"")),"""")
"),4989.21)</f>
        <v>4989.21</v>
      </c>
      <c r="R21" s="2" t="n">
        <f aca="false">IFERROR(__xludf.dummyfunction("if($T21&lt;&gt;"""",VALUE(REGEXEXTRACT($T21, SUBSTITUTE(R$1, ""+"", ""\+"")&amp;""[\w &amp;]*, (\d+\.\d+)"")),"""")"),5101.69)</f>
        <v>5101.69</v>
      </c>
      <c r="S21" s="2" t="n">
        <f aca="false">IFERROR(__xludf.dummyfunction("if($T21&lt;&gt;"""",VALUE(REGEXEXTRACT($T21, SUBSTITUTE(S$1, ""+"", ""\+"")&amp;""[\w &amp;]*, (\d+\.\d+)"")),"""")"),5139.19)</f>
        <v>5139.19</v>
      </c>
      <c r="T21" s="5" t="s">
        <v>34</v>
      </c>
      <c r="U21" s="5"/>
    </row>
    <row r="22" customFormat="false" ht="15.75" hidden="false" customHeight="false" outlineLevel="0" collapsed="false">
      <c r="A22" s="4" t="n">
        <f aca="false">IFERROR(__xludf.dummyfunction("""COMPUTED_VALUE"""),45418.6666666667)</f>
        <v>45418.6666666667</v>
      </c>
      <c r="B22" s="2" t="n">
        <f aca="false">IFERROR(__xludf.dummyfunction("""COMPUTED_VALUE"""),5142.42)</f>
        <v>5142.42</v>
      </c>
      <c r="C22" s="2" t="n">
        <f aca="false">IFERROR(__xludf.dummyfunction("""COMPUTED_VALUE"""),5181)</f>
        <v>5181</v>
      </c>
      <c r="D22" s="2" t="n">
        <f aca="false">IFERROR(__xludf.dummyfunction("""COMPUTED_VALUE"""),5142.42)</f>
        <v>5142.42</v>
      </c>
      <c r="E22" s="2" t="n">
        <f aca="false">IFERROR(__xludf.dummyfunction("""COMPUTED_VALUE"""),5180.74)</f>
        <v>5180.74</v>
      </c>
      <c r="F22" s="3" t="n">
        <f aca="false">IFERROR(__xludf.dummyfunction("if($T22&lt;&gt;"""",VALUE(REGEXEXTRACT(SUBSTITUTE ($T22,F$1&amp;"" CE"",""""), F$1&amp;""[\w &amp;]*, (\d+\.\d+)"")),"""")
"),5325)</f>
        <v>5325</v>
      </c>
      <c r="G22" s="3" t="n">
        <f aca="false">IFERROR(__xludf.dummyfunction("if($T22&lt;&gt;"""",VALUE(REGEXEXTRACT($T22, G$1&amp;""[\w &amp;]*, (\d+\.\d+)"")),"""")
"),5150)</f>
        <v>5150</v>
      </c>
      <c r="H22" s="3" t="n">
        <f aca="false">IFERROR(__xludf.dummyfunction("if($T22&lt;&gt;"""",VALUE(REGEXEXTRACT($T22, H$1&amp;""[\w &amp;]*, (\d+\.\d+)"")),"""")"),5850)</f>
        <v>5850</v>
      </c>
      <c r="I22" s="3" t="n">
        <f aca="false">IFERROR(__xludf.dummyfunction("if($T22&lt;&gt;"""",VALUE(REGEXEXTRACT(SUBSTITUTE ($T22,I$1&amp;"" CE"",""""), I$1&amp;""[\w &amp;]*, (\d+\.\d+)"")),"""")
"),4765)</f>
        <v>4765</v>
      </c>
      <c r="J22" s="3" t="n">
        <f aca="false">IFERROR(__xludf.dummyfunction("if($T22&lt;&gt;"""",VALUE(REGEXEXTRACT($T22, J$1&amp;""[\w &amp;]*, (\d+\.\d+)"")),"""")
"),5105)</f>
        <v>5105</v>
      </c>
      <c r="K22" s="3" t="n">
        <f aca="false">IFERROR(__xludf.dummyfunction("if($T22&lt;&gt;"""",VALUE(REGEXEXTRACT($T22, K$1&amp;""[\w &amp;]*, (\d+\.\d+)"")),"""")
"),3880)</f>
        <v>3880</v>
      </c>
      <c r="L22" s="3" t="n">
        <f aca="false">IFERROR(__xludf.dummyfunction("if($T22&lt;&gt;"""",VALUE(REGEXEXTRACT(SUBSTITUTE ($T22,L$1&amp;"" CE"",""""), L$1&amp;""[\w &amp;]*, (\d+\.\d+)"")),"""")
"),5115)</f>
        <v>5115</v>
      </c>
      <c r="M22" s="3" t="n">
        <f aca="false">IFERROR(__xludf.dummyfunction("if($T22&lt;&gt;"""",VALUE(REGEXEXTRACT($T22, M$1&amp;""[\w &amp;]*, (\d+\.\d+)"")),"""")
"),5115)</f>
        <v>5115</v>
      </c>
      <c r="N22" s="3" t="n">
        <f aca="false">IFERROR(__xludf.dummyfunction("if($T22&lt;&gt;"""",VALUE(REGEXEXTRACT(SUBSTITUTE ($T22,N$1&amp;"" CE"",""""), N$1&amp;""[\w &amp;]*, (\d+\.\d+)"")),"""")
"),5325)</f>
        <v>5325</v>
      </c>
      <c r="O22" s="3" t="n">
        <f aca="false">IFERROR(__xludf.dummyfunction("if($T22&lt;&gt;"""",VALUE(REGEXEXTRACT($T22, O$1&amp;""[\w &amp;]*, (\d+\.\d+)"")),"""")
"),5150)</f>
        <v>5150</v>
      </c>
      <c r="P22" s="2" t="n">
        <f aca="false">IFERROR(__xludf.dummyfunction("if($T22&lt;&gt;"""",VALUE(REGEXEXTRACT($T22, P$1&amp;""[\w &amp;]*, (\d+\.\d+)"")),"""")
"),5093.51)</f>
        <v>5093.51</v>
      </c>
      <c r="Q22" s="2" t="n">
        <f aca="false">IFERROR(__xludf.dummyfunction("if($T22&lt;&gt;"""",VALUE(REGEXEXTRACT($T22, Q$1&amp;""[\w &amp;]*, (\d+\.\d+)"")),"""")
"),5079.31)</f>
        <v>5079.31</v>
      </c>
      <c r="R22" s="2" t="n">
        <f aca="false">IFERROR(__xludf.dummyfunction("if($T22&lt;&gt;"""",VALUE(REGEXEXTRACT($T22, SUBSTITUTE(R$1, ""+"", ""\+"")&amp;""[\w &amp;]*, (\d+\.\d+)"")),"""")"),5162.07)</f>
        <v>5162.07</v>
      </c>
      <c r="S22" s="2" t="n">
        <f aca="false">IFERROR(__xludf.dummyfunction("if($T22&lt;&gt;"""",VALUE(REGEXEXTRACT($T22, SUBSTITUTE(S$1, ""+"", ""\+"")&amp;""[\w &amp;]*, (\d+\.\d+)"")),"""")"),5176.27)</f>
        <v>5176.27</v>
      </c>
      <c r="T22" s="5" t="s">
        <v>35</v>
      </c>
      <c r="U22" s="5"/>
    </row>
    <row r="23" customFormat="false" ht="15.75" hidden="false" customHeight="false" outlineLevel="0" collapsed="false">
      <c r="A23" s="4" t="n">
        <f aca="false">IFERROR(__xludf.dummyfunction("""COMPUTED_VALUE"""),45419.6666666667)</f>
        <v>45419.6666666667</v>
      </c>
      <c r="B23" s="2" t="n">
        <f aca="false">IFERROR(__xludf.dummyfunction("""COMPUTED_VALUE"""),5187.2)</f>
        <v>5187.2</v>
      </c>
      <c r="C23" s="2" t="n">
        <f aca="false">IFERROR(__xludf.dummyfunction("""COMPUTED_VALUE"""),5200.23)</f>
        <v>5200.23</v>
      </c>
      <c r="D23" s="2" t="n">
        <f aca="false">IFERROR(__xludf.dummyfunction("""COMPUTED_VALUE"""),5178.96)</f>
        <v>5178.96</v>
      </c>
      <c r="E23" s="2" t="n">
        <f aca="false">IFERROR(__xludf.dummyfunction("""COMPUTED_VALUE"""),5187.7)</f>
        <v>5187.7</v>
      </c>
      <c r="F23" s="3" t="n">
        <f aca="false">IFERROR(__xludf.dummyfunction("if($T23&lt;&gt;"""",VALUE(REGEXEXTRACT(SUBSTITUTE ($T23,F$1&amp;"" CE"",""""), F$1&amp;""[\w &amp;]*, (\d+\.\d+)"")),"""")
"),5325)</f>
        <v>5325</v>
      </c>
      <c r="G23" s="3" t="n">
        <f aca="false">IFERROR(__xludf.dummyfunction("if($T23&lt;&gt;"""",VALUE(REGEXEXTRACT($T23, G$1&amp;""[\w &amp;]*, (\d+\.\d+)"")),"""")
"),5200)</f>
        <v>5200</v>
      </c>
      <c r="H23" s="3" t="n">
        <f aca="false">IFERROR(__xludf.dummyfunction("if($T23&lt;&gt;"""",VALUE(REGEXEXTRACT($T23, H$1&amp;""[\w &amp;]*, (\d+\.\d+)"")),"""")"),5850)</f>
        <v>5850</v>
      </c>
      <c r="I23" s="3" t="n">
        <f aca="false">IFERROR(__xludf.dummyfunction("if($T23&lt;&gt;"""",VALUE(REGEXEXTRACT(SUBSTITUTE ($T23,I$1&amp;"" CE"",""""), I$1&amp;""[\w &amp;]*, (\d+\.\d+)"")),"""")
"),4765)</f>
        <v>4765</v>
      </c>
      <c r="J23" s="3" t="n">
        <f aca="false">IFERROR(__xludf.dummyfunction("if($T23&lt;&gt;"""",VALUE(REGEXEXTRACT($T23, J$1&amp;""[\w &amp;]*, (\d+\.\d+)"")),"""")
"),5160)</f>
        <v>5160</v>
      </c>
      <c r="K23" s="3" t="n">
        <f aca="false">IFERROR(__xludf.dummyfunction("if($T23&lt;&gt;"""",VALUE(REGEXEXTRACT($T23, K$1&amp;""[\w &amp;]*, (\d+\.\d+)"")),"""")
"),4170)</f>
        <v>4170</v>
      </c>
      <c r="L23" s="3" t="n">
        <f aca="false">IFERROR(__xludf.dummyfunction("if($T23&lt;&gt;"""",VALUE(REGEXEXTRACT(SUBSTITUTE ($T23,L$1&amp;"" CE"",""""), L$1&amp;""[\w &amp;]*, (\d+\.\d+)"")),"""")
"),5165)</f>
        <v>5165</v>
      </c>
      <c r="M23" s="3" t="n">
        <f aca="false">IFERROR(__xludf.dummyfunction("if($T23&lt;&gt;"""",VALUE(REGEXEXTRACT($T23, M$1&amp;""[\w &amp;]*, (\d+\.\d+)"")),"""")
"),5165)</f>
        <v>5165</v>
      </c>
      <c r="N23" s="3" t="n">
        <f aca="false">IFERROR(__xludf.dummyfunction("if($T23&lt;&gt;"""",VALUE(REGEXEXTRACT(SUBSTITUTE ($T23,N$1&amp;"" CE"",""""), N$1&amp;""[\w &amp;]*, (\d+\.\d+)"")),"""")
"),5325)</f>
        <v>5325</v>
      </c>
      <c r="O23" s="3" t="n">
        <f aca="false">IFERROR(__xludf.dummyfunction("if($T23&lt;&gt;"""",VALUE(REGEXEXTRACT($T23, O$1&amp;""[\w &amp;]*, (\d+\.\d+)"")),"""")
"),5200)</f>
        <v>5200</v>
      </c>
      <c r="P23" s="2" t="n">
        <f aca="false">IFERROR(__xludf.dummyfunction("if($T23&lt;&gt;"""",VALUE(REGEXEXTRACT($T23, P$1&amp;""[\w &amp;]*, (\d+\.\d+)"")),"""")
"),5147.76)</f>
        <v>5147.76</v>
      </c>
      <c r="Q23" s="2" t="n">
        <f aca="false">IFERROR(__xludf.dummyfunction("if($T23&lt;&gt;"""",VALUE(REGEXEXTRACT($T23, Q$1&amp;""[\w &amp;]*, (\d+\.\d+)"")),"""")
"),5134.1)</f>
        <v>5134.1</v>
      </c>
      <c r="R23" s="2" t="n">
        <f aca="false">IFERROR(__xludf.dummyfunction("if($T23&lt;&gt;"""",VALUE(REGEXEXTRACT($T23, SUBSTITUTE(R$1, ""+"", ""\+"")&amp;""[\w &amp;]*, (\d+\.\d+)"")),"""")"),5213.72)</f>
        <v>5213.72</v>
      </c>
      <c r="S23" s="2" t="n">
        <f aca="false">IFERROR(__xludf.dummyfunction("if($T23&lt;&gt;"""",VALUE(REGEXEXTRACT($T23, SUBSTITUTE(S$1, ""+"", ""\+"")&amp;""[\w &amp;]*, (\d+\.\d+)"")),"""")"),5227.38)</f>
        <v>5227.38</v>
      </c>
      <c r="T23" s="5" t="s">
        <v>36</v>
      </c>
      <c r="U23" s="5"/>
    </row>
    <row r="24" customFormat="false" ht="15.75" hidden="false" customHeight="false" outlineLevel="0" collapsed="false">
      <c r="A24" s="4" t="n">
        <f aca="false">IFERROR(__xludf.dummyfunction("""COMPUTED_VALUE"""),45420.6666666667)</f>
        <v>45420.6666666667</v>
      </c>
      <c r="B24" s="2" t="n">
        <f aca="false">IFERROR(__xludf.dummyfunction("""COMPUTED_VALUE"""),5168.98)</f>
        <v>5168.98</v>
      </c>
      <c r="C24" s="2" t="n">
        <f aca="false">IFERROR(__xludf.dummyfunction("""COMPUTED_VALUE"""),5191.95)</f>
        <v>5191.95</v>
      </c>
      <c r="D24" s="2" t="n">
        <f aca="false">IFERROR(__xludf.dummyfunction("""COMPUTED_VALUE"""),5165.86)</f>
        <v>5165.86</v>
      </c>
      <c r="E24" s="2" t="n">
        <f aca="false">IFERROR(__xludf.dummyfunction("""COMPUTED_VALUE"""),5187.67)</f>
        <v>5187.67</v>
      </c>
      <c r="F24" s="3" t="n">
        <f aca="false">IFERROR(__xludf.dummyfunction("if($T24&lt;&gt;"""",VALUE(REGEXEXTRACT(SUBSTITUTE ($T24,F$1&amp;"" CE"",""""), F$1&amp;""[\w &amp;]*, (\d+\.\d+)"")),"""")
"),5325)</f>
        <v>5325</v>
      </c>
      <c r="G24" s="3" t="n">
        <f aca="false">IFERROR(__xludf.dummyfunction("if($T24&lt;&gt;"""",VALUE(REGEXEXTRACT($T24, G$1&amp;""[\w &amp;]*, (\d+\.\d+)"")),"""")
"),5200)</f>
        <v>5200</v>
      </c>
      <c r="H24" s="3" t="n">
        <f aca="false">IFERROR(__xludf.dummyfunction("if($T24&lt;&gt;"""",VALUE(REGEXEXTRACT($T24, H$1&amp;""[\w &amp;]*, (\d+\.\d+)"")),"""")"),5850)</f>
        <v>5850</v>
      </c>
      <c r="I24" s="3" t="n">
        <f aca="false">IFERROR(__xludf.dummyfunction("if($T24&lt;&gt;"""",VALUE(REGEXEXTRACT(SUBSTITUTE ($T24,I$1&amp;"" CE"",""""), I$1&amp;""[\w &amp;]*, (\d+\.\d+)"")),"""")
"),4765)</f>
        <v>4765</v>
      </c>
      <c r="J24" s="3" t="n">
        <f aca="false">IFERROR(__xludf.dummyfunction("if($T24&lt;&gt;"""",VALUE(REGEXEXTRACT($T24, J$1&amp;""[\w &amp;]*, (\d+\.\d+)"")),"""")
"),5180)</f>
        <v>5180</v>
      </c>
      <c r="K24" s="3" t="n">
        <f aca="false">IFERROR(__xludf.dummyfunction("if($T24&lt;&gt;"""",VALUE(REGEXEXTRACT($T24, K$1&amp;""[\w &amp;]*, (\d+\.\d+)"")),"""")
"),4170)</f>
        <v>4170</v>
      </c>
      <c r="L24" s="3" t="n">
        <f aca="false">IFERROR(__xludf.dummyfunction("if($T24&lt;&gt;"""",VALUE(REGEXEXTRACT(SUBSTITUTE ($T24,L$1&amp;"" CE"",""""), L$1&amp;""[\w &amp;]*, (\d+\.\d+)"")),"""")
"),5165)</f>
        <v>5165</v>
      </c>
      <c r="M24" s="3" t="n">
        <f aca="false">IFERROR(__xludf.dummyfunction("if($T24&lt;&gt;"""",VALUE(REGEXEXTRACT($T24, M$1&amp;""[\w &amp;]*, (\d+\.\d+)"")),"""")
"),5180)</f>
        <v>5180</v>
      </c>
      <c r="N24" s="3" t="n">
        <f aca="false">IFERROR(__xludf.dummyfunction("if($T24&lt;&gt;"""",VALUE(REGEXEXTRACT(SUBSTITUTE ($T24,N$1&amp;"" CE"",""""), N$1&amp;""[\w &amp;]*, (\d+\.\d+)"")),"""")
"),5325)</f>
        <v>5325</v>
      </c>
      <c r="O24" s="3" t="n">
        <f aca="false">IFERROR(__xludf.dummyfunction("if($T24&lt;&gt;"""",VALUE(REGEXEXTRACT($T24, O$1&amp;""[\w &amp;]*, (\d+\.\d+)"")),"""")
"),5170)</f>
        <v>5170</v>
      </c>
      <c r="P24" s="2" t="n">
        <f aca="false">IFERROR(__xludf.dummyfunction("if($T24&lt;&gt;"""",VALUE(REGEXEXTRACT($T24, P$1&amp;""[\w &amp;]*, (\d+\.\d+)"")),"""")
"),5155.66)</f>
        <v>5155.66</v>
      </c>
      <c r="Q24" s="2" t="n">
        <f aca="false">IFERROR(__xludf.dummyfunction("if($T24&lt;&gt;"""",VALUE(REGEXEXTRACT($T24, Q$1&amp;""[\w &amp;]*, (\d+\.\d+)"")),"""")
"),5142.39)</f>
        <v>5142.39</v>
      </c>
      <c r="R24" s="2" t="n">
        <f aca="false">IFERROR(__xludf.dummyfunction("if($T24&lt;&gt;"""",VALUE(REGEXEXTRACT($T24, SUBSTITUTE(R$1, ""+"", ""\+"")&amp;""[\w &amp;]*, (\d+\.\d+)"")),"""")"),5219.74)</f>
        <v>5219.74</v>
      </c>
      <c r="S24" s="2" t="n">
        <f aca="false">IFERROR(__xludf.dummyfunction("if($T24&lt;&gt;"""",VALUE(REGEXEXTRACT($T24, SUBSTITUTE(S$1, ""+"", ""\+"")&amp;""[\w &amp;]*, (\d+\.\d+)"")),"""")"),5233.01)</f>
        <v>5233.01</v>
      </c>
      <c r="T24" s="5" t="s">
        <v>37</v>
      </c>
      <c r="U24" s="5"/>
    </row>
    <row r="25" customFormat="false" ht="15.75" hidden="false" customHeight="false" outlineLevel="0" collapsed="false">
      <c r="A25" s="4" t="n">
        <f aca="false">IFERROR(__xludf.dummyfunction("""COMPUTED_VALUE"""),45421.6666666667)</f>
        <v>45421.6666666667</v>
      </c>
      <c r="B25" s="2" t="n">
        <f aca="false">IFERROR(__xludf.dummyfunction("""COMPUTED_VALUE"""),5189.03)</f>
        <v>5189.03</v>
      </c>
      <c r="C25" s="2" t="n">
        <f aca="false">IFERROR(__xludf.dummyfunction("""COMPUTED_VALUE"""),5215.3)</f>
        <v>5215.3</v>
      </c>
      <c r="D25" s="2" t="n">
        <f aca="false">IFERROR(__xludf.dummyfunction("""COMPUTED_VALUE"""),5180.41)</f>
        <v>5180.41</v>
      </c>
      <c r="E25" s="2" t="n">
        <f aca="false">IFERROR(__xludf.dummyfunction("""COMPUTED_VALUE"""),5214.08)</f>
        <v>5214.08</v>
      </c>
      <c r="F25" s="3" t="n">
        <f aca="false">IFERROR(__xludf.dummyfunction("if($T25&lt;&gt;"""",VALUE(REGEXEXTRACT(SUBSTITUTE ($T25,F$1&amp;"" CE"",""""), F$1&amp;""[\w &amp;]*, (\d+\.\d+)"")),"""")
"),5325)</f>
        <v>5325</v>
      </c>
      <c r="G25" s="3" t="n">
        <f aca="false">IFERROR(__xludf.dummyfunction("if($T25&lt;&gt;"""",VALUE(REGEXEXTRACT($T25, G$1&amp;""[\w &amp;]*, (\d+\.\d+)"")),"""")
"),5200)</f>
        <v>5200</v>
      </c>
      <c r="H25" s="3" t="n">
        <f aca="false">IFERROR(__xludf.dummyfunction("if($T25&lt;&gt;"""",VALUE(REGEXEXTRACT($T25, H$1&amp;""[\w &amp;]*, (\d+\.\d+)"")),"""")"),5850)</f>
        <v>5850</v>
      </c>
      <c r="I25" s="3" t="n">
        <f aca="false">IFERROR(__xludf.dummyfunction("if($T25&lt;&gt;"""",VALUE(REGEXEXTRACT(SUBSTITUTE ($T25,I$1&amp;"" CE"",""""), I$1&amp;""[\w &amp;]*, (\d+\.\d+)"")),"""")
"),4765)</f>
        <v>4765</v>
      </c>
      <c r="J25" s="3" t="n">
        <f aca="false">IFERROR(__xludf.dummyfunction("if($T25&lt;&gt;"""",VALUE(REGEXEXTRACT($T25, J$1&amp;""[\w &amp;]*, (\d+\.\d+)"")),"""")
"),5170)</f>
        <v>5170</v>
      </c>
      <c r="K25" s="3" t="n">
        <f aca="false">IFERROR(__xludf.dummyfunction("if($T25&lt;&gt;"""",VALUE(REGEXEXTRACT($T25, K$1&amp;""[\w &amp;]*, (\d+\.\d+)"")),"""")
"),4170)</f>
        <v>4170</v>
      </c>
      <c r="L25" s="3" t="n">
        <f aca="false">IFERROR(__xludf.dummyfunction("if($T25&lt;&gt;"""",VALUE(REGEXEXTRACT(SUBSTITUTE ($T25,L$1&amp;"" CE"",""""), L$1&amp;""[\w &amp;]*, (\d+\.\d+)"")),"""")
"),5170)</f>
        <v>5170</v>
      </c>
      <c r="M25" s="3" t="n">
        <f aca="false">IFERROR(__xludf.dummyfunction("if($T25&lt;&gt;"""",VALUE(REGEXEXTRACT($T25, M$1&amp;""[\w &amp;]*, (\d+\.\d+)"")),"""")
"),5185)</f>
        <v>5185</v>
      </c>
      <c r="N25" s="3" t="n">
        <f aca="false">IFERROR(__xludf.dummyfunction("if($T25&lt;&gt;"""",VALUE(REGEXEXTRACT(SUBSTITUTE ($T25,N$1&amp;"" CE"",""""), N$1&amp;""[\w &amp;]*, (\d+\.\d+)"")),"""")
"),5325)</f>
        <v>5325</v>
      </c>
      <c r="O25" s="3" t="n">
        <f aca="false">IFERROR(__xludf.dummyfunction("if($T25&lt;&gt;"""",VALUE(REGEXEXTRACT($T25, O$1&amp;""[\w &amp;]*, (\d+\.\d+)"")),"""")
"),5180)</f>
        <v>5180</v>
      </c>
      <c r="P25" s="2" t="n">
        <f aca="false">IFERROR(__xludf.dummyfunction("if($T25&lt;&gt;"""",VALUE(REGEXEXTRACT($T25, P$1&amp;""[\w &amp;]*, (\d+\.\d+)"")),"""")
"),5156.28)</f>
        <v>5156.28</v>
      </c>
      <c r="Q25" s="2" t="n">
        <f aca="false">IFERROR(__xludf.dummyfunction("if($T25&lt;&gt;"""",VALUE(REGEXEXTRACT($T25, Q$1&amp;""[\w &amp;]*, (\d+\.\d+)"")),"""")
"),5143.27)</f>
        <v>5143.27</v>
      </c>
      <c r="R25" s="2" t="n">
        <f aca="false">IFERROR(__xludf.dummyfunction("if($T25&lt;&gt;"""",VALUE(REGEXEXTRACT($T25, SUBSTITUTE(R$1, ""+"", ""\+"")&amp;""[\w &amp;]*, (\d+\.\d+)"")),"""")"),5219.06)</f>
        <v>5219.06</v>
      </c>
      <c r="S25" s="2" t="n">
        <f aca="false">IFERROR(__xludf.dummyfunction("if($T25&lt;&gt;"""",VALUE(REGEXEXTRACT($T25, SUBSTITUTE(S$1, ""+"", ""\+"")&amp;""[\w &amp;]*, (\d+\.\d+)"")),"""")"),5232.07)</f>
        <v>5232.07</v>
      </c>
      <c r="T25" s="5" t="s">
        <v>38</v>
      </c>
      <c r="U25" s="5"/>
    </row>
    <row r="26" customFormat="false" ht="15.75" hidden="false" customHeight="false" outlineLevel="0" collapsed="false">
      <c r="A26" s="4" t="n">
        <f aca="false">IFERROR(__xludf.dummyfunction("""COMPUTED_VALUE"""),45422.6666666667)</f>
        <v>45422.6666666667</v>
      </c>
      <c r="B26" s="2" t="n">
        <f aca="false">IFERROR(__xludf.dummyfunction("""COMPUTED_VALUE"""),5225.49)</f>
        <v>5225.49</v>
      </c>
      <c r="C26" s="2" t="n">
        <f aca="false">IFERROR(__xludf.dummyfunction("""COMPUTED_VALUE"""),5239.66)</f>
        <v>5239.66</v>
      </c>
      <c r="D26" s="2" t="n">
        <f aca="false">IFERROR(__xludf.dummyfunction("""COMPUTED_VALUE"""),5209.68)</f>
        <v>5209.68</v>
      </c>
      <c r="E26" s="2" t="n">
        <f aca="false">IFERROR(__xludf.dummyfunction("""COMPUTED_VALUE"""),5222.68)</f>
        <v>5222.68</v>
      </c>
      <c r="F26" s="3" t="n">
        <f aca="false">IFERROR(__xludf.dummyfunction("if($T26&lt;&gt;"""",VALUE(REGEXEXTRACT(SUBSTITUTE ($T26,F$1&amp;"" CE"",""""), F$1&amp;""[\w &amp;]*, (\d+\.\d+)"")),"""")
"),5000)</f>
        <v>5000</v>
      </c>
      <c r="G26" s="3" t="n">
        <f aca="false">IFERROR(__xludf.dummyfunction("if($T26&lt;&gt;"""",VALUE(REGEXEXTRACT($T26, G$1&amp;""[\w &amp;]*, (\d+\.\d+)"")),"""")
"),5240)</f>
        <v>5240</v>
      </c>
      <c r="H26" s="3" t="n">
        <f aca="false">IFERROR(__xludf.dummyfunction("if($T26&lt;&gt;"""",VALUE(REGEXEXTRACT($T26, H$1&amp;""[\w &amp;]*, (\d+\.\d+)"")),"""")"),5360)</f>
        <v>5360</v>
      </c>
      <c r="I26" s="3" t="n">
        <f aca="false">IFERROR(__xludf.dummyfunction("if($T26&lt;&gt;"""",VALUE(REGEXEXTRACT(SUBSTITUTE ($T26,I$1&amp;"" CE"",""""), I$1&amp;""[\w &amp;]*, (\d+\.\d+)"")),"""")
"),5000)</f>
        <v>5000</v>
      </c>
      <c r="J26" s="3" t="n">
        <f aca="false">IFERROR(__xludf.dummyfunction("if($T26&lt;&gt;"""",VALUE(REGEXEXTRACT($T26, J$1&amp;""[\w &amp;]*, (\d+\.\d+)"")),"""")
"),5195)</f>
        <v>5195</v>
      </c>
      <c r="K26" s="3" t="n">
        <f aca="false">IFERROR(__xludf.dummyfunction("if($T26&lt;&gt;"""",VALUE(REGEXEXTRACT($T26, K$1&amp;""[\w &amp;]*, (\d+\.\d+)"")),"""")
"),4380)</f>
        <v>4380</v>
      </c>
      <c r="L26" s="3" t="n">
        <f aca="false">IFERROR(__xludf.dummyfunction("if($T26&lt;&gt;"""",VALUE(REGEXEXTRACT(SUBSTITUTE ($T26,L$1&amp;"" CE"",""""), L$1&amp;""[\w &amp;]*, (\d+\.\d+)"")),"""")
"),5165)</f>
        <v>5165</v>
      </c>
      <c r="M26" s="3" t="n">
        <f aca="false">IFERROR(__xludf.dummyfunction("if($T26&lt;&gt;"""",VALUE(REGEXEXTRACT($T26, M$1&amp;""[\w &amp;]*, (\d+\.\d+)"")),"""")
"),5195)</f>
        <v>5195</v>
      </c>
      <c r="N26" s="3" t="n">
        <f aca="false">IFERROR(__xludf.dummyfunction("if($T26&lt;&gt;"""",VALUE(REGEXEXTRACT(SUBSTITUTE ($T26,N$1&amp;"" CE"",""""), N$1&amp;""[\w &amp;]*, (\d+\.\d+)"")),"""")
"),5000)</f>
        <v>5000</v>
      </c>
      <c r="O26" s="3" t="n">
        <f aca="false">IFERROR(__xludf.dummyfunction("if($T26&lt;&gt;"""",VALUE(REGEXEXTRACT($T26, O$1&amp;""[\w &amp;]*, (\d+\.\d+)"")),"""")
"),5250)</f>
        <v>5250</v>
      </c>
      <c r="P26" s="2" t="n">
        <f aca="false">IFERROR(__xludf.dummyfunction("if($T26&lt;&gt;"""",VALUE(REGEXEXTRACT($T26, P$1&amp;""[\w &amp;]*, (\d+\.\d+)"")),"""")
"),5183.13)</f>
        <v>5183.13</v>
      </c>
      <c r="Q26" s="2" t="n">
        <f aca="false">IFERROR(__xludf.dummyfunction("if($T26&lt;&gt;"""",VALUE(REGEXEXTRACT($T26, Q$1&amp;""[\w &amp;]*, (\d+\.\d+)"")),"""")
"),5152.18)</f>
        <v>5152.18</v>
      </c>
      <c r="R26" s="2" t="n">
        <f aca="false">IFERROR(__xludf.dummyfunction("if($T26&lt;&gt;"""",VALUE(REGEXEXTRACT($T26, SUBSTITUTE(R$1, ""+"", ""\+"")&amp;""[\w &amp;]*, (\d+\.\d+)"")),"""")"),5245.03)</f>
        <v>5245.03</v>
      </c>
      <c r="S26" s="2" t="n">
        <f aca="false">IFERROR(__xludf.dummyfunction("if($T26&lt;&gt;"""",VALUE(REGEXEXTRACT($T26, SUBSTITUTE(S$1, ""+"", ""\+"")&amp;""[\w &amp;]*, (\d+\.\d+)"")),"""")"),5275.98)</f>
        <v>5275.98</v>
      </c>
      <c r="T26" s="5" t="s">
        <v>39</v>
      </c>
      <c r="U26" s="5"/>
    </row>
    <row r="27" customFormat="false" ht="15.75" hidden="false" customHeight="false" outlineLevel="0" collapsed="false">
      <c r="A27" s="4" t="n">
        <f aca="false">IFERROR(__xludf.dummyfunction("""COMPUTED_VALUE"""),45425.6666666667)</f>
        <v>45425.6666666667</v>
      </c>
      <c r="B27" s="2" t="n">
        <f aca="false">IFERROR(__xludf.dummyfunction("""COMPUTED_VALUE"""),5233.08)</f>
        <v>5233.08</v>
      </c>
      <c r="C27" s="2" t="n">
        <f aca="false">IFERROR(__xludf.dummyfunction("""COMPUTED_VALUE"""),5237.26)</f>
        <v>5237.26</v>
      </c>
      <c r="D27" s="2" t="n">
        <f aca="false">IFERROR(__xludf.dummyfunction("""COMPUTED_VALUE"""),5211.16)</f>
        <v>5211.16</v>
      </c>
      <c r="E27" s="2" t="n">
        <f aca="false">IFERROR(__xludf.dummyfunction("""COMPUTED_VALUE"""),5221.42)</f>
        <v>5221.42</v>
      </c>
      <c r="F27" s="3" t="n">
        <f aca="false">IFERROR(__xludf.dummyfunction("if($T27&lt;&gt;"""",VALUE(REGEXEXTRACT(SUBSTITUTE ($T27,F$1&amp;"" CE"",""""), F$1&amp;""[\w &amp;]*, (\d+\.\d+)"")),"""")
"),5000)</f>
        <v>5000</v>
      </c>
      <c r="G27" s="3" t="n">
        <f aca="false">IFERROR(__xludf.dummyfunction("if($T27&lt;&gt;"""",VALUE(REGEXEXTRACT($T27, G$1&amp;""[\w &amp;]*, (\d+\.\d+)"")),"""")
"),5240)</f>
        <v>5240</v>
      </c>
      <c r="H27" s="3" t="n">
        <f aca="false">IFERROR(__xludf.dummyfunction("if($T27&lt;&gt;"""",VALUE(REGEXEXTRACT($T27, H$1&amp;""[\w &amp;]*, (\d+\.\d+)"")),"""")"),5230)</f>
        <v>5230</v>
      </c>
      <c r="I27" s="3" t="n">
        <f aca="false">IFERROR(__xludf.dummyfunction("if($T27&lt;&gt;"""",VALUE(REGEXEXTRACT(SUBSTITUTE ($T27,I$1&amp;"" CE"",""""), I$1&amp;""[\w &amp;]*, (\d+\.\d+)"")),"""")
"),5000)</f>
        <v>5000</v>
      </c>
      <c r="J27" s="3" t="n">
        <f aca="false">IFERROR(__xludf.dummyfunction("if($T27&lt;&gt;"""",VALUE(REGEXEXTRACT($T27, J$1&amp;""[\w &amp;]*, (\d+\.\d+)"")),"""")
"),5205)</f>
        <v>5205</v>
      </c>
      <c r="K27" s="3" t="n">
        <f aca="false">IFERROR(__xludf.dummyfunction("if($T27&lt;&gt;"""",VALUE(REGEXEXTRACT($T27, K$1&amp;""[\w &amp;]*, (\d+\.\d+)"")),"""")
"),4380)</f>
        <v>4380</v>
      </c>
      <c r="L27" s="3" t="n">
        <f aca="false">IFERROR(__xludf.dummyfunction("if($T27&lt;&gt;"""",VALUE(REGEXEXTRACT(SUBSTITUTE ($T27,L$1&amp;"" CE"",""""), L$1&amp;""[\w &amp;]*, (\d+\.\d+)"")),"""")
"),5170)</f>
        <v>5170</v>
      </c>
      <c r="M27" s="3" t="n">
        <f aca="false">IFERROR(__xludf.dummyfunction("if($T27&lt;&gt;"""",VALUE(REGEXEXTRACT($T27, M$1&amp;""[\w &amp;]*, (\d+\.\d+)"")),"""")
"),5215)</f>
        <v>5215</v>
      </c>
      <c r="N27" s="3" t="n">
        <f aca="false">IFERROR(__xludf.dummyfunction("if($T27&lt;&gt;"""",VALUE(REGEXEXTRACT(SUBSTITUTE ($T27,N$1&amp;"" CE"",""""), N$1&amp;""[\w &amp;]*, (\d+\.\d+)"")),"""")
"),5000)</f>
        <v>5000</v>
      </c>
      <c r="O27" s="3" t="n">
        <f aca="false">IFERROR(__xludf.dummyfunction("if($T27&lt;&gt;"""",VALUE(REGEXEXTRACT($T27, O$1&amp;""[\w &amp;]*, (\d+\.\d+)"")),"""")
"),5225)</f>
        <v>5225</v>
      </c>
      <c r="P27" s="2" t="n">
        <f aca="false">IFERROR(__xludf.dummyfunction("if($T27&lt;&gt;"""",VALUE(REGEXEXTRACT($T27, P$1&amp;""[\w &amp;]*, (\d+\.\d+)"")),"""")
"),5189.91)</f>
        <v>5189.91</v>
      </c>
      <c r="Q27" s="2" t="n">
        <f aca="false">IFERROR(__xludf.dummyfunction("if($T27&lt;&gt;"""",VALUE(REGEXEXTRACT($T27, Q$1&amp;""[\w &amp;]*, (\d+\.\d+)"")),"""")
"),5176.33)</f>
        <v>5176.33</v>
      </c>
      <c r="R27" s="2" t="n">
        <f aca="false">IFERROR(__xludf.dummyfunction("if($T27&lt;&gt;"""",VALUE(REGEXEXTRACT($T27, SUBSTITUTE(R$1, ""+"", ""\+"")&amp;""[\w &amp;]*, (\d+\.\d+)"")),"""")"),5255.46)</f>
        <v>5255.46</v>
      </c>
      <c r="S27" s="2" t="n">
        <f aca="false">IFERROR(__xludf.dummyfunction("if($T27&lt;&gt;"""",VALUE(REGEXEXTRACT($T27, SUBSTITUTE(S$1, ""+"", ""\+"")&amp;""[\w &amp;]*, (\d+\.\d+)"")),"""")"),5269.03)</f>
        <v>5269.03</v>
      </c>
      <c r="T27" s="5" t="s">
        <v>40</v>
      </c>
      <c r="U27" s="5"/>
    </row>
    <row r="28" customFormat="false" ht="15.75" hidden="false" customHeight="false" outlineLevel="0" collapsed="false">
      <c r="A28" s="4" t="n">
        <f aca="false">IFERROR(__xludf.dummyfunction("""COMPUTED_VALUE"""),45426.6666666667)</f>
        <v>45426.6666666667</v>
      </c>
      <c r="B28" s="2" t="n">
        <f aca="false">IFERROR(__xludf.dummyfunction("""COMPUTED_VALUE"""),5221.1)</f>
        <v>5221.1</v>
      </c>
      <c r="C28" s="2" t="n">
        <f aca="false">IFERROR(__xludf.dummyfunction("""COMPUTED_VALUE"""),5250.37)</f>
        <v>5250.37</v>
      </c>
      <c r="D28" s="2" t="n">
        <f aca="false">IFERROR(__xludf.dummyfunction("""COMPUTED_VALUE"""),5217.98)</f>
        <v>5217.98</v>
      </c>
      <c r="E28" s="2" t="n">
        <f aca="false">IFERROR(__xludf.dummyfunction("""COMPUTED_VALUE"""),5246.68)</f>
        <v>5246.68</v>
      </c>
      <c r="F28" s="3" t="n">
        <f aca="false">IFERROR(__xludf.dummyfunction("if($T28&lt;&gt;"""",VALUE(REGEXEXTRACT(SUBSTITUTE ($T28,F$1&amp;"" CE"",""""), F$1&amp;""[\w &amp;]*, (\d+\.\d+)"")),"""")
"),5000)</f>
        <v>5000</v>
      </c>
      <c r="G28" s="3" t="n">
        <f aca="false">IFERROR(__xludf.dummyfunction("if($T28&lt;&gt;"""",VALUE(REGEXEXTRACT($T28, G$1&amp;""[\w &amp;]*, (\d+\.\d+)"")),"""")
"),5250)</f>
        <v>5250</v>
      </c>
      <c r="H28" s="3" t="n">
        <f aca="false">IFERROR(__xludf.dummyfunction("if($T28&lt;&gt;"""",VALUE(REGEXEXTRACT($T28, H$1&amp;""[\w &amp;]*, (\d+\.\d+)"")),"""")"),5310)</f>
        <v>5310</v>
      </c>
      <c r="I28" s="3" t="n">
        <f aca="false">IFERROR(__xludf.dummyfunction("if($T28&lt;&gt;"""",VALUE(REGEXEXTRACT(SUBSTITUTE ($T28,I$1&amp;"" CE"",""""), I$1&amp;""[\w &amp;]*, (\d+\.\d+)"")),"""")
"),5000)</f>
        <v>5000</v>
      </c>
      <c r="J28" s="3" t="n">
        <f aca="false">IFERROR(__xludf.dummyfunction("if($T28&lt;&gt;"""",VALUE(REGEXEXTRACT($T28, J$1&amp;""[\w &amp;]*, (\d+\.\d+)"")),"""")
"),5225)</f>
        <v>5225</v>
      </c>
      <c r="K28" s="3" t="n">
        <f aca="false">IFERROR(__xludf.dummyfunction("if($T28&lt;&gt;"""",VALUE(REGEXEXTRACT($T28, K$1&amp;""[\w &amp;]*, (\d+\.\d+)"")),"""")
"),4380)</f>
        <v>4380</v>
      </c>
      <c r="L28" s="3" t="n">
        <f aca="false">IFERROR(__xludf.dummyfunction("if($T28&lt;&gt;"""",VALUE(REGEXEXTRACT(SUBSTITUTE ($T28,L$1&amp;"" CE"",""""), L$1&amp;""[\w &amp;]*, (\d+\.\d+)"")),"""")
"),5195)</f>
        <v>5195</v>
      </c>
      <c r="M28" s="3" t="n">
        <f aca="false">IFERROR(__xludf.dummyfunction("if($T28&lt;&gt;"""",VALUE(REGEXEXTRACT($T28, M$1&amp;""[\w &amp;]*, (\d+\.\d+)"")),"""")
"),5225)</f>
        <v>5225</v>
      </c>
      <c r="N28" s="3" t="n">
        <f aca="false">IFERROR(__xludf.dummyfunction("if($T28&lt;&gt;"""",VALUE(REGEXEXTRACT(SUBSTITUTE ($T28,N$1&amp;"" CE"",""""), N$1&amp;""[\w &amp;]*, (\d+\.\d+)"")),"""")
"),5000)</f>
        <v>5000</v>
      </c>
      <c r="O28" s="3" t="n">
        <f aca="false">IFERROR(__xludf.dummyfunction("if($T28&lt;&gt;"""",VALUE(REGEXEXTRACT($T28, O$1&amp;""[\w &amp;]*, (\d+\.\d+)"")),"""")
"),5225)</f>
        <v>5225</v>
      </c>
      <c r="P28" s="2" t="n">
        <f aca="false">IFERROR(__xludf.dummyfunction("if($T28&lt;&gt;"""",VALUE(REGEXEXTRACT($T28, P$1&amp;""[\w &amp;]*, (\d+\.\d+)"")),"""")
"),5185.95)</f>
        <v>5185.95</v>
      </c>
      <c r="Q28" s="2" t="n">
        <f aca="false">IFERROR(__xludf.dummyfunction("if($T28&lt;&gt;"""",VALUE(REGEXEXTRACT($T28, Q$1&amp;""[\w &amp;]*, (\d+\.\d+)"")),"""")
"),5171.26)</f>
        <v>5171.26</v>
      </c>
      <c r="R28" s="2" t="n">
        <f aca="false">IFERROR(__xludf.dummyfunction("if($T28&lt;&gt;"""",VALUE(REGEXEXTRACT($T28, SUBSTITUTE(R$1, ""+"", ""\+"")&amp;""[\w &amp;]*, (\d+\.\d+)"")),"""")"),5256.89)</f>
        <v>5256.89</v>
      </c>
      <c r="S28" s="2" t="n">
        <f aca="false">IFERROR(__xludf.dummyfunction("if($T28&lt;&gt;"""",VALUE(REGEXEXTRACT($T28, SUBSTITUTE(S$1, ""+"", ""\+"")&amp;""[\w &amp;]*, (\d+\.\d+)"")),"""")"),5271.58)</f>
        <v>5271.58</v>
      </c>
      <c r="T28" s="5" t="s">
        <v>41</v>
      </c>
      <c r="U28" s="5"/>
    </row>
    <row r="29" customFormat="false" ht="15.75" hidden="false" customHeight="false" outlineLevel="0" collapsed="false">
      <c r="A29" s="4" t="n">
        <f aca="false">IFERROR(__xludf.dummyfunction("""COMPUTED_VALUE"""),45427.6666666667)</f>
        <v>45427.6666666667</v>
      </c>
      <c r="B29" s="2" t="n">
        <f aca="false">IFERROR(__xludf.dummyfunction("""COMPUTED_VALUE"""),5263.26)</f>
        <v>5263.26</v>
      </c>
      <c r="C29" s="2" t="n">
        <f aca="false">IFERROR(__xludf.dummyfunction("""COMPUTED_VALUE"""),5311.76)</f>
        <v>5311.76</v>
      </c>
      <c r="D29" s="2" t="n">
        <f aca="false">IFERROR(__xludf.dummyfunction("""COMPUTED_VALUE"""),5263.26)</f>
        <v>5263.26</v>
      </c>
      <c r="E29" s="2" t="n">
        <f aca="false">IFERROR(__xludf.dummyfunction("""COMPUTED_VALUE"""),5308.15)</f>
        <v>5308.15</v>
      </c>
      <c r="F29" s="3" t="n">
        <f aca="false">IFERROR(__xludf.dummyfunction("if($T29&lt;&gt;"""",VALUE(REGEXEXTRACT(SUBSTITUTE ($T29,F$1&amp;"" CE"",""""), F$1&amp;""[\w &amp;]*, (\d+\.\d+)"")),"""")
"),5000)</f>
        <v>5000</v>
      </c>
      <c r="G29" s="3" t="n">
        <f aca="false">IFERROR(__xludf.dummyfunction("if($T29&lt;&gt;"""",VALUE(REGEXEXTRACT($T29, G$1&amp;""[\w &amp;]*, (\d+\.\d+)"")),"""")
"),5280)</f>
        <v>5280</v>
      </c>
      <c r="H29" s="3" t="n">
        <f aca="false">IFERROR(__xludf.dummyfunction("if($T29&lt;&gt;"""",VALUE(REGEXEXTRACT($T29, H$1&amp;""[\w &amp;]*, (\d+\.\d+)"")),"""")"),5310)</f>
        <v>5310</v>
      </c>
      <c r="I29" s="3" t="n">
        <f aca="false">IFERROR(__xludf.dummyfunction("if($T29&lt;&gt;"""",VALUE(REGEXEXTRACT(SUBSTITUTE ($T29,I$1&amp;"" CE"",""""), I$1&amp;""[\w &amp;]*, (\d+\.\d+)"")),"""")
"),5000)</f>
        <v>5000</v>
      </c>
      <c r="J29" s="3" t="n">
        <f aca="false">IFERROR(__xludf.dummyfunction("if($T29&lt;&gt;"""",VALUE(REGEXEXTRACT($T29, J$1&amp;""[\w &amp;]*, (\d+\.\d+)"")),"""")
"),5220)</f>
        <v>5220</v>
      </c>
      <c r="K29" s="3" t="n">
        <f aca="false">IFERROR(__xludf.dummyfunction("if($T29&lt;&gt;"""",VALUE(REGEXEXTRACT($T29, K$1&amp;""[\w &amp;]*, (\d+\.\d+)"")),"""")
"),4380)</f>
        <v>4380</v>
      </c>
      <c r="L29" s="3" t="n">
        <f aca="false">IFERROR(__xludf.dummyfunction("if($T29&lt;&gt;"""",VALUE(REGEXEXTRACT(SUBSTITUTE ($T29,L$1&amp;"" CE"",""""), L$1&amp;""[\w &amp;]*, (\d+\.\d+)"")),"""")
"),5195)</f>
        <v>5195</v>
      </c>
      <c r="M29" s="3" t="n">
        <f aca="false">IFERROR(__xludf.dummyfunction("if($T29&lt;&gt;"""",VALUE(REGEXEXTRACT($T29, M$1&amp;""[\w &amp;]*, (\d+\.\d+)"")),"""")
"),5220)</f>
        <v>5220</v>
      </c>
      <c r="N29" s="3" t="n">
        <f aca="false">IFERROR(__xludf.dummyfunction("if($T29&lt;&gt;"""",VALUE(REGEXEXTRACT(SUBSTITUTE ($T29,N$1&amp;"" CE"",""""), N$1&amp;""[\w &amp;]*, (\d+\.\d+)"")),"""")
"),5000)</f>
        <v>5000</v>
      </c>
      <c r="O29" s="3" t="n">
        <f aca="false">IFERROR(__xludf.dummyfunction("if($T29&lt;&gt;"""",VALUE(REGEXEXTRACT($T29, O$1&amp;""[\w &amp;]*, (\d+\.\d+)"")),"""")
"),5280)</f>
        <v>5280</v>
      </c>
      <c r="P29" s="2" t="n">
        <f aca="false">IFERROR(__xludf.dummyfunction("if($T29&lt;&gt;"""",VALUE(REGEXEXTRACT($T29, P$1&amp;""[\w &amp;]*, (\d+\.\d+)"")),"""")
"),5210.71)</f>
        <v>5210.71</v>
      </c>
      <c r="Q29" s="2" t="n">
        <f aca="false">IFERROR(__xludf.dummyfunction("if($T29&lt;&gt;"""",VALUE(REGEXEXTRACT($T29, Q$1&amp;""[\w &amp;]*, (\d+\.\d+)"")),"""")
"),5195.81)</f>
        <v>5195.81</v>
      </c>
      <c r="R29" s="2" t="n">
        <f aca="false">IFERROR(__xludf.dummyfunction("if($T29&lt;&gt;"""",VALUE(REGEXEXTRACT($T29, SUBSTITUTE(R$1, ""+"", ""\+"")&amp;""[\w &amp;]*, (\d+\.\d+)"")),"""")"),5282.65)</f>
        <v>5282.65</v>
      </c>
      <c r="S29" s="2" t="n">
        <f aca="false">IFERROR(__xludf.dummyfunction("if($T29&lt;&gt;"""",VALUE(REGEXEXTRACT($T29, SUBSTITUTE(S$1, ""+"", ""\+"")&amp;""[\w &amp;]*, (\d+\.\d+)"")),"""")"),5297.55)</f>
        <v>5297.55</v>
      </c>
      <c r="T29" s="5" t="s">
        <v>42</v>
      </c>
      <c r="U29" s="5"/>
    </row>
    <row r="30" customFormat="false" ht="15.75" hidden="false" customHeight="false" outlineLevel="0" collapsed="false">
      <c r="A30" s="4" t="n">
        <f aca="false">IFERROR(__xludf.dummyfunction("""COMPUTED_VALUE"""),45428.6666666667)</f>
        <v>45428.6666666667</v>
      </c>
      <c r="B30" s="2" t="n">
        <f aca="false">IFERROR(__xludf.dummyfunction("""COMPUTED_VALUE"""),5310.07)</f>
        <v>5310.07</v>
      </c>
      <c r="C30" s="2" t="n">
        <f aca="false">IFERROR(__xludf.dummyfunction("""COMPUTED_VALUE"""),5325.49)</f>
        <v>5325.49</v>
      </c>
      <c r="D30" s="2" t="n">
        <f aca="false">IFERROR(__xludf.dummyfunction("""COMPUTED_VALUE"""),5296.19)</f>
        <v>5296.19</v>
      </c>
      <c r="E30" s="2" t="n">
        <f aca="false">IFERROR(__xludf.dummyfunction("""COMPUTED_VALUE"""),5297.1)</f>
        <v>5297.1</v>
      </c>
      <c r="F30" s="3" t="n">
        <f aca="false">IFERROR(__xludf.dummyfunction("if($T30&lt;&gt;"""",VALUE(REGEXEXTRACT(SUBSTITUTE ($T30,F$1&amp;"" CE"",""""), F$1&amp;""[\w &amp;]*, (\d+\.\d+)"")),"""")
"),5000)</f>
        <v>5000</v>
      </c>
      <c r="G30" s="3" t="n">
        <f aca="false">IFERROR(__xludf.dummyfunction("if($T30&lt;&gt;"""",VALUE(REGEXEXTRACT($T30, G$1&amp;""[\w &amp;]*, (\d+\.\d+)"")),"""")
"),5340)</f>
        <v>5340</v>
      </c>
      <c r="H30" s="3" t="n">
        <f aca="false">IFERROR(__xludf.dummyfunction("if($T30&lt;&gt;"""",VALUE(REGEXEXTRACT($T30, H$1&amp;""[\w &amp;]*, (\d+\.\d+)"")),"""")"),5330)</f>
        <v>5330</v>
      </c>
      <c r="I30" s="3" t="n">
        <f aca="false">IFERROR(__xludf.dummyfunction("if($T30&lt;&gt;"""",VALUE(REGEXEXTRACT(SUBSTITUTE ($T30,I$1&amp;"" CE"",""""), I$1&amp;""[\w &amp;]*, (\d+\.\d+)"")),"""")
"),5000)</f>
        <v>5000</v>
      </c>
      <c r="J30" s="3" t="n">
        <f aca="false">IFERROR(__xludf.dummyfunction("if($T30&lt;&gt;"""",VALUE(REGEXEXTRACT($T30, J$1&amp;""[\w &amp;]*, (\d+\.\d+)"")),"""")
"),5290)</f>
        <v>5290</v>
      </c>
      <c r="K30" s="3" t="n">
        <f aca="false">IFERROR(__xludf.dummyfunction("if($T30&lt;&gt;"""",VALUE(REGEXEXTRACT($T30, K$1&amp;""[\w &amp;]*, (\d+\.\d+)"")),"""")
"),4380)</f>
        <v>4380</v>
      </c>
      <c r="L30" s="3" t="n">
        <f aca="false">IFERROR(__xludf.dummyfunction("if($T30&lt;&gt;"""",VALUE(REGEXEXTRACT(SUBSTITUTE ($T30,L$1&amp;"" CE"",""""), L$1&amp;""[\w &amp;]*, (\d+\.\d+)"")),"""")
"),5195)</f>
        <v>5195</v>
      </c>
      <c r="M30" s="3" t="n">
        <f aca="false">IFERROR(__xludf.dummyfunction("if($T30&lt;&gt;"""",VALUE(REGEXEXTRACT($T30, M$1&amp;""[\w &amp;]*, (\d+\.\d+)"")),"""")
"),5290)</f>
        <v>5290</v>
      </c>
      <c r="N30" s="3" t="n">
        <f aca="false">IFERROR(__xludf.dummyfunction("if($T30&lt;&gt;"""",VALUE(REGEXEXTRACT(SUBSTITUTE ($T30,N$1&amp;"" CE"",""""), N$1&amp;""[\w &amp;]*, (\d+\.\d+)"")),"""")
"),5000)</f>
        <v>5000</v>
      </c>
      <c r="O30" s="3" t="n">
        <f aca="false">IFERROR(__xludf.dummyfunction("if($T30&lt;&gt;"""",VALUE(REGEXEXTRACT($T30, O$1&amp;""[\w &amp;]*, (\d+\.\d+)"")),"""")
"),5300)</f>
        <v>5300</v>
      </c>
      <c r="P30" s="2" t="n">
        <f aca="false">IFERROR(__xludf.dummyfunction("if($T30&lt;&gt;"""",VALUE(REGEXEXTRACT($T30, P$1&amp;""[\w &amp;]*, (\d+\.\d+)"")),"""")
"),5279.6)</f>
        <v>5279.6</v>
      </c>
      <c r="Q30" s="2" t="n">
        <f aca="false">IFERROR(__xludf.dummyfunction("if($T30&lt;&gt;"""",VALUE(REGEXEXTRACT($T30, Q$1&amp;""[\w &amp;]*, (\d+\.\d+)"")),"""")
"),5267.58)</f>
        <v>5267.58</v>
      </c>
      <c r="R30" s="2" t="n">
        <f aca="false">IFERROR(__xludf.dummyfunction("if($T30&lt;&gt;"""",VALUE(REGEXEXTRACT($T30, SUBSTITUTE(R$1, ""+"", ""\+"")&amp;""[\w &amp;]*, (\d+\.\d+)"")),"""")"),5336.7)</f>
        <v>5336.7</v>
      </c>
      <c r="S30" s="2" t="n">
        <f aca="false">IFERROR(__xludf.dummyfunction("if($T30&lt;&gt;"""",VALUE(REGEXEXTRACT($T30, SUBSTITUTE(S$1, ""+"", ""\+"")&amp;""[\w &amp;]*, (\d+\.\d+)"")),"""")"),5348.72)</f>
        <v>5348.72</v>
      </c>
      <c r="T30" s="5" t="s">
        <v>43</v>
      </c>
      <c r="U30" s="5"/>
    </row>
    <row r="31" customFormat="false" ht="15.75" hidden="false" customHeight="false" outlineLevel="0" collapsed="false">
      <c r="A31" s="4" t="n">
        <f aca="false">IFERROR(__xludf.dummyfunction("""COMPUTED_VALUE"""),45429.6666666667)</f>
        <v>45429.6666666667</v>
      </c>
      <c r="B31" s="2" t="n">
        <f aca="false">IFERROR(__xludf.dummyfunction("""COMPUTED_VALUE"""),5303.1)</f>
        <v>5303.1</v>
      </c>
      <c r="C31" s="2" t="n">
        <f aca="false">IFERROR(__xludf.dummyfunction("""COMPUTED_VALUE"""),5305.45)</f>
        <v>5305.45</v>
      </c>
      <c r="D31" s="2" t="n">
        <f aca="false">IFERROR(__xludf.dummyfunction("""COMPUTED_VALUE"""),5283.59)</f>
        <v>5283.59</v>
      </c>
      <c r="E31" s="2" t="n">
        <f aca="false">IFERROR(__xludf.dummyfunction("""COMPUTED_VALUE"""),5303.27)</f>
        <v>5303.27</v>
      </c>
      <c r="F31" s="3" t="n">
        <f aca="false">IFERROR(__xludf.dummyfunction("if($T31&lt;&gt;"""",VALUE(REGEXEXTRACT(SUBSTITUTE ($T31,F$1&amp;"" CE"",""""), F$1&amp;""[\w &amp;]*, (\d+\.\d+)"")),"""")
"),5000)</f>
        <v>5000</v>
      </c>
      <c r="G31" s="3" t="n">
        <f aca="false">IFERROR(__xludf.dummyfunction("if($T31&lt;&gt;"""",VALUE(REGEXEXTRACT($T31, G$1&amp;""[\w &amp;]*, (\d+\.\d+)"")),"""")
"),5300)</f>
        <v>5300</v>
      </c>
      <c r="H31" s="3" t="n">
        <f aca="false">IFERROR(__xludf.dummyfunction("if($T31&lt;&gt;"""",VALUE(REGEXEXTRACT($T31, H$1&amp;""[\w &amp;]*, (\d+\.\d+)"")),"""")"),5330)</f>
        <v>5330</v>
      </c>
      <c r="I31" s="3" t="n">
        <f aca="false">IFERROR(__xludf.dummyfunction("if($T31&lt;&gt;"""",VALUE(REGEXEXTRACT(SUBSTITUTE ($T31,I$1&amp;"" CE"",""""), I$1&amp;""[\w &amp;]*, (\d+\.\d+)"")),"""")
"),5000)</f>
        <v>5000</v>
      </c>
      <c r="J31" s="3" t="n">
        <f aca="false">IFERROR(__xludf.dummyfunction("if($T31&lt;&gt;"""",VALUE(REGEXEXTRACT($T31, J$1&amp;""[\w &amp;]*, (\d+\.\d+)"")),"""")
"),5270)</f>
        <v>5270</v>
      </c>
      <c r="K31" s="3" t="n">
        <f aca="false">IFERROR(__xludf.dummyfunction("if($T31&lt;&gt;"""",VALUE(REGEXEXTRACT($T31, K$1&amp;""[\w &amp;]*, (\d+\.\d+)"")),"""")
"),4400)</f>
        <v>4400</v>
      </c>
      <c r="L31" s="3" t="n">
        <f aca="false">IFERROR(__xludf.dummyfunction("if($T31&lt;&gt;"""",VALUE(REGEXEXTRACT(SUBSTITUTE ($T31,L$1&amp;"" CE"",""""), L$1&amp;""[\w &amp;]*, (\d+\.\d+)"")),"""")
"),5245)</f>
        <v>5245</v>
      </c>
      <c r="M31" s="3" t="n">
        <f aca="false">IFERROR(__xludf.dummyfunction("if($T31&lt;&gt;"""",VALUE(REGEXEXTRACT($T31, M$1&amp;""[\w &amp;]*, (\d+\.\d+)"")),"""")
"),5270)</f>
        <v>5270</v>
      </c>
      <c r="N31" s="3" t="n">
        <f aca="false">IFERROR(__xludf.dummyfunction("if($T31&lt;&gt;"""",VALUE(REGEXEXTRACT(SUBSTITUTE ($T31,N$1&amp;"" CE"",""""), N$1&amp;""[\w &amp;]*, (\d+\.\d+)"")),"""")
"),5000)</f>
        <v>5000</v>
      </c>
      <c r="O31" s="3" t="n">
        <f aca="false">IFERROR(__xludf.dummyfunction("if($T31&lt;&gt;"""",VALUE(REGEXEXTRACT($T31, O$1&amp;""[\w &amp;]*, (\d+\.\d+)"")),"""")
"),5300)</f>
        <v>5300</v>
      </c>
      <c r="P31" s="2" t="n">
        <f aca="false">IFERROR(__xludf.dummyfunction("if($T31&lt;&gt;"""",VALUE(REGEXEXTRACT($T31, P$1&amp;""[\w &amp;]*, (\d+\.\d+)"")),"""")
"),5270.01)</f>
        <v>5270.01</v>
      </c>
      <c r="Q31" s="2" t="n">
        <f aca="false">IFERROR(__xludf.dummyfunction("if($T31&lt;&gt;"""",VALUE(REGEXEXTRACT($T31, Q$1&amp;""[\w &amp;]*, (\d+\.\d+)"")),"""")
"),5242.5)</f>
        <v>5242.5</v>
      </c>
      <c r="R31" s="2" t="n">
        <f aca="false">IFERROR(__xludf.dummyfunction("if($T31&lt;&gt;"""",VALUE(REGEXEXTRACT($T31, SUBSTITUTE(R$1, ""+"", ""\+"")&amp;""[\w &amp;]*, (\d+\.\d+)"")),"""")"),5324.19)</f>
        <v>5324.19</v>
      </c>
      <c r="S31" s="2" t="n">
        <f aca="false">IFERROR(__xludf.dummyfunction("if($T31&lt;&gt;"""",VALUE(REGEXEXTRACT($T31, SUBSTITUTE(S$1, ""+"", ""\+"")&amp;""[\w &amp;]*, (\d+\.\d+)"")),"""")"),5351.7)</f>
        <v>5351.7</v>
      </c>
      <c r="T31" s="5" t="s">
        <v>44</v>
      </c>
      <c r="U31" s="5"/>
    </row>
    <row r="32" customFormat="false" ht="15.75" hidden="false" customHeight="false" outlineLevel="0" collapsed="false">
      <c r="A32" s="4" t="n">
        <f aca="false">IFERROR(__xludf.dummyfunction("""COMPUTED_VALUE"""),45432.6666666667)</f>
        <v>45432.6666666667</v>
      </c>
      <c r="B32" s="2" t="n">
        <f aca="false">IFERROR(__xludf.dummyfunction("""COMPUTED_VALUE"""),5305.35)</f>
        <v>5305.35</v>
      </c>
      <c r="C32" s="2" t="n">
        <f aca="false">IFERROR(__xludf.dummyfunction("""COMPUTED_VALUE"""),5325.32)</f>
        <v>5325.32</v>
      </c>
      <c r="D32" s="2" t="n">
        <f aca="false">IFERROR(__xludf.dummyfunction("""COMPUTED_VALUE"""),5302.4)</f>
        <v>5302.4</v>
      </c>
      <c r="E32" s="2" t="n">
        <f aca="false">IFERROR(__xludf.dummyfunction("""COMPUTED_VALUE"""),5308.13)</f>
        <v>5308.13</v>
      </c>
      <c r="F32" s="3" t="n">
        <f aca="false">IFERROR(__xludf.dummyfunction("if($T32&lt;&gt;"""",VALUE(REGEXEXTRACT(SUBSTITUTE ($T32,F$1&amp;"" CE"",""""), F$1&amp;""[\w &amp;]*, (\d+\.\d+)"")),"""")
"),5000)</f>
        <v>5000</v>
      </c>
      <c r="G32" s="3" t="n">
        <f aca="false">IFERROR(__xludf.dummyfunction("if($T32&lt;&gt;"""",VALUE(REGEXEXTRACT($T32, G$1&amp;""[\w &amp;]*, (\d+\.\d+)"")),"""")
"),5325)</f>
        <v>5325</v>
      </c>
      <c r="H32" s="3" t="n">
        <f aca="false">IFERROR(__xludf.dummyfunction("if($T32&lt;&gt;"""",VALUE(REGEXEXTRACT($T32, H$1&amp;""[\w &amp;]*, (\d+\.\d+)"")),"""")"),5370)</f>
        <v>5370</v>
      </c>
      <c r="I32" s="3" t="n">
        <f aca="false">IFERROR(__xludf.dummyfunction("if($T32&lt;&gt;"""",VALUE(REGEXEXTRACT(SUBSTITUTE ($T32,I$1&amp;"" CE"",""""), I$1&amp;""[\w &amp;]*, (\d+\.\d+)"")),"""")
"),5000)</f>
        <v>5000</v>
      </c>
      <c r="J32" s="3" t="n">
        <f aca="false">IFERROR(__xludf.dummyfunction("if($T32&lt;&gt;"""",VALUE(REGEXEXTRACT($T32, J$1&amp;""[\w &amp;]*, (\d+\.\d+)"")),"""")
"),5295)</f>
        <v>5295</v>
      </c>
      <c r="K32" s="3" t="n">
        <f aca="false">IFERROR(__xludf.dummyfunction("if($T32&lt;&gt;"""",VALUE(REGEXEXTRACT($T32, K$1&amp;""[\w &amp;]*, (\d+\.\d+)"")),"""")
"),4400)</f>
        <v>4400</v>
      </c>
      <c r="L32" s="3" t="n">
        <f aca="false">IFERROR(__xludf.dummyfunction("if($T32&lt;&gt;"""",VALUE(REGEXEXTRACT(SUBSTITUTE ($T32,L$1&amp;"" CE"",""""), L$1&amp;""[\w &amp;]*, (\d+\.\d+)"")),"""")
"),5270)</f>
        <v>5270</v>
      </c>
      <c r="M32" s="3" t="n">
        <f aca="false">IFERROR(__xludf.dummyfunction("if($T32&lt;&gt;"""",VALUE(REGEXEXTRACT($T32, M$1&amp;""[\w &amp;]*, (\d+\.\d+)"")),"""")
"),5285)</f>
        <v>5285</v>
      </c>
      <c r="N32" s="3" t="n">
        <f aca="false">IFERROR(__xludf.dummyfunction("if($T32&lt;&gt;"""",VALUE(REGEXEXTRACT(SUBSTITUTE ($T32,N$1&amp;"" CE"",""""), N$1&amp;""[\w &amp;]*, (\d+\.\d+)"")),"""")
"),5000)</f>
        <v>5000</v>
      </c>
      <c r="O32" s="3" t="n">
        <f aca="false">IFERROR(__xludf.dummyfunction("if($T32&lt;&gt;"""",VALUE(REGEXEXTRACT($T32, O$1&amp;""[\w &amp;]*, (\d+\.\d+)"")),"""")
"),5300)</f>
        <v>5300</v>
      </c>
      <c r="P32" s="2" t="n">
        <f aca="false">IFERROR(__xludf.dummyfunction("if($T32&lt;&gt;"""",VALUE(REGEXEXTRACT($T32, P$1&amp;""[\w &amp;]*, (\d+\.\d+)"")),"""")
"),5274.78)</f>
        <v>5274.78</v>
      </c>
      <c r="Q32" s="2" t="n">
        <f aca="false">IFERROR(__xludf.dummyfunction("if($T32&lt;&gt;"""",VALUE(REGEXEXTRACT($T32, Q$1&amp;""[\w &amp;]*, (\d+\.\d+)"")),"""")
"),5262.97)</f>
        <v>5262.97</v>
      </c>
      <c r="R32" s="2" t="n">
        <f aca="false">IFERROR(__xludf.dummyfunction("if($T32&lt;&gt;"""",VALUE(REGEXEXTRACT($T32, SUBSTITUTE(R$1, ""+"", ""\+"")&amp;""[\w &amp;]*, (\d+\.\d+)"")),"""")"),5331.76)</f>
        <v>5331.76</v>
      </c>
      <c r="S32" s="2" t="n">
        <f aca="false">IFERROR(__xludf.dummyfunction("if($T32&lt;&gt;"""",VALUE(REGEXEXTRACT($T32, SUBSTITUTE(S$1, ""+"", ""\+"")&amp;""[\w &amp;]*, (\d+\.\d+)"")),"""")"),5343.57)</f>
        <v>5343.57</v>
      </c>
      <c r="T32" s="5" t="s">
        <v>45</v>
      </c>
      <c r="U32" s="5"/>
    </row>
    <row r="33" customFormat="false" ht="15.75" hidden="false" customHeight="false" outlineLevel="0" collapsed="false">
      <c r="A33" s="4" t="n">
        <f aca="false">IFERROR(__xludf.dummyfunction("""COMPUTED_VALUE"""),45433.6666666667)</f>
        <v>45433.6666666667</v>
      </c>
      <c r="B33" s="2" t="n">
        <f aca="false">IFERROR(__xludf.dummyfunction("""COMPUTED_VALUE"""),5298.69)</f>
        <v>5298.69</v>
      </c>
      <c r="C33" s="2" t="n">
        <f aca="false">IFERROR(__xludf.dummyfunction("""COMPUTED_VALUE"""),5324.32)</f>
        <v>5324.32</v>
      </c>
      <c r="D33" s="2" t="n">
        <f aca="false">IFERROR(__xludf.dummyfunction("""COMPUTED_VALUE"""),5297.87)</f>
        <v>5297.87</v>
      </c>
      <c r="E33" s="2" t="n">
        <f aca="false">IFERROR(__xludf.dummyfunction("""COMPUTED_VALUE"""),5321.41)</f>
        <v>5321.41</v>
      </c>
      <c r="F33" s="3" t="n">
        <f aca="false">IFERROR(__xludf.dummyfunction("if($T33&lt;&gt;"""",VALUE(REGEXEXTRACT(SUBSTITUTE ($T33,F$1&amp;"" CE"",""""), F$1&amp;""[\w &amp;]*, (\d+\.\d+)"")),"""")
"),5000)</f>
        <v>5000</v>
      </c>
      <c r="G33" s="3" t="n">
        <f aca="false">IFERROR(__xludf.dummyfunction("if($T33&lt;&gt;"""",VALUE(REGEXEXTRACT($T33, G$1&amp;""[\w &amp;]*, (\d+\.\d+)"")),"""")
"),5320)</f>
        <v>5320</v>
      </c>
      <c r="H33" s="3" t="n">
        <f aca="false">IFERROR(__xludf.dummyfunction("if($T33&lt;&gt;"""",VALUE(REGEXEXTRACT($T33, H$1&amp;""[\w &amp;]*, (\d+\.\d+)"")),"""")"),5395)</f>
        <v>5395</v>
      </c>
      <c r="I33" s="3" t="n">
        <f aca="false">IFERROR(__xludf.dummyfunction("if($T33&lt;&gt;"""",VALUE(REGEXEXTRACT(SUBSTITUTE ($T33,I$1&amp;"" CE"",""""), I$1&amp;""[\w &amp;]*, (\d+\.\d+)"")),"""")
"),5000)</f>
        <v>5000</v>
      </c>
      <c r="J33" s="3" t="n">
        <f aca="false">IFERROR(__xludf.dummyfunction("if($T33&lt;&gt;"""",VALUE(REGEXEXTRACT($T33, J$1&amp;""[\w &amp;]*, (\d+\.\d+)"")),"""")
"),5295)</f>
        <v>5295</v>
      </c>
      <c r="K33" s="3" t="n">
        <f aca="false">IFERROR(__xludf.dummyfunction("if($T33&lt;&gt;"""",VALUE(REGEXEXTRACT($T33, K$1&amp;""[\w &amp;]*, (\d+\.\d+)"")),"""")
"),4400)</f>
        <v>4400</v>
      </c>
      <c r="L33" s="3" t="n">
        <f aca="false">IFERROR(__xludf.dummyfunction("if($T33&lt;&gt;"""",VALUE(REGEXEXTRACT(SUBSTITUTE ($T33,L$1&amp;"" CE"",""""), L$1&amp;""[\w &amp;]*, (\d+\.\d+)"")),"""")
"),5295)</f>
        <v>5295</v>
      </c>
      <c r="M33" s="3" t="n">
        <f aca="false">IFERROR(__xludf.dummyfunction("if($T33&lt;&gt;"""",VALUE(REGEXEXTRACT($T33, M$1&amp;""[\w &amp;]*, (\d+\.\d+)"")),"""")
"),5315)</f>
        <v>5315</v>
      </c>
      <c r="N33" s="3" t="n">
        <f aca="false">IFERROR(__xludf.dummyfunction("if($T33&lt;&gt;"""",VALUE(REGEXEXTRACT(SUBSTITUTE ($T33,N$1&amp;"" CE"",""""), N$1&amp;""[\w &amp;]*, (\d+\.\d+)"")),"""")
"),5000)</f>
        <v>5000</v>
      </c>
      <c r="O33" s="3" t="n">
        <f aca="false">IFERROR(__xludf.dummyfunction("if($T33&lt;&gt;"""",VALUE(REGEXEXTRACT($T33, O$1&amp;""[\w &amp;]*, (\d+\.\d+)"")),"""")
"),5300)</f>
        <v>5300</v>
      </c>
      <c r="P33" s="2" t="n">
        <f aca="false">IFERROR(__xludf.dummyfunction("if($T33&lt;&gt;"""",VALUE(REGEXEXTRACT($T33, P$1&amp;""[\w &amp;]*, (\d+\.\d+)"")),"""")
"),5278.79)</f>
        <v>5278.79</v>
      </c>
      <c r="Q33" s="2" t="n">
        <f aca="false">IFERROR(__xludf.dummyfunction("if($T33&lt;&gt;"""",VALUE(REGEXEXTRACT($T33, Q$1&amp;""[\w &amp;]*, (\d+\.\d+)"")),"""")
"),5266.63)</f>
        <v>5266.63</v>
      </c>
      <c r="R33" s="2" t="n">
        <f aca="false">IFERROR(__xludf.dummyfunction("if($T33&lt;&gt;"""",VALUE(REGEXEXTRACT($T33, SUBSTITUTE(R$1, ""+"", ""\+"")&amp;""[\w &amp;]*, (\d+\.\d+)"")),"""")"),5337.47)</f>
        <v>5337.47</v>
      </c>
      <c r="S33" s="2" t="n">
        <f aca="false">IFERROR(__xludf.dummyfunction("if($T33&lt;&gt;"""",VALUE(REGEXEXTRACT($T33, SUBSTITUTE(S$1, ""+"", ""\+"")&amp;""[\w &amp;]*, (\d+\.\d+)"")),"""")"),5349.62)</f>
        <v>5349.62</v>
      </c>
      <c r="T33" s="5" t="s">
        <v>46</v>
      </c>
      <c r="U33" s="5"/>
    </row>
    <row r="34" customFormat="false" ht="15.75" hidden="false" customHeight="false" outlineLevel="0" collapsed="false">
      <c r="A34" s="4" t="n">
        <f aca="false">IFERROR(__xludf.dummyfunction("""COMPUTED_VALUE"""),45434.6666666667)</f>
        <v>45434.6666666667</v>
      </c>
      <c r="B34" s="2" t="n">
        <f aca="false">IFERROR(__xludf.dummyfunction("""COMPUTED_VALUE"""),5319.28)</f>
        <v>5319.28</v>
      </c>
      <c r="C34" s="2" t="n">
        <f aca="false">IFERROR(__xludf.dummyfunction("""COMPUTED_VALUE"""),5323.18)</f>
        <v>5323.18</v>
      </c>
      <c r="D34" s="2" t="n">
        <f aca="false">IFERROR(__xludf.dummyfunction("""COMPUTED_VALUE"""),5286.01)</f>
        <v>5286.01</v>
      </c>
      <c r="E34" s="2" t="n">
        <f aca="false">IFERROR(__xludf.dummyfunction("""COMPUTED_VALUE"""),5307.01)</f>
        <v>5307.01</v>
      </c>
      <c r="F34" s="3" t="n">
        <f aca="false">IFERROR(__xludf.dummyfunction("if($T34&lt;&gt;"""",VALUE(REGEXEXTRACT(SUBSTITUTE ($T34,F$1&amp;"" CE"",""""), F$1&amp;""[\w &amp;]*, (\d+\.\d+)"")),"""")
"),5000)</f>
        <v>5000</v>
      </c>
      <c r="G34" s="3" t="n">
        <f aca="false">IFERROR(__xludf.dummyfunction("if($T34&lt;&gt;"""",VALUE(REGEXEXTRACT($T34, G$1&amp;""[\w &amp;]*, (\d+\.\d+)"")),"""")
"),5340)</f>
        <v>5340</v>
      </c>
      <c r="H34" s="3" t="n">
        <f aca="false">IFERROR(__xludf.dummyfunction("if($T34&lt;&gt;"""",VALUE(REGEXEXTRACT($T34, H$1&amp;""[\w &amp;]*, (\d+\.\d+)"")),"""")"),5395)</f>
        <v>5395</v>
      </c>
      <c r="I34" s="3" t="n">
        <f aca="false">IFERROR(__xludf.dummyfunction("if($T34&lt;&gt;"""",VALUE(REGEXEXTRACT(SUBSTITUTE ($T34,I$1&amp;"" CE"",""""), I$1&amp;""[\w &amp;]*, (\d+\.\d+)"")),"""")
"),5000)</f>
        <v>5000</v>
      </c>
      <c r="J34" s="3" t="n">
        <f aca="false">IFERROR(__xludf.dummyfunction("if($T34&lt;&gt;"""",VALUE(REGEXEXTRACT($T34, J$1&amp;""[\w &amp;]*, (\d+\.\d+)"")),"""")
"),5305)</f>
        <v>5305</v>
      </c>
      <c r="K34" s="3" t="n">
        <f aca="false">IFERROR(__xludf.dummyfunction("if($T34&lt;&gt;"""",VALUE(REGEXEXTRACT($T34, K$1&amp;""[\w &amp;]*, (\d+\.\d+)"")),"""")
"),4400)</f>
        <v>4400</v>
      </c>
      <c r="L34" s="3" t="n">
        <f aca="false">IFERROR(__xludf.dummyfunction("if($T34&lt;&gt;"""",VALUE(REGEXEXTRACT(SUBSTITUTE ($T34,L$1&amp;"" CE"",""""), L$1&amp;""[\w &amp;]*, (\d+\.\d+)"")),"""")
"),5295)</f>
        <v>5295</v>
      </c>
      <c r="M34" s="3" t="n">
        <f aca="false">IFERROR(__xludf.dummyfunction("if($T34&lt;&gt;"""",VALUE(REGEXEXTRACT($T34, M$1&amp;""[\w &amp;]*, (\d+\.\d+)"")),"""")
"),5320)</f>
        <v>5320</v>
      </c>
      <c r="N34" s="3" t="n">
        <f aca="false">IFERROR(__xludf.dummyfunction("if($T34&lt;&gt;"""",VALUE(REGEXEXTRACT(SUBSTITUTE ($T34,N$1&amp;"" CE"",""""), N$1&amp;""[\w &amp;]*, (\d+\.\d+)"")),"""")
"),5000)</f>
        <v>5000</v>
      </c>
      <c r="O34" s="3" t="n">
        <f aca="false">IFERROR(__xludf.dummyfunction("if($T34&lt;&gt;"""",VALUE(REGEXEXTRACT($T34, O$1&amp;""[\w &amp;]*, (\d+\.\d+)"")),"""")
"),5300)</f>
        <v>5300</v>
      </c>
      <c r="P34" s="2" t="n">
        <f aca="false">IFERROR(__xludf.dummyfunction("if($T34&lt;&gt;"""",VALUE(REGEXEXTRACT($T34, P$1&amp;""[\w &amp;]*, (\d+\.\d+)"")),"""")
"),5292.25)</f>
        <v>5292.25</v>
      </c>
      <c r="Q34" s="2" t="n">
        <f aca="false">IFERROR(__xludf.dummyfunction("if($T34&lt;&gt;"""",VALUE(REGEXEXTRACT($T34, Q$1&amp;""[\w &amp;]*, (\d+\.\d+)"")),"""")
"),5280.17)</f>
        <v>5280.17</v>
      </c>
      <c r="R34" s="2" t="n">
        <f aca="false">IFERROR(__xludf.dummyfunction("if($T34&lt;&gt;"""",VALUE(REGEXEXTRACT($T34, SUBSTITUTE(R$1, ""+"", ""\+"")&amp;""[\w &amp;]*, (\d+\.\d+)"")),"""")"),5350.57)</f>
        <v>5350.57</v>
      </c>
      <c r="S34" s="2" t="n">
        <f aca="false">IFERROR(__xludf.dummyfunction("if($T34&lt;&gt;"""",VALUE(REGEXEXTRACT($T34, SUBSTITUTE(S$1, ""+"", ""\+"")&amp;""[\w &amp;]*, (\d+\.\d+)"")),"""")"),5362.65)</f>
        <v>5362.65</v>
      </c>
      <c r="T34" s="5" t="s">
        <v>47</v>
      </c>
      <c r="U34" s="5"/>
    </row>
    <row r="35" customFormat="false" ht="15.75" hidden="false" customHeight="false" outlineLevel="0" collapsed="false">
      <c r="A35" s="4" t="n">
        <f aca="false">IFERROR(__xludf.dummyfunction("""COMPUTED_VALUE"""),45435.6666666667)</f>
        <v>45435.6666666667</v>
      </c>
      <c r="B35" s="2" t="n">
        <f aca="false">IFERROR(__xludf.dummyfunction("""COMPUTED_VALUE"""),5340.26)</f>
        <v>5340.26</v>
      </c>
      <c r="C35" s="2" t="n">
        <f aca="false">IFERROR(__xludf.dummyfunction("""COMPUTED_VALUE"""),5341.88)</f>
        <v>5341.88</v>
      </c>
      <c r="D35" s="2" t="n">
        <f aca="false">IFERROR(__xludf.dummyfunction("""COMPUTED_VALUE"""),5256.93)</f>
        <v>5256.93</v>
      </c>
      <c r="E35" s="2" t="n">
        <f aca="false">IFERROR(__xludf.dummyfunction("""COMPUTED_VALUE"""),5267.84)</f>
        <v>5267.84</v>
      </c>
      <c r="F35" s="3" t="n">
        <f aca="false">IFERROR(__xludf.dummyfunction("if($T35&lt;&gt;"""",VALUE(REGEXEXTRACT(SUBSTITUTE ($T35,F$1&amp;"" CE"",""""), F$1&amp;""[\w &amp;]*, (\d+\.\d+)"")),"""")
"),5000)</f>
        <v>5000</v>
      </c>
      <c r="G35" s="3" t="n">
        <f aca="false">IFERROR(__xludf.dummyfunction("if($T35&lt;&gt;"""",VALUE(REGEXEXTRACT($T35, G$1&amp;""[\w &amp;]*, (\d+\.\d+)"")),"""")
"),5350)</f>
        <v>5350</v>
      </c>
      <c r="H35" s="3" t="n">
        <f aca="false">IFERROR(__xludf.dummyfunction("if($T35&lt;&gt;"""",VALUE(REGEXEXTRACT($T35, H$1&amp;""[\w &amp;]*, (\d+\.\d+)"")),"""")"),5495)</f>
        <v>5495</v>
      </c>
      <c r="I35" s="3" t="n">
        <f aca="false">IFERROR(__xludf.dummyfunction("if($T35&lt;&gt;"""",VALUE(REGEXEXTRACT(SUBSTITUTE ($T35,I$1&amp;"" CE"",""""), I$1&amp;""[\w &amp;]*, (\d+\.\d+)"")),"""")
"),5000)</f>
        <v>5000</v>
      </c>
      <c r="J35" s="3" t="n">
        <f aca="false">IFERROR(__xludf.dummyfunction("if($T35&lt;&gt;"""",VALUE(REGEXEXTRACT($T35, J$1&amp;""[\w &amp;]*, (\d+\.\d+)"")),"""")
"),5270)</f>
        <v>5270</v>
      </c>
      <c r="K35" s="3" t="n">
        <f aca="false">IFERROR(__xludf.dummyfunction("if($T35&lt;&gt;"""",VALUE(REGEXEXTRACT($T35, K$1&amp;""[\w &amp;]*, (\d+\.\d+)"")),"""")
"),4400)</f>
        <v>4400</v>
      </c>
      <c r="L35" s="3" t="n">
        <f aca="false">IFERROR(__xludf.dummyfunction("if($T35&lt;&gt;"""",VALUE(REGEXEXTRACT(SUBSTITUTE ($T35,L$1&amp;"" CE"",""""), L$1&amp;""[\w &amp;]*, (\d+\.\d+)"")),"""")
"),5295)</f>
        <v>5295</v>
      </c>
      <c r="M35" s="3" t="n">
        <f aca="false">IFERROR(__xludf.dummyfunction("if($T35&lt;&gt;"""",VALUE(REGEXEXTRACT($T35, M$1&amp;""[\w &amp;]*, (\d+\.\d+)"")),"""")
"),5320)</f>
        <v>5320</v>
      </c>
      <c r="N35" s="3" t="n">
        <f aca="false">IFERROR(__xludf.dummyfunction("if($T35&lt;&gt;"""",VALUE(REGEXEXTRACT(SUBSTITUTE ($T35,N$1&amp;"" CE"",""""), N$1&amp;""[\w &amp;]*, (\d+\.\d+)"")),"""")
"),5000)</f>
        <v>5000</v>
      </c>
      <c r="O35" s="3" t="n">
        <f aca="false">IFERROR(__xludf.dummyfunction("if($T35&lt;&gt;"""",VALUE(REGEXEXTRACT($T35, O$1&amp;""[\w &amp;]*, (\d+\.\d+)"")),"""")
"),5350)</f>
        <v>5350</v>
      </c>
      <c r="P35" s="2" t="n">
        <f aca="false">IFERROR(__xludf.dummyfunction("if($T35&lt;&gt;"""",VALUE(REGEXEXTRACT($T35, P$1&amp;""[\w &amp;]*, (\d+\.\d+)"")),"""")
"),5278.77)</f>
        <v>5278.77</v>
      </c>
      <c r="Q35" s="2" t="n">
        <f aca="false">IFERROR(__xludf.dummyfunction("if($T35&lt;&gt;"""",VALUE(REGEXEXTRACT($T35, Q$1&amp;""[\w &amp;]*, (\d+\.\d+)"")),"""")
"),5267.08)</f>
        <v>5267.08</v>
      </c>
      <c r="R35" s="2" t="n">
        <f aca="false">IFERROR(__xludf.dummyfunction("if($T35&lt;&gt;"""",VALUE(REGEXEXTRACT($T35, SUBSTITUTE(R$1, ""+"", ""\+"")&amp;""[\w &amp;]*, (\d+\.\d+)"")),"""")"),5335.25)</f>
        <v>5335.25</v>
      </c>
      <c r="S35" s="2" t="n">
        <f aca="false">IFERROR(__xludf.dummyfunction("if($T35&lt;&gt;"""",VALUE(REGEXEXTRACT($T35, SUBSTITUTE(S$1, ""+"", ""\+"")&amp;""[\w &amp;]*, (\d+\.\d+)"")),"""")"),5346.94)</f>
        <v>5346.94</v>
      </c>
      <c r="T35" s="5" t="s">
        <v>48</v>
      </c>
      <c r="U35" s="5"/>
    </row>
    <row r="36" customFormat="false" ht="15.75" hidden="false" customHeight="false" outlineLevel="0" collapsed="false">
      <c r="A36" s="4" t="n">
        <f aca="false">IFERROR(__xludf.dummyfunction("""COMPUTED_VALUE"""),45436.6666666667)</f>
        <v>45436.6666666667</v>
      </c>
      <c r="B36" s="2" t="n">
        <f aca="false">IFERROR(__xludf.dummyfunction("""COMPUTED_VALUE"""),5281.45)</f>
        <v>5281.45</v>
      </c>
      <c r="C36" s="2" t="n">
        <f aca="false">IFERROR(__xludf.dummyfunction("""COMPUTED_VALUE"""),5311.65)</f>
        <v>5311.65</v>
      </c>
      <c r="D36" s="2" t="n">
        <f aca="false">IFERROR(__xludf.dummyfunction("""COMPUTED_VALUE"""),5278.39)</f>
        <v>5278.39</v>
      </c>
      <c r="E36" s="2" t="n">
        <f aca="false">IFERROR(__xludf.dummyfunction("""COMPUTED_VALUE"""),5304.72)</f>
        <v>5304.72</v>
      </c>
      <c r="F36" s="3" t="n">
        <f aca="false">IFERROR(__xludf.dummyfunction("if($T36&lt;&gt;"""",VALUE(REGEXEXTRACT(SUBSTITUTE ($T36,F$1&amp;"" CE"",""""), F$1&amp;""[\w &amp;]*, (\d+\.\d+)"")),"""")
"),5750)</f>
        <v>5750</v>
      </c>
      <c r="G36" s="3" t="n">
        <f aca="false">IFERROR(__xludf.dummyfunction("if($T36&lt;&gt;"""",VALUE(REGEXEXTRACT($T36, G$1&amp;""[\w &amp;]*, (\d+\.\d+)"")),"""")
"),5295)</f>
        <v>5295</v>
      </c>
      <c r="H36" s="3" t="n">
        <f aca="false">IFERROR(__xludf.dummyfunction("if($T36&lt;&gt;"""",VALUE(REGEXEXTRACT($T36, H$1&amp;""[\w &amp;]*, (\d+\.\d+)"")),"""")"),5505)</f>
        <v>5505</v>
      </c>
      <c r="I36" s="3" t="n">
        <f aca="false">IFERROR(__xludf.dummyfunction("if($T36&lt;&gt;"""",VALUE(REGEXEXTRACT(SUBSTITUTE ($T36,I$1&amp;"" CE"",""""), I$1&amp;""[\w &amp;]*, (\d+\.\d+)"")),"""")
"),4000)</f>
        <v>4000</v>
      </c>
      <c r="J36" s="3" t="n">
        <f aca="false">IFERROR(__xludf.dummyfunction("if($T36&lt;&gt;"""",VALUE(REGEXEXTRACT($T36, J$1&amp;""[\w &amp;]*, (\d+\.\d+)"")),"""")
"),5250)</f>
        <v>5250</v>
      </c>
      <c r="K36" s="3" t="n">
        <f aca="false">IFERROR(__xludf.dummyfunction("if($T36&lt;&gt;"""",VALUE(REGEXEXTRACT($T36, K$1&amp;""[\w &amp;]*, (\d+\.\d+)"")),"""")
"),4420)</f>
        <v>4420</v>
      </c>
      <c r="L36" s="3" t="n">
        <f aca="false">IFERROR(__xludf.dummyfunction("if($T36&lt;&gt;"""",VALUE(REGEXEXTRACT(SUBSTITUTE ($T36,L$1&amp;"" CE"",""""), L$1&amp;""[\w &amp;]*, (\d+\.\d+)"")),"""")
"),5290)</f>
        <v>5290</v>
      </c>
      <c r="M36" s="3" t="n">
        <f aca="false">IFERROR(__xludf.dummyfunction("if($T36&lt;&gt;"""",VALUE(REGEXEXTRACT($T36, M$1&amp;""[\w &amp;]*, (\d+\.\d+)"")),"""")
"),5290)</f>
        <v>5290</v>
      </c>
      <c r="N36" s="3" t="n">
        <f aca="false">IFERROR(__xludf.dummyfunction("if($T36&lt;&gt;"""",VALUE(REGEXEXTRACT(SUBSTITUTE ($T36,N$1&amp;"" CE"",""""), N$1&amp;""[\w &amp;]*, (\d+\.\d+)"")),"""")
"),4000)</f>
        <v>4000</v>
      </c>
      <c r="O36" s="3" t="n">
        <f aca="false">IFERROR(__xludf.dummyfunction("if($T36&lt;&gt;"""",VALUE(REGEXEXTRACT($T36, O$1&amp;""[\w &amp;]*, (\d+\.\d+)"")),"""")
"),5300)</f>
        <v>5300</v>
      </c>
      <c r="P36" s="2" t="n">
        <f aca="false">IFERROR(__xludf.dummyfunction("if($T36&lt;&gt;"""",VALUE(REGEXEXTRACT($T36, P$1&amp;""[\w &amp;]*, (\d+\.\d+)"")),"""")
"),5239.33)</f>
        <v>5239.33</v>
      </c>
      <c r="Q36" s="2" t="n">
        <f aca="false">IFERROR(__xludf.dummyfunction("if($T36&lt;&gt;"""",VALUE(REGEXEXTRACT($T36, Q$1&amp;""[\w &amp;]*, (\d+\.\d+)"")),"""")
"),5204.09)</f>
        <v>5204.09</v>
      </c>
      <c r="R36" s="2" t="n">
        <f aca="false">IFERROR(__xludf.dummyfunction("if($T36&lt;&gt;"""",VALUE(REGEXEXTRACT($T36, SUBSTITUTE(R$1, ""+"", ""\+"")&amp;""[\w &amp;]*, (\d+\.\d+)"")),"""")"),5296.35)</f>
        <v>5296.35</v>
      </c>
      <c r="S36" s="2" t="n">
        <f aca="false">IFERROR(__xludf.dummyfunction("if($T36&lt;&gt;"""",VALUE(REGEXEXTRACT($T36, SUBSTITUTE(S$1, ""+"", ""\+"")&amp;""[\w &amp;]*, (\d+\.\d+)"")),"""")"),5331.59)</f>
        <v>5331.59</v>
      </c>
      <c r="T36" s="5" t="s">
        <v>49</v>
      </c>
      <c r="U36" s="5"/>
    </row>
    <row r="37" customFormat="false" ht="15.75" hidden="false" customHeight="false" outlineLevel="0" collapsed="false">
      <c r="A37" s="4" t="n">
        <f aca="false">IFERROR(__xludf.dummyfunction("""COMPUTED_VALUE"""),45440.6666666667)</f>
        <v>45440.6666666667</v>
      </c>
      <c r="B37" s="2" t="n">
        <f aca="false">IFERROR(__xludf.dummyfunction("""COMPUTED_VALUE"""),5315.91)</f>
        <v>5315.91</v>
      </c>
      <c r="C37" s="2" t="n">
        <f aca="false">IFERROR(__xludf.dummyfunction("""COMPUTED_VALUE"""),5315.91)</f>
        <v>5315.91</v>
      </c>
      <c r="D37" s="2" t="n">
        <f aca="false">IFERROR(__xludf.dummyfunction("""COMPUTED_VALUE"""),5280.89)</f>
        <v>5280.89</v>
      </c>
      <c r="E37" s="2" t="n">
        <f aca="false">IFERROR(__xludf.dummyfunction("""COMPUTED_VALUE"""),5306.04)</f>
        <v>5306.04</v>
      </c>
      <c r="F37" s="3" t="n">
        <f aca="false">IFERROR(__xludf.dummyfunction("if($T37&lt;&gt;"""",VALUE(REGEXEXTRACT(SUBSTITUTE ($T37,F$1&amp;"" CE"",""""), F$1&amp;""[\w &amp;]*, (\d+\.\d+)"")),"""")
"),5750)</f>
        <v>5750</v>
      </c>
      <c r="G37" s="3" t="n">
        <f aca="false">IFERROR(__xludf.dummyfunction("if($T37&lt;&gt;"""",VALUE(REGEXEXTRACT($T37, G$1&amp;""[\w &amp;]*, (\d+\.\d+)"")),"""")
"),5325)</f>
        <v>5325</v>
      </c>
      <c r="H37" s="3" t="n">
        <f aca="false">IFERROR(__xludf.dummyfunction("if($T37&lt;&gt;"""",VALUE(REGEXEXTRACT($T37, H$1&amp;""[\w &amp;]*, (\d+\.\d+)"")),"""")"),5505)</f>
        <v>5505</v>
      </c>
      <c r="I37" s="3" t="n">
        <f aca="false">IFERROR(__xludf.dummyfunction("if($T37&lt;&gt;"""",VALUE(REGEXEXTRACT(SUBSTITUTE ($T37,I$1&amp;"" CE"",""""), I$1&amp;""[\w &amp;]*, (\d+\.\d+)"")),"""")
"),4000)</f>
        <v>4000</v>
      </c>
      <c r="J37" s="3" t="n">
        <f aca="false">IFERROR(__xludf.dummyfunction("if($T37&lt;&gt;"""",VALUE(REGEXEXTRACT($T37, J$1&amp;""[\w &amp;]*, (\d+\.\d+)"")),"""")
"),5285)</f>
        <v>5285</v>
      </c>
      <c r="K37" s="3" t="n">
        <f aca="false">IFERROR(__xludf.dummyfunction("if($T37&lt;&gt;"""",VALUE(REGEXEXTRACT($T37, K$1&amp;""[\w &amp;]*, (\d+\.\d+)"")),"""")
"),4420)</f>
        <v>4420</v>
      </c>
      <c r="L37" s="3" t="n">
        <f aca="false">IFERROR(__xludf.dummyfunction("if($T37&lt;&gt;"""",VALUE(REGEXEXTRACT(SUBSTITUTE ($T37,L$1&amp;"" CE"",""""), L$1&amp;""[\w &amp;]*, (\d+\.\d+)"")),"""")
"),5295)</f>
        <v>5295</v>
      </c>
      <c r="M37" s="3" t="n">
        <f aca="false">IFERROR(__xludf.dummyfunction("if($T37&lt;&gt;"""",VALUE(REGEXEXTRACT($T37, M$1&amp;""[\w &amp;]*, (\d+\.\d+)"")),"""")
"),5305)</f>
        <v>5305</v>
      </c>
      <c r="N37" s="3" t="n">
        <f aca="false">IFERROR(__xludf.dummyfunction("if($T37&lt;&gt;"""",VALUE(REGEXEXTRACT(SUBSTITUTE ($T37,N$1&amp;"" CE"",""""), N$1&amp;""[\w &amp;]*, (\d+\.\d+)"")),"""")
"),5400)</f>
        <v>5400</v>
      </c>
      <c r="O37" s="3" t="n">
        <f aca="false">IFERROR(__xludf.dummyfunction("if($T37&lt;&gt;"""",VALUE(REGEXEXTRACT($T37, O$1&amp;""[\w &amp;]*, (\d+\.\d+)"")),"""")
"),5325)</f>
        <v>5325</v>
      </c>
      <c r="P37" s="2" t="n">
        <f aca="false">IFERROR(__xludf.dummyfunction("if($T37&lt;&gt;"""",VALUE(REGEXEXTRACT($T37, P$1&amp;""[\w &amp;]*, (\d+\.\d+)"")),"""")
"),5275.7)</f>
        <v>5275.7</v>
      </c>
      <c r="Q37" s="2" t="n">
        <f aca="false">IFERROR(__xludf.dummyfunction("if($T37&lt;&gt;"""",VALUE(REGEXEXTRACT($T37, Q$1&amp;""[\w &amp;]*, (\d+\.\d+)"")),"""")
"),5263.68)</f>
        <v>5263.68</v>
      </c>
      <c r="R37" s="2" t="n">
        <f aca="false">IFERROR(__xludf.dummyfunction("if($T37&lt;&gt;"""",VALUE(REGEXEXTRACT($T37, SUBSTITUTE(R$1, ""+"", ""\+"")&amp;""[\w &amp;]*, (\d+\.\d+)"")),"""")"),5333.74)</f>
        <v>5333.74</v>
      </c>
      <c r="S37" s="2" t="n">
        <f aca="false">IFERROR(__xludf.dummyfunction("if($T37&lt;&gt;"""",VALUE(REGEXEXTRACT($T37, SUBSTITUTE(S$1, ""+"", ""\+"")&amp;""[\w &amp;]*, (\d+\.\d+)"")),"""")"),5345.76)</f>
        <v>5345.76</v>
      </c>
      <c r="T37" s="5" t="s">
        <v>50</v>
      </c>
      <c r="U37" s="5"/>
    </row>
    <row r="38" customFormat="false" ht="15.75" hidden="false" customHeight="false" outlineLevel="0" collapsed="false">
      <c r="A38" s="4" t="n">
        <f aca="false">IFERROR(__xludf.dummyfunction("""COMPUTED_VALUE"""),45441.6666666667)</f>
        <v>45441.6666666667</v>
      </c>
      <c r="B38" s="2" t="n">
        <f aca="false">IFERROR(__xludf.dummyfunction("""COMPUTED_VALUE"""),5278.73)</f>
        <v>5278.73</v>
      </c>
      <c r="C38" s="2" t="n">
        <f aca="false">IFERROR(__xludf.dummyfunction("""COMPUTED_VALUE"""),5282.27)</f>
        <v>5282.27</v>
      </c>
      <c r="D38" s="2" t="n">
        <f aca="false">IFERROR(__xludf.dummyfunction("""COMPUTED_VALUE"""),5262.7)</f>
        <v>5262.7</v>
      </c>
      <c r="E38" s="2" t="n">
        <f aca="false">IFERROR(__xludf.dummyfunction("""COMPUTED_VALUE"""),5266.95)</f>
        <v>5266.95</v>
      </c>
      <c r="F38" s="3" t="n">
        <f aca="false">IFERROR(__xludf.dummyfunction("if($T38&lt;&gt;"""",VALUE(REGEXEXTRACT(SUBSTITUTE ($T38,F$1&amp;"" CE"",""""), F$1&amp;""[\w &amp;]*, (\d+\.\d+)"")),"""")
"),5750)</f>
        <v>5750</v>
      </c>
      <c r="G38" s="3" t="n">
        <f aca="false">IFERROR(__xludf.dummyfunction("if($T38&lt;&gt;"""",VALUE(REGEXEXTRACT($T38, G$1&amp;""[\w &amp;]*, (\d+\.\d+)"")),"""")
"),5400)</f>
        <v>5400</v>
      </c>
      <c r="H38" s="3" t="n">
        <f aca="false">IFERROR(__xludf.dummyfunction("if($T38&lt;&gt;"""",VALUE(REGEXEXTRACT($T38, H$1&amp;""[\w &amp;]*, (\d+\.\d+)"")),"""")"),5555)</f>
        <v>5555</v>
      </c>
      <c r="I38" s="3" t="n">
        <f aca="false">IFERROR(__xludf.dummyfunction("if($T38&lt;&gt;"""",VALUE(REGEXEXTRACT(SUBSTITUTE ($T38,I$1&amp;"" CE"",""""), I$1&amp;""[\w &amp;]*, (\d+\.\d+)"")),"""")
"),4000)</f>
        <v>4000</v>
      </c>
      <c r="J38" s="3" t="n">
        <f aca="false">IFERROR(__xludf.dummyfunction("if($T38&lt;&gt;"""",VALUE(REGEXEXTRACT($T38, J$1&amp;""[\w &amp;]*, (\d+\.\d+)"")),"""")
"),5275)</f>
        <v>5275</v>
      </c>
      <c r="K38" s="3" t="n">
        <f aca="false">IFERROR(__xludf.dummyfunction("if($T38&lt;&gt;"""",VALUE(REGEXEXTRACT($T38, K$1&amp;""[\w &amp;]*, (\d+\.\d+)"")),"""")
"),4420)</f>
        <v>4420</v>
      </c>
      <c r="L38" s="3" t="n">
        <f aca="false">IFERROR(__xludf.dummyfunction("if($T38&lt;&gt;"""",VALUE(REGEXEXTRACT(SUBSTITUTE ($T38,L$1&amp;"" CE"",""""), L$1&amp;""[\w &amp;]*, (\d+\.\d+)"")),"""")
"),5400)</f>
        <v>5400</v>
      </c>
      <c r="M38" s="3" t="n">
        <f aca="false">IFERROR(__xludf.dummyfunction("if($T38&lt;&gt;"""",VALUE(REGEXEXTRACT($T38, M$1&amp;""[\w &amp;]*, (\d+\.\d+)"")),"""")
"),5295)</f>
        <v>5295</v>
      </c>
      <c r="N38" s="3" t="n">
        <f aca="false">IFERROR(__xludf.dummyfunction("if($T38&lt;&gt;"""",VALUE(REGEXEXTRACT(SUBSTITUTE ($T38,N$1&amp;"" CE"",""""), N$1&amp;""[\w &amp;]*, (\d+\.\d+)"")),"""")
"),4000)</f>
        <v>4000</v>
      </c>
      <c r="O38" s="3" t="n">
        <f aca="false">IFERROR(__xludf.dummyfunction("if($T38&lt;&gt;"""",VALUE(REGEXEXTRACT($T38, O$1&amp;""[\w &amp;]*, (\d+\.\d+)"")),"""")
"),5300)</f>
        <v>5300</v>
      </c>
      <c r="P38" s="2" t="n">
        <f aca="false">IFERROR(__xludf.dummyfunction("if($T38&lt;&gt;"""",VALUE(REGEXEXTRACT($T38, P$1&amp;""[\w &amp;]*, (\d+\.\d+)"")),"""")
"),5274.97)</f>
        <v>5274.97</v>
      </c>
      <c r="Q38" s="2" t="n">
        <f aca="false">IFERROR(__xludf.dummyfunction("if($T38&lt;&gt;"""",VALUE(REGEXEXTRACT($T38, Q$1&amp;""[\w &amp;]*, (\d+\.\d+)"")),"""")
"),5262.1)</f>
        <v>5262.1</v>
      </c>
      <c r="R38" s="2" t="n">
        <f aca="false">IFERROR(__xludf.dummyfunction("if($T38&lt;&gt;"""",VALUE(REGEXEXTRACT($T38, SUBSTITUTE(R$1, ""+"", ""\+"")&amp;""[\w &amp;]*, (\d+\.\d+)"")),"""")"),5337.11)</f>
        <v>5337.11</v>
      </c>
      <c r="S38" s="2" t="n">
        <f aca="false">IFERROR(__xludf.dummyfunction("if($T38&lt;&gt;"""",VALUE(REGEXEXTRACT($T38, SUBSTITUTE(S$1, ""+"", ""\+"")&amp;""[\w &amp;]*, (\d+\.\d+)"")),"""")"),5349.98)</f>
        <v>5349.98</v>
      </c>
      <c r="T38" s="5" t="s">
        <v>51</v>
      </c>
      <c r="U38" s="5"/>
    </row>
    <row r="39" customFormat="false" ht="15.75" hidden="false" customHeight="false" outlineLevel="0" collapsed="false">
      <c r="A39" s="4" t="n">
        <f aca="false">IFERROR(__xludf.dummyfunction("""COMPUTED_VALUE"""),45442.6666666667)</f>
        <v>45442.6666666667</v>
      </c>
      <c r="B39" s="2" t="n">
        <f aca="false">IFERROR(__xludf.dummyfunction("""COMPUTED_VALUE"""),5259.77)</f>
        <v>5259.77</v>
      </c>
      <c r="C39" s="2" t="n">
        <f aca="false">IFERROR(__xludf.dummyfunction("""COMPUTED_VALUE"""),5260.21)</f>
        <v>5260.21</v>
      </c>
      <c r="D39" s="2" t="n">
        <f aca="false">IFERROR(__xludf.dummyfunction("""COMPUTED_VALUE"""),5222.1)</f>
        <v>5222.1</v>
      </c>
      <c r="E39" s="2" t="n">
        <f aca="false">IFERROR(__xludf.dummyfunction("""COMPUTED_VALUE"""),5235.48)</f>
        <v>5235.48</v>
      </c>
      <c r="F39" s="3" t="n">
        <f aca="false">IFERROR(__xludf.dummyfunction("if($T39&lt;&gt;"""",VALUE(REGEXEXTRACT(SUBSTITUTE ($T39,F$1&amp;"" CE"",""""), F$1&amp;""[\w &amp;]*, (\d+\.\d+)"")),"""")
"),5550)</f>
        <v>5550</v>
      </c>
      <c r="G39" s="3" t="n">
        <f aca="false">IFERROR(__xludf.dummyfunction("if($T39&lt;&gt;"""",VALUE(REGEXEXTRACT($T39, G$1&amp;""[\w &amp;]*, (\d+\.\d+)"")),"""")
"),5400)</f>
        <v>5400</v>
      </c>
      <c r="H39" s="3" t="n">
        <f aca="false">IFERROR(__xludf.dummyfunction("if($T39&lt;&gt;"""",VALUE(REGEXEXTRACT($T39, H$1&amp;""[\w &amp;]*, (\d+\.\d+)"")),"""")"),5555)</f>
        <v>5555</v>
      </c>
      <c r="I39" s="3" t="n">
        <f aca="false">IFERROR(__xludf.dummyfunction("if($T39&lt;&gt;"""",VALUE(REGEXEXTRACT(SUBSTITUTE ($T39,I$1&amp;"" CE"",""""), I$1&amp;""[\w &amp;]*, (\d+\.\d+)"")),"""")
"),4000)</f>
        <v>4000</v>
      </c>
      <c r="J39" s="3" t="n">
        <f aca="false">IFERROR(__xludf.dummyfunction("if($T39&lt;&gt;"""",VALUE(REGEXEXTRACT($T39, J$1&amp;""[\w &amp;]*, (\d+\.\d+)"")),"""")
"),5250)</f>
        <v>5250</v>
      </c>
      <c r="K39" s="3" t="n">
        <f aca="false">IFERROR(__xludf.dummyfunction("if($T39&lt;&gt;"""",VALUE(REGEXEXTRACT($T39, K$1&amp;""[\w &amp;]*, (\d+\.\d+)"")),"""")
"),4420)</f>
        <v>4420</v>
      </c>
      <c r="L39" s="3" t="n">
        <f aca="false">IFERROR(__xludf.dummyfunction("if($T39&lt;&gt;"""",VALUE(REGEXEXTRACT(SUBSTITUTE ($T39,L$1&amp;"" CE"",""""), L$1&amp;""[\w &amp;]*, (\d+\.\d+)"")),"""")
"),5400)</f>
        <v>5400</v>
      </c>
      <c r="M39" s="3" t="n">
        <f aca="false">IFERROR(__xludf.dummyfunction("if($T39&lt;&gt;"""",VALUE(REGEXEXTRACT($T39, M$1&amp;""[\w &amp;]*, (\d+\.\d+)"")),"""")
"),5275)</f>
        <v>5275</v>
      </c>
      <c r="N39" s="3" t="n">
        <f aca="false">IFERROR(__xludf.dummyfunction("if($T39&lt;&gt;"""",VALUE(REGEXEXTRACT(SUBSTITUTE ($T39,N$1&amp;"" CE"",""""), N$1&amp;""[\w &amp;]*, (\d+\.\d+)"")),"""")
"),5200)</f>
        <v>5200</v>
      </c>
      <c r="O39" s="3" t="n">
        <f aca="false">IFERROR(__xludf.dummyfunction("if($T39&lt;&gt;"""",VALUE(REGEXEXTRACT($T39, O$1&amp;""[\w &amp;]*, (\d+\.\d+)"")),"""")
"),5300)</f>
        <v>5300</v>
      </c>
      <c r="P39" s="2" t="n">
        <f aca="false">IFERROR(__xludf.dummyfunction("if($T39&lt;&gt;"""",VALUE(REGEXEXTRACT($T39, P$1&amp;""[\w &amp;]*, (\d+\.\d+)"")),"""")
"),5234.33)</f>
        <v>5234.33</v>
      </c>
      <c r="Q39" s="2" t="n">
        <f aca="false">IFERROR(__xludf.dummyfunction("if($T39&lt;&gt;"""",VALUE(REGEXEXTRACT($T39, Q$1&amp;""[\w &amp;]*, (\d+\.\d+)"")),"""")
"),5220.82)</f>
        <v>5220.82</v>
      </c>
      <c r="R39" s="2" t="n">
        <f aca="false">IFERROR(__xludf.dummyfunction("if($T39&lt;&gt;"""",VALUE(REGEXEXTRACT($T39, SUBSTITUTE(R$1, ""+"", ""\+"")&amp;""[\w &amp;]*, (\d+\.\d+)"")),"""")"),5299.57)</f>
        <v>5299.57</v>
      </c>
      <c r="S39" s="2" t="n">
        <f aca="false">IFERROR(__xludf.dummyfunction("if($T39&lt;&gt;"""",VALUE(REGEXEXTRACT($T39, SUBSTITUTE(S$1, ""+"", ""\+"")&amp;""[\w &amp;]*, (\d+\.\d+)"")),"""")"),5313.08)</f>
        <v>5313.08</v>
      </c>
      <c r="T39" s="5" t="s">
        <v>52</v>
      </c>
      <c r="U39" s="5"/>
    </row>
    <row r="40" customFormat="false" ht="15.75" hidden="false" customHeight="false" outlineLevel="0" collapsed="false">
      <c r="A40" s="4" t="n">
        <f aca="false">IFERROR(__xludf.dummyfunction("""COMPUTED_VALUE"""),45443.6666666667)</f>
        <v>45443.6666666667</v>
      </c>
      <c r="B40" s="2" t="n">
        <f aca="false">IFERROR(__xludf.dummyfunction("""COMPUTED_VALUE"""),5243.21)</f>
        <v>5243.21</v>
      </c>
      <c r="C40" s="2" t="n">
        <f aca="false">IFERROR(__xludf.dummyfunction("""COMPUTED_VALUE"""),5280.33)</f>
        <v>5280.33</v>
      </c>
      <c r="D40" s="2" t="n">
        <f aca="false">IFERROR(__xludf.dummyfunction("""COMPUTED_VALUE"""),5191.68)</f>
        <v>5191.68</v>
      </c>
      <c r="E40" s="2" t="n">
        <f aca="false">IFERROR(__xludf.dummyfunction("""COMPUTED_VALUE"""),5277.51)</f>
        <v>5277.51</v>
      </c>
      <c r="F40" s="3" t="n">
        <f aca="false">IFERROR(__xludf.dummyfunction("if($T40&lt;&gt;"""",VALUE(REGEXEXTRACT(SUBSTITUTE ($T40,F$1&amp;"" CE"",""""), F$1&amp;""[\w &amp;]*, (\d+\.\d+)"")),"""")
"),5750)</f>
        <v>5750</v>
      </c>
      <c r="G40" s="3" t="n">
        <f aca="false">IFERROR(__xludf.dummyfunction("if($T40&lt;&gt;"""",VALUE(REGEXEXTRACT($T40, G$1&amp;""[\w &amp;]*, (\d+\.\d+)"")),"""")
"),5400)</f>
        <v>5400</v>
      </c>
      <c r="H40" s="3" t="n">
        <f aca="false">IFERROR(__xludf.dummyfunction("if($T40&lt;&gt;"""",VALUE(REGEXEXTRACT($T40, H$1&amp;""[\w &amp;]*, (\d+\.\d+)"")),"""")"),5555)</f>
        <v>5555</v>
      </c>
      <c r="I40" s="3" t="n">
        <f aca="false">IFERROR(__xludf.dummyfunction("if($T40&lt;&gt;"""",VALUE(REGEXEXTRACT(SUBSTITUTE ($T40,I$1&amp;"" CE"",""""), I$1&amp;""[\w &amp;]*, (\d+\.\d+)"")),"""")
"),5200)</f>
        <v>5200</v>
      </c>
      <c r="J40" s="3" t="n">
        <f aca="false">IFERROR(__xludf.dummyfunction("if($T40&lt;&gt;"""",VALUE(REGEXEXTRACT($T40, J$1&amp;""[\w &amp;]*, (\d+\.\d+)"")),"""")
"),5205)</f>
        <v>5205</v>
      </c>
      <c r="K40" s="3" t="n">
        <f aca="false">IFERROR(__xludf.dummyfunction("if($T40&lt;&gt;"""",VALUE(REGEXEXTRACT($T40, K$1&amp;""[\w &amp;]*, (\d+\.\d+)"")),"""")
"),4420)</f>
        <v>4420</v>
      </c>
      <c r="L40" s="3" t="n">
        <f aca="false">IFERROR(__xludf.dummyfunction("if($T40&lt;&gt;"""",VALUE(REGEXEXTRACT(SUBSTITUTE ($T40,L$1&amp;"" CE"",""""), L$1&amp;""[\w &amp;]*, (\d+\.\d+)"")),"""")
"),5400)</f>
        <v>5400</v>
      </c>
      <c r="M40" s="3" t="n">
        <f aca="false">IFERROR(__xludf.dummyfunction("if($T40&lt;&gt;"""",VALUE(REGEXEXTRACT($T40, M$1&amp;""[\w &amp;]*, (\d+\.\d+)"")),"""")
"),5260)</f>
        <v>5260</v>
      </c>
      <c r="N40" s="3" t="n">
        <f aca="false">IFERROR(__xludf.dummyfunction("if($T40&lt;&gt;"""",VALUE(REGEXEXTRACT(SUBSTITUTE ($T40,N$1&amp;"" CE"",""""), N$1&amp;""[\w &amp;]*, (\d+\.\d+)"")),"""")
"),5200)</f>
        <v>5200</v>
      </c>
      <c r="O40" s="3" t="n">
        <f aca="false">IFERROR(__xludf.dummyfunction("if($T40&lt;&gt;"""",VALUE(REGEXEXTRACT($T40, O$1&amp;""[\w &amp;]*, (\d+\.\d+)"")),"""")
"),5200)</f>
        <v>5200</v>
      </c>
      <c r="P40" s="2" t="n">
        <f aca="false">IFERROR(__xludf.dummyfunction("if($T40&lt;&gt;"""",VALUE(REGEXEXTRACT($T40, P$1&amp;""[\w &amp;]*, (\d+\.\d+)"")),"""")
"),5202)</f>
        <v>5202</v>
      </c>
      <c r="Q40" s="2" t="n">
        <f aca="false">IFERROR(__xludf.dummyfunction("if($T40&lt;&gt;"""",VALUE(REGEXEXTRACT($T40, Q$1&amp;""[\w &amp;]*, (\d+\.\d+)"")),"""")
"),5168.51)</f>
        <v>5168.51</v>
      </c>
      <c r="R40" s="2" t="n">
        <f aca="false">IFERROR(__xludf.dummyfunction("if($T40&lt;&gt;"""",VALUE(REGEXEXTRACT($T40, SUBSTITUTE(R$1, ""+"", ""\+"")&amp;""[\w &amp;]*, (\d+\.\d+)"")),"""")"),5268.96)</f>
        <v>5268.96</v>
      </c>
      <c r="S40" s="2" t="n">
        <f aca="false">IFERROR(__xludf.dummyfunction("if($T40&lt;&gt;"""",VALUE(REGEXEXTRACT($T40, SUBSTITUTE(S$1, ""+"", ""\+"")&amp;""[\w &amp;]*, (\d+\.\d+)"")),"""")"),5302.45)</f>
        <v>5302.45</v>
      </c>
      <c r="T40" s="5" t="s">
        <v>53</v>
      </c>
      <c r="U40" s="5"/>
    </row>
    <row r="41" customFormat="false" ht="15.75" hidden="false" customHeight="false" outlineLevel="0" collapsed="false">
      <c r="A41" s="4" t="n">
        <f aca="false">IFERROR(__xludf.dummyfunction("""COMPUTED_VALUE"""),45446.6666666667)</f>
        <v>45446.6666666667</v>
      </c>
      <c r="B41" s="2" t="n">
        <f aca="false">IFERROR(__xludf.dummyfunction("""COMPUTED_VALUE"""),5297.15)</f>
        <v>5297.15</v>
      </c>
      <c r="C41" s="2" t="n">
        <f aca="false">IFERROR(__xludf.dummyfunction("""COMPUTED_VALUE"""),5302.11)</f>
        <v>5302.11</v>
      </c>
      <c r="D41" s="2" t="n">
        <f aca="false">IFERROR(__xludf.dummyfunction("""COMPUTED_VALUE"""),5234.32)</f>
        <v>5234.32</v>
      </c>
      <c r="E41" s="2" t="n">
        <f aca="false">IFERROR(__xludf.dummyfunction("""COMPUTED_VALUE"""),5283.4)</f>
        <v>5283.4</v>
      </c>
      <c r="F41" s="3" t="n">
        <f aca="false">IFERROR(__xludf.dummyfunction("if($T41&lt;&gt;"""",VALUE(REGEXEXTRACT(SUBSTITUTE ($T41,F$1&amp;"" CE"",""""), F$1&amp;""[\w &amp;]*, (\d+\.\d+)"")),"""")
"),5300)</f>
        <v>5300</v>
      </c>
      <c r="G41" s="3" t="n">
        <f aca="false">IFERROR(__xludf.dummyfunction("if($T41&lt;&gt;"""",VALUE(REGEXEXTRACT($T41, G$1&amp;""[\w &amp;]*, (\d+\.\d+)"")),"""")
"),5305)</f>
        <v>5305</v>
      </c>
      <c r="H41" s="3" t="n">
        <f aca="false">IFERROR(__xludf.dummyfunction("if($T41&lt;&gt;"""",VALUE(REGEXEXTRACT($T41, H$1&amp;""[\w &amp;]*, (\d+\.\d+)"")),"""")"),5260)</f>
        <v>5260</v>
      </c>
      <c r="I41" s="3" t="n">
        <f aca="false">IFERROR(__xludf.dummyfunction("if($T41&lt;&gt;"""",VALUE(REGEXEXTRACT(SUBSTITUTE ($T41,I$1&amp;"" CE"",""""), I$1&amp;""[\w &amp;]*, (\d+\.\d+)"")),"""")
"),5300)</f>
        <v>5300</v>
      </c>
      <c r="J41" s="3" t="n">
        <f aca="false">IFERROR(__xludf.dummyfunction("if($T41&lt;&gt;"""",VALUE(REGEXEXTRACT($T41, J$1&amp;""[\w &amp;]*, (\d+\.\d+)"")),"""")
"),5255)</f>
        <v>5255</v>
      </c>
      <c r="K41" s="3" t="n">
        <f aca="false">IFERROR(__xludf.dummyfunction("if($T41&lt;&gt;"""",VALUE(REGEXEXTRACT($T41, K$1&amp;""[\w &amp;]*, (\d+\.\d+)"")),"""")
"),5265)</f>
        <v>5265</v>
      </c>
      <c r="L41" s="3" t="n">
        <f aca="false">IFERROR(__xludf.dummyfunction("if($T41&lt;&gt;"""",VALUE(REGEXEXTRACT(SUBSTITUTE ($T41,L$1&amp;"" CE"",""""), L$1&amp;""[\w &amp;]*, (\d+\.\d+)"")),"""")
"),5260)</f>
        <v>5260</v>
      </c>
      <c r="M41" s="3" t="n">
        <f aca="false">IFERROR(__xludf.dummyfunction("if($T41&lt;&gt;"""",VALUE(REGEXEXTRACT($T41, M$1&amp;""[\w &amp;]*, (\d+\.\d+)"")),"""")
"),5255)</f>
        <v>5255</v>
      </c>
      <c r="N41" s="3" t="n">
        <f aca="false">IFERROR(__xludf.dummyfunction("if($T41&lt;&gt;"""",VALUE(REGEXEXTRACT(SUBSTITUTE ($T41,N$1&amp;"" CE"",""""), N$1&amp;""[\w &amp;]*, (\d+\.\d+)"")),"""")
"),5300)</f>
        <v>5300</v>
      </c>
      <c r="O41" s="3" t="n">
        <f aca="false">IFERROR(__xludf.dummyfunction("if($T41&lt;&gt;"""",VALUE(REGEXEXTRACT($T41, O$1&amp;""[\w &amp;]*, (\d+\.\d+)"")),"""")
"),5300)</f>
        <v>5300</v>
      </c>
      <c r="P41" s="2" t="n">
        <f aca="false">IFERROR(__xludf.dummyfunction("if($T41&lt;&gt;"""",VALUE(REGEXEXTRACT($T41, P$1&amp;""[\w &amp;]*, (\d+\.\d+)"")),"""")
"),5244.62)</f>
        <v>5244.62</v>
      </c>
      <c r="Q41" s="2" t="n">
        <f aca="false">IFERROR(__xludf.dummyfunction("if($T41&lt;&gt;"""",VALUE(REGEXEXTRACT($T41, Q$1&amp;""[\w &amp;]*, (\d+\.\d+)"")),"""")
"),5230.99)</f>
        <v>5230.99</v>
      </c>
      <c r="R41" s="2" t="n">
        <f aca="false">IFERROR(__xludf.dummyfunction("if($T41&lt;&gt;"""",VALUE(REGEXEXTRACT($T41, SUBSTITUTE(R$1, ""+"", ""\+"")&amp;""[\w &amp;]*, (\d+\.\d+)"")),"""")"),5310.4)</f>
        <v>5310.4</v>
      </c>
      <c r="S41" s="2" t="n">
        <f aca="false">IFERROR(__xludf.dummyfunction("if($T41&lt;&gt;"""",VALUE(REGEXEXTRACT($T41, SUBSTITUTE(S$1, ""+"", ""\+"")&amp;""[\w &amp;]*, (\d+\.\d+)"")),"""")"),5324.03)</f>
        <v>5324.03</v>
      </c>
      <c r="T41" s="5" t="s">
        <v>54</v>
      </c>
      <c r="U41" s="5"/>
    </row>
    <row r="42" customFormat="false" ht="15.75" hidden="false" customHeight="false" outlineLevel="0" collapsed="false">
      <c r="A42" s="4" t="n">
        <f aca="false">IFERROR(__xludf.dummyfunction("""COMPUTED_VALUE"""),45447.6666666667)</f>
        <v>45447.6666666667</v>
      </c>
      <c r="B42" s="2" t="n">
        <f aca="false">IFERROR(__xludf.dummyfunction("""COMPUTED_VALUE"""),5278.24)</f>
        <v>5278.24</v>
      </c>
      <c r="C42" s="2" t="n">
        <f aca="false">IFERROR(__xludf.dummyfunction("""COMPUTED_VALUE"""),5298.8)</f>
        <v>5298.8</v>
      </c>
      <c r="D42" s="2" t="n">
        <f aca="false">IFERROR(__xludf.dummyfunction("""COMPUTED_VALUE"""),5257.63)</f>
        <v>5257.63</v>
      </c>
      <c r="E42" s="2" t="n">
        <f aca="false">IFERROR(__xludf.dummyfunction("""COMPUTED_VALUE"""),5291.34)</f>
        <v>5291.34</v>
      </c>
      <c r="F42" s="3" t="n">
        <f aca="false">IFERROR(__xludf.dummyfunction("if($T42&lt;&gt;"""",VALUE(REGEXEXTRACT(SUBSTITUTE ($T42,F$1&amp;"" CE"",""""), F$1&amp;""[\w &amp;]*, (\d+\.\d+)"")),"""")
"),5300)</f>
        <v>5300</v>
      </c>
      <c r="G42" s="3" t="n">
        <f aca="false">IFERROR(__xludf.dummyfunction("if($T42&lt;&gt;"""",VALUE(REGEXEXTRACT($T42, G$1&amp;""[\w &amp;]*, (\d+\.\d+)"")),"""")
"),5310)</f>
        <v>5310</v>
      </c>
      <c r="H42" s="3" t="n">
        <f aca="false">IFERROR(__xludf.dummyfunction("if($T42&lt;&gt;"""",VALUE(REGEXEXTRACT($T42, H$1&amp;""[\w &amp;]*, (\d+\.\d+)"")),"""")"),5270)</f>
        <v>5270</v>
      </c>
      <c r="I42" s="3" t="n">
        <f aca="false">IFERROR(__xludf.dummyfunction("if($T42&lt;&gt;"""",VALUE(REGEXEXTRACT(SUBSTITUTE ($T42,I$1&amp;"" CE"",""""), I$1&amp;""[\w &amp;]*, (\d+\.\d+)"")),"""")
"),5300)</f>
        <v>5300</v>
      </c>
      <c r="J42" s="3" t="n">
        <f aca="false">IFERROR(__xludf.dummyfunction("if($T42&lt;&gt;"""",VALUE(REGEXEXTRACT($T42, J$1&amp;""[\w &amp;]*, (\d+\.\d+)"")),"""")
"),5240)</f>
        <v>5240</v>
      </c>
      <c r="K42" s="3" t="n">
        <f aca="false">IFERROR(__xludf.dummyfunction("if($T42&lt;&gt;"""",VALUE(REGEXEXTRACT($T42, K$1&amp;""[\w &amp;]*, (\d+\.\d+)"")),"""")
"),5275)</f>
        <v>5275</v>
      </c>
      <c r="L42" s="3" t="n">
        <f aca="false">IFERROR(__xludf.dummyfunction("if($T42&lt;&gt;"""",VALUE(REGEXEXTRACT(SUBSTITUTE ($T42,L$1&amp;"" CE"",""""), L$1&amp;""[\w &amp;]*, (\d+\.\d+)"")),"""")
"),5270)</f>
        <v>5270</v>
      </c>
      <c r="M42" s="3" t="n">
        <f aca="false">IFERROR(__xludf.dummyfunction("if($T42&lt;&gt;"""",VALUE(REGEXEXTRACT($T42, M$1&amp;""[\w &amp;]*, (\d+\.\d+)"")),"""")
"),5270)</f>
        <v>5270</v>
      </c>
      <c r="N42" s="3" t="n">
        <f aca="false">IFERROR(__xludf.dummyfunction("if($T42&lt;&gt;"""",VALUE(REGEXEXTRACT(SUBSTITUTE ($T42,N$1&amp;"" CE"",""""), N$1&amp;""[\w &amp;]*, (\d+\.\d+)"")),"""")
"),5300)</f>
        <v>5300</v>
      </c>
      <c r="O42" s="3" t="n">
        <f aca="false">IFERROR(__xludf.dummyfunction("if($T42&lt;&gt;"""",VALUE(REGEXEXTRACT($T42, O$1&amp;""[\w &amp;]*, (\d+\.\d+)"")),"""")
"),5300)</f>
        <v>5300</v>
      </c>
      <c r="P42" s="2" t="n">
        <f aca="false">IFERROR(__xludf.dummyfunction("if($T42&lt;&gt;"""",VALUE(REGEXEXTRACT($T42, P$1&amp;""[\w &amp;]*, (\d+\.\d+)"")),"""")
"),5248.83)</f>
        <v>5248.83</v>
      </c>
      <c r="Q42" s="2" t="n">
        <f aca="false">IFERROR(__xludf.dummyfunction("if($T42&lt;&gt;"""",VALUE(REGEXEXTRACT($T42, Q$1&amp;""[\w &amp;]*, (\d+\.\d+)"")),"""")
"),5234.52)</f>
        <v>5234.52</v>
      </c>
      <c r="R42" s="2" t="n">
        <f aca="false">IFERROR(__xludf.dummyfunction("if($T42&lt;&gt;"""",VALUE(REGEXEXTRACT($T42, SUBSTITUTE(R$1, ""+"", ""\+"")&amp;""[\w &amp;]*, (\d+\.\d+)"")),"""")"),5317.97)</f>
        <v>5317.97</v>
      </c>
      <c r="S42" s="2" t="n">
        <f aca="false">IFERROR(__xludf.dummyfunction("if($T42&lt;&gt;"""",VALUE(REGEXEXTRACT($T42, SUBSTITUTE(S$1, ""+"", ""\+"")&amp;""[\w &amp;]*, (\d+\.\d+)"")),"""")"),5332.28)</f>
        <v>5332.28</v>
      </c>
      <c r="T42" s="5" t="s">
        <v>55</v>
      </c>
      <c r="U42" s="5"/>
    </row>
    <row r="43" customFormat="false" ht="15.75" hidden="false" customHeight="false" outlineLevel="0" collapsed="false">
      <c r="A43" s="4" t="n">
        <f aca="false">IFERROR(__xludf.dummyfunction("""COMPUTED_VALUE"""),45448.6666666667)</f>
        <v>45448.6666666667</v>
      </c>
      <c r="B43" s="2" t="n">
        <f aca="false">IFERROR(__xludf.dummyfunction("""COMPUTED_VALUE"""),5314.48)</f>
        <v>5314.48</v>
      </c>
      <c r="C43" s="2" t="n">
        <f aca="false">IFERROR(__xludf.dummyfunction("""COMPUTED_VALUE"""),5354.16)</f>
        <v>5354.16</v>
      </c>
      <c r="D43" s="2" t="n">
        <f aca="false">IFERROR(__xludf.dummyfunction("""COMPUTED_VALUE"""),5297.64)</f>
        <v>5297.64</v>
      </c>
      <c r="E43" s="2" t="n">
        <f aca="false">IFERROR(__xludf.dummyfunction("""COMPUTED_VALUE"""),5354.03)</f>
        <v>5354.03</v>
      </c>
      <c r="F43" s="3" t="n">
        <f aca="false">IFERROR(__xludf.dummyfunction("if($T43&lt;&gt;"""",VALUE(REGEXEXTRACT(SUBSTITUTE ($T43,F$1&amp;"" CE"",""""), F$1&amp;""[\w &amp;]*, (\d+\.\d+)"")),"""")
"),5300)</f>
        <v>5300</v>
      </c>
      <c r="G43" s="3" t="n">
        <f aca="false">IFERROR(__xludf.dummyfunction("if($T43&lt;&gt;"""",VALUE(REGEXEXTRACT($T43, G$1&amp;""[\w &amp;]*, (\d+\.\d+)"")),"""")
"),5325)</f>
        <v>5325</v>
      </c>
      <c r="H43" s="3" t="n">
        <f aca="false">IFERROR(__xludf.dummyfunction("if($T43&lt;&gt;"""",VALUE(REGEXEXTRACT($T43, H$1&amp;""[\w &amp;]*, (\d+\.\d+)"")),"""")"),5270)</f>
        <v>5270</v>
      </c>
      <c r="I43" s="3" t="n">
        <f aca="false">IFERROR(__xludf.dummyfunction("if($T43&lt;&gt;"""",VALUE(REGEXEXTRACT(SUBSTITUTE ($T43,I$1&amp;"" CE"",""""), I$1&amp;""[\w &amp;]*, (\d+\.\d+)"")),"""")
"),5300)</f>
        <v>5300</v>
      </c>
      <c r="J43" s="3" t="n">
        <f aca="false">IFERROR(__xludf.dummyfunction("if($T43&lt;&gt;"""",VALUE(REGEXEXTRACT($T43, J$1&amp;""[\w &amp;]*, (\d+\.\d+)"")),"""")
"),5265)</f>
        <v>5265</v>
      </c>
      <c r="K43" s="3" t="n">
        <f aca="false">IFERROR(__xludf.dummyfunction("if($T43&lt;&gt;"""",VALUE(REGEXEXTRACT($T43, K$1&amp;""[\w &amp;]*, (\d+\.\d+)"")),"""")
"),5275)</f>
        <v>5275</v>
      </c>
      <c r="L43" s="3" t="n">
        <f aca="false">IFERROR(__xludf.dummyfunction("if($T43&lt;&gt;"""",VALUE(REGEXEXTRACT(SUBSTITUTE ($T43,L$1&amp;"" CE"",""""), L$1&amp;""[\w &amp;]*, (\d+\.\d+)"")),"""")
"),5270)</f>
        <v>5270</v>
      </c>
      <c r="M43" s="3" t="n">
        <f aca="false">IFERROR(__xludf.dummyfunction("if($T43&lt;&gt;"""",VALUE(REGEXEXTRACT($T43, M$1&amp;""[\w &amp;]*, (\d+\.\d+)"")),"""")
"),5275)</f>
        <v>5275</v>
      </c>
      <c r="N43" s="3" t="n">
        <f aca="false">IFERROR(__xludf.dummyfunction("if($T43&lt;&gt;"""",VALUE(REGEXEXTRACT(SUBSTITUTE ($T43,N$1&amp;"" CE"",""""), N$1&amp;""[\w &amp;]*, (\d+\.\d+)"")),"""")
"),5300)</f>
        <v>5300</v>
      </c>
      <c r="O43" s="3" t="n">
        <f aca="false">IFERROR(__xludf.dummyfunction("if($T43&lt;&gt;"""",VALUE(REGEXEXTRACT($T43, O$1&amp;""[\w &amp;]*, (\d+\.\d+)"")),"""")
"),5325)</f>
        <v>5325</v>
      </c>
      <c r="P43" s="2" t="n">
        <f aca="false">IFERROR(__xludf.dummyfunction("if($T43&lt;&gt;"""",VALUE(REGEXEXTRACT($T43, P$1&amp;""[\w &amp;]*, (\d+\.\d+)"")),"""")
"),5257.02)</f>
        <v>5257.02</v>
      </c>
      <c r="Q43" s="2" t="n">
        <f aca="false">IFERROR(__xludf.dummyfunction("if($T43&lt;&gt;"""",VALUE(REGEXEXTRACT($T43, Q$1&amp;""[\w &amp;]*, (\d+\.\d+)"")),"""")
"),5242.8)</f>
        <v>5242.8</v>
      </c>
      <c r="R43" s="2" t="n">
        <f aca="false">IFERROR(__xludf.dummyfunction("if($T43&lt;&gt;"""",VALUE(REGEXEXTRACT($T43, SUBSTITUTE(R$1, ""+"", ""\+"")&amp;""[\w &amp;]*, (\d+\.\d+)"")),"""")"),5325.66)</f>
        <v>5325.66</v>
      </c>
      <c r="S43" s="2" t="n">
        <f aca="false">IFERROR(__xludf.dummyfunction("if($T43&lt;&gt;"""",VALUE(REGEXEXTRACT($T43, SUBSTITUTE(S$1, ""+"", ""\+"")&amp;""[\w &amp;]*, (\d+\.\d+)"")),"""")"),5339.88)</f>
        <v>5339.88</v>
      </c>
      <c r="T43" s="5" t="s">
        <v>56</v>
      </c>
      <c r="U43" s="5"/>
    </row>
    <row r="44" customFormat="false" ht="15.75" hidden="false" customHeight="false" outlineLevel="0" collapsed="false">
      <c r="A44" s="4" t="n">
        <f aca="false">IFERROR(__xludf.dummyfunction("""COMPUTED_VALUE"""),45449.6666666667)</f>
        <v>45449.6666666667</v>
      </c>
      <c r="B44" s="2" t="n">
        <f aca="false">IFERROR(__xludf.dummyfunction("""COMPUTED_VALUE"""),5357.8)</f>
        <v>5357.8</v>
      </c>
      <c r="C44" s="2" t="n">
        <f aca="false">IFERROR(__xludf.dummyfunction("""COMPUTED_VALUE"""),5362.35)</f>
        <v>5362.35</v>
      </c>
      <c r="D44" s="2" t="n">
        <f aca="false">IFERROR(__xludf.dummyfunction("""COMPUTED_VALUE"""),5335.36)</f>
        <v>5335.36</v>
      </c>
      <c r="E44" s="2" t="n">
        <f aca="false">IFERROR(__xludf.dummyfunction("""COMPUTED_VALUE"""),5352.96)</f>
        <v>5352.96</v>
      </c>
      <c r="F44" s="3" t="n">
        <f aca="false">IFERROR(__xludf.dummyfunction("if($T44&lt;&gt;"""",VALUE(REGEXEXTRACT(SUBSTITUTE ($T44,F$1&amp;"" CE"",""""), F$1&amp;""[\w &amp;]*, (\d+\.\d+)"")),"""")
"),5300)</f>
        <v>5300</v>
      </c>
      <c r="G44" s="3" t="n">
        <f aca="false">IFERROR(__xludf.dummyfunction("if($T44&lt;&gt;"""",VALUE(REGEXEXTRACT($T44, G$1&amp;""[\w &amp;]*, (\d+\.\d+)"")),"""")
"),5380)</f>
        <v>5380</v>
      </c>
      <c r="H44" s="3" t="n">
        <f aca="false">IFERROR(__xludf.dummyfunction("if($T44&lt;&gt;"""",VALUE(REGEXEXTRACT($T44, H$1&amp;""[\w &amp;]*, (\d+\.\d+)"")),"""")"),5325)</f>
        <v>5325</v>
      </c>
      <c r="I44" s="3" t="n">
        <f aca="false">IFERROR(__xludf.dummyfunction("if($T44&lt;&gt;"""",VALUE(REGEXEXTRACT(SUBSTITUTE ($T44,I$1&amp;"" CE"",""""), I$1&amp;""[\w &amp;]*, (\d+\.\d+)"")),"""")
"),5300)</f>
        <v>5300</v>
      </c>
      <c r="J44" s="3" t="n">
        <f aca="false">IFERROR(__xludf.dummyfunction("if($T44&lt;&gt;"""",VALUE(REGEXEXTRACT($T44, J$1&amp;""[\w &amp;]*, (\d+\.\d+)"")),"""")
"),5325)</f>
        <v>5325</v>
      </c>
      <c r="K44" s="3" t="n">
        <f aca="false">IFERROR(__xludf.dummyfunction("if($T44&lt;&gt;"""",VALUE(REGEXEXTRACT($T44, K$1&amp;""[\w &amp;]*, (\d+\.\d+)"")),"""")
"),5305)</f>
        <v>5305</v>
      </c>
      <c r="L44" s="3" t="n">
        <f aca="false">IFERROR(__xludf.dummyfunction("if($T44&lt;&gt;"""",VALUE(REGEXEXTRACT(SUBSTITUTE ($T44,L$1&amp;"" CE"",""""), L$1&amp;""[\w &amp;]*, (\d+\.\d+)"")),"""")
"),5325)</f>
        <v>5325</v>
      </c>
      <c r="M44" s="3" t="n">
        <f aca="false">IFERROR(__xludf.dummyfunction("if($T44&lt;&gt;"""",VALUE(REGEXEXTRACT($T44, M$1&amp;""[\w &amp;]*, (\d+\.\d+)"")),"""")
"),5335)</f>
        <v>5335</v>
      </c>
      <c r="N44" s="3" t="n">
        <f aca="false">IFERROR(__xludf.dummyfunction("if($T44&lt;&gt;"""",VALUE(REGEXEXTRACT(SUBSTITUTE ($T44,N$1&amp;"" CE"",""""), N$1&amp;""[\w &amp;]*, (\d+\.\d+)"")),"""")
"),5300)</f>
        <v>5300</v>
      </c>
      <c r="O44" s="3" t="n">
        <f aca="false">IFERROR(__xludf.dummyfunction("if($T44&lt;&gt;"""",VALUE(REGEXEXTRACT($T44, O$1&amp;""[\w &amp;]*, (\d+\.\d+)"")),"""")
"),5380)</f>
        <v>5380</v>
      </c>
      <c r="P44" s="2" t="n">
        <f aca="false">IFERROR(__xludf.dummyfunction("if($T44&lt;&gt;"""",VALUE(REGEXEXTRACT($T44, P$1&amp;""[\w &amp;]*, (\d+\.\d+)"")),"""")
"),5324.53)</f>
        <v>5324.53</v>
      </c>
      <c r="Q44" s="2" t="n">
        <f aca="false">IFERROR(__xludf.dummyfunction("if($T44&lt;&gt;"""",VALUE(REGEXEXTRACT($T44, Q$1&amp;""[\w &amp;]*, (\d+\.\d+)"")),"""")
"),5312.32)</f>
        <v>5312.32</v>
      </c>
      <c r="R44" s="2" t="n">
        <f aca="false">IFERROR(__xludf.dummyfunction("if($T44&lt;&gt;"""",VALUE(REGEXEXTRACT($T44, SUBSTITUTE(R$1, ""+"", ""\+"")&amp;""[\w &amp;]*, (\d+\.\d+)"")),"""")"),5383.53)</f>
        <v>5383.53</v>
      </c>
      <c r="S44" s="2" t="n">
        <f aca="false">IFERROR(__xludf.dummyfunction("if($T44&lt;&gt;"""",VALUE(REGEXEXTRACT($T44, SUBSTITUTE(S$1, ""+"", ""\+"")&amp;""[\w &amp;]*, (\d+\.\d+)"")),"""")"),5395.74)</f>
        <v>5395.74</v>
      </c>
      <c r="T44" s="5" t="s">
        <v>57</v>
      </c>
      <c r="U44" s="5"/>
    </row>
    <row r="45" customFormat="false" ht="15.75" hidden="false" customHeight="false" outlineLevel="0" collapsed="false">
      <c r="A45" s="4" t="n">
        <f aca="false">IFERROR(__xludf.dummyfunction("""COMPUTED_VALUE"""),45450.6666666667)</f>
        <v>45450.6666666667</v>
      </c>
      <c r="B45" s="2" t="n">
        <f aca="false">IFERROR(__xludf.dummyfunction("""COMPUTED_VALUE"""),5343.81)</f>
        <v>5343.81</v>
      </c>
      <c r="C45" s="2" t="n">
        <f aca="false">IFERROR(__xludf.dummyfunction("""COMPUTED_VALUE"""),5375.08)</f>
        <v>5375.08</v>
      </c>
      <c r="D45" s="2" t="n">
        <f aca="false">IFERROR(__xludf.dummyfunction("""COMPUTED_VALUE"""),5331.33)</f>
        <v>5331.33</v>
      </c>
      <c r="E45" s="2" t="n">
        <f aca="false">IFERROR(__xludf.dummyfunction("""COMPUTED_VALUE"""),5346.99)</f>
        <v>5346.99</v>
      </c>
      <c r="F45" s="3" t="n">
        <f aca="false">IFERROR(__xludf.dummyfunction("if($T45&lt;&gt;"""",VALUE(REGEXEXTRACT(SUBSTITUTE ($T45,F$1&amp;"" CE"",""""), F$1&amp;""[\w &amp;]*, (\d+\.\d+)"")),"""")
"),5300)</f>
        <v>5300</v>
      </c>
      <c r="G45" s="3" t="n">
        <f aca="false">IFERROR(__xludf.dummyfunction("if($T45&lt;&gt;"""",VALUE(REGEXEXTRACT($T45, G$1&amp;""[\w &amp;]*, (\d+\.\d+)"")),"""")
"),5375)</f>
        <v>5375</v>
      </c>
      <c r="H45" s="3" t="n">
        <f aca="false">IFERROR(__xludf.dummyfunction("if($T45&lt;&gt;"""",VALUE(REGEXEXTRACT($T45, H$1&amp;""[\w &amp;]*, (\d+\.\d+)"")),"""")"),5325)</f>
        <v>5325</v>
      </c>
      <c r="I45" s="3" t="n">
        <f aca="false">IFERROR(__xludf.dummyfunction("if($T45&lt;&gt;"""",VALUE(REGEXEXTRACT(SUBSTITUTE ($T45,I$1&amp;"" CE"",""""), I$1&amp;""[\w &amp;]*, (\d+\.\d+)"")),"""")
"),5300)</f>
        <v>5300</v>
      </c>
      <c r="J45" s="3" t="n">
        <f aca="false">IFERROR(__xludf.dummyfunction("if($T45&lt;&gt;"""",VALUE(REGEXEXTRACT($T45, J$1&amp;""[\w &amp;]*, (\d+\.\d+)"")),"""")
"),5325)</f>
        <v>5325</v>
      </c>
      <c r="K45" s="3" t="n">
        <f aca="false">IFERROR(__xludf.dummyfunction("if($T45&lt;&gt;"""",VALUE(REGEXEXTRACT($T45, K$1&amp;""[\w &amp;]*, (\d+\.\d+)"")),"""")
"),5305)</f>
        <v>5305</v>
      </c>
      <c r="L45" s="3" t="n">
        <f aca="false">IFERROR(__xludf.dummyfunction("if($T45&lt;&gt;"""",VALUE(REGEXEXTRACT(SUBSTITUTE ($T45,L$1&amp;"" CE"",""""), L$1&amp;""[\w &amp;]*, (\d+\.\d+)"")),"""")
"),5325)</f>
        <v>5325</v>
      </c>
      <c r="M45" s="3" t="n">
        <f aca="false">IFERROR(__xludf.dummyfunction("if($T45&lt;&gt;"""",VALUE(REGEXEXTRACT($T45, M$1&amp;""[\w &amp;]*, (\d+\.\d+)"")),"""")
"),5330)</f>
        <v>5330</v>
      </c>
      <c r="N45" s="3" t="n">
        <f aca="false">IFERROR(__xludf.dummyfunction("if($T45&lt;&gt;"""",VALUE(REGEXEXTRACT(SUBSTITUTE ($T45,N$1&amp;"" CE"",""""), N$1&amp;""[\w &amp;]*, (\d+\.\d+)"")),"""")
"),5300)</f>
        <v>5300</v>
      </c>
      <c r="O45" s="3" t="n">
        <f aca="false">IFERROR(__xludf.dummyfunction("if($T45&lt;&gt;"""",VALUE(REGEXEXTRACT($T45, O$1&amp;""[\w &amp;]*, (\d+\.\d+)"")),"""")
"),5300)</f>
        <v>5300</v>
      </c>
      <c r="P45" s="2" t="n">
        <f aca="false">IFERROR(__xludf.dummyfunction("if($T45&lt;&gt;"""",VALUE(REGEXEXTRACT($T45, P$1&amp;""[\w &amp;]*, (\d+\.\d+)"")),"""")
"),5320.28)</f>
        <v>5320.28</v>
      </c>
      <c r="Q45" s="2" t="n">
        <f aca="false">IFERROR(__xludf.dummyfunction("if($T45&lt;&gt;"""",VALUE(REGEXEXTRACT($T45, Q$1&amp;""[\w &amp;]*, (\d+\.\d+)"")),"""")
"),5287.6)</f>
        <v>5287.6</v>
      </c>
      <c r="R45" s="2" t="n">
        <f aca="false">IFERROR(__xludf.dummyfunction("if($T45&lt;&gt;"""",VALUE(REGEXEXTRACT($T45, SUBSTITUTE(R$1, ""+"", ""\+"")&amp;""[\w &amp;]*, (\d+\.\d+)"")),"""")"),5385.64)</f>
        <v>5385.64</v>
      </c>
      <c r="S45" s="2" t="n">
        <f aca="false">IFERROR(__xludf.dummyfunction("if($T45&lt;&gt;"""",VALUE(REGEXEXTRACT($T45, SUBSTITUTE(S$1, ""+"", ""\+"")&amp;""[\w &amp;]*, (\d+\.\d+)"")),"""")"),5418.32)</f>
        <v>5418.32</v>
      </c>
      <c r="T45" s="5" t="s">
        <v>58</v>
      </c>
      <c r="U45" s="5"/>
    </row>
    <row r="46" customFormat="false" ht="15.75" hidden="false" customHeight="false" outlineLevel="0" collapsed="false">
      <c r="A46" s="4" t="n">
        <f aca="false">IFERROR(__xludf.dummyfunction("""COMPUTED_VALUE"""),45453.6666666667)</f>
        <v>45453.6666666667</v>
      </c>
      <c r="B46" s="2" t="n">
        <f aca="false">IFERROR(__xludf.dummyfunction("""COMPUTED_VALUE"""),5341.22)</f>
        <v>5341.22</v>
      </c>
      <c r="C46" s="2" t="n">
        <f aca="false">IFERROR(__xludf.dummyfunction("""COMPUTED_VALUE"""),5365.79)</f>
        <v>5365.79</v>
      </c>
      <c r="D46" s="2" t="n">
        <f aca="false">IFERROR(__xludf.dummyfunction("""COMPUTED_VALUE"""),5331.52)</f>
        <v>5331.52</v>
      </c>
      <c r="E46" s="2" t="n">
        <f aca="false">IFERROR(__xludf.dummyfunction("""COMPUTED_VALUE"""),5360.79)</f>
        <v>5360.79</v>
      </c>
      <c r="F46" s="3" t="n">
        <f aca="false">IFERROR(__xludf.dummyfunction("if($T46&lt;&gt;"""",VALUE(REGEXEXTRACT(SUBSTITUTE ($T46,F$1&amp;"" CE"",""""), F$1&amp;""[\w &amp;]*, (\d+\.\d+)"")),"""")
"),5300)</f>
        <v>5300</v>
      </c>
      <c r="G46" s="3" t="n">
        <f aca="false">IFERROR(__xludf.dummyfunction("if($T46&lt;&gt;"""",VALUE(REGEXEXTRACT($T46, G$1&amp;""[\w &amp;]*, (\d+\.\d+)"")),"""")
"),5350)</f>
        <v>5350</v>
      </c>
      <c r="H46" s="3" t="n">
        <f aca="false">IFERROR(__xludf.dummyfunction("if($T46&lt;&gt;"""",VALUE(REGEXEXTRACT($T46, H$1&amp;""[\w &amp;]*, (\d+\.\d+)"")),"""")"),5345)</f>
        <v>5345</v>
      </c>
      <c r="I46" s="3" t="n">
        <f aca="false">IFERROR(__xludf.dummyfunction("if($T46&lt;&gt;"""",VALUE(REGEXEXTRACT(SUBSTITUTE ($T46,I$1&amp;"" CE"",""""), I$1&amp;""[\w &amp;]*, (\d+\.\d+)"")),"""")
"),5300)</f>
        <v>5300</v>
      </c>
      <c r="J46" s="3" t="n">
        <f aca="false">IFERROR(__xludf.dummyfunction("if($T46&lt;&gt;"""",VALUE(REGEXEXTRACT($T46, J$1&amp;""[\w &amp;]*, (\d+\.\d+)"")),"""")
"),5325)</f>
        <v>5325</v>
      </c>
      <c r="K46" s="3" t="n">
        <f aca="false">IFERROR(__xludf.dummyfunction("if($T46&lt;&gt;"""",VALUE(REGEXEXTRACT($T46, K$1&amp;""[\w &amp;]*, (\d+\.\d+)"")),"""")
"),5305)</f>
        <v>5305</v>
      </c>
      <c r="L46" s="3" t="n">
        <f aca="false">IFERROR(__xludf.dummyfunction("if($T46&lt;&gt;"""",VALUE(REGEXEXTRACT(SUBSTITUTE ($T46,L$1&amp;"" CE"",""""), L$1&amp;""[\w &amp;]*, (\d+\.\d+)"")),"""")
"),5345)</f>
        <v>5345</v>
      </c>
      <c r="M46" s="3" t="n">
        <f aca="false">IFERROR(__xludf.dummyfunction("if($T46&lt;&gt;"""",VALUE(REGEXEXTRACT($T46, M$1&amp;""[\w &amp;]*, (\d+\.\d+)"")),"""")
"),5345)</f>
        <v>5345</v>
      </c>
      <c r="N46" s="3" t="n">
        <f aca="false">IFERROR(__xludf.dummyfunction("if($T46&lt;&gt;"""",VALUE(REGEXEXTRACT(SUBSTITUTE ($T46,N$1&amp;"" CE"",""""), N$1&amp;""[\w &amp;]*, (\d+\.\d+)"")),"""")
"),5300)</f>
        <v>5300</v>
      </c>
      <c r="O46" s="3" t="n">
        <f aca="false">IFERROR(__xludf.dummyfunction("if($T46&lt;&gt;"""",VALUE(REGEXEXTRACT($T46, O$1&amp;""[\w &amp;]*, (\d+\.\d+)"")),"""")
"),5350)</f>
        <v>5350</v>
      </c>
      <c r="P46" s="2" t="n">
        <f aca="false">IFERROR(__xludf.dummyfunction("if($T46&lt;&gt;"""",VALUE(REGEXEXTRACT($T46, P$1&amp;""[\w &amp;]*, (\d+\.\d+)"")),"""")
"),5313.11)</f>
        <v>5313.11</v>
      </c>
      <c r="Q46" s="2" t="n">
        <f aca="false">IFERROR(__xludf.dummyfunction("if($T46&lt;&gt;"""",VALUE(REGEXEXTRACT($T46, Q$1&amp;""[\w &amp;]*, (\d+\.\d+)"")),"""")
"),5299.07)</f>
        <v>5299.07</v>
      </c>
      <c r="R46" s="2" t="n">
        <f aca="false">IFERROR(__xludf.dummyfunction("if($T46&lt;&gt;"""",VALUE(REGEXEXTRACT($T46, SUBSTITUTE(R$1, ""+"", ""\+"")&amp;""[\w &amp;]*, (\d+\.\d+)"")),"""")"),5380.87)</f>
        <v>5380.87</v>
      </c>
      <c r="S46" s="2" t="n">
        <f aca="false">IFERROR(__xludf.dummyfunction("if($T46&lt;&gt;"""",VALUE(REGEXEXTRACT($T46, SUBSTITUTE(S$1, ""+"", ""\+"")&amp;""[\w &amp;]*, (\d+\.\d+)"")),"""")"),5394.91)</f>
        <v>5394.91</v>
      </c>
      <c r="T46" s="5" t="s">
        <v>59</v>
      </c>
      <c r="U46" s="5"/>
    </row>
    <row r="47" customFormat="false" ht="15.75" hidden="false" customHeight="false" outlineLevel="0" collapsed="false">
      <c r="A47" s="4" t="n">
        <f aca="false">IFERROR(__xludf.dummyfunction("""COMPUTED_VALUE"""),45454.6666666667)</f>
        <v>45454.6666666667</v>
      </c>
      <c r="B47" s="2" t="n">
        <f aca="false">IFERROR(__xludf.dummyfunction("""COMPUTED_VALUE"""),5353)</f>
        <v>5353</v>
      </c>
      <c r="C47" s="2" t="n">
        <f aca="false">IFERROR(__xludf.dummyfunction("""COMPUTED_VALUE"""),5375.95)</f>
        <v>5375.95</v>
      </c>
      <c r="D47" s="2" t="n">
        <f aca="false">IFERROR(__xludf.dummyfunction("""COMPUTED_VALUE"""),5327.25)</f>
        <v>5327.25</v>
      </c>
      <c r="E47" s="2" t="n">
        <f aca="false">IFERROR(__xludf.dummyfunction("""COMPUTED_VALUE"""),5375.32)</f>
        <v>5375.32</v>
      </c>
      <c r="F47" s="3" t="n">
        <f aca="false">IFERROR(__xludf.dummyfunction("if($T47&lt;&gt;"""",VALUE(REGEXEXTRACT(SUBSTITUTE ($T47,F$1&amp;"" CE"",""""), F$1&amp;""[\w &amp;]*, (\d+\.\d+)"")),"""")
"),5300)</f>
        <v>5300</v>
      </c>
      <c r="G47" s="3" t="n">
        <f aca="false">IFERROR(__xludf.dummyfunction("if($T47&lt;&gt;"""",VALUE(REGEXEXTRACT($T47, G$1&amp;""[\w &amp;]*, (\d+\.\d+)"")),"""")
"),5380)</f>
        <v>5380</v>
      </c>
      <c r="H47" s="3" t="n">
        <f aca="false">IFERROR(__xludf.dummyfunction("if($T47&lt;&gt;"""",VALUE(REGEXEXTRACT($T47, H$1&amp;""[\w &amp;]*, (\d+\.\d+)"")),"""")"),5345)</f>
        <v>5345</v>
      </c>
      <c r="I47" s="3" t="n">
        <f aca="false">IFERROR(__xludf.dummyfunction("if($T47&lt;&gt;"""",VALUE(REGEXEXTRACT(SUBSTITUTE ($T47,I$1&amp;"" CE"",""""), I$1&amp;""[\w &amp;]*, (\d+\.\d+)"")),"""")
"),5300)</f>
        <v>5300</v>
      </c>
      <c r="J47" s="3" t="n">
        <f aca="false">IFERROR(__xludf.dummyfunction("if($T47&lt;&gt;"""",VALUE(REGEXEXTRACT($T47, J$1&amp;""[\w &amp;]*, (\d+\.\d+)"")),"""")
"),5340)</f>
        <v>5340</v>
      </c>
      <c r="K47" s="3" t="n">
        <f aca="false">IFERROR(__xludf.dummyfunction("if($T47&lt;&gt;"""",VALUE(REGEXEXTRACT($T47, K$1&amp;""[\w &amp;]*, (\d+\.\d+)"")),"""")
"),5305)</f>
        <v>5305</v>
      </c>
      <c r="L47" s="3" t="n">
        <f aca="false">IFERROR(__xludf.dummyfunction("if($T47&lt;&gt;"""",VALUE(REGEXEXTRACT(SUBSTITUTE ($T47,L$1&amp;"" CE"",""""), L$1&amp;""[\w &amp;]*, (\d+\.\d+)"")),"""")
"),5345)</f>
        <v>5345</v>
      </c>
      <c r="M47" s="3" t="n">
        <f aca="false">IFERROR(__xludf.dummyfunction("if($T47&lt;&gt;"""",VALUE(REGEXEXTRACT($T47, M$1&amp;""[\w &amp;]*, (\d+\.\d+)"")),"""")
"),5355)</f>
        <v>5355</v>
      </c>
      <c r="N47" s="3" t="n">
        <f aca="false">IFERROR(__xludf.dummyfunction("if($T47&lt;&gt;"""",VALUE(REGEXEXTRACT(SUBSTITUTE ($T47,N$1&amp;"" CE"",""""), N$1&amp;""[\w &amp;]*, (\d+\.\d+)"")),"""")
"),5300)</f>
        <v>5300</v>
      </c>
      <c r="O47" s="3" t="n">
        <f aca="false">IFERROR(__xludf.dummyfunction("if($T47&lt;&gt;"""",VALUE(REGEXEXTRACT($T47, O$1&amp;""[\w &amp;]*, (\d+\.\d+)"")),"""")
"),5350)</f>
        <v>5350</v>
      </c>
      <c r="P47" s="2" t="n">
        <f aca="false">IFERROR(__xludf.dummyfunction("if($T47&lt;&gt;"""",VALUE(REGEXEXTRACT($T47, P$1&amp;""[\w &amp;]*, (\d+\.\d+)"")),"""")
"),5326.01)</f>
        <v>5326.01</v>
      </c>
      <c r="Q47" s="2" t="n">
        <f aca="false">IFERROR(__xludf.dummyfunction("if($T47&lt;&gt;"""",VALUE(REGEXEXTRACT($T47, Q$1&amp;""[\w &amp;]*, (\d+\.\d+)"")),"""")
"),5311.61)</f>
        <v>5311.61</v>
      </c>
      <c r="R47" s="2" t="n">
        <f aca="false">IFERROR(__xludf.dummyfunction("if($T47&lt;&gt;"""",VALUE(REGEXEXTRACT($T47, SUBSTITUTE(R$1, ""+"", ""\+"")&amp;""[\w &amp;]*, (\d+\.\d+)"")),"""")"),5395.57)</f>
        <v>5395.57</v>
      </c>
      <c r="S47" s="2" t="n">
        <f aca="false">IFERROR(__xludf.dummyfunction("if($T47&lt;&gt;"""",VALUE(REGEXEXTRACT($T47, SUBSTITUTE(S$1, ""+"", ""\+"")&amp;""[\w &amp;]*, (\d+\.\d+)"")),"""")"),5409.97)</f>
        <v>5409.97</v>
      </c>
      <c r="T47" s="5" t="s">
        <v>60</v>
      </c>
      <c r="U47" s="5"/>
    </row>
    <row r="48" customFormat="false" ht="15.75" hidden="false" customHeight="false" outlineLevel="0" collapsed="false">
      <c r="A48" s="4" t="n">
        <f aca="false">IFERROR(__xludf.dummyfunction("""COMPUTED_VALUE"""),45455.6666666667)</f>
        <v>45455.6666666667</v>
      </c>
      <c r="B48" s="2" t="n">
        <f aca="false">IFERROR(__xludf.dummyfunction("""COMPUTED_VALUE"""),5409.13)</f>
        <v>5409.13</v>
      </c>
      <c r="C48" s="2" t="n">
        <f aca="false">IFERROR(__xludf.dummyfunction("""COMPUTED_VALUE"""),5447.25)</f>
        <v>5447.25</v>
      </c>
      <c r="D48" s="2" t="n">
        <f aca="false">IFERROR(__xludf.dummyfunction("""COMPUTED_VALUE"""),5409.13)</f>
        <v>5409.13</v>
      </c>
      <c r="E48" s="2" t="n">
        <f aca="false">IFERROR(__xludf.dummyfunction("""COMPUTED_VALUE"""),5421.03)</f>
        <v>5421.03</v>
      </c>
      <c r="F48" s="3" t="n">
        <f aca="false">IFERROR(__xludf.dummyfunction("if($T48&lt;&gt;"""",VALUE(REGEXEXTRACT(SUBSTITUTE ($T48,F$1&amp;"" CE"",""""), F$1&amp;""[\w &amp;]*, (\d+\.\d+)"")),"""")
"),5300)</f>
        <v>5300</v>
      </c>
      <c r="G48" s="3" t="n">
        <f aca="false">IFERROR(__xludf.dummyfunction("if($T48&lt;&gt;"""",VALUE(REGEXEXTRACT($T48, G$1&amp;""[\w &amp;]*, (\d+\.\d+)"")),"""")
"),5450)</f>
        <v>5450</v>
      </c>
      <c r="H48" s="3" t="n">
        <f aca="false">IFERROR(__xludf.dummyfunction("if($T48&lt;&gt;"""",VALUE(REGEXEXTRACT($T48, H$1&amp;""[\w &amp;]*, (\d+\.\d+)"")),"""")"),5345)</f>
        <v>5345</v>
      </c>
      <c r="I48" s="3" t="n">
        <f aca="false">IFERROR(__xludf.dummyfunction("if($T48&lt;&gt;"""",VALUE(REGEXEXTRACT(SUBSTITUTE ($T48,I$1&amp;"" CE"",""""), I$1&amp;""[\w &amp;]*, (\d+\.\d+)"")),"""")
"),5300)</f>
        <v>5300</v>
      </c>
      <c r="J48" s="3" t="n">
        <f aca="false">IFERROR(__xludf.dummyfunction("if($T48&lt;&gt;"""",VALUE(REGEXEXTRACT($T48, J$1&amp;""[\w &amp;]*, (\d+\.\d+)"")),"""")
"),5325)</f>
        <v>5325</v>
      </c>
      <c r="K48" s="3" t="n">
        <f aca="false">IFERROR(__xludf.dummyfunction("if($T48&lt;&gt;"""",VALUE(REGEXEXTRACT($T48, K$1&amp;""[\w &amp;]*, (\d+\.\d+)"")),"""")
"),5305)</f>
        <v>5305</v>
      </c>
      <c r="L48" s="3" t="n">
        <f aca="false">IFERROR(__xludf.dummyfunction("if($T48&lt;&gt;"""",VALUE(REGEXEXTRACT(SUBSTITUTE ($T48,L$1&amp;"" CE"",""""), L$1&amp;""[\w &amp;]*, (\d+\.\d+)"")),"""")
"),5345)</f>
        <v>5345</v>
      </c>
      <c r="M48" s="3" t="n">
        <f aca="false">IFERROR(__xludf.dummyfunction("if($T48&lt;&gt;"""",VALUE(REGEXEXTRACT($T48, M$1&amp;""[\w &amp;]*, (\d+\.\d+)"")),"""")
"),5350)</f>
        <v>5350</v>
      </c>
      <c r="N48" s="3" t="n">
        <f aca="false">IFERROR(__xludf.dummyfunction("if($T48&lt;&gt;"""",VALUE(REGEXEXTRACT(SUBSTITUTE ($T48,N$1&amp;"" CE"",""""), N$1&amp;""[\w &amp;]*, (\d+\.\d+)"")),"""")
"),5300)</f>
        <v>5300</v>
      </c>
      <c r="O48" s="3" t="n">
        <f aca="false">IFERROR(__xludf.dummyfunction("if($T48&lt;&gt;"""",VALUE(REGEXEXTRACT($T48, O$1&amp;""[\w &amp;]*, (\d+\.\d+)"")),"""")
"),5350)</f>
        <v>5350</v>
      </c>
      <c r="P48" s="2" t="n">
        <f aca="false">IFERROR(__xludf.dummyfunction("if($T48&lt;&gt;"""",VALUE(REGEXEXTRACT($T48, P$1&amp;""[\w &amp;]*, (\d+\.\d+)"")),"""")
"),5340.07)</f>
        <v>5340.07</v>
      </c>
      <c r="Q48" s="2" t="n">
        <f aca="false">IFERROR(__xludf.dummyfunction("if($T48&lt;&gt;"""",VALUE(REGEXEXTRACT($T48, Q$1&amp;""[\w &amp;]*, (\d+\.\d+)"")),"""")
"),5325.47)</f>
        <v>5325.47</v>
      </c>
      <c r="R48" s="2" t="n">
        <f aca="false">IFERROR(__xludf.dummyfunction("if($T48&lt;&gt;"""",VALUE(REGEXEXTRACT($T48, SUBSTITUTE(R$1, ""+"", ""\+"")&amp;""[\w &amp;]*, (\d+\.\d+)"")),"""")"),5410.57)</f>
        <v>5410.57</v>
      </c>
      <c r="S48" s="2" t="n">
        <f aca="false">IFERROR(__xludf.dummyfunction("if($T48&lt;&gt;"""",VALUE(REGEXEXTRACT($T48, SUBSTITUTE(S$1, ""+"", ""\+"")&amp;""[\w &amp;]*, (\d+\.\d+)"")),"""")"),5425.17)</f>
        <v>5425.17</v>
      </c>
      <c r="T48" s="5" t="s">
        <v>61</v>
      </c>
      <c r="U48" s="5"/>
    </row>
    <row r="49" customFormat="false" ht="15.75" hidden="false" customHeight="false" outlineLevel="0" collapsed="false">
      <c r="A49" s="4" t="n">
        <f aca="false">IFERROR(__xludf.dummyfunction("""COMPUTED_VALUE"""),45456.6666666667)</f>
        <v>45456.6666666667</v>
      </c>
      <c r="B49" s="2" t="n">
        <f aca="false">IFERROR(__xludf.dummyfunction("""COMPUTED_VALUE"""),5441.93)</f>
        <v>5441.93</v>
      </c>
      <c r="C49" s="2" t="n">
        <f aca="false">IFERROR(__xludf.dummyfunction("""COMPUTED_VALUE"""),5441.93)</f>
        <v>5441.93</v>
      </c>
      <c r="D49" s="2" t="n">
        <f aca="false">IFERROR(__xludf.dummyfunction("""COMPUTED_VALUE"""),5402.51)</f>
        <v>5402.51</v>
      </c>
      <c r="E49" s="2" t="n">
        <f aca="false">IFERROR(__xludf.dummyfunction("""COMPUTED_VALUE"""),5433.74)</f>
        <v>5433.74</v>
      </c>
      <c r="F49" s="3" t="n">
        <f aca="false">IFERROR(__xludf.dummyfunction("if($T49&lt;&gt;"""",VALUE(REGEXEXTRACT(SUBSTITUTE ($T49,F$1&amp;"" CE"",""""), F$1&amp;""[\w &amp;]*, (\d+\.\d+)"")),"""")
"),5300)</f>
        <v>5300</v>
      </c>
      <c r="G49" s="3" t="n">
        <f aca="false">IFERROR(__xludf.dummyfunction("if($T49&lt;&gt;"""",VALUE(REGEXEXTRACT($T49, G$1&amp;""[\w &amp;]*, (\d+\.\d+)"")),"""")
"),5430)</f>
        <v>5430</v>
      </c>
      <c r="H49" s="3" t="n">
        <f aca="false">IFERROR(__xludf.dummyfunction("if($T49&lt;&gt;"""",VALUE(REGEXEXTRACT($T49, H$1&amp;""[\w &amp;]*, (\d+\.\d+)"")),"""")"),5395)</f>
        <v>5395</v>
      </c>
      <c r="I49" s="3" t="n">
        <f aca="false">IFERROR(__xludf.dummyfunction("if($T49&lt;&gt;"""",VALUE(REGEXEXTRACT(SUBSTITUTE ($T49,I$1&amp;"" CE"",""""), I$1&amp;""[\w &amp;]*, (\d+\.\d+)"")),"""")
"),5300)</f>
        <v>5300</v>
      </c>
      <c r="J49" s="3" t="n">
        <f aca="false">IFERROR(__xludf.dummyfunction("if($T49&lt;&gt;"""",VALUE(REGEXEXTRACT($T49, J$1&amp;""[\w &amp;]*, (\d+\.\d+)"")),"""")
"),5395)</f>
        <v>5395</v>
      </c>
      <c r="K49" s="3" t="n">
        <f aca="false">IFERROR(__xludf.dummyfunction("if($T49&lt;&gt;"""",VALUE(REGEXEXTRACT($T49, K$1&amp;""[\w &amp;]*, (\d+\.\d+)"")),"""")
"),4400)</f>
        <v>4400</v>
      </c>
      <c r="L49" s="3" t="n">
        <f aca="false">IFERROR(__xludf.dummyfunction("if($T49&lt;&gt;"""",VALUE(REGEXEXTRACT(SUBSTITUTE ($T49,L$1&amp;"" CE"",""""), L$1&amp;""[\w &amp;]*, (\d+\.\d+)"")),"""")
"),5315)</f>
        <v>5315</v>
      </c>
      <c r="M49" s="3" t="n">
        <f aca="false">IFERROR(__xludf.dummyfunction("if($T49&lt;&gt;"""",VALUE(REGEXEXTRACT($T49, M$1&amp;""[\w &amp;]*, (\d+\.\d+)"")),"""")
"),5425)</f>
        <v>5425</v>
      </c>
      <c r="N49" s="3" t="n">
        <f aca="false">IFERROR(__xludf.dummyfunction("if($T49&lt;&gt;"""",VALUE(REGEXEXTRACT(SUBSTITUTE ($T49,N$1&amp;"" CE"",""""), N$1&amp;""[\w &amp;]*, (\d+\.\d+)"")),"""")
"),5400)</f>
        <v>5400</v>
      </c>
      <c r="O49" s="3" t="n">
        <f aca="false">IFERROR(__xludf.dummyfunction("if($T49&lt;&gt;"""",VALUE(REGEXEXTRACT($T49, O$1&amp;""[\w &amp;]*, (\d+\.\d+)"")),"""")
"),5430)</f>
        <v>5430</v>
      </c>
      <c r="P49" s="2" t="n">
        <f aca="false">IFERROR(__xludf.dummyfunction("if($T49&lt;&gt;"""",VALUE(REGEXEXTRACT($T49, P$1&amp;""[\w &amp;]*, (\d+\.\d+)"")),"""")
"),5391.97)</f>
        <v>5391.97</v>
      </c>
      <c r="Q49" s="2" t="n">
        <f aca="false">IFERROR(__xludf.dummyfunction("if($T49&lt;&gt;"""",VALUE(REGEXEXTRACT($T49, Q$1&amp;""[\w &amp;]*, (\d+\.\d+)"")),"""")
"),5379.93)</f>
        <v>5379.93</v>
      </c>
      <c r="R49" s="2" t="n">
        <f aca="false">IFERROR(__xludf.dummyfunction("if($T49&lt;&gt;"""",VALUE(REGEXEXTRACT($T49, SUBSTITUTE(R$1, ""+"", ""\+"")&amp;""[\w &amp;]*, (\d+\.\d+)"")),"""")"),5450.09)</f>
        <v>5450.09</v>
      </c>
      <c r="S49" s="2" t="n">
        <f aca="false">IFERROR(__xludf.dummyfunction("if($T49&lt;&gt;"""",VALUE(REGEXEXTRACT($T49, SUBSTITUTE(S$1, ""+"", ""\+"")&amp;""[\w &amp;]*, (\d+\.\d+)"")),"""")"),5462.13)</f>
        <v>5462.13</v>
      </c>
      <c r="T49" s="5" t="s">
        <v>62</v>
      </c>
      <c r="U49" s="5"/>
    </row>
    <row r="50" customFormat="false" ht="15.75" hidden="false" customHeight="false" outlineLevel="0" collapsed="false">
      <c r="A50" s="4" t="n">
        <f aca="false">IFERROR(__xludf.dummyfunction("""COMPUTED_VALUE"""),45457.6666666667)</f>
        <v>45457.6666666667</v>
      </c>
      <c r="B50" s="2" t="n">
        <f aca="false">IFERROR(__xludf.dummyfunction("""COMPUTED_VALUE"""),5424.08)</f>
        <v>5424.08</v>
      </c>
      <c r="C50" s="2" t="n">
        <f aca="false">IFERROR(__xludf.dummyfunction("""COMPUTED_VALUE"""),5432.39)</f>
        <v>5432.39</v>
      </c>
      <c r="D50" s="2" t="n">
        <f aca="false">IFERROR(__xludf.dummyfunction("""COMPUTED_VALUE"""),5403.75)</f>
        <v>5403.75</v>
      </c>
      <c r="E50" s="2" t="n">
        <f aca="false">IFERROR(__xludf.dummyfunction("""COMPUTED_VALUE"""),5431.6)</f>
        <v>5431.6</v>
      </c>
      <c r="F50" s="3" t="n">
        <f aca="false">IFERROR(__xludf.dummyfunction("if($T50&lt;&gt;"""",VALUE(REGEXEXTRACT(SUBSTITUTE ($T50,F$1&amp;"" CE"",""""), F$1&amp;""[\w &amp;]*, (\d+\.\d+)"")),"""")
"),5300)</f>
        <v>5300</v>
      </c>
      <c r="G50" s="3" t="n">
        <f aca="false">IFERROR(__xludf.dummyfunction("if($T50&lt;&gt;"""",VALUE(REGEXEXTRACT($T50, G$1&amp;""[\w &amp;]*, (\d+\.\d+)"")),"""")
"),5450)</f>
        <v>5450</v>
      </c>
      <c r="H50" s="3" t="n">
        <f aca="false">IFERROR(__xludf.dummyfunction("if($T50&lt;&gt;"""",VALUE(REGEXEXTRACT($T50, H$1&amp;""[\w &amp;]*, (\d+\.\d+)"")),"""")"),6025)</f>
        <v>6025</v>
      </c>
      <c r="I50" s="3" t="n">
        <f aca="false">IFERROR(__xludf.dummyfunction("if($T50&lt;&gt;"""",VALUE(REGEXEXTRACT(SUBSTITUTE ($T50,I$1&amp;"" CE"",""""), I$1&amp;""[\w &amp;]*, (\d+\.\d+)"")),"""")
"),5300)</f>
        <v>5300</v>
      </c>
      <c r="J50" s="3" t="n">
        <f aca="false">IFERROR(__xludf.dummyfunction("if($T50&lt;&gt;"""",VALUE(REGEXEXTRACT($T50, J$1&amp;""[\w &amp;]*, (\d+\.\d+)"")),"""")
"),5410)</f>
        <v>5410</v>
      </c>
      <c r="K50" s="3" t="n">
        <f aca="false">IFERROR(__xludf.dummyfunction("if($T50&lt;&gt;"""",VALUE(REGEXEXTRACT($T50, K$1&amp;""[\w &amp;]*, (\d+\.\d+)"")),"""")
"),5305)</f>
        <v>5305</v>
      </c>
      <c r="L50" s="3" t="n">
        <f aca="false">IFERROR(__xludf.dummyfunction("if($T50&lt;&gt;"""",VALUE(REGEXEXTRACT(SUBSTITUTE ($T50,L$1&amp;"" CE"",""""), L$1&amp;""[\w &amp;]*, (\d+\.\d+)"")),"""")
"),5365)</f>
        <v>5365</v>
      </c>
      <c r="M50" s="3" t="n">
        <f aca="false">IFERROR(__xludf.dummyfunction("if($T50&lt;&gt;"""",VALUE(REGEXEXTRACT($T50, M$1&amp;""[\w &amp;]*, (\d+\.\d+)"")),"""")
"),5420)</f>
        <v>5420</v>
      </c>
      <c r="N50" s="3" t="n">
        <f aca="false">IFERROR(__xludf.dummyfunction("if($T50&lt;&gt;"""",VALUE(REGEXEXTRACT(SUBSTITUTE ($T50,N$1&amp;"" CE"",""""), N$1&amp;""[\w &amp;]*, (\d+\.\d+)"")),"""")
"),5400)</f>
        <v>5400</v>
      </c>
      <c r="O50" s="3" t="n">
        <f aca="false">IFERROR(__xludf.dummyfunction("if($T50&lt;&gt;"""",VALUE(REGEXEXTRACT($T50, O$1&amp;""[\w &amp;]*, (\d+\.\d+)"")),"""")
"),5400)</f>
        <v>5400</v>
      </c>
      <c r="P50" s="2" t="n">
        <f aca="false">IFERROR(__xludf.dummyfunction("if($T50&lt;&gt;"""",VALUE(REGEXEXTRACT($T50, P$1&amp;""[\w &amp;]*, (\d+\.\d+)"")),"""")
"),5403.99)</f>
        <v>5403.99</v>
      </c>
      <c r="Q50" s="2" t="n">
        <f aca="false">IFERROR(__xludf.dummyfunction("if($T50&lt;&gt;"""",VALUE(REGEXEXTRACT($T50, Q$1&amp;""[\w &amp;]*, (\d+\.\d+)"")),"""")
"),5374.25)</f>
        <v>5374.25</v>
      </c>
      <c r="R50" s="2" t="n">
        <f aca="false">IFERROR(__xludf.dummyfunction("if($T50&lt;&gt;"""",VALUE(REGEXEXTRACT($T50, SUBSTITUTE(R$1, ""+"", ""\+"")&amp;""[\w &amp;]*, (\d+\.\d+)"")),"""")"),5463.49)</f>
        <v>5463.49</v>
      </c>
      <c r="S50" s="2" t="n">
        <f aca="false">IFERROR(__xludf.dummyfunction("if($T50&lt;&gt;"""",VALUE(REGEXEXTRACT($T50, SUBSTITUTE(S$1, ""+"", ""\+"")&amp;""[\w &amp;]*, (\d+\.\d+)"")),"""")"),5493.23)</f>
        <v>5493.23</v>
      </c>
      <c r="T50" s="5" t="s">
        <v>63</v>
      </c>
      <c r="U50" s="5"/>
    </row>
    <row r="51" customFormat="false" ht="15.75" hidden="false" customHeight="false" outlineLevel="0" collapsed="false">
      <c r="A51" s="4" t="n">
        <f aca="false">IFERROR(__xludf.dummyfunction("""COMPUTED_VALUE"""),45460.6666666667)</f>
        <v>45460.6666666667</v>
      </c>
      <c r="B51" s="2" t="n">
        <f aca="false">IFERROR(__xludf.dummyfunction("""COMPUTED_VALUE"""),5431.11)</f>
        <v>5431.11</v>
      </c>
      <c r="C51" s="2" t="n">
        <f aca="false">IFERROR(__xludf.dummyfunction("""COMPUTED_VALUE"""),5488.5)</f>
        <v>5488.5</v>
      </c>
      <c r="D51" s="2" t="n">
        <f aca="false">IFERROR(__xludf.dummyfunction("""COMPUTED_VALUE"""),5420.4)</f>
        <v>5420.4</v>
      </c>
      <c r="E51" s="2" t="n">
        <f aca="false">IFERROR(__xludf.dummyfunction("""COMPUTED_VALUE"""),5473.23)</f>
        <v>5473.23</v>
      </c>
      <c r="F51" s="3" t="n">
        <f aca="false">IFERROR(__xludf.dummyfunction("if($T51&lt;&gt;"""",VALUE(REGEXEXTRACT(SUBSTITUTE ($T51,F$1&amp;"" CE"",""""), F$1&amp;""[\w &amp;]*, (\d+\.\d+)"")),"""")
"),5400)</f>
        <v>5400</v>
      </c>
      <c r="G51" s="3" t="n">
        <f aca="false">IFERROR(__xludf.dummyfunction("if($T51&lt;&gt;"""",VALUE(REGEXEXTRACT($T51, G$1&amp;""[\w &amp;]*, (\d+\.\d+)"")),"""")
"),5455)</f>
        <v>5455</v>
      </c>
      <c r="H51" s="3" t="n">
        <f aca="false">IFERROR(__xludf.dummyfunction("if($T51&lt;&gt;"""",VALUE(REGEXEXTRACT($T51, H$1&amp;""[\w &amp;]*, (\d+\.\d+)"")),"""")"),6025)</f>
        <v>6025</v>
      </c>
      <c r="I51" s="3" t="n">
        <f aca="false">IFERROR(__xludf.dummyfunction("if($T51&lt;&gt;"""",VALUE(REGEXEXTRACT(SUBSTITUTE ($T51,I$1&amp;"" CE"",""""), I$1&amp;""[\w &amp;]*, (\d+\.\d+)"")),"""")
"),5400)</f>
        <v>5400</v>
      </c>
      <c r="J51" s="3" t="n">
        <f aca="false">IFERROR(__xludf.dummyfunction("if($T51&lt;&gt;"""",VALUE(REGEXEXTRACT($T51, J$1&amp;""[\w &amp;]*, (\d+\.\d+)"")),"""")
"),5410)</f>
        <v>5410</v>
      </c>
      <c r="K51" s="3" t="n">
        <f aca="false">IFERROR(__xludf.dummyfunction("if($T51&lt;&gt;"""",VALUE(REGEXEXTRACT($T51, K$1&amp;""[\w &amp;]*, (\d+\.\d+)"")),"""")
"),5305)</f>
        <v>5305</v>
      </c>
      <c r="L51" s="3" t="n">
        <f aca="false">IFERROR(__xludf.dummyfunction("if($T51&lt;&gt;"""",VALUE(REGEXEXTRACT(SUBSTITUTE ($T51,L$1&amp;"" CE"",""""), L$1&amp;""[\w &amp;]*, (\d+\.\d+)"")),"""")
"),5395)</f>
        <v>5395</v>
      </c>
      <c r="M51" s="3" t="n">
        <f aca="false">IFERROR(__xludf.dummyfunction("if($T51&lt;&gt;"""",VALUE(REGEXEXTRACT($T51, M$1&amp;""[\w &amp;]*, (\d+\.\d+)"")),"""")
"),5420)</f>
        <v>5420</v>
      </c>
      <c r="N51" s="3" t="n">
        <f aca="false">IFERROR(__xludf.dummyfunction("if($T51&lt;&gt;"""",VALUE(REGEXEXTRACT(SUBSTITUTE ($T51,N$1&amp;"" CE"",""""), N$1&amp;""[\w &amp;]*, (\d+\.\d+)"")),"""")
"),5400)</f>
        <v>5400</v>
      </c>
      <c r="O51" s="3" t="n">
        <f aca="false">IFERROR(__xludf.dummyfunction("if($T51&lt;&gt;"""",VALUE(REGEXEXTRACT($T51, O$1&amp;""[\w &amp;]*, (\d+\.\d+)"")),"""")
"),5400)</f>
        <v>5400</v>
      </c>
      <c r="P51" s="2" t="n">
        <f aca="false">IFERROR(__xludf.dummyfunction("if($T51&lt;&gt;"""",VALUE(REGEXEXTRACT($T51, P$1&amp;""[\w &amp;]*, (\d+\.\d+)"")),"""")
"),5400.47)</f>
        <v>5400.47</v>
      </c>
      <c r="Q51" s="2" t="n">
        <f aca="false">IFERROR(__xludf.dummyfunction("if($T51&lt;&gt;"""",VALUE(REGEXEXTRACT($T51, Q$1&amp;""[\w &amp;]*, (\d+\.\d+)"")),"""")
"),5387.58)</f>
        <v>5387.58</v>
      </c>
      <c r="R51" s="2" t="n">
        <f aca="false">IFERROR(__xludf.dummyfunction("if($T51&lt;&gt;"""",VALUE(REGEXEXTRACT($T51, SUBSTITUTE(R$1, ""+"", ""\+"")&amp;""[\w &amp;]*, (\d+\.\d+)"")),"""")"),5462.73)</f>
        <v>5462.73</v>
      </c>
      <c r="S51" s="2" t="n">
        <f aca="false">IFERROR(__xludf.dummyfunction("if($T51&lt;&gt;"""",VALUE(REGEXEXTRACT($T51, SUBSTITUTE(S$1, ""+"", ""\+"")&amp;""[\w &amp;]*, (\d+\.\d+)"")),"""")"),5475.62)</f>
        <v>5475.62</v>
      </c>
      <c r="T51" s="5" t="s">
        <v>64</v>
      </c>
      <c r="U51" s="5"/>
    </row>
    <row r="52" customFormat="false" ht="15.75" hidden="false" customHeight="false" outlineLevel="0" collapsed="false">
      <c r="A52" s="4" t="n">
        <f aca="false">IFERROR(__xludf.dummyfunction("""COMPUTED_VALUE"""),45461.6666666667)</f>
        <v>45461.6666666667</v>
      </c>
      <c r="B52" s="2" t="n">
        <f aca="false">IFERROR(__xludf.dummyfunction("""COMPUTED_VALUE"""),5476.15)</f>
        <v>5476.15</v>
      </c>
      <c r="C52" s="2" t="n">
        <f aca="false">IFERROR(__xludf.dummyfunction("""COMPUTED_VALUE"""),5490.38)</f>
        <v>5490.38</v>
      </c>
      <c r="D52" s="2" t="n">
        <f aca="false">IFERROR(__xludf.dummyfunction("""COMPUTED_VALUE"""),5471.32)</f>
        <v>5471.32</v>
      </c>
      <c r="E52" s="2" t="n">
        <f aca="false">IFERROR(__xludf.dummyfunction("""COMPUTED_VALUE"""),5487.03)</f>
        <v>5487.03</v>
      </c>
      <c r="F52" s="3" t="n">
        <f aca="false">IFERROR(__xludf.dummyfunction("if($T52&lt;&gt;"""",VALUE(REGEXEXTRACT(SUBSTITUTE ($T52,F$1&amp;"" CE"",""""), F$1&amp;""[\w &amp;]*, (\d+\.\d+)"")),"""")
"),5450)</f>
        <v>5450</v>
      </c>
      <c r="G52" s="3" t="n">
        <f aca="false">IFERROR(__xludf.dummyfunction("if($T52&lt;&gt;"""",VALUE(REGEXEXTRACT($T52, G$1&amp;""[\w &amp;]*, (\d+\.\d+)"")),"""")
"),5500)</f>
        <v>5500</v>
      </c>
      <c r="H52" s="3" t="n">
        <f aca="false">IFERROR(__xludf.dummyfunction("if($T52&lt;&gt;"""",VALUE(REGEXEXTRACT($T52, H$1&amp;""[\w &amp;]*, (\d+\.\d+)"")),"""")"),6025)</f>
        <v>6025</v>
      </c>
      <c r="I52" s="3" t="n">
        <f aca="false">IFERROR(__xludf.dummyfunction("if($T52&lt;&gt;"""",VALUE(REGEXEXTRACT(SUBSTITUTE ($T52,I$1&amp;"" CE"",""""), I$1&amp;""[\w &amp;]*, (\d+\.\d+)"")),"""")
"),5450)</f>
        <v>5450</v>
      </c>
      <c r="J52" s="3" t="n">
        <f aca="false">IFERROR(__xludf.dummyfunction("if($T52&lt;&gt;"""",VALUE(REGEXEXTRACT($T52, J$1&amp;""[\w &amp;]*, (\d+\.\d+)"")),"""")
"),5445)</f>
        <v>5445</v>
      </c>
      <c r="K52" s="3" t="n">
        <f aca="false">IFERROR(__xludf.dummyfunction("if($T52&lt;&gt;"""",VALUE(REGEXEXTRACT($T52, K$1&amp;""[\w &amp;]*, (\d+\.\d+)"")),"""")
"),5305)</f>
        <v>5305</v>
      </c>
      <c r="L52" s="3" t="n">
        <f aca="false">IFERROR(__xludf.dummyfunction("if($T52&lt;&gt;"""",VALUE(REGEXEXTRACT(SUBSTITUTE ($T52,L$1&amp;"" CE"",""""), L$1&amp;""[\w &amp;]*, (\d+\.\d+)"")),"""")
"),5395)</f>
        <v>5395</v>
      </c>
      <c r="M52" s="3" t="n">
        <f aca="false">IFERROR(__xludf.dummyfunction("if($T52&lt;&gt;"""",VALUE(REGEXEXTRACT($T52, M$1&amp;""[\w &amp;]*, (\d+\.\d+)"")),"""")
"),5455)</f>
        <v>5455</v>
      </c>
      <c r="N52" s="3" t="n">
        <f aca="false">IFERROR(__xludf.dummyfunction("if($T52&lt;&gt;"""",VALUE(REGEXEXTRACT(SUBSTITUTE ($T52,N$1&amp;"" CE"",""""), N$1&amp;""[\w &amp;]*, (\d+\.\d+)"")),"""")
"),5450)</f>
        <v>5450</v>
      </c>
      <c r="O52" s="3" t="n">
        <f aca="false">IFERROR(__xludf.dummyfunction("if($T52&lt;&gt;"""",VALUE(REGEXEXTRACT($T52, O$1&amp;""[\w &amp;]*, (\d+\.\d+)"")),"""")
"),5500)</f>
        <v>5500</v>
      </c>
      <c r="P52" s="2" t="n">
        <f aca="false">IFERROR(__xludf.dummyfunction("if($T52&lt;&gt;"""",VALUE(REGEXEXTRACT($T52, P$1&amp;""[\w &amp;]*, (\d+\.\d+)"")),"""")
"),5442.86)</f>
        <v>5442.86</v>
      </c>
      <c r="Q52" s="2" t="n">
        <f aca="false">IFERROR(__xludf.dummyfunction("if($T52&lt;&gt;"""",VALUE(REGEXEXTRACT($T52, Q$1&amp;""[\w &amp;]*, (\d+\.\d+)"")),"""")
"),5420.63)</f>
        <v>5420.63</v>
      </c>
      <c r="R52" s="2" t="n">
        <f aca="false">IFERROR(__xludf.dummyfunction("if($T52&lt;&gt;"""",VALUE(REGEXEXTRACT($T52, SUBSTITUTE(R$1, ""+"", ""\+"")&amp;""[\w &amp;]*, (\d+\.\d+)"")),"""")"),5503.6)</f>
        <v>5503.6</v>
      </c>
      <c r="S52" s="2" t="n">
        <f aca="false">IFERROR(__xludf.dummyfunction("if($T52&lt;&gt;"""",VALUE(REGEXEXTRACT($T52, SUBSTITUTE(S$1, ""+"", ""\+"")&amp;""[\w &amp;]*, (\d+\.\d+)"")),"""")"),5525.83)</f>
        <v>5525.83</v>
      </c>
      <c r="T52" s="5" t="s">
        <v>65</v>
      </c>
      <c r="U52" s="5"/>
    </row>
    <row r="53" customFormat="false" ht="15.75" hidden="false" customHeight="false" outlineLevel="0" collapsed="false">
      <c r="A53" s="4" t="n">
        <f aca="false">IFERROR(__xludf.dummyfunction("""COMPUTED_VALUE"""),45463.6666666667)</f>
        <v>45463.6666666667</v>
      </c>
      <c r="B53" s="2" t="n">
        <f aca="false">IFERROR(__xludf.dummyfunction("""COMPUTED_VALUE"""),5499.99)</f>
        <v>5499.99</v>
      </c>
      <c r="C53" s="2" t="n">
        <f aca="false">IFERROR(__xludf.dummyfunction("""COMPUTED_VALUE"""),5505.53)</f>
        <v>5505.53</v>
      </c>
      <c r="D53" s="2" t="n">
        <f aca="false">IFERROR(__xludf.dummyfunction("""COMPUTED_VALUE"""),5455.56)</f>
        <v>5455.56</v>
      </c>
      <c r="E53" s="2" t="n">
        <f aca="false">IFERROR(__xludf.dummyfunction("""COMPUTED_VALUE"""),5473.17)</f>
        <v>5473.17</v>
      </c>
      <c r="F53" s="3" t="n">
        <f aca="false">IFERROR(__xludf.dummyfunction("if($T53&lt;&gt;"""",VALUE(REGEXEXTRACT(SUBSTITUTE ($T53,F$1&amp;"" CE"",""""), F$1&amp;""[\w &amp;]*, (\d+\.\d+)"")),"""")
"),5500)</f>
        <v>5500</v>
      </c>
      <c r="G53" s="3" t="n">
        <f aca="false">IFERROR(__xludf.dummyfunction("if($T53&lt;&gt;"""",VALUE(REGEXEXTRACT($T53, G$1&amp;""[\w &amp;]*, (\d+\.\d+)"")),"""")
"),5520)</f>
        <v>5520</v>
      </c>
      <c r="H53" s="3" t="n">
        <f aca="false">IFERROR(__xludf.dummyfunction("if($T53&lt;&gt;"""",VALUE(REGEXEXTRACT($T53, H$1&amp;""[\w &amp;]*, (\d+\.\d+)"")),"""")"),5445)</f>
        <v>5445</v>
      </c>
      <c r="I53" s="3" t="n">
        <f aca="false">IFERROR(__xludf.dummyfunction("if($T53&lt;&gt;"""",VALUE(REGEXEXTRACT(SUBSTITUTE ($T53,I$1&amp;"" CE"",""""), I$1&amp;""[\w &amp;]*, (\d+\.\d+)"")),"""")
"),5550)</f>
        <v>5550</v>
      </c>
      <c r="J53" s="3" t="n">
        <f aca="false">IFERROR(__xludf.dummyfunction("if($T53&lt;&gt;"""",VALUE(REGEXEXTRACT($T53, J$1&amp;""[\w &amp;]*, (\d+\.\d+)"")),"""")
"),5450)</f>
        <v>5450</v>
      </c>
      <c r="K53" s="3" t="n">
        <f aca="false">IFERROR(__xludf.dummyfunction("if($T53&lt;&gt;"""",VALUE(REGEXEXTRACT($T53, K$1&amp;""[\w &amp;]*, (\d+\.\d+)"")),"""")
"),5305)</f>
        <v>5305</v>
      </c>
      <c r="L53" s="3" t="n">
        <f aca="false">IFERROR(__xludf.dummyfunction("if($T53&lt;&gt;"""",VALUE(REGEXEXTRACT(SUBSTITUTE ($T53,L$1&amp;"" CE"",""""), L$1&amp;""[\w &amp;]*, (\d+\.\d+)"")),"""")
"),5395)</f>
        <v>5395</v>
      </c>
      <c r="M53" s="3" t="n">
        <f aca="false">IFERROR(__xludf.dummyfunction("if($T53&lt;&gt;"""",VALUE(REGEXEXTRACT($T53, M$1&amp;""[\w &amp;]*, (\d+\.\d+)"")),"""")
"),5485)</f>
        <v>5485</v>
      </c>
      <c r="N53" s="3" t="n">
        <f aca="false">IFERROR(__xludf.dummyfunction("if($T53&lt;&gt;"""",VALUE(REGEXEXTRACT(SUBSTITUTE ($T53,N$1&amp;"" CE"",""""), N$1&amp;""[\w &amp;]*, (\d+\.\d+)"")),"""")
"),5550)</f>
        <v>5550</v>
      </c>
      <c r="O53" s="3" t="n">
        <f aca="false">IFERROR(__xludf.dummyfunction("if($T53&lt;&gt;"""",VALUE(REGEXEXTRACT($T53, O$1&amp;""[\w &amp;]*, (\d+\.\d+)"")),"""")
"),5520)</f>
        <v>5520</v>
      </c>
      <c r="P53" s="2" t="n">
        <f aca="false">IFERROR(__xludf.dummyfunction("if($T53&lt;&gt;"""",VALUE(REGEXEXTRACT($T53, P$1&amp;""[\w &amp;]*, (\d+\.\d+)"")),"""")
"),5455.15)</f>
        <v>5455.15</v>
      </c>
      <c r="Q53" s="2" t="n">
        <f aca="false">IFERROR(__xludf.dummyfunction("if($T53&lt;&gt;"""",VALUE(REGEXEXTRACT($T53, Q$1&amp;""[\w &amp;]*, (\d+\.\d+)"")),"""")
"),5442.15)</f>
        <v>5442.15</v>
      </c>
      <c r="R53" s="2" t="n">
        <f aca="false">IFERROR(__xludf.dummyfunction("if($T53&lt;&gt;"""",VALUE(REGEXEXTRACT($T53, SUBSTITUTE(R$1, ""+"", ""\+"")&amp;""[\w &amp;]*, (\d+\.\d+)"")),"""")"),5518.91)</f>
        <v>5518.91</v>
      </c>
      <c r="S53" s="2" t="n">
        <f aca="false">IFERROR(__xludf.dummyfunction("if($T53&lt;&gt;"""",VALUE(REGEXEXTRACT($T53, SUBSTITUTE(S$1, ""+"", ""\+"")&amp;""[\w &amp;]*, (\d+\.\d+)"")),"""")"),5531.91)</f>
        <v>5531.91</v>
      </c>
      <c r="T53" s="5" t="s">
        <v>66</v>
      </c>
      <c r="U53" s="5"/>
    </row>
    <row r="54" customFormat="false" ht="15.75" hidden="false" customHeight="false" outlineLevel="0" collapsed="false">
      <c r="A54" s="4" t="n">
        <f aca="false">IFERROR(__xludf.dummyfunction("""COMPUTED_VALUE"""),45464.6666666667)</f>
        <v>45464.6666666667</v>
      </c>
      <c r="B54" s="2" t="n">
        <f aca="false">IFERROR(__xludf.dummyfunction("""COMPUTED_VALUE"""),5466.77)</f>
        <v>5466.77</v>
      </c>
      <c r="C54" s="2" t="n">
        <f aca="false">IFERROR(__xludf.dummyfunction("""COMPUTED_VALUE"""),5478.31)</f>
        <v>5478.31</v>
      </c>
      <c r="D54" s="2" t="n">
        <f aca="false">IFERROR(__xludf.dummyfunction("""COMPUTED_VALUE"""),5452.03)</f>
        <v>5452.03</v>
      </c>
      <c r="E54" s="2" t="n">
        <f aca="false">IFERROR(__xludf.dummyfunction("""COMPUTED_VALUE"""),5464.62)</f>
        <v>5464.62</v>
      </c>
      <c r="F54" s="3" t="n">
        <f aca="false">IFERROR(__xludf.dummyfunction("if($T54&lt;&gt;"""",VALUE(REGEXEXTRACT(SUBSTITUTE ($T54,F$1&amp;"" CE"",""""), F$1&amp;""[\w &amp;]*, (\d+\.\d+)"")),"""")
"),5450)</f>
        <v>5450</v>
      </c>
      <c r="G54" s="3" t="n">
        <f aca="false">IFERROR(__xludf.dummyfunction("if($T54&lt;&gt;"""",VALUE(REGEXEXTRACT($T54, G$1&amp;""[\w &amp;]*, (\d+\.\d+)"")),"""")
"),5450)</f>
        <v>5450</v>
      </c>
      <c r="H54" s="3" t="n">
        <f aca="false">IFERROR(__xludf.dummyfunction("if($T54&lt;&gt;"""",VALUE(REGEXEXTRACT($T54, H$1&amp;""[\w &amp;]*, (\d+\.\d+)"")),"""")"),5475)</f>
        <v>5475</v>
      </c>
      <c r="I54" s="3" t="n">
        <f aca="false">IFERROR(__xludf.dummyfunction("if($T54&lt;&gt;"""",VALUE(REGEXEXTRACT(SUBSTITUTE ($T54,I$1&amp;"" CE"",""""), I$1&amp;""[\w &amp;]*, (\d+\.\d+)"")),"""")
"),5450)</f>
        <v>5450</v>
      </c>
      <c r="J54" s="3" t="n">
        <f aca="false">IFERROR(__xludf.dummyfunction("if($T54&lt;&gt;"""",VALUE(REGEXEXTRACT($T54, J$1&amp;""[\w &amp;]*, (\d+\.\d+)"")),"""")
"),5450)</f>
        <v>5450</v>
      </c>
      <c r="K54" s="3" t="n">
        <f aca="false">IFERROR(__xludf.dummyfunction("if($T54&lt;&gt;"""",VALUE(REGEXEXTRACT($T54, K$1&amp;""[\w &amp;]*, (\d+\.\d+)"")),"""")
"),5400)</f>
        <v>5400</v>
      </c>
      <c r="L54" s="3" t="n">
        <f aca="false">IFERROR(__xludf.dummyfunction("if($T54&lt;&gt;"""",VALUE(REGEXEXTRACT(SUBSTITUTE ($T54,L$1&amp;"" CE"",""""), L$1&amp;""[\w &amp;]*, (\d+\.\d+)"")),"""")
"),5445)</f>
        <v>5445</v>
      </c>
      <c r="M54" s="3" t="n">
        <f aca="false">IFERROR(__xludf.dummyfunction("if($T54&lt;&gt;"""",VALUE(REGEXEXTRACT($T54, M$1&amp;""[\w &amp;]*, (\d+\.\d+)"")),"""")
"),5445)</f>
        <v>5445</v>
      </c>
      <c r="N54" s="3" t="n">
        <f aca="false">IFERROR(__xludf.dummyfunction("if($T54&lt;&gt;"""",VALUE(REGEXEXTRACT(SUBSTITUTE ($T54,N$1&amp;"" CE"",""""), N$1&amp;""[\w &amp;]*, (\d+\.\d+)"")),"""")
"),5450)</f>
        <v>5450</v>
      </c>
      <c r="O54" s="3" t="n">
        <f aca="false">IFERROR(__xludf.dummyfunction("if($T54&lt;&gt;"""",VALUE(REGEXEXTRACT($T54, O$1&amp;""[\w &amp;]*, (\d+\.\d+)"")),"""")
"),5450)</f>
        <v>5450</v>
      </c>
      <c r="P54" s="2" t="n">
        <f aca="false">IFERROR(__xludf.dummyfunction("if($T54&lt;&gt;"""",VALUE(REGEXEXTRACT($T54, P$1&amp;""[\w &amp;]*, (\d+\.\d+)"")),"""")
"),5441.03)</f>
        <v>5441.03</v>
      </c>
      <c r="Q54" s="2" t="n">
        <f aca="false">IFERROR(__xludf.dummyfunction("if($T54&lt;&gt;"""",VALUE(REGEXEXTRACT($T54, Q$1&amp;""[\w &amp;]*, (\d+\.\d+)"")),"""")
"),5409.08)</f>
        <v>5409.08</v>
      </c>
      <c r="R54" s="2" t="n">
        <f aca="false">IFERROR(__xludf.dummyfunction("if($T54&lt;&gt;"""",VALUE(REGEXEXTRACT($T54, SUBSTITUTE(R$1, ""+"", ""\+"")&amp;""[\w &amp;]*, (\d+\.\d+)"")),"""")"),5505.31)</f>
        <v>5505.31</v>
      </c>
      <c r="S54" s="2" t="n">
        <f aca="false">IFERROR(__xludf.dummyfunction("if($T54&lt;&gt;"""",VALUE(REGEXEXTRACT($T54, SUBSTITUTE(S$1, ""+"", ""\+"")&amp;""[\w &amp;]*, (\d+\.\d+)"")),"""")"),5537.26)</f>
        <v>5537.26</v>
      </c>
      <c r="T54" s="5" t="s">
        <v>67</v>
      </c>
      <c r="U54" s="5"/>
    </row>
    <row r="55" customFormat="false" ht="15.75" hidden="false" customHeight="false" outlineLevel="0" collapsed="false">
      <c r="A55" s="4" t="n">
        <f aca="false">IFERROR(__xludf.dummyfunction("""COMPUTED_VALUE"""),45467.6666666667)</f>
        <v>45467.6666666667</v>
      </c>
      <c r="B55" s="2" t="n">
        <f aca="false">IFERROR(__xludf.dummyfunction("""COMPUTED_VALUE"""),5459.58)</f>
        <v>5459.58</v>
      </c>
      <c r="C55" s="2" t="n">
        <f aca="false">IFERROR(__xludf.dummyfunction("""COMPUTED_VALUE"""),5490.66)</f>
        <v>5490.66</v>
      </c>
      <c r="D55" s="2" t="n">
        <f aca="false">IFERROR(__xludf.dummyfunction("""COMPUTED_VALUE"""),5447.59)</f>
        <v>5447.59</v>
      </c>
      <c r="E55" s="2" t="n">
        <f aca="false">IFERROR(__xludf.dummyfunction("""COMPUTED_VALUE"""),5447.87)</f>
        <v>5447.87</v>
      </c>
      <c r="F55" s="3" t="n">
        <f aca="false">IFERROR(__xludf.dummyfunction("if($T55&lt;&gt;"""",VALUE(REGEXEXTRACT(SUBSTITUTE ($T55,F$1&amp;"" CE"",""""), F$1&amp;""[\w &amp;]*, (\d+\.\d+)"")),"""")
"),5570)</f>
        <v>5570</v>
      </c>
      <c r="G55" s="3" t="n">
        <f aca="false">IFERROR(__xludf.dummyfunction("if($T55&lt;&gt;"""",VALUE(REGEXEXTRACT($T55, G$1&amp;""[\w &amp;]*, (\d+\.\d+)"")),"""")
"),5495)</f>
        <v>5495</v>
      </c>
      <c r="H55" s="3" t="n">
        <f aca="false">IFERROR(__xludf.dummyfunction("if($T55&lt;&gt;"""",VALUE(REGEXEXTRACT($T55, H$1&amp;""[\w &amp;]*, (\d+\.\d+)"")),"""")"),5475)</f>
        <v>5475</v>
      </c>
      <c r="I55" s="3" t="n">
        <f aca="false">IFERROR(__xludf.dummyfunction("if($T55&lt;&gt;"""",VALUE(REGEXEXTRACT(SUBSTITUTE ($T55,I$1&amp;"" CE"",""""), I$1&amp;""[\w &amp;]*, (\d+\.\d+)"")),"""")
"),5425)</f>
        <v>5425</v>
      </c>
      <c r="J55" s="3" t="n">
        <f aca="false">IFERROR(__xludf.dummyfunction("if($T55&lt;&gt;"""",VALUE(REGEXEXTRACT($T55, J$1&amp;""[\w &amp;]*, (\d+\.\d+)"")),"""")
"),5440)</f>
        <v>5440</v>
      </c>
      <c r="K55" s="3" t="n">
        <f aca="false">IFERROR(__xludf.dummyfunction("if($T55&lt;&gt;"""",VALUE(REGEXEXTRACT($T55, K$1&amp;""[\w &amp;]*, (\d+\.\d+)"")),"""")
"),5400)</f>
        <v>5400</v>
      </c>
      <c r="L55" s="3" t="n">
        <f aca="false">IFERROR(__xludf.dummyfunction("if($T55&lt;&gt;"""",VALUE(REGEXEXTRACT(SUBSTITUTE ($T55,L$1&amp;"" CE"",""""), L$1&amp;""[\w &amp;]*, (\d+\.\d+)"")),"""")
"),5445)</f>
        <v>5445</v>
      </c>
      <c r="M55" s="3" t="n">
        <f aca="false">IFERROR(__xludf.dummyfunction("if($T55&lt;&gt;"""",VALUE(REGEXEXTRACT($T55, M$1&amp;""[\w &amp;]*, (\d+\.\d+)"")),"""")
"),5465)</f>
        <v>5465</v>
      </c>
      <c r="N55" s="3" t="n">
        <f aca="false">IFERROR(__xludf.dummyfunction("if($T55&lt;&gt;"""",VALUE(REGEXEXTRACT(SUBSTITUTE ($T55,N$1&amp;"" CE"",""""), N$1&amp;""[\w &amp;]*, (\d+\.\d+)"")),"""")
"),5550)</f>
        <v>5550</v>
      </c>
      <c r="O55" s="3" t="n">
        <f aca="false">IFERROR(__xludf.dummyfunction("if($T55&lt;&gt;"""",VALUE(REGEXEXTRACT($T55, O$1&amp;""[\w &amp;]*, (\d+\.\d+)"")),"""")
"),5470)</f>
        <v>5470</v>
      </c>
      <c r="P55" s="2" t="n">
        <f aca="false">IFERROR(__xludf.dummyfunction("if($T55&lt;&gt;"""",VALUE(REGEXEXTRACT($T55, P$1&amp;""[\w &amp;]*, (\d+\.\d+)"")),"""")
"),5431.3)</f>
        <v>5431.3</v>
      </c>
      <c r="Q55" s="2" t="n">
        <f aca="false">IFERROR(__xludf.dummyfunction("if($T55&lt;&gt;"""",VALUE(REGEXEXTRACT($T55, Q$1&amp;""[\w &amp;]*, (\d+\.\d+)"")),"""")
"),5417.5)</f>
        <v>5417.5</v>
      </c>
      <c r="R55" s="2" t="n">
        <f aca="false">IFERROR(__xludf.dummyfunction("if($T55&lt;&gt;"""",VALUE(REGEXEXTRACT($T55, SUBSTITUTE(R$1, ""+"", ""\+"")&amp;""[\w &amp;]*, (\d+\.\d+)"")),"""")"),5497.94)</f>
        <v>5497.94</v>
      </c>
      <c r="S55" s="2" t="n">
        <f aca="false">IFERROR(__xludf.dummyfunction("if($T55&lt;&gt;"""",VALUE(REGEXEXTRACT($T55, SUBSTITUTE(S$1, ""+"", ""\+"")&amp;""[\w &amp;]*, (\d+\.\d+)"")),"""")"),5511.74)</f>
        <v>5511.74</v>
      </c>
      <c r="T55" s="5" t="s">
        <v>68</v>
      </c>
      <c r="U55" s="5"/>
    </row>
    <row r="56" customFormat="false" ht="15.75" hidden="false" customHeight="false" outlineLevel="0" collapsed="false">
      <c r="A56" s="4" t="n">
        <f aca="false">IFERROR(__xludf.dummyfunction("""COMPUTED_VALUE"""),45468.6666666667)</f>
        <v>45468.6666666667</v>
      </c>
      <c r="B56" s="2" t="n">
        <f aca="false">IFERROR(__xludf.dummyfunction("""COMPUTED_VALUE"""),5460.73)</f>
        <v>5460.73</v>
      </c>
      <c r="C56" s="2" t="n">
        <f aca="false">IFERROR(__xludf.dummyfunction("""COMPUTED_VALUE"""),5472.88)</f>
        <v>5472.88</v>
      </c>
      <c r="D56" s="2" t="n">
        <f aca="false">IFERROR(__xludf.dummyfunction("""COMPUTED_VALUE"""),5446.56)</f>
        <v>5446.56</v>
      </c>
      <c r="E56" s="2" t="n">
        <f aca="false">IFERROR(__xludf.dummyfunction("""COMPUTED_VALUE"""),5469.3)</f>
        <v>5469.3</v>
      </c>
      <c r="F56" s="3" t="n">
        <f aca="false">IFERROR(__xludf.dummyfunction("if($T56&lt;&gt;"""",VALUE(REGEXEXTRACT(SUBSTITUTE ($T56,F$1&amp;"" CE"",""""), F$1&amp;""[\w &amp;]*, (\d+\.\d+)"")),"""")
"),5550)</f>
        <v>5550</v>
      </c>
      <c r="G56" s="3" t="n">
        <f aca="false">IFERROR(__xludf.dummyfunction("if($T56&lt;&gt;"""",VALUE(REGEXEXTRACT($T56, G$1&amp;""[\w &amp;]*, (\d+\.\d+)"")),"""")
"),5480)</f>
        <v>5480</v>
      </c>
      <c r="H56" s="3" t="n">
        <f aca="false">IFERROR(__xludf.dummyfunction("if($T56&lt;&gt;"""",VALUE(REGEXEXTRACT($T56, H$1&amp;""[\w &amp;]*, (\d+\.\d+)"")),"""")"),5455)</f>
        <v>5455</v>
      </c>
      <c r="I56" s="3" t="n">
        <f aca="false">IFERROR(__xludf.dummyfunction("if($T56&lt;&gt;"""",VALUE(REGEXEXTRACT(SUBSTITUTE ($T56,I$1&amp;"" CE"",""""), I$1&amp;""[\w &amp;]*, (\d+\.\d+)"")),"""")
"),5550)</f>
        <v>5550</v>
      </c>
      <c r="J56" s="3" t="n">
        <f aca="false">IFERROR(__xludf.dummyfunction("if($T56&lt;&gt;"""",VALUE(REGEXEXTRACT($T56, J$1&amp;""[\w &amp;]*, (\d+\.\d+)"")),"""")
"),5430)</f>
        <v>5430</v>
      </c>
      <c r="K56" s="3" t="n">
        <f aca="false">IFERROR(__xludf.dummyfunction("if($T56&lt;&gt;"""",VALUE(REGEXEXTRACT($T56, K$1&amp;""[\w &amp;]*, (\d+\.\d+)"")),"""")
"),5450)</f>
        <v>5450</v>
      </c>
      <c r="L56" s="3" t="n">
        <f aca="false">IFERROR(__xludf.dummyfunction("if($T56&lt;&gt;"""",VALUE(REGEXEXTRACT(SUBSTITUTE ($T56,L$1&amp;"" CE"",""""), L$1&amp;""[\w &amp;]*, (\d+\.\d+)"")),"""")
"),5445)</f>
        <v>5445</v>
      </c>
      <c r="M56" s="3" t="n">
        <f aca="false">IFERROR(__xludf.dummyfunction("if($T56&lt;&gt;"""",VALUE(REGEXEXTRACT($T56, M$1&amp;""[\w &amp;]*, (\d+\.\d+)"")),"""")
"),5460)</f>
        <v>5460</v>
      </c>
      <c r="N56" s="3" t="n">
        <f aca="false">IFERROR(__xludf.dummyfunction("if($T56&lt;&gt;"""",VALUE(REGEXEXTRACT(SUBSTITUTE ($T56,N$1&amp;"" CE"",""""), N$1&amp;""[\w &amp;]*, (\d+\.\d+)"")),"""")
"),5550)</f>
        <v>5550</v>
      </c>
      <c r="O56" s="3" t="n">
        <f aca="false">IFERROR(__xludf.dummyfunction("if($T56&lt;&gt;"""",VALUE(REGEXEXTRACT($T56, O$1&amp;""[\w &amp;]*, (\d+\.\d+)"")),"""")
"),5465)</f>
        <v>5465</v>
      </c>
      <c r="P56" s="2" t="n">
        <f aca="false">IFERROR(__xludf.dummyfunction("if($T56&lt;&gt;"""",VALUE(REGEXEXTRACT($T56, P$1&amp;""[\w &amp;]*, (\d+\.\d+)"")),"""")
"),5414.84)</f>
        <v>5414.84</v>
      </c>
      <c r="Q56" s="2" t="n">
        <f aca="false">IFERROR(__xludf.dummyfunction("if($T56&lt;&gt;"""",VALUE(REGEXEXTRACT($T56, Q$1&amp;""[\w &amp;]*, (\d+\.\d+)"")),"""")
"),5401.16)</f>
        <v>5401.16</v>
      </c>
      <c r="R56" s="2" t="n">
        <f aca="false">IFERROR(__xludf.dummyfunction("if($T56&lt;&gt;"""",VALUE(REGEXEXTRACT($T56, SUBSTITUTE(R$1, ""+"", ""\+"")&amp;""[\w &amp;]*, (\d+\.\d+)"")),"""")"),5480.9)</f>
        <v>5480.9</v>
      </c>
      <c r="S56" s="2" t="n">
        <f aca="false">IFERROR(__xludf.dummyfunction("if($T56&lt;&gt;"""",VALUE(REGEXEXTRACT($T56, SUBSTITUTE(S$1, ""+"", ""\+"")&amp;""[\w &amp;]*, (\d+\.\d+)"")),"""")"),5494.58)</f>
        <v>5494.58</v>
      </c>
      <c r="T56" s="5" t="s">
        <v>69</v>
      </c>
      <c r="U56" s="5"/>
    </row>
    <row r="57" customFormat="false" ht="15.75" hidden="false" customHeight="false" outlineLevel="0" collapsed="false">
      <c r="A57" s="4" t="n">
        <f aca="false">IFERROR(__xludf.dummyfunction("""COMPUTED_VALUE"""),45469.6666666667)</f>
        <v>45469.6666666667</v>
      </c>
      <c r="B57" s="2" t="n">
        <f aca="false">IFERROR(__xludf.dummyfunction("""COMPUTED_VALUE"""),5460.71)</f>
        <v>5460.71</v>
      </c>
      <c r="C57" s="2" t="n">
        <f aca="false">IFERROR(__xludf.dummyfunction("""COMPUTED_VALUE"""),5483.14)</f>
        <v>5483.14</v>
      </c>
      <c r="D57" s="2" t="n">
        <f aca="false">IFERROR(__xludf.dummyfunction("""COMPUTED_VALUE"""),5451.87)</f>
        <v>5451.87</v>
      </c>
      <c r="E57" s="2" t="n">
        <f aca="false">IFERROR(__xludf.dummyfunction("""COMPUTED_VALUE"""),5477.9)</f>
        <v>5477.9</v>
      </c>
      <c r="F57" s="3" t="n">
        <f aca="false">IFERROR(__xludf.dummyfunction("if($T57&lt;&gt;"""",VALUE(REGEXEXTRACT(SUBSTITUTE ($T57,F$1&amp;"" CE"",""""), F$1&amp;""[\w &amp;]*, (\d+\.\d+)"")),"""")
"),5500)</f>
        <v>5500</v>
      </c>
      <c r="G57" s="3" t="n">
        <f aca="false">IFERROR(__xludf.dummyfunction("if($T57&lt;&gt;"""",VALUE(REGEXEXTRACT($T57, G$1&amp;""[\w &amp;]*, (\d+\.\d+)"")),"""")
"),5500)</f>
        <v>5500</v>
      </c>
      <c r="H57" s="3" t="n">
        <f aca="false">IFERROR(__xludf.dummyfunction("if($T57&lt;&gt;"""",VALUE(REGEXEXTRACT($T57, H$1&amp;""[\w &amp;]*, (\d+\.\d+)"")),"""")"),5475)</f>
        <v>5475</v>
      </c>
      <c r="I57" s="3" t="n">
        <f aca="false">IFERROR(__xludf.dummyfunction("if($T57&lt;&gt;"""",VALUE(REGEXEXTRACT(SUBSTITUTE ($T57,I$1&amp;"" CE"",""""), I$1&amp;""[\w &amp;]*, (\d+\.\d+)"")),"""")
"),5550)</f>
        <v>5550</v>
      </c>
      <c r="J57" s="3" t="n">
        <f aca="false">IFERROR(__xludf.dummyfunction("if($T57&lt;&gt;"""",VALUE(REGEXEXTRACT($T57, J$1&amp;""[\w &amp;]*, (\d+\.\d+)"")),"""")
"),5455)</f>
        <v>5455</v>
      </c>
      <c r="K57" s="3" t="n">
        <f aca="false">IFERROR(__xludf.dummyfunction("if($T57&lt;&gt;"""",VALUE(REGEXEXTRACT($T57, K$1&amp;""[\w &amp;]*, (\d+\.\d+)"")),"""")
"),4210)</f>
        <v>4210</v>
      </c>
      <c r="L57" s="3" t="n">
        <f aca="false">IFERROR(__xludf.dummyfunction("if($T57&lt;&gt;"""",VALUE(REGEXEXTRACT(SUBSTITUTE ($T57,L$1&amp;"" CE"",""""), L$1&amp;""[\w &amp;]*, (\d+\.\d+)"")),"""")
"),5465)</f>
        <v>5465</v>
      </c>
      <c r="M57" s="3" t="n">
        <f aca="false">IFERROR(__xludf.dummyfunction("if($T57&lt;&gt;"""",VALUE(REGEXEXTRACT($T57, M$1&amp;""[\w &amp;]*, (\d+\.\d+)"")),"""")
"),5475)</f>
        <v>5475</v>
      </c>
      <c r="N57" s="3" t="n">
        <f aca="false">IFERROR(__xludf.dummyfunction("if($T57&lt;&gt;"""",VALUE(REGEXEXTRACT(SUBSTITUTE ($T57,N$1&amp;"" CE"",""""), N$1&amp;""[\w &amp;]*, (\d+\.\d+)"")),"""")
"),5500)</f>
        <v>5500</v>
      </c>
      <c r="O57" s="3" t="n">
        <f aca="false">IFERROR(__xludf.dummyfunction("if($T57&lt;&gt;"""",VALUE(REGEXEXTRACT($T57, O$1&amp;""[\w &amp;]*, (\d+\.\d+)"")),"""")
"),5500)</f>
        <v>5500</v>
      </c>
      <c r="P57" s="2" t="n">
        <f aca="false">IFERROR(__xludf.dummyfunction("if($T57&lt;&gt;"""",VALUE(REGEXEXTRACT($T57, P$1&amp;""[\w &amp;]*, (\d+\.\d+)"")),"""")
"),5446.88)</f>
        <v>5446.88</v>
      </c>
      <c r="Q57" s="2" t="n">
        <f aca="false">IFERROR(__xludf.dummyfunction("if($T57&lt;&gt;"""",VALUE(REGEXEXTRACT($T57, Q$1&amp;""[\w &amp;]*, (\d+\.\d+)"")),"""")
"),5434.03)</f>
        <v>5434.03</v>
      </c>
      <c r="R57" s="2" t="n">
        <f aca="false">IFERROR(__xludf.dummyfunction("if($T57&lt;&gt;"""",VALUE(REGEXEXTRACT($T57, SUBSTITUTE(R$1, ""+"", ""\+"")&amp;""[\w &amp;]*, (\d+\.\d+)"")),"""")"),5508.92)</f>
        <v>5508.92</v>
      </c>
      <c r="S57" s="2" t="n">
        <f aca="false">IFERROR(__xludf.dummyfunction("if($T57&lt;&gt;"""",VALUE(REGEXEXTRACT($T57, SUBSTITUTE(S$1, ""+"", ""\+"")&amp;""[\w &amp;]*, (\d+\.\d+)"")),"""")"),5521.77)</f>
        <v>5521.77</v>
      </c>
      <c r="T57" s="5" t="s">
        <v>70</v>
      </c>
      <c r="U57" s="5"/>
    </row>
    <row r="58" customFormat="false" ht="15.75" hidden="false" customHeight="false" outlineLevel="0" collapsed="false">
      <c r="A58" s="4" t="n">
        <f aca="false">IFERROR(__xludf.dummyfunction("""COMPUTED_VALUE"""),45470.6666666667)</f>
        <v>45470.6666666667</v>
      </c>
      <c r="B58" s="2" t="n">
        <f aca="false">IFERROR(__xludf.dummyfunction("""COMPUTED_VALUE"""),5473.59)</f>
        <v>5473.59</v>
      </c>
      <c r="C58" s="2" t="n">
        <f aca="false">IFERROR(__xludf.dummyfunction("""COMPUTED_VALUE"""),5490.81)</f>
        <v>5490.81</v>
      </c>
      <c r="D58" s="2" t="n">
        <f aca="false">IFERROR(__xludf.dummyfunction("""COMPUTED_VALUE"""),5467.54)</f>
        <v>5467.54</v>
      </c>
      <c r="E58" s="2" t="n">
        <f aca="false">IFERROR(__xludf.dummyfunction("""COMPUTED_VALUE"""),5482.87)</f>
        <v>5482.87</v>
      </c>
      <c r="F58" s="3" t="n">
        <f aca="false">IFERROR(__xludf.dummyfunction("if($T58&lt;&gt;"""",VALUE(REGEXEXTRACT(SUBSTITUTE ($T58,F$1&amp;"" CE"",""""), F$1&amp;""[\w &amp;]*, (\d+\.\d+)"")),"""")
"),5500)</f>
        <v>5500</v>
      </c>
      <c r="G58" s="3" t="n">
        <f aca="false">IFERROR(__xludf.dummyfunction("if($T58&lt;&gt;"""",VALUE(REGEXEXTRACT($T58, G$1&amp;""[\w &amp;]*, (\d+\.\d+)"")),"""")
"),5510)</f>
        <v>5510</v>
      </c>
      <c r="H58" s="3" t="n">
        <f aca="false">IFERROR(__xludf.dummyfunction("if($T58&lt;&gt;"""",VALUE(REGEXEXTRACT($T58, H$1&amp;""[\w &amp;]*, (\d+\.\d+)"")),"""")"),5475)</f>
        <v>5475</v>
      </c>
      <c r="I58" s="3" t="n">
        <f aca="false">IFERROR(__xludf.dummyfunction("if($T58&lt;&gt;"""",VALUE(REGEXEXTRACT(SUBSTITUTE ($T58,I$1&amp;"" CE"",""""), I$1&amp;""[\w &amp;]*, (\d+\.\d+)"")),"""")
"),5550)</f>
        <v>5550</v>
      </c>
      <c r="J58" s="3" t="n">
        <f aca="false">IFERROR(__xludf.dummyfunction("if($T58&lt;&gt;"""",VALUE(REGEXEXTRACT($T58, J$1&amp;""[\w &amp;]*, (\d+\.\d+)"")),"""")
"),5475)</f>
        <v>5475</v>
      </c>
      <c r="K58" s="3" t="n">
        <f aca="false">IFERROR(__xludf.dummyfunction("if($T58&lt;&gt;"""",VALUE(REGEXEXTRACT($T58, K$1&amp;""[\w &amp;]*, (\d+\.\d+)"")),"""")
"),4210)</f>
        <v>4210</v>
      </c>
      <c r="L58" s="3" t="n">
        <f aca="false">IFERROR(__xludf.dummyfunction("if($T58&lt;&gt;"""",VALUE(REGEXEXTRACT(SUBSTITUTE ($T58,L$1&amp;"" CE"",""""), L$1&amp;""[\w &amp;]*, (\d+\.\d+)"")),"""")
"),5465)</f>
        <v>5465</v>
      </c>
      <c r="M58" s="3" t="n">
        <f aca="false">IFERROR(__xludf.dummyfunction("if($T58&lt;&gt;"""",VALUE(REGEXEXTRACT($T58, M$1&amp;""[\w &amp;]*, (\d+\.\d+)"")),"""")
"),5475)</f>
        <v>5475</v>
      </c>
      <c r="N58" s="3" t="n">
        <f aca="false">IFERROR(__xludf.dummyfunction("if($T58&lt;&gt;"""",VALUE(REGEXEXTRACT(SUBSTITUTE ($T58,N$1&amp;"" CE"",""""), N$1&amp;""[\w &amp;]*, (\d+\.\d+)"")),"""")
"),5550)</f>
        <v>5550</v>
      </c>
      <c r="O58" s="3" t="n">
        <f aca="false">IFERROR(__xludf.dummyfunction("if($T58&lt;&gt;"""",VALUE(REGEXEXTRACT($T58, O$1&amp;""[\w &amp;]*, (\d+\.\d+)"")),"""")
"),5500)</f>
        <v>5500</v>
      </c>
      <c r="P58" s="2" t="n">
        <f aca="false">IFERROR(__xludf.dummyfunction("if($T58&lt;&gt;"""",VALUE(REGEXEXTRACT($T58, P$1&amp;""[\w &amp;]*, (\d+\.\d+)"")),"""")
"),5451.7)</f>
        <v>5451.7</v>
      </c>
      <c r="Q58" s="2" t="n">
        <f aca="false">IFERROR(__xludf.dummyfunction("if($T58&lt;&gt;"""",VALUE(REGEXEXTRACT($T58, Q$1&amp;""[\w &amp;]*, (\d+\.\d+)"")),"""")
"),5420.53)</f>
        <v>5420.53</v>
      </c>
      <c r="R58" s="2" t="n">
        <f aca="false">IFERROR(__xludf.dummyfunction("if($T58&lt;&gt;"""",VALUE(REGEXEXTRACT($T58, SUBSTITUTE(R$1, ""+"", ""\+"")&amp;""[\w &amp;]*, (\d+\.\d+)"")),"""")"),5514.04)</f>
        <v>5514.04</v>
      </c>
      <c r="S58" s="2" t="n">
        <f aca="false">IFERROR(__xludf.dummyfunction("if($T58&lt;&gt;"""",VALUE(REGEXEXTRACT($T58, SUBSTITUTE(S$1, ""+"", ""\+"")&amp;""[\w &amp;]*, (\d+\.\d+)"")),"""")"),5545.21)</f>
        <v>5545.21</v>
      </c>
      <c r="T58" s="5" t="s">
        <v>71</v>
      </c>
      <c r="U58" s="5"/>
    </row>
    <row r="59" customFormat="false" ht="15.75" hidden="false" customHeight="false" outlineLevel="0" collapsed="false">
      <c r="A59" s="4" t="n">
        <f aca="false">IFERROR(__xludf.dummyfunction("""COMPUTED_VALUE"""),45471.6666666667)</f>
        <v>45471.6666666667</v>
      </c>
      <c r="B59" s="2" t="n">
        <f aca="false">IFERROR(__xludf.dummyfunction("""COMPUTED_VALUE"""),5488.48)</f>
        <v>5488.48</v>
      </c>
      <c r="C59" s="2" t="n">
        <f aca="false">IFERROR(__xludf.dummyfunction("""COMPUTED_VALUE"""),5523.64)</f>
        <v>5523.64</v>
      </c>
      <c r="D59" s="2" t="n">
        <f aca="false">IFERROR(__xludf.dummyfunction("""COMPUTED_VALUE"""),5451.12)</f>
        <v>5451.12</v>
      </c>
      <c r="E59" s="2" t="n">
        <f aca="false">IFERROR(__xludf.dummyfunction("""COMPUTED_VALUE"""),5460.48)</f>
        <v>5460.48</v>
      </c>
      <c r="F59" s="3" t="n">
        <f aca="false">IFERROR(__xludf.dummyfunction("if($T59&lt;&gt;"""",VALUE(REGEXEXTRACT(SUBSTITUTE ($T59,F$1&amp;"" CE"",""""), F$1&amp;""[\w &amp;]*, (\d+\.\d+)"")),"""")
"),5550)</f>
        <v>5550</v>
      </c>
      <c r="G59" s="3" t="n">
        <f aca="false">IFERROR(__xludf.dummyfunction("if($T59&lt;&gt;"""",VALUE(REGEXEXTRACT($T59, G$1&amp;""[\w &amp;]*, (\d+\.\d+)"")),"""")
"),5490)</f>
        <v>5490</v>
      </c>
      <c r="H59" s="3" t="n">
        <f aca="false">IFERROR(__xludf.dummyfunction("if($T59&lt;&gt;"""",VALUE(REGEXEXTRACT($T59, H$1&amp;""[\w &amp;]*, (\d+\.\d+)"")),"""")"),5480)</f>
        <v>5480</v>
      </c>
      <c r="I59" s="3" t="n">
        <f aca="false">IFERROR(__xludf.dummyfunction("if($T59&lt;&gt;"""",VALUE(REGEXEXTRACT(SUBSTITUTE ($T59,I$1&amp;"" CE"",""""), I$1&amp;""[\w &amp;]*, (\d+\.\d+)"")),"""")
"),5550)</f>
        <v>5550</v>
      </c>
      <c r="J59" s="3" t="n">
        <f aca="false">IFERROR(__xludf.dummyfunction("if($T59&lt;&gt;"""",VALUE(REGEXEXTRACT($T59, J$1&amp;""[\w &amp;]*, (\d+\.\d+)"")),"""")
"),5460)</f>
        <v>5460</v>
      </c>
      <c r="K59" s="3" t="n">
        <f aca="false">IFERROR(__xludf.dummyfunction("if($T59&lt;&gt;"""",VALUE(REGEXEXTRACT($T59, K$1&amp;""[\w &amp;]*, (\d+\.\d+)"")),"""")
"),4210)</f>
        <v>4210</v>
      </c>
      <c r="L59" s="3" t="n">
        <f aca="false">IFERROR(__xludf.dummyfunction("if($T59&lt;&gt;"""",VALUE(REGEXEXTRACT(SUBSTITUTE ($T59,L$1&amp;"" CE"",""""), L$1&amp;""[\w &amp;]*, (\d+\.\d+)"")),"""")
"),5465)</f>
        <v>5465</v>
      </c>
      <c r="M59" s="3" t="n">
        <f aca="false">IFERROR(__xludf.dummyfunction("if($T59&lt;&gt;"""",VALUE(REGEXEXTRACT($T59, M$1&amp;""[\w &amp;]*, (\d+\.\d+)"")),"""")
"),5465)</f>
        <v>5465</v>
      </c>
      <c r="N59" s="3" t="n">
        <f aca="false">IFERROR(__xludf.dummyfunction("if($T59&lt;&gt;"""",VALUE(REGEXEXTRACT(SUBSTITUTE ($T59,N$1&amp;"" CE"",""""), N$1&amp;""[\w &amp;]*, (\d+\.\d+)"")),"""")
"),5550)</f>
        <v>5550</v>
      </c>
      <c r="O59" s="3" t="n">
        <f aca="false">IFERROR(__xludf.dummyfunction("if($T59&lt;&gt;"""",VALUE(REGEXEXTRACT($T59, O$1&amp;""[\w &amp;]*, (\d+\.\d+)"")),"""")
"),5500)</f>
        <v>5500</v>
      </c>
      <c r="P59" s="2" t="n">
        <f aca="false">IFERROR(__xludf.dummyfunction("if($T59&lt;&gt;"""",VALUE(REGEXEXTRACT($T59, P$1&amp;""[\w &amp;]*, (\d+\.\d+)"")),"""")
"),5428.27)</f>
        <v>5428.27</v>
      </c>
      <c r="Q59" s="2" t="n">
        <f aca="false">IFERROR(__xludf.dummyfunction("if($T59&lt;&gt;"""",VALUE(REGEXEXTRACT($T59, Q$1&amp;""[\w &amp;]*, (\d+\.\d+)"")),"""")
"),5414.92)</f>
        <v>5414.92</v>
      </c>
      <c r="R59" s="2" t="n">
        <f aca="false">IFERROR(__xludf.dummyfunction("if($T59&lt;&gt;"""",VALUE(REGEXEXTRACT($T59, SUBSTITUTE(R$1, ""+"", ""\+"")&amp;""[\w &amp;]*, (\d+\.\d+)"")),"""")"),5492.69)</f>
        <v>5492.69</v>
      </c>
      <c r="S59" s="2" t="n">
        <f aca="false">IFERROR(__xludf.dummyfunction("if($T59&lt;&gt;"""",VALUE(REGEXEXTRACT($T59, SUBSTITUTE(S$1, ""+"", ""\+"")&amp;""[\w &amp;]*, (\d+\.\d+)"")),"""")"),5506.04)</f>
        <v>5506.04</v>
      </c>
      <c r="T59" s="5" t="s">
        <v>72</v>
      </c>
      <c r="U59" s="5"/>
    </row>
    <row r="60" customFormat="false" ht="15.75" hidden="false" customHeight="false" outlineLevel="0" collapsed="false">
      <c r="A60" s="4" t="n">
        <f aca="false">IFERROR(__xludf.dummyfunction("""COMPUTED_VALUE"""),45474.6666666667)</f>
        <v>45474.6666666667</v>
      </c>
      <c r="B60" s="2" t="n">
        <f aca="false">IFERROR(__xludf.dummyfunction("""COMPUTED_VALUE"""),5471.08)</f>
        <v>5471.08</v>
      </c>
      <c r="C60" s="2" t="n">
        <f aca="false">IFERROR(__xludf.dummyfunction("""COMPUTED_VALUE"""),5479.55)</f>
        <v>5479.55</v>
      </c>
      <c r="D60" s="2" t="n">
        <f aca="false">IFERROR(__xludf.dummyfunction("""COMPUTED_VALUE"""),5446.53)</f>
        <v>5446.53</v>
      </c>
      <c r="E60" s="2" t="n">
        <f aca="false">IFERROR(__xludf.dummyfunction("""COMPUTED_VALUE"""),5475.09)</f>
        <v>5475.09</v>
      </c>
      <c r="F60" s="3" t="n">
        <f aca="false">IFERROR(__xludf.dummyfunction("if($T60&lt;&gt;"""",VALUE(REGEXEXTRACT(SUBSTITUTE ($T60,F$1&amp;"" CE"",""""), F$1&amp;""[\w &amp;]*, (\d+\.\d+)"")),"""")
"),5550)</f>
        <v>5550</v>
      </c>
      <c r="G60" s="3" t="n">
        <f aca="false">IFERROR(__xludf.dummyfunction("if($T60&lt;&gt;"""",VALUE(REGEXEXTRACT($T60, G$1&amp;""[\w &amp;]*, (\d+\.\d+)"")),"""")
"),5500)</f>
        <v>5500</v>
      </c>
      <c r="H60" s="3" t="n">
        <f aca="false">IFERROR(__xludf.dummyfunction("if($T60&lt;&gt;"""",VALUE(REGEXEXTRACT($T60, H$1&amp;""[\w &amp;]*, (\d+\.\d+)"")),"""")"),5465)</f>
        <v>5465</v>
      </c>
      <c r="I60" s="3" t="n">
        <f aca="false">IFERROR(__xludf.dummyfunction("if($T60&lt;&gt;"""",VALUE(REGEXEXTRACT(SUBSTITUTE ($T60,I$1&amp;"" CE"",""""), I$1&amp;""[\w &amp;]*, (\d+\.\d+)"")),"""")
"),5550)</f>
        <v>5550</v>
      </c>
      <c r="J60" s="3" t="n">
        <f aca="false">IFERROR(__xludf.dummyfunction("if($T60&lt;&gt;"""",VALUE(REGEXEXTRACT($T60, J$1&amp;""[\w &amp;]*, (\d+\.\d+)"")),"""")
"),5410)</f>
        <v>5410</v>
      </c>
      <c r="K60" s="3" t="n">
        <f aca="false">IFERROR(__xludf.dummyfunction("if($T60&lt;&gt;"""",VALUE(REGEXEXTRACT($T60, K$1&amp;""[\w &amp;]*, (\d+\.\d+)"")),"""")
"),4210)</f>
        <v>4210</v>
      </c>
      <c r="L60" s="3" t="n">
        <f aca="false">IFERROR(__xludf.dummyfunction("if($T60&lt;&gt;"""",VALUE(REGEXEXTRACT(SUBSTITUTE ($T60,L$1&amp;"" CE"",""""), L$1&amp;""[\w &amp;]*, (\d+\.\d+)"")),"""")
"),5465)</f>
        <v>5465</v>
      </c>
      <c r="M60" s="3" t="n">
        <f aca="false">IFERROR(__xludf.dummyfunction("if($T60&lt;&gt;"""",VALUE(REGEXEXTRACT($T60, M$1&amp;""[\w &amp;]*, (\d+\.\d+)"")),"""")
"),5480)</f>
        <v>5480</v>
      </c>
      <c r="N60" s="3" t="n">
        <f aca="false">IFERROR(__xludf.dummyfunction("if($T60&lt;&gt;"""",VALUE(REGEXEXTRACT(SUBSTITUTE ($T60,N$1&amp;"" CE"",""""), N$1&amp;""[\w &amp;]*, (\d+\.\d+)"")),"""")
"),5550)</f>
        <v>5550</v>
      </c>
      <c r="O60" s="3" t="n">
        <f aca="false">IFERROR(__xludf.dummyfunction("if($T60&lt;&gt;"""",VALUE(REGEXEXTRACT($T60, O$1&amp;""[\w &amp;]*, (\d+\.\d+)"")),"""")
"),5450)</f>
        <v>5450</v>
      </c>
      <c r="P60" s="2" t="n">
        <f aca="false">IFERROR(__xludf.dummyfunction("if($T60&lt;&gt;"""",VALUE(REGEXEXTRACT($T60, P$1&amp;""[\w &amp;]*, (\d+\.\d+)"")),"""")
"),5445.27)</f>
        <v>5445.27</v>
      </c>
      <c r="Q60" s="2" t="n">
        <f aca="false">IFERROR(__xludf.dummyfunction("if($T60&lt;&gt;"""",VALUE(REGEXEXTRACT($T60, Q$1&amp;""[\w &amp;]*, (\d+\.\d+)"")),"""")
"),5432.92)</f>
        <v>5432.92</v>
      </c>
      <c r="R60" s="2" t="n">
        <f aca="false">IFERROR(__xludf.dummyfunction("if($T60&lt;&gt;"""",VALUE(REGEXEXTRACT($T60, SUBSTITUTE(R$1, ""+"", ""\+"")&amp;""[\w &amp;]*, (\d+\.\d+)"")),"""")"),5504.91)</f>
        <v>5504.91</v>
      </c>
      <c r="S60" s="2" t="n">
        <f aca="false">IFERROR(__xludf.dummyfunction("if($T60&lt;&gt;"""",VALUE(REGEXEXTRACT($T60, SUBSTITUTE(S$1, ""+"", ""\+"")&amp;""[\w &amp;]*, (\d+\.\d+)"")),"""")"),5517.26)</f>
        <v>5517.26</v>
      </c>
      <c r="T60" s="5" t="s">
        <v>73</v>
      </c>
      <c r="U60" s="5"/>
    </row>
    <row r="61" customFormat="false" ht="15.75" hidden="false" customHeight="false" outlineLevel="0" collapsed="false">
      <c r="A61" s="4" t="n">
        <f aca="false">IFERROR(__xludf.dummyfunction("""COMPUTED_VALUE"""),45475.6666666667)</f>
        <v>45475.6666666667</v>
      </c>
      <c r="B61" s="2" t="n">
        <f aca="false">IFERROR(__xludf.dummyfunction("""COMPUTED_VALUE"""),5461.84)</f>
        <v>5461.84</v>
      </c>
      <c r="C61" s="2" t="n">
        <f aca="false">IFERROR(__xludf.dummyfunction("""COMPUTED_VALUE"""),5509.69)</f>
        <v>5509.69</v>
      </c>
      <c r="D61" s="2" t="n">
        <f aca="false">IFERROR(__xludf.dummyfunction("""COMPUTED_VALUE"""),5458.43)</f>
        <v>5458.43</v>
      </c>
      <c r="E61" s="2" t="n">
        <f aca="false">IFERROR(__xludf.dummyfunction("""COMPUTED_VALUE"""),5509.01)</f>
        <v>5509.01</v>
      </c>
      <c r="F61" s="3" t="n">
        <f aca="false">IFERROR(__xludf.dummyfunction("if($T61&lt;&gt;"""",VALUE(REGEXEXTRACT(SUBSTITUTE ($T61,F$1&amp;"" CE"",""""), F$1&amp;""[\w &amp;]*, (\d+\.\d+)"")),"""")
"),5525)</f>
        <v>5525</v>
      </c>
      <c r="G61" s="3" t="n">
        <f aca="false">IFERROR(__xludf.dummyfunction("if($T61&lt;&gt;"""",VALUE(REGEXEXTRACT($T61, G$1&amp;""[\w &amp;]*, (\d+\.\d+)"")),"""")
"),5525)</f>
        <v>5525</v>
      </c>
      <c r="H61" s="3" t="n">
        <f aca="false">IFERROR(__xludf.dummyfunction("if($T61&lt;&gt;"""",VALUE(REGEXEXTRACT($T61, H$1&amp;""[\w &amp;]*, (\d+\.\d+)"")),"""")"),5540)</f>
        <v>5540</v>
      </c>
      <c r="I61" s="3" t="n">
        <f aca="false">IFERROR(__xludf.dummyfunction("if($T61&lt;&gt;"""",VALUE(REGEXEXTRACT(SUBSTITUTE ($T61,I$1&amp;"" CE"",""""), I$1&amp;""[\w &amp;]*, (\d+\.\d+)"")),"""")
"),5550)</f>
        <v>5550</v>
      </c>
      <c r="J61" s="3" t="n">
        <f aca="false">IFERROR(__xludf.dummyfunction("if($T61&lt;&gt;"""",VALUE(REGEXEXTRACT($T61, J$1&amp;""[\w &amp;]*, (\d+\.\d+)"")),"""")
"),5495)</f>
        <v>5495</v>
      </c>
      <c r="K61" s="3" t="n">
        <f aca="false">IFERROR(__xludf.dummyfunction("if($T61&lt;&gt;"""",VALUE(REGEXEXTRACT($T61, K$1&amp;""[\w &amp;]*, (\d+\.\d+)"")),"""")
"),5475)</f>
        <v>5475</v>
      </c>
      <c r="L61" s="3" t="n">
        <f aca="false">IFERROR(__xludf.dummyfunction("if($T61&lt;&gt;"""",VALUE(REGEXEXTRACT(SUBSTITUTE ($T61,L$1&amp;"" CE"",""""), L$1&amp;""[\w &amp;]*, (\d+\.\d+)"")),"""")
"),5495)</f>
        <v>5495</v>
      </c>
      <c r="M61" s="3" t="n">
        <f aca="false">IFERROR(__xludf.dummyfunction("if($T61&lt;&gt;"""",VALUE(REGEXEXTRACT($T61, M$1&amp;""[\w &amp;]*, (\d+\.\d+)"")),"""")
"),5495)</f>
        <v>5495</v>
      </c>
      <c r="N61" s="3" t="n">
        <f aca="false">IFERROR(__xludf.dummyfunction("if($T61&lt;&gt;"""",VALUE(REGEXEXTRACT(SUBSTITUTE ($T61,N$1&amp;"" CE"",""""), N$1&amp;""[\w &amp;]*, (\d+\.\d+)"")),"""")
"),5550)</f>
        <v>5550</v>
      </c>
      <c r="O61" s="3" t="n">
        <f aca="false">IFERROR(__xludf.dummyfunction("if($T61&lt;&gt;"""",VALUE(REGEXEXTRACT($T61, O$1&amp;""[\w &amp;]*, (\d+\.\d+)"")),"""")
"),5525)</f>
        <v>5525</v>
      </c>
      <c r="P61" s="2" t="n">
        <f aca="false">IFERROR(__xludf.dummyfunction("if($T61&lt;&gt;"""",VALUE(REGEXEXTRACT($T61, P$1&amp;""[\w &amp;]*, (\d+\.\d+)"")),"""")
"),5480.61)</f>
        <v>5480.61</v>
      </c>
      <c r="Q61" s="2" t="n">
        <f aca="false">IFERROR(__xludf.dummyfunction("if($T61&lt;&gt;"""",VALUE(REGEXEXTRACT($T61, Q$1&amp;""[\w &amp;]*, (\d+\.\d+)"")),"""")
"),5459.83)</f>
        <v>5459.83</v>
      </c>
      <c r="R61" s="2" t="n">
        <f aca="false">IFERROR(__xludf.dummyfunction("if($T61&lt;&gt;"""",VALUE(REGEXEXTRACT($T61, SUBSTITUTE(R$1, ""+"", ""\+"")&amp;""[\w &amp;]*, (\d+\.\d+)"")),"""")"),5537.41)</f>
        <v>5537.41</v>
      </c>
      <c r="S61" s="2" t="n">
        <f aca="false">IFERROR(__xludf.dummyfunction("if($T61&lt;&gt;"""",VALUE(REGEXEXTRACT($T61, SUBSTITUTE(S$1, ""+"", ""\+"")&amp;""[\w &amp;]*, (\d+\.\d+)"")),"""")"),5558.19)</f>
        <v>5558.19</v>
      </c>
      <c r="T61" s="5" t="s">
        <v>74</v>
      </c>
      <c r="U61" s="5"/>
    </row>
    <row r="62" customFormat="false" ht="15.75" hidden="false" customHeight="false" outlineLevel="0" collapsed="false">
      <c r="A62" s="4" t="n">
        <f aca="false">IFERROR(__xludf.dummyfunction("""COMPUTED_VALUE"""),45476.5416666667)</f>
        <v>45476.5416666667</v>
      </c>
      <c r="B62" s="2" t="n">
        <f aca="false">IFERROR(__xludf.dummyfunction("""COMPUTED_VALUE"""),5507.44)</f>
        <v>5507.44</v>
      </c>
      <c r="C62" s="2" t="n">
        <f aca="false">IFERROR(__xludf.dummyfunction("""COMPUTED_VALUE"""),5539.27)</f>
        <v>5539.27</v>
      </c>
      <c r="D62" s="2" t="n">
        <f aca="false">IFERROR(__xludf.dummyfunction("""COMPUTED_VALUE"""),5507.42)</f>
        <v>5507.42</v>
      </c>
      <c r="E62" s="2" t="n">
        <f aca="false">IFERROR(__xludf.dummyfunction("""COMPUTED_VALUE"""),5537.02)</f>
        <v>5537.02</v>
      </c>
      <c r="F62" s="3" t="n">
        <f aca="false">IFERROR(__xludf.dummyfunction("if($T62&lt;&gt;"""",VALUE(REGEXEXTRACT(SUBSTITUTE ($T62,F$1&amp;"" CE"",""""), F$1&amp;""[\w &amp;]*, (\d+\.\d+)"")),"""")
"),5550)</f>
        <v>5550</v>
      </c>
      <c r="G62" s="3" t="n">
        <f aca="false">IFERROR(__xludf.dummyfunction("if($T62&lt;&gt;"""",VALUE(REGEXEXTRACT($T62, G$1&amp;""[\w &amp;]*, (\d+\.\d+)"")),"""")
"),5560)</f>
        <v>5560</v>
      </c>
      <c r="H62" s="3" t="n">
        <f aca="false">IFERROR(__xludf.dummyfunction("if($T62&lt;&gt;"""",VALUE(REGEXEXTRACT($T62, H$1&amp;""[\w &amp;]*, (\d+\.\d+)"")),"""")"),5610)</f>
        <v>5610</v>
      </c>
      <c r="I62" s="3" t="n">
        <f aca="false">IFERROR(__xludf.dummyfunction("if($T62&lt;&gt;"""",VALUE(REGEXEXTRACT(SUBSTITUTE ($T62,I$1&amp;"" CE"",""""), I$1&amp;""[\w &amp;]*, (\d+\.\d+)"")),"""")
"),5550)</f>
        <v>5550</v>
      </c>
      <c r="J62" s="3" t="n">
        <f aca="false">IFERROR(__xludf.dummyfunction("if($T62&lt;&gt;"""",VALUE(REGEXEXTRACT($T62, J$1&amp;""[\w &amp;]*, (\d+\.\d+)"")),"""")
"),5505)</f>
        <v>5505</v>
      </c>
      <c r="K62" s="3" t="n">
        <f aca="false">IFERROR(__xludf.dummyfunction("if($T62&lt;&gt;"""",VALUE(REGEXEXTRACT($T62, K$1&amp;""[\w &amp;]*, (\d+\.\d+)"")),"""")
"),5495)</f>
        <v>5495</v>
      </c>
      <c r="L62" s="3" t="n">
        <f aca="false">IFERROR(__xludf.dummyfunction("if($T62&lt;&gt;"""",VALUE(REGEXEXTRACT(SUBSTITUTE ($T62,L$1&amp;"" CE"",""""), L$1&amp;""[\w &amp;]*, (\d+\.\d+)"")),"""")
"),5510)</f>
        <v>5510</v>
      </c>
      <c r="M62" s="3" t="n">
        <f aca="false">IFERROR(__xludf.dummyfunction("if($T62&lt;&gt;"""",VALUE(REGEXEXTRACT($T62, M$1&amp;""[\w &amp;]*, (\d+\.\d+)"")),"""")
"),5515)</f>
        <v>5515</v>
      </c>
      <c r="N62" s="3" t="n">
        <f aca="false">IFERROR(__xludf.dummyfunction("if($T62&lt;&gt;"""",VALUE(REGEXEXTRACT(SUBSTITUTE ($T62,N$1&amp;"" CE"",""""), N$1&amp;""[\w &amp;]*, (\d+\.\d+)"")),"""")
"),5550)</f>
        <v>5550</v>
      </c>
      <c r="O62" s="3" t="n">
        <f aca="false">IFERROR(__xludf.dummyfunction("if($T62&lt;&gt;"""",VALUE(REGEXEXTRACT($T62, O$1&amp;""[\w &amp;]*, (\d+\.\d+)"")),"""")
"),5550)</f>
        <v>5550</v>
      </c>
      <c r="P62" s="2" t="n">
        <f aca="false">IFERROR(__xludf.dummyfunction("if($T62&lt;&gt;"""",VALUE(REGEXEXTRACT($T62, P$1&amp;""[\w &amp;]*, (\d+\.\d+)"")),"""")
"),5507.32)</f>
        <v>5507.32</v>
      </c>
      <c r="Q62" s="2" t="n">
        <f aca="false">IFERROR(__xludf.dummyfunction("if($T62&lt;&gt;"""",VALUE(REGEXEXTRACT($T62, Q$1&amp;""[\w &amp;]*, (\d+\.\d+)"")),"""")
"),5477.63)</f>
        <v>5477.63</v>
      </c>
      <c r="R62" s="2" t="n">
        <f aca="false">IFERROR(__xludf.dummyfunction("if($T62&lt;&gt;"""",VALUE(REGEXEXTRACT($T62, SUBSTITUTE(R$1, ""+"", ""\+"")&amp;""[\w &amp;]*, (\d+\.\d+)"")),"""")"),5566.72)</f>
        <v>5566.72</v>
      </c>
      <c r="S62" s="2" t="n">
        <f aca="false">IFERROR(__xludf.dummyfunction("if($T62&lt;&gt;"""",VALUE(REGEXEXTRACT($T62, SUBSTITUTE(S$1, ""+"", ""\+"")&amp;""[\w &amp;]*, (\d+\.\d+)"")),"""")"),5596.41)</f>
        <v>5596.41</v>
      </c>
      <c r="T62" s="5" t="s">
        <v>75</v>
      </c>
      <c r="U62" s="5"/>
    </row>
    <row r="63" customFormat="false" ht="15.75" hidden="false" customHeight="false" outlineLevel="0" collapsed="false">
      <c r="A63" s="4" t="n">
        <f aca="false">IFERROR(__xludf.dummyfunction("""COMPUTED_VALUE"""),45478.6666666667)</f>
        <v>45478.6666666667</v>
      </c>
      <c r="B63" s="2" t="n">
        <f aca="false">IFERROR(__xludf.dummyfunction("""COMPUTED_VALUE"""),5537.91)</f>
        <v>5537.91</v>
      </c>
      <c r="C63" s="2" t="n">
        <f aca="false">IFERROR(__xludf.dummyfunction("""COMPUTED_VALUE"""),5570.33)</f>
        <v>5570.33</v>
      </c>
      <c r="D63" s="2" t="n">
        <f aca="false">IFERROR(__xludf.dummyfunction("""COMPUTED_VALUE"""),5531.63)</f>
        <v>5531.63</v>
      </c>
      <c r="E63" s="2" t="n">
        <f aca="false">IFERROR(__xludf.dummyfunction("""COMPUTED_VALUE"""),5567.19)</f>
        <v>5567.19</v>
      </c>
      <c r="F63" s="3" t="n">
        <f aca="false">IFERROR(__xludf.dummyfunction("if($T63&lt;&gt;"""",VALUE(REGEXEXTRACT(SUBSTITUTE ($T63,F$1&amp;"" CE"",""""), F$1&amp;""[\w &amp;]*, (\d+\.\d+)"")),"""")
"),5585)</f>
        <v>5585</v>
      </c>
      <c r="G63" s="3" t="n">
        <f aca="false">IFERROR(__xludf.dummyfunction("if($T63&lt;&gt;"""",VALUE(REGEXEXTRACT($T63, G$1&amp;""[\w &amp;]*, (\d+\.\d+)"")),"""")
"),5585)</f>
        <v>5585</v>
      </c>
      <c r="H63" s="3" t="n">
        <f aca="false">IFERROR(__xludf.dummyfunction("if($T63&lt;&gt;"""",VALUE(REGEXEXTRACT($T63, H$1&amp;""[\w &amp;]*, (\d+\.\d+)"")),"""")"),5600)</f>
        <v>5600</v>
      </c>
      <c r="I63" s="3" t="n">
        <f aca="false">IFERROR(__xludf.dummyfunction("if($T63&lt;&gt;"""",VALUE(REGEXEXTRACT(SUBSTITUTE ($T63,I$1&amp;"" CE"",""""), I$1&amp;""[\w &amp;]*, (\d+\.\d+)"")),"""")
"),5550)</f>
        <v>5550</v>
      </c>
      <c r="J63" s="3" t="n">
        <f aca="false">IFERROR(__xludf.dummyfunction("if($T63&lt;&gt;"""",VALUE(REGEXEXTRACT($T63, J$1&amp;""[\w &amp;]*, (\d+\.\d+)"")),"""")
"),5550)</f>
        <v>5550</v>
      </c>
      <c r="K63" s="3" t="n">
        <f aca="false">IFERROR(__xludf.dummyfunction("if($T63&lt;&gt;"""",VALUE(REGEXEXTRACT($T63, K$1&amp;""[\w &amp;]*, (\d+\.\d+)"")),"""")
"),5535)</f>
        <v>5535</v>
      </c>
      <c r="L63" s="3" t="n">
        <f aca="false">IFERROR(__xludf.dummyfunction("if($T63&lt;&gt;"""",VALUE(REGEXEXTRACT(SUBSTITUTE ($T63,L$1&amp;"" CE"",""""), L$1&amp;""[\w &amp;]*, (\d+\.\d+)"")),"""")
"),5555)</f>
        <v>5555</v>
      </c>
      <c r="M63" s="3" t="n">
        <f aca="false">IFERROR(__xludf.dummyfunction("if($T63&lt;&gt;"""",VALUE(REGEXEXTRACT($T63, M$1&amp;""[\w &amp;]*, (\d+\.\d+)"")),"""")
"),5555)</f>
        <v>5555</v>
      </c>
      <c r="N63" s="3" t="n">
        <f aca="false">IFERROR(__xludf.dummyfunction("if($T63&lt;&gt;"""",VALUE(REGEXEXTRACT(SUBSTITUTE ($T63,N$1&amp;"" CE"",""""), N$1&amp;""[\w &amp;]*, (\d+\.\d+)"")),"""")
"),5550)</f>
        <v>5550</v>
      </c>
      <c r="O63" s="3" t="n">
        <f aca="false">IFERROR(__xludf.dummyfunction("if($T63&lt;&gt;"""",VALUE(REGEXEXTRACT($T63, O$1&amp;""[\w &amp;]*, (\d+\.\d+)"")),"""")
"),5550)</f>
        <v>5550</v>
      </c>
      <c r="P63" s="2" t="n">
        <f aca="false">IFERROR(__xludf.dummyfunction("if($T63&lt;&gt;"""",VALUE(REGEXEXTRACT($T63, P$1&amp;""[\w &amp;]*, (\d+\.\d+)"")),"""")
"),5536.89)</f>
        <v>5536.89</v>
      </c>
      <c r="Q63" s="2" t="n">
        <f aca="false">IFERROR(__xludf.dummyfunction("if($T63&lt;&gt;"""",VALUE(REGEXEXTRACT($T63, Q$1&amp;""[\w &amp;]*, (\d+\.\d+)"")),"""")
"),5524.34)</f>
        <v>5524.34</v>
      </c>
      <c r="R63" s="2" t="n">
        <f aca="false">IFERROR(__xludf.dummyfunction("if($T63&lt;&gt;"""",VALUE(REGEXEXTRACT($T63, SUBSTITUTE(R$1, ""+"", ""\+"")&amp;""[\w &amp;]*, (\d+\.\d+)"")),"""")"),5597.49)</f>
        <v>5597.49</v>
      </c>
      <c r="S63" s="2" t="n">
        <f aca="false">IFERROR(__xludf.dummyfunction("if($T63&lt;&gt;"""",VALUE(REGEXEXTRACT($T63, SUBSTITUTE(S$1, ""+"", ""\+"")&amp;""[\w &amp;]*, (\d+\.\d+)"")),"""")"),5610.04)</f>
        <v>5610.04</v>
      </c>
      <c r="T63" s="5" t="s">
        <v>76</v>
      </c>
      <c r="U63" s="5"/>
    </row>
    <row r="64" customFormat="false" ht="15.75" hidden="false" customHeight="false" outlineLevel="0" collapsed="false">
      <c r="A64" s="4" t="n">
        <f aca="false">IFERROR(__xludf.dummyfunction("""COMPUTED_VALUE"""),45481.6666666667)</f>
        <v>45481.6666666667</v>
      </c>
      <c r="B64" s="2" t="n">
        <f aca="false">IFERROR(__xludf.dummyfunction("""COMPUTED_VALUE"""),5572.75)</f>
        <v>5572.75</v>
      </c>
      <c r="C64" s="2" t="n">
        <f aca="false">IFERROR(__xludf.dummyfunction("""COMPUTED_VALUE"""),5583.11)</f>
        <v>5583.11</v>
      </c>
      <c r="D64" s="2" t="n">
        <f aca="false">IFERROR(__xludf.dummyfunction("""COMPUTED_VALUE"""),5562.51)</f>
        <v>5562.51</v>
      </c>
      <c r="E64" s="2" t="n">
        <f aca="false">IFERROR(__xludf.dummyfunction("""COMPUTED_VALUE"""),5572.85)</f>
        <v>5572.85</v>
      </c>
      <c r="F64" s="3" t="n">
        <f aca="false">IFERROR(__xludf.dummyfunction("if($T64&lt;&gt;"""",VALUE(REGEXEXTRACT(SUBSTITUTE ($T64,F$1&amp;"" CE"",""""), F$1&amp;""[\w &amp;]*, (\d+\.\d+)"")),"""")
"),5550)</f>
        <v>5550</v>
      </c>
      <c r="G64" s="3" t="n">
        <f aca="false">IFERROR(__xludf.dummyfunction("if($T64&lt;&gt;"""",VALUE(REGEXEXTRACT($T64, G$1&amp;""[\w &amp;]*, (\d+\.\d+)"")),"""")
"),5610)</f>
        <v>5610</v>
      </c>
      <c r="H64" s="3" t="n">
        <f aca="false">IFERROR(__xludf.dummyfunction("if($T64&lt;&gt;"""",VALUE(REGEXEXTRACT($T64, H$1&amp;""[\w &amp;]*, (\d+\.\d+)"")),"""")"),5610)</f>
        <v>5610</v>
      </c>
      <c r="I64" s="3" t="n">
        <f aca="false">IFERROR(__xludf.dummyfunction("if($T64&lt;&gt;"""",VALUE(REGEXEXTRACT(SUBSTITUTE ($T64,I$1&amp;"" CE"",""""), I$1&amp;""[\w &amp;]*, (\d+\.\d+)"")),"""")
"),5550)</f>
        <v>5550</v>
      </c>
      <c r="J64" s="3" t="n">
        <f aca="false">IFERROR(__xludf.dummyfunction("if($T64&lt;&gt;"""",VALUE(REGEXEXTRACT($T64, J$1&amp;""[\w &amp;]*, (\d+\.\d+)"")),"""")
"),5550)</f>
        <v>5550</v>
      </c>
      <c r="K64" s="3" t="str">
        <f aca="false">IFERROR(__xludf.dummyfunction("if($T64&lt;&gt;"""",VALUE(REGEXEXTRACT($T64, K$1&amp;""[\w &amp;]*, (\d+\.\d+)"")),"""")
"),"#N/A")</f>
        <v>#N/A</v>
      </c>
      <c r="L64" s="3" t="n">
        <f aca="false">IFERROR(__xludf.dummyfunction("if($T64&lt;&gt;"""",VALUE(REGEXEXTRACT(SUBSTITUTE ($T64,L$1&amp;"" CE"",""""), L$1&amp;""[\w &amp;]*, (\d+\.\d+)"")),"""")
"),5545)</f>
        <v>5545</v>
      </c>
      <c r="M64" s="3" t="n">
        <f aca="false">IFERROR(__xludf.dummyfunction("if($T64&lt;&gt;"""",VALUE(REGEXEXTRACT($T64, M$1&amp;""[\w &amp;]*, (\d+\.\d+)"")),"""")
"),5565)</f>
        <v>5565</v>
      </c>
      <c r="N64" s="3" t="n">
        <f aca="false">IFERROR(__xludf.dummyfunction("if($T64&lt;&gt;"""",VALUE(REGEXEXTRACT(SUBSTITUTE ($T64,N$1&amp;"" CE"",""""), N$1&amp;""[\w &amp;]*, (\d+\.\d+)"")),"""")
"),5550)</f>
        <v>5550</v>
      </c>
      <c r="O64" s="3" t="n">
        <f aca="false">IFERROR(__xludf.dummyfunction("if($T64&lt;&gt;"""",VALUE(REGEXEXTRACT($T64, O$1&amp;""[\w &amp;]*, (\d+\.\d+)"")),"""")
"),5610)</f>
        <v>5610</v>
      </c>
      <c r="P64" s="2" t="n">
        <f aca="false">IFERROR(__xludf.dummyfunction("if($T64&lt;&gt;"""",VALUE(REGEXEXTRACT($T64, P$1&amp;""[\w &amp;]*, (\d+\.\d+)"")),"""")
"),5542.06)</f>
        <v>5542.06</v>
      </c>
      <c r="Q64" s="2" t="n">
        <f aca="false">IFERROR(__xludf.dummyfunction("if($T64&lt;&gt;"""",VALUE(REGEXEXTRACT($T64, Q$1&amp;""[\w &amp;]*, (\d+\.\d+)"")),"""")
"),5529.31)</f>
        <v>5529.31</v>
      </c>
      <c r="R64" s="2" t="n">
        <f aca="false">IFERROR(__xludf.dummyfunction("if($T64&lt;&gt;"""",VALUE(REGEXEXTRACT($T64, SUBSTITUTE(R$1, ""+"", ""\+"")&amp;""[\w &amp;]*, (\d+\.\d+)"")),"""")"),5603.64)</f>
        <v>5603.64</v>
      </c>
      <c r="S64" s="2" t="n">
        <f aca="false">IFERROR(__xludf.dummyfunction("if($T64&lt;&gt;"""",VALUE(REGEXEXTRACT($T64, SUBSTITUTE(S$1, ""+"", ""\+"")&amp;""[\w &amp;]*, (\d+\.\d+)"")),"""")"),5616.39)</f>
        <v>5616.39</v>
      </c>
      <c r="T64" s="5" t="s">
        <v>77</v>
      </c>
      <c r="U64" s="5"/>
    </row>
    <row r="65" customFormat="false" ht="15.75" hidden="false" customHeight="false" outlineLevel="0" collapsed="false">
      <c r="A65" s="4" t="n">
        <f aca="false">IFERROR(__xludf.dummyfunction("""COMPUTED_VALUE"""),45482.6666666667)</f>
        <v>45482.6666666667</v>
      </c>
      <c r="B65" s="2" t="n">
        <f aca="false">IFERROR(__xludf.dummyfunction("""COMPUTED_VALUE"""),5584.24)</f>
        <v>5584.24</v>
      </c>
      <c r="C65" s="2" t="n">
        <f aca="false">IFERROR(__xludf.dummyfunction("""COMPUTED_VALUE"""),5590.75)</f>
        <v>5590.75</v>
      </c>
      <c r="D65" s="2" t="n">
        <f aca="false">IFERROR(__xludf.dummyfunction("""COMPUTED_VALUE"""),5574.57)</f>
        <v>5574.57</v>
      </c>
      <c r="E65" s="2" t="n">
        <f aca="false">IFERROR(__xludf.dummyfunction("""COMPUTED_VALUE"""),5576.98)</f>
        <v>5576.98</v>
      </c>
      <c r="F65" s="3" t="n">
        <f aca="false">IFERROR(__xludf.dummyfunction("if($T65&lt;&gt;"""",VALUE(REGEXEXTRACT(SUBSTITUTE ($T65,F$1&amp;"" CE"",""""), F$1&amp;""[\w &amp;]*, (\d+\.\d+)"")),"""")
"),5550)</f>
        <v>5550</v>
      </c>
      <c r="G65" s="3" t="n">
        <f aca="false">IFERROR(__xludf.dummyfunction("if($T65&lt;&gt;"""",VALUE(REGEXEXTRACT($T65, G$1&amp;""[\w &amp;]*, (\d+\.\d+)"")),"""")
"),5600)</f>
        <v>5600</v>
      </c>
      <c r="H65" s="3" t="n">
        <f aca="false">IFERROR(__xludf.dummyfunction("if($T65&lt;&gt;"""",VALUE(REGEXEXTRACT($T65, H$1&amp;""[\w &amp;]*, (\d+\.\d+)"")),"""")"),5625)</f>
        <v>5625</v>
      </c>
      <c r="I65" s="3" t="n">
        <f aca="false">IFERROR(__xludf.dummyfunction("if($T65&lt;&gt;"""",VALUE(REGEXEXTRACT(SUBSTITUTE ($T65,I$1&amp;"" CE"",""""), I$1&amp;""[\w &amp;]*, (\d+\.\d+)"")),"""")
"),5550)</f>
        <v>5550</v>
      </c>
      <c r="J65" s="3" t="n">
        <f aca="false">IFERROR(__xludf.dummyfunction("if($T65&lt;&gt;"""",VALUE(REGEXEXTRACT($T65, J$1&amp;""[\w &amp;]*, (\d+\.\d+)"")),"""")
"),5560)</f>
        <v>5560</v>
      </c>
      <c r="K65" s="3" t="str">
        <f aca="false">IFERROR(__xludf.dummyfunction("if($T65&lt;&gt;"""",VALUE(REGEXEXTRACT($T65, K$1&amp;""[\w &amp;]*, (\d+\.\d+)"")),"""")
"),"#N/A")</f>
        <v>#N/A</v>
      </c>
      <c r="L65" s="3" t="n">
        <f aca="false">IFERROR(__xludf.dummyfunction("if($T65&lt;&gt;"""",VALUE(REGEXEXTRACT(SUBSTITUTE ($T65,L$1&amp;"" CE"",""""), L$1&amp;""[\w &amp;]*, (\d+\.\d+)"")),"""")
"),5545)</f>
        <v>5545</v>
      </c>
      <c r="M65" s="3" t="n">
        <f aca="false">IFERROR(__xludf.dummyfunction("if($T65&lt;&gt;"""",VALUE(REGEXEXTRACT($T65, M$1&amp;""[\w &amp;]*, (\d+\.\d+)"")),"""")
"),5575)</f>
        <v>5575</v>
      </c>
      <c r="N65" s="3" t="n">
        <f aca="false">IFERROR(__xludf.dummyfunction("if($T65&lt;&gt;"""",VALUE(REGEXEXTRACT(SUBSTITUTE ($T65,N$1&amp;"" CE"",""""), N$1&amp;""[\w &amp;]*, (\d+\.\d+)"")),"""")
"),5550)</f>
        <v>5550</v>
      </c>
      <c r="O65" s="3" t="n">
        <f aca="false">IFERROR(__xludf.dummyfunction("if($T65&lt;&gt;"""",VALUE(REGEXEXTRACT($T65, O$1&amp;""[\w &amp;]*, (\d+\.\d+)"")),"""")
"),5600)</f>
        <v>5600</v>
      </c>
      <c r="P65" s="2" t="n">
        <f aca="false">IFERROR(__xludf.dummyfunction("if($T65&lt;&gt;"""",VALUE(REGEXEXTRACT($T65, P$1&amp;""[\w &amp;]*, (\d+\.\d+)"")),"""")
"),5546.18)</f>
        <v>5546.18</v>
      </c>
      <c r="Q65" s="2" t="n">
        <f aca="false">IFERROR(__xludf.dummyfunction("if($T65&lt;&gt;"""",VALUE(REGEXEXTRACT($T65, Q$1&amp;""[\w &amp;]*, (\d+\.\d+)"")),"""")
"),5533.43)</f>
        <v>5533.43</v>
      </c>
      <c r="R65" s="2" t="n">
        <f aca="false">IFERROR(__xludf.dummyfunction("if($T65&lt;&gt;"""",VALUE(REGEXEXTRACT($T65, SUBSTITUTE(R$1, ""+"", ""\+"")&amp;""[\w &amp;]*, (\d+\.\d+)"")),"""")"),5607.78)</f>
        <v>5607.78</v>
      </c>
      <c r="S65" s="2" t="n">
        <f aca="false">IFERROR(__xludf.dummyfunction("if($T65&lt;&gt;"""",VALUE(REGEXEXTRACT($T65, SUBSTITUTE(S$1, ""+"", ""\+"")&amp;""[\w &amp;]*, (\d+\.\d+)"")),"""")"),5620.53)</f>
        <v>5620.53</v>
      </c>
      <c r="T65" s="5" t="s">
        <v>78</v>
      </c>
      <c r="U65" s="5"/>
    </row>
    <row r="66" customFormat="false" ht="15.75" hidden="false" customHeight="false" outlineLevel="0" collapsed="false">
      <c r="A66" s="4" t="n">
        <f aca="false">IFERROR(__xludf.dummyfunction("""COMPUTED_VALUE"""),45483.6666666667)</f>
        <v>45483.6666666667</v>
      </c>
      <c r="B66" s="2" t="n">
        <f aca="false">IFERROR(__xludf.dummyfunction("""COMPUTED_VALUE"""),5591.26)</f>
        <v>5591.26</v>
      </c>
      <c r="C66" s="2" t="n">
        <f aca="false">IFERROR(__xludf.dummyfunction("""COMPUTED_VALUE"""),5635.39)</f>
        <v>5635.39</v>
      </c>
      <c r="D66" s="2" t="n">
        <f aca="false">IFERROR(__xludf.dummyfunction("""COMPUTED_VALUE"""),5586.44)</f>
        <v>5586.44</v>
      </c>
      <c r="E66" s="2" t="n">
        <f aca="false">IFERROR(__xludf.dummyfunction("""COMPUTED_VALUE"""),5633.91)</f>
        <v>5633.91</v>
      </c>
      <c r="F66" s="3" t="n">
        <f aca="false">IFERROR(__xludf.dummyfunction("if($T66&lt;&gt;"""",VALUE(REGEXEXTRACT(SUBSTITUTE ($T66,F$1&amp;"" CE"",""""), F$1&amp;""[\w &amp;]*, (\d+\.\d+)"")),"""")
"),5550)</f>
        <v>5550</v>
      </c>
      <c r="G66" s="3" t="n">
        <f aca="false">IFERROR(__xludf.dummyfunction("if($T66&lt;&gt;"""",VALUE(REGEXEXTRACT($T66, G$1&amp;""[\w &amp;]*, (\d+\.\d+)"")),"""")
"),5665)</f>
        <v>5665</v>
      </c>
      <c r="H66" s="3" t="n">
        <f aca="false">IFERROR(__xludf.dummyfunction("if($T66&lt;&gt;"""",VALUE(REGEXEXTRACT($T66, H$1&amp;""[\w &amp;]*, (\d+\.\d+)"")),"""")"),5710)</f>
        <v>5710</v>
      </c>
      <c r="I66" s="3" t="n">
        <f aca="false">IFERROR(__xludf.dummyfunction("if($T66&lt;&gt;"""",VALUE(REGEXEXTRACT(SUBSTITUTE ($T66,I$1&amp;"" CE"",""""), I$1&amp;""[\w &amp;]*, (\d+\.\d+)"")),"""")
"),5550)</f>
        <v>5550</v>
      </c>
      <c r="J66" s="3" t="n">
        <f aca="false">IFERROR(__xludf.dummyfunction("if($T66&lt;&gt;"""",VALUE(REGEXEXTRACT($T66, J$1&amp;""[\w &amp;]*, (\d+\.\d+)"")),"""")
"),5595)</f>
        <v>5595</v>
      </c>
      <c r="K66" s="3" t="n">
        <f aca="false">IFERROR(__xludf.dummyfunction("if($T66&lt;&gt;"""",VALUE(REGEXEXTRACT($T66, K$1&amp;""[\w &amp;]*, (\d+\.\d+)"")),"""")
"),5480)</f>
        <v>5480</v>
      </c>
      <c r="L66" s="3" t="n">
        <f aca="false">IFERROR(__xludf.dummyfunction("if($T66&lt;&gt;"""",VALUE(REGEXEXTRACT(SUBSTITUTE ($T66,L$1&amp;"" CE"",""""), L$1&amp;""[\w &amp;]*, (\d+\.\d+)"")),"""")
"),5545)</f>
        <v>5545</v>
      </c>
      <c r="M66" s="3" t="n">
        <f aca="false">IFERROR(__xludf.dummyfunction("if($T66&lt;&gt;"""",VALUE(REGEXEXTRACT($T66, M$1&amp;""[\w &amp;]*, (\d+\.\d+)"")),"""")
"),5600)</f>
        <v>5600</v>
      </c>
      <c r="N66" s="3" t="n">
        <f aca="false">IFERROR(__xludf.dummyfunction("if($T66&lt;&gt;"""",VALUE(REGEXEXTRACT(SUBSTITUTE ($T66,N$1&amp;"" CE"",""""), N$1&amp;""[\w &amp;]*, (\d+\.\d+)"")),"""")
"),5550)</f>
        <v>5550</v>
      </c>
      <c r="O66" s="3" t="n">
        <f aca="false">IFERROR(__xludf.dummyfunction("if($T66&lt;&gt;"""",VALUE(REGEXEXTRACT($T66, O$1&amp;""[\w &amp;]*, (\d+\.\d+)"")),"""")
"),5670)</f>
        <v>5670</v>
      </c>
      <c r="P66" s="2" t="n">
        <f aca="false">IFERROR(__xludf.dummyfunction("if($T66&lt;&gt;"""",VALUE(REGEXEXTRACT($T66, P$1&amp;""[\w &amp;]*, (\d+\.\d+)"")),"""")
"),5601.41)</f>
        <v>5601.41</v>
      </c>
      <c r="Q66" s="2" t="n">
        <f aca="false">IFERROR(__xludf.dummyfunction("if($T66&lt;&gt;"""",VALUE(REGEXEXTRACT($T66, Q$1&amp;""[\w &amp;]*, (\d+\.\d+)"")),"""")
"),5587.95)</f>
        <v>5587.95</v>
      </c>
      <c r="R66" s="2" t="n">
        <f aca="false">IFERROR(__xludf.dummyfunction("if($T66&lt;&gt;"""",VALUE(REGEXEXTRACT($T66, SUBSTITUTE(R$1, ""+"", ""\+"")&amp;""[\w &amp;]*, (\d+\.\d+)"")),"""")"),5666.41)</f>
        <v>5666.41</v>
      </c>
      <c r="S66" s="2" t="n">
        <f aca="false">IFERROR(__xludf.dummyfunction("if($T66&lt;&gt;"""",VALUE(REGEXEXTRACT($T66, SUBSTITUTE(S$1, ""+"", ""\+"")&amp;""[\w &amp;]*, (\d+\.\d+)"")),"""")"),5679.87)</f>
        <v>5679.87</v>
      </c>
      <c r="T66" s="5" t="s">
        <v>79</v>
      </c>
      <c r="U66" s="5"/>
    </row>
    <row r="67" customFormat="false" ht="15.75" hidden="false" customHeight="false" outlineLevel="0" collapsed="false">
      <c r="A67" s="4" t="n">
        <f aca="false">IFERROR(__xludf.dummyfunction("""COMPUTED_VALUE"""),45484.6666666667)</f>
        <v>45484.6666666667</v>
      </c>
      <c r="B67" s="2" t="n">
        <f aca="false">IFERROR(__xludf.dummyfunction("""COMPUTED_VALUE"""),5635.21)</f>
        <v>5635.21</v>
      </c>
      <c r="C67" s="2" t="n">
        <f aca="false">IFERROR(__xludf.dummyfunction("""COMPUTED_VALUE"""),5642.45)</f>
        <v>5642.45</v>
      </c>
      <c r="D67" s="2" t="n">
        <f aca="false">IFERROR(__xludf.dummyfunction("""COMPUTED_VALUE"""),5576.53)</f>
        <v>5576.53</v>
      </c>
      <c r="E67" s="2" t="n">
        <f aca="false">IFERROR(__xludf.dummyfunction("""COMPUTED_VALUE"""),5584.54)</f>
        <v>5584.54</v>
      </c>
      <c r="F67" s="3" t="n">
        <f aca="false">IFERROR(__xludf.dummyfunction("if($T67&lt;&gt;"""",VALUE(REGEXEXTRACT(SUBSTITUTE ($T67,F$1&amp;"" CE"",""""), F$1&amp;""[\w &amp;]*, (\d+\.\d+)"")),"""")
"),5550)</f>
        <v>5550</v>
      </c>
      <c r="G67" s="3" t="n">
        <f aca="false">IFERROR(__xludf.dummyfunction("if($T67&lt;&gt;"""",VALUE(REGEXEXTRACT($T67, G$1&amp;""[\w &amp;]*, (\d+\.\d+)"")),"""")
"),5615)</f>
        <v>5615</v>
      </c>
      <c r="H67" s="3" t="n">
        <f aca="false">IFERROR(__xludf.dummyfunction("if($T67&lt;&gt;"""",VALUE(REGEXEXTRACT($T67, H$1&amp;""[\w &amp;]*, (\d+\.\d+)"")),"""")"),5620)</f>
        <v>5620</v>
      </c>
      <c r="I67" s="3" t="n">
        <f aca="false">IFERROR(__xludf.dummyfunction("if($T67&lt;&gt;"""",VALUE(REGEXEXTRACT(SUBSTITUTE ($T67,I$1&amp;"" CE"",""""), I$1&amp;""[\w &amp;]*, (\d+\.\d+)"")),"""")
"),5550)</f>
        <v>5550</v>
      </c>
      <c r="J67" s="3" t="n">
        <f aca="false">IFERROR(__xludf.dummyfunction("if($T67&lt;&gt;"""",VALUE(REGEXEXTRACT($T67, J$1&amp;""[\w &amp;]*, (\d+\.\d+)"")),"""")
"),5560)</f>
        <v>5560</v>
      </c>
      <c r="K67" s="3" t="n">
        <f aca="false">IFERROR(__xludf.dummyfunction("if($T67&lt;&gt;"""",VALUE(REGEXEXTRACT($T67, K$1&amp;""[\w &amp;]*, (\d+\.\d+)"")),"""")
"),5485)</f>
        <v>5485</v>
      </c>
      <c r="L67" s="3" t="n">
        <f aca="false">IFERROR(__xludf.dummyfunction("if($T67&lt;&gt;"""",VALUE(REGEXEXTRACT(SUBSTITUTE ($T67,L$1&amp;"" CE"",""""), L$1&amp;""[\w &amp;]*, (\d+\.\d+)"")),"""")
"),5575)</f>
        <v>5575</v>
      </c>
      <c r="M67" s="3" t="n">
        <f aca="false">IFERROR(__xludf.dummyfunction("if($T67&lt;&gt;"""",VALUE(REGEXEXTRACT($T67, M$1&amp;""[\w &amp;]*, (\d+\.\d+)"")),"""")
"),5580)</f>
        <v>5580</v>
      </c>
      <c r="N67" s="3" t="n">
        <f aca="false">IFERROR(__xludf.dummyfunction("if($T67&lt;&gt;"""",VALUE(REGEXEXTRACT(SUBSTITUTE ($T67,N$1&amp;"" CE"",""""), N$1&amp;""[\w &amp;]*, (\d+\.\d+)"")),"""")
"),5550)</f>
        <v>5550</v>
      </c>
      <c r="O67" s="3" t="n">
        <f aca="false">IFERROR(__xludf.dummyfunction("if($T67&lt;&gt;"""",VALUE(REGEXEXTRACT($T67, O$1&amp;""[\w &amp;]*, (\d+\.\d+)"")),"""")
"),5615)</f>
        <v>5615</v>
      </c>
      <c r="P67" s="2" t="n">
        <f aca="false">IFERROR(__xludf.dummyfunction("if($T67&lt;&gt;"""",VALUE(REGEXEXTRACT($T67, P$1&amp;""[\w &amp;]*, (\d+\.\d+)"")),"""")
"),5553.64)</f>
        <v>5553.64</v>
      </c>
      <c r="Q67" s="2" t="n">
        <f aca="false">IFERROR(__xludf.dummyfunction("if($T67&lt;&gt;"""",VALUE(REGEXEXTRACT($T67, Q$1&amp;""[\w &amp;]*, (\d+\.\d+)"")),"""")
"),5522.74)</f>
        <v>5522.74</v>
      </c>
      <c r="R67" s="2" t="n">
        <f aca="false">IFERROR(__xludf.dummyfunction("if($T67&lt;&gt;"""",VALUE(REGEXEXTRACT($T67, SUBSTITUTE(R$1, ""+"", ""\+"")&amp;""[\w &amp;]*, (\d+\.\d+)"")),"""")"),5615.44)</f>
        <v>5615.44</v>
      </c>
      <c r="S67" s="2" t="n">
        <f aca="false">IFERROR(__xludf.dummyfunction("if($T67&lt;&gt;"""",VALUE(REGEXEXTRACT($T67, SUBSTITUTE(S$1, ""+"", ""\+"")&amp;""[\w &amp;]*, (\d+\.\d+)"")),"""")"),5646.34)</f>
        <v>5646.34</v>
      </c>
      <c r="T67" s="5" t="s">
        <v>80</v>
      </c>
      <c r="U67" s="5"/>
    </row>
    <row r="68" customFormat="false" ht="15.75" hidden="false" customHeight="false" outlineLevel="0" collapsed="false">
      <c r="A68" s="4" t="n">
        <f aca="false">IFERROR(__xludf.dummyfunction("""COMPUTED_VALUE"""),45485.6666666667)</f>
        <v>45485.6666666667</v>
      </c>
      <c r="B68" s="2" t="n">
        <f aca="false">IFERROR(__xludf.dummyfunction("""COMPUTED_VALUE"""),5590.76)</f>
        <v>5590.76</v>
      </c>
      <c r="C68" s="2" t="n">
        <f aca="false">IFERROR(__xludf.dummyfunction("""COMPUTED_VALUE"""),5655.56)</f>
        <v>5655.56</v>
      </c>
      <c r="D68" s="2" t="n">
        <f aca="false">IFERROR(__xludf.dummyfunction("""COMPUTED_VALUE"""),5590.44)</f>
        <v>5590.44</v>
      </c>
      <c r="E68" s="2" t="n">
        <f aca="false">IFERROR(__xludf.dummyfunction("""COMPUTED_VALUE"""),5615.35)</f>
        <v>5615.35</v>
      </c>
      <c r="F68" s="3" t="n">
        <f aca="false">IFERROR(__xludf.dummyfunction("if($T68&lt;&gt;"""",VALUE(REGEXEXTRACT(SUBSTITUTE ($T68,F$1&amp;"" CE"",""""), F$1&amp;""[\w &amp;]*, (\d+\.\d+)"")),"""")
"),5635)</f>
        <v>5635</v>
      </c>
      <c r="G68" s="3" t="n">
        <f aca="false">IFERROR(__xludf.dummyfunction("if($T68&lt;&gt;"""",VALUE(REGEXEXTRACT($T68, G$1&amp;""[\w &amp;]*, (\d+\.\d+)"")),"""")
"),5635)</f>
        <v>5635</v>
      </c>
      <c r="H68" s="3" t="n">
        <f aca="false">IFERROR(__xludf.dummyfunction("if($T68&lt;&gt;"""",VALUE(REGEXEXTRACT($T68, H$1&amp;""[\w &amp;]*, (\d+\.\d+)"")),"""")"),5650)</f>
        <v>5650</v>
      </c>
      <c r="I68" s="3" t="n">
        <f aca="false">IFERROR(__xludf.dummyfunction("if($T68&lt;&gt;"""",VALUE(REGEXEXTRACT(SUBSTITUTE ($T68,I$1&amp;"" CE"",""""), I$1&amp;""[\w &amp;]*, (\d+\.\d+)"")),"""")
"),5550)</f>
        <v>5550</v>
      </c>
      <c r="J68" s="3" t="n">
        <f aca="false">IFERROR(__xludf.dummyfunction("if($T68&lt;&gt;"""",VALUE(REGEXEXTRACT($T68, J$1&amp;""[\w &amp;]*, (\d+\.\d+)"")),"""")
"),5590)</f>
        <v>5590</v>
      </c>
      <c r="K68" s="3" t="n">
        <f aca="false">IFERROR(__xludf.dummyfunction("if($T68&lt;&gt;"""",VALUE(REGEXEXTRACT($T68, K$1&amp;""[\w &amp;]*, (\d+\.\d+)"")),"""")
"),5575)</f>
        <v>5575</v>
      </c>
      <c r="L68" s="3" t="n">
        <f aca="false">IFERROR(__xludf.dummyfunction("if($T68&lt;&gt;"""",VALUE(REGEXEXTRACT(SUBSTITUTE ($T68,L$1&amp;"" CE"",""""), L$1&amp;""[\w &amp;]*, (\d+\.\d+)"")),"""")
"),5595)</f>
        <v>5595</v>
      </c>
      <c r="M68" s="3" t="n">
        <f aca="false">IFERROR(__xludf.dummyfunction("if($T68&lt;&gt;"""",VALUE(REGEXEXTRACT($T68, M$1&amp;""[\w &amp;]*, (\d+\.\d+)"")),"""")
"),5625)</f>
        <v>5625</v>
      </c>
      <c r="N68" s="3" t="n">
        <f aca="false">IFERROR(__xludf.dummyfunction("if($T68&lt;&gt;"""",VALUE(REGEXEXTRACT(SUBSTITUTE ($T68,N$1&amp;"" CE"",""""), N$1&amp;""[\w &amp;]*, (\d+\.\d+)"")),"""")
"),5550)</f>
        <v>5550</v>
      </c>
      <c r="O68" s="3" t="n">
        <f aca="false">IFERROR(__xludf.dummyfunction("if($T68&lt;&gt;"""",VALUE(REGEXEXTRACT($T68, O$1&amp;""[\w &amp;]*, (\d+\.\d+)"")),"""")
"),5635)</f>
        <v>5635</v>
      </c>
      <c r="P68" s="2" t="n">
        <f aca="false">IFERROR(__xludf.dummyfunction("if($T68&lt;&gt;"""",VALUE(REGEXEXTRACT($T68, P$1&amp;""[\w &amp;]*, (\d+\.\d+)"")),"""")
"),5583.01)</f>
        <v>5583.01</v>
      </c>
      <c r="Q68" s="2" t="n">
        <f aca="false">IFERROR(__xludf.dummyfunction("if($T68&lt;&gt;"""",VALUE(REGEXEXTRACT($T68, Q$1&amp;""[\w &amp;]*, (\d+\.\d+)"")),"""")
"),5569.61)</f>
        <v>5569.61</v>
      </c>
      <c r="R68" s="2" t="n">
        <f aca="false">IFERROR(__xludf.dummyfunction("if($T68&lt;&gt;"""",VALUE(REGEXEXTRACT($T68, SUBSTITUTE(R$1, ""+"", ""\+"")&amp;""[\w &amp;]*, (\d+\.\d+)"")),"""")"),5647.69)</f>
        <v>5647.69</v>
      </c>
      <c r="S68" s="2" t="n">
        <f aca="false">IFERROR(__xludf.dummyfunction("if($T68&lt;&gt;"""",VALUE(REGEXEXTRACT($T68, SUBSTITUTE(S$1, ""+"", ""\+"")&amp;""[\w &amp;]*, (\d+\.\d+)"")),"""")"),5661.09)</f>
        <v>5661.09</v>
      </c>
      <c r="T68" s="5" t="s">
        <v>81</v>
      </c>
      <c r="U68" s="5"/>
    </row>
    <row r="69" customFormat="false" ht="15.75" hidden="false" customHeight="false" outlineLevel="0" collapsed="false">
      <c r="A69" s="4" t="n">
        <f aca="false">IFERROR(__xludf.dummyfunction("""COMPUTED_VALUE"""),45488.6666666667)</f>
        <v>45488.6666666667</v>
      </c>
      <c r="B69" s="2" t="n">
        <f aca="false">IFERROR(__xludf.dummyfunction("""COMPUTED_VALUE"""),5638.16)</f>
        <v>5638.16</v>
      </c>
      <c r="C69" s="2" t="n">
        <f aca="false">IFERROR(__xludf.dummyfunction("""COMPUTED_VALUE"""),5666.94)</f>
        <v>5666.94</v>
      </c>
      <c r="D69" s="2" t="n">
        <f aca="false">IFERROR(__xludf.dummyfunction("""COMPUTED_VALUE"""),5614.75)</f>
        <v>5614.75</v>
      </c>
      <c r="E69" s="2" t="n">
        <f aca="false">IFERROR(__xludf.dummyfunction("""COMPUTED_VALUE"""),5631.22)</f>
        <v>5631.22</v>
      </c>
      <c r="F69" s="3" t="n">
        <f aca="false">IFERROR(__xludf.dummyfunction("if($T69&lt;&gt;"""",VALUE(REGEXEXTRACT(SUBSTITUTE ($T69,F$1&amp;"" CE"",""""), F$1&amp;""[\w &amp;]*, (\d+\.\d+)"")),"""")
"),5550)</f>
        <v>5550</v>
      </c>
      <c r="G69" s="3" t="n">
        <f aca="false">IFERROR(__xludf.dummyfunction("if($T69&lt;&gt;"""",VALUE(REGEXEXTRACT($T69, G$1&amp;""[\w &amp;]*, (\d+\.\d+)"")),"""")
"),5650)</f>
        <v>5650</v>
      </c>
      <c r="H69" s="3" t="n">
        <f aca="false">IFERROR(__xludf.dummyfunction("if($T69&lt;&gt;"""",VALUE(REGEXEXTRACT($T69, H$1&amp;""[\w &amp;]*, (\d+\.\d+)"")),"""")"),5660)</f>
        <v>5660</v>
      </c>
      <c r="I69" s="3" t="n">
        <f aca="false">IFERROR(__xludf.dummyfunction("if($T69&lt;&gt;"""",VALUE(REGEXEXTRACT(SUBSTITUTE ($T69,I$1&amp;"" CE"",""""), I$1&amp;""[\w &amp;]*, (\d+\.\d+)"")),"""")
"),5550)</f>
        <v>5550</v>
      </c>
      <c r="J69" s="3" t="n">
        <f aca="false">IFERROR(__xludf.dummyfunction("if($T69&lt;&gt;"""",VALUE(REGEXEXTRACT($T69, J$1&amp;""[\w &amp;]*, (\d+\.\d+)"")),"""")
"),5600)</f>
        <v>5600</v>
      </c>
      <c r="K69" s="3" t="str">
        <f aca="false">IFERROR(__xludf.dummyfunction("if($T69&lt;&gt;"""",VALUE(REGEXEXTRACT($T69, K$1&amp;""[\w &amp;]*, (\d+\.\d+)"")),"""")
"),"#N/A")</f>
        <v>#N/A</v>
      </c>
      <c r="L69" s="3" t="n">
        <f aca="false">IFERROR(__xludf.dummyfunction("if($T69&lt;&gt;"""",VALUE(REGEXEXTRACT(SUBSTITUTE ($T69,L$1&amp;"" CE"",""""), L$1&amp;""[\w &amp;]*, (\d+\.\d+)"")),"""")
"),5615)</f>
        <v>5615</v>
      </c>
      <c r="M69" s="3" t="n">
        <f aca="false">IFERROR(__xludf.dummyfunction("if($T69&lt;&gt;"""",VALUE(REGEXEXTRACT($T69, M$1&amp;""[\w &amp;]*, (\d+\.\d+)"")),"""")
"),5625)</f>
        <v>5625</v>
      </c>
      <c r="N69" s="3" t="n">
        <f aca="false">IFERROR(__xludf.dummyfunction("if($T69&lt;&gt;"""",VALUE(REGEXEXTRACT(SUBSTITUTE ($T69,N$1&amp;"" CE"",""""), N$1&amp;""[\w &amp;]*, (\d+\.\d+)"")),"""")
"),5550)</f>
        <v>5550</v>
      </c>
      <c r="O69" s="3" t="n">
        <f aca="false">IFERROR(__xludf.dummyfunction("if($T69&lt;&gt;"""",VALUE(REGEXEXTRACT($T69, O$1&amp;""[\w &amp;]*, (\d+\.\d+)"")),"""")
"),5650)</f>
        <v>5650</v>
      </c>
      <c r="P69" s="2" t="n">
        <f aca="false">IFERROR(__xludf.dummyfunction("if($T69&lt;&gt;"""",VALUE(REGEXEXTRACT($T69, P$1&amp;""[\w &amp;]*, (\d+\.\d+)"")),"""")
"),5597.34)</f>
        <v>5597.34</v>
      </c>
      <c r="Q69" s="2" t="n">
        <f aca="false">IFERROR(__xludf.dummyfunction("if($T69&lt;&gt;"""",VALUE(REGEXEXTRACT($T69, Q$1&amp;""[\w &amp;]*, (\d+\.\d+)"")),"""")
"),5583.31)</f>
        <v>5583.31</v>
      </c>
      <c r="R69" s="2" t="n">
        <f aca="false">IFERROR(__xludf.dummyfunction("if($T69&lt;&gt;"""",VALUE(REGEXEXTRACT($T69, SUBSTITUTE(R$1, ""+"", ""\+"")&amp;""[\w &amp;]*, (\d+\.\d+)"")),"""")"),5665.1)</f>
        <v>5665.1</v>
      </c>
      <c r="S69" s="2" t="n">
        <f aca="false">IFERROR(__xludf.dummyfunction("if($T69&lt;&gt;"""",VALUE(REGEXEXTRACT($T69, SUBSTITUTE(S$1, ""+"", ""\+"")&amp;""[\w &amp;]*, (\d+\.\d+)"")),"""")"),5679.13)</f>
        <v>5679.13</v>
      </c>
      <c r="T69" s="5" t="s">
        <v>82</v>
      </c>
      <c r="U69" s="5"/>
    </row>
    <row r="70" customFormat="false" ht="15.75" hidden="false" customHeight="false" outlineLevel="0" collapsed="false">
      <c r="A70" s="4" t="n">
        <f aca="false">IFERROR(__xludf.dummyfunction("""COMPUTED_VALUE"""),45489.6666666667)</f>
        <v>45489.6666666667</v>
      </c>
      <c r="B70" s="2" t="n">
        <f aca="false">IFERROR(__xludf.dummyfunction("""COMPUTED_VALUE"""),5644.09)</f>
        <v>5644.09</v>
      </c>
      <c r="C70" s="2" t="n">
        <f aca="false">IFERROR(__xludf.dummyfunction("""COMPUTED_VALUE"""),5669.67)</f>
        <v>5669.67</v>
      </c>
      <c r="D70" s="2" t="n">
        <f aca="false">IFERROR(__xludf.dummyfunction("""COMPUTED_VALUE"""),5639.02)</f>
        <v>5639.02</v>
      </c>
      <c r="E70" s="2" t="n">
        <f aca="false">IFERROR(__xludf.dummyfunction("""COMPUTED_VALUE"""),5667.2)</f>
        <v>5667.2</v>
      </c>
      <c r="F70" s="3" t="n">
        <f aca="false">IFERROR(__xludf.dummyfunction("if($T70&lt;&gt;"""",VALUE(REGEXEXTRACT(SUBSTITUTE ($T70,F$1&amp;"" CE"",""""), F$1&amp;""[\w &amp;]*, (\d+\.\d+)"")),"""")
"),5550)</f>
        <v>5550</v>
      </c>
      <c r="G70" s="3" t="n">
        <f aca="false">IFERROR(__xludf.dummyfunction("if($T70&lt;&gt;"""",VALUE(REGEXEXTRACT($T70, G$1&amp;""[\w &amp;]*, (\d+\.\d+)"")),"""")
"),5645)</f>
        <v>5645</v>
      </c>
      <c r="H70" s="3" t="n">
        <f aca="false">IFERROR(__xludf.dummyfunction("if($T70&lt;&gt;"""",VALUE(REGEXEXTRACT($T70, H$1&amp;""[\w &amp;]*, (\d+\.\d+)"")),"""")"),5760)</f>
        <v>5760</v>
      </c>
      <c r="I70" s="3" t="n">
        <f aca="false">IFERROR(__xludf.dummyfunction("if($T70&lt;&gt;"""",VALUE(REGEXEXTRACT(SUBSTITUTE ($T70,I$1&amp;"" CE"",""""), I$1&amp;""[\w &amp;]*, (\d+\.\d+)"")),"""")
"),5550)</f>
        <v>5550</v>
      </c>
      <c r="J70" s="3" t="n">
        <f aca="false">IFERROR(__xludf.dummyfunction("if($T70&lt;&gt;"""",VALUE(REGEXEXTRACT($T70, J$1&amp;""[\w &amp;]*, (\d+\.\d+)"")),"""")
"),5640)</f>
        <v>5640</v>
      </c>
      <c r="K70" s="3" t="n">
        <f aca="false">IFERROR(__xludf.dummyfunction("if($T70&lt;&gt;"""",VALUE(REGEXEXTRACT($T70, K$1&amp;""[\w &amp;]*, (\d+\.\d+)"")),"""")
"),5490)</f>
        <v>5490</v>
      </c>
      <c r="L70" s="3" t="n">
        <f aca="false">IFERROR(__xludf.dummyfunction("if($T70&lt;&gt;"""",VALUE(REGEXEXTRACT(SUBSTITUTE ($T70,L$1&amp;"" CE"",""""), L$1&amp;""[\w &amp;]*, (\d+\.\d+)"")),"""")
"),5640)</f>
        <v>5640</v>
      </c>
      <c r="M70" s="3" t="n">
        <f aca="false">IFERROR(__xludf.dummyfunction("if($T70&lt;&gt;"""",VALUE(REGEXEXTRACT($T70, M$1&amp;""[\w &amp;]*, (\d+\.\d+)"")),"""")
"),5640)</f>
        <v>5640</v>
      </c>
      <c r="N70" s="3" t="n">
        <f aca="false">IFERROR(__xludf.dummyfunction("if($T70&lt;&gt;"""",VALUE(REGEXEXTRACT(SUBSTITUTE ($T70,N$1&amp;"" CE"",""""), N$1&amp;""[\w &amp;]*, (\d+\.\d+)"")),"""")
"),5550)</f>
        <v>5550</v>
      </c>
      <c r="O70" s="3" t="n">
        <f aca="false">IFERROR(__xludf.dummyfunction("if($T70&lt;&gt;"""",VALUE(REGEXEXTRACT($T70, O$1&amp;""[\w &amp;]*, (\d+\.\d+)"")),"""")
"),5640)</f>
        <v>5640</v>
      </c>
      <c r="P70" s="2" t="n">
        <f aca="false">IFERROR(__xludf.dummyfunction("if($T70&lt;&gt;"""",VALUE(REGEXEXTRACT($T70, P$1&amp;""[\w &amp;]*, (\d+\.\d+)"")),"""")
"),5633.06)</f>
        <v>5633.06</v>
      </c>
      <c r="Q70" s="2" t="n">
        <f aca="false">IFERROR(__xludf.dummyfunction("if($T70&lt;&gt;"""",VALUE(REGEXEXTRACT($T70, Q$1&amp;""[\w &amp;]*, (\d+\.\d+)"")),"""")
"),5618.92)</f>
        <v>5618.92</v>
      </c>
      <c r="R70" s="2" t="n">
        <f aca="false">IFERROR(__xludf.dummyfunction("if($T70&lt;&gt;"""",VALUE(REGEXEXTRACT($T70, SUBSTITUTE(R$1, ""+"", ""\+"")&amp;""[\w &amp;]*, (\d+\.\d+)"")),"""")"),5701.34)</f>
        <v>5701.34</v>
      </c>
      <c r="S70" s="2" t="n">
        <f aca="false">IFERROR(__xludf.dummyfunction("if($T70&lt;&gt;"""",VALUE(REGEXEXTRACT($T70, SUBSTITUTE(S$1, ""+"", ""\+"")&amp;""[\w &amp;]*, (\d+\.\d+)"")),"""")"),5715.48)</f>
        <v>5715.48</v>
      </c>
      <c r="T70" s="5" t="s">
        <v>83</v>
      </c>
      <c r="U70" s="5"/>
    </row>
    <row r="71" customFormat="false" ht="15.75" hidden="false" customHeight="false" outlineLevel="0" collapsed="false">
      <c r="A71" s="4" t="n">
        <f aca="false">IFERROR(__xludf.dummyfunction("""COMPUTED_VALUE"""),45490.6666666667)</f>
        <v>45490.6666666667</v>
      </c>
      <c r="B71" s="2" t="n">
        <f aca="false">IFERROR(__xludf.dummyfunction("""COMPUTED_VALUE"""),5610.07)</f>
        <v>5610.07</v>
      </c>
      <c r="C71" s="2" t="n">
        <f aca="false">IFERROR(__xludf.dummyfunction("""COMPUTED_VALUE"""),5622.49)</f>
        <v>5622.49</v>
      </c>
      <c r="D71" s="2" t="n">
        <f aca="false">IFERROR(__xludf.dummyfunction("""COMPUTED_VALUE"""),5584.81)</f>
        <v>5584.81</v>
      </c>
      <c r="E71" s="2" t="n">
        <f aca="false">IFERROR(__xludf.dummyfunction("""COMPUTED_VALUE"""),5588.27)</f>
        <v>5588.27</v>
      </c>
      <c r="F71" s="3" t="n">
        <f aca="false">IFERROR(__xludf.dummyfunction("if($T71&lt;&gt;"""",VALUE(REGEXEXTRACT(SUBSTITUTE ($T71,F$1&amp;"" CE"",""""), F$1&amp;""[\w &amp;]*, (\d+\.\d+)"")),"""")
"),5600)</f>
        <v>5600</v>
      </c>
      <c r="G71" s="3" t="n">
        <f aca="false">IFERROR(__xludf.dummyfunction("if($T71&lt;&gt;"""",VALUE(REGEXEXTRACT($T71, G$1&amp;""[\w &amp;]*, (\d+\.\d+)"")),"""")
"),5620)</f>
        <v>5620</v>
      </c>
      <c r="H71" s="3" t="n">
        <f aca="false">IFERROR(__xludf.dummyfunction("if($T71&lt;&gt;"""",VALUE(REGEXEXTRACT($T71, H$1&amp;""[\w &amp;]*, (\d+\.\d+)"")),"""")"),5760)</f>
        <v>5760</v>
      </c>
      <c r="I71" s="3" t="n">
        <f aca="false">IFERROR(__xludf.dummyfunction("if($T71&lt;&gt;"""",VALUE(REGEXEXTRACT(SUBSTITUTE ($T71,I$1&amp;"" CE"",""""), I$1&amp;""[\w &amp;]*, (\d+\.\d+)"")),"""")
"),5650)</f>
        <v>5650</v>
      </c>
      <c r="J71" s="3" t="n">
        <f aca="false">IFERROR(__xludf.dummyfunction("if($T71&lt;&gt;"""",VALUE(REGEXEXTRACT($T71, J$1&amp;""[\w &amp;]*, (\d+\.\d+)"")),"""")
"),5560)</f>
        <v>5560</v>
      </c>
      <c r="K71" s="3" t="n">
        <f aca="false">IFERROR(__xludf.dummyfunction("if($T71&lt;&gt;"""",VALUE(REGEXEXTRACT($T71, K$1&amp;""[\w &amp;]*, (\d+\.\d+)"")),"""")
"),5485)</f>
        <v>5485</v>
      </c>
      <c r="L71" s="3" t="n">
        <f aca="false">IFERROR(__xludf.dummyfunction("if($T71&lt;&gt;"""",VALUE(REGEXEXTRACT(SUBSTITUTE ($T71,L$1&amp;"" CE"",""""), L$1&amp;""[\w &amp;]*, (\d+\.\d+)"")),"""")
"),5595)</f>
        <v>5595</v>
      </c>
      <c r="M71" s="3" t="n">
        <f aca="false">IFERROR(__xludf.dummyfunction("if($T71&lt;&gt;"""",VALUE(REGEXEXTRACT($T71, M$1&amp;""[\w &amp;]*, (\d+\.\d+)"")),"""")
"),5610)</f>
        <v>5610</v>
      </c>
      <c r="N71" s="3" t="n">
        <f aca="false">IFERROR(__xludf.dummyfunction("if($T71&lt;&gt;"""",VALUE(REGEXEXTRACT(SUBSTITUTE ($T71,N$1&amp;"" CE"",""""), N$1&amp;""[\w &amp;]*, (\d+\.\d+)"")),"""")
"),5550)</f>
        <v>5550</v>
      </c>
      <c r="O71" s="3" t="n">
        <f aca="false">IFERROR(__xludf.dummyfunction("if($T71&lt;&gt;"""",VALUE(REGEXEXTRACT($T71, O$1&amp;""[\w &amp;]*, (\d+\.\d+)"")),"""")
"),5620)</f>
        <v>5620</v>
      </c>
      <c r="P71" s="2" t="n">
        <f aca="false">IFERROR(__xludf.dummyfunction("if($T71&lt;&gt;"""",VALUE(REGEXEXTRACT($T71, P$1&amp;""[\w &amp;]*, (\d+\.\d+)"")),"""")
"),5552.13)</f>
        <v>5552.13</v>
      </c>
      <c r="Q71" s="2" t="n">
        <f aca="false">IFERROR(__xludf.dummyfunction("if($T71&lt;&gt;"""",VALUE(REGEXEXTRACT($T71, Q$1&amp;""[\w &amp;]*, (\d+\.\d+)"")),"""")
"),5537.31)</f>
        <v>5537.31</v>
      </c>
      <c r="R71" s="2" t="n">
        <f aca="false">IFERROR(__xludf.dummyfunction("if($T71&lt;&gt;"""",VALUE(REGEXEXTRACT($T71, SUBSTITUTE(R$1, ""+"", ""\+"")&amp;""[\w &amp;]*, (\d+\.\d+)"")),"""")"),5624.41)</f>
        <v>5624.41</v>
      </c>
      <c r="S71" s="2" t="n">
        <f aca="false">IFERROR(__xludf.dummyfunction("if($T71&lt;&gt;"""",VALUE(REGEXEXTRACT($T71, SUBSTITUTE(S$1, ""+"", ""\+"")&amp;""[\w &amp;]*, (\d+\.\d+)"")),"""")"),5639.23)</f>
        <v>5639.23</v>
      </c>
      <c r="T71" s="5" t="s">
        <v>84</v>
      </c>
      <c r="U71" s="5"/>
    </row>
    <row r="72" customFormat="false" ht="15.75" hidden="false" customHeight="false" outlineLevel="0" collapsed="false">
      <c r="A72" s="4" t="n">
        <f aca="false">IFERROR(__xludf.dummyfunction("""COMPUTED_VALUE"""),45491.6666666667)</f>
        <v>45491.6666666667</v>
      </c>
      <c r="B72" s="2" t="n">
        <f aca="false">IFERROR(__xludf.dummyfunction("""COMPUTED_VALUE"""),5608.56)</f>
        <v>5608.56</v>
      </c>
      <c r="C72" s="2" t="n">
        <f aca="false">IFERROR(__xludf.dummyfunction("""COMPUTED_VALUE"""),5614.05)</f>
        <v>5614.05</v>
      </c>
      <c r="D72" s="2" t="n">
        <f aca="false">IFERROR(__xludf.dummyfunction("""COMPUTED_VALUE"""),5522.81)</f>
        <v>5522.81</v>
      </c>
      <c r="E72" s="2" t="n">
        <f aca="false">IFERROR(__xludf.dummyfunction("""COMPUTED_VALUE"""),5544.59)</f>
        <v>5544.59</v>
      </c>
      <c r="F72" s="3" t="n">
        <f aca="false">IFERROR(__xludf.dummyfunction("if($T72&lt;&gt;"""",VALUE(REGEXEXTRACT(SUBSTITUTE ($T72,F$1&amp;"" CE"",""""), F$1&amp;""[\w &amp;]*, (\d+\.\d+)"")),"""")
"),5550)</f>
        <v>5550</v>
      </c>
      <c r="G72" s="3" t="n">
        <f aca="false">IFERROR(__xludf.dummyfunction("if($T72&lt;&gt;"""",VALUE(REGEXEXTRACT($T72, G$1&amp;""[\w &amp;]*, (\d+\.\d+)"")),"""")
"),5560)</f>
        <v>5560</v>
      </c>
      <c r="H72" s="3" t="n">
        <f aca="false">IFERROR(__xludf.dummyfunction("if($T72&lt;&gt;"""",VALUE(REGEXEXTRACT($T72, H$1&amp;""[\w &amp;]*, (\d+\.\d+)"")),"""")"),5760)</f>
        <v>5760</v>
      </c>
      <c r="I72" s="3" t="n">
        <f aca="false">IFERROR(__xludf.dummyfunction("if($T72&lt;&gt;"""",VALUE(REGEXEXTRACT(SUBSTITUTE ($T72,I$1&amp;"" CE"",""""), I$1&amp;""[\w &amp;]*, (\d+\.\d+)"")),"""")
"),5550)</f>
        <v>5550</v>
      </c>
      <c r="J72" s="3" t="n">
        <f aca="false">IFERROR(__xludf.dummyfunction("if($T72&lt;&gt;"""",VALUE(REGEXEXTRACT($T72, J$1&amp;""[\w &amp;]*, (\d+\.\d+)"")),"""")
"),5500)</f>
        <v>5500</v>
      </c>
      <c r="K72" s="3" t="n">
        <f aca="false">IFERROR(__xludf.dummyfunction("if($T72&lt;&gt;"""",VALUE(REGEXEXTRACT($T72, K$1&amp;""[\w &amp;]*, (\d+\.\d+)"")),"""")
"),5485)</f>
        <v>5485</v>
      </c>
      <c r="L72" s="3" t="n">
        <f aca="false">IFERROR(__xludf.dummyfunction("if($T72&lt;&gt;"""",VALUE(REGEXEXTRACT(SUBSTITUTE ($T72,L$1&amp;"" CE"",""""), L$1&amp;""[\w &amp;]*, (\d+\.\d+)"")),"""")
"),5555)</f>
        <v>5555</v>
      </c>
      <c r="M72" s="3" t="n">
        <f aca="false">IFERROR(__xludf.dummyfunction("if($T72&lt;&gt;"""",VALUE(REGEXEXTRACT($T72, M$1&amp;""[\w &amp;]*, (\d+\.\d+)"")),"""")
"),5555)</f>
        <v>5555</v>
      </c>
      <c r="N72" s="3" t="n">
        <f aca="false">IFERROR(__xludf.dummyfunction("if($T72&lt;&gt;"""",VALUE(REGEXEXTRACT(SUBSTITUTE ($T72,N$1&amp;"" CE"",""""), N$1&amp;""[\w &amp;]*, (\d+\.\d+)"")),"""")
"),5550)</f>
        <v>5550</v>
      </c>
      <c r="O72" s="3" t="n">
        <f aca="false">IFERROR(__xludf.dummyfunction("if($T72&lt;&gt;"""",VALUE(REGEXEXTRACT($T72, O$1&amp;""[\w &amp;]*, (\d+\.\d+)"")),"""")
"),5550)</f>
        <v>5550</v>
      </c>
      <c r="P72" s="2" t="n">
        <f aca="false">IFERROR(__xludf.dummyfunction("if($T72&lt;&gt;"""",VALUE(REGEXEXTRACT($T72, P$1&amp;""[\w &amp;]*, (\d+\.\d+)"")),"""")
"),5507.36)</f>
        <v>5507.36</v>
      </c>
      <c r="Q72" s="2" t="n">
        <f aca="false">IFERROR(__xludf.dummyfunction("if($T72&lt;&gt;"""",VALUE(REGEXEXTRACT($T72, Q$1&amp;""[\w &amp;]*, (\d+\.\d+)"")),"""")
"),5470.65)</f>
        <v>5470.65</v>
      </c>
      <c r="R72" s="2" t="n">
        <f aca="false">IFERROR(__xludf.dummyfunction("if($T72&lt;&gt;"""",VALUE(REGEXEXTRACT($T72, SUBSTITUTE(R$1, ""+"", ""\+"")&amp;""[\w &amp;]*, (\d+\.\d+)"")),"""")"),5581.82)</f>
        <v>5581.82</v>
      </c>
      <c r="S72" s="2" t="n">
        <f aca="false">IFERROR(__xludf.dummyfunction("if($T72&lt;&gt;"""",VALUE(REGEXEXTRACT($T72, SUBSTITUTE(S$1, ""+"", ""\+"")&amp;""[\w &amp;]*, (\d+\.\d+)"")),"""")"),5618.53)</f>
        <v>5618.53</v>
      </c>
      <c r="T72" s="5" t="s">
        <v>85</v>
      </c>
      <c r="U72" s="5"/>
    </row>
    <row r="73" customFormat="false" ht="15.75" hidden="false" customHeight="false" outlineLevel="0" collapsed="false">
      <c r="A73" s="4" t="n">
        <f aca="false">IFERROR(__xludf.dummyfunction("""COMPUTED_VALUE"""),45492.6666666667)</f>
        <v>45492.6666666667</v>
      </c>
      <c r="B73" s="2" t="n">
        <f aca="false">IFERROR(__xludf.dummyfunction("""COMPUTED_VALUE"""),5543.37)</f>
        <v>5543.37</v>
      </c>
      <c r="C73" s="2" t="n">
        <f aca="false">IFERROR(__xludf.dummyfunction("""COMPUTED_VALUE"""),5557.5)</f>
        <v>5557.5</v>
      </c>
      <c r="D73" s="2" t="n">
        <f aca="false">IFERROR(__xludf.dummyfunction("""COMPUTED_VALUE"""),5497.04)</f>
        <v>5497.04</v>
      </c>
      <c r="E73" s="2" t="n">
        <f aca="false">IFERROR(__xludf.dummyfunction("""COMPUTED_VALUE"""),5505)</f>
        <v>5505</v>
      </c>
      <c r="F73" s="3" t="n">
        <f aca="false">IFERROR(__xludf.dummyfunction("if($T73&lt;&gt;"""",VALUE(REGEXEXTRACT(SUBSTITUTE ($T73,F$1&amp;"" CE"",""""), F$1&amp;""[\w &amp;]*, (\d+\.\d+)"")),"""")
"),5540)</f>
        <v>5540</v>
      </c>
      <c r="G73" s="3" t="n">
        <f aca="false">IFERROR(__xludf.dummyfunction("if($T73&lt;&gt;"""",VALUE(REGEXEXTRACT($T73, G$1&amp;""[\w &amp;]*, (\d+\.\d+)"")),"""")
"),5540)</f>
        <v>5540</v>
      </c>
      <c r="H73" s="3" t="n">
        <f aca="false">IFERROR(__xludf.dummyfunction("if($T73&lt;&gt;"""",VALUE(REGEXEXTRACT($T73, H$1&amp;""[\w &amp;]*, (\d+\.\d+)"")),"""")"),5560)</f>
        <v>5560</v>
      </c>
      <c r="I73" s="3" t="n">
        <f aca="false">IFERROR(__xludf.dummyfunction("if($T73&lt;&gt;"""",VALUE(REGEXEXTRACT(SUBSTITUTE ($T73,I$1&amp;"" CE"",""""), I$1&amp;""[\w &amp;]*, (\d+\.\d+)"")),"""")
"),5550)</f>
        <v>5550</v>
      </c>
      <c r="J73" s="3" t="n">
        <f aca="false">IFERROR(__xludf.dummyfunction("if($T73&lt;&gt;"""",VALUE(REGEXEXTRACT($T73, J$1&amp;""[\w &amp;]*, (\d+\.\d+)"")),"""")
"),5470)</f>
        <v>5470</v>
      </c>
      <c r="K73" s="3" t="n">
        <f aca="false">IFERROR(__xludf.dummyfunction("if($T73&lt;&gt;"""",VALUE(REGEXEXTRACT($T73, K$1&amp;""[\w &amp;]*, (\d+\.\d+)"")),"""")
"),5485)</f>
        <v>5485</v>
      </c>
      <c r="L73" s="3" t="n">
        <f aca="false">IFERROR(__xludf.dummyfunction("if($T73&lt;&gt;"""",VALUE(REGEXEXTRACT(SUBSTITUTE ($T73,L$1&amp;"" CE"",""""), L$1&amp;""[\w &amp;]*, (\d+\.\d+)"")),"""")
"),5525)</f>
        <v>5525</v>
      </c>
      <c r="M73" s="3" t="n">
        <f aca="false">IFERROR(__xludf.dummyfunction("if($T73&lt;&gt;"""",VALUE(REGEXEXTRACT($T73, M$1&amp;""[\w &amp;]*, (\d+\.\d+)"")),"""")
"),5525)</f>
        <v>5525</v>
      </c>
      <c r="N73" s="3" t="n">
        <f aca="false">IFERROR(__xludf.dummyfunction("if($T73&lt;&gt;"""",VALUE(REGEXEXTRACT(SUBSTITUTE ($T73,N$1&amp;"" CE"",""""), N$1&amp;""[\w &amp;]*, (\d+\.\d+)"")),"""")
"),5550)</f>
        <v>5550</v>
      </c>
      <c r="O73" s="3" t="n">
        <f aca="false">IFERROR(__xludf.dummyfunction("if($T73&lt;&gt;"""",VALUE(REGEXEXTRACT($T73, O$1&amp;""[\w &amp;]*, (\d+\.\d+)"")),"""")
"),5540)</f>
        <v>5540</v>
      </c>
      <c r="P73" s="2" t="n">
        <f aca="false">IFERROR(__xludf.dummyfunction("if($T73&lt;&gt;"""",VALUE(REGEXEXTRACT($T73, P$1&amp;""[\w &amp;]*, (\d+\.\d+)"")),"""")
"),5463.26)</f>
        <v>5463.26</v>
      </c>
      <c r="Q73" s="2" t="n">
        <f aca="false">IFERROR(__xludf.dummyfunction("if($T73&lt;&gt;"""",VALUE(REGEXEXTRACT($T73, Q$1&amp;""[\w &amp;]*, (\d+\.\d+)"")),"""")
"),5445.97)</f>
        <v>5445.97</v>
      </c>
      <c r="R73" s="2" t="n">
        <f aca="false">IFERROR(__xludf.dummyfunction("if($T73&lt;&gt;"""",VALUE(REGEXEXTRACT($T73, SUBSTITUTE(R$1, ""+"", ""\+"")&amp;""[\w &amp;]*, (\d+\.\d+)"")),"""")"),5546.74)</f>
        <v>5546.74</v>
      </c>
      <c r="S73" s="2" t="n">
        <f aca="false">IFERROR(__xludf.dummyfunction("if($T73&lt;&gt;"""",VALUE(REGEXEXTRACT($T73, SUBSTITUTE(S$1, ""+"", ""\+"")&amp;""[\w &amp;]*, (\d+\.\d+)"")),"""")"),5564.03)</f>
        <v>5564.03</v>
      </c>
      <c r="T73" s="5" t="s">
        <v>86</v>
      </c>
      <c r="U73" s="5"/>
    </row>
    <row r="74" customFormat="false" ht="15.75" hidden="false" customHeight="false" outlineLevel="0" collapsed="false">
      <c r="A74" s="4" t="n">
        <f aca="false">IFERROR(__xludf.dummyfunction("""COMPUTED_VALUE"""),45495.6666666667)</f>
        <v>45495.6666666667</v>
      </c>
      <c r="B74" s="2" t="n">
        <f aca="false">IFERROR(__xludf.dummyfunction("""COMPUTED_VALUE"""),5544.54)</f>
        <v>5544.54</v>
      </c>
      <c r="C74" s="2" t="n">
        <f aca="false">IFERROR(__xludf.dummyfunction("""COMPUTED_VALUE"""),5570.36)</f>
        <v>5570.36</v>
      </c>
      <c r="D74" s="2" t="n">
        <f aca="false">IFERROR(__xludf.dummyfunction("""COMPUTED_VALUE"""),5529.04)</f>
        <v>5529.04</v>
      </c>
      <c r="E74" s="2" t="n">
        <f aca="false">IFERROR(__xludf.dummyfunction("""COMPUTED_VALUE"""),5564.41)</f>
        <v>5564.41</v>
      </c>
      <c r="F74" s="3" t="n">
        <f aca="false">IFERROR(__xludf.dummyfunction("if($T74&lt;&gt;"""",VALUE(REGEXEXTRACT(SUBSTITUTE ($T74,F$1&amp;"" CE"",""""), F$1&amp;""[\w &amp;]*, (\d+\.\d+)"")),"""")
"),5590)</f>
        <v>5590</v>
      </c>
      <c r="G74" s="3" t="n">
        <f aca="false">IFERROR(__xludf.dummyfunction("if($T74&lt;&gt;"""",VALUE(REGEXEXTRACT($T74, G$1&amp;""[\w &amp;]*, (\d+\.\d+)"")),"""")
"),5590)</f>
        <v>5590</v>
      </c>
      <c r="H74" s="3" t="n">
        <f aca="false">IFERROR(__xludf.dummyfunction("if($T74&lt;&gt;"""",VALUE(REGEXEXTRACT($T74, H$1&amp;""[\w &amp;]*, (\d+\.\d+)"")),"""")"),5610)</f>
        <v>5610</v>
      </c>
      <c r="I74" s="3" t="n">
        <f aca="false">IFERROR(__xludf.dummyfunction("if($T74&lt;&gt;"""",VALUE(REGEXEXTRACT(SUBSTITUTE ($T74,I$1&amp;"" CE"",""""), I$1&amp;""[\w &amp;]*, (\d+\.\d+)"")),"""")
"),5535)</f>
        <v>5535</v>
      </c>
      <c r="J74" s="3" t="n">
        <f aca="false">IFERROR(__xludf.dummyfunction("if($T74&lt;&gt;"""",VALUE(REGEXEXTRACT($T74, J$1&amp;""[\w &amp;]*, (\d+\.\d+)"")),"""")
"),5535)</f>
        <v>5535</v>
      </c>
      <c r="K74" s="3" t="n">
        <f aca="false">IFERROR(__xludf.dummyfunction("if($T74&lt;&gt;"""",VALUE(REGEXEXTRACT($T74, K$1&amp;""[\w &amp;]*, (\d+\.\d+)"")),"""")
"),5510)</f>
        <v>5510</v>
      </c>
      <c r="L74" s="3" t="n">
        <f aca="false">IFERROR(__xludf.dummyfunction("if($T74&lt;&gt;"""",VALUE(REGEXEXTRACT(SUBSTITUTE ($T74,L$1&amp;"" CE"",""""), L$1&amp;""[\w &amp;]*, (\d+\.\d+)"")),"""")
"),5565)</f>
        <v>5565</v>
      </c>
      <c r="M74" s="3" t="n">
        <f aca="false">IFERROR(__xludf.dummyfunction("if($T74&lt;&gt;"""",VALUE(REGEXEXTRACT($T74, M$1&amp;""[\w &amp;]*, (\d+\.\d+)"")),"""")
"),5565)</f>
        <v>5565</v>
      </c>
      <c r="N74" s="3" t="n">
        <f aca="false">IFERROR(__xludf.dummyfunction("if($T74&lt;&gt;"""",VALUE(REGEXEXTRACT(SUBSTITUTE ($T74,N$1&amp;"" CE"",""""), N$1&amp;""[\w &amp;]*, (\d+\.\d+)"")),"""")
"),5590)</f>
        <v>5590</v>
      </c>
      <c r="O74" s="3" t="n">
        <f aca="false">IFERROR(__xludf.dummyfunction("if($T74&lt;&gt;"""",VALUE(REGEXEXTRACT($T74, O$1&amp;""[\w &amp;]*, (\d+\.\d+)"")),"""")
"),5590)</f>
        <v>5590</v>
      </c>
      <c r="P74" s="2" t="n">
        <f aca="false">IFERROR(__xludf.dummyfunction("if($T74&lt;&gt;"""",VALUE(REGEXEXTRACT($T74, P$1&amp;""[\w &amp;]*, (\d+\.\d+)"")),"""")
"),5526.3)</f>
        <v>5526.3</v>
      </c>
      <c r="Q74" s="2" t="n">
        <f aca="false">IFERROR(__xludf.dummyfunction("if($T74&lt;&gt;"""",VALUE(REGEXEXTRACT($T74, Q$1&amp;""[\w &amp;]*, (\d+\.\d+)"")),"""")
"),5510.52)</f>
        <v>5510.52</v>
      </c>
      <c r="R74" s="2" t="n">
        <f aca="false">IFERROR(__xludf.dummyfunction("if($T74&lt;&gt;"""",VALUE(REGEXEXTRACT($T74, SUBSTITUTE(R$1, ""+"", ""\+"")&amp;""[\w &amp;]*, (\d+\.\d+)"")),"""")"),5602.52)</f>
        <v>5602.52</v>
      </c>
      <c r="S74" s="2" t="n">
        <f aca="false">IFERROR(__xludf.dummyfunction("if($T74&lt;&gt;"""",VALUE(REGEXEXTRACT($T74, SUBSTITUTE(S$1, ""+"", ""\+"")&amp;""[\w &amp;]*, (\d+\.\d+)"")),"""")"),5618.3)</f>
        <v>5618.3</v>
      </c>
      <c r="T74" s="5" t="s">
        <v>87</v>
      </c>
      <c r="U74" s="5"/>
    </row>
    <row r="75" customFormat="false" ht="15.75" hidden="false" customHeight="false" outlineLevel="0" collapsed="false">
      <c r="A75" s="4" t="n">
        <f aca="false">IFERROR(__xludf.dummyfunction("""COMPUTED_VALUE"""),45496.6666666667)</f>
        <v>45496.6666666667</v>
      </c>
      <c r="B75" s="2" t="n">
        <f aca="false">IFERROR(__xludf.dummyfunction("""COMPUTED_VALUE"""),5565.3)</f>
        <v>5565.3</v>
      </c>
      <c r="C75" s="2" t="n">
        <f aca="false">IFERROR(__xludf.dummyfunction("""COMPUTED_VALUE"""),5585.34)</f>
        <v>5585.34</v>
      </c>
      <c r="D75" s="2" t="n">
        <f aca="false">IFERROR(__xludf.dummyfunction("""COMPUTED_VALUE"""),5550.9)</f>
        <v>5550.9</v>
      </c>
      <c r="E75" s="2" t="n">
        <f aca="false">IFERROR(__xludf.dummyfunction("""COMPUTED_VALUE"""),5555.74)</f>
        <v>5555.74</v>
      </c>
      <c r="F75" s="3" t="n">
        <f aca="false">IFERROR(__xludf.dummyfunction("if($T75&lt;&gt;"""",VALUE(REGEXEXTRACT(SUBSTITUTE ($T75,F$1&amp;"" CE"",""""), F$1&amp;""[\w &amp;]*, (\d+\.\d+)"")),"""")
"),5550)</f>
        <v>5550</v>
      </c>
      <c r="G75" s="3" t="n">
        <f aca="false">IFERROR(__xludf.dummyfunction("if($T75&lt;&gt;"""",VALUE(REGEXEXTRACT($T75, G$1&amp;""[\w &amp;]*, (\d+\.\d+)"")),"""")
"),5570)</f>
        <v>5570</v>
      </c>
      <c r="H75" s="3" t="n">
        <f aca="false">IFERROR(__xludf.dummyfunction("if($T75&lt;&gt;"""",VALUE(REGEXEXTRACT($T75, H$1&amp;""[\w &amp;]*, (\d+\.\d+)"")),"""")"),5760)</f>
        <v>5760</v>
      </c>
      <c r="I75" s="3" t="n">
        <f aca="false">IFERROR(__xludf.dummyfunction("if($T75&lt;&gt;"""",VALUE(REGEXEXTRACT(SUBSTITUTE ($T75,I$1&amp;"" CE"",""""), I$1&amp;""[\w &amp;]*, (\d+\.\d+)"")),"""")
"),5550)</f>
        <v>5550</v>
      </c>
      <c r="J75" s="3" t="n">
        <f aca="false">IFERROR(__xludf.dummyfunction("if($T75&lt;&gt;"""",VALUE(REGEXEXTRACT($T75, J$1&amp;""[\w &amp;]*, (\d+\.\d+)"")),"""")
"),5500)</f>
        <v>5500</v>
      </c>
      <c r="K75" s="3" t="n">
        <f aca="false">IFERROR(__xludf.dummyfunction("if($T75&lt;&gt;"""",VALUE(REGEXEXTRACT($T75, K$1&amp;""[\w &amp;]*, (\d+\.\d+)"")),"""")
"),5490)</f>
        <v>5490</v>
      </c>
      <c r="L75" s="3" t="n">
        <f aca="false">IFERROR(__xludf.dummyfunction("if($T75&lt;&gt;"""",VALUE(REGEXEXTRACT(SUBSTITUTE ($T75,L$1&amp;"" CE"",""""), L$1&amp;""[\w &amp;]*, (\d+\.\d+)"")),"""")
"),5555)</f>
        <v>5555</v>
      </c>
      <c r="M75" s="3" t="n">
        <f aca="false">IFERROR(__xludf.dummyfunction("if($T75&lt;&gt;"""",VALUE(REGEXEXTRACT($T75, M$1&amp;""[\w &amp;]*, (\d+\.\d+)"")),"""")
"),5565)</f>
        <v>5565</v>
      </c>
      <c r="N75" s="3" t="n">
        <f aca="false">IFERROR(__xludf.dummyfunction("if($T75&lt;&gt;"""",VALUE(REGEXEXTRACT(SUBSTITUTE ($T75,N$1&amp;"" CE"",""""), N$1&amp;""[\w &amp;]*, (\d+\.\d+)"")),"""")
"),5550)</f>
        <v>5550</v>
      </c>
      <c r="O75" s="3" t="n">
        <f aca="false">IFERROR(__xludf.dummyfunction("if($T75&lt;&gt;"""",VALUE(REGEXEXTRACT($T75, O$1&amp;""[\w &amp;]*, (\d+\.\d+)"")),"""")
"),5500)</f>
        <v>5500</v>
      </c>
      <c r="P75" s="2" t="n">
        <f aca="false">IFERROR(__xludf.dummyfunction("if($T75&lt;&gt;"""",VALUE(REGEXEXTRACT($T75, P$1&amp;""[\w &amp;]*, (\d+\.\d+)"")),"""")
"),5517.91)</f>
        <v>5517.91</v>
      </c>
      <c r="Q75" s="2" t="n">
        <f aca="false">IFERROR(__xludf.dummyfunction("if($T75&lt;&gt;"""",VALUE(REGEXEXTRACT($T75, Q$1&amp;""[\w &amp;]*, (\d+\.\d+)"")),"""")
"),5502.24)</f>
        <v>5502.24</v>
      </c>
      <c r="R75" s="2" t="n">
        <f aca="false">IFERROR(__xludf.dummyfunction("if($T75&lt;&gt;"""",VALUE(REGEXEXTRACT($T75, SUBSTITUTE(R$1, ""+"", ""\+"")&amp;""[\w &amp;]*, (\d+\.\d+)"")),"""")"),5593.57)</f>
        <v>5593.57</v>
      </c>
      <c r="S75" s="2" t="n">
        <f aca="false">IFERROR(__xludf.dummyfunction("if($T75&lt;&gt;"""",VALUE(REGEXEXTRACT($T75, SUBSTITUTE(S$1, ""+"", ""\+"")&amp;""[\w &amp;]*, (\d+\.\d+)"")),"""")"),5609.24)</f>
        <v>5609.24</v>
      </c>
      <c r="T75" s="5" t="s">
        <v>88</v>
      </c>
      <c r="U75" s="5"/>
    </row>
    <row r="76" customFormat="false" ht="15.75" hidden="false" customHeight="false" outlineLevel="0" collapsed="false">
      <c r="A76" s="4" t="n">
        <f aca="false">IFERROR(__xludf.dummyfunction("""COMPUTED_VALUE"""),45497.6666666667)</f>
        <v>45497.6666666667</v>
      </c>
      <c r="B76" s="2" t="n">
        <f aca="false">IFERROR(__xludf.dummyfunction("""COMPUTED_VALUE"""),5505.84)</f>
        <v>5505.84</v>
      </c>
      <c r="C76" s="2" t="n">
        <f aca="false">IFERROR(__xludf.dummyfunction("""COMPUTED_VALUE"""),5508.04)</f>
        <v>5508.04</v>
      </c>
      <c r="D76" s="2" t="n">
        <f aca="false">IFERROR(__xludf.dummyfunction("""COMPUTED_VALUE"""),5419.98)</f>
        <v>5419.98</v>
      </c>
      <c r="E76" s="2" t="n">
        <f aca="false">IFERROR(__xludf.dummyfunction("""COMPUTED_VALUE"""),5427.13)</f>
        <v>5427.13</v>
      </c>
      <c r="F76" s="3" t="n">
        <f aca="false">IFERROR(__xludf.dummyfunction("if($T76&lt;&gt;"""",VALUE(REGEXEXTRACT(SUBSTITUTE ($T76,F$1&amp;"" CE"",""""), F$1&amp;""[\w &amp;]*, (\d+\.\d+)"")),"""")
"),5550)</f>
        <v>5550</v>
      </c>
      <c r="G76" s="3" t="n">
        <f aca="false">IFERROR(__xludf.dummyfunction("if($T76&lt;&gt;"""",VALUE(REGEXEXTRACT($T76, G$1&amp;""[\w &amp;]*, (\d+\.\d+)"")),"""")
"),5515)</f>
        <v>5515</v>
      </c>
      <c r="H76" s="3" t="n">
        <f aca="false">IFERROR(__xludf.dummyfunction("if($T76&lt;&gt;"""",VALUE(REGEXEXTRACT($T76, H$1&amp;""[\w &amp;]*, (\d+\.\d+)"")),"""")"),5760)</f>
        <v>5760</v>
      </c>
      <c r="I76" s="3" t="n">
        <f aca="false">IFERROR(__xludf.dummyfunction("if($T76&lt;&gt;"""",VALUE(REGEXEXTRACT(SUBSTITUTE ($T76,I$1&amp;"" CE"",""""), I$1&amp;""[\w &amp;]*, (\d+\.\d+)"")),"""")
"),5550)</f>
        <v>5550</v>
      </c>
      <c r="J76" s="3" t="n">
        <f aca="false">IFERROR(__xludf.dummyfunction("if($T76&lt;&gt;"""",VALUE(REGEXEXTRACT($T76, J$1&amp;""[\w &amp;]*, (\d+\.\d+)"")),"""")
"),5425)</f>
        <v>5425</v>
      </c>
      <c r="K76" s="3" t="n">
        <f aca="false">IFERROR(__xludf.dummyfunction("if($T76&lt;&gt;"""",VALUE(REGEXEXTRACT($T76, K$1&amp;""[\w &amp;]*, (\d+\.\d+)"")),"""")
"),5390)</f>
        <v>5390</v>
      </c>
      <c r="L76" s="3" t="n">
        <f aca="false">IFERROR(__xludf.dummyfunction("if($T76&lt;&gt;"""",VALUE(REGEXEXTRACT(SUBSTITUTE ($T76,L$1&amp;"" CE"",""""), L$1&amp;""[\w &amp;]*, (\d+\.\d+)"")),"""")
"),5525)</f>
        <v>5525</v>
      </c>
      <c r="M76" s="3" t="n">
        <f aca="false">IFERROR(__xludf.dummyfunction("if($T76&lt;&gt;"""",VALUE(REGEXEXTRACT($T76, M$1&amp;""[\w &amp;]*, (\d+\.\d+)"")),"""")
"),5475)</f>
        <v>5475</v>
      </c>
      <c r="N76" s="3" t="n">
        <f aca="false">IFERROR(__xludf.dummyfunction("if($T76&lt;&gt;"""",VALUE(REGEXEXTRACT(SUBSTITUTE ($T76,N$1&amp;"" CE"",""""), N$1&amp;""[\w &amp;]*, (\d+\.\d+)"")),"""")
"),5550)</f>
        <v>5550</v>
      </c>
      <c r="O76" s="3" t="n">
        <f aca="false">IFERROR(__xludf.dummyfunction("if($T76&lt;&gt;"""",VALUE(REGEXEXTRACT($T76, O$1&amp;""[\w &amp;]*, (\d+\.\d+)"")),"""")
"),5425)</f>
        <v>5425</v>
      </c>
      <c r="P76" s="2" t="n">
        <f aca="false">IFERROR(__xludf.dummyfunction("if($T76&lt;&gt;"""",VALUE(REGEXEXTRACT($T76, P$1&amp;""[\w &amp;]*, (\d+\.\d+)"")),"""")
"),5379.69)</f>
        <v>5379.69</v>
      </c>
      <c r="Q76" s="2" t="n">
        <f aca="false">IFERROR(__xludf.dummyfunction("if($T76&lt;&gt;"""",VALUE(REGEXEXTRACT($T76, Q$1&amp;""[\w &amp;]*, (\d+\.\d+)"")),"""")
"),5360.04)</f>
        <v>5360.04</v>
      </c>
      <c r="R76" s="2" t="n">
        <f aca="false">IFERROR(__xludf.dummyfunction("if($T76&lt;&gt;"""",VALUE(REGEXEXTRACT($T76, SUBSTITUTE(R$1, ""+"", ""\+"")&amp;""[\w &amp;]*, (\d+\.\d+)"")),"""")"),5474.57)</f>
        <v>5474.57</v>
      </c>
      <c r="S76" s="2" t="n">
        <f aca="false">IFERROR(__xludf.dummyfunction("if($T76&lt;&gt;"""",VALUE(REGEXEXTRACT($T76, SUBSTITUTE(S$1, ""+"", ""\+"")&amp;""[\w &amp;]*, (\d+\.\d+)"")),"""")"),5494.22)</f>
        <v>5494.22</v>
      </c>
      <c r="T76" s="5" t="s">
        <v>89</v>
      </c>
      <c r="U76" s="5"/>
    </row>
    <row r="77" customFormat="false" ht="15.75" hidden="false" customHeight="false" outlineLevel="0" collapsed="false">
      <c r="A77" s="4" t="n">
        <f aca="false">IFERROR(__xludf.dummyfunction("""COMPUTED_VALUE"""),45498.6666666667)</f>
        <v>45498.6666666667</v>
      </c>
      <c r="B77" s="2" t="n">
        <f aca="false">IFERROR(__xludf.dummyfunction("""COMPUTED_VALUE"""),5428.7)</f>
        <v>5428.7</v>
      </c>
      <c r="C77" s="2" t="n">
        <f aca="false">IFERROR(__xludf.dummyfunction("""COMPUTED_VALUE"""),5491.59)</f>
        <v>5491.59</v>
      </c>
      <c r="D77" s="2" t="n">
        <f aca="false">IFERROR(__xludf.dummyfunction("""COMPUTED_VALUE"""),5390.95)</f>
        <v>5390.95</v>
      </c>
      <c r="E77" s="2" t="n">
        <f aca="false">IFERROR(__xludf.dummyfunction("""COMPUTED_VALUE"""),5399.22)</f>
        <v>5399.22</v>
      </c>
      <c r="F77" s="3" t="n">
        <f aca="false">IFERROR(__xludf.dummyfunction("if($T77&lt;&gt;"""",VALUE(REGEXEXTRACT(SUBSTITUTE ($T77,F$1&amp;"" CE"",""""), F$1&amp;""[\w &amp;]*, (\d+\.\d+)"")),"""")
"),5550)</f>
        <v>5550</v>
      </c>
      <c r="G77" s="3" t="n">
        <f aca="false">IFERROR(__xludf.dummyfunction("if($T77&lt;&gt;"""",VALUE(REGEXEXTRACT($T77, G$1&amp;""[\w &amp;]*, (\d+\.\d+)"")),"""")
"),5480)</f>
        <v>5480</v>
      </c>
      <c r="H77" s="3" t="n">
        <f aca="false">IFERROR(__xludf.dummyfunction("if($T77&lt;&gt;"""",VALUE(REGEXEXTRACT($T77, H$1&amp;""[\w &amp;]*, (\d+\.\d+)"")),"""")"),5760)</f>
        <v>5760</v>
      </c>
      <c r="I77" s="3" t="n">
        <f aca="false">IFERROR(__xludf.dummyfunction("if($T77&lt;&gt;"""",VALUE(REGEXEXTRACT(SUBSTITUTE ($T77,I$1&amp;"" CE"",""""), I$1&amp;""[\w &amp;]*, (\d+\.\d+)"")),"""")
"),5550)</f>
        <v>5550</v>
      </c>
      <c r="J77" s="3" t="n">
        <f aca="false">IFERROR(__xludf.dummyfunction("if($T77&lt;&gt;"""",VALUE(REGEXEXTRACT($T77, J$1&amp;""[\w &amp;]*, (\d+\.\d+)"")),"""")
"),5400)</f>
        <v>5400</v>
      </c>
      <c r="K77" s="3" t="n">
        <f aca="false">IFERROR(__xludf.dummyfunction("if($T77&lt;&gt;"""",VALUE(REGEXEXTRACT($T77, K$1&amp;""[\w &amp;]*, (\d+\.\d+)"")),"""")
"),5390)</f>
        <v>5390</v>
      </c>
      <c r="L77" s="3" t="n">
        <f aca="false">IFERROR(__xludf.dummyfunction("if($T77&lt;&gt;"""",VALUE(REGEXEXTRACT(SUBSTITUTE ($T77,L$1&amp;"" CE"",""""), L$1&amp;""[\w &amp;]*, (\d+\.\d+)"")),"""")
"),5495)</f>
        <v>5495</v>
      </c>
      <c r="M77" s="3" t="n">
        <f aca="false">IFERROR(__xludf.dummyfunction("if($T77&lt;&gt;"""",VALUE(REGEXEXTRACT($T77, M$1&amp;""[\w &amp;]*, (\d+\.\d+)"")),"""")
"),5465)</f>
        <v>5465</v>
      </c>
      <c r="N77" s="3" t="n">
        <f aca="false">IFERROR(__xludf.dummyfunction("if($T77&lt;&gt;"""",VALUE(REGEXEXTRACT(SUBSTITUTE ($T77,N$1&amp;"" CE"",""""), N$1&amp;""[\w &amp;]*, (\d+\.\d+)"")),"""")
"),5550)</f>
        <v>5550</v>
      </c>
      <c r="O77" s="3" t="n">
        <f aca="false">IFERROR(__xludf.dummyfunction("if($T77&lt;&gt;"""",VALUE(REGEXEXTRACT($T77, O$1&amp;""[\w &amp;]*, (\d+\.\d+)"")),"""")
"),5450)</f>
        <v>5450</v>
      </c>
      <c r="P77" s="2" t="n">
        <f aca="false">IFERROR(__xludf.dummyfunction("if($T77&lt;&gt;"""",VALUE(REGEXEXTRACT($T77, P$1&amp;""[\w &amp;]*, (\d+\.\d+)"")),"""")
"),5353.78)</f>
        <v>5353.78</v>
      </c>
      <c r="Q77" s="2" t="n">
        <f aca="false">IFERROR(__xludf.dummyfunction("if($T77&lt;&gt;"""",VALUE(REGEXEXTRACT($T77, Q$1&amp;""[\w &amp;]*, (\d+\.\d+)"")),"""")
"),5308.35)</f>
        <v>5308.35</v>
      </c>
      <c r="R77" s="2" t="n">
        <f aca="false">IFERROR(__xludf.dummyfunction("if($T77&lt;&gt;"""",VALUE(REGEXEXTRACT($T77, SUBSTITUTE(R$1, ""+"", ""\+"")&amp;""[\w &amp;]*, (\d+\.\d+)"")),"""")"),5444.66)</f>
        <v>5444.66</v>
      </c>
      <c r="S77" s="2" t="n">
        <f aca="false">IFERROR(__xludf.dummyfunction("if($T77&lt;&gt;"""",VALUE(REGEXEXTRACT($T77, SUBSTITUTE(S$1, ""+"", ""\+"")&amp;""[\w &amp;]*, (\d+\.\d+)"")),"""")"),5490.09)</f>
        <v>5490.09</v>
      </c>
      <c r="T77" s="5" t="s">
        <v>90</v>
      </c>
      <c r="U77" s="5"/>
    </row>
    <row r="78" customFormat="false" ht="15.75" hidden="false" customHeight="false" outlineLevel="0" collapsed="false">
      <c r="A78" s="4" t="n">
        <f aca="false">IFERROR(__xludf.dummyfunction("""COMPUTED_VALUE"""),45499.6666666667)</f>
        <v>45499.6666666667</v>
      </c>
      <c r="B78" s="2" t="n">
        <f aca="false">IFERROR(__xludf.dummyfunction("""COMPUTED_VALUE"""),5433.67)</f>
        <v>5433.67</v>
      </c>
      <c r="C78" s="2" t="n">
        <f aca="false">IFERROR(__xludf.dummyfunction("""COMPUTED_VALUE"""),5488.32)</f>
        <v>5488.32</v>
      </c>
      <c r="D78" s="2" t="n">
        <f aca="false">IFERROR(__xludf.dummyfunction("""COMPUTED_VALUE"""),5430.7)</f>
        <v>5430.7</v>
      </c>
      <c r="E78" s="2" t="n">
        <f aca="false">IFERROR(__xludf.dummyfunction("""COMPUTED_VALUE"""),5459.1)</f>
        <v>5459.1</v>
      </c>
      <c r="F78" s="3" t="n">
        <f aca="false">IFERROR(__xludf.dummyfunction("if($T78&lt;&gt;"""",VALUE(REGEXEXTRACT(SUBSTITUTE ($T78,F$1&amp;"" CE"",""""), F$1&amp;""[\w &amp;]*, (\d+\.\d+)"")),"""")
"),5550)</f>
        <v>5550</v>
      </c>
      <c r="G78" s="3" t="n">
        <f aca="false">IFERROR(__xludf.dummyfunction("if($T78&lt;&gt;"""",VALUE(REGEXEXTRACT($T78, G$1&amp;""[\w &amp;]*, (\d+\.\d+)"")),"""")
"),5500)</f>
        <v>5500</v>
      </c>
      <c r="H78" s="3" t="n">
        <f aca="false">IFERROR(__xludf.dummyfunction("if($T78&lt;&gt;"""",VALUE(REGEXEXTRACT($T78, H$1&amp;""[\w &amp;]*, (\d+\.\d+)"")),"""")"),5760)</f>
        <v>5760</v>
      </c>
      <c r="I78" s="3" t="n">
        <f aca="false">IFERROR(__xludf.dummyfunction("if($T78&lt;&gt;"""",VALUE(REGEXEXTRACT(SUBSTITUTE ($T78,I$1&amp;"" CE"",""""), I$1&amp;""[\w &amp;]*, (\d+\.\d+)"")),"""")
"),5550)</f>
        <v>5550</v>
      </c>
      <c r="J78" s="3" t="n">
        <f aca="false">IFERROR(__xludf.dummyfunction("if($T78&lt;&gt;"""",VALUE(REGEXEXTRACT($T78, J$1&amp;""[\w &amp;]*, (\d+\.\d+)"")),"""")
"),5430)</f>
        <v>5430</v>
      </c>
      <c r="K78" s="3" t="n">
        <f aca="false">IFERROR(__xludf.dummyfunction("if($T78&lt;&gt;"""",VALUE(REGEXEXTRACT($T78, K$1&amp;""[\w &amp;]*, (\d+\.\d+)"")),"""")
"),5390)</f>
        <v>5390</v>
      </c>
      <c r="L78" s="3" t="n">
        <f aca="false">IFERROR(__xludf.dummyfunction("if($T78&lt;&gt;"""",VALUE(REGEXEXTRACT(SUBSTITUTE ($T78,L$1&amp;"" CE"",""""), L$1&amp;""[\w &amp;]*, (\d+\.\d+)"")),"""")
"),5495)</f>
        <v>5495</v>
      </c>
      <c r="M78" s="3" t="n">
        <f aca="false">IFERROR(__xludf.dummyfunction("if($T78&lt;&gt;"""",VALUE(REGEXEXTRACT($T78, M$1&amp;""[\w &amp;]*, (\d+\.\d+)"")),"""")
"),5465)</f>
        <v>5465</v>
      </c>
      <c r="N78" s="3" t="n">
        <f aca="false">IFERROR(__xludf.dummyfunction("if($T78&lt;&gt;"""",VALUE(REGEXEXTRACT(SUBSTITUTE ($T78,N$1&amp;"" CE"",""""), N$1&amp;""[\w &amp;]*, (\d+\.\d+)"")),"""")
"),5500)</f>
        <v>5500</v>
      </c>
      <c r="O78" s="3" t="n">
        <f aca="false">IFERROR(__xludf.dummyfunction("if($T78&lt;&gt;"""",VALUE(REGEXEXTRACT($T78, O$1&amp;""[\w &amp;]*, (\d+\.\d+)"")),"""")
"),5500)</f>
        <v>5500</v>
      </c>
      <c r="P78" s="2" t="n">
        <f aca="false">IFERROR(__xludf.dummyfunction("if($T78&lt;&gt;"""",VALUE(REGEXEXTRACT($T78, P$1&amp;""[\w &amp;]*, (\d+\.\d+)"")),"""")
"),5413.14)</f>
        <v>5413.14</v>
      </c>
      <c r="Q78" s="2" t="n">
        <f aca="false">IFERROR(__xludf.dummyfunction("if($T78&lt;&gt;"""",VALUE(REGEXEXTRACT($T78, Q$1&amp;""[\w &amp;]*, (\d+\.\d+)"")),"""")
"),5394.11)</f>
        <v>5394.11</v>
      </c>
      <c r="R78" s="2" t="n">
        <f aca="false">IFERROR(__xludf.dummyfunction("if($T78&lt;&gt;"""",VALUE(REGEXEXTRACT($T78, SUBSTITUTE(R$1, ""+"", ""\+"")&amp;""[\w &amp;]*, (\d+\.\d+)"")),"""")"),5505.06)</f>
        <v>5505.06</v>
      </c>
      <c r="S78" s="2" t="n">
        <f aca="false">IFERROR(__xludf.dummyfunction("if($T78&lt;&gt;"""",VALUE(REGEXEXTRACT($T78, SUBSTITUTE(S$1, ""+"", ""\+"")&amp;""[\w &amp;]*, (\d+\.\d+)"")),"""")"),5524.09)</f>
        <v>5524.09</v>
      </c>
      <c r="T78" s="5" t="s">
        <v>91</v>
      </c>
      <c r="U78" s="5"/>
    </row>
    <row r="79" customFormat="false" ht="15.75" hidden="false" customHeight="false" outlineLevel="0" collapsed="false">
      <c r="A79" s="4" t="n">
        <f aca="false">IFERROR(__xludf.dummyfunction("""COMPUTED_VALUE"""),45502.6666666667)</f>
        <v>45502.6666666667</v>
      </c>
      <c r="B79" s="2" t="n">
        <f aca="false">IFERROR(__xludf.dummyfunction("""COMPUTED_VALUE"""),5476.55)</f>
        <v>5476.55</v>
      </c>
      <c r="C79" s="2" t="n">
        <f aca="false">IFERROR(__xludf.dummyfunction("""COMPUTED_VALUE"""),5487.74)</f>
        <v>5487.74</v>
      </c>
      <c r="D79" s="2" t="n">
        <f aca="false">IFERROR(__xludf.dummyfunction("""COMPUTED_VALUE"""),5444.44)</f>
        <v>5444.44</v>
      </c>
      <c r="E79" s="2" t="n">
        <f aca="false">IFERROR(__xludf.dummyfunction("""COMPUTED_VALUE"""),5463.54)</f>
        <v>5463.54</v>
      </c>
      <c r="F79" s="3" t="n">
        <f aca="false">IFERROR(__xludf.dummyfunction("if($T79&lt;&gt;"""",VALUE(REGEXEXTRACT(SUBSTITUTE ($T79,F$1&amp;"" CE"",""""), F$1&amp;""[\w &amp;]*, (\d+\.\d+)"")),"""")
"),5550)</f>
        <v>5550</v>
      </c>
      <c r="G79" s="3" t="n">
        <f aca="false">IFERROR(__xludf.dummyfunction("if($T79&lt;&gt;"""",VALUE(REGEXEXTRACT($T79, G$1&amp;""[\w &amp;]*, (\d+\.\d+)"")),"""")
"),5500)</f>
        <v>5500</v>
      </c>
      <c r="H79" s="3" t="n">
        <f aca="false">IFERROR(__xludf.dummyfunction("if($T79&lt;&gt;"""",VALUE(REGEXEXTRACT($T79, H$1&amp;""[\w &amp;]*, (\d+\.\d+)"")),"""")"),5760)</f>
        <v>5760</v>
      </c>
      <c r="I79" s="3" t="n">
        <f aca="false">IFERROR(__xludf.dummyfunction("if($T79&lt;&gt;"""",VALUE(REGEXEXTRACT(SUBSTITUTE ($T79,I$1&amp;"" CE"",""""), I$1&amp;""[\w &amp;]*, (\d+\.\d+)"")),"""")
"),5550)</f>
        <v>5550</v>
      </c>
      <c r="J79" s="3" t="n">
        <f aca="false">IFERROR(__xludf.dummyfunction("if($T79&lt;&gt;"""",VALUE(REGEXEXTRACT($T79, J$1&amp;""[\w &amp;]*, (\d+\.\d+)"")),"""")
"),5420)</f>
        <v>5420</v>
      </c>
      <c r="K79" s="3" t="n">
        <f aca="false">IFERROR(__xludf.dummyfunction("if($T79&lt;&gt;"""",VALUE(REGEXEXTRACT($T79, K$1&amp;""[\w &amp;]*, (\d+\.\d+)"")),"""")
"),5390)</f>
        <v>5390</v>
      </c>
      <c r="L79" s="3" t="n">
        <f aca="false">IFERROR(__xludf.dummyfunction("if($T79&lt;&gt;"""",VALUE(REGEXEXTRACT(SUBSTITUTE ($T79,L$1&amp;"" CE"",""""), L$1&amp;""[\w &amp;]*, (\d+\.\d+)"")),"""")
"),5485)</f>
        <v>5485</v>
      </c>
      <c r="M79" s="3" t="n">
        <f aca="false">IFERROR(__xludf.dummyfunction("if($T79&lt;&gt;"""",VALUE(REGEXEXTRACT($T79, M$1&amp;""[\w &amp;]*, (\d+\.\d+)"")),"""")
"),5485)</f>
        <v>5485</v>
      </c>
      <c r="N79" s="3" t="n">
        <f aca="false">IFERROR(__xludf.dummyfunction("if($T79&lt;&gt;"""",VALUE(REGEXEXTRACT(SUBSTITUTE ($T79,N$1&amp;"" CE"",""""), N$1&amp;""[\w &amp;]*, (\d+\.\d+)"")),"""")
"),5500)</f>
        <v>5500</v>
      </c>
      <c r="O79" s="3" t="n">
        <f aca="false">IFERROR(__xludf.dummyfunction("if($T79&lt;&gt;"""",VALUE(REGEXEXTRACT($T79, O$1&amp;""[\w &amp;]*, (\d+\.\d+)"")),"""")
"),5500)</f>
        <v>5500</v>
      </c>
      <c r="P79" s="2" t="n">
        <f aca="false">IFERROR(__xludf.dummyfunction("if($T79&lt;&gt;"""",VALUE(REGEXEXTRACT($T79, P$1&amp;""[\w &amp;]*, (\d+\.\d+)"")),"""")
"),5417.91)</f>
        <v>5417.91</v>
      </c>
      <c r="Q79" s="2" t="n">
        <f aca="false">IFERROR(__xludf.dummyfunction("if($T79&lt;&gt;"""",VALUE(REGEXEXTRACT($T79, Q$1&amp;""[\w &amp;]*, (\d+\.\d+)"")),"""")
"),5399.01)</f>
        <v>5399.01</v>
      </c>
      <c r="R79" s="2" t="n">
        <f aca="false">IFERROR(__xludf.dummyfunction("if($T79&lt;&gt;"""",VALUE(REGEXEXTRACT($T79, SUBSTITUTE(R$1, ""+"", ""\+"")&amp;""[\w &amp;]*, (\d+\.\d+)"")),"""")"),5509.17)</f>
        <v>5509.17</v>
      </c>
      <c r="S79" s="2" t="n">
        <f aca="false">IFERROR(__xludf.dummyfunction("if($T79&lt;&gt;"""",VALUE(REGEXEXTRACT($T79, SUBSTITUTE(S$1, ""+"", ""\+"")&amp;""[\w &amp;]*, (\d+\.\d+)"")),"""")"),5528.07)</f>
        <v>5528.07</v>
      </c>
      <c r="T79" s="5" t="s">
        <v>92</v>
      </c>
      <c r="U79" s="5"/>
    </row>
    <row r="80" customFormat="false" ht="15.75" hidden="false" customHeight="false" outlineLevel="0" collapsed="false">
      <c r="A80" s="4" t="n">
        <f aca="false">IFERROR(__xludf.dummyfunction("""COMPUTED_VALUE"""),45503.6666666667)</f>
        <v>45503.6666666667</v>
      </c>
      <c r="B80" s="2" t="n">
        <f aca="false">IFERROR(__xludf.dummyfunction("""COMPUTED_VALUE"""),5478.73)</f>
        <v>5478.73</v>
      </c>
      <c r="C80" s="2" t="n">
        <f aca="false">IFERROR(__xludf.dummyfunction("""COMPUTED_VALUE"""),5489.46)</f>
        <v>5489.46</v>
      </c>
      <c r="D80" s="2" t="n">
        <f aca="false">IFERROR(__xludf.dummyfunction("""COMPUTED_VALUE"""),5401.7)</f>
        <v>5401.7</v>
      </c>
      <c r="E80" s="2" t="n">
        <f aca="false">IFERROR(__xludf.dummyfunction("""COMPUTED_VALUE"""),5436.44)</f>
        <v>5436.44</v>
      </c>
      <c r="F80" s="3" t="n">
        <f aca="false">IFERROR(__xludf.dummyfunction("if($T80&lt;&gt;"""",VALUE(REGEXEXTRACT(SUBSTITUTE ($T80,F$1&amp;"" CE"",""""), F$1&amp;""[\w &amp;]*, (\d+\.\d+)"")),"""")
"),5550)</f>
        <v>5550</v>
      </c>
      <c r="G80" s="3" t="n">
        <f aca="false">IFERROR(__xludf.dummyfunction("if($T80&lt;&gt;"""",VALUE(REGEXEXTRACT($T80, G$1&amp;""[\w &amp;]*, (\d+\.\d+)"")),"""")
"),5535)</f>
        <v>5535</v>
      </c>
      <c r="H80" s="3" t="n">
        <f aca="false">IFERROR(__xludf.dummyfunction("if($T80&lt;&gt;"""",VALUE(REGEXEXTRACT($T80, H$1&amp;""[\w &amp;]*, (\d+\.\d+)"")),"""")"),5760)</f>
        <v>5760</v>
      </c>
      <c r="I80" s="3" t="n">
        <f aca="false">IFERROR(__xludf.dummyfunction("if($T80&lt;&gt;"""",VALUE(REGEXEXTRACT(SUBSTITUTE ($T80,I$1&amp;"" CE"",""""), I$1&amp;""[\w &amp;]*, (\d+\.\d+)"")),"""")
"),5550)</f>
        <v>5550</v>
      </c>
      <c r="J80" s="3" t="n">
        <f aca="false">IFERROR(__xludf.dummyfunction("if($T80&lt;&gt;"""",VALUE(REGEXEXTRACT($T80, J$1&amp;""[\w &amp;]*, (\d+\.\d+)"")),"""")
"),5465)</f>
        <v>5465</v>
      </c>
      <c r="K80" s="3" t="n">
        <f aca="false">IFERROR(__xludf.dummyfunction("if($T80&lt;&gt;"""",VALUE(REGEXEXTRACT($T80, K$1&amp;""[\w &amp;]*, (\d+\.\d+)"")),"""")
"),5290)</f>
        <v>5290</v>
      </c>
      <c r="L80" s="3" t="n">
        <f aca="false">IFERROR(__xludf.dummyfunction("if($T80&lt;&gt;"""",VALUE(REGEXEXTRACT(SUBSTITUTE ($T80,L$1&amp;"" CE"",""""), L$1&amp;""[\w &amp;]*, (\d+\.\d+)"")),"""")
"),5495)</f>
        <v>5495</v>
      </c>
      <c r="M80" s="3" t="n">
        <f aca="false">IFERROR(__xludf.dummyfunction("if($T80&lt;&gt;"""",VALUE(REGEXEXTRACT($T80, M$1&amp;""[\w &amp;]*, (\d+\.\d+)"")),"""")
"),5480)</f>
        <v>5480</v>
      </c>
      <c r="N80" s="3" t="n">
        <f aca="false">IFERROR(__xludf.dummyfunction("if($T80&lt;&gt;"""",VALUE(REGEXEXTRACT(SUBSTITUTE ($T80,N$1&amp;"" CE"",""""), N$1&amp;""[\w &amp;]*, (\d+\.\d+)"")),"""")
"),5500)</f>
        <v>5500</v>
      </c>
      <c r="O80" s="3" t="n">
        <f aca="false">IFERROR(__xludf.dummyfunction("if($T80&lt;&gt;"""",VALUE(REGEXEXTRACT($T80, O$1&amp;""[\w &amp;]*, (\d+\.\d+)"")),"""")
"),5500)</f>
        <v>5500</v>
      </c>
      <c r="P80" s="2" t="n">
        <f aca="false">IFERROR(__xludf.dummyfunction("if($T80&lt;&gt;"""",VALUE(REGEXEXTRACT($T80, P$1&amp;""[\w &amp;]*, (\d+\.\d+)"")),"""")
"),5388.89)</f>
        <v>5388.89</v>
      </c>
      <c r="Q80" s="2" t="n">
        <f aca="false">IFERROR(__xludf.dummyfunction("if($T80&lt;&gt;"""",VALUE(REGEXEXTRACT($T80, Q$1&amp;""[\w &amp;]*, (\d+\.\d+)"")),"""")
"),5369.19)</f>
        <v>5369.19</v>
      </c>
      <c r="R80" s="2" t="n">
        <f aca="false">IFERROR(__xludf.dummyfunction("if($T80&lt;&gt;"""",VALUE(REGEXEXTRACT($T80, SUBSTITUTE(R$1, ""+"", ""\+"")&amp;""[\w &amp;]*, (\d+\.\d+)"")),"""")"),5483.99)</f>
        <v>5483.99</v>
      </c>
      <c r="S80" s="2" t="n">
        <f aca="false">IFERROR(__xludf.dummyfunction("if($T80&lt;&gt;"""",VALUE(REGEXEXTRACT($T80, SUBSTITUTE(S$1, ""+"", ""\+"")&amp;""[\w &amp;]*, (\d+\.\d+)"")),"""")"),5503.69)</f>
        <v>5503.69</v>
      </c>
      <c r="T80" s="5" t="s">
        <v>93</v>
      </c>
      <c r="U80" s="5"/>
    </row>
    <row r="81" customFormat="false" ht="15.75" hidden="false" customHeight="false" outlineLevel="0" collapsed="false">
      <c r="A81" s="4" t="n">
        <f aca="false">IFERROR(__xludf.dummyfunction("""COMPUTED_VALUE"""),45504.6666666667)</f>
        <v>45504.6666666667</v>
      </c>
      <c r="B81" s="2" t="n">
        <f aca="false">IFERROR(__xludf.dummyfunction("""COMPUTED_VALUE"""),5505.59)</f>
        <v>5505.59</v>
      </c>
      <c r="C81" s="2" t="n">
        <f aca="false">IFERROR(__xludf.dummyfunction("""COMPUTED_VALUE"""),5551.51)</f>
        <v>5551.51</v>
      </c>
      <c r="D81" s="2" t="n">
        <f aca="false">IFERROR(__xludf.dummyfunction("""COMPUTED_VALUE"""),5493.75)</f>
        <v>5493.75</v>
      </c>
      <c r="E81" s="2" t="n">
        <f aca="false">IFERROR(__xludf.dummyfunction("""COMPUTED_VALUE"""),5522.3)</f>
        <v>5522.3</v>
      </c>
      <c r="F81" s="3" t="n">
        <f aca="false">IFERROR(__xludf.dummyfunction("if($T81&lt;&gt;"""",VALUE(REGEXEXTRACT(SUBSTITUTE ($T81,F$1&amp;"" CE"",""""), F$1&amp;""[\w &amp;]*, (\d+\.\d+)"")),"""")
"),5550)</f>
        <v>5550</v>
      </c>
      <c r="G81" s="3" t="n">
        <f aca="false">IFERROR(__xludf.dummyfunction("if($T81&lt;&gt;"""",VALUE(REGEXEXTRACT($T81, G$1&amp;""[\w &amp;]*, (\d+\.\d+)"")),"""")
"),5575)</f>
        <v>5575</v>
      </c>
      <c r="H81" s="3" t="n">
        <f aca="false">IFERROR(__xludf.dummyfunction("if($T81&lt;&gt;"""",VALUE(REGEXEXTRACT($T81, H$1&amp;""[\w &amp;]*, (\d+\.\d+)"")),"""")"),5760)</f>
        <v>5760</v>
      </c>
      <c r="I81" s="3" t="n">
        <f aca="false">IFERROR(__xludf.dummyfunction("if($T81&lt;&gt;"""",VALUE(REGEXEXTRACT(SUBSTITUTE ($T81,I$1&amp;"" CE"",""""), I$1&amp;""[\w &amp;]*, (\d+\.\d+)"")),"""")
"),5550)</f>
        <v>5550</v>
      </c>
      <c r="J81" s="3" t="n">
        <f aca="false">IFERROR(__xludf.dummyfunction("if($T81&lt;&gt;"""",VALUE(REGEXEXTRACT($T81, J$1&amp;""[\w &amp;]*, (\d+\.\d+)"")),"""")
"),5550)</f>
        <v>5550</v>
      </c>
      <c r="K81" s="3" t="n">
        <f aca="false">IFERROR(__xludf.dummyfunction("if($T81&lt;&gt;"""",VALUE(REGEXEXTRACT($T81, K$1&amp;""[\w &amp;]*, (\d+\.\d+)"")),"""")
"),5390)</f>
        <v>5390</v>
      </c>
      <c r="L81" s="3" t="n">
        <f aca="false">IFERROR(__xludf.dummyfunction("if($T81&lt;&gt;"""",VALUE(REGEXEXTRACT(SUBSTITUTE ($T81,L$1&amp;"" CE"",""""), L$1&amp;""[\w &amp;]*, (\d+\.\d+)"")),"""")
"),5505)</f>
        <v>5505</v>
      </c>
      <c r="M81" s="3" t="n">
        <f aca="false">IFERROR(__xludf.dummyfunction("if($T81&lt;&gt;"""",VALUE(REGEXEXTRACT($T81, M$1&amp;""[\w &amp;]*, (\d+\.\d+)"")),"""")
"),5495)</f>
        <v>5495</v>
      </c>
      <c r="N81" s="3" t="n">
        <f aca="false">IFERROR(__xludf.dummyfunction("if($T81&lt;&gt;"""",VALUE(REGEXEXTRACT(SUBSTITUTE ($T81,N$1&amp;"" CE"",""""), N$1&amp;""[\w &amp;]*, (\d+\.\d+)"")),"""")
"),5550)</f>
        <v>5550</v>
      </c>
      <c r="O81" s="3" t="n">
        <f aca="false">IFERROR(__xludf.dummyfunction("if($T81&lt;&gt;"""",VALUE(REGEXEXTRACT($T81, O$1&amp;""[\w &amp;]*, (\d+\.\d+)"")),"""")
"),5600)</f>
        <v>5600</v>
      </c>
      <c r="P81" s="2" t="n">
        <f aca="false">IFERROR(__xludf.dummyfunction("if($T81&lt;&gt;"""",VALUE(REGEXEXTRACT($T81, P$1&amp;""[\w &amp;]*, (\d+\.\d+)"")),"""")
"),5478.14)</f>
        <v>5478.14</v>
      </c>
      <c r="Q81" s="2" t="n">
        <f aca="false">IFERROR(__xludf.dummyfunction("if($T81&lt;&gt;"""",VALUE(REGEXEXTRACT($T81, Q$1&amp;""[\w &amp;]*, (\d+\.\d+)"")),"""")
"),5459.85)</f>
        <v>5459.85</v>
      </c>
      <c r="R81" s="2" t="n">
        <f aca="false">IFERROR(__xludf.dummyfunction("if($T81&lt;&gt;"""",VALUE(REGEXEXTRACT($T81, SUBSTITUTE(R$1, ""+"", ""\+"")&amp;""[\w &amp;]*, (\d+\.\d+)"")),"""")"),5566.46)</f>
        <v>5566.46</v>
      </c>
      <c r="S81" s="2" t="n">
        <f aca="false">IFERROR(__xludf.dummyfunction("if($T81&lt;&gt;"""",VALUE(REGEXEXTRACT($T81, SUBSTITUTE(S$1, ""+"", ""\+"")&amp;""[\w &amp;]*, (\d+\.\d+)"")),"""")"),5584.75)</f>
        <v>5584.75</v>
      </c>
      <c r="T81" s="5" t="s">
        <v>94</v>
      </c>
      <c r="U81" s="5"/>
    </row>
    <row r="82" customFormat="false" ht="15.75" hidden="false" customHeight="false" outlineLevel="0" collapsed="false">
      <c r="A82" s="4" t="n">
        <f aca="false">IFERROR(__xludf.dummyfunction("""COMPUTED_VALUE"""),45505.6666666667)</f>
        <v>45505.6666666667</v>
      </c>
      <c r="B82" s="2" t="n">
        <f aca="false">IFERROR(__xludf.dummyfunction("""COMPUTED_VALUE"""),5537.84)</f>
        <v>5537.84</v>
      </c>
      <c r="C82" s="2" t="n">
        <f aca="false">IFERROR(__xludf.dummyfunction("""COMPUTED_VALUE"""),5566.16)</f>
        <v>5566.16</v>
      </c>
      <c r="D82" s="2" t="n">
        <f aca="false">IFERROR(__xludf.dummyfunction("""COMPUTED_VALUE"""),5410.42)</f>
        <v>5410.42</v>
      </c>
      <c r="E82" s="2" t="n">
        <f aca="false">IFERROR(__xludf.dummyfunction("""COMPUTED_VALUE"""),5446.68)</f>
        <v>5446.68</v>
      </c>
      <c r="F82" s="3" t="n">
        <f aca="false">IFERROR(__xludf.dummyfunction("if($T82&lt;&gt;"""",VALUE(REGEXEXTRACT(SUBSTITUTE ($T82,F$1&amp;"" CE"",""""), F$1&amp;""[\w &amp;]*, (\d+\.\d+)"")),"""")
"),5550)</f>
        <v>5550</v>
      </c>
      <c r="G82" s="3" t="n">
        <f aca="false">IFERROR(__xludf.dummyfunction("if($T82&lt;&gt;"""",VALUE(REGEXEXTRACT($T82, G$1&amp;""[\w &amp;]*, (\d+\.\d+)"")),"""")
"),5525)</f>
        <v>5525</v>
      </c>
      <c r="H82" s="3" t="n">
        <f aca="false">IFERROR(__xludf.dummyfunction("if($T82&lt;&gt;"""",VALUE(REGEXEXTRACT($T82, H$1&amp;""[\w &amp;]*, (\d+\.\d+)"")),"""")"),5760)</f>
        <v>5760</v>
      </c>
      <c r="I82" s="3" t="n">
        <f aca="false">IFERROR(__xludf.dummyfunction("if($T82&lt;&gt;"""",VALUE(REGEXEXTRACT(SUBSTITUTE ($T82,I$1&amp;"" CE"",""""), I$1&amp;""[\w &amp;]*, (\d+\.\d+)"")),"""")
"),5000)</f>
        <v>5000</v>
      </c>
      <c r="J82" s="3" t="n">
        <f aca="false">IFERROR(__xludf.dummyfunction("if($T82&lt;&gt;"""",VALUE(REGEXEXTRACT($T82, J$1&amp;""[\w &amp;]*, (\d+\.\d+)"")),"""")
"),5350)</f>
        <v>5350</v>
      </c>
      <c r="K82" s="3" t="n">
        <f aca="false">IFERROR(__xludf.dummyfunction("if($T82&lt;&gt;"""",VALUE(REGEXEXTRACT($T82, K$1&amp;""[\w &amp;]*, (\d+\.\d+)"")),"""")
"),5285)</f>
        <v>5285</v>
      </c>
      <c r="L82" s="3" t="n">
        <f aca="false">IFERROR(__xludf.dummyfunction("if($T82&lt;&gt;"""",VALUE(REGEXEXTRACT(SUBSTITUTE ($T82,L$1&amp;"" CE"",""""), L$1&amp;""[\w &amp;]*, (\d+\.\d+)"")),"""")
"),5505)</f>
        <v>5505</v>
      </c>
      <c r="M82" s="3" t="n">
        <f aca="false">IFERROR(__xludf.dummyfunction("if($T82&lt;&gt;"""",VALUE(REGEXEXTRACT($T82, M$1&amp;""[\w &amp;]*, (\d+\.\d+)"")),"""")
"),5495)</f>
        <v>5495</v>
      </c>
      <c r="N82" s="3" t="n">
        <f aca="false">IFERROR(__xludf.dummyfunction("if($T82&lt;&gt;"""",VALUE(REGEXEXTRACT(SUBSTITUTE ($T82,N$1&amp;"" CE"",""""), N$1&amp;""[\w &amp;]*, (\d+\.\d+)"")),"""")
"),5000)</f>
        <v>5000</v>
      </c>
      <c r="O82" s="3" t="n">
        <f aca="false">IFERROR(__xludf.dummyfunction("if($T82&lt;&gt;"""",VALUE(REGEXEXTRACT($T82, O$1&amp;""[\w &amp;]*, (\d+\.\d+)"")),"""")
"),5350)</f>
        <v>5350</v>
      </c>
      <c r="P82" s="2" t="n">
        <f aca="false">IFERROR(__xludf.dummyfunction("if($T82&lt;&gt;"""",VALUE(REGEXEXTRACT($T82, P$1&amp;""[\w &amp;]*, (\d+\.\d+)"")),"""")
"),5394.27)</f>
        <v>5394.27</v>
      </c>
      <c r="Q82" s="2" t="n">
        <f aca="false">IFERROR(__xludf.dummyfunction("if($T82&lt;&gt;"""",VALUE(REGEXEXTRACT($T82, Q$1&amp;""[\w &amp;]*, (\d+\.\d+)"")),"""")
"),5341.86)</f>
        <v>5341.86</v>
      </c>
      <c r="R82" s="2" t="n">
        <f aca="false">IFERROR(__xludf.dummyfunction("if($T82&lt;&gt;"""",VALUE(REGEXEXTRACT($T82, SUBSTITUTE(R$1, ""+"", ""\+"")&amp;""[\w &amp;]*, (\d+\.\d+)"")),"""")"),5499.09)</f>
        <v>5499.09</v>
      </c>
      <c r="S82" s="2" t="n">
        <f aca="false">IFERROR(__xludf.dummyfunction("if($T82&lt;&gt;"""",VALUE(REGEXEXTRACT($T82, SUBSTITUTE(S$1, ""+"", ""\+"")&amp;""[\w &amp;]*, (\d+\.\d+)"")),"""")"),5551.5)</f>
        <v>5551.5</v>
      </c>
      <c r="T82" s="5" t="s">
        <v>95</v>
      </c>
      <c r="U82" s="5"/>
    </row>
    <row r="83" customFormat="false" ht="15.75" hidden="false" customHeight="false" outlineLevel="0" collapsed="false">
      <c r="A83" s="4" t="n">
        <f aca="false">IFERROR(__xludf.dummyfunction("""COMPUTED_VALUE"""),45506.6666666667)</f>
        <v>45506.6666666667</v>
      </c>
      <c r="B83" s="2" t="n">
        <f aca="false">IFERROR(__xludf.dummyfunction("""COMPUTED_VALUE"""),5376.63)</f>
        <v>5376.63</v>
      </c>
      <c r="C83" s="2" t="n">
        <f aca="false">IFERROR(__xludf.dummyfunction("""COMPUTED_VALUE"""),5383.89)</f>
        <v>5383.89</v>
      </c>
      <c r="D83" s="2" t="n">
        <f aca="false">IFERROR(__xludf.dummyfunction("""COMPUTED_VALUE"""),5302.03)</f>
        <v>5302.03</v>
      </c>
      <c r="E83" s="2" t="n">
        <f aca="false">IFERROR(__xludf.dummyfunction("""COMPUTED_VALUE"""),5346.56)</f>
        <v>5346.56</v>
      </c>
      <c r="F83" s="3" t="n">
        <f aca="false">IFERROR(__xludf.dummyfunction("if($T83&lt;&gt;"""",VALUE(REGEXEXTRACT(SUBSTITUTE ($T83,F$1&amp;"" CE"",""""), F$1&amp;""[\w &amp;]*, (\d+\.\d+)"")),"""")
"),5000)</f>
        <v>5000</v>
      </c>
      <c r="G83" s="3" t="n">
        <f aca="false">IFERROR(__xludf.dummyfunction("if($T83&lt;&gt;"""",VALUE(REGEXEXTRACT($T83, G$1&amp;""[\w &amp;]*, (\d+\.\d+)"")),"""")
"),5405)</f>
        <v>5405</v>
      </c>
      <c r="H83" s="3" t="n">
        <f aca="false">IFERROR(__xludf.dummyfunction("if($T83&lt;&gt;"""",VALUE(REGEXEXTRACT($T83, H$1&amp;""[\w &amp;]*, (\d+\.\d+)"")),"""")"),5760)</f>
        <v>5760</v>
      </c>
      <c r="I83" s="3" t="n">
        <f aca="false">IFERROR(__xludf.dummyfunction("if($T83&lt;&gt;"""",VALUE(REGEXEXTRACT(SUBSTITUTE ($T83,I$1&amp;"" CE"",""""), I$1&amp;""[\w &amp;]*, (\d+\.\d+)"")),"""")
"),5000)</f>
        <v>5000</v>
      </c>
      <c r="J83" s="3" t="n">
        <f aca="false">IFERROR(__xludf.dummyfunction("if($T83&lt;&gt;"""",VALUE(REGEXEXTRACT($T83, J$1&amp;""[\w &amp;]*, (\d+\.\d+)"")),"""")
"),5200)</f>
        <v>5200</v>
      </c>
      <c r="K83" s="3" t="n">
        <f aca="false">IFERROR(__xludf.dummyfunction("if($T83&lt;&gt;"""",VALUE(REGEXEXTRACT($T83, K$1&amp;""[\w &amp;]*, (\d+\.\d+)"")),"""")
"),5185)</f>
        <v>5185</v>
      </c>
      <c r="L83" s="3" t="n">
        <f aca="false">IFERROR(__xludf.dummyfunction("if($T83&lt;&gt;"""",VALUE(REGEXEXTRACT(SUBSTITUTE ($T83,L$1&amp;"" CE"",""""), L$1&amp;""[\w &amp;]*, (\d+\.\d+)"")),"""")
"),5500)</f>
        <v>5500</v>
      </c>
      <c r="M83" s="3" t="n">
        <f aca="false">IFERROR(__xludf.dummyfunction("if($T83&lt;&gt;"""",VALUE(REGEXEXTRACT($T83, M$1&amp;""[\w &amp;]*, (\d+\.\d+)"")),"""")
"),5370)</f>
        <v>5370</v>
      </c>
      <c r="N83" s="3" t="n">
        <f aca="false">IFERROR(__xludf.dummyfunction("if($T83&lt;&gt;"""",VALUE(REGEXEXTRACT(SUBSTITUTE ($T83,N$1&amp;"" CE"",""""), N$1&amp;""[\w &amp;]*, (\d+\.\d+)"")),"""")
"),5000)</f>
        <v>5000</v>
      </c>
      <c r="O83" s="3" t="n">
        <f aca="false">IFERROR(__xludf.dummyfunction("if($T83&lt;&gt;"""",VALUE(REGEXEXTRACT($T83, O$1&amp;""[\w &amp;]*, (\d+\.\d+)"")),"""")
"),5200)</f>
        <v>5200</v>
      </c>
      <c r="P83" s="2" t="n">
        <f aca="false">IFERROR(__xludf.dummyfunction("if($T83&lt;&gt;"""",VALUE(REGEXEXTRACT($T83, P$1&amp;""[\w &amp;]*, (\d+\.\d+)"")),"""")
"),5259.75)</f>
        <v>5259.75</v>
      </c>
      <c r="Q83" s="2" t="n">
        <f aca="false">IFERROR(__xludf.dummyfunction("if($T83&lt;&gt;"""",VALUE(REGEXEXTRACT($T83, Q$1&amp;""[\w &amp;]*, (\d+\.\d+)"")),"""")
"),5223.79)</f>
        <v>5223.79</v>
      </c>
      <c r="R83" s="2" t="n">
        <f aca="false">IFERROR(__xludf.dummyfunction("if($T83&lt;&gt;"""",VALUE(REGEXEXTRACT($T83, SUBSTITUTE(R$1, ""+"", ""\+"")&amp;""[\w &amp;]*, (\d+\.\d+)"")),"""")"),5433.37)</f>
        <v>5433.37</v>
      </c>
      <c r="S83" s="2" t="n">
        <f aca="false">IFERROR(__xludf.dummyfunction("if($T83&lt;&gt;"""",VALUE(REGEXEXTRACT($T83, SUBSTITUTE(S$1, ""+"", ""\+"")&amp;""[\w &amp;]*, (\d+\.\d+)"")),"""")"),5469.33)</f>
        <v>5469.33</v>
      </c>
      <c r="T83" s="5" t="s">
        <v>96</v>
      </c>
      <c r="U83" s="5"/>
    </row>
    <row r="84" customFormat="false" ht="15.75" hidden="false" customHeight="false" outlineLevel="0" collapsed="false">
      <c r="A84" s="4" t="n">
        <f aca="false">IFERROR(__xludf.dummyfunction("""COMPUTED_VALUE"""),45509.6666666667)</f>
        <v>45509.6666666667</v>
      </c>
      <c r="B84" s="2" t="n">
        <f aca="false">IFERROR(__xludf.dummyfunction("""COMPUTED_VALUE"""),5151.14)</f>
        <v>5151.14</v>
      </c>
      <c r="C84" s="2" t="n">
        <f aca="false">IFERROR(__xludf.dummyfunction("""COMPUTED_VALUE"""),5250.89)</f>
        <v>5250.89</v>
      </c>
      <c r="D84" s="2" t="n">
        <f aca="false">IFERROR(__xludf.dummyfunction("""COMPUTED_VALUE"""),5119.26)</f>
        <v>5119.26</v>
      </c>
      <c r="E84" s="2" t="n">
        <f aca="false">IFERROR(__xludf.dummyfunction("""COMPUTED_VALUE"""),5186.33)</f>
        <v>5186.33</v>
      </c>
      <c r="F84" s="3" t="n">
        <f aca="false">IFERROR(__xludf.dummyfunction("if($T84&lt;&gt;"""",VALUE(REGEXEXTRACT(SUBSTITUTE ($T84,F$1&amp;"" CE"",""""), F$1&amp;""[\w &amp;]*, (\d+\.\d+)"")),"""")
"),5000)</f>
        <v>5000</v>
      </c>
      <c r="G84" s="3" t="n">
        <f aca="false">IFERROR(__xludf.dummyfunction("if($T84&lt;&gt;"""",VALUE(REGEXEXTRACT($T84, G$1&amp;""[\w &amp;]*, (\d+\.\d+)"")),"""")
"),5320)</f>
        <v>5320</v>
      </c>
      <c r="H84" s="3" t="n">
        <f aca="false">IFERROR(__xludf.dummyfunction("if($T84&lt;&gt;"""",VALUE(REGEXEXTRACT($T84, H$1&amp;""[\w &amp;]*, (\d+\.\d+)"")),"""")"),5775)</f>
        <v>5775</v>
      </c>
      <c r="I84" s="3" t="n">
        <f aca="false">IFERROR(__xludf.dummyfunction("if($T84&lt;&gt;"""",VALUE(REGEXEXTRACT(SUBSTITUTE ($T84,I$1&amp;"" CE"",""""), I$1&amp;""[\w &amp;]*, (\d+\.\d+)"")),"""")
"),5000)</f>
        <v>5000</v>
      </c>
      <c r="J84" s="3" t="n">
        <f aca="false">IFERROR(__xludf.dummyfunction("if($T84&lt;&gt;"""",VALUE(REGEXEXTRACT($T84, J$1&amp;""[\w &amp;]*, (\d+\.\d+)"")),"""")
"),5215)</f>
        <v>5215</v>
      </c>
      <c r="K84" s="3" t="n">
        <f aca="false">IFERROR(__xludf.dummyfunction("if($T84&lt;&gt;"""",VALUE(REGEXEXTRACT($T84, K$1&amp;""[\w &amp;]*, (\d+\.\d+)"")),"""")
"),5190)</f>
        <v>5190</v>
      </c>
      <c r="L84" s="3" t="n">
        <f aca="false">IFERROR(__xludf.dummyfunction("if($T84&lt;&gt;"""",VALUE(REGEXEXTRACT(SUBSTITUTE ($T84,L$1&amp;"" CE"",""""), L$1&amp;""[\w &amp;]*, (\d+\.\d+)"")),"""")
"),5495)</f>
        <v>5495</v>
      </c>
      <c r="M84" s="3" t="n">
        <f aca="false">IFERROR(__xludf.dummyfunction("if($T84&lt;&gt;"""",VALUE(REGEXEXTRACT($T84, M$1&amp;""[\w &amp;]*, (\d+\.\d+)"")),"""")
"),5340)</f>
        <v>5340</v>
      </c>
      <c r="N84" s="3" t="n">
        <f aca="false">IFERROR(__xludf.dummyfunction("if($T84&lt;&gt;"""",VALUE(REGEXEXTRACT(SUBSTITUTE ($T84,N$1&amp;"" CE"",""""), N$1&amp;""[\w &amp;]*, (\d+\.\d+)"")),"""")
"),5000)</f>
        <v>5000</v>
      </c>
      <c r="O84" s="3" t="n">
        <f aca="false">IFERROR(__xludf.dummyfunction("if($T84&lt;&gt;"""",VALUE(REGEXEXTRACT($T84, O$1&amp;""[\w &amp;]*, (\d+\.\d+)"")),"""")
"),5215)</f>
        <v>5215</v>
      </c>
      <c r="P84" s="2" t="n">
        <f aca="false">IFERROR(__xludf.dummyfunction("if($T84&lt;&gt;"""",VALUE(REGEXEXTRACT($T84, P$1&amp;""[\w &amp;]*, (\d+\.\d+)"")),"""")
"),5109.67)</f>
        <v>5109.67</v>
      </c>
      <c r="Q84" s="2" t="n">
        <f aca="false">IFERROR(__xludf.dummyfunction("if($T84&lt;&gt;"""",VALUE(REGEXEXTRACT($T84, Q$1&amp;""[\w &amp;]*, (\d+\.\d+)"")),"""")
"),5077.91)</f>
        <v>5077.91</v>
      </c>
      <c r="R84" s="2" t="n">
        <f aca="false">IFERROR(__xludf.dummyfunction("if($T84&lt;&gt;"""",VALUE(REGEXEXTRACT($T84, SUBSTITUTE(R$1, ""+"", ""\+"")&amp;""[\w &amp;]*, (\d+\.\d+)"")),"""")"),5262.99)</f>
        <v>5262.99</v>
      </c>
      <c r="S84" s="2" t="n">
        <f aca="false">IFERROR(__xludf.dummyfunction("if($T84&lt;&gt;"""",VALUE(REGEXEXTRACT($T84, SUBSTITUTE(S$1, ""+"", ""\+"")&amp;""[\w &amp;]*, (\d+\.\d+)"")),"""")"),5294.75)</f>
        <v>5294.75</v>
      </c>
      <c r="T84" s="5" t="s">
        <v>97</v>
      </c>
      <c r="U84" s="5"/>
    </row>
    <row r="85" customFormat="false" ht="15.75" hidden="false" customHeight="false" outlineLevel="0" collapsed="false">
      <c r="A85" s="4" t="n">
        <f aca="false">IFERROR(__xludf.dummyfunction("""COMPUTED_VALUE"""),45510.6666666667)</f>
        <v>45510.6666666667</v>
      </c>
      <c r="B85" s="2" t="n">
        <f aca="false">IFERROR(__xludf.dummyfunction("""COMPUTED_VALUE"""),5206.42)</f>
        <v>5206.42</v>
      </c>
      <c r="C85" s="2" t="n">
        <f aca="false">IFERROR(__xludf.dummyfunction("""COMPUTED_VALUE"""),5312.34)</f>
        <v>5312.34</v>
      </c>
      <c r="D85" s="2" t="n">
        <f aca="false">IFERROR(__xludf.dummyfunction("""COMPUTED_VALUE"""),5193.56)</f>
        <v>5193.56</v>
      </c>
      <c r="E85" s="2" t="n">
        <f aca="false">IFERROR(__xludf.dummyfunction("""COMPUTED_VALUE"""),5240.03)</f>
        <v>5240.03</v>
      </c>
      <c r="F85" s="3" t="n">
        <f aca="false">IFERROR(__xludf.dummyfunction("if($T85&lt;&gt;"""",VALUE(REGEXEXTRACT(SUBSTITUTE ($T85,F$1&amp;"" CE"",""""), F$1&amp;""[\w &amp;]*, (\d+\.\d+)"")),"""")
"),5550)</f>
        <v>5550</v>
      </c>
      <c r="G85" s="3" t="n">
        <f aca="false">IFERROR(__xludf.dummyfunction("if($T85&lt;&gt;"""",VALUE(REGEXEXTRACT($T85, G$1&amp;""[\w &amp;]*, (\d+\.\d+)"")),"""")
"),5305)</f>
        <v>5305</v>
      </c>
      <c r="H85" s="3" t="str">
        <f aca="false">IFERROR(__xludf.dummyfunction("if($T85&lt;&gt;"""",VALUE(REGEXEXTRACT($T85, H$1&amp;""[\w &amp;]*, (\d+\.\d+)"")),"""")"),"#N/A")</f>
        <v>#N/A</v>
      </c>
      <c r="I85" s="3" t="n">
        <f aca="false">IFERROR(__xludf.dummyfunction("if($T85&lt;&gt;"""",VALUE(REGEXEXTRACT(SUBSTITUTE ($T85,I$1&amp;"" CE"",""""), I$1&amp;""[\w &amp;]*, (\d+\.\d+)"")),"""")
"),5000)</f>
        <v>5000</v>
      </c>
      <c r="J85" s="3" t="n">
        <f aca="false">IFERROR(__xludf.dummyfunction("if($T85&lt;&gt;"""",VALUE(REGEXEXTRACT($T85, J$1&amp;""[\w &amp;]*, (\d+\.\d+)"")),"""")
"),5245)</f>
        <v>5245</v>
      </c>
      <c r="K85" s="3" t="n">
        <f aca="false">IFERROR(__xludf.dummyfunction("if($T85&lt;&gt;"""",VALUE(REGEXEXTRACT($T85, K$1&amp;""[\w &amp;]*, (\d+\.\d+)"")),"""")
"),5290)</f>
        <v>5290</v>
      </c>
      <c r="L85" s="3" t="n">
        <f aca="false">IFERROR(__xludf.dummyfunction("if($T85&lt;&gt;"""",VALUE(REGEXEXTRACT(SUBSTITUTE ($T85,L$1&amp;"" CE"",""""), L$1&amp;""[\w &amp;]*, (\d+\.\d+)"")),"""")
"),5495)</f>
        <v>5495</v>
      </c>
      <c r="M85" s="3" t="n">
        <f aca="false">IFERROR(__xludf.dummyfunction("if($T85&lt;&gt;"""",VALUE(REGEXEXTRACT($T85, M$1&amp;""[\w &amp;]*, (\d+\.\d+)"")),"""")
"),5275)</f>
        <v>5275</v>
      </c>
      <c r="N85" s="3" t="n">
        <f aca="false">IFERROR(__xludf.dummyfunction("if($T85&lt;&gt;"""",VALUE(REGEXEXTRACT(SUBSTITUTE ($T85,N$1&amp;"" CE"",""""), N$1&amp;""[\w &amp;]*, (\d+\.\d+)"")),"""")
"),5000)</f>
        <v>5000</v>
      </c>
      <c r="O85" s="3" t="n">
        <f aca="false">IFERROR(__xludf.dummyfunction("if($T85&lt;&gt;"""",VALUE(REGEXEXTRACT($T85, O$1&amp;""[\w &amp;]*, (\d+\.\d+)"")),"""")
"),5300)</f>
        <v>5300</v>
      </c>
      <c r="P85" s="2" t="n">
        <f aca="false">IFERROR(__xludf.dummyfunction("if($T85&lt;&gt;"""",VALUE(REGEXEXTRACT($T85, P$1&amp;""[\w &amp;]*, (\d+\.\d+)"")),"""")
"),5179.91)</f>
        <v>5179.91</v>
      </c>
      <c r="Q85" s="2" t="n">
        <f aca="false">IFERROR(__xludf.dummyfunction("if($T85&lt;&gt;"""",VALUE(REGEXEXTRACT($T85, Q$1&amp;""[\w &amp;]*, (\d+\.\d+)"")),"""")
"),5155.01)</f>
        <v>5155.01</v>
      </c>
      <c r="R85" s="2" t="n">
        <f aca="false">IFERROR(__xludf.dummyfunction("if($T85&lt;&gt;"""",VALUE(REGEXEXTRACT($T85, SUBSTITUTE(R$1, ""+"", ""\+"")&amp;""[\w &amp;]*, (\d+\.\d+)"")),"""")"),5300.15)</f>
        <v>5300.15</v>
      </c>
      <c r="S85" s="2" t="n">
        <f aca="false">IFERROR(__xludf.dummyfunction("if($T85&lt;&gt;"""",VALUE(REGEXEXTRACT($T85, SUBSTITUTE(S$1, ""+"", ""\+"")&amp;""[\w &amp;]*, (\d+\.\d+)"")),"""")"),5325.05)</f>
        <v>5325.05</v>
      </c>
      <c r="T85" s="5" t="s">
        <v>98</v>
      </c>
      <c r="U85" s="5"/>
    </row>
    <row r="86" customFormat="false" ht="15.75" hidden="false" customHeight="false" outlineLevel="0" collapsed="false">
      <c r="A86" s="4" t="n">
        <f aca="false">IFERROR(__xludf.dummyfunction("""COMPUTED_VALUE"""),45511.6666666667)</f>
        <v>45511.6666666667</v>
      </c>
      <c r="B86" s="2" t="n">
        <f aca="false">IFERROR(__xludf.dummyfunction("""COMPUTED_VALUE"""),5293.13)</f>
        <v>5293.13</v>
      </c>
      <c r="C86" s="2" t="n">
        <f aca="false">IFERROR(__xludf.dummyfunction("""COMPUTED_VALUE"""),5330.64)</f>
        <v>5330.64</v>
      </c>
      <c r="D86" s="2" t="n">
        <f aca="false">IFERROR(__xludf.dummyfunction("""COMPUTED_VALUE"""),5195.54)</f>
        <v>5195.54</v>
      </c>
      <c r="E86" s="2" t="n">
        <f aca="false">IFERROR(__xludf.dummyfunction("""COMPUTED_VALUE"""),5199.5)</f>
        <v>5199.5</v>
      </c>
      <c r="F86" s="3" t="n">
        <f aca="false">IFERROR(__xludf.dummyfunction("if($T86&lt;&gt;"""",VALUE(REGEXEXTRACT(SUBSTITUTE ($T86,F$1&amp;"" CE"",""""), F$1&amp;""[\w &amp;]*, (\d+\.\d+)"")),"""")
"),5000)</f>
        <v>5000</v>
      </c>
      <c r="G86" s="3" t="n">
        <f aca="false">IFERROR(__xludf.dummyfunction("if($T86&lt;&gt;"""",VALUE(REGEXEXTRACT($T86, G$1&amp;""[\w &amp;]*, (\d+\.\d+)"")),"""")
"),5300)</f>
        <v>5300</v>
      </c>
      <c r="H86" s="3" t="n">
        <f aca="false">IFERROR(__xludf.dummyfunction("if($T86&lt;&gt;"""",VALUE(REGEXEXTRACT($T86, H$1&amp;""[\w &amp;]*, (\d+\.\d+)"")),"""")"),5760)</f>
        <v>5760</v>
      </c>
      <c r="I86" s="3" t="n">
        <f aca="false">IFERROR(__xludf.dummyfunction("if($T86&lt;&gt;"""",VALUE(REGEXEXTRACT(SUBSTITUTE ($T86,I$1&amp;"" CE"",""""), I$1&amp;""[\w &amp;]*, (\d+\.\d+)"")),"""")
"),5000)</f>
        <v>5000</v>
      </c>
      <c r="J86" s="3" t="n">
        <f aca="false">IFERROR(__xludf.dummyfunction("if($T86&lt;&gt;"""",VALUE(REGEXEXTRACT($T86, J$1&amp;""[\w &amp;]*, (\d+\.\d+)"")),"""")
"),5200)</f>
        <v>5200</v>
      </c>
      <c r="K86" s="3" t="n">
        <f aca="false">IFERROR(__xludf.dummyfunction("if($T86&lt;&gt;"""",VALUE(REGEXEXTRACT($T86, K$1&amp;""[\w &amp;]*, (\d+\.\d+)"")),"""")
"),5190)</f>
        <v>5190</v>
      </c>
      <c r="L86" s="3" t="n">
        <f aca="false">IFERROR(__xludf.dummyfunction("if($T86&lt;&gt;"""",VALUE(REGEXEXTRACT(SUBSTITUTE ($T86,L$1&amp;"" CE"",""""), L$1&amp;""[\w &amp;]*, (\d+\.\d+)"")),"""")
"),5495)</f>
        <v>5495</v>
      </c>
      <c r="M86" s="3" t="n">
        <f aca="false">IFERROR(__xludf.dummyfunction("if($T86&lt;&gt;"""",VALUE(REGEXEXTRACT($T86, M$1&amp;""[\w &amp;]*, (\d+\.\d+)"")),"""")
"),5220)</f>
        <v>5220</v>
      </c>
      <c r="N86" s="3" t="n">
        <f aca="false">IFERROR(__xludf.dummyfunction("if($T86&lt;&gt;"""",VALUE(REGEXEXTRACT(SUBSTITUTE ($T86,N$1&amp;"" CE"",""""), N$1&amp;""[\w &amp;]*, (\d+\.\d+)"")),"""")
"),5000)</f>
        <v>5000</v>
      </c>
      <c r="O86" s="3" t="n">
        <f aca="false">IFERROR(__xludf.dummyfunction("if($T86&lt;&gt;"""",VALUE(REGEXEXTRACT($T86, O$1&amp;""[\w &amp;]*, (\d+\.\d+)"")),"""")
"),5200)</f>
        <v>5200</v>
      </c>
      <c r="P86" s="2" t="n">
        <f aca="false">IFERROR(__xludf.dummyfunction("if($T86&lt;&gt;"""",VALUE(REGEXEXTRACT($T86, P$1&amp;""[\w &amp;]*, (\d+\.\d+)"")),"""")
"),5135.59)</f>
        <v>5135.59</v>
      </c>
      <c r="Q86" s="2" t="n">
        <f aca="false">IFERROR(__xludf.dummyfunction("if($T86&lt;&gt;"""",VALUE(REGEXEXTRACT($T86, Q$1&amp;""[\w &amp;]*, (\d+\.\d+)"")),"""")
"),5109.11)</f>
        <v>5109.11</v>
      </c>
      <c r="R86" s="2" t="n">
        <f aca="false">IFERROR(__xludf.dummyfunction("if($T86&lt;&gt;"""",VALUE(REGEXEXTRACT($T86, SUBSTITUTE(R$1, ""+"", ""\+"")&amp;""[\w &amp;]*, (\d+\.\d+)"")),"""")"),5263.41)</f>
        <v>5263.41</v>
      </c>
      <c r="S86" s="2" t="n">
        <f aca="false">IFERROR(__xludf.dummyfunction("if($T86&lt;&gt;"""",VALUE(REGEXEXTRACT($T86, SUBSTITUTE(S$1, ""+"", ""\+"")&amp;""[\w &amp;]*, (\d+\.\d+)"")),"""")"),5289.89)</f>
        <v>5289.89</v>
      </c>
      <c r="T86" s="5" t="s">
        <v>99</v>
      </c>
      <c r="U86" s="5"/>
    </row>
    <row r="87" customFormat="false" ht="15.75" hidden="false" customHeight="false" outlineLevel="0" collapsed="false">
      <c r="A87" s="4" t="n">
        <f aca="false">IFERROR(__xludf.dummyfunction("""COMPUTED_VALUE"""),45512.6666666667)</f>
        <v>45512.6666666667</v>
      </c>
      <c r="B87" s="2" t="n">
        <f aca="false">IFERROR(__xludf.dummyfunction("""COMPUTED_VALUE"""),5252.57)</f>
        <v>5252.57</v>
      </c>
      <c r="C87" s="2" t="n">
        <f aca="false">IFERROR(__xludf.dummyfunction("""COMPUTED_VALUE"""),5328.03)</f>
        <v>5328.03</v>
      </c>
      <c r="D87" s="2" t="n">
        <f aca="false">IFERROR(__xludf.dummyfunction("""COMPUTED_VALUE"""),5233.85)</f>
        <v>5233.85</v>
      </c>
      <c r="E87" s="2" t="n">
        <f aca="false">IFERROR(__xludf.dummyfunction("""COMPUTED_VALUE"""),5319.31)</f>
        <v>5319.31</v>
      </c>
      <c r="F87" s="3" t="n">
        <f aca="false">IFERROR(__xludf.dummyfunction("if($T87&lt;&gt;"""",VALUE(REGEXEXTRACT(SUBSTITUTE ($T87,F$1&amp;"" CE"",""""), F$1&amp;""[\w &amp;]*, (\d+\.\d+)"")),"""")
"),5550)</f>
        <v>5550</v>
      </c>
      <c r="G87" s="3" t="n">
        <f aca="false">IFERROR(__xludf.dummyfunction("if($T87&lt;&gt;"""",VALUE(REGEXEXTRACT($T87, G$1&amp;""[\w &amp;]*, (\d+\.\d+)"")),"""")
"),5415)</f>
        <v>5415</v>
      </c>
      <c r="H87" s="3" t="n">
        <f aca="false">IFERROR(__xludf.dummyfunction("if($T87&lt;&gt;"""",VALUE(REGEXEXTRACT($T87, H$1&amp;""[\w &amp;]*, (\d+\.\d+)"")),"""")"),5760)</f>
        <v>5760</v>
      </c>
      <c r="I87" s="3" t="n">
        <f aca="false">IFERROR(__xludf.dummyfunction("if($T87&lt;&gt;"""",VALUE(REGEXEXTRACT(SUBSTITUTE ($T87,I$1&amp;"" CE"",""""), I$1&amp;""[\w &amp;]*, (\d+\.\d+)"")),"""")
"),5000)</f>
        <v>5000</v>
      </c>
      <c r="J87" s="3" t="n">
        <f aca="false">IFERROR(__xludf.dummyfunction("if($T87&lt;&gt;"""",VALUE(REGEXEXTRACT($T87, J$1&amp;""[\w &amp;]*, (\d+\.\d+)"")),"""")
"),5300)</f>
        <v>5300</v>
      </c>
      <c r="K87" s="3" t="n">
        <f aca="false">IFERROR(__xludf.dummyfunction("if($T87&lt;&gt;"""",VALUE(REGEXEXTRACT($T87, K$1&amp;""[\w &amp;]*, (\d+\.\d+)"")),"""")
"),5290)</f>
        <v>5290</v>
      </c>
      <c r="L87" s="3" t="n">
        <f aca="false">IFERROR(__xludf.dummyfunction("if($T87&lt;&gt;"""",VALUE(REGEXEXTRACT(SUBSTITUTE ($T87,L$1&amp;"" CE"",""""), L$1&amp;""[\w &amp;]*, (\d+\.\d+)"")),"""")
"),5400)</f>
        <v>5400</v>
      </c>
      <c r="M87" s="3" t="n">
        <f aca="false">IFERROR(__xludf.dummyfunction("if($T87&lt;&gt;"""",VALUE(REGEXEXTRACT($T87, M$1&amp;""[\w &amp;]*, (\d+\.\d+)"")),"""")
"),5325)</f>
        <v>5325</v>
      </c>
      <c r="N87" s="3" t="n">
        <f aca="false">IFERROR(__xludf.dummyfunction("if($T87&lt;&gt;"""",VALUE(REGEXEXTRACT(SUBSTITUTE ($T87,N$1&amp;"" CE"",""""), N$1&amp;""[\w &amp;]*, (\d+\.\d+)"")),"""")
"),5300)</f>
        <v>5300</v>
      </c>
      <c r="O87" s="3" t="n">
        <f aca="false">IFERROR(__xludf.dummyfunction("if($T87&lt;&gt;"""",VALUE(REGEXEXTRACT($T87, O$1&amp;""[\w &amp;]*, (\d+\.\d+)"")),"""")
"),5300)</f>
        <v>5300</v>
      </c>
      <c r="P87" s="2" t="n">
        <f aca="false">IFERROR(__xludf.dummyfunction("if($T87&lt;&gt;"""",VALUE(REGEXEXTRACT($T87, P$1&amp;""[\w &amp;]*, (\d+\.\d+)"")),"""")
"),5264.39)</f>
        <v>5264.39</v>
      </c>
      <c r="Q87" s="2" t="n">
        <f aca="false">IFERROR(__xludf.dummyfunction("if($T87&lt;&gt;"""",VALUE(REGEXEXTRACT($T87, Q$1&amp;""[\w &amp;]*, (\d+\.\d+)"")),"""")
"),5209.47)</f>
        <v>5209.47</v>
      </c>
      <c r="R87" s="2" t="n">
        <f aca="false">IFERROR(__xludf.dummyfunction("if($T87&lt;&gt;"""",VALUE(REGEXEXTRACT($T87, SUBSTITUTE(R$1, ""+"", ""\+"")&amp;""[\w &amp;]*, (\d+\.\d+)"")),"""")"),5374.23)</f>
        <v>5374.23</v>
      </c>
      <c r="S87" s="2" t="n">
        <f aca="false">IFERROR(__xludf.dummyfunction("if($T87&lt;&gt;"""",VALUE(REGEXEXTRACT($T87, SUBSTITUTE(S$1, ""+"", ""\+"")&amp;""[\w &amp;]*, (\d+\.\d+)"")),"""")"),5429.15)</f>
        <v>5429.15</v>
      </c>
      <c r="T87" s="5" t="s">
        <v>100</v>
      </c>
      <c r="U87" s="5"/>
    </row>
    <row r="88" customFormat="false" ht="15.75" hidden="false" customHeight="false" outlineLevel="0" collapsed="false">
      <c r="A88" s="4" t="n">
        <f aca="false">IFERROR(__xludf.dummyfunction("""COMPUTED_VALUE"""),45513.6666666667)</f>
        <v>45513.6666666667</v>
      </c>
      <c r="B88" s="2" t="n">
        <f aca="false">IFERROR(__xludf.dummyfunction("""COMPUTED_VALUE"""),5314.66)</f>
        <v>5314.66</v>
      </c>
      <c r="C88" s="2" t="n">
        <f aca="false">IFERROR(__xludf.dummyfunction("""COMPUTED_VALUE"""),5358.67)</f>
        <v>5358.67</v>
      </c>
      <c r="D88" s="2" t="n">
        <f aca="false">IFERROR(__xludf.dummyfunction("""COMPUTED_VALUE"""),5300.84)</f>
        <v>5300.84</v>
      </c>
      <c r="E88" s="2" t="n">
        <f aca="false">IFERROR(__xludf.dummyfunction("""COMPUTED_VALUE"""),5344.16)</f>
        <v>5344.16</v>
      </c>
      <c r="F88" s="3" t="n">
        <f aca="false">IFERROR(__xludf.dummyfunction("if($T88&lt;&gt;"""",VALUE(REGEXEXTRACT(SUBSTITUTE ($T88,F$1&amp;"" CE"",""""), F$1&amp;""[\w &amp;]*, (\d+\.\d+)"")),"""")
"),5550)</f>
        <v>5550</v>
      </c>
      <c r="G88" s="3" t="n">
        <f aca="false">IFERROR(__xludf.dummyfunction("if($T88&lt;&gt;"""",VALUE(REGEXEXTRACT($T88, G$1&amp;""[\w &amp;]*, (\d+\.\d+)"")),"""")
"),5380)</f>
        <v>5380</v>
      </c>
      <c r="H88" s="3" t="n">
        <f aca="false">IFERROR(__xludf.dummyfunction("if($T88&lt;&gt;"""",VALUE(REGEXEXTRACT($T88, H$1&amp;""[\w &amp;]*, (\d+\.\d+)"")),"""")"),5775)</f>
        <v>5775</v>
      </c>
      <c r="I88" s="3" t="n">
        <f aca="false">IFERROR(__xludf.dummyfunction("if($T88&lt;&gt;"""",VALUE(REGEXEXTRACT(SUBSTITUTE ($T88,I$1&amp;"" CE"",""""), I$1&amp;""[\w &amp;]*, (\d+\.\d+)"")),"""")
"),5550)</f>
        <v>5550</v>
      </c>
      <c r="J88" s="3" t="n">
        <f aca="false">IFERROR(__xludf.dummyfunction("if($T88&lt;&gt;"""",VALUE(REGEXEXTRACT($T88, J$1&amp;""[\w &amp;]*, (\d+\.\d+)"")),"""")
"),5315)</f>
        <v>5315</v>
      </c>
      <c r="K88" s="3" t="n">
        <f aca="false">IFERROR(__xludf.dummyfunction("if($T88&lt;&gt;"""",VALUE(REGEXEXTRACT($T88, K$1&amp;""[\w &amp;]*, (\d+\.\d+)"")),"""")
"),5290)</f>
        <v>5290</v>
      </c>
      <c r="L88" s="3" t="n">
        <f aca="false">IFERROR(__xludf.dummyfunction("if($T88&lt;&gt;"""",VALUE(REGEXEXTRACT(SUBSTITUTE ($T88,L$1&amp;"" CE"",""""), L$1&amp;""[\w &amp;]*, (\d+\.\d+)"")),"""")
"),5350)</f>
        <v>5350</v>
      </c>
      <c r="M88" s="3" t="n">
        <f aca="false">IFERROR(__xludf.dummyfunction("if($T88&lt;&gt;"""",VALUE(REGEXEXTRACT($T88, M$1&amp;""[\w &amp;]*, (\d+\.\d+)"")),"""")
"),5335)</f>
        <v>5335</v>
      </c>
      <c r="N88" s="3" t="n">
        <f aca="false">IFERROR(__xludf.dummyfunction("if($T88&lt;&gt;"""",VALUE(REGEXEXTRACT(SUBSTITUTE ($T88,N$1&amp;"" CE"",""""), N$1&amp;""[\w &amp;]*, (\d+\.\d+)"")),"""")
"),5400)</f>
        <v>5400</v>
      </c>
      <c r="O88" s="3" t="n">
        <f aca="false">IFERROR(__xludf.dummyfunction("if($T88&lt;&gt;"""",VALUE(REGEXEXTRACT($T88, O$1&amp;""[\w &amp;]*, (\d+\.\d+)"")),"""")
"),5350)</f>
        <v>5350</v>
      </c>
      <c r="P88" s="2" t="n">
        <f aca="false">IFERROR(__xludf.dummyfunction("if($T88&lt;&gt;"""",VALUE(REGEXEXTRACT($T88, P$1&amp;""[\w &amp;]*, (\d+\.\d+)"")),"""")
"),5314.11)</f>
        <v>5314.11</v>
      </c>
      <c r="Q88" s="2" t="n">
        <f aca="false">IFERROR(__xludf.dummyfunction("if($T88&lt;&gt;"""",VALUE(REGEXEXTRACT($T88, Q$1&amp;""[\w &amp;]*, (\d+\.\d+)"")),"""")
"),5293.93)</f>
        <v>5293.93</v>
      </c>
      <c r="R88" s="2" t="n">
        <f aca="false">IFERROR(__xludf.dummyfunction("if($T88&lt;&gt;"""",VALUE(REGEXEXTRACT($T88, SUBSTITUTE(R$1, ""+"", ""\+"")&amp;""[\w &amp;]*, (\d+\.\d+)"")),"""")"),5411.53)</f>
        <v>5411.53</v>
      </c>
      <c r="S88" s="2" t="n">
        <f aca="false">IFERROR(__xludf.dummyfunction("if($T88&lt;&gt;"""",VALUE(REGEXEXTRACT($T88, SUBSTITUTE(S$1, ""+"", ""\+"")&amp;""[\w &amp;]*, (\d+\.\d+)"")),"""")"),5431.71)</f>
        <v>5431.71</v>
      </c>
      <c r="T88" s="5" t="s">
        <v>101</v>
      </c>
      <c r="U88" s="5"/>
    </row>
    <row r="89" customFormat="false" ht="15.75" hidden="false" customHeight="false" outlineLevel="0" collapsed="false">
      <c r="A89" s="4" t="n">
        <f aca="false">IFERROR(__xludf.dummyfunction("""COMPUTED_VALUE"""),45516.6666666667)</f>
        <v>45516.6666666667</v>
      </c>
      <c r="B89" s="2" t="n">
        <f aca="false">IFERROR(__xludf.dummyfunction("""COMPUTED_VALUE"""),5351.88)</f>
        <v>5351.88</v>
      </c>
      <c r="C89" s="2" t="n">
        <f aca="false">IFERROR(__xludf.dummyfunction("""COMPUTED_VALUE"""),5371.2)</f>
        <v>5371.2</v>
      </c>
      <c r="D89" s="2" t="n">
        <f aca="false">IFERROR(__xludf.dummyfunction("""COMPUTED_VALUE"""),5324.37)</f>
        <v>5324.37</v>
      </c>
      <c r="E89" s="2" t="n">
        <f aca="false">IFERROR(__xludf.dummyfunction("""COMPUTED_VALUE"""),5344.39)</f>
        <v>5344.39</v>
      </c>
      <c r="F89" s="3" t="n">
        <f aca="false">IFERROR(__xludf.dummyfunction("if($T89&lt;&gt;"""",VALUE(REGEXEXTRACT(SUBSTITUTE ($T89,F$1&amp;"" CE"",""""), F$1&amp;""[\w &amp;]*, (\d+\.\d+)"")),"""")
"),5550)</f>
        <v>5550</v>
      </c>
      <c r="G89" s="3" t="n">
        <f aca="false">IFERROR(__xludf.dummyfunction("if($T89&lt;&gt;"""",VALUE(REGEXEXTRACT($T89, G$1&amp;""[\w &amp;]*, (\d+\.\d+)"")),"""")
"),5400)</f>
        <v>5400</v>
      </c>
      <c r="H89" s="3" t="n">
        <f aca="false">IFERROR(__xludf.dummyfunction("if($T89&lt;&gt;"""",VALUE(REGEXEXTRACT($T89, H$1&amp;""[\w &amp;]*, (\d+\.\d+)"")),"""")"),5760)</f>
        <v>5760</v>
      </c>
      <c r="I89" s="3" t="n">
        <f aca="false">IFERROR(__xludf.dummyfunction("if($T89&lt;&gt;"""",VALUE(REGEXEXTRACT(SUBSTITUTE ($T89,I$1&amp;"" CE"",""""), I$1&amp;""[\w &amp;]*, (\d+\.\d+)"")),"""")
"),5550)</f>
        <v>5550</v>
      </c>
      <c r="J89" s="3" t="n">
        <f aca="false">IFERROR(__xludf.dummyfunction("if($T89&lt;&gt;"""",VALUE(REGEXEXTRACT($T89, J$1&amp;""[\w &amp;]*, (\d+\.\d+)"")),"""")
"),5300)</f>
        <v>5300</v>
      </c>
      <c r="K89" s="3" t="n">
        <f aca="false">IFERROR(__xludf.dummyfunction("if($T89&lt;&gt;"""",VALUE(REGEXEXTRACT($T89, K$1&amp;""[\w &amp;]*, (\d+\.\d+)"")),"""")
"),5290)</f>
        <v>5290</v>
      </c>
      <c r="L89" s="3" t="n">
        <f aca="false">IFERROR(__xludf.dummyfunction("if($T89&lt;&gt;"""",VALUE(REGEXEXTRACT(SUBSTITUTE ($T89,L$1&amp;"" CE"",""""), L$1&amp;""[\w &amp;]*, (\d+\.\d+)"")),"""")
"),5365)</f>
        <v>5365</v>
      </c>
      <c r="M89" s="3" t="n">
        <f aca="false">IFERROR(__xludf.dummyfunction("if($T89&lt;&gt;"""",VALUE(REGEXEXTRACT($T89, M$1&amp;""[\w &amp;]*, (\d+\.\d+)"")),"""")
"),5355)</f>
        <v>5355</v>
      </c>
      <c r="N89" s="3" t="n">
        <f aca="false">IFERROR(__xludf.dummyfunction("if($T89&lt;&gt;"""",VALUE(REGEXEXTRACT(SUBSTITUTE ($T89,N$1&amp;"" CE"",""""), N$1&amp;""[\w &amp;]*, (\d+\.\d+)"")),"""")
"),5400)</f>
        <v>5400</v>
      </c>
      <c r="O89" s="3" t="n">
        <f aca="false">IFERROR(__xludf.dummyfunction("if($T89&lt;&gt;"""",VALUE(REGEXEXTRACT($T89, O$1&amp;""[\w &amp;]*, (\d+\.\d+)"")),"""")
"),5400)</f>
        <v>5400</v>
      </c>
      <c r="P89" s="2" t="n">
        <f aca="false">IFERROR(__xludf.dummyfunction("if($T89&lt;&gt;"""",VALUE(REGEXEXTRACT($T89, P$1&amp;""[\w &amp;]*, (\d+\.\d+)"")),"""")
"),5291.93)</f>
        <v>5291.93</v>
      </c>
      <c r="Q89" s="2" t="n">
        <f aca="false">IFERROR(__xludf.dummyfunction("if($T89&lt;&gt;"""",VALUE(REGEXEXTRACT($T89, Q$1&amp;""[\w &amp;]*, (\d+\.\d+)"")),"""")
"),5270.21)</f>
        <v>5270.21</v>
      </c>
      <c r="R89" s="2" t="n">
        <f aca="false">IFERROR(__xludf.dummyfunction("if($T89&lt;&gt;"""",VALUE(REGEXEXTRACT($T89, SUBSTITUTE(R$1, ""+"", ""\+"")&amp;""[\w &amp;]*, (\d+\.\d+)"")),"""")"),5396.85)</f>
        <v>5396.85</v>
      </c>
      <c r="S89" s="2" t="n">
        <f aca="false">IFERROR(__xludf.dummyfunction("if($T89&lt;&gt;"""",VALUE(REGEXEXTRACT($T89, SUBSTITUTE(S$1, ""+"", ""\+"")&amp;""[\w &amp;]*, (\d+\.\d+)"")),"""")"),5418.57)</f>
        <v>5418.57</v>
      </c>
      <c r="T89" s="5" t="s">
        <v>102</v>
      </c>
      <c r="U89" s="5"/>
    </row>
    <row r="90" customFormat="false" ht="15.75" hidden="false" customHeight="false" outlineLevel="0" collapsed="false">
      <c r="A90" s="4" t="n">
        <f aca="false">IFERROR(__xludf.dummyfunction("""COMPUTED_VALUE"""),45517.6666666667)</f>
        <v>45517.6666666667</v>
      </c>
      <c r="B90" s="2" t="n">
        <f aca="false">IFERROR(__xludf.dummyfunction("""COMPUTED_VALUE"""),5376.98)</f>
        <v>5376.98</v>
      </c>
      <c r="C90" s="2" t="n">
        <f aca="false">IFERROR(__xludf.dummyfunction("""COMPUTED_VALUE"""),5436.5)</f>
        <v>5436.5</v>
      </c>
      <c r="D90" s="2" t="n">
        <f aca="false">IFERROR(__xludf.dummyfunction("""COMPUTED_VALUE"""),5376.98)</f>
        <v>5376.98</v>
      </c>
      <c r="E90" s="2" t="n">
        <f aca="false">IFERROR(__xludf.dummyfunction("""COMPUTED_VALUE"""),5434.43)</f>
        <v>5434.43</v>
      </c>
      <c r="F90" s="3" t="n">
        <f aca="false">IFERROR(__xludf.dummyfunction("if($T90&lt;&gt;"""",VALUE(REGEXEXTRACT(SUBSTITUTE ($T90,F$1&amp;"" CE"",""""), F$1&amp;""[\w &amp;]*, (\d+\.\d+)"")),"""")
"),5550)</f>
        <v>5550</v>
      </c>
      <c r="G90" s="3" t="n">
        <f aca="false">IFERROR(__xludf.dummyfunction("if($T90&lt;&gt;"""",VALUE(REGEXEXTRACT($T90, G$1&amp;""[\w &amp;]*, (\d+\.\d+)"")),"""")
"),5500)</f>
        <v>5500</v>
      </c>
      <c r="H90" s="3" t="n">
        <f aca="false">IFERROR(__xludf.dummyfunction("if($T90&lt;&gt;"""",VALUE(REGEXEXTRACT($T90, H$1&amp;""[\w &amp;]*, (\d+\.\d+)"")),"""")"),5510)</f>
        <v>5510</v>
      </c>
      <c r="I90" s="3" t="n">
        <f aca="false">IFERROR(__xludf.dummyfunction("if($T90&lt;&gt;"""",VALUE(REGEXEXTRACT(SUBSTITUTE ($T90,I$1&amp;"" CE"",""""), I$1&amp;""[\w &amp;]*, (\d+\.\d+)"")),"""")
"),5550)</f>
        <v>5550</v>
      </c>
      <c r="J90" s="3" t="n">
        <f aca="false">IFERROR(__xludf.dummyfunction("if($T90&lt;&gt;"""",VALUE(REGEXEXTRACT($T90, J$1&amp;""[\w &amp;]*, (\d+\.\d+)"")),"""")
"),5400)</f>
        <v>5400</v>
      </c>
      <c r="K90" s="3" t="n">
        <f aca="false">IFERROR(__xludf.dummyfunction("if($T90&lt;&gt;"""",VALUE(REGEXEXTRACT($T90, K$1&amp;""[\w &amp;]*, (\d+\.\d+)"")),"""")
"),5290)</f>
        <v>5290</v>
      </c>
      <c r="L90" s="3" t="n">
        <f aca="false">IFERROR(__xludf.dummyfunction("if($T90&lt;&gt;"""",VALUE(REGEXEXTRACT(SUBSTITUTE ($T90,L$1&amp;"" CE"",""""), L$1&amp;""[\w &amp;]*, (\d+\.\d+)"")),"""")
"),5400)</f>
        <v>5400</v>
      </c>
      <c r="M90" s="3" t="n">
        <f aca="false">IFERROR(__xludf.dummyfunction("if($T90&lt;&gt;"""",VALUE(REGEXEXTRACT($T90, M$1&amp;""[\w &amp;]*, (\d+\.\d+)"")),"""")
"),5400)</f>
        <v>5400</v>
      </c>
      <c r="N90" s="3" t="n">
        <f aca="false">IFERROR(__xludf.dummyfunction("if($T90&lt;&gt;"""",VALUE(REGEXEXTRACT(SUBSTITUTE ($T90,N$1&amp;"" CE"",""""), N$1&amp;""[\w &amp;]*, (\d+\.\d+)"")),"""")
"),5500)</f>
        <v>5500</v>
      </c>
      <c r="O90" s="3" t="n">
        <f aca="false">IFERROR(__xludf.dummyfunction("if($T90&lt;&gt;"""",VALUE(REGEXEXTRACT($T90, O$1&amp;""[\w &amp;]*, (\d+\.\d+)"")),"""")
"),5450)</f>
        <v>5450</v>
      </c>
      <c r="P90" s="2" t="n">
        <f aca="false">IFERROR(__xludf.dummyfunction("if($T90&lt;&gt;"""",VALUE(REGEXEXTRACT($T90, P$1&amp;""[\w &amp;]*, (\d+\.\d+)"")),"""")
"),5386.44)</f>
        <v>5386.44</v>
      </c>
      <c r="Q90" s="2" t="n">
        <f aca="false">IFERROR(__xludf.dummyfunction("if($T90&lt;&gt;"""",VALUE(REGEXEXTRACT($T90, Q$1&amp;""[\w &amp;]*, (\d+\.\d+)"")),"""")
"),5366.56)</f>
        <v>5366.56</v>
      </c>
      <c r="R90" s="2" t="n">
        <f aca="false">IFERROR(__xludf.dummyfunction("if($T90&lt;&gt;"""",VALUE(REGEXEXTRACT($T90, SUBSTITUTE(R$1, ""+"", ""\+"")&amp;""[\w &amp;]*, (\d+\.\d+)"")),"""")"),5482.42)</f>
        <v>5482.42</v>
      </c>
      <c r="S90" s="2" t="n">
        <f aca="false">IFERROR(__xludf.dummyfunction("if($T90&lt;&gt;"""",VALUE(REGEXEXTRACT($T90, SUBSTITUTE(S$1, ""+"", ""\+"")&amp;""[\w &amp;]*, (\d+\.\d+)"")),"""")"),5502.3)</f>
        <v>5502.3</v>
      </c>
      <c r="T90" s="5" t="s">
        <v>103</v>
      </c>
      <c r="U90" s="5"/>
    </row>
    <row r="91" customFormat="false" ht="15.75" hidden="false" customHeight="false" outlineLevel="0" collapsed="false">
      <c r="A91" s="4" t="n">
        <f aca="false">IFERROR(__xludf.dummyfunction("""COMPUTED_VALUE"""),45518.6666666667)</f>
        <v>45518.6666666667</v>
      </c>
      <c r="B91" s="2" t="n">
        <f aca="false">IFERROR(__xludf.dummyfunction("""COMPUTED_VALUE"""),5442.36)</f>
        <v>5442.36</v>
      </c>
      <c r="C91" s="2" t="n">
        <f aca="false">IFERROR(__xludf.dummyfunction("""COMPUTED_VALUE"""),5463.22)</f>
        <v>5463.22</v>
      </c>
      <c r="D91" s="2" t="n">
        <f aca="false">IFERROR(__xludf.dummyfunction("""COMPUTED_VALUE"""),5415.91)</f>
        <v>5415.91</v>
      </c>
      <c r="E91" s="2" t="n">
        <f aca="false">IFERROR(__xludf.dummyfunction("""COMPUTED_VALUE"""),5455.21)</f>
        <v>5455.21</v>
      </c>
      <c r="F91" s="3" t="n">
        <f aca="false">IFERROR(__xludf.dummyfunction("if($T91&lt;&gt;"""",VALUE(REGEXEXTRACT(SUBSTITUTE ($T91,F$1&amp;"" CE"",""""), F$1&amp;""[\w &amp;]*, (\d+\.\d+)"")),"""")
"),5550)</f>
        <v>5550</v>
      </c>
      <c r="G91" s="3" t="n">
        <f aca="false">IFERROR(__xludf.dummyfunction("if($T91&lt;&gt;"""",VALUE(REGEXEXTRACT($T91, G$1&amp;""[\w &amp;]*, (\d+\.\d+)"")),"""")
"),5500)</f>
        <v>5500</v>
      </c>
      <c r="H91" s="3" t="n">
        <f aca="false">IFERROR(__xludf.dummyfunction("if($T91&lt;&gt;"""",VALUE(REGEXEXTRACT($T91, H$1&amp;""[\w &amp;]*, (\d+\.\d+)"")),"""")"),5510)</f>
        <v>5510</v>
      </c>
      <c r="I91" s="3" t="n">
        <f aca="false">IFERROR(__xludf.dummyfunction("if($T91&lt;&gt;"""",VALUE(REGEXEXTRACT(SUBSTITUTE ($T91,I$1&amp;"" CE"",""""), I$1&amp;""[\w &amp;]*, (\d+\.\d+)"")),"""")
"),5550)</f>
        <v>5550</v>
      </c>
      <c r="J91" s="3" t="n">
        <f aca="false">IFERROR(__xludf.dummyfunction("if($T91&lt;&gt;"""",VALUE(REGEXEXTRACT($T91, J$1&amp;""[\w &amp;]*, (\d+\.\d+)"")),"""")
"),5400)</f>
        <v>5400</v>
      </c>
      <c r="K91" s="3" t="n">
        <f aca="false">IFERROR(__xludf.dummyfunction("if($T91&lt;&gt;"""",VALUE(REGEXEXTRACT($T91, K$1&amp;""[\w &amp;]*, (\d+\.\d+)"")),"""")
"),5290)</f>
        <v>5290</v>
      </c>
      <c r="L91" s="3" t="n">
        <f aca="false">IFERROR(__xludf.dummyfunction("if($T91&lt;&gt;"""",VALUE(REGEXEXTRACT(SUBSTITUTE ($T91,L$1&amp;"" CE"",""""), L$1&amp;""[\w &amp;]*, (\d+\.\d+)"")),"""")
"),5425)</f>
        <v>5425</v>
      </c>
      <c r="M91" s="3" t="n">
        <f aca="false">IFERROR(__xludf.dummyfunction("if($T91&lt;&gt;"""",VALUE(REGEXEXTRACT($T91, M$1&amp;""[\w &amp;]*, (\d+\.\d+)"")),"""")
"),5430)</f>
        <v>5430</v>
      </c>
      <c r="N91" s="3" t="n">
        <f aca="false">IFERROR(__xludf.dummyfunction("if($T91&lt;&gt;"""",VALUE(REGEXEXTRACT(SUBSTITUTE ($T91,N$1&amp;"" CE"",""""), N$1&amp;""[\w &amp;]*, (\d+\.\d+)"")),"""")
"),5500)</f>
        <v>5500</v>
      </c>
      <c r="O91" s="3" t="n">
        <f aca="false">IFERROR(__xludf.dummyfunction("if($T91&lt;&gt;"""",VALUE(REGEXEXTRACT($T91, O$1&amp;""[\w &amp;]*, (\d+\.\d+)"")),"""")
"),5500)</f>
        <v>5500</v>
      </c>
      <c r="P91" s="2" t="n">
        <f aca="false">IFERROR(__xludf.dummyfunction("if($T91&lt;&gt;"""",VALUE(REGEXEXTRACT($T91, P$1&amp;""[\w &amp;]*, (\d+\.\d+)"")),"""")
"),5434.32)</f>
        <v>5434.32</v>
      </c>
      <c r="Q91" s="2" t="n">
        <f aca="false">IFERROR(__xludf.dummyfunction("if($T91&lt;&gt;"""",VALUE(REGEXEXTRACT($T91, Q$1&amp;""[\w &amp;]*, (\d+\.\d+)"")),"""")
"),5423.97)</f>
        <v>5423.97</v>
      </c>
      <c r="R91" s="2" t="n">
        <f aca="false">IFERROR(__xludf.dummyfunction("if($T91&lt;&gt;"""",VALUE(REGEXEXTRACT($T91, SUBSTITUTE(R$1, ""+"", ""\+"")&amp;""[\w &amp;]*, (\d+\.\d+)"")),"""")"),5476.1)</f>
        <v>5476.1</v>
      </c>
      <c r="S91" s="2" t="n">
        <f aca="false">IFERROR(__xludf.dummyfunction("if($T91&lt;&gt;"""",VALUE(REGEXEXTRACT($T91, SUBSTITUTE(S$1, ""+"", ""\+"")&amp;""[\w &amp;]*, (\d+\.\d+)"")),"""")"),5486.45)</f>
        <v>5486.45</v>
      </c>
      <c r="T91" s="5" t="s">
        <v>104</v>
      </c>
      <c r="U91" s="5"/>
    </row>
    <row r="92" customFormat="false" ht="15.75" hidden="false" customHeight="false" outlineLevel="0" collapsed="false">
      <c r="A92" s="4" t="n">
        <f aca="false">IFERROR(__xludf.dummyfunction("""COMPUTED_VALUE"""),45519.6666666667)</f>
        <v>45519.6666666667</v>
      </c>
      <c r="B92" s="2" t="n">
        <f aca="false">IFERROR(__xludf.dummyfunction("""COMPUTED_VALUE"""),5501.13)</f>
        <v>5501.13</v>
      </c>
      <c r="C92" s="2" t="n">
        <f aca="false">IFERROR(__xludf.dummyfunction("""COMPUTED_VALUE"""),5546.23)</f>
        <v>5546.23</v>
      </c>
      <c r="D92" s="2" t="n">
        <f aca="false">IFERROR(__xludf.dummyfunction("""COMPUTED_VALUE"""),5501.13)</f>
        <v>5501.13</v>
      </c>
      <c r="E92" s="2" t="n">
        <f aca="false">IFERROR(__xludf.dummyfunction("""COMPUTED_VALUE"""),5543.22)</f>
        <v>5543.22</v>
      </c>
      <c r="F92" s="3" t="n">
        <f aca="false">IFERROR(__xludf.dummyfunction("if($T92&lt;&gt;"""",VALUE(REGEXEXTRACT(SUBSTITUTE ($T92,F$1&amp;"" CE"",""""), F$1&amp;""[\w &amp;]*, (\d+\.\d+)"")),"""")
"),5550)</f>
        <v>5550</v>
      </c>
      <c r="G92" s="3" t="n">
        <f aca="false">IFERROR(__xludf.dummyfunction("if($T92&lt;&gt;"""",VALUE(REGEXEXTRACT($T92, G$1&amp;""[\w &amp;]*, (\d+\.\d+)"")),"""")
"),5530)</f>
        <v>5530</v>
      </c>
      <c r="H92" s="3" t="n">
        <f aca="false">IFERROR(__xludf.dummyfunction("if($T92&lt;&gt;"""",VALUE(REGEXEXTRACT($T92, H$1&amp;""[\w &amp;]*, (\d+\.\d+)"")),"""")"),5550)</f>
        <v>5550</v>
      </c>
      <c r="I92" s="3" t="n">
        <f aca="false">IFERROR(__xludf.dummyfunction("if($T92&lt;&gt;"""",VALUE(REGEXEXTRACT(SUBSTITUTE ($T92,I$1&amp;"" CE"",""""), I$1&amp;""[\w &amp;]*, (\d+\.\d+)"")),"""")
"),5550)</f>
        <v>5550</v>
      </c>
      <c r="J92" s="3" t="n">
        <f aca="false">IFERROR(__xludf.dummyfunction("if($T92&lt;&gt;"""",VALUE(REGEXEXTRACT($T92, J$1&amp;""[\w &amp;]*, (\d+\.\d+)"")),"""")
"),5550)</f>
        <v>5550</v>
      </c>
      <c r="K92" s="3" t="n">
        <f aca="false">IFERROR(__xludf.dummyfunction("if($T92&lt;&gt;"""",VALUE(REGEXEXTRACT($T92, K$1&amp;""[\w &amp;]*, (\d+\.\d+)"")),"""")
"),5290)</f>
        <v>5290</v>
      </c>
      <c r="L92" s="3" t="n">
        <f aca="false">IFERROR(__xludf.dummyfunction("if($T92&lt;&gt;"""",VALUE(REGEXEXTRACT(SUBSTITUTE ($T92,L$1&amp;"" CE"",""""), L$1&amp;""[\w &amp;]*, (\d+\.\d+)"")),"""")
"),5495)</f>
        <v>5495</v>
      </c>
      <c r="M92" s="3" t="n">
        <f aca="false">IFERROR(__xludf.dummyfunction("if($T92&lt;&gt;"""",VALUE(REGEXEXTRACT($T92, M$1&amp;""[\w &amp;]*, (\d+\.\d+)"")),"""")
"),5495)</f>
        <v>5495</v>
      </c>
      <c r="N92" s="3" t="n">
        <f aca="false">IFERROR(__xludf.dummyfunction("if($T92&lt;&gt;"""",VALUE(REGEXEXTRACT(SUBSTITUTE ($T92,N$1&amp;"" CE"",""""), N$1&amp;""[\w &amp;]*, (\d+\.\d+)"")),"""")
"),5550)</f>
        <v>5550</v>
      </c>
      <c r="O92" s="3" t="n">
        <f aca="false">IFERROR(__xludf.dummyfunction("if($T92&lt;&gt;"""",VALUE(REGEXEXTRACT($T92, O$1&amp;""[\w &amp;]*, (\d+\.\d+)"")),"""")
"),5550)</f>
        <v>5550</v>
      </c>
      <c r="P92" s="2" t="n">
        <f aca="false">IFERROR(__xludf.dummyfunction("if($T92&lt;&gt;"""",VALUE(REGEXEXTRACT($T92, P$1&amp;""[\w &amp;]*, (\d+\.\d+)"")),"""")
"),5507.55)</f>
        <v>5507.55</v>
      </c>
      <c r="Q92" s="2" t="n">
        <f aca="false">IFERROR(__xludf.dummyfunction("if($T92&lt;&gt;"""",VALUE(REGEXEXTRACT($T92, Q$1&amp;""[\w &amp;]*, (\d+\.\d+)"")),"""")
"),5471.86)</f>
        <v>5471.86</v>
      </c>
      <c r="R92" s="2" t="n">
        <f aca="false">IFERROR(__xludf.dummyfunction("if($T92&lt;&gt;"""",VALUE(REGEXEXTRACT($T92, SUBSTITUTE(R$1, ""+"", ""\+"")&amp;""[\w &amp;]*, (\d+\.\d+)"")),"""")"),5578.89)</f>
        <v>5578.89</v>
      </c>
      <c r="S92" s="2" t="n">
        <f aca="false">IFERROR(__xludf.dummyfunction("if($T92&lt;&gt;"""",VALUE(REGEXEXTRACT($T92, SUBSTITUTE(S$1, ""+"", ""\+"")&amp;""[\w &amp;]*, (\d+\.\d+)"")),"""")"),5614.58)</f>
        <v>5614.58</v>
      </c>
      <c r="T92" s="5" t="s">
        <v>105</v>
      </c>
      <c r="U92" s="5"/>
    </row>
    <row r="93" customFormat="false" ht="15.75" hidden="false" customHeight="false" outlineLevel="0" collapsed="false">
      <c r="A93" s="4" t="n">
        <f aca="false">IFERROR(__xludf.dummyfunction("""COMPUTED_VALUE"""),45520.6666666667)</f>
        <v>45520.6666666667</v>
      </c>
      <c r="B93" s="2" t="n">
        <f aca="false">IFERROR(__xludf.dummyfunction("""COMPUTED_VALUE"""),5530.5)</f>
        <v>5530.5</v>
      </c>
      <c r="C93" s="2" t="n">
        <f aca="false">IFERROR(__xludf.dummyfunction("""COMPUTED_VALUE"""),5561.98)</f>
        <v>5561.98</v>
      </c>
      <c r="D93" s="2" t="n">
        <f aca="false">IFERROR(__xludf.dummyfunction("""COMPUTED_VALUE"""),5525.17)</f>
        <v>5525.17</v>
      </c>
      <c r="E93" s="2" t="n">
        <f aca="false">IFERROR(__xludf.dummyfunction("""COMPUTED_VALUE"""),5554.25)</f>
        <v>5554.25</v>
      </c>
      <c r="F93" s="3" t="n">
        <f aca="false">IFERROR(__xludf.dummyfunction("if($T93&lt;&gt;"""",VALUE(REGEXEXTRACT(SUBSTITUTE ($T93,F$1&amp;"" CE"",""""), F$1&amp;""[\w &amp;]*, (\d+\.\d+)"")),"""")
"),5550)</f>
        <v>5550</v>
      </c>
      <c r="G93" s="3" t="n">
        <f aca="false">IFERROR(__xludf.dummyfunction("if($T93&lt;&gt;"""",VALUE(REGEXEXTRACT($T93, G$1&amp;""[\w &amp;]*, (\d+\.\d+)"")),"""")
"),5570)</f>
        <v>5570</v>
      </c>
      <c r="H93" s="3" t="n">
        <f aca="false">IFERROR(__xludf.dummyfunction("if($T93&lt;&gt;"""",VALUE(REGEXEXTRACT($T93, H$1&amp;""[\w &amp;]*, (\d+\.\d+)"")),"""")"),5625)</f>
        <v>5625</v>
      </c>
      <c r="I93" s="3" t="n">
        <f aca="false">IFERROR(__xludf.dummyfunction("if($T93&lt;&gt;"""",VALUE(REGEXEXTRACT(SUBSTITUTE ($T93,I$1&amp;"" CE"",""""), I$1&amp;""[\w &amp;]*, (\d+\.\d+)"")),"""")
"),5550)</f>
        <v>5550</v>
      </c>
      <c r="J93" s="3" t="n">
        <f aca="false">IFERROR(__xludf.dummyfunction("if($T93&lt;&gt;"""",VALUE(REGEXEXTRACT($T93, J$1&amp;""[\w &amp;]*, (\d+\.\d+)"")),"""")
"),5540)</f>
        <v>5540</v>
      </c>
      <c r="K93" s="3" t="n">
        <f aca="false">IFERROR(__xludf.dummyfunction("if($T93&lt;&gt;"""",VALUE(REGEXEXTRACT($T93, K$1&amp;""[\w &amp;]*, (\d+\.\d+)"")),"""")
"),5290)</f>
        <v>5290</v>
      </c>
      <c r="L93" s="3" t="n">
        <f aca="false">IFERROR(__xludf.dummyfunction("if($T93&lt;&gt;"""",VALUE(REGEXEXTRACT(SUBSTITUTE ($T93,L$1&amp;"" CE"",""""), L$1&amp;""[\w &amp;]*, (\d+\.\d+)"")),"""")
"),5500)</f>
        <v>5500</v>
      </c>
      <c r="M93" s="3" t="n">
        <f aca="false">IFERROR(__xludf.dummyfunction("if($T93&lt;&gt;"""",VALUE(REGEXEXTRACT($T93, M$1&amp;""[\w &amp;]*, (\d+\.\d+)"")),"""")
"),5540)</f>
        <v>5540</v>
      </c>
      <c r="N93" s="3" t="n">
        <f aca="false">IFERROR(__xludf.dummyfunction("if($T93&lt;&gt;"""",VALUE(REGEXEXTRACT(SUBSTITUTE ($T93,N$1&amp;"" CE"",""""), N$1&amp;""[\w &amp;]*, (\d+\.\d+)"")),"""")
"),5550)</f>
        <v>5550</v>
      </c>
      <c r="O93" s="3" t="n">
        <f aca="false">IFERROR(__xludf.dummyfunction("if($T93&lt;&gt;"""",VALUE(REGEXEXTRACT($T93, O$1&amp;""[\w &amp;]*, (\d+\.\d+)"")),"""")
"),5550)</f>
        <v>5550</v>
      </c>
      <c r="P93" s="2" t="n">
        <f aca="false">IFERROR(__xludf.dummyfunction("if($T93&lt;&gt;"""",VALUE(REGEXEXTRACT($T93, P$1&amp;""[\w &amp;]*, (\d+\.\d+)"")),"""")
"),5516.47)</f>
        <v>5516.47</v>
      </c>
      <c r="Q93" s="2" t="n">
        <f aca="false">IFERROR(__xludf.dummyfunction("if($T93&lt;&gt;"""",VALUE(REGEXEXTRACT($T93, Q$1&amp;""[\w &amp;]*, (\d+\.\d+)"")),"""")
"),5500.82)</f>
        <v>5500.82</v>
      </c>
      <c r="R93" s="2" t="n">
        <f aca="false">IFERROR(__xludf.dummyfunction("if($T93&lt;&gt;"""",VALUE(REGEXEXTRACT($T93, SUBSTITUTE(R$1, ""+"", ""\+"")&amp;""[\w &amp;]*, (\d+\.\d+)"")),"""")"),5592.03)</f>
        <v>5592.03</v>
      </c>
      <c r="S93" s="2" t="n">
        <f aca="false">IFERROR(__xludf.dummyfunction("if($T93&lt;&gt;"""",VALUE(REGEXEXTRACT($T93, SUBSTITUTE(S$1, ""+"", ""\+"")&amp;""[\w &amp;]*, (\d+\.\d+)"")),"""")"),5607.68)</f>
        <v>5607.68</v>
      </c>
      <c r="T93" s="5" t="s">
        <v>106</v>
      </c>
      <c r="U93" s="5"/>
    </row>
    <row r="94" customFormat="false" ht="15.75" hidden="false" customHeight="false" outlineLevel="0" collapsed="false">
      <c r="A94" s="4" t="n">
        <f aca="false">IFERROR(__xludf.dummyfunction("""COMPUTED_VALUE"""),45523.6666666667)</f>
        <v>45523.6666666667</v>
      </c>
      <c r="B94" s="2" t="n">
        <f aca="false">IFERROR(__xludf.dummyfunction("""COMPUTED_VALUE"""),5557.23)</f>
        <v>5557.23</v>
      </c>
      <c r="C94" s="2" t="n">
        <f aca="false">IFERROR(__xludf.dummyfunction("""COMPUTED_VALUE"""),5608.3)</f>
        <v>5608.3</v>
      </c>
      <c r="D94" s="2" t="n">
        <f aca="false">IFERROR(__xludf.dummyfunction("""COMPUTED_VALUE"""),5550.74)</f>
        <v>5550.74</v>
      </c>
      <c r="E94" s="2" t="n">
        <f aca="false">IFERROR(__xludf.dummyfunction("""COMPUTED_VALUE"""),5608.25)</f>
        <v>5608.25</v>
      </c>
      <c r="F94" s="3" t="n">
        <f aca="false">IFERROR(__xludf.dummyfunction("if($T94&lt;&gt;"""",VALUE(REGEXEXTRACT(SUBSTITUTE ($T94,F$1&amp;"" CE"",""""), F$1&amp;""[\w &amp;]*, (\d+\.\d+)"")),"""")
"),5550)</f>
        <v>5550</v>
      </c>
      <c r="G94" s="3" t="n">
        <f aca="false">IFERROR(__xludf.dummyfunction("if($T94&lt;&gt;"""",VALUE(REGEXEXTRACT($T94, G$1&amp;""[\w &amp;]*, (\d+\.\d+)"")),"""")
"),5635)</f>
        <v>5635</v>
      </c>
      <c r="H94" s="3" t="n">
        <f aca="false">IFERROR(__xludf.dummyfunction("if($T94&lt;&gt;"""",VALUE(REGEXEXTRACT($T94, H$1&amp;""[\w &amp;]*, (\d+\.\d+)"")),"""")"),5760)</f>
        <v>5760</v>
      </c>
      <c r="I94" s="3" t="n">
        <f aca="false">IFERROR(__xludf.dummyfunction("if($T94&lt;&gt;"""",VALUE(REGEXEXTRACT(SUBSTITUTE ($T94,I$1&amp;"" CE"",""""), I$1&amp;""[\w &amp;]*, (\d+\.\d+)"")),"""")
"),5550)</f>
        <v>5550</v>
      </c>
      <c r="J94" s="3" t="n">
        <f aca="false">IFERROR(__xludf.dummyfunction("if($T94&lt;&gt;"""",VALUE(REGEXEXTRACT($T94, J$1&amp;""[\w &amp;]*, (\d+\.\d+)"")),"""")
"),5580)</f>
        <v>5580</v>
      </c>
      <c r="K94" s="3" t="n">
        <f aca="false">IFERROR(__xludf.dummyfunction("if($T94&lt;&gt;"""",VALUE(REGEXEXTRACT($T94, K$1&amp;""[\w &amp;]*, (\d+\.\d+)"")),"""")
"),5290)</f>
        <v>5290</v>
      </c>
      <c r="L94" s="3" t="n">
        <f aca="false">IFERROR(__xludf.dummyfunction("if($T94&lt;&gt;"""",VALUE(REGEXEXTRACT(SUBSTITUTE ($T94,L$1&amp;"" CE"",""""), L$1&amp;""[\w &amp;]*, (\d+\.\d+)"")),"""")
"),5505)</f>
        <v>5505</v>
      </c>
      <c r="M94" s="3" t="n">
        <f aca="false">IFERROR(__xludf.dummyfunction("if($T94&lt;&gt;"""",VALUE(REGEXEXTRACT($T94, M$1&amp;""[\w &amp;]*, (\d+\.\d+)"")),"""")
"),5580)</f>
        <v>5580</v>
      </c>
      <c r="N94" s="3" t="n">
        <f aca="false">IFERROR(__xludf.dummyfunction("if($T94&lt;&gt;"""",VALUE(REGEXEXTRACT(SUBSTITUTE ($T94,N$1&amp;"" CE"",""""), N$1&amp;""[\w &amp;]*, (\d+\.\d+)"")),"""")
"),5550)</f>
        <v>5550</v>
      </c>
      <c r="O94" s="3" t="n">
        <f aca="false">IFERROR(__xludf.dummyfunction("if($T94&lt;&gt;"""",VALUE(REGEXEXTRACT($T94, O$1&amp;""[\w &amp;]*, (\d+\.\d+)"")),"""")
"),5635)</f>
        <v>5635</v>
      </c>
      <c r="P94" s="2" t="n">
        <f aca="false">IFERROR(__xludf.dummyfunction("if($T94&lt;&gt;"""",VALUE(REGEXEXTRACT($T94, P$1&amp;""[\w &amp;]*, (\d+\.\d+)"")),"""")
"),5571.86)</f>
        <v>5571.86</v>
      </c>
      <c r="Q94" s="2" t="n">
        <f aca="false">IFERROR(__xludf.dummyfunction("if($T94&lt;&gt;"""",VALUE(REGEXEXTRACT($T94, Q$1&amp;""[\w &amp;]*, (\d+\.\d+)"")),"""")
"),5556.79)</f>
        <v>5556.79</v>
      </c>
      <c r="R94" s="2" t="n">
        <f aca="false">IFERROR(__xludf.dummyfunction("if($T94&lt;&gt;"""",VALUE(REGEXEXTRACT($T94, SUBSTITUTE(R$1, ""+"", ""\+"")&amp;""[\w &amp;]*, (\d+\.\d+)"")),"""")"),5644.64)</f>
        <v>5644.64</v>
      </c>
      <c r="S94" s="2" t="n">
        <f aca="false">IFERROR(__xludf.dummyfunction("if($T94&lt;&gt;"""",VALUE(REGEXEXTRACT($T94, SUBSTITUTE(S$1, ""+"", ""\+"")&amp;""[\w &amp;]*, (\d+\.\d+)"")),"""")"),5659.71)</f>
        <v>5659.71</v>
      </c>
      <c r="T94" s="5" t="s">
        <v>107</v>
      </c>
      <c r="U94" s="5"/>
    </row>
    <row r="95" customFormat="false" ht="15.75" hidden="false" customHeight="false" outlineLevel="0" collapsed="false">
      <c r="A95" s="4" t="n">
        <f aca="false">IFERROR(__xludf.dummyfunction("""COMPUTED_VALUE"""),45524.6666666667)</f>
        <v>45524.6666666667</v>
      </c>
      <c r="B95" s="2" t="n">
        <f aca="false">IFERROR(__xludf.dummyfunction("""COMPUTED_VALUE"""),5602.88)</f>
        <v>5602.88</v>
      </c>
      <c r="C95" s="2" t="n">
        <f aca="false">IFERROR(__xludf.dummyfunction("""COMPUTED_VALUE"""),5620.51)</f>
        <v>5620.51</v>
      </c>
      <c r="D95" s="2" t="n">
        <f aca="false">IFERROR(__xludf.dummyfunction("""COMPUTED_VALUE"""),5585.5)</f>
        <v>5585.5</v>
      </c>
      <c r="E95" s="2" t="n">
        <f aca="false">IFERROR(__xludf.dummyfunction("""COMPUTED_VALUE"""),5597.12)</f>
        <v>5597.12</v>
      </c>
      <c r="F95" s="3" t="n">
        <f aca="false">IFERROR(__xludf.dummyfunction("if($T95&lt;&gt;"""",VALUE(REGEXEXTRACT(SUBSTITUTE ($T95,F$1&amp;"" CE"",""""), F$1&amp;""[\w &amp;]*, (\d+\.\d+)"")),"""")
"),5550)</f>
        <v>5550</v>
      </c>
      <c r="G95" s="3" t="n">
        <f aca="false">IFERROR(__xludf.dummyfunction("if($T95&lt;&gt;"""",VALUE(REGEXEXTRACT($T95, G$1&amp;""[\w &amp;]*, (\d+\.\d+)"")),"""")
"),5630)</f>
        <v>5630</v>
      </c>
      <c r="H95" s="3" t="n">
        <f aca="false">IFERROR(__xludf.dummyfunction("if($T95&lt;&gt;"""",VALUE(REGEXEXTRACT($T95, H$1&amp;""[\w &amp;]*, (\d+\.\d+)"")),"""")"),5760)</f>
        <v>5760</v>
      </c>
      <c r="I95" s="3" t="n">
        <f aca="false">IFERROR(__xludf.dummyfunction("if($T95&lt;&gt;"""",VALUE(REGEXEXTRACT(SUBSTITUTE ($T95,I$1&amp;"" CE"",""""), I$1&amp;""[\w &amp;]*, (\d+\.\d+)"")),"""")
"),5550)</f>
        <v>5550</v>
      </c>
      <c r="J95" s="3" t="n">
        <f aca="false">IFERROR(__xludf.dummyfunction("if($T95&lt;&gt;"""",VALUE(REGEXEXTRACT($T95, J$1&amp;""[\w &amp;]*, (\d+\.\d+)"")),"""")
"),5590)</f>
        <v>5590</v>
      </c>
      <c r="K95" s="3" t="n">
        <f aca="false">IFERROR(__xludf.dummyfunction("if($T95&lt;&gt;"""",VALUE(REGEXEXTRACT($T95, K$1&amp;""[\w &amp;]*, (\d+\.\d+)"")),"""")
"),5375)</f>
        <v>5375</v>
      </c>
      <c r="L95" s="3" t="n">
        <f aca="false">IFERROR(__xludf.dummyfunction("if($T95&lt;&gt;"""",VALUE(REGEXEXTRACT(SUBSTITUTE ($T95,L$1&amp;"" CE"",""""), L$1&amp;""[\w &amp;]*, (\d+\.\d+)"")),"""")
"),5510)</f>
        <v>5510</v>
      </c>
      <c r="M95" s="3" t="n">
        <f aca="false">IFERROR(__xludf.dummyfunction("if($T95&lt;&gt;"""",VALUE(REGEXEXTRACT($T95, M$1&amp;""[\w &amp;]*, (\d+\.\d+)"")),"""")
"),5600)</f>
        <v>5600</v>
      </c>
      <c r="N95" s="3" t="n">
        <f aca="false">IFERROR(__xludf.dummyfunction("if($T95&lt;&gt;"""",VALUE(REGEXEXTRACT(SUBSTITUTE ($T95,N$1&amp;"" CE"",""""), N$1&amp;""[\w &amp;]*, (\d+\.\d+)"")),"""")
"),5550)</f>
        <v>5550</v>
      </c>
      <c r="O95" s="3" t="n">
        <f aca="false">IFERROR(__xludf.dummyfunction("if($T95&lt;&gt;"""",VALUE(REGEXEXTRACT($T95, O$1&amp;""[\w &amp;]*, (\d+\.\d+)"")),"""")
"),5600)</f>
        <v>5600</v>
      </c>
      <c r="P95" s="2" t="n">
        <f aca="false">IFERROR(__xludf.dummyfunction("if($T95&lt;&gt;"""",VALUE(REGEXEXTRACT($T95, P$1&amp;""[\w &amp;]*, (\d+\.\d+)"")),"""")
"),5556.55)</f>
        <v>5556.55</v>
      </c>
      <c r="Q95" s="2" t="n">
        <f aca="false">IFERROR(__xludf.dummyfunction("if($T95&lt;&gt;"""",VALUE(REGEXEXTRACT($T95, Q$1&amp;""[\w &amp;]*, (\d+\.\d+)"")),"""")
"),5539.74)</f>
        <v>5539.74</v>
      </c>
      <c r="R95" s="2" t="n">
        <f aca="false">IFERROR(__xludf.dummyfunction("if($T95&lt;&gt;"""",VALUE(REGEXEXTRACT($T95, SUBSTITUTE(R$1, ""+"", ""\+"")&amp;""[\w &amp;]*, (\d+\.\d+)"")),"""")"),5637.69)</f>
        <v>5637.69</v>
      </c>
      <c r="S95" s="2" t="n">
        <f aca="false">IFERROR(__xludf.dummyfunction("if($T95&lt;&gt;"""",VALUE(REGEXEXTRACT($T95, SUBSTITUTE(S$1, ""+"", ""\+"")&amp;""[\w &amp;]*, (\d+\.\d+)"")),"""")"),5654.5)</f>
        <v>5654.5</v>
      </c>
      <c r="T95" s="5" t="s">
        <v>108</v>
      </c>
      <c r="U95" s="5"/>
    </row>
    <row r="96" customFormat="false" ht="15.75" hidden="false" customHeight="false" outlineLevel="0" collapsed="false">
      <c r="A96" s="4" t="n">
        <f aca="false">IFERROR(__xludf.dummyfunction("""COMPUTED_VALUE"""),45525.6666666667)</f>
        <v>45525.6666666667</v>
      </c>
      <c r="B96" s="2" t="n">
        <f aca="false">IFERROR(__xludf.dummyfunction("""COMPUTED_VALUE"""),5603.09)</f>
        <v>5603.09</v>
      </c>
      <c r="C96" s="2" t="n">
        <f aca="false">IFERROR(__xludf.dummyfunction("""COMPUTED_VALUE"""),5632.68)</f>
        <v>5632.68</v>
      </c>
      <c r="D96" s="2" t="n">
        <f aca="false">IFERROR(__xludf.dummyfunction("""COMPUTED_VALUE"""),5591.57)</f>
        <v>5591.57</v>
      </c>
      <c r="E96" s="2" t="n">
        <f aca="false">IFERROR(__xludf.dummyfunction("""COMPUTED_VALUE"""),5620.85)</f>
        <v>5620.85</v>
      </c>
      <c r="F96" s="3" t="n">
        <f aca="false">IFERROR(__xludf.dummyfunction("if($T96&lt;&gt;"""",VALUE(REGEXEXTRACT(SUBSTITUTE ($T96,F$1&amp;"" CE"",""""), F$1&amp;""[\w &amp;]*, (\d+\.\d+)"")),"""")
"),5550)</f>
        <v>5550</v>
      </c>
      <c r="G96" s="3" t="n">
        <f aca="false">IFERROR(__xludf.dummyfunction("if($T96&lt;&gt;"""",VALUE(REGEXEXTRACT($T96, G$1&amp;""[\w &amp;]*, (\d+\.\d+)"")),"""")
"),5650)</f>
        <v>5650</v>
      </c>
      <c r="H96" s="3" t="n">
        <f aca="false">IFERROR(__xludf.dummyfunction("if($T96&lt;&gt;"""",VALUE(REGEXEXTRACT($T96, H$1&amp;""[\w &amp;]*, (\d+\.\d+)"")),"""")"),5760)</f>
        <v>5760</v>
      </c>
      <c r="I96" s="3" t="n">
        <f aca="false">IFERROR(__xludf.dummyfunction("if($T96&lt;&gt;"""",VALUE(REGEXEXTRACT(SUBSTITUTE ($T96,I$1&amp;"" CE"",""""), I$1&amp;""[\w &amp;]*, (\d+\.\d+)"")),"""")
"),5550)</f>
        <v>5550</v>
      </c>
      <c r="J96" s="3" t="n">
        <f aca="false">IFERROR(__xludf.dummyfunction("if($T96&lt;&gt;"""",VALUE(REGEXEXTRACT($T96, J$1&amp;""[\w &amp;]*, (\d+\.\d+)"")),"""")
"),5600)</f>
        <v>5600</v>
      </c>
      <c r="K96" s="3" t="n">
        <f aca="false">IFERROR(__xludf.dummyfunction("if($T96&lt;&gt;"""",VALUE(REGEXEXTRACT($T96, K$1&amp;""[\w &amp;]*, (\d+\.\d+)"")),"""")
"),5390)</f>
        <v>5390</v>
      </c>
      <c r="L96" s="3" t="n">
        <f aca="false">IFERROR(__xludf.dummyfunction("if($T96&lt;&gt;"""",VALUE(REGEXEXTRACT(SUBSTITUTE ($T96,L$1&amp;"" CE"",""""), L$1&amp;""[\w &amp;]*, (\d+\.\d+)"")),"""")
"),5515)</f>
        <v>5515</v>
      </c>
      <c r="M96" s="3" t="n">
        <f aca="false">IFERROR(__xludf.dummyfunction("if($T96&lt;&gt;"""",VALUE(REGEXEXTRACT($T96, M$1&amp;""[\w &amp;]*, (\d+\.\d+)"")),"""")
"),5610)</f>
        <v>5610</v>
      </c>
      <c r="N96" s="3" t="n">
        <f aca="false">IFERROR(__xludf.dummyfunction("if($T96&lt;&gt;"""",VALUE(REGEXEXTRACT(SUBSTITUTE ($T96,N$1&amp;"" CE"",""""), N$1&amp;""[\w &amp;]*, (\d+\.\d+)"")),"""")
"),5600)</f>
        <v>5600</v>
      </c>
      <c r="O96" s="3" t="n">
        <f aca="false">IFERROR(__xludf.dummyfunction("if($T96&lt;&gt;"""",VALUE(REGEXEXTRACT($T96, O$1&amp;""[\w &amp;]*, (\d+\.\d+)"")),"""")
"),5600)</f>
        <v>5600</v>
      </c>
      <c r="P96" s="2" t="n">
        <f aca="false">IFERROR(__xludf.dummyfunction("if($T96&lt;&gt;"""",VALUE(REGEXEXTRACT($T96, P$1&amp;""[\w &amp;]*, (\d+\.\d+)"")),"""")
"),5580.95)</f>
        <v>5580.95</v>
      </c>
      <c r="Q96" s="2" t="n">
        <f aca="false">IFERROR(__xludf.dummyfunction("if($T96&lt;&gt;"""",VALUE(REGEXEXTRACT($T96, Q$1&amp;""[\w &amp;]*, (\d+\.\d+)"")),"""")
"),5564.42)</f>
        <v>5564.42</v>
      </c>
      <c r="R96" s="2" t="n">
        <f aca="false">IFERROR(__xludf.dummyfunction("if($T96&lt;&gt;"""",VALUE(REGEXEXTRACT($T96, SUBSTITUTE(R$1, ""+"", ""\+"")&amp;""[\w &amp;]*, (\d+\.\d+)"")),"""")"),5660.75)</f>
        <v>5660.75</v>
      </c>
      <c r="S96" s="2" t="n">
        <f aca="false">IFERROR(__xludf.dummyfunction("if($T96&lt;&gt;"""",VALUE(REGEXEXTRACT($T96, SUBSTITUTE(S$1, ""+"", ""\+"")&amp;""[\w &amp;]*, (\d+\.\d+)"")),"""")"),5677.28)</f>
        <v>5677.28</v>
      </c>
      <c r="T96" s="5" t="s">
        <v>109</v>
      </c>
      <c r="U96" s="5"/>
    </row>
    <row r="97" customFormat="false" ht="15.75" hidden="false" customHeight="false" outlineLevel="0" collapsed="false">
      <c r="A97" s="4" t="n">
        <f aca="false">IFERROR(__xludf.dummyfunction("""COMPUTED_VALUE"""),45526.6666666667)</f>
        <v>45526.6666666667</v>
      </c>
      <c r="B97" s="2" t="n">
        <f aca="false">IFERROR(__xludf.dummyfunction("""COMPUTED_VALUE"""),5637.77)</f>
        <v>5637.77</v>
      </c>
      <c r="C97" s="2" t="n">
        <f aca="false">IFERROR(__xludf.dummyfunction("""COMPUTED_VALUE"""),5643.22)</f>
        <v>5643.22</v>
      </c>
      <c r="D97" s="2" t="n">
        <f aca="false">IFERROR(__xludf.dummyfunction("""COMPUTED_VALUE"""),5560.95)</f>
        <v>5560.95</v>
      </c>
      <c r="E97" s="2" t="n">
        <f aca="false">IFERROR(__xludf.dummyfunction("""COMPUTED_VALUE"""),5570.64)</f>
        <v>5570.64</v>
      </c>
      <c r="F97" s="3" t="n">
        <f aca="false">IFERROR(__xludf.dummyfunction("if($T97&lt;&gt;"""",VALUE(REGEXEXTRACT(SUBSTITUTE ($T97,F$1&amp;"" CE"",""""), F$1&amp;""[\w &amp;]*, (\d+\.\d+)"")),"""")
"),5550)</f>
        <v>5550</v>
      </c>
      <c r="G97" s="3" t="n">
        <f aca="false">IFERROR(__xludf.dummyfunction("if($T97&lt;&gt;"""",VALUE(REGEXEXTRACT($T97, G$1&amp;""[\w &amp;]*, (\d+\.\d+)"")),"""")
"),5650)</f>
        <v>5650</v>
      </c>
      <c r="H97" s="3" t="n">
        <f aca="false">IFERROR(__xludf.dummyfunction("if($T97&lt;&gt;"""",VALUE(REGEXEXTRACT($T97, H$1&amp;""[\w &amp;]*, (\d+\.\d+)"")),"""")"),5760)</f>
        <v>5760</v>
      </c>
      <c r="I97" s="3" t="n">
        <f aca="false">IFERROR(__xludf.dummyfunction("if($T97&lt;&gt;"""",VALUE(REGEXEXTRACT(SUBSTITUTE ($T97,I$1&amp;"" CE"",""""), I$1&amp;""[\w &amp;]*, (\d+\.\d+)"")),"""")
"),5550)</f>
        <v>5550</v>
      </c>
      <c r="J97" s="3" t="n">
        <f aca="false">IFERROR(__xludf.dummyfunction("if($T97&lt;&gt;"""",VALUE(REGEXEXTRACT($T97, J$1&amp;""[\w &amp;]*, (\d+\.\d+)"")),"""")
"),5540)</f>
        <v>5540</v>
      </c>
      <c r="K97" s="3" t="n">
        <f aca="false">IFERROR(__xludf.dummyfunction("if($T97&lt;&gt;"""",VALUE(REGEXEXTRACT($T97, K$1&amp;""[\w &amp;]*, (\d+\.\d+)"")),"""")
"),5390)</f>
        <v>5390</v>
      </c>
      <c r="L97" s="3" t="n">
        <f aca="false">IFERROR(__xludf.dummyfunction("if($T97&lt;&gt;"""",VALUE(REGEXEXTRACT(SUBSTITUTE ($T97,L$1&amp;"" CE"",""""), L$1&amp;""[\w &amp;]*, (\d+\.\d+)"")),"""")
"),5545)</f>
        <v>5545</v>
      </c>
      <c r="M97" s="3" t="n">
        <f aca="false">IFERROR(__xludf.dummyfunction("if($T97&lt;&gt;"""",VALUE(REGEXEXTRACT($T97, M$1&amp;""[\w &amp;]*, (\d+\.\d+)"")),"""")
"),5570)</f>
        <v>5570</v>
      </c>
      <c r="N97" s="3" t="n">
        <f aca="false">IFERROR(__xludf.dummyfunction("if($T97&lt;&gt;"""",VALUE(REGEXEXTRACT(SUBSTITUTE ($T97,N$1&amp;"" CE"",""""), N$1&amp;""[\w &amp;]*, (\d+\.\d+)"")),"""")
"),5600)</f>
        <v>5600</v>
      </c>
      <c r="O97" s="3" t="n">
        <f aca="false">IFERROR(__xludf.dummyfunction("if($T97&lt;&gt;"""",VALUE(REGEXEXTRACT($T97, O$1&amp;""[\w &amp;]*, (\d+\.\d+)"")),"""")
"),5600)</f>
        <v>5600</v>
      </c>
      <c r="P97" s="2" t="n">
        <f aca="false">IFERROR(__xludf.dummyfunction("if($T97&lt;&gt;"""",VALUE(REGEXEXTRACT($T97, P$1&amp;""[\w &amp;]*, (\d+\.\d+)"")),"""")
"),5528.13)</f>
        <v>5528.13</v>
      </c>
      <c r="Q97" s="2" t="n">
        <f aca="false">IFERROR(__xludf.dummyfunction("if($T97&lt;&gt;"""",VALUE(REGEXEXTRACT($T97, Q$1&amp;""[\w &amp;]*, (\d+\.\d+)"")),"""")
"),5485.62)</f>
        <v>5485.62</v>
      </c>
      <c r="R97" s="2" t="n">
        <f aca="false">IFERROR(__xludf.dummyfunction("if($T97&lt;&gt;"""",VALUE(REGEXEXTRACT($T97, SUBSTITUTE(R$1, ""+"", ""\+"")&amp;""[\w &amp;]*, (\d+\.\d+)"")),"""")"),5613.15)</f>
        <v>5613.15</v>
      </c>
      <c r="S97" s="2" t="n">
        <f aca="false">IFERROR(__xludf.dummyfunction("if($T97&lt;&gt;"""",VALUE(REGEXEXTRACT($T97, SUBSTITUTE(S$1, ""+"", ""\+"")&amp;""[\w &amp;]*, (\d+\.\d+)"")),"""")"),5655.66)</f>
        <v>5655.66</v>
      </c>
      <c r="T97" s="5" t="s">
        <v>110</v>
      </c>
      <c r="U97" s="5"/>
    </row>
    <row r="98" customFormat="false" ht="15.75" hidden="false" customHeight="false" outlineLevel="0" collapsed="false">
      <c r="A98" s="4" t="n">
        <f aca="false">IFERROR(__xludf.dummyfunction("""COMPUTED_VALUE"""),45527.6666666667)</f>
        <v>45527.6666666667</v>
      </c>
      <c r="B98" s="2" t="n">
        <f aca="false">IFERROR(__xludf.dummyfunction("""COMPUTED_VALUE"""),5602.49)</f>
        <v>5602.49</v>
      </c>
      <c r="C98" s="2" t="n">
        <f aca="false">IFERROR(__xludf.dummyfunction("""COMPUTED_VALUE"""),5641.82)</f>
        <v>5641.82</v>
      </c>
      <c r="D98" s="2" t="n">
        <f aca="false">IFERROR(__xludf.dummyfunction("""COMPUTED_VALUE"""),5585.16)</f>
        <v>5585.16</v>
      </c>
      <c r="E98" s="2" t="n">
        <f aca="false">IFERROR(__xludf.dummyfunction("""COMPUTED_VALUE"""),5634.61)</f>
        <v>5634.61</v>
      </c>
      <c r="F98" s="3" t="n">
        <f aca="false">IFERROR(__xludf.dummyfunction("if($T98&lt;&gt;"""",VALUE(REGEXEXTRACT(SUBSTITUTE ($T98,F$1&amp;"" CE"",""""), F$1&amp;""[\w &amp;]*, (\d+\.\d+)"")),"""")
"),5550)</f>
        <v>5550</v>
      </c>
      <c r="G98" s="3" t="n">
        <f aca="false">IFERROR(__xludf.dummyfunction("if($T98&lt;&gt;"""",VALUE(REGEXEXTRACT($T98, G$1&amp;""[\w &amp;]*, (\d+\.\d+)"")),"""")
"),5660)</f>
        <v>5660</v>
      </c>
      <c r="H98" s="3" t="n">
        <f aca="false">IFERROR(__xludf.dummyfunction("if($T98&lt;&gt;"""",VALUE(REGEXEXTRACT($T98, H$1&amp;""[\w &amp;]*, (\d+\.\d+)"")),"""")"),5760)</f>
        <v>5760</v>
      </c>
      <c r="I98" s="3" t="n">
        <f aca="false">IFERROR(__xludf.dummyfunction("if($T98&lt;&gt;"""",VALUE(REGEXEXTRACT(SUBSTITUTE ($T98,I$1&amp;"" CE"",""""), I$1&amp;""[\w &amp;]*, (\d+\.\d+)"")),"""")
"),5550)</f>
        <v>5550</v>
      </c>
      <c r="J98" s="3" t="n">
        <f aca="false">IFERROR(__xludf.dummyfunction("if($T98&lt;&gt;"""",VALUE(REGEXEXTRACT($T98, J$1&amp;""[\w &amp;]*, (\d+\.\d+)"")),"""")
"),5600)</f>
        <v>5600</v>
      </c>
      <c r="K98" s="3" t="n">
        <f aca="false">IFERROR(__xludf.dummyfunction("if($T98&lt;&gt;"""",VALUE(REGEXEXTRACT($T98, K$1&amp;""[\w &amp;]*, (\d+\.\d+)"")),"""")
"),5390)</f>
        <v>5390</v>
      </c>
      <c r="L98" s="3" t="n">
        <f aca="false">IFERROR(__xludf.dummyfunction("if($T98&lt;&gt;"""",VALUE(REGEXEXTRACT(SUBSTITUTE ($T98,L$1&amp;"" CE"",""""), L$1&amp;""[\w &amp;]*, (\d+\.\d+)"")),"""")
"),5605)</f>
        <v>5605</v>
      </c>
      <c r="M98" s="3" t="n">
        <f aca="false">IFERROR(__xludf.dummyfunction("if($T98&lt;&gt;"""",VALUE(REGEXEXTRACT($T98, M$1&amp;""[\w &amp;]*, (\d+\.\d+)"")),"""")
"),5620)</f>
        <v>5620</v>
      </c>
      <c r="N98" s="3" t="n">
        <f aca="false">IFERROR(__xludf.dummyfunction("if($T98&lt;&gt;"""",VALUE(REGEXEXTRACT(SUBSTITUTE ($T98,N$1&amp;"" CE"",""""), N$1&amp;""[\w &amp;]*, (\d+\.\d+)"")),"""")
"),5600)</f>
        <v>5600</v>
      </c>
      <c r="O98" s="3" t="n">
        <f aca="false">IFERROR(__xludf.dummyfunction("if($T98&lt;&gt;"""",VALUE(REGEXEXTRACT($T98, O$1&amp;""[\w &amp;]*, (\d+\.\d+)"")),"""")
"),5660)</f>
        <v>5660</v>
      </c>
      <c r="P98" s="2" t="n">
        <f aca="false">IFERROR(__xludf.dummyfunction("if($T98&lt;&gt;"""",VALUE(REGEXEXTRACT($T98, P$1&amp;""[\w &amp;]*, (\d+\.\d+)"")),"""")
"),5595.32)</f>
        <v>5595.32</v>
      </c>
      <c r="Q98" s="2" t="n">
        <f aca="false">IFERROR(__xludf.dummyfunction("if($T98&lt;&gt;"""",VALUE(REGEXEXTRACT($T98, Q$1&amp;""[\w &amp;]*, (\d+\.\d+)"")),"""")
"),5579.05)</f>
        <v>5579.05</v>
      </c>
      <c r="R98" s="2" t="n">
        <f aca="false">IFERROR(__xludf.dummyfunction("if($T98&lt;&gt;"""",VALUE(REGEXEXTRACT($T98, SUBSTITUTE(R$1, ""+"", ""\+"")&amp;""[\w &amp;]*, (\d+\.\d+)"")),"""")"),5673.9)</f>
        <v>5673.9</v>
      </c>
      <c r="S98" s="2" t="n">
        <f aca="false">IFERROR(__xludf.dummyfunction("if($T98&lt;&gt;"""",VALUE(REGEXEXTRACT($T98, SUBSTITUTE(S$1, ""+"", ""\+"")&amp;""[\w &amp;]*, (\d+\.\d+)"")),"""")"),5690.17)</f>
        <v>5690.17</v>
      </c>
      <c r="T98" s="5" t="s">
        <v>111</v>
      </c>
      <c r="U98" s="5"/>
    </row>
    <row r="99" customFormat="false" ht="15.75" hidden="false" customHeight="false" outlineLevel="0" collapsed="false">
      <c r="A99" s="4" t="n">
        <f aca="false">IFERROR(__xludf.dummyfunction("""COMPUTED_VALUE"""),45530.6666666667)</f>
        <v>45530.6666666667</v>
      </c>
      <c r="B99" s="2" t="n">
        <f aca="false">IFERROR(__xludf.dummyfunction("""COMPUTED_VALUE"""),5639.66)</f>
        <v>5639.66</v>
      </c>
      <c r="C99" s="2" t="n">
        <f aca="false">IFERROR(__xludf.dummyfunction("""COMPUTED_VALUE"""),5651.62)</f>
        <v>5651.62</v>
      </c>
      <c r="D99" s="2" t="n">
        <f aca="false">IFERROR(__xludf.dummyfunction("""COMPUTED_VALUE"""),5602.34)</f>
        <v>5602.34</v>
      </c>
      <c r="E99" s="2" t="n">
        <f aca="false">IFERROR(__xludf.dummyfunction("""COMPUTED_VALUE"""),5616.84)</f>
        <v>5616.84</v>
      </c>
      <c r="F99" s="3" t="n">
        <f aca="false">IFERROR(__xludf.dummyfunction("if($T99&lt;&gt;"""",VALUE(REGEXEXTRACT(SUBSTITUTE ($T99,F$1&amp;"" CE"",""""), F$1&amp;""[\w &amp;]*, (\d+\.\d+)"")),"""")
"),5550)</f>
        <v>5550</v>
      </c>
      <c r="G99" s="3" t="n">
        <f aca="false">IFERROR(__xludf.dummyfunction("if($T99&lt;&gt;"""",VALUE(REGEXEXTRACT($T99, G$1&amp;""[\w &amp;]*, (\d+\.\d+)"")),"""")
"),5650)</f>
        <v>5650</v>
      </c>
      <c r="H99" s="3" t="n">
        <f aca="false">IFERROR(__xludf.dummyfunction("if($T99&lt;&gt;"""",VALUE(REGEXEXTRACT($T99, H$1&amp;""[\w &amp;]*, (\d+\.\d+)"")),"""")"),5760)</f>
        <v>5760</v>
      </c>
      <c r="I99" s="3" t="n">
        <f aca="false">IFERROR(__xludf.dummyfunction("if($T99&lt;&gt;"""",VALUE(REGEXEXTRACT(SUBSTITUTE ($T99,I$1&amp;"" CE"",""""), I$1&amp;""[\w &amp;]*, (\d+\.\d+)"")),"""")
"),5550)</f>
        <v>5550</v>
      </c>
      <c r="J99" s="3" t="n">
        <f aca="false">IFERROR(__xludf.dummyfunction("if($T99&lt;&gt;"""",VALUE(REGEXEXTRACT($T99, J$1&amp;""[\w &amp;]*, (\d+\.\d+)"")),"""")
"),5585)</f>
        <v>5585</v>
      </c>
      <c r="K99" s="3" t="n">
        <f aca="false">IFERROR(__xludf.dummyfunction("if($T99&lt;&gt;"""",VALUE(REGEXEXTRACT($T99, K$1&amp;""[\w &amp;]*, (\d+\.\d+)"")),"""")
"),5390)</f>
        <v>5390</v>
      </c>
      <c r="L99" s="3" t="n">
        <f aca="false">IFERROR(__xludf.dummyfunction("if($T99&lt;&gt;"""",VALUE(REGEXEXTRACT(SUBSTITUTE ($T99,L$1&amp;"" CE"",""""), L$1&amp;""[\w &amp;]*, (\d+\.\d+)"")),"""")
"),5595)</f>
        <v>5595</v>
      </c>
      <c r="M99" s="3" t="n">
        <f aca="false">IFERROR(__xludf.dummyfunction("if($T99&lt;&gt;"""",VALUE(REGEXEXTRACT($T99, M$1&amp;""[\w &amp;]*, (\d+\.\d+)"")),"""")
"),5610)</f>
        <v>5610</v>
      </c>
      <c r="N99" s="3" t="n">
        <f aca="false">IFERROR(__xludf.dummyfunction("if($T99&lt;&gt;"""",VALUE(REGEXEXTRACT(SUBSTITUTE ($T99,N$1&amp;"" CE"",""""), N$1&amp;""[\w &amp;]*, (\d+\.\d+)"")),"""")
"),5600)</f>
        <v>5600</v>
      </c>
      <c r="O99" s="3" t="n">
        <f aca="false">IFERROR(__xludf.dummyfunction("if($T99&lt;&gt;"""",VALUE(REGEXEXTRACT($T99, O$1&amp;""[\w &amp;]*, (\d+\.\d+)"")),"""")
"),5600)</f>
        <v>5600</v>
      </c>
      <c r="P99" s="2" t="n">
        <f aca="false">IFERROR(__xludf.dummyfunction("if($T99&lt;&gt;"""",VALUE(REGEXEXTRACT($T99, P$1&amp;""[\w &amp;]*, (\d+\.\d+)"")),"""")
"),5577.51)</f>
        <v>5577.51</v>
      </c>
      <c r="Q99" s="2" t="n">
        <f aca="false">IFERROR(__xludf.dummyfunction("if($T99&lt;&gt;"""",VALUE(REGEXEXTRACT($T99, Q$1&amp;""[\w &amp;]*, (\d+\.\d+)"")),"""")
"),5561.22)</f>
        <v>5561.22</v>
      </c>
      <c r="R99" s="2" t="n">
        <f aca="false">IFERROR(__xludf.dummyfunction("if($T99&lt;&gt;"""",VALUE(REGEXEXTRACT($T99, SUBSTITUTE(R$1, ""+"", ""\+"")&amp;""[\w &amp;]*, (\d+\.\d+)"")),"""")"),5656.17)</f>
        <v>5656.17</v>
      </c>
      <c r="S99" s="2" t="n">
        <f aca="false">IFERROR(__xludf.dummyfunction("if($T99&lt;&gt;"""",VALUE(REGEXEXTRACT($T99, SUBSTITUTE(S$1, ""+"", ""\+"")&amp;""[\w &amp;]*, (\d+\.\d+)"")),"""")"),5672.46)</f>
        <v>5672.46</v>
      </c>
      <c r="T99" s="5" t="s">
        <v>112</v>
      </c>
      <c r="U99" s="5"/>
    </row>
    <row r="100" customFormat="false" ht="15.75" hidden="false" customHeight="false" outlineLevel="0" collapsed="false">
      <c r="A100" s="4" t="n">
        <f aca="false">IFERROR(__xludf.dummyfunction("""COMPUTED_VALUE"""),45531.6666666667)</f>
        <v>45531.6666666667</v>
      </c>
      <c r="B100" s="2" t="n">
        <f aca="false">IFERROR(__xludf.dummyfunction("""COMPUTED_VALUE"""),5602.89)</f>
        <v>5602.89</v>
      </c>
      <c r="C100" s="2" t="n">
        <f aca="false">IFERROR(__xludf.dummyfunction("""COMPUTED_VALUE"""),5631.18)</f>
        <v>5631.18</v>
      </c>
      <c r="D100" s="2" t="n">
        <f aca="false">IFERROR(__xludf.dummyfunction("""COMPUTED_VALUE"""),5593.48)</f>
        <v>5593.48</v>
      </c>
      <c r="E100" s="2" t="n">
        <f aca="false">IFERROR(__xludf.dummyfunction("""COMPUTED_VALUE"""),5625.8)</f>
        <v>5625.8</v>
      </c>
      <c r="F100" s="3" t="n">
        <f aca="false">IFERROR(__xludf.dummyfunction("if($T100&lt;&gt;"""",VALUE(REGEXEXTRACT(SUBSTITUTE ($T100,F$1&amp;"" CE"",""""), F$1&amp;""[\w &amp;]*, (\d+\.\d+)"")),"""")
"),5550)</f>
        <v>5550</v>
      </c>
      <c r="G100" s="3" t="n">
        <f aca="false">IFERROR(__xludf.dummyfunction("if($T100&lt;&gt;"""",VALUE(REGEXEXTRACT($T100, G$1&amp;""[\w &amp;]*, (\d+\.\d+)"")),"""")
"),5650)</f>
        <v>5650</v>
      </c>
      <c r="H100" s="3" t="n">
        <f aca="false">IFERROR(__xludf.dummyfunction("if($T100&lt;&gt;"""",VALUE(REGEXEXTRACT($T100, H$1&amp;""[\w &amp;]*, (\d+\.\d+)"")),"""")"),5760)</f>
        <v>5760</v>
      </c>
      <c r="I100" s="3" t="n">
        <f aca="false">IFERROR(__xludf.dummyfunction("if($T100&lt;&gt;"""",VALUE(REGEXEXTRACT(SUBSTITUTE ($T100,I$1&amp;"" CE"",""""), I$1&amp;""[\w &amp;]*, (\d+\.\d+)"")),"""")
"),5550)</f>
        <v>5550</v>
      </c>
      <c r="J100" s="3" t="n">
        <f aca="false">IFERROR(__xludf.dummyfunction("if($T100&lt;&gt;"""",VALUE(REGEXEXTRACT($T100, J$1&amp;""[\w &amp;]*, (\d+\.\d+)"")),"""")
"),5600)</f>
        <v>5600</v>
      </c>
      <c r="K100" s="3" t="n">
        <f aca="false">IFERROR(__xludf.dummyfunction("if($T100&lt;&gt;"""",VALUE(REGEXEXTRACT($T100, K$1&amp;""[\w &amp;]*, (\d+\.\d+)"")),"""")
"),5490)</f>
        <v>5490</v>
      </c>
      <c r="L100" s="3" t="n">
        <f aca="false">IFERROR(__xludf.dummyfunction("if($T100&lt;&gt;"""",VALUE(REGEXEXTRACT(SUBSTITUTE ($T100,L$1&amp;"" CE"",""""), L$1&amp;""[\w &amp;]*, (\d+\.\d+)"")),"""")
"),5620)</f>
        <v>5620</v>
      </c>
      <c r="M100" s="3" t="n">
        <f aca="false">IFERROR(__xludf.dummyfunction("if($T100&lt;&gt;"""",VALUE(REGEXEXTRACT($T100, M$1&amp;""[\w &amp;]*, (\d+\.\d+)"")),"""")
"),5625)</f>
        <v>5625</v>
      </c>
      <c r="N100" s="3" t="n">
        <f aca="false">IFERROR(__xludf.dummyfunction("if($T100&lt;&gt;"""",VALUE(REGEXEXTRACT(SUBSTITUTE ($T100,N$1&amp;"" CE"",""""), N$1&amp;""[\w &amp;]*, (\d+\.\d+)"")),"""")
"),5600)</f>
        <v>5600</v>
      </c>
      <c r="O100" s="3" t="n">
        <f aca="false">IFERROR(__xludf.dummyfunction("if($T100&lt;&gt;"""",VALUE(REGEXEXTRACT($T100, O$1&amp;""[\w &amp;]*, (\d+\.\d+)"")),"""")
"),5600)</f>
        <v>5600</v>
      </c>
      <c r="P100" s="2" t="n">
        <f aca="false">IFERROR(__xludf.dummyfunction("if($T100&lt;&gt;"""",VALUE(REGEXEXTRACT($T100, P$1&amp;""[\w &amp;]*, (\d+\.\d+)"")),"""")
"),5586.67)</f>
        <v>5586.67</v>
      </c>
      <c r="Q100" s="2" t="n">
        <f aca="false">IFERROR(__xludf.dummyfunction("if($T100&lt;&gt;"""",VALUE(REGEXEXTRACT($T100, Q$1&amp;""[\w &amp;]*, (\d+\.\d+)"")),"""")
"),5570.46)</f>
        <v>5570.46</v>
      </c>
      <c r="R100" s="2" t="n">
        <f aca="false">IFERROR(__xludf.dummyfunction("if($T100&lt;&gt;"""",VALUE(REGEXEXTRACT($T100, SUBSTITUTE(R$1, ""+"", ""\+"")&amp;""[\w &amp;]*, (\d+\.\d+)"")),"""")"),5664.93)</f>
        <v>5664.93</v>
      </c>
      <c r="S100" s="2" t="n">
        <f aca="false">IFERROR(__xludf.dummyfunction("if($T100&lt;&gt;"""",VALUE(REGEXEXTRACT($T100, SUBSTITUTE(S$1, ""+"", ""\+"")&amp;""[\w &amp;]*, (\d+\.\d+)"")),"""")"),5681.14)</f>
        <v>5681.14</v>
      </c>
      <c r="T100" s="5" t="s">
        <v>113</v>
      </c>
      <c r="U100" s="5"/>
    </row>
    <row r="101" customFormat="false" ht="15.75" hidden="false" customHeight="false" outlineLevel="0" collapsed="false">
      <c r="A101" s="4" t="n">
        <f aca="false">IFERROR(__xludf.dummyfunction("""COMPUTED_VALUE"""),45532.6666666667)</f>
        <v>45532.6666666667</v>
      </c>
      <c r="B101" s="2" t="n">
        <f aca="false">IFERROR(__xludf.dummyfunction("""COMPUTED_VALUE"""),5624.51)</f>
        <v>5624.51</v>
      </c>
      <c r="C101" s="2" t="n">
        <f aca="false">IFERROR(__xludf.dummyfunction("""COMPUTED_VALUE"""),5627.03)</f>
        <v>5627.03</v>
      </c>
      <c r="D101" s="2" t="n">
        <f aca="false">IFERROR(__xludf.dummyfunction("""COMPUTED_VALUE"""),5560.95)</f>
        <v>5560.95</v>
      </c>
      <c r="E101" s="2" t="n">
        <f aca="false">IFERROR(__xludf.dummyfunction("""COMPUTED_VALUE"""),5592.18)</f>
        <v>5592.18</v>
      </c>
      <c r="F101" s="3" t="n">
        <f aca="false">IFERROR(__xludf.dummyfunction("if($T101&lt;&gt;"""",VALUE(REGEXEXTRACT(SUBSTITUTE ($T101,F$1&amp;"" CE"",""""), F$1&amp;""[\w &amp;]*, (\d+\.\d+)"")),"""")
"),5550)</f>
        <v>5550</v>
      </c>
      <c r="G101" s="3" t="n">
        <f aca="false">IFERROR(__xludf.dummyfunction("if($T101&lt;&gt;"""",VALUE(REGEXEXTRACT($T101, G$1&amp;""[\w &amp;]*, (\d+\.\d+)"")),"""")
"),5640)</f>
        <v>5640</v>
      </c>
      <c r="H101" s="3" t="n">
        <f aca="false">IFERROR(__xludf.dummyfunction("if($T101&lt;&gt;"""",VALUE(REGEXEXTRACT($T101, H$1&amp;""[\w &amp;]*, (\d+\.\d+)"")),"""")"),5760)</f>
        <v>5760</v>
      </c>
      <c r="I101" s="3" t="n">
        <f aca="false">IFERROR(__xludf.dummyfunction("if($T101&lt;&gt;"""",VALUE(REGEXEXTRACT(SUBSTITUTE ($T101,I$1&amp;"" CE"",""""), I$1&amp;""[\w &amp;]*, (\d+\.\d+)"")),"""")
"),5550)</f>
        <v>5550</v>
      </c>
      <c r="J101" s="3" t="n">
        <f aca="false">IFERROR(__xludf.dummyfunction("if($T101&lt;&gt;"""",VALUE(REGEXEXTRACT($T101, J$1&amp;""[\w &amp;]*, (\d+\.\d+)"")),"""")
"),5550)</f>
        <v>5550</v>
      </c>
      <c r="K101" s="3" t="n">
        <f aca="false">IFERROR(__xludf.dummyfunction("if($T101&lt;&gt;"""",VALUE(REGEXEXTRACT($T101, K$1&amp;""[\w &amp;]*, (\d+\.\d+)"")),"""")
"),5490)</f>
        <v>5490</v>
      </c>
      <c r="L101" s="3" t="n">
        <f aca="false">IFERROR(__xludf.dummyfunction("if($T101&lt;&gt;"""",VALUE(REGEXEXTRACT(SUBSTITUTE ($T101,L$1&amp;"" CE"",""""), L$1&amp;""[\w &amp;]*, (\d+\.\d+)"")),"""")
"),5595)</f>
        <v>5595</v>
      </c>
      <c r="M101" s="3" t="n">
        <f aca="false">IFERROR(__xludf.dummyfunction("if($T101&lt;&gt;"""",VALUE(REGEXEXTRACT($T101, M$1&amp;""[\w &amp;]*, (\d+\.\d+)"")),"""")
"),5600)</f>
        <v>5600</v>
      </c>
      <c r="N101" s="3" t="n">
        <f aca="false">IFERROR(__xludf.dummyfunction("if($T101&lt;&gt;"""",VALUE(REGEXEXTRACT(SUBSTITUTE ($T101,N$1&amp;"" CE"",""""), N$1&amp;""[\w &amp;]*, (\d+\.\d+)"")),"""")
"),5600)</f>
        <v>5600</v>
      </c>
      <c r="O101" s="3" t="n">
        <f aca="false">IFERROR(__xludf.dummyfunction("if($T101&lt;&gt;"""",VALUE(REGEXEXTRACT($T101, O$1&amp;""[\w &amp;]*, (\d+\.\d+)"")),"""")
"),5600)</f>
        <v>5600</v>
      </c>
      <c r="P101" s="2" t="n">
        <f aca="false">IFERROR(__xludf.dummyfunction("if($T101&lt;&gt;"""",VALUE(REGEXEXTRACT($T101, P$1&amp;""[\w &amp;]*, (\d+\.\d+)"")),"""")
"),5551.76)</f>
        <v>5551.76</v>
      </c>
      <c r="Q101" s="2" t="n">
        <f aca="false">IFERROR(__xludf.dummyfunction("if($T101&lt;&gt;"""",VALUE(REGEXEXTRACT($T101, Q$1&amp;""[\w &amp;]*, (\d+\.\d+)"")),"""")
"),5535.01)</f>
        <v>5535.01</v>
      </c>
      <c r="R101" s="2" t="n">
        <f aca="false">IFERROR(__xludf.dummyfunction("if($T101&lt;&gt;"""",VALUE(REGEXEXTRACT($T101, SUBSTITUTE(R$1, ""+"", ""\+"")&amp;""[\w &amp;]*, (\d+\.\d+)"")),"""")"),5632.6)</f>
        <v>5632.6</v>
      </c>
      <c r="S101" s="2" t="n">
        <f aca="false">IFERROR(__xludf.dummyfunction("if($T101&lt;&gt;"""",VALUE(REGEXEXTRACT($T101, SUBSTITUTE(S$1, ""+"", ""\+"")&amp;""[\w &amp;]*, (\d+\.\d+)"")),"""")"),5649.35)</f>
        <v>5649.35</v>
      </c>
      <c r="T101" s="5" t="s">
        <v>114</v>
      </c>
      <c r="U101" s="5"/>
    </row>
    <row r="102" customFormat="false" ht="15.75" hidden="false" customHeight="false" outlineLevel="0" collapsed="false">
      <c r="A102" s="4" t="n">
        <f aca="false">IFERROR(__xludf.dummyfunction("""COMPUTED_VALUE"""),45533.6666666667)</f>
        <v>45533.6666666667</v>
      </c>
      <c r="B102" s="2" t="n">
        <f aca="false">IFERROR(__xludf.dummyfunction("""COMPUTED_VALUE"""),5607.3)</f>
        <v>5607.3</v>
      </c>
      <c r="C102" s="2" t="n">
        <f aca="false">IFERROR(__xludf.dummyfunction("""COMPUTED_VALUE"""),5646.95)</f>
        <v>5646.95</v>
      </c>
      <c r="D102" s="2" t="n">
        <f aca="false">IFERROR(__xludf.dummyfunction("""COMPUTED_VALUE"""),5583.71)</f>
        <v>5583.71</v>
      </c>
      <c r="E102" s="2" t="n">
        <f aca="false">IFERROR(__xludf.dummyfunction("""COMPUTED_VALUE"""),5591.96)</f>
        <v>5591.96</v>
      </c>
      <c r="F102" s="3" t="n">
        <f aca="false">IFERROR(__xludf.dummyfunction("if($T102&lt;&gt;"""",VALUE(REGEXEXTRACT(SUBSTITUTE ($T102,F$1&amp;"" CE"",""""), F$1&amp;""[\w &amp;]*, (\d+\.\d+)"")),"""")
"),5550)</f>
        <v>5550</v>
      </c>
      <c r="G102" s="3" t="n">
        <f aca="false">IFERROR(__xludf.dummyfunction("if($T102&lt;&gt;"""",VALUE(REGEXEXTRACT($T102, G$1&amp;""[\w &amp;]*, (\d+\.\d+)"")),"""")
"),5650)</f>
        <v>5650</v>
      </c>
      <c r="H102" s="3" t="n">
        <f aca="false">IFERROR(__xludf.dummyfunction("if($T102&lt;&gt;"""",VALUE(REGEXEXTRACT($T102, H$1&amp;""[\w &amp;]*, (\d+\.\d+)"")),"""")"),5760)</f>
        <v>5760</v>
      </c>
      <c r="I102" s="3" t="n">
        <f aca="false">IFERROR(__xludf.dummyfunction("if($T102&lt;&gt;"""",VALUE(REGEXEXTRACT(SUBSTITUTE ($T102,I$1&amp;"" CE"",""""), I$1&amp;""[\w &amp;]*, (\d+\.\d+)"")),"""")
"),5550)</f>
        <v>5550</v>
      </c>
      <c r="J102" s="3" t="n">
        <f aca="false">IFERROR(__xludf.dummyfunction("if($T102&lt;&gt;"""",VALUE(REGEXEXTRACT($T102, J$1&amp;""[\w &amp;]*, (\d+\.\d+)"")),"""")
"),5585)</f>
        <v>5585</v>
      </c>
      <c r="K102" s="3" t="n">
        <f aca="false">IFERROR(__xludf.dummyfunction("if($T102&lt;&gt;"""",VALUE(REGEXEXTRACT($T102, K$1&amp;""[\w &amp;]*, (\d+\.\d+)"")),"""")
"),5475)</f>
        <v>5475</v>
      </c>
      <c r="L102" s="3" t="n">
        <f aca="false">IFERROR(__xludf.dummyfunction("if($T102&lt;&gt;"""",VALUE(REGEXEXTRACT(SUBSTITUTE ($T102,L$1&amp;"" CE"",""""), L$1&amp;""[\w &amp;]*, (\d+\.\d+)"")),"""")
"),5595)</f>
        <v>5595</v>
      </c>
      <c r="M102" s="3" t="n">
        <f aca="false">IFERROR(__xludf.dummyfunction("if($T102&lt;&gt;"""",VALUE(REGEXEXTRACT($T102, M$1&amp;""[\w &amp;]*, (\d+\.\d+)"")),"""")
"),5610)</f>
        <v>5610</v>
      </c>
      <c r="N102" s="3" t="n">
        <f aca="false">IFERROR(__xludf.dummyfunction("if($T102&lt;&gt;"""",VALUE(REGEXEXTRACT(SUBSTITUTE ($T102,N$1&amp;"" CE"",""""), N$1&amp;""[\w &amp;]*, (\d+\.\d+)"")),"""")
"),5600)</f>
        <v>5600</v>
      </c>
      <c r="O102" s="3" t="n">
        <f aca="false">IFERROR(__xludf.dummyfunction("if($T102&lt;&gt;"""",VALUE(REGEXEXTRACT($T102, O$1&amp;""[\w &amp;]*, (\d+\.\d+)"")),"""")
"),5650)</f>
        <v>5650</v>
      </c>
      <c r="P102" s="2" t="n">
        <f aca="false">IFERROR(__xludf.dummyfunction("if($T102&lt;&gt;"""",VALUE(REGEXEXTRACT($T102, P$1&amp;""[\w &amp;]*, (\d+\.\d+)"")),"""")
"),5554.06)</f>
        <v>5554.06</v>
      </c>
      <c r="Q102" s="2" t="n">
        <f aca="false">IFERROR(__xludf.dummyfunction("if($T102&lt;&gt;"""",VALUE(REGEXEXTRACT($T102, Q$1&amp;""[\w &amp;]*, (\d+\.\d+)"")),"""")
"),5507.21)</f>
        <v>5507.21</v>
      </c>
      <c r="R102" s="2" t="n">
        <f aca="false">IFERROR(__xludf.dummyfunction("if($T102&lt;&gt;"""",VALUE(REGEXEXTRACT($T102, SUBSTITUTE(R$1, ""+"", ""\+"")&amp;""[\w &amp;]*, (\d+\.\d+)"")),"""")"),5629.86)</f>
        <v>5629.86</v>
      </c>
      <c r="S102" s="2" t="n">
        <f aca="false">IFERROR(__xludf.dummyfunction("if($T102&lt;&gt;"""",VALUE(REGEXEXTRACT($T102, SUBSTITUTE(S$1, ""+"", ""\+"")&amp;""[\w &amp;]*, (\d+\.\d+)"")),"""")"),5676.71)</f>
        <v>5676.71</v>
      </c>
      <c r="T102" s="5" t="s">
        <v>115</v>
      </c>
      <c r="U102" s="5"/>
    </row>
    <row r="103" customFormat="false" ht="15.75" hidden="false" customHeight="false" outlineLevel="0" collapsed="false">
      <c r="A103" s="4" t="n">
        <f aca="false">IFERROR(__xludf.dummyfunction("""COMPUTED_VALUE"""),45534.6666666667)</f>
        <v>45534.6666666667</v>
      </c>
      <c r="B103" s="2" t="n">
        <f aca="false">IFERROR(__xludf.dummyfunction("""COMPUTED_VALUE"""),5612.74)</f>
        <v>5612.74</v>
      </c>
      <c r="C103" s="2" t="n">
        <f aca="false">IFERROR(__xludf.dummyfunction("""COMPUTED_VALUE"""),5651.37)</f>
        <v>5651.37</v>
      </c>
      <c r="D103" s="2" t="n">
        <f aca="false">IFERROR(__xludf.dummyfunction("""COMPUTED_VALUE"""),5581.79)</f>
        <v>5581.79</v>
      </c>
      <c r="E103" s="2" t="n">
        <f aca="false">IFERROR(__xludf.dummyfunction("""COMPUTED_VALUE"""),5648.4)</f>
        <v>5648.4</v>
      </c>
      <c r="F103" s="3" t="n">
        <f aca="false">IFERROR(__xludf.dummyfunction("if($T103&lt;&gt;"""",VALUE(REGEXEXTRACT(SUBSTITUTE ($T103,F$1&amp;"" CE"",""""), F$1&amp;""[\w &amp;]*, (\d+\.\d+)"")),"""")
"),5550)</f>
        <v>5550</v>
      </c>
      <c r="G103" s="3" t="n">
        <f aca="false">IFERROR(__xludf.dummyfunction("if($T103&lt;&gt;"""",VALUE(REGEXEXTRACT($T103, G$1&amp;""[\w &amp;]*, (\d+\.\d+)"")),"""")
"),5675)</f>
        <v>5675</v>
      </c>
      <c r="H103" s="3" t="n">
        <f aca="false">IFERROR(__xludf.dummyfunction("if($T103&lt;&gt;"""",VALUE(REGEXEXTRACT($T103, H$1&amp;""[\w &amp;]*, (\d+\.\d+)"")),"""")"),5760)</f>
        <v>5760</v>
      </c>
      <c r="I103" s="3" t="n">
        <f aca="false">IFERROR(__xludf.dummyfunction("if($T103&lt;&gt;"""",VALUE(REGEXEXTRACT(SUBSTITUTE ($T103,I$1&amp;"" CE"",""""), I$1&amp;""[\w &amp;]*, (\d+\.\d+)"")),"""")
"),5550)</f>
        <v>5550</v>
      </c>
      <c r="J103" s="3" t="n">
        <f aca="false">IFERROR(__xludf.dummyfunction("if($T103&lt;&gt;"""",VALUE(REGEXEXTRACT($T103, J$1&amp;""[\w &amp;]*, (\d+\.\d+)"")),"""")
"),5615)</f>
        <v>5615</v>
      </c>
      <c r="K103" s="3" t="n">
        <f aca="false">IFERROR(__xludf.dummyfunction("if($T103&lt;&gt;"""",VALUE(REGEXEXTRACT($T103, K$1&amp;""[\w &amp;]*, (\d+\.\d+)"")),"""")
"),5490)</f>
        <v>5490</v>
      </c>
      <c r="L103" s="3" t="n">
        <f aca="false">IFERROR(__xludf.dummyfunction("if($T103&lt;&gt;"""",VALUE(REGEXEXTRACT(SUBSTITUTE ($T103,L$1&amp;"" CE"",""""), L$1&amp;""[\w &amp;]*, (\d+\.\d+)"")),"""")
"),5620)</f>
        <v>5620</v>
      </c>
      <c r="M103" s="3" t="n">
        <f aca="false">IFERROR(__xludf.dummyfunction("if($T103&lt;&gt;"""",VALUE(REGEXEXTRACT($T103, M$1&amp;""[\w &amp;]*, (\d+\.\d+)"")),"""")
"),5625)</f>
        <v>5625</v>
      </c>
      <c r="N103" s="3" t="n">
        <f aca="false">IFERROR(__xludf.dummyfunction("if($T103&lt;&gt;"""",VALUE(REGEXEXTRACT(SUBSTITUTE ($T103,N$1&amp;"" CE"",""""), N$1&amp;""[\w &amp;]*, (\d+\.\d+)"")),"""")
"),5600)</f>
        <v>5600</v>
      </c>
      <c r="O103" s="3" t="n">
        <f aca="false">IFERROR(__xludf.dummyfunction("if($T103&lt;&gt;"""",VALUE(REGEXEXTRACT($T103, O$1&amp;""[\w &amp;]*, (\d+\.\d+)"")),"""")
"),5600)</f>
        <v>5600</v>
      </c>
      <c r="P103" s="2" t="n">
        <f aca="false">IFERROR(__xludf.dummyfunction("if($T103&lt;&gt;"""",VALUE(REGEXEXTRACT($T103, P$1&amp;""[\w &amp;]*, (\d+\.\d+)"")),"""")
"),5609.12)</f>
        <v>5609.12</v>
      </c>
      <c r="Q103" s="2" t="n">
        <f aca="false">IFERROR(__xludf.dummyfunction("if($T103&lt;&gt;"""",VALUE(REGEXEXTRACT($T103, Q$1&amp;""[\w &amp;]*, (\d+\.\d+)"")),"""")
"),5592.85)</f>
        <v>5592.85</v>
      </c>
      <c r="R103" s="2" t="n">
        <f aca="false">IFERROR(__xludf.dummyfunction("if($T103&lt;&gt;"""",VALUE(REGEXEXTRACT($T103, SUBSTITUTE(R$1, ""+"", ""\+"")&amp;""[\w &amp;]*, (\d+\.\d+)"")),"""")"),5687.68)</f>
        <v>5687.68</v>
      </c>
      <c r="S103" s="2" t="n">
        <f aca="false">IFERROR(__xludf.dummyfunction("if($T103&lt;&gt;"""",VALUE(REGEXEXTRACT($T103, SUBSTITUTE(S$1, ""+"", ""\+"")&amp;""[\w &amp;]*, (\d+\.\d+)"")),"""")"),5703.95)</f>
        <v>5703.95</v>
      </c>
      <c r="T103" s="5" t="s">
        <v>116</v>
      </c>
      <c r="U103" s="5"/>
    </row>
    <row r="104" customFormat="false" ht="15.75" hidden="false" customHeight="false" outlineLevel="0" collapsed="false">
      <c r="A104" s="4" t="n">
        <f aca="false">IFERROR(__xludf.dummyfunction("""COMPUTED_VALUE"""),45538.6666666667)</f>
        <v>45538.6666666667</v>
      </c>
      <c r="B104" s="2" t="n">
        <f aca="false">IFERROR(__xludf.dummyfunction("""COMPUTED_VALUE"""),5623.89)</f>
        <v>5623.89</v>
      </c>
      <c r="C104" s="2" t="n">
        <f aca="false">IFERROR(__xludf.dummyfunction("""COMPUTED_VALUE"""),5623.89)</f>
        <v>5623.89</v>
      </c>
      <c r="D104" s="2" t="n">
        <f aca="false">IFERROR(__xludf.dummyfunction("""COMPUTED_VALUE"""),5504.33)</f>
        <v>5504.33</v>
      </c>
      <c r="E104" s="2" t="n">
        <f aca="false">IFERROR(__xludf.dummyfunction("""COMPUTED_VALUE"""),5528.93)</f>
        <v>5528.93</v>
      </c>
      <c r="F104" s="3" t="n">
        <f aca="false">IFERROR(__xludf.dummyfunction("if($T104&lt;&gt;"""",VALUE(REGEXEXTRACT(SUBSTITUTE ($T104,F$1&amp;"" CE"",""""), F$1&amp;""[\w &amp;]*, (\d+\.\d+)"")),"""")
"),5550)</f>
        <v>5550</v>
      </c>
      <c r="G104" s="3" t="n">
        <f aca="false">IFERROR(__xludf.dummyfunction("if($T104&lt;&gt;"""",VALUE(REGEXEXTRACT($T104, G$1&amp;""[\w &amp;]*, (\d+\.\d+)"")),"""")
"),5565)</f>
        <v>5565</v>
      </c>
      <c r="H104" s="3" t="n">
        <f aca="false">IFERROR(__xludf.dummyfunction("if($T104&lt;&gt;"""",VALUE(REGEXEXTRACT($T104, H$1&amp;""[\w &amp;]*, (\d+\.\d+)"")),"""")"),5760)</f>
        <v>5760</v>
      </c>
      <c r="I104" s="3" t="n">
        <f aca="false">IFERROR(__xludf.dummyfunction("if($T104&lt;&gt;"""",VALUE(REGEXEXTRACT(SUBSTITUTE ($T104,I$1&amp;"" CE"",""""), I$1&amp;""[\w &amp;]*, (\d+\.\d+)"")),"""")
"),5550)</f>
        <v>5550</v>
      </c>
      <c r="J104" s="3" t="n">
        <f aca="false">IFERROR(__xludf.dummyfunction("if($T104&lt;&gt;"""",VALUE(REGEXEXTRACT($T104, J$1&amp;""[\w &amp;]*, (\d+\.\d+)"")),"""")
"),5490)</f>
        <v>5490</v>
      </c>
      <c r="K104" s="3" t="n">
        <f aca="false">IFERROR(__xludf.dummyfunction("if($T104&lt;&gt;"""",VALUE(REGEXEXTRACT($T104, K$1&amp;""[\w &amp;]*, (\d+\.\d+)"")),"""")
"),5490)</f>
        <v>5490</v>
      </c>
      <c r="L104" s="3" t="n">
        <f aca="false">IFERROR(__xludf.dummyfunction("if($T104&lt;&gt;"""",VALUE(REGEXEXTRACT(SUBSTITUTE ($T104,L$1&amp;"" CE"",""""), L$1&amp;""[\w &amp;]*, (\d+\.\d+)"")),"""")
"),5560)</f>
        <v>5560</v>
      </c>
      <c r="M104" s="3" t="n">
        <f aca="false">IFERROR(__xludf.dummyfunction("if($T104&lt;&gt;"""",VALUE(REGEXEXTRACT($T104, M$1&amp;""[\w &amp;]*, (\d+\.\d+)"")),"""")
"),5555)</f>
        <v>5555</v>
      </c>
      <c r="N104" s="3" t="n">
        <f aca="false">IFERROR(__xludf.dummyfunction("if($T104&lt;&gt;"""",VALUE(REGEXEXTRACT(SUBSTITUTE ($T104,N$1&amp;"" CE"",""""), N$1&amp;""[\w &amp;]*, (\d+\.\d+)"")),"""")
"),5550)</f>
        <v>5550</v>
      </c>
      <c r="O104" s="3" t="n">
        <f aca="false">IFERROR(__xludf.dummyfunction("if($T104&lt;&gt;"""",VALUE(REGEXEXTRACT($T104, O$1&amp;""[\w &amp;]*, (\d+\.\d+)"")),"""")
"),5490)</f>
        <v>5490</v>
      </c>
      <c r="P104" s="2" t="n">
        <f aca="false">IFERROR(__xludf.dummyfunction("if($T104&lt;&gt;"""",VALUE(REGEXEXTRACT($T104, P$1&amp;""[\w &amp;]*, (\d+\.\d+)"")),"""")
"),5478.73)</f>
        <v>5478.73</v>
      </c>
      <c r="Q104" s="2" t="n">
        <f aca="false">IFERROR(__xludf.dummyfunction("if($T104&lt;&gt;"""",VALUE(REGEXEXTRACT($T104, Q$1&amp;""[\w &amp;]*, (\d+\.\d+)"")),"""")
"),5457.93)</f>
        <v>5457.93</v>
      </c>
      <c r="R104" s="2" t="n">
        <f aca="false">IFERROR(__xludf.dummyfunction("if($T104&lt;&gt;"""",VALUE(REGEXEXTRACT($T104, SUBSTITUTE(R$1, ""+"", ""\+"")&amp;""[\w &amp;]*, (\d+\.\d+)"")),"""")"),5579.13)</f>
        <v>5579.13</v>
      </c>
      <c r="S104" s="2" t="n">
        <f aca="false">IFERROR(__xludf.dummyfunction("if($T104&lt;&gt;"""",VALUE(REGEXEXTRACT($T104, SUBSTITUTE(S$1, ""+"", ""\+"")&amp;""[\w &amp;]*, (\d+\.\d+)"")),"""")"),5599.93)</f>
        <v>5599.93</v>
      </c>
      <c r="T104" s="5" t="s">
        <v>117</v>
      </c>
      <c r="U104" s="5"/>
    </row>
    <row r="105" customFormat="false" ht="15.75" hidden="false" customHeight="false" outlineLevel="0" collapsed="false">
      <c r="A105" s="4" t="n">
        <f aca="false">IFERROR(__xludf.dummyfunction("""COMPUTED_VALUE"""),45539.6666666667)</f>
        <v>45539.6666666667</v>
      </c>
      <c r="B105" s="2" t="n">
        <f aca="false">IFERROR(__xludf.dummyfunction("""COMPUTED_VALUE"""),5506.68)</f>
        <v>5506.68</v>
      </c>
      <c r="C105" s="2" t="n">
        <f aca="false">IFERROR(__xludf.dummyfunction("""COMPUTED_VALUE"""),5552.99)</f>
        <v>5552.99</v>
      </c>
      <c r="D105" s="2" t="n">
        <f aca="false">IFERROR(__xludf.dummyfunction("""COMPUTED_VALUE"""),5503.66)</f>
        <v>5503.66</v>
      </c>
      <c r="E105" s="2" t="n">
        <f aca="false">IFERROR(__xludf.dummyfunction("""COMPUTED_VALUE"""),5520.07)</f>
        <v>5520.07</v>
      </c>
      <c r="F105" s="3" t="n">
        <f aca="false">IFERROR(__xludf.dummyfunction("if($T105&lt;&gt;"""",VALUE(REGEXEXTRACT(SUBSTITUTE ($T105,F$1&amp;"" CE"",""""), F$1&amp;""[\w &amp;]*, (\d+\.\d+)"")),"""")
"),5550)</f>
        <v>5550</v>
      </c>
      <c r="G105" s="3" t="n">
        <f aca="false">IFERROR(__xludf.dummyfunction("if($T105&lt;&gt;"""",VALUE(REGEXEXTRACT($T105, G$1&amp;""[\w &amp;]*, (\d+\.\d+)"")),"""")
"),5560)</f>
        <v>5560</v>
      </c>
      <c r="H105" s="3" t="n">
        <f aca="false">IFERROR(__xludf.dummyfunction("if($T105&lt;&gt;"""",VALUE(REGEXEXTRACT($T105, H$1&amp;""[\w &amp;]*, (\d+\.\d+)"")),"""")"),5760)</f>
        <v>5760</v>
      </c>
      <c r="I105" s="3" t="n">
        <f aca="false">IFERROR(__xludf.dummyfunction("if($T105&lt;&gt;"""",VALUE(REGEXEXTRACT(SUBSTITUTE ($T105,I$1&amp;"" CE"",""""), I$1&amp;""[\w &amp;]*, (\d+\.\d+)"")),"""")
"),5550)</f>
        <v>5550</v>
      </c>
      <c r="J105" s="3" t="n">
        <f aca="false">IFERROR(__xludf.dummyfunction("if($T105&lt;&gt;"""",VALUE(REGEXEXTRACT($T105, J$1&amp;""[\w &amp;]*, (\d+\.\d+)"")),"""")
"),5515)</f>
        <v>5515</v>
      </c>
      <c r="K105" s="3" t="n">
        <f aca="false">IFERROR(__xludf.dummyfunction("if($T105&lt;&gt;"""",VALUE(REGEXEXTRACT($T105, K$1&amp;""[\w &amp;]*, (\d+\.\d+)"")),"""")
"),5490)</f>
        <v>5490</v>
      </c>
      <c r="L105" s="3" t="n">
        <f aca="false">IFERROR(__xludf.dummyfunction("if($T105&lt;&gt;"""",VALUE(REGEXEXTRACT(SUBSTITUTE ($T105,L$1&amp;"" CE"",""""), L$1&amp;""[\w &amp;]*, (\d+\.\d+)"")),"""")
"),5550)</f>
        <v>5550</v>
      </c>
      <c r="M105" s="3" t="n">
        <f aca="false">IFERROR(__xludf.dummyfunction("if($T105&lt;&gt;"""",VALUE(REGEXEXTRACT($T105, M$1&amp;""[\w &amp;]*, (\d+\.\d+)"")),"""")
"),5540)</f>
        <v>5540</v>
      </c>
      <c r="N105" s="3" t="n">
        <f aca="false">IFERROR(__xludf.dummyfunction("if($T105&lt;&gt;"""",VALUE(REGEXEXTRACT(SUBSTITUTE ($T105,N$1&amp;"" CE"",""""), N$1&amp;""[\w &amp;]*, (\d+\.\d+)"")),"""")
"),5500)</f>
        <v>5500</v>
      </c>
      <c r="O105" s="3" t="n">
        <f aca="false">IFERROR(__xludf.dummyfunction("if($T105&lt;&gt;"""",VALUE(REGEXEXTRACT($T105, O$1&amp;""[\w &amp;]*, (\d+\.\d+)"")),"""")
"),5500)</f>
        <v>5500</v>
      </c>
      <c r="P105" s="2" t="n">
        <f aca="false">IFERROR(__xludf.dummyfunction("if($T105&lt;&gt;"""",VALUE(REGEXEXTRACT($T105, P$1&amp;""[\w &amp;]*, (\d+\.\d+)"")),"""")
"),5470.19)</f>
        <v>5470.19</v>
      </c>
      <c r="Q105" s="2" t="n">
        <f aca="false">IFERROR(__xludf.dummyfunction("if($T105&lt;&gt;"""",VALUE(REGEXEXTRACT($T105, Q$1&amp;""[\w &amp;]*, (\d+\.\d+)"")),"""")
"),5449.53)</f>
        <v>5449.53</v>
      </c>
      <c r="R105" s="2" t="n">
        <f aca="false">IFERROR(__xludf.dummyfunction("if($T105&lt;&gt;"""",VALUE(REGEXEXTRACT($T105, SUBSTITUTE(R$1, ""+"", ""\+"")&amp;""[\w &amp;]*, (\d+\.\d+)"")),"""")"),5569.95)</f>
        <v>5569.95</v>
      </c>
      <c r="S105" s="2" t="n">
        <f aca="false">IFERROR(__xludf.dummyfunction("if($T105&lt;&gt;"""",VALUE(REGEXEXTRACT($T105, SUBSTITUTE(S$1, ""+"", ""\+"")&amp;""[\w &amp;]*, (\d+\.\d+)"")),"""")"),5590.61)</f>
        <v>5590.61</v>
      </c>
      <c r="T105" s="5" t="s">
        <v>118</v>
      </c>
      <c r="U105" s="5"/>
    </row>
    <row r="106" customFormat="false" ht="15.75" hidden="false" customHeight="false" outlineLevel="0" collapsed="false">
      <c r="A106" s="4" t="n">
        <f aca="false">IFERROR(__xludf.dummyfunction("""COMPUTED_VALUE"""),45540.6666666667)</f>
        <v>45540.6666666667</v>
      </c>
      <c r="B106" s="2" t="n">
        <f aca="false">IFERROR(__xludf.dummyfunction("""COMPUTED_VALUE"""),5520.08)</f>
        <v>5520.08</v>
      </c>
      <c r="C106" s="2" t="n">
        <f aca="false">IFERROR(__xludf.dummyfunction("""COMPUTED_VALUE"""),5546.3)</f>
        <v>5546.3</v>
      </c>
      <c r="D106" s="2" t="n">
        <f aca="false">IFERROR(__xludf.dummyfunction("""COMPUTED_VALUE"""),5480.54)</f>
        <v>5480.54</v>
      </c>
      <c r="E106" s="2" t="n">
        <f aca="false">IFERROR(__xludf.dummyfunction("""COMPUTED_VALUE"""),5503.41)</f>
        <v>5503.41</v>
      </c>
      <c r="F106" s="3" t="n">
        <f aca="false">IFERROR(__xludf.dummyfunction("if($T106&lt;&gt;"""",VALUE(REGEXEXTRACT(SUBSTITUTE ($T106,F$1&amp;"" CE"",""""), F$1&amp;""[\w &amp;]*, (\d+\.\d+)"")),"""")
"),5550)</f>
        <v>5550</v>
      </c>
      <c r="G106" s="3" t="n">
        <f aca="false">IFERROR(__xludf.dummyfunction("if($T106&lt;&gt;"""",VALUE(REGEXEXTRACT($T106, G$1&amp;""[\w &amp;]*, (\d+\.\d+)"")),"""")
"),5555)</f>
        <v>5555</v>
      </c>
      <c r="H106" s="3" t="n">
        <f aca="false">IFERROR(__xludf.dummyfunction("if($T106&lt;&gt;"""",VALUE(REGEXEXTRACT($T106, H$1&amp;""[\w &amp;]*, (\d+\.\d+)"")),"""")"),5760)</f>
        <v>5760</v>
      </c>
      <c r="I106" s="3" t="n">
        <f aca="false">IFERROR(__xludf.dummyfunction("if($T106&lt;&gt;"""",VALUE(REGEXEXTRACT(SUBSTITUTE ($T106,I$1&amp;"" CE"",""""), I$1&amp;""[\w &amp;]*, (\d+\.\d+)"")),"""")
"),5550)</f>
        <v>5550</v>
      </c>
      <c r="J106" s="3" t="n">
        <f aca="false">IFERROR(__xludf.dummyfunction("if($T106&lt;&gt;"""",VALUE(REGEXEXTRACT($T106, J$1&amp;""[\w &amp;]*, (\d+\.\d+)"")),"""")
"),5450)</f>
        <v>5450</v>
      </c>
      <c r="K106" s="3" t="n">
        <f aca="false">IFERROR(__xludf.dummyfunction("if($T106&lt;&gt;"""",VALUE(REGEXEXTRACT($T106, K$1&amp;""[\w &amp;]*, (\d+\.\d+)"")),"""")
"),5390)</f>
        <v>5390</v>
      </c>
      <c r="L106" s="3" t="n">
        <f aca="false">IFERROR(__xludf.dummyfunction("if($T106&lt;&gt;"""",VALUE(REGEXEXTRACT(SUBSTITUTE ($T106,L$1&amp;"" CE"",""""), L$1&amp;""[\w &amp;]*, (\d+\.\d+)"")),"""")
"),5550)</f>
        <v>5550</v>
      </c>
      <c r="M106" s="3" t="n">
        <f aca="false">IFERROR(__xludf.dummyfunction("if($T106&lt;&gt;"""",VALUE(REGEXEXTRACT($T106, M$1&amp;""[\w &amp;]*, (\d+\.\d+)"")),"""")
"),5515)</f>
        <v>5515</v>
      </c>
      <c r="N106" s="3" t="n">
        <f aca="false">IFERROR(__xludf.dummyfunction("if($T106&lt;&gt;"""",VALUE(REGEXEXTRACT(SUBSTITUTE ($T106,N$1&amp;"" CE"",""""), N$1&amp;""[\w &amp;]*, (\d+\.\d+)"")),"""")
"),5500)</f>
        <v>5500</v>
      </c>
      <c r="O106" s="3" t="n">
        <f aca="false">IFERROR(__xludf.dummyfunction("if($T106&lt;&gt;"""",VALUE(REGEXEXTRACT($T106, O$1&amp;""[\w &amp;]*, (\d+\.\d+)"")),"""")
"),5450)</f>
        <v>5450</v>
      </c>
      <c r="P106" s="2" t="n">
        <f aca="false">IFERROR(__xludf.dummyfunction("if($T106&lt;&gt;"""",VALUE(REGEXEXTRACT($T106, P$1&amp;""[\w &amp;]*, (\d+\.\d+)"")),"""")
"),5452.28)</f>
        <v>5452.28</v>
      </c>
      <c r="Q106" s="2" t="n">
        <f aca="false">IFERROR(__xludf.dummyfunction("if($T106&lt;&gt;"""",VALUE(REGEXEXTRACT($T106, Q$1&amp;""[\w &amp;]*, (\d+\.\d+)"")),"""")
"),5401.14)</f>
        <v>5401.14</v>
      </c>
      <c r="R106" s="2" t="n">
        <f aca="false">IFERROR(__xludf.dummyfunction("if($T106&lt;&gt;"""",VALUE(REGEXEXTRACT($T106, SUBSTITUTE(R$1, ""+"", ""\+"")&amp;""[\w &amp;]*, (\d+\.\d+)"")),"""")"),5554.54)</f>
        <v>5554.54</v>
      </c>
      <c r="S106" s="2" t="n">
        <f aca="false">IFERROR(__xludf.dummyfunction("if($T106&lt;&gt;"""",VALUE(REGEXEXTRACT($T106, SUBSTITUTE(S$1, ""+"", ""\+"")&amp;""[\w &amp;]*, (\d+\.\d+)"")),"""")"),5605.68)</f>
        <v>5605.68</v>
      </c>
      <c r="T106" s="5" t="s">
        <v>119</v>
      </c>
      <c r="U106" s="5"/>
    </row>
    <row r="107" customFormat="false" ht="15.75" hidden="false" customHeight="false" outlineLevel="0" collapsed="false">
      <c r="A107" s="4" t="n">
        <f aca="false">IFERROR(__xludf.dummyfunction("""COMPUTED_VALUE"""),45541.6666666667)</f>
        <v>45541.6666666667</v>
      </c>
      <c r="B107" s="2" t="n">
        <f aca="false">IFERROR(__xludf.dummyfunction("""COMPUTED_VALUE"""),5507.33)</f>
        <v>5507.33</v>
      </c>
      <c r="C107" s="2" t="n">
        <f aca="false">IFERROR(__xludf.dummyfunction("""COMPUTED_VALUE"""),5522.47)</f>
        <v>5522.47</v>
      </c>
      <c r="D107" s="2" t="n">
        <f aca="false">IFERROR(__xludf.dummyfunction("""COMPUTED_VALUE"""),5402.62)</f>
        <v>5402.62</v>
      </c>
      <c r="E107" s="2" t="n">
        <f aca="false">IFERROR(__xludf.dummyfunction("""COMPUTED_VALUE"""),5408.42)</f>
        <v>5408.42</v>
      </c>
      <c r="F107" s="3" t="n">
        <f aca="false">IFERROR(__xludf.dummyfunction("if($T107&lt;&gt;"""",VALUE(REGEXEXTRACT(SUBSTITUTE ($T107,F$1&amp;"" CE"",""""), F$1&amp;""[\w &amp;]*, (\d+\.\d+)"")),"""")
"),5550)</f>
        <v>5550</v>
      </c>
      <c r="G107" s="3" t="n">
        <f aca="false">IFERROR(__xludf.dummyfunction("if($T107&lt;&gt;"""",VALUE(REGEXEXTRACT($T107, G$1&amp;""[\w &amp;]*, (\d+\.\d+)"")),"""")
"),5465)</f>
        <v>5465</v>
      </c>
      <c r="H107" s="3" t="n">
        <f aca="false">IFERROR(__xludf.dummyfunction("if($T107&lt;&gt;"""",VALUE(REGEXEXTRACT($T107, H$1&amp;""[\w &amp;]*, (\d+\.\d+)"")),"""")"),5775)</f>
        <v>5775</v>
      </c>
      <c r="I107" s="3" t="n">
        <f aca="false">IFERROR(__xludf.dummyfunction("if($T107&lt;&gt;"""",VALUE(REGEXEXTRACT(SUBSTITUTE ($T107,I$1&amp;"" CE"",""""), I$1&amp;""[\w &amp;]*, (\d+\.\d+)"")),"""")
"),5550)</f>
        <v>5550</v>
      </c>
      <c r="J107" s="3" t="n">
        <f aca="false">IFERROR(__xludf.dummyfunction("if($T107&lt;&gt;"""",VALUE(REGEXEXTRACT($T107, J$1&amp;""[\w &amp;]*, (\d+\.\d+)"")),"""")
"),5500)</f>
        <v>5500</v>
      </c>
      <c r="K107" s="3" t="n">
        <f aca="false">IFERROR(__xludf.dummyfunction("if($T107&lt;&gt;"""",VALUE(REGEXEXTRACT($T107, K$1&amp;""[\w &amp;]*, (\d+\.\d+)"")),"""")
"),5390)</f>
        <v>5390</v>
      </c>
      <c r="L107" s="3" t="n">
        <f aca="false">IFERROR(__xludf.dummyfunction("if($T107&lt;&gt;"""",VALUE(REGEXEXTRACT(SUBSTITUTE ($T107,L$1&amp;"" CE"",""""), L$1&amp;""[\w &amp;]*, (\d+\.\d+)"")),"""")
"),5515)</f>
        <v>5515</v>
      </c>
      <c r="M107" s="3" t="n">
        <f aca="false">IFERROR(__xludf.dummyfunction("if($T107&lt;&gt;"""",VALUE(REGEXEXTRACT($T107, M$1&amp;""[\w &amp;]*, (\d+\.\d+)"")),"""")
"),5515)</f>
        <v>5515</v>
      </c>
      <c r="N107" s="3" t="n">
        <f aca="false">IFERROR(__xludf.dummyfunction("if($T107&lt;&gt;"""",VALUE(REGEXEXTRACT(SUBSTITUTE ($T107,N$1&amp;"" CE"",""""), N$1&amp;""[\w &amp;]*, (\d+\.\d+)"")),"""")
"),5500)</f>
        <v>5500</v>
      </c>
      <c r="O107" s="3" t="n">
        <f aca="false">IFERROR(__xludf.dummyfunction("if($T107&lt;&gt;"""",VALUE(REGEXEXTRACT($T107, O$1&amp;""[\w &amp;]*, (\d+\.\d+)"")),"""")
"),5500)</f>
        <v>5500</v>
      </c>
      <c r="P107" s="2" t="n">
        <f aca="false">IFERROR(__xludf.dummyfunction("if($T107&lt;&gt;"""",VALUE(REGEXEXTRACT($T107, P$1&amp;""[\w &amp;]*, (\d+\.\d+)"")),"""")
"),5352.8)</f>
        <v>5352.8</v>
      </c>
      <c r="Q107" s="2" t="n">
        <f aca="false">IFERROR(__xludf.dummyfunction("if($T107&lt;&gt;"""",VALUE(REGEXEXTRACT($T107, Q$1&amp;""[\w &amp;]*, (\d+\.\d+)"")),"""")
"),5329.76)</f>
        <v>5329.76</v>
      </c>
      <c r="R107" s="2" t="n">
        <f aca="false">IFERROR(__xludf.dummyfunction("if($T107&lt;&gt;"""",VALUE(REGEXEXTRACT($T107, SUBSTITUTE(R$1, ""+"", ""\+"")&amp;""[\w &amp;]*, (\d+\.\d+)"")),"""")"),5464.04)</f>
        <v>5464.04</v>
      </c>
      <c r="S107" s="2" t="n">
        <f aca="false">IFERROR(__xludf.dummyfunction("if($T107&lt;&gt;"""",VALUE(REGEXEXTRACT($T107, SUBSTITUTE(S$1, ""+"", ""\+"")&amp;""[\w &amp;]*, (\d+\.\d+)"")),"""")"),5487.08)</f>
        <v>5487.08</v>
      </c>
      <c r="T107" s="5" t="s">
        <v>120</v>
      </c>
      <c r="U107" s="5"/>
    </row>
    <row r="108" customFormat="false" ht="15.75" hidden="false" customHeight="false" outlineLevel="0" collapsed="false">
      <c r="A108" s="4" t="n">
        <f aca="false">IFERROR(__xludf.dummyfunction("""COMPUTED_VALUE"""),45544.6666666667)</f>
        <v>45544.6666666667</v>
      </c>
      <c r="B108" s="2" t="n">
        <f aca="false">IFERROR(__xludf.dummyfunction("""COMPUTED_VALUE"""),5442.07)</f>
        <v>5442.07</v>
      </c>
      <c r="C108" s="2" t="n">
        <f aca="false">IFERROR(__xludf.dummyfunction("""COMPUTED_VALUE"""),5484.2)</f>
        <v>5484.2</v>
      </c>
      <c r="D108" s="2" t="n">
        <f aca="false">IFERROR(__xludf.dummyfunction("""COMPUTED_VALUE"""),5434.49)</f>
        <v>5434.49</v>
      </c>
      <c r="E108" s="2" t="n">
        <f aca="false">IFERROR(__xludf.dummyfunction("""COMPUTED_VALUE"""),5471.05)</f>
        <v>5471.05</v>
      </c>
      <c r="F108" s="3" t="n">
        <f aca="false">IFERROR(__xludf.dummyfunction("if($T108&lt;&gt;"""",VALUE(REGEXEXTRACT(SUBSTITUTE ($T108,F$1&amp;"" CE"",""""), F$1&amp;""[\w &amp;]*, (\d+\.\d+)"")),"""")
"),5550)</f>
        <v>5550</v>
      </c>
      <c r="G108" s="3" t="n">
        <f aca="false">IFERROR(__xludf.dummyfunction("if($T108&lt;&gt;"""",VALUE(REGEXEXTRACT($T108, G$1&amp;""[\w &amp;]*, (\d+\.\d+)"")),"""")
"),5505)</f>
        <v>5505</v>
      </c>
      <c r="H108" s="3" t="n">
        <f aca="false">IFERROR(__xludf.dummyfunction("if($T108&lt;&gt;"""",VALUE(REGEXEXTRACT($T108, H$1&amp;""[\w &amp;]*, (\d+\.\d+)"")),"""")"),5520)</f>
        <v>5520</v>
      </c>
      <c r="I108" s="3" t="n">
        <f aca="false">IFERROR(__xludf.dummyfunction("if($T108&lt;&gt;"""",VALUE(REGEXEXTRACT(SUBSTITUTE ($T108,I$1&amp;"" CE"",""""), I$1&amp;""[\w &amp;]*, (\d+\.\d+)"")),"""")
"),5550)</f>
        <v>5550</v>
      </c>
      <c r="J108" s="3" t="n">
        <f aca="false">IFERROR(__xludf.dummyfunction("if($T108&lt;&gt;"""",VALUE(REGEXEXTRACT($T108, J$1&amp;""[\w &amp;]*, (\d+\.\d+)"")),"""")
"),5430)</f>
        <v>5430</v>
      </c>
      <c r="K108" s="3" t="n">
        <f aca="false">IFERROR(__xludf.dummyfunction("if($T108&lt;&gt;"""",VALUE(REGEXEXTRACT($T108, K$1&amp;""[\w &amp;]*, (\d+\.\d+)"")),"""")
"),5390)</f>
        <v>5390</v>
      </c>
      <c r="L108" s="3" t="n">
        <f aca="false">IFERROR(__xludf.dummyfunction("if($T108&lt;&gt;"""",VALUE(REGEXEXTRACT(SUBSTITUTE ($T108,L$1&amp;"" CE"",""""), L$1&amp;""[\w &amp;]*, (\d+\.\d+)"")),"""")
"),5500)</f>
        <v>5500</v>
      </c>
      <c r="M108" s="3" t="n">
        <f aca="false">IFERROR(__xludf.dummyfunction("if($T108&lt;&gt;"""",VALUE(REGEXEXTRACT($T108, M$1&amp;""[\w &amp;]*, (\d+\.\d+)"")),"""")
"),5465)</f>
        <v>5465</v>
      </c>
      <c r="N108" s="3" t="n">
        <f aca="false">IFERROR(__xludf.dummyfunction("if($T108&lt;&gt;"""",VALUE(REGEXEXTRACT(SUBSTITUTE ($T108,N$1&amp;"" CE"",""""), N$1&amp;""[\w &amp;]*, (\d+\.\d+)"")),"""")
"),5500)</f>
        <v>5500</v>
      </c>
      <c r="O108" s="3" t="n">
        <f aca="false">IFERROR(__xludf.dummyfunction("if($T108&lt;&gt;"""",VALUE(REGEXEXTRACT($T108, O$1&amp;""[\w &amp;]*, (\d+\.\d+)"")),"""")
"),5505)</f>
        <v>5505</v>
      </c>
      <c r="P108" s="2" t="n">
        <f aca="false">IFERROR(__xludf.dummyfunction("if($T108&lt;&gt;"""",VALUE(REGEXEXTRACT($T108, P$1&amp;""[\w &amp;]*, (\d+\.\d+)"")),"""")
"),5420.64)</f>
        <v>5420.64</v>
      </c>
      <c r="Q108" s="2" t="n">
        <f aca="false">IFERROR(__xludf.dummyfunction("if($T108&lt;&gt;"""",VALUE(REGEXEXTRACT($T108, Q$1&amp;""[\w &amp;]*, (\d+\.\d+)"")),"""")
"),5399.76)</f>
        <v>5399.76</v>
      </c>
      <c r="R108" s="2" t="n">
        <f aca="false">IFERROR(__xludf.dummyfunction("if($T108&lt;&gt;"""",VALUE(REGEXEXTRACT($T108, SUBSTITUTE(R$1, ""+"", ""\+"")&amp;""[\w &amp;]*, (\d+\.\d+)"")),"""")"),5521.46)</f>
        <v>5521.46</v>
      </c>
      <c r="S108" s="2" t="n">
        <f aca="false">IFERROR(__xludf.dummyfunction("if($T108&lt;&gt;"""",VALUE(REGEXEXTRACT($T108, SUBSTITUTE(S$1, ""+"", ""\+"")&amp;""[\w &amp;]*, (\d+\.\d+)"")),"""")"),5542.34)</f>
        <v>5542.34</v>
      </c>
      <c r="T108" s="5" t="s">
        <v>121</v>
      </c>
      <c r="U108" s="5"/>
    </row>
    <row r="109" customFormat="false" ht="15.75" hidden="false" customHeight="false" outlineLevel="0" collapsed="false">
      <c r="A109" s="4" t="n">
        <f aca="false">IFERROR(__xludf.dummyfunction("""COMPUTED_VALUE"""),45545.6666666667)</f>
        <v>45545.6666666667</v>
      </c>
      <c r="B109" s="2" t="n">
        <f aca="false">IFERROR(__xludf.dummyfunction("""COMPUTED_VALUE"""),5490.51)</f>
        <v>5490.51</v>
      </c>
      <c r="C109" s="2" t="n">
        <f aca="false">IFERROR(__xludf.dummyfunction("""COMPUTED_VALUE"""),5497.91)</f>
        <v>5497.91</v>
      </c>
      <c r="D109" s="2" t="n">
        <f aca="false">IFERROR(__xludf.dummyfunction("""COMPUTED_VALUE"""),5441.72)</f>
        <v>5441.72</v>
      </c>
      <c r="E109" s="2" t="n">
        <f aca="false">IFERROR(__xludf.dummyfunction("""COMPUTED_VALUE"""),5495.52)</f>
        <v>5495.52</v>
      </c>
      <c r="F109" s="3" t="n">
        <f aca="false">IFERROR(__xludf.dummyfunction("if($T109&lt;&gt;"""",VALUE(REGEXEXTRACT(SUBSTITUTE ($T109,F$1&amp;"" CE"",""""), F$1&amp;""[\w &amp;]*, (\d+\.\d+)"")),"""")
"),5550)</f>
        <v>5550</v>
      </c>
      <c r="G109" s="3" t="n">
        <f aca="false">IFERROR(__xludf.dummyfunction("if($T109&lt;&gt;"""",VALUE(REGEXEXTRACT($T109, G$1&amp;""[\w &amp;]*, (\d+\.\d+)"")),"""")
"),5540)</f>
        <v>5540</v>
      </c>
      <c r="H109" s="3" t="n">
        <f aca="false">IFERROR(__xludf.dummyfunction("if($T109&lt;&gt;"""",VALUE(REGEXEXTRACT($T109, H$1&amp;""[\w &amp;]*, (\d+\.\d+)"")),"""")"),5775)</f>
        <v>5775</v>
      </c>
      <c r="I109" s="3" t="n">
        <f aca="false">IFERROR(__xludf.dummyfunction("if($T109&lt;&gt;"""",VALUE(REGEXEXTRACT(SUBSTITUTE ($T109,I$1&amp;"" CE"",""""), I$1&amp;""[\w &amp;]*, (\d+\.\d+)"")),"""")
"),5550)</f>
        <v>5550</v>
      </c>
      <c r="J109" s="3" t="n">
        <f aca="false">IFERROR(__xludf.dummyfunction("if($T109&lt;&gt;"""",VALUE(REGEXEXTRACT($T109, J$1&amp;""[\w &amp;]*, (\d+\.\d+)"")),"""")
"),5450)</f>
        <v>5450</v>
      </c>
      <c r="K109" s="3" t="n">
        <f aca="false">IFERROR(__xludf.dummyfunction("if($T109&lt;&gt;"""",VALUE(REGEXEXTRACT($T109, K$1&amp;""[\w &amp;]*, (\d+\.\d+)"")),"""")
"),5390)</f>
        <v>5390</v>
      </c>
      <c r="L109" s="3" t="n">
        <f aca="false">IFERROR(__xludf.dummyfunction("if($T109&lt;&gt;"""",VALUE(REGEXEXTRACT(SUBSTITUTE ($T109,L$1&amp;"" CE"",""""), L$1&amp;""[\w &amp;]*, (\d+\.\d+)"")),"""")
"),5500)</f>
        <v>5500</v>
      </c>
      <c r="M109" s="3" t="n">
        <f aca="false">IFERROR(__xludf.dummyfunction("if($T109&lt;&gt;"""",VALUE(REGEXEXTRACT($T109, M$1&amp;""[\w &amp;]*, (\d+\.\d+)"")),"""")
"),5475)</f>
        <v>5475</v>
      </c>
      <c r="N109" s="3" t="n">
        <f aca="false">IFERROR(__xludf.dummyfunction("if($T109&lt;&gt;"""",VALUE(REGEXEXTRACT(SUBSTITUTE ($T109,N$1&amp;"" CE"",""""), N$1&amp;""[\w &amp;]*, (\d+\.\d+)"")),"""")
"),5500)</f>
        <v>5500</v>
      </c>
      <c r="O109" s="3" t="n">
        <f aca="false">IFERROR(__xludf.dummyfunction("if($T109&lt;&gt;"""",VALUE(REGEXEXTRACT($T109, O$1&amp;""[\w &amp;]*, (\d+\.\d+)"")),"""")
"),5550)</f>
        <v>5550</v>
      </c>
      <c r="P109" s="2" t="n">
        <f aca="false">IFERROR(__xludf.dummyfunction("if($T109&lt;&gt;"""",VALUE(REGEXEXTRACT($T109, P$1&amp;""[\w &amp;]*, (\d+\.\d+)"")),"""")
"),5445.87)</f>
        <v>5445.87</v>
      </c>
      <c r="Q109" s="2" t="n">
        <f aca="false">IFERROR(__xludf.dummyfunction("if($T109&lt;&gt;"""",VALUE(REGEXEXTRACT($T109, Q$1&amp;""[\w &amp;]*, (\d+\.\d+)"")),"""")
"),5425.3)</f>
        <v>5425.3</v>
      </c>
      <c r="R109" s="2" t="n">
        <f aca="false">IFERROR(__xludf.dummyfunction("if($T109&lt;&gt;"""",VALUE(REGEXEXTRACT($T109, SUBSTITUTE(R$1, ""+"", ""\+"")&amp;""[\w &amp;]*, (\d+\.\d+)"")),"""")"),5545.17)</f>
        <v>5545.17</v>
      </c>
      <c r="S109" s="2" t="n">
        <f aca="false">IFERROR(__xludf.dummyfunction("if($T109&lt;&gt;"""",VALUE(REGEXEXTRACT($T109, SUBSTITUTE(S$1, ""+"", ""\+"")&amp;""[\w &amp;]*, (\d+\.\d+)"")),"""")"),5565.74)</f>
        <v>5565.74</v>
      </c>
      <c r="T109" s="5" t="s">
        <v>122</v>
      </c>
      <c r="U109" s="5"/>
    </row>
    <row r="110" customFormat="false" ht="15.75" hidden="false" customHeight="false" outlineLevel="0" collapsed="false">
      <c r="A110" s="4" t="n">
        <f aca="false">IFERROR(__xludf.dummyfunction("""COMPUTED_VALUE"""),45546.6666666667)</f>
        <v>45546.6666666667</v>
      </c>
      <c r="B110" s="2" t="n">
        <f aca="false">IFERROR(__xludf.dummyfunction("""COMPUTED_VALUE"""),5496.42)</f>
        <v>5496.42</v>
      </c>
      <c r="C110" s="2" t="n">
        <f aca="false">IFERROR(__xludf.dummyfunction("""COMPUTED_VALUE"""),5560.41)</f>
        <v>5560.41</v>
      </c>
      <c r="D110" s="2" t="n">
        <f aca="false">IFERROR(__xludf.dummyfunction("""COMPUTED_VALUE"""),5406.96)</f>
        <v>5406.96</v>
      </c>
      <c r="E110" s="2" t="n">
        <f aca="false">IFERROR(__xludf.dummyfunction("""COMPUTED_VALUE"""),5554.13)</f>
        <v>5554.13</v>
      </c>
      <c r="F110" s="3" t="n">
        <f aca="false">IFERROR(__xludf.dummyfunction("if($T110&lt;&gt;"""",VALUE(REGEXEXTRACT(SUBSTITUTE ($T110,F$1&amp;"" CE"",""""), F$1&amp;""[\w &amp;]*, (\d+\.\d+)"")),"""")
"),5550)</f>
        <v>5550</v>
      </c>
      <c r="G110" s="3" t="n">
        <f aca="false">IFERROR(__xludf.dummyfunction("if($T110&lt;&gt;"""",VALUE(REGEXEXTRACT($T110, G$1&amp;""[\w &amp;]*, (\d+\.\d+)"")),"""")
"),5575)</f>
        <v>5575</v>
      </c>
      <c r="H110" s="3" t="n">
        <f aca="false">IFERROR(__xludf.dummyfunction("if($T110&lt;&gt;"""",VALUE(REGEXEXTRACT($T110, H$1&amp;""[\w &amp;]*, (\d+\.\d+)"")),"""")"),5775)</f>
        <v>5775</v>
      </c>
      <c r="I110" s="3" t="n">
        <f aca="false">IFERROR(__xludf.dummyfunction("if($T110&lt;&gt;"""",VALUE(REGEXEXTRACT(SUBSTITUTE ($T110,I$1&amp;"" CE"",""""), I$1&amp;""[\w &amp;]*, (\d+\.\d+)"")),"""")
"),5550)</f>
        <v>5550</v>
      </c>
      <c r="J110" s="3" t="n">
        <f aca="false">IFERROR(__xludf.dummyfunction("if($T110&lt;&gt;"""",VALUE(REGEXEXTRACT($T110, J$1&amp;""[\w &amp;]*, (\d+\.\d+)"")),"""")
"),5510)</f>
        <v>5510</v>
      </c>
      <c r="K110" s="3" t="n">
        <f aca="false">IFERROR(__xludf.dummyfunction("if($T110&lt;&gt;"""",VALUE(REGEXEXTRACT($T110, K$1&amp;""[\w &amp;]*, (\d+\.\d+)"")),"""")
"),5390)</f>
        <v>5390</v>
      </c>
      <c r="L110" s="3" t="n">
        <f aca="false">IFERROR(__xludf.dummyfunction("if($T110&lt;&gt;"""",VALUE(REGEXEXTRACT(SUBSTITUTE ($T110,L$1&amp;"" CE"",""""), L$1&amp;""[\w &amp;]*, (\d+\.\d+)"")),"""")
"),5515)</f>
        <v>5515</v>
      </c>
      <c r="M110" s="3" t="n">
        <f aca="false">IFERROR(__xludf.dummyfunction("if($T110&lt;&gt;"""",VALUE(REGEXEXTRACT($T110, M$1&amp;""[\w &amp;]*, (\d+\.\d+)"")),"""")
"),5510)</f>
        <v>5510</v>
      </c>
      <c r="N110" s="3" t="n">
        <f aca="false">IFERROR(__xludf.dummyfunction("if($T110&lt;&gt;"""",VALUE(REGEXEXTRACT(SUBSTITUTE ($T110,N$1&amp;"" CE"",""""), N$1&amp;""[\w &amp;]*, (\d+\.\d+)"")),"""")
"),5550)</f>
        <v>5550</v>
      </c>
      <c r="O110" s="3" t="n">
        <f aca="false">IFERROR(__xludf.dummyfunction("if($T110&lt;&gt;"""",VALUE(REGEXEXTRACT($T110, O$1&amp;""[\w &amp;]*, (\d+\.\d+)"")),"""")
"),5575)</f>
        <v>5575</v>
      </c>
      <c r="P110" s="2" t="n">
        <f aca="false">IFERROR(__xludf.dummyfunction("if($T110&lt;&gt;"""",VALUE(REGEXEXTRACT($T110, P$1&amp;""[\w &amp;]*, (\d+\.\d+)"")),"""")
"),5508.45)</f>
        <v>5508.45</v>
      </c>
      <c r="Q110" s="2" t="n">
        <f aca="false">IFERROR(__xludf.dummyfunction("if($T110&lt;&gt;"""",VALUE(REGEXEXTRACT($T110, Q$1&amp;""[\w &amp;]*, (\d+\.\d+)"")),"""")
"),5489.53)</f>
        <v>5489.53</v>
      </c>
      <c r="R110" s="2" t="n">
        <f aca="false">IFERROR(__xludf.dummyfunction("if($T110&lt;&gt;"""",VALUE(REGEXEXTRACT($T110, SUBSTITUTE(R$1, ""+"", ""\+"")&amp;""[\w &amp;]*, (\d+\.\d+)"")),"""")"),5599.81)</f>
        <v>5599.81</v>
      </c>
      <c r="S110" s="2" t="n">
        <f aca="false">IFERROR(__xludf.dummyfunction("if($T110&lt;&gt;"""",VALUE(REGEXEXTRACT($T110, SUBSTITUTE(S$1, ""+"", ""\+"")&amp;""[\w &amp;]*, (\d+\.\d+)"")),"""")"),5618.73)</f>
        <v>5618.73</v>
      </c>
      <c r="T110" s="5" t="s">
        <v>123</v>
      </c>
      <c r="U110" s="5"/>
    </row>
    <row r="111" customFormat="false" ht="15.75" hidden="false" customHeight="false" outlineLevel="0" collapsed="false">
      <c r="A111" s="4" t="n">
        <f aca="false">IFERROR(__xludf.dummyfunction("""COMPUTED_VALUE"""),45547.6666666667)</f>
        <v>45547.6666666667</v>
      </c>
      <c r="B111" s="2" t="n">
        <f aca="false">IFERROR(__xludf.dummyfunction("""COMPUTED_VALUE"""),5557.48)</f>
        <v>5557.48</v>
      </c>
      <c r="C111" s="2" t="n">
        <f aca="false">IFERROR(__xludf.dummyfunction("""COMPUTED_VALUE"""),5600.71)</f>
        <v>5600.71</v>
      </c>
      <c r="D111" s="2" t="n">
        <f aca="false">IFERROR(__xludf.dummyfunction("""COMPUTED_VALUE"""),5535.5)</f>
        <v>5535.5</v>
      </c>
      <c r="E111" s="2" t="n">
        <f aca="false">IFERROR(__xludf.dummyfunction("""COMPUTED_VALUE"""),5595.76)</f>
        <v>5595.76</v>
      </c>
      <c r="F111" s="3" t="n">
        <f aca="false">IFERROR(__xludf.dummyfunction("if($T111&lt;&gt;"""",VALUE(REGEXEXTRACT(SUBSTITUTE ($T111,F$1&amp;"" CE"",""""), F$1&amp;""[\w &amp;]*, (\d+\.\d+)"")),"""")
"),5550)</f>
        <v>5550</v>
      </c>
      <c r="G111" s="3" t="n">
        <f aca="false">IFERROR(__xludf.dummyfunction("if($T111&lt;&gt;"""",VALUE(REGEXEXTRACT($T111, G$1&amp;""[\w &amp;]*, (\d+\.\d+)"")),"""")
"),5650)</f>
        <v>5650</v>
      </c>
      <c r="H111" s="3" t="n">
        <f aca="false">IFERROR(__xludf.dummyfunction("if($T111&lt;&gt;"""",VALUE(REGEXEXTRACT($T111, H$1&amp;""[\w &amp;]*, (\d+\.\d+)"")),"""")"),5760)</f>
        <v>5760</v>
      </c>
      <c r="I111" s="3" t="n">
        <f aca="false">IFERROR(__xludf.dummyfunction("if($T111&lt;&gt;"""",VALUE(REGEXEXTRACT(SUBSTITUTE ($T111,I$1&amp;"" CE"",""""), I$1&amp;""[\w &amp;]*, (\d+\.\d+)"")),"""")
"),5550)</f>
        <v>5550</v>
      </c>
      <c r="J111" s="3" t="n">
        <f aca="false">IFERROR(__xludf.dummyfunction("if($T111&lt;&gt;"""",VALUE(REGEXEXTRACT($T111, J$1&amp;""[\w &amp;]*, (\d+\.\d+)"")),"""")
"),5555)</f>
        <v>5555</v>
      </c>
      <c r="K111" s="3" t="n">
        <f aca="false">IFERROR(__xludf.dummyfunction("if($T111&lt;&gt;"""",VALUE(REGEXEXTRACT($T111, K$1&amp;""[\w &amp;]*, (\d+\.\d+)"")),"""")
"),5475)</f>
        <v>5475</v>
      </c>
      <c r="L111" s="3" t="n">
        <f aca="false">IFERROR(__xludf.dummyfunction("if($T111&lt;&gt;"""",VALUE(REGEXEXTRACT(SUBSTITUTE ($T111,L$1&amp;"" CE"",""""), L$1&amp;""[\w &amp;]*, (\d+\.\d+)"")),"""")
"),5515)</f>
        <v>5515</v>
      </c>
      <c r="M111" s="3" t="n">
        <f aca="false">IFERROR(__xludf.dummyfunction("if($T111&lt;&gt;"""",VALUE(REGEXEXTRACT($T111, M$1&amp;""[\w &amp;]*, (\d+\.\d+)"")),"""")
"),5560)</f>
        <v>5560</v>
      </c>
      <c r="N111" s="3" t="n">
        <f aca="false">IFERROR(__xludf.dummyfunction("if($T111&lt;&gt;"""",VALUE(REGEXEXTRACT(SUBSTITUTE ($T111,N$1&amp;"" CE"",""""), N$1&amp;""[\w &amp;]*, (\d+\.\d+)"")),"""")
"),5550)</f>
        <v>5550</v>
      </c>
      <c r="O111" s="3" t="n">
        <f aca="false">IFERROR(__xludf.dummyfunction("if($T111&lt;&gt;"""",VALUE(REGEXEXTRACT($T111, O$1&amp;""[\w &amp;]*, (\d+\.\d+)"")),"""")
"),5600)</f>
        <v>5600</v>
      </c>
      <c r="P111" s="2" t="n">
        <f aca="false">IFERROR(__xludf.dummyfunction("if($T111&lt;&gt;"""",VALUE(REGEXEXTRACT($T111, P$1&amp;""[\w &amp;]*, (\d+\.\d+)"")),"""")
"),5553.56)</f>
        <v>5553.56</v>
      </c>
      <c r="Q111" s="2" t="n">
        <f aca="false">IFERROR(__xludf.dummyfunction("if($T111&lt;&gt;"""",VALUE(REGEXEXTRACT($T111, Q$1&amp;""[\w &amp;]*, (\d+\.\d+)"")),"""")
"),5511.36)</f>
        <v>5511.36</v>
      </c>
      <c r="R111" s="2" t="n">
        <f aca="false">IFERROR(__xludf.dummyfunction("if($T111&lt;&gt;"""",VALUE(REGEXEXTRACT($T111, SUBSTITUTE(R$1, ""+"", ""\+"")&amp;""[\w &amp;]*, (\d+\.\d+)"")),"""")"),5637.96)</f>
        <v>5637.96</v>
      </c>
      <c r="S111" s="2" t="n">
        <f aca="false">IFERROR(__xludf.dummyfunction("if($T111&lt;&gt;"""",VALUE(REGEXEXTRACT($T111, SUBSTITUTE(S$1, ""+"", ""\+"")&amp;""[\w &amp;]*, (\d+\.\d+)"")),"""")"),5680.16)</f>
        <v>5680.16</v>
      </c>
      <c r="T111" s="5" t="s">
        <v>124</v>
      </c>
      <c r="U111" s="5"/>
    </row>
    <row r="112" customFormat="false" ht="15.75" hidden="false" customHeight="false" outlineLevel="0" collapsed="false">
      <c r="A112" s="4" t="n">
        <f aca="false">IFERROR(__xludf.dummyfunction("""COMPUTED_VALUE"""),45548.6666666667)</f>
        <v>45548.6666666667</v>
      </c>
      <c r="B112" s="2" t="n">
        <f aca="false">IFERROR(__xludf.dummyfunction("""COMPUTED_VALUE"""),5603.34)</f>
        <v>5603.34</v>
      </c>
      <c r="C112" s="2" t="n">
        <f aca="false">IFERROR(__xludf.dummyfunction("""COMPUTED_VALUE"""),5636.27)</f>
        <v>5636.27</v>
      </c>
      <c r="D112" s="2" t="n">
        <f aca="false">IFERROR(__xludf.dummyfunction("""COMPUTED_VALUE"""),5601.65)</f>
        <v>5601.65</v>
      </c>
      <c r="E112" s="2" t="n">
        <f aca="false">IFERROR(__xludf.dummyfunction("""COMPUTED_VALUE"""),5626.02)</f>
        <v>5626.02</v>
      </c>
      <c r="F112" s="3" t="n">
        <f aca="false">IFERROR(__xludf.dummyfunction("if($T112&lt;&gt;"""",VALUE(REGEXEXTRACT(SUBSTITUTE ($T112,F$1&amp;"" CE"",""""), F$1&amp;""[\w &amp;]*, (\d+\.\d+)"")),"""")
"),5550)</f>
        <v>5550</v>
      </c>
      <c r="G112" s="3" t="n">
        <f aca="false">IFERROR(__xludf.dummyfunction("if($T112&lt;&gt;"""",VALUE(REGEXEXTRACT($T112, G$1&amp;""[\w &amp;]*, (\d+\.\d+)"")),"""")
"),5650)</f>
        <v>5650</v>
      </c>
      <c r="H112" s="3" t="n">
        <f aca="false">IFERROR(__xludf.dummyfunction("if($T112&lt;&gt;"""",VALUE(REGEXEXTRACT($T112, H$1&amp;""[\w &amp;]*, (\d+\.\d+)"")),"""")"),5760)</f>
        <v>5760</v>
      </c>
      <c r="I112" s="3" t="n">
        <f aca="false">IFERROR(__xludf.dummyfunction("if($T112&lt;&gt;"""",VALUE(REGEXEXTRACT(SUBSTITUTE ($T112,I$1&amp;"" CE"",""""), I$1&amp;""[\w &amp;]*, (\d+\.\d+)"")),"""")
"),5550)</f>
        <v>5550</v>
      </c>
      <c r="J112" s="3" t="n">
        <f aca="false">IFERROR(__xludf.dummyfunction("if($T112&lt;&gt;"""",VALUE(REGEXEXTRACT($T112, J$1&amp;""[\w &amp;]*, (\d+\.\d+)"")),"""")
"),5555)</f>
        <v>5555</v>
      </c>
      <c r="K112" s="3" t="n">
        <f aca="false">IFERROR(__xludf.dummyfunction("if($T112&lt;&gt;"""",VALUE(REGEXEXTRACT($T112, K$1&amp;""[\w &amp;]*, (\d+\.\d+)"")),"""")
"),5475)</f>
        <v>5475</v>
      </c>
      <c r="L112" s="3" t="n">
        <f aca="false">IFERROR(__xludf.dummyfunction("if($T112&lt;&gt;"""",VALUE(REGEXEXTRACT(SUBSTITUTE ($T112,L$1&amp;"" CE"",""""), L$1&amp;""[\w &amp;]*, (\d+\.\d+)"")),"""")
"),5515)</f>
        <v>5515</v>
      </c>
      <c r="M112" s="3" t="n">
        <f aca="false">IFERROR(__xludf.dummyfunction("if($T112&lt;&gt;"""",VALUE(REGEXEXTRACT($T112, M$1&amp;""[\w &amp;]*, (\d+\.\d+)"")),"""")
"),5560)</f>
        <v>5560</v>
      </c>
      <c r="N112" s="3" t="n">
        <f aca="false">IFERROR(__xludf.dummyfunction("if($T112&lt;&gt;"""",VALUE(REGEXEXTRACT(SUBSTITUTE ($T112,N$1&amp;"" CE"",""""), N$1&amp;""[\w &amp;]*, (\d+\.\d+)"")),"""")
"),5550)</f>
        <v>5550</v>
      </c>
      <c r="O112" s="3" t="n">
        <f aca="false">IFERROR(__xludf.dummyfunction("if($T112&lt;&gt;"""",VALUE(REGEXEXTRACT($T112, O$1&amp;""[\w &amp;]*, (\d+\.\d+)"")),"""")
"),5600)</f>
        <v>5600</v>
      </c>
      <c r="P112" s="2" t="n">
        <f aca="false">IFERROR(__xludf.dummyfunction("if($T112&lt;&gt;"""",VALUE(REGEXEXTRACT($T112, P$1&amp;""[\w &amp;]*, (\d+\.\d+)"")),"""")
"),5553.61)</f>
        <v>5553.61</v>
      </c>
      <c r="Q112" s="2" t="n">
        <f aca="false">IFERROR(__xludf.dummyfunction("if($T112&lt;&gt;"""",VALUE(REGEXEXTRACT($T112, Q$1&amp;""[\w &amp;]*, (\d+\.\d+)"")),"""")
"),5511.46)</f>
        <v>5511.46</v>
      </c>
      <c r="R112" s="2" t="n">
        <f aca="false">IFERROR(__xludf.dummyfunction("if($T112&lt;&gt;"""",VALUE(REGEXEXTRACT($T112, SUBSTITUTE(R$1, ""+"", ""\+"")&amp;""[\w &amp;]*, (\d+\.\d+)"")),"""")"),5637.91)</f>
        <v>5637.91</v>
      </c>
      <c r="S112" s="2" t="n">
        <f aca="false">IFERROR(__xludf.dummyfunction("if($T112&lt;&gt;"""",VALUE(REGEXEXTRACT($T112, SUBSTITUTE(S$1, ""+"", ""\+"")&amp;""[\w &amp;]*, (\d+\.\d+)"")),"""")"),5680.06)</f>
        <v>5680.06</v>
      </c>
      <c r="T112" s="5" t="s">
        <v>125</v>
      </c>
      <c r="U112" s="5"/>
    </row>
    <row r="113" customFormat="false" ht="15.75" hidden="false" customHeight="false" outlineLevel="0" collapsed="false">
      <c r="A113" s="4" t="n">
        <f aca="false">IFERROR(__xludf.dummyfunction("""COMPUTED_VALUE"""),45551.6666666667)</f>
        <v>45551.6666666667</v>
      </c>
      <c r="B113" s="2" t="n">
        <f aca="false">IFERROR(__xludf.dummyfunction("""COMPUTED_VALUE"""),5615.21)</f>
        <v>5615.21</v>
      </c>
      <c r="C113" s="2" t="n">
        <f aca="false">IFERROR(__xludf.dummyfunction("""COMPUTED_VALUE"""),5636.05)</f>
        <v>5636.05</v>
      </c>
      <c r="D113" s="2" t="n">
        <f aca="false">IFERROR(__xludf.dummyfunction("""COMPUTED_VALUE"""),5604.53)</f>
        <v>5604.53</v>
      </c>
      <c r="E113" s="2" t="n">
        <f aca="false">IFERROR(__xludf.dummyfunction("""COMPUTED_VALUE"""),5633.09)</f>
        <v>5633.09</v>
      </c>
      <c r="F113" s="3" t="n">
        <f aca="false">IFERROR(__xludf.dummyfunction("if($T113&lt;&gt;"""",VALUE(REGEXEXTRACT(SUBSTITUTE ($T113,F$1&amp;"" CE"",""""), F$1&amp;""[\w &amp;]*, (\d+\.\d+)"")),"""")
"),5550)</f>
        <v>5550</v>
      </c>
      <c r="G113" s="3" t="n">
        <f aca="false">IFERROR(__xludf.dummyfunction("if($T113&lt;&gt;"""",VALUE(REGEXEXTRACT($T113, G$1&amp;""[\w &amp;]*, (\d+\.\d+)"")),"""")
"),5655)</f>
        <v>5655</v>
      </c>
      <c r="H113" s="3" t="n">
        <f aca="false">IFERROR(__xludf.dummyfunction("if($T113&lt;&gt;"""",VALUE(REGEXEXTRACT($T113, H$1&amp;""[\w &amp;]*, (\d+\.\d+)"")),"""")"),5760)</f>
        <v>5760</v>
      </c>
      <c r="I113" s="3" t="n">
        <f aca="false">IFERROR(__xludf.dummyfunction("if($T113&lt;&gt;"""",VALUE(REGEXEXTRACT(SUBSTITUTE ($T113,I$1&amp;"" CE"",""""), I$1&amp;""[\w &amp;]*, (\d+\.\d+)"")),"""")
"),5550)</f>
        <v>5550</v>
      </c>
      <c r="J113" s="3" t="n">
        <f aca="false">IFERROR(__xludf.dummyfunction("if($T113&lt;&gt;"""",VALUE(REGEXEXTRACT($T113, J$1&amp;""[\w &amp;]*, (\d+\.\d+)"")),"""")
"),5590)</f>
        <v>5590</v>
      </c>
      <c r="K113" s="3" t="n">
        <f aca="false">IFERROR(__xludf.dummyfunction("if($T113&lt;&gt;"""",VALUE(REGEXEXTRACT($T113, K$1&amp;""[\w &amp;]*, (\d+\.\d+)"")),"""")
"),5475)</f>
        <v>5475</v>
      </c>
      <c r="L113" s="3" t="n">
        <f aca="false">IFERROR(__xludf.dummyfunction("if($T113&lt;&gt;"""",VALUE(REGEXEXTRACT(SUBSTITUTE ($T113,L$1&amp;"" CE"",""""), L$1&amp;""[\w &amp;]*, (\d+\.\d+)"")),"""")
"),5590)</f>
        <v>5590</v>
      </c>
      <c r="M113" s="3" t="n">
        <f aca="false">IFERROR(__xludf.dummyfunction("if($T113&lt;&gt;"""",VALUE(REGEXEXTRACT($T113, M$1&amp;""[\w &amp;]*, (\d+\.\d+)"")),"""")
"),5615)</f>
        <v>5615</v>
      </c>
      <c r="N113" s="3" t="n">
        <f aca="false">IFERROR(__xludf.dummyfunction("if($T113&lt;&gt;"""",VALUE(REGEXEXTRACT(SUBSTITUTE ($T113,N$1&amp;"" CE"",""""), N$1&amp;""[\w &amp;]*, (\d+\.\d+)"")),"""")
"),5600)</f>
        <v>5600</v>
      </c>
      <c r="O113" s="3" t="n">
        <f aca="false">IFERROR(__xludf.dummyfunction("if($T113&lt;&gt;"""",VALUE(REGEXEXTRACT($T113, O$1&amp;""[\w &amp;]*, (\d+\.\d+)"")),"""")
"),5590)</f>
        <v>5590</v>
      </c>
      <c r="P113" s="2" t="n">
        <f aca="false">IFERROR(__xludf.dummyfunction("if($T113&lt;&gt;"""",VALUE(REGEXEXTRACT($T113, P$1&amp;""[\w &amp;]*, (\d+\.\d+)"")),"""")
"),5581.97)</f>
        <v>5581.97</v>
      </c>
      <c r="Q113" s="2" t="n">
        <f aca="false">IFERROR(__xludf.dummyfunction("if($T113&lt;&gt;"""",VALUE(REGEXEXTRACT($T113, Q$1&amp;""[\w &amp;]*, (\d+\.\d+)"")),"""")
"),5563.73)</f>
        <v>5563.73</v>
      </c>
      <c r="R113" s="2" t="n">
        <f aca="false">IFERROR(__xludf.dummyfunction("if($T113&lt;&gt;"""",VALUE(REGEXEXTRACT($T113, SUBSTITUTE(R$1, ""+"", ""\+"")&amp;""[\w &amp;]*, (\d+\.\d+)"")),"""")"),5670.07)</f>
        <v>5670.07</v>
      </c>
      <c r="S113" s="2" t="n">
        <f aca="false">IFERROR(__xludf.dummyfunction("if($T113&lt;&gt;"""",VALUE(REGEXEXTRACT($T113, SUBSTITUTE(S$1, ""+"", ""\+"")&amp;""[\w &amp;]*, (\d+\.\d+)"")),"""")"),5688.31)</f>
        <v>5688.31</v>
      </c>
      <c r="T113" s="5" t="s">
        <v>126</v>
      </c>
      <c r="U113" s="5"/>
    </row>
    <row r="114" customFormat="false" ht="15.75" hidden="false" customHeight="false" outlineLevel="0" collapsed="false">
      <c r="A114" s="4" t="n">
        <f aca="false">IFERROR(__xludf.dummyfunction("""COMPUTED_VALUE"""),45552.6666666667)</f>
        <v>45552.6666666667</v>
      </c>
      <c r="B114" s="2" t="n">
        <f aca="false">IFERROR(__xludf.dummyfunction("""COMPUTED_VALUE"""),5655.51)</f>
        <v>5655.51</v>
      </c>
      <c r="C114" s="2" t="n">
        <f aca="false">IFERROR(__xludf.dummyfunction("""COMPUTED_VALUE"""),5670.81)</f>
        <v>5670.81</v>
      </c>
      <c r="D114" s="2" t="n">
        <f aca="false">IFERROR(__xludf.dummyfunction("""COMPUTED_VALUE"""),5614.05)</f>
        <v>5614.05</v>
      </c>
      <c r="E114" s="2" t="n">
        <f aca="false">IFERROR(__xludf.dummyfunction("""COMPUTED_VALUE"""),5634.58)</f>
        <v>5634.58</v>
      </c>
      <c r="F114" s="3" t="n">
        <f aca="false">IFERROR(__xludf.dummyfunction("if($T114&lt;&gt;"""",VALUE(REGEXEXTRACT(SUBSTITUTE ($T114,F$1&amp;"" CE"",""""), F$1&amp;""[\w &amp;]*, (\d+\.\d+)"")),"""")
"),5550)</f>
        <v>5550</v>
      </c>
      <c r="G114" s="3" t="n">
        <f aca="false">IFERROR(__xludf.dummyfunction("if($T114&lt;&gt;"""",VALUE(REGEXEXTRACT($T114, G$1&amp;""[\w &amp;]*, (\d+\.\d+)"")),"""")
"),5650)</f>
        <v>5650</v>
      </c>
      <c r="H114" s="3" t="n">
        <f aca="false">IFERROR(__xludf.dummyfunction("if($T114&lt;&gt;"""",VALUE(REGEXEXTRACT($T114, H$1&amp;""[\w &amp;]*, (\d+\.\d+)"")),"""")"),5760)</f>
        <v>5760</v>
      </c>
      <c r="I114" s="3" t="n">
        <f aca="false">IFERROR(__xludf.dummyfunction("if($T114&lt;&gt;"""",VALUE(REGEXEXTRACT(SUBSTITUTE ($T114,I$1&amp;"" CE"",""""), I$1&amp;""[\w &amp;]*, (\d+\.\d+)"")),"""")
"),5550)</f>
        <v>5550</v>
      </c>
      <c r="J114" s="3" t="n">
        <f aca="false">IFERROR(__xludf.dummyfunction("if($T114&lt;&gt;"""",VALUE(REGEXEXTRACT($T114, J$1&amp;""[\w &amp;]*, (\d+\.\d+)"")),"""")
"),5600)</f>
        <v>5600</v>
      </c>
      <c r="K114" s="3" t="n">
        <f aca="false">IFERROR(__xludf.dummyfunction("if($T114&lt;&gt;"""",VALUE(REGEXEXTRACT($T114, K$1&amp;""[\w &amp;]*, (\d+\.\d+)"")),"""")
"),5490)</f>
        <v>5490</v>
      </c>
      <c r="L114" s="3" t="n">
        <f aca="false">IFERROR(__xludf.dummyfunction("if($T114&lt;&gt;"""",VALUE(REGEXEXTRACT(SUBSTITUTE ($T114,L$1&amp;"" CE"",""""), L$1&amp;""[\w &amp;]*, (\d+\.\d+)"")),"""")
"),5575)</f>
        <v>5575</v>
      </c>
      <c r="M114" s="3" t="n">
        <f aca="false">IFERROR(__xludf.dummyfunction("if($T114&lt;&gt;"""",VALUE(REGEXEXTRACT($T114, M$1&amp;""[\w &amp;]*, (\d+\.\d+)"")),"""")
"),5620)</f>
        <v>5620</v>
      </c>
      <c r="N114" s="3" t="n">
        <f aca="false">IFERROR(__xludf.dummyfunction("if($T114&lt;&gt;"""",VALUE(REGEXEXTRACT(SUBSTITUTE ($T114,N$1&amp;"" CE"",""""), N$1&amp;""[\w &amp;]*, (\d+\.\d+)"")),"""")
"),5600)</f>
        <v>5600</v>
      </c>
      <c r="O114" s="3" t="n">
        <f aca="false">IFERROR(__xludf.dummyfunction("if($T114&lt;&gt;"""",VALUE(REGEXEXTRACT($T114, O$1&amp;""[\w &amp;]*, (\d+\.\d+)"")),"""")
"),5630)</f>
        <v>5630</v>
      </c>
      <c r="P114" s="2" t="n">
        <f aca="false">IFERROR(__xludf.dummyfunction("if($T114&lt;&gt;"""",VALUE(REGEXEXTRACT($T114, P$1&amp;""[\w &amp;]*, (\d+\.\d+)"")),"""")
"),5587.57)</f>
        <v>5587.57</v>
      </c>
      <c r="Q114" s="2" t="n">
        <f aca="false">IFERROR(__xludf.dummyfunction("if($T114&lt;&gt;"""",VALUE(REGEXEXTRACT($T114, Q$1&amp;""[\w &amp;]*, (\d+\.\d+)"")),"""")
"),5568.72)</f>
        <v>5568.72</v>
      </c>
      <c r="R114" s="2" t="n">
        <f aca="false">IFERROR(__xludf.dummyfunction("if($T114&lt;&gt;"""",VALUE(REGEXEXTRACT($T114, SUBSTITUTE(R$1, ""+"", ""\+"")&amp;""[\w &amp;]*, (\d+\.\d+)"")),"""")"),5678.6)</f>
        <v>5678.6</v>
      </c>
      <c r="S114" s="2" t="n">
        <f aca="false">IFERROR(__xludf.dummyfunction("if($T114&lt;&gt;"""",VALUE(REGEXEXTRACT($T114, SUBSTITUTE(S$1, ""+"", ""\+"")&amp;""[\w &amp;]*, (\d+\.\d+)"")),"""")"),5697.46)</f>
        <v>5697.46</v>
      </c>
      <c r="T114" s="5" t="s">
        <v>127</v>
      </c>
      <c r="U114" s="5"/>
    </row>
    <row r="115" customFormat="false" ht="15.75" hidden="false" customHeight="false" outlineLevel="0" collapsed="false">
      <c r="A115" s="4" t="n">
        <f aca="false">IFERROR(__xludf.dummyfunction("""COMPUTED_VALUE"""),45553.6666666667)</f>
        <v>45553.6666666667</v>
      </c>
      <c r="B115" s="2" t="n">
        <f aca="false">IFERROR(__xludf.dummyfunction("""COMPUTED_VALUE"""),5641.68)</f>
        <v>5641.68</v>
      </c>
      <c r="C115" s="2" t="n">
        <f aca="false">IFERROR(__xludf.dummyfunction("""COMPUTED_VALUE"""),5689.75)</f>
        <v>5689.75</v>
      </c>
      <c r="D115" s="2" t="n">
        <f aca="false">IFERROR(__xludf.dummyfunction("""COMPUTED_VALUE"""),5615.08)</f>
        <v>5615.08</v>
      </c>
      <c r="E115" s="2" t="n">
        <f aca="false">IFERROR(__xludf.dummyfunction("""COMPUTED_VALUE"""),5618.26)</f>
        <v>5618.26</v>
      </c>
      <c r="F115" s="3" t="n">
        <f aca="false">IFERROR(__xludf.dummyfunction("if($T115&lt;&gt;"""",VALUE(REGEXEXTRACT(SUBSTITUTE ($T115,F$1&amp;"" CE"",""""), F$1&amp;""[\w &amp;]*, (\d+\.\d+)"")),"""")
"),5550)</f>
        <v>5550</v>
      </c>
      <c r="G115" s="3" t="n">
        <f aca="false">IFERROR(__xludf.dummyfunction("if($T115&lt;&gt;"""",VALUE(REGEXEXTRACT($T115, G$1&amp;""[\w &amp;]*, (\d+\.\d+)"")),"""")
"),5635)</f>
        <v>5635</v>
      </c>
      <c r="H115" s="3" t="n">
        <f aca="false">IFERROR(__xludf.dummyfunction("if($T115&lt;&gt;"""",VALUE(REGEXEXTRACT($T115, H$1&amp;""[\w &amp;]*, (\d+\.\d+)"")),"""")"),5760)</f>
        <v>5760</v>
      </c>
      <c r="I115" s="3" t="n">
        <f aca="false">IFERROR(__xludf.dummyfunction("if($T115&lt;&gt;"""",VALUE(REGEXEXTRACT(SUBSTITUTE ($T115,I$1&amp;"" CE"",""""), I$1&amp;""[\w &amp;]*, (\d+\.\d+)"")),"""")
"),5550)</f>
        <v>5550</v>
      </c>
      <c r="J115" s="3" t="n">
        <f aca="false">IFERROR(__xludf.dummyfunction("if($T115&lt;&gt;"""",VALUE(REGEXEXTRACT($T115, J$1&amp;""[\w &amp;]*, (\d+\.\d+)"")),"""")
"),5545)</f>
        <v>5545</v>
      </c>
      <c r="K115" s="3" t="n">
        <f aca="false">IFERROR(__xludf.dummyfunction("if($T115&lt;&gt;"""",VALUE(REGEXEXTRACT($T115, K$1&amp;""[\w &amp;]*, (\d+\.\d+)"")),"""")
"),5490)</f>
        <v>5490</v>
      </c>
      <c r="L115" s="3" t="n">
        <f aca="false">IFERROR(__xludf.dummyfunction("if($T115&lt;&gt;"""",VALUE(REGEXEXTRACT(SUBSTITUTE ($T115,L$1&amp;"" CE"",""""), L$1&amp;""[\w &amp;]*, (\d+\.\d+)"")),"""")
"),5590)</f>
        <v>5590</v>
      </c>
      <c r="M115" s="3" t="n">
        <f aca="false">IFERROR(__xludf.dummyfunction("if($T115&lt;&gt;"""",VALUE(REGEXEXTRACT($T115, M$1&amp;""[\w &amp;]*, (\d+\.\d+)"")),"""")
"),5590)</f>
        <v>5590</v>
      </c>
      <c r="N115" s="3" t="n">
        <f aca="false">IFERROR(__xludf.dummyfunction("if($T115&lt;&gt;"""",VALUE(REGEXEXTRACT(SUBSTITUTE ($T115,N$1&amp;"" CE"",""""), N$1&amp;""[\w &amp;]*, (\d+\.\d+)"")),"""")
"),5600)</f>
        <v>5600</v>
      </c>
      <c r="O115" s="3" t="n">
        <f aca="false">IFERROR(__xludf.dummyfunction("if($T115&lt;&gt;"""",VALUE(REGEXEXTRACT($T115, O$1&amp;""[\w &amp;]*, (\d+\.\d+)"")),"""")
"),5625)</f>
        <v>5625</v>
      </c>
      <c r="P115" s="2" t="n">
        <f aca="false">IFERROR(__xludf.dummyfunction("if($T115&lt;&gt;"""",VALUE(REGEXEXTRACT($T115, P$1&amp;""[\w &amp;]*, (\d+\.\d+)"")),"""")
"),5586.13)</f>
        <v>5586.13</v>
      </c>
      <c r="Q115" s="2" t="n">
        <f aca="false">IFERROR(__xludf.dummyfunction("if($T115&lt;&gt;"""",VALUE(REGEXEXTRACT($T115, Q$1&amp;""[\w &amp;]*, (\d+\.\d+)"")),"""")
"),5566.07)</f>
        <v>5566.07</v>
      </c>
      <c r="R115" s="2" t="n">
        <f aca="false">IFERROR(__xludf.dummyfunction("if($T115&lt;&gt;"""",VALUE(REGEXEXTRACT($T115, SUBSTITUTE(R$1, ""+"", ""\+"")&amp;""[\w &amp;]*, (\d+\.\d+)"")),"""")"),5683.03)</f>
        <v>5683.03</v>
      </c>
      <c r="S115" s="2" t="n">
        <f aca="false">IFERROR(__xludf.dummyfunction("if($T115&lt;&gt;"""",VALUE(REGEXEXTRACT($T115, SUBSTITUTE(S$1, ""+"", ""\+"")&amp;""[\w &amp;]*, (\d+\.\d+)"")),"""")"),5703.09)</f>
        <v>5703.09</v>
      </c>
      <c r="T115" s="5" t="s">
        <v>128</v>
      </c>
      <c r="U115" s="5"/>
    </row>
    <row r="116" customFormat="false" ht="15.75" hidden="false" customHeight="false" outlineLevel="0" collapsed="false">
      <c r="A116" s="4" t="n">
        <f aca="false">IFERROR(__xludf.dummyfunction("""COMPUTED_VALUE"""),45554.6666666667)</f>
        <v>45554.6666666667</v>
      </c>
      <c r="B116" s="2" t="n">
        <f aca="false">IFERROR(__xludf.dummyfunction("""COMPUTED_VALUE"""),5702.63)</f>
        <v>5702.63</v>
      </c>
      <c r="C116" s="2" t="n">
        <f aca="false">IFERROR(__xludf.dummyfunction("""COMPUTED_VALUE"""),5733.57)</f>
        <v>5733.57</v>
      </c>
      <c r="D116" s="2" t="n">
        <f aca="false">IFERROR(__xludf.dummyfunction("""COMPUTED_VALUE"""),5686.42)</f>
        <v>5686.42</v>
      </c>
      <c r="E116" s="2" t="n">
        <f aca="false">IFERROR(__xludf.dummyfunction("""COMPUTED_VALUE"""),5713.64)</f>
        <v>5713.64</v>
      </c>
      <c r="F116" s="3" t="n">
        <f aca="false">IFERROR(__xludf.dummyfunction("if($T116&lt;&gt;"""",VALUE(REGEXEXTRACT(SUBSTITUTE ($T116,F$1&amp;"" CE"",""""), F$1&amp;""[\w &amp;]*, (\d+\.\d+)"")),"""")
"),5700)</f>
        <v>5700</v>
      </c>
      <c r="G116" s="3" t="n">
        <f aca="false">IFERROR(__xludf.dummyfunction("if($T116&lt;&gt;"""",VALUE(REGEXEXTRACT($T116, G$1&amp;""[\w &amp;]*, (\d+\.\d+)"")),"""")
"),5700)</f>
        <v>5700</v>
      </c>
      <c r="H116" s="3" t="n">
        <f aca="false">IFERROR(__xludf.dummyfunction("if($T116&lt;&gt;"""",VALUE(REGEXEXTRACT($T116, H$1&amp;""[\w &amp;]*, (\d+\.\d+)"")),"""")"),5760)</f>
        <v>5760</v>
      </c>
      <c r="I116" s="3" t="n">
        <f aca="false">IFERROR(__xludf.dummyfunction("if($T116&lt;&gt;"""",VALUE(REGEXEXTRACT(SUBSTITUTE ($T116,I$1&amp;"" CE"",""""), I$1&amp;""[\w &amp;]*, (\d+\.\d+)"")),"""")
"),5700)</f>
        <v>5700</v>
      </c>
      <c r="J116" s="3" t="n">
        <f aca="false">IFERROR(__xludf.dummyfunction("if($T116&lt;&gt;"""",VALUE(REGEXEXTRACT($T116, J$1&amp;""[\w &amp;]*, (\d+\.\d+)"")),"""")
"),5660)</f>
        <v>5660</v>
      </c>
      <c r="K116" s="3" t="n">
        <f aca="false">IFERROR(__xludf.dummyfunction("if($T116&lt;&gt;"""",VALUE(REGEXEXTRACT($T116, K$1&amp;""[\w &amp;]*, (\d+\.\d+)"")),"""")
"),5390)</f>
        <v>5390</v>
      </c>
      <c r="L116" s="3" t="n">
        <f aca="false">IFERROR(__xludf.dummyfunction("if($T116&lt;&gt;"""",VALUE(REGEXEXTRACT(SUBSTITUTE ($T116,L$1&amp;"" CE"",""""), L$1&amp;""[\w &amp;]*, (\d+\.\d+)"")),"""")
"),5600)</f>
        <v>5600</v>
      </c>
      <c r="M116" s="3" t="n">
        <f aca="false">IFERROR(__xludf.dummyfunction("if($T116&lt;&gt;"""",VALUE(REGEXEXTRACT($T116, M$1&amp;""[\w &amp;]*, (\d+\.\d+)"")),"""")
"),5630)</f>
        <v>5630</v>
      </c>
      <c r="N116" s="3" t="n">
        <f aca="false">IFERROR(__xludf.dummyfunction("if($T116&lt;&gt;"""",VALUE(REGEXEXTRACT(SUBSTITUTE ($T116,N$1&amp;"" CE"",""""), N$1&amp;""[\w &amp;]*, (\d+\.\d+)"")),"""")
"),5700)</f>
        <v>5700</v>
      </c>
      <c r="O116" s="3" t="n">
        <f aca="false">IFERROR(__xludf.dummyfunction("if($T116&lt;&gt;"""",VALUE(REGEXEXTRACT($T116, O$1&amp;""[\w &amp;]*, (\d+\.\d+)"")),"""")
"),5700)</f>
        <v>5700</v>
      </c>
      <c r="P116" s="2" t="n">
        <f aca="false">IFERROR(__xludf.dummyfunction("if($T116&lt;&gt;"""",VALUE(REGEXEXTRACT($T116, P$1&amp;""[\w &amp;]*, (\d+\.\d+)"")),"""")
"),5571.34)</f>
        <v>5571.34</v>
      </c>
      <c r="Q116" s="2" t="n">
        <f aca="false">IFERROR(__xludf.dummyfunction("if($T116&lt;&gt;"""",VALUE(REGEXEXTRACT($T116, Q$1&amp;""[\w &amp;]*, (\d+\.\d+)"")),"""")
"),5551.41)</f>
        <v>5551.41</v>
      </c>
      <c r="R116" s="2" t="n">
        <f aca="false">IFERROR(__xludf.dummyfunction("if($T116&lt;&gt;"""",VALUE(REGEXEXTRACT($T116, SUBSTITUTE(R$1, ""+"", ""\+"")&amp;""[\w &amp;]*, (\d+\.\d+)"")),"""")"),5665.18)</f>
        <v>5665.18</v>
      </c>
      <c r="S116" s="2" t="n">
        <f aca="false">IFERROR(__xludf.dummyfunction("if($T116&lt;&gt;"""",VALUE(REGEXEXTRACT($T116, SUBSTITUTE(S$1, ""+"", ""\+"")&amp;""[\w &amp;]*, (\d+\.\d+)"")),"""")"),5685.11)</f>
        <v>5685.11</v>
      </c>
      <c r="T116" s="5" t="s">
        <v>129</v>
      </c>
      <c r="U116" s="5"/>
    </row>
    <row r="117" customFormat="false" ht="15.75" hidden="false" customHeight="false" outlineLevel="0" collapsed="false">
      <c r="A117" s="4" t="n">
        <f aca="false">IFERROR(__xludf.dummyfunction("""COMPUTED_VALUE"""),45555.6666666667)</f>
        <v>45555.6666666667</v>
      </c>
      <c r="B117" s="2" t="n">
        <f aca="false">IFERROR(__xludf.dummyfunction("""COMPUTED_VALUE"""),5709.64)</f>
        <v>5709.64</v>
      </c>
      <c r="C117" s="2" t="n">
        <f aca="false">IFERROR(__xludf.dummyfunction("""COMPUTED_VALUE"""),5715.14)</f>
        <v>5715.14</v>
      </c>
      <c r="D117" s="2" t="n">
        <f aca="false">IFERROR(__xludf.dummyfunction("""COMPUTED_VALUE"""),5674.49)</f>
        <v>5674.49</v>
      </c>
      <c r="E117" s="2" t="n">
        <f aca="false">IFERROR(__xludf.dummyfunction("""COMPUTED_VALUE"""),5702.55)</f>
        <v>5702.55</v>
      </c>
      <c r="F117" s="3" t="n">
        <f aca="false">IFERROR(__xludf.dummyfunction("if($T117&lt;&gt;"""",VALUE(REGEXEXTRACT(SUBSTITUTE ($T117,F$1&amp;"" CE"",""""), F$1&amp;""[\w &amp;]*, (\d+\.\d+)"")),"""")
"),5700)</f>
        <v>5700</v>
      </c>
      <c r="G117" s="3" t="n">
        <f aca="false">IFERROR(__xludf.dummyfunction("if($T117&lt;&gt;"""",VALUE(REGEXEXTRACT($T117, G$1&amp;""[\w &amp;]*, (\d+\.\d+)"")),"""")
"),5750)</f>
        <v>5750</v>
      </c>
      <c r="H117" s="3" t="n">
        <f aca="false">IFERROR(__xludf.dummyfunction("if($T117&lt;&gt;"""",VALUE(REGEXEXTRACT($T117, H$1&amp;""[\w &amp;]*, (\d+\.\d+)"")),"""")"),5760)</f>
        <v>5760</v>
      </c>
      <c r="I117" s="3" t="n">
        <f aca="false">IFERROR(__xludf.dummyfunction("if($T117&lt;&gt;"""",VALUE(REGEXEXTRACT(SUBSTITUTE ($T117,I$1&amp;"" CE"",""""), I$1&amp;""[\w &amp;]*, (\d+\.\d+)"")),"""")
"),5700)</f>
        <v>5700</v>
      </c>
      <c r="J117" s="3" t="n">
        <f aca="false">IFERROR(__xludf.dummyfunction("if($T117&lt;&gt;"""",VALUE(REGEXEXTRACT($T117, J$1&amp;""[\w &amp;]*, (\d+\.\d+)"")),"""")
"),5680)</f>
        <v>5680</v>
      </c>
      <c r="K117" s="3" t="n">
        <f aca="false">IFERROR(__xludf.dummyfunction("if($T117&lt;&gt;"""",VALUE(REGEXEXTRACT($T117, K$1&amp;""[\w &amp;]*, (\d+\.\d+)"")),"""")
"),5390)</f>
        <v>5390</v>
      </c>
      <c r="L117" s="3" t="n">
        <f aca="false">IFERROR(__xludf.dummyfunction("if($T117&lt;&gt;"""",VALUE(REGEXEXTRACT(SUBSTITUTE ($T117,L$1&amp;"" CE"",""""), L$1&amp;""[\w &amp;]*, (\d+\.\d+)"")),"""")
"),5615)</f>
        <v>5615</v>
      </c>
      <c r="M117" s="3" t="n">
        <f aca="false">IFERROR(__xludf.dummyfunction("if($T117&lt;&gt;"""",VALUE(REGEXEXTRACT($T117, M$1&amp;""[\w &amp;]*, (\d+\.\d+)"")),"""")
"),5690)</f>
        <v>5690</v>
      </c>
      <c r="N117" s="3" t="n">
        <f aca="false">IFERROR(__xludf.dummyfunction("if($T117&lt;&gt;"""",VALUE(REGEXEXTRACT(SUBSTITUTE ($T117,N$1&amp;"" CE"",""""), N$1&amp;""[\w &amp;]*, (\d+\.\d+)"")),"""")
"),5700)</f>
        <v>5700</v>
      </c>
      <c r="O117" s="3" t="n">
        <f aca="false">IFERROR(__xludf.dummyfunction("if($T117&lt;&gt;"""",VALUE(REGEXEXTRACT($T117, O$1&amp;""[\w &amp;]*, (\d+\.\d+)"")),"""")
"),5700)</f>
        <v>5700</v>
      </c>
      <c r="P117" s="2" t="n">
        <f aca="false">IFERROR(__xludf.dummyfunction("if($T117&lt;&gt;"""",VALUE(REGEXEXTRACT($T117, P$1&amp;""[\w &amp;]*, (\d+\.\d+)"")),"""")
"),5676.07)</f>
        <v>5676.07</v>
      </c>
      <c r="Q117" s="2" t="n">
        <f aca="false">IFERROR(__xludf.dummyfunction("if($T117&lt;&gt;"""",VALUE(REGEXEXTRACT($T117, Q$1&amp;""[\w &amp;]*, (\d+\.\d+)"")),"""")
"),5638.66)</f>
        <v>5638.66</v>
      </c>
      <c r="R117" s="2" t="n">
        <f aca="false">IFERROR(__xludf.dummyfunction("if($T117&lt;&gt;"""",VALUE(REGEXEXTRACT($T117, SUBSTITUTE(R$1, ""+"", ""\+"")&amp;""[\w &amp;]*, (\d+\.\d+)"")),"""")"),5751.21)</f>
        <v>5751.21</v>
      </c>
      <c r="S117" s="2" t="n">
        <f aca="false">IFERROR(__xludf.dummyfunction("if($T117&lt;&gt;"""",VALUE(REGEXEXTRACT($T117, SUBSTITUTE(S$1, ""+"", ""\+"")&amp;""[\w &amp;]*, (\d+\.\d+)"")),"""")"),5788.62)</f>
        <v>5788.62</v>
      </c>
      <c r="T117" s="5" t="s">
        <v>130</v>
      </c>
      <c r="U117" s="5"/>
    </row>
    <row r="118" customFormat="false" ht="15.75" hidden="false" customHeight="false" outlineLevel="0" collapsed="false">
      <c r="A118" s="4" t="n">
        <f aca="false">IFERROR(__xludf.dummyfunction("""COMPUTED_VALUE"""),45558.6666666667)</f>
        <v>45558.6666666667</v>
      </c>
      <c r="B118" s="2" t="n">
        <f aca="false">IFERROR(__xludf.dummyfunction("""COMPUTED_VALUE"""),5711.9)</f>
        <v>5711.9</v>
      </c>
      <c r="C118" s="2" t="n">
        <f aca="false">IFERROR(__xludf.dummyfunction("""COMPUTED_VALUE"""),5725.36)</f>
        <v>5725.36</v>
      </c>
      <c r="D118" s="2" t="n">
        <f aca="false">IFERROR(__xludf.dummyfunction("""COMPUTED_VALUE"""),5704.22)</f>
        <v>5704.22</v>
      </c>
      <c r="E118" s="2" t="n">
        <f aca="false">IFERROR(__xludf.dummyfunction("""COMPUTED_VALUE"""),5718.57)</f>
        <v>5718.57</v>
      </c>
      <c r="F118" s="3" t="n">
        <f aca="false">IFERROR(__xludf.dummyfunction("if($T118&lt;&gt;"""",VALUE(REGEXEXTRACT(SUBSTITUTE ($T118,F$1&amp;"" CE"",""""), F$1&amp;""[\w &amp;]*, (\d+\.\d+)"")),"""")
"),5750)</f>
        <v>5750</v>
      </c>
      <c r="G118" s="3" t="n">
        <f aca="false">IFERROR(__xludf.dummyfunction("if($T118&lt;&gt;"""",VALUE(REGEXEXTRACT($T118, G$1&amp;""[\w &amp;]*, (\d+\.\d+)"")),"""")
"),5725)</f>
        <v>5725</v>
      </c>
      <c r="H118" s="3" t="n">
        <f aca="false">IFERROR(__xludf.dummyfunction("if($T118&lt;&gt;"""",VALUE(REGEXEXTRACT($T118, H$1&amp;""[\w &amp;]*, (\d+\.\d+)"")),"""")"),5760)</f>
        <v>5760</v>
      </c>
      <c r="I118" s="3" t="n">
        <f aca="false">IFERROR(__xludf.dummyfunction("if($T118&lt;&gt;"""",VALUE(REGEXEXTRACT(SUBSTITUTE ($T118,I$1&amp;"" CE"",""""), I$1&amp;""[\w &amp;]*, (\d+\.\d+)"")),"""")
"),5000)</f>
        <v>5000</v>
      </c>
      <c r="J118" s="3" t="n">
        <f aca="false">IFERROR(__xludf.dummyfunction("if($T118&lt;&gt;"""",VALUE(REGEXEXTRACT($T118, J$1&amp;""[\w &amp;]*, (\d+\.\d+)"")),"""")
"),5650)</f>
        <v>5650</v>
      </c>
      <c r="K118" s="3" t="n">
        <f aca="false">IFERROR(__xludf.dummyfunction("if($T118&lt;&gt;"""",VALUE(REGEXEXTRACT($T118, K$1&amp;""[\w &amp;]*, (\d+\.\d+)"")),"""")
"),5390)</f>
        <v>5390</v>
      </c>
      <c r="L118" s="3" t="n">
        <f aca="false">IFERROR(__xludf.dummyfunction("if($T118&lt;&gt;"""",VALUE(REGEXEXTRACT(SUBSTITUTE ($T118,L$1&amp;"" CE"",""""), L$1&amp;""[\w &amp;]*, (\d+\.\d+)"")),"""")
"),5645)</f>
        <v>5645</v>
      </c>
      <c r="M118" s="3" t="n">
        <f aca="false">IFERROR(__xludf.dummyfunction("if($T118&lt;&gt;"""",VALUE(REGEXEXTRACT($T118, M$1&amp;""[\w &amp;]*, (\d+\.\d+)"")),"""")
"),5695)</f>
        <v>5695</v>
      </c>
      <c r="N118" s="3" t="n">
        <f aca="false">IFERROR(__xludf.dummyfunction("if($T118&lt;&gt;"""",VALUE(REGEXEXTRACT(SUBSTITUTE ($T118,N$1&amp;"" CE"",""""), N$1&amp;""[\w &amp;]*, (\d+\.\d+)"")),"""")
"),5750)</f>
        <v>5750</v>
      </c>
      <c r="O118" s="3" t="n">
        <f aca="false">IFERROR(__xludf.dummyfunction("if($T118&lt;&gt;"""",VALUE(REGEXEXTRACT($T118, O$1&amp;""[\w &amp;]*, (\d+\.\d+)"")),"""")
"),5700)</f>
        <v>5700</v>
      </c>
      <c r="P118" s="2" t="n">
        <f aca="false">IFERROR(__xludf.dummyfunction("if($T118&lt;&gt;"""",VALUE(REGEXEXTRACT($T118, P$1&amp;""[\w &amp;]*, (\d+\.\d+)"")),"""")
"),5662.46)</f>
        <v>5662.46</v>
      </c>
      <c r="Q118" s="2" t="n">
        <f aca="false">IFERROR(__xludf.dummyfunction("if($T118&lt;&gt;"""",VALUE(REGEXEXTRACT($T118, Q$1&amp;""[\w &amp;]*, (\d+\.\d+)"")),"""")
"),5645.85)</f>
        <v>5645.85</v>
      </c>
      <c r="R118" s="2" t="n">
        <f aca="false">IFERROR(__xludf.dummyfunction("if($T118&lt;&gt;"""",VALUE(REGEXEXTRACT($T118, SUBSTITUTE(R$1, ""+"", ""\+"")&amp;""[\w &amp;]*, (\d+\.\d+)"")),"""")"),5742.64)</f>
        <v>5742.64</v>
      </c>
      <c r="S118" s="2" t="n">
        <f aca="false">IFERROR(__xludf.dummyfunction("if($T118&lt;&gt;"""",VALUE(REGEXEXTRACT($T118, SUBSTITUTE(S$1, ""+"", ""\+"")&amp;""[\w &amp;]*, (\d+\.\d+)"")),"""")"),5759.24)</f>
        <v>5759.24</v>
      </c>
      <c r="T118" s="5" t="s">
        <v>131</v>
      </c>
      <c r="U118" s="5"/>
    </row>
    <row r="119" customFormat="false" ht="15.75" hidden="false" customHeight="false" outlineLevel="0" collapsed="false">
      <c r="A119" s="4" t="n">
        <f aca="false">IFERROR(__xludf.dummyfunction("""COMPUTED_VALUE"""),45559.6666666667)</f>
        <v>45559.6666666667</v>
      </c>
      <c r="B119" s="2" t="n">
        <f aca="false">IFERROR(__xludf.dummyfunction("""COMPUTED_VALUE"""),5727.66)</f>
        <v>5727.66</v>
      </c>
      <c r="C119" s="2" t="n">
        <f aca="false">IFERROR(__xludf.dummyfunction("""COMPUTED_VALUE"""),5735.32)</f>
        <v>5735.32</v>
      </c>
      <c r="D119" s="2" t="n">
        <f aca="false">IFERROR(__xludf.dummyfunction("""COMPUTED_VALUE"""),5698.99)</f>
        <v>5698.99</v>
      </c>
      <c r="E119" s="2" t="n">
        <f aca="false">IFERROR(__xludf.dummyfunction("""COMPUTED_VALUE"""),5732.93)</f>
        <v>5732.93</v>
      </c>
      <c r="F119" s="3" t="n">
        <f aca="false">IFERROR(__xludf.dummyfunction("if($T119&lt;&gt;"""",VALUE(REGEXEXTRACT(SUBSTITUTE ($T119,F$1&amp;"" CE"",""""), F$1&amp;""[\w &amp;]*, (\d+\.\d+)"")),"""")
"),5750)</f>
        <v>5750</v>
      </c>
      <c r="G119" s="3" t="n">
        <f aca="false">IFERROR(__xludf.dummyfunction("if($T119&lt;&gt;"""",VALUE(REGEXEXTRACT($T119, G$1&amp;""[\w &amp;]*, (\d+\.\d+)"")),"""")
"),5700)</f>
        <v>5700</v>
      </c>
      <c r="H119" s="3" t="n">
        <f aca="false">IFERROR(__xludf.dummyfunction("if($T119&lt;&gt;"""",VALUE(REGEXEXTRACT($T119, H$1&amp;""[\w &amp;]*, (\d+\.\d+)"")),"""")"),5760)</f>
        <v>5760</v>
      </c>
      <c r="I119" s="3" t="n">
        <f aca="false">IFERROR(__xludf.dummyfunction("if($T119&lt;&gt;"""",VALUE(REGEXEXTRACT(SUBSTITUTE ($T119,I$1&amp;"" CE"",""""), I$1&amp;""[\w &amp;]*, (\d+\.\d+)"")),"""")
"),5000)</f>
        <v>5000</v>
      </c>
      <c r="J119" s="3" t="n">
        <f aca="false">IFERROR(__xludf.dummyfunction("if($T119&lt;&gt;"""",VALUE(REGEXEXTRACT($T119, J$1&amp;""[\w &amp;]*, (\d+\.\d+)"")),"""")
"),5690)</f>
        <v>5690</v>
      </c>
      <c r="K119" s="3" t="n">
        <f aca="false">IFERROR(__xludf.dummyfunction("if($T119&lt;&gt;"""",VALUE(REGEXEXTRACT($T119, K$1&amp;""[\w &amp;]*, (\d+\.\d+)"")),"""")
"),5390)</f>
        <v>5390</v>
      </c>
      <c r="L119" s="3" t="n">
        <f aca="false">IFERROR(__xludf.dummyfunction("if($T119&lt;&gt;"""",VALUE(REGEXEXTRACT(SUBSTITUTE ($T119,L$1&amp;"" CE"",""""), L$1&amp;""[\w &amp;]*, (\d+\.\d+)"")),"""")
"),5670)</f>
        <v>5670</v>
      </c>
      <c r="M119" s="3" t="n">
        <f aca="false">IFERROR(__xludf.dummyfunction("if($T119&lt;&gt;"""",VALUE(REGEXEXTRACT($T119, M$1&amp;""[\w &amp;]*, (\d+\.\d+)"")),"""")
"),5695)</f>
        <v>5695</v>
      </c>
      <c r="N119" s="3" t="n">
        <f aca="false">IFERROR(__xludf.dummyfunction("if($T119&lt;&gt;"""",VALUE(REGEXEXTRACT(SUBSTITUTE ($T119,N$1&amp;"" CE"",""""), N$1&amp;""[\w &amp;]*, (\d+\.\d+)"")),"""")
"),5750)</f>
        <v>5750</v>
      </c>
      <c r="O119" s="3" t="n">
        <f aca="false">IFERROR(__xludf.dummyfunction("if($T119&lt;&gt;"""",VALUE(REGEXEXTRACT($T119, O$1&amp;""[\w &amp;]*, (\d+\.\d+)"")),"""")
"),5700)</f>
        <v>5700</v>
      </c>
      <c r="P119" s="2" t="n">
        <f aca="false">IFERROR(__xludf.dummyfunction("if($T119&lt;&gt;"""",VALUE(REGEXEXTRACT($T119, P$1&amp;""[\w &amp;]*, (\d+\.\d+)"")),"""")
"),5680.7)</f>
        <v>5680.7</v>
      </c>
      <c r="Q119" s="2" t="n">
        <f aca="false">IFERROR(__xludf.dummyfunction("if($T119&lt;&gt;"""",VALUE(REGEXEXTRACT($T119, Q$1&amp;""[\w &amp;]*, (\d+\.\d+)"")),"""")
"),5665.02)</f>
        <v>5665.02</v>
      </c>
      <c r="R119" s="2" t="n">
        <f aca="false">IFERROR(__xludf.dummyfunction("if($T119&lt;&gt;"""",VALUE(REGEXEXTRACT($T119, SUBSTITUTE(R$1, ""+"", ""\+"")&amp;""[\w &amp;]*, (\d+\.\d+)"")),"""")"),5756.44)</f>
        <v>5756.44</v>
      </c>
      <c r="S119" s="2" t="n">
        <f aca="false">IFERROR(__xludf.dummyfunction("if($T119&lt;&gt;"""",VALUE(REGEXEXTRACT($T119, SUBSTITUTE(S$1, ""+"", ""\+"")&amp;""[\w &amp;]*, (\d+\.\d+)"")),"""")"),5772.12)</f>
        <v>5772.12</v>
      </c>
      <c r="T119" s="5" t="s">
        <v>132</v>
      </c>
      <c r="U119" s="5"/>
    </row>
    <row r="120" customFormat="false" ht="15.75" hidden="false" customHeight="false" outlineLevel="0" collapsed="false">
      <c r="A120" s="4" t="n">
        <f aca="false">IFERROR(__xludf.dummyfunction("""COMPUTED_VALUE"""),45560.6666666667)</f>
        <v>45560.6666666667</v>
      </c>
      <c r="B120" s="2" t="n">
        <f aca="false">IFERROR(__xludf.dummyfunction("""COMPUTED_VALUE"""),5733.65)</f>
        <v>5733.65</v>
      </c>
      <c r="C120" s="2" t="n">
        <f aca="false">IFERROR(__xludf.dummyfunction("""COMPUTED_VALUE"""),5741.03)</f>
        <v>5741.03</v>
      </c>
      <c r="D120" s="2" t="n">
        <f aca="false">IFERROR(__xludf.dummyfunction("""COMPUTED_VALUE"""),5712.06)</f>
        <v>5712.06</v>
      </c>
      <c r="E120" s="2" t="n">
        <f aca="false">IFERROR(__xludf.dummyfunction("""COMPUTED_VALUE"""),5722.26)</f>
        <v>5722.26</v>
      </c>
      <c r="F120" s="3" t="n">
        <f aca="false">IFERROR(__xludf.dummyfunction("if($T120&lt;&gt;"""",VALUE(REGEXEXTRACT(SUBSTITUTE ($T120,F$1&amp;"" CE"",""""), F$1&amp;""[\w &amp;]*, (\d+\.\d+)"")),"""")
"),5750)</f>
        <v>5750</v>
      </c>
      <c r="G120" s="3" t="n">
        <f aca="false">IFERROR(__xludf.dummyfunction("if($T120&lt;&gt;"""",VALUE(REGEXEXTRACT($T120, G$1&amp;""[\w &amp;]*, (\d+\.\d+)"")),"""")
"),5750)</f>
        <v>5750</v>
      </c>
      <c r="H120" s="3" t="n">
        <f aca="false">IFERROR(__xludf.dummyfunction("if($T120&lt;&gt;"""",VALUE(REGEXEXTRACT($T120, H$1&amp;""[\w &amp;]*, (\d+\.\d+)"")),"""")"),5760)</f>
        <v>5760</v>
      </c>
      <c r="I120" s="3" t="n">
        <f aca="false">IFERROR(__xludf.dummyfunction("if($T120&lt;&gt;"""",VALUE(REGEXEXTRACT(SUBSTITUTE ($T120,I$1&amp;"" CE"",""""), I$1&amp;""[\w &amp;]*, (\d+\.\d+)"")),"""")
"),5600)</f>
        <v>5600</v>
      </c>
      <c r="J120" s="3" t="n">
        <f aca="false">IFERROR(__xludf.dummyfunction("if($T120&lt;&gt;"""",VALUE(REGEXEXTRACT($T120, J$1&amp;""[\w &amp;]*, (\d+\.\d+)"")),"""")
"),5710)</f>
        <v>5710</v>
      </c>
      <c r="K120" s="3" t="n">
        <f aca="false">IFERROR(__xludf.dummyfunction("if($T120&lt;&gt;"""",VALUE(REGEXEXTRACT($T120, K$1&amp;""[\w &amp;]*, (\d+\.\d+)"")),"""")
"),5390)</f>
        <v>5390</v>
      </c>
      <c r="L120" s="3" t="n">
        <f aca="false">IFERROR(__xludf.dummyfunction("if($T120&lt;&gt;"""",VALUE(REGEXEXTRACT(SUBSTITUTE ($T120,L$1&amp;"" CE"",""""), L$1&amp;""[\w &amp;]*, (\d+\.\d+)"")),"""")
"),5685)</f>
        <v>5685</v>
      </c>
      <c r="M120" s="3" t="n">
        <f aca="false">IFERROR(__xludf.dummyfunction("if($T120&lt;&gt;"""",VALUE(REGEXEXTRACT($T120, M$1&amp;""[\w &amp;]*, (\d+\.\d+)"")),"""")
"),5720)</f>
        <v>5720</v>
      </c>
      <c r="N120" s="3" t="n">
        <f aca="false">IFERROR(__xludf.dummyfunction("if($T120&lt;&gt;"""",VALUE(REGEXEXTRACT(SUBSTITUTE ($T120,N$1&amp;"" CE"",""""), N$1&amp;""[\w &amp;]*, (\d+\.\d+)"")),"""")
"),5750)</f>
        <v>5750</v>
      </c>
      <c r="O120" s="3" t="n">
        <f aca="false">IFERROR(__xludf.dummyfunction("if($T120&lt;&gt;"""",VALUE(REGEXEXTRACT($T120, O$1&amp;""[\w &amp;]*, (\d+\.\d+)"")),"""")
"),5750)</f>
        <v>5750</v>
      </c>
      <c r="P120" s="2" t="n">
        <f aca="false">IFERROR(__xludf.dummyfunction("if($T120&lt;&gt;"""",VALUE(REGEXEXTRACT($T120, P$1&amp;""[\w &amp;]*, (\d+\.\d+)"")),"""")
"),5696.28)</f>
        <v>5696.28</v>
      </c>
      <c r="Q120" s="2" t="n">
        <f aca="false">IFERROR(__xludf.dummyfunction("if($T120&lt;&gt;"""",VALUE(REGEXEXTRACT($T120, Q$1&amp;""[\w &amp;]*, (\d+\.\d+)"")),"""")
"),5681.1)</f>
        <v>5681.1</v>
      </c>
      <c r="R120" s="2" t="n">
        <f aca="false">IFERROR(__xludf.dummyfunction("if($T120&lt;&gt;"""",VALUE(REGEXEXTRACT($T120, SUBSTITUTE(R$1, ""+"", ""\+"")&amp;""[\w &amp;]*, (\d+\.\d+)"")),"""")"),5769.58)</f>
        <v>5769.58</v>
      </c>
      <c r="S120" s="2" t="n">
        <f aca="false">IFERROR(__xludf.dummyfunction("if($T120&lt;&gt;"""",VALUE(REGEXEXTRACT($T120, SUBSTITUTE(S$1, ""+"", ""\+"")&amp;""[\w &amp;]*, (\d+\.\d+)"")),"""")"),5784.76)</f>
        <v>5784.76</v>
      </c>
      <c r="T120" s="5" t="s">
        <v>133</v>
      </c>
      <c r="U120" s="5"/>
    </row>
    <row r="121" customFormat="false" ht="15.75" hidden="false" customHeight="false" outlineLevel="0" collapsed="false">
      <c r="A121" s="4" t="n">
        <f aca="false">IFERROR(__xludf.dummyfunction("""COMPUTED_VALUE"""),45561.6666666667)</f>
        <v>45561.6666666667</v>
      </c>
      <c r="B121" s="2" t="n">
        <f aca="false">IFERROR(__xludf.dummyfunction("""COMPUTED_VALUE"""),5762.22)</f>
        <v>5762.22</v>
      </c>
      <c r="C121" s="2" t="n">
        <f aca="false">IFERROR(__xludf.dummyfunction("""COMPUTED_VALUE"""),5767.37)</f>
        <v>5767.37</v>
      </c>
      <c r="D121" s="2" t="n">
        <f aca="false">IFERROR(__xludf.dummyfunction("""COMPUTED_VALUE"""),5721.01)</f>
        <v>5721.01</v>
      </c>
      <c r="E121" s="2" t="n">
        <f aca="false">IFERROR(__xludf.dummyfunction("""COMPUTED_VALUE"""),5745.37)</f>
        <v>5745.37</v>
      </c>
      <c r="F121" s="3" t="n">
        <f aca="false">IFERROR(__xludf.dummyfunction("if($T121&lt;&gt;"""",VALUE(REGEXEXTRACT(SUBSTITUTE ($T121,F$1&amp;"" CE"",""""), F$1&amp;""[\w &amp;]*, (\d+\.\d+)"")),"""")
"),5750)</f>
        <v>5750</v>
      </c>
      <c r="G121" s="3" t="n">
        <f aca="false">IFERROR(__xludf.dummyfunction("if($T121&lt;&gt;"""",VALUE(REGEXEXTRACT($T121, G$1&amp;""[\w &amp;]*, (\d+\.\d+)"")),"""")
"),5760)</f>
        <v>5760</v>
      </c>
      <c r="H121" s="3" t="n">
        <f aca="false">IFERROR(__xludf.dummyfunction("if($T121&lt;&gt;"""",VALUE(REGEXEXTRACT($T121, H$1&amp;""[\w &amp;]*, (\d+\.\d+)"")),"""")"),5760)</f>
        <v>5760</v>
      </c>
      <c r="I121" s="3" t="n">
        <f aca="false">IFERROR(__xludf.dummyfunction("if($T121&lt;&gt;"""",VALUE(REGEXEXTRACT(SUBSTITUTE ($T121,I$1&amp;"" CE"",""""), I$1&amp;""[\w &amp;]*, (\d+\.\d+)"")),"""")
"),5750)</f>
        <v>5750</v>
      </c>
      <c r="J121" s="3" t="n">
        <f aca="false">IFERROR(__xludf.dummyfunction("if($T121&lt;&gt;"""",VALUE(REGEXEXTRACT($T121, J$1&amp;""[\w &amp;]*, (\d+\.\d+)"")),"""")
"),5700)</f>
        <v>5700</v>
      </c>
      <c r="K121" s="3" t="n">
        <f aca="false">IFERROR(__xludf.dummyfunction("if($T121&lt;&gt;"""",VALUE(REGEXEXTRACT($T121, K$1&amp;""[\w &amp;]*, (\d+\.\d+)"")),"""")
"),5390)</f>
        <v>5390</v>
      </c>
      <c r="L121" s="3" t="n">
        <f aca="false">IFERROR(__xludf.dummyfunction("if($T121&lt;&gt;"""",VALUE(REGEXEXTRACT(SUBSTITUTE ($T121,L$1&amp;"" CE"",""""), L$1&amp;""[\w &amp;]*, (\d+\.\d+)"")),"""")
"),5685)</f>
        <v>5685</v>
      </c>
      <c r="M121" s="3" t="n">
        <f aca="false">IFERROR(__xludf.dummyfunction("if($T121&lt;&gt;"""",VALUE(REGEXEXTRACT($T121, M$1&amp;""[\w &amp;]*, (\d+\.\d+)"")),"""")
"),5705)</f>
        <v>5705</v>
      </c>
      <c r="N121" s="3" t="n">
        <f aca="false">IFERROR(__xludf.dummyfunction("if($T121&lt;&gt;"""",VALUE(REGEXEXTRACT(SUBSTITUTE ($T121,N$1&amp;"" CE"",""""), N$1&amp;""[\w &amp;]*, (\d+\.\d+)"")),"""")
"),5750)</f>
        <v>5750</v>
      </c>
      <c r="O121" s="3" t="n">
        <f aca="false">IFERROR(__xludf.dummyfunction("if($T121&lt;&gt;"""",VALUE(REGEXEXTRACT($T121, O$1&amp;""[\w &amp;]*, (\d+\.\d+)"")),"""")
"),5760)</f>
        <v>5760</v>
      </c>
      <c r="P121" s="2" t="n">
        <f aca="false">IFERROR(__xludf.dummyfunction("if($T121&lt;&gt;"""",VALUE(REGEXEXTRACT($T121, P$1&amp;""[\w &amp;]*, (\d+\.\d+)"")),"""")
"),5682.83)</f>
        <v>5682.83</v>
      </c>
      <c r="Q121" s="2" t="n">
        <f aca="false">IFERROR(__xludf.dummyfunction("if($T121&lt;&gt;"""",VALUE(REGEXEXTRACT($T121, Q$1&amp;""[\w &amp;]*, (\d+\.\d+)"")),"""")
"),5666.49)</f>
        <v>5666.49</v>
      </c>
      <c r="R121" s="2" t="n">
        <f aca="false">IFERROR(__xludf.dummyfunction("if($T121&lt;&gt;"""",VALUE(REGEXEXTRACT($T121, SUBSTITUTE(R$1, ""+"", ""\+"")&amp;""[\w &amp;]*, (\d+\.\d+)"")),"""")"),5761.69)</f>
        <v>5761.69</v>
      </c>
      <c r="S121" s="2" t="n">
        <f aca="false">IFERROR(__xludf.dummyfunction("if($T121&lt;&gt;"""",VALUE(REGEXEXTRACT($T121, SUBSTITUTE(S$1, ""+"", ""\+"")&amp;""[\w &amp;]*, (\d+\.\d+)"")),"""")"),5778.03)</f>
        <v>5778.03</v>
      </c>
      <c r="T121" s="5" t="s">
        <v>134</v>
      </c>
      <c r="U121" s="5"/>
    </row>
    <row r="122" customFormat="false" ht="15.75" hidden="false" customHeight="false" outlineLevel="0" collapsed="false">
      <c r="A122" s="4" t="n">
        <f aca="false">IFERROR(__xludf.dummyfunction("""COMPUTED_VALUE"""),45562.6666666667)</f>
        <v>45562.6666666667</v>
      </c>
      <c r="B122" s="2" t="n">
        <f aca="false">IFERROR(__xludf.dummyfunction("""COMPUTED_VALUE"""),5755.36)</f>
        <v>5755.36</v>
      </c>
      <c r="C122" s="2" t="n">
        <f aca="false">IFERROR(__xludf.dummyfunction("""COMPUTED_VALUE"""),5763.78)</f>
        <v>5763.78</v>
      </c>
      <c r="D122" s="2" t="n">
        <f aca="false">IFERROR(__xludf.dummyfunction("""COMPUTED_VALUE"""),5727.34)</f>
        <v>5727.34</v>
      </c>
      <c r="E122" s="2" t="n">
        <f aca="false">IFERROR(__xludf.dummyfunction("""COMPUTED_VALUE"""),5738.17)</f>
        <v>5738.17</v>
      </c>
      <c r="F122" s="3" t="n">
        <f aca="false">IFERROR(__xludf.dummyfunction("if($T122&lt;&gt;"""",VALUE(REGEXEXTRACT(SUBSTITUTE ($T122,F$1&amp;"" CE"",""""), F$1&amp;""[\w &amp;]*, (\d+\.\d+)"")),"""")
"),5750)</f>
        <v>5750</v>
      </c>
      <c r="G122" s="3" t="n">
        <f aca="false">IFERROR(__xludf.dummyfunction("if($T122&lt;&gt;"""",VALUE(REGEXEXTRACT($T122, G$1&amp;""[\w &amp;]*, (\d+\.\d+)"")),"""")
"),5750)</f>
        <v>5750</v>
      </c>
      <c r="H122" s="3" t="n">
        <f aca="false">IFERROR(__xludf.dummyfunction("if($T122&lt;&gt;"""",VALUE(REGEXEXTRACT($T122, H$1&amp;""[\w &amp;]*, (\d+\.\d+)"")),"""")"),5770)</f>
        <v>5770</v>
      </c>
      <c r="I122" s="3" t="n">
        <f aca="false">IFERROR(__xludf.dummyfunction("if($T122&lt;&gt;"""",VALUE(REGEXEXTRACT(SUBSTITUTE ($T122,I$1&amp;"" CE"",""""), I$1&amp;""[\w &amp;]*, (\d+\.\d+)"")),"""")
"),5750)</f>
        <v>5750</v>
      </c>
      <c r="J122" s="3" t="n">
        <f aca="false">IFERROR(__xludf.dummyfunction("if($T122&lt;&gt;"""",VALUE(REGEXEXTRACT($T122, J$1&amp;""[\w &amp;]*, (\d+\.\d+)"")),"""")
"),5720)</f>
        <v>5720</v>
      </c>
      <c r="K122" s="3" t="n">
        <f aca="false">IFERROR(__xludf.dummyfunction("if($T122&lt;&gt;"""",VALUE(REGEXEXTRACT($T122, K$1&amp;""[\w &amp;]*, (\d+\.\d+)"")),"""")
"),5390)</f>
        <v>5390</v>
      </c>
      <c r="L122" s="3" t="n">
        <f aca="false">IFERROR(__xludf.dummyfunction("if($T122&lt;&gt;"""",VALUE(REGEXEXTRACT(SUBSTITUTE ($T122,L$1&amp;"" CE"",""""), L$1&amp;""[\w &amp;]*, (\d+\.\d+)"")),"""")
"),5685)</f>
        <v>5685</v>
      </c>
      <c r="M122" s="3" t="n">
        <f aca="false">IFERROR(__xludf.dummyfunction("if($T122&lt;&gt;"""",VALUE(REGEXEXTRACT($T122, M$1&amp;""[\w &amp;]*, (\d+\.\d+)"")),"""")
"),5725)</f>
        <v>5725</v>
      </c>
      <c r="N122" s="3" t="n">
        <f aca="false">IFERROR(__xludf.dummyfunction("if($T122&lt;&gt;"""",VALUE(REGEXEXTRACT(SUBSTITUTE ($T122,N$1&amp;"" CE"",""""), N$1&amp;""[\w &amp;]*, (\d+\.\d+)"")),"""")
"),5750)</f>
        <v>5750</v>
      </c>
      <c r="O122" s="3" t="n">
        <f aca="false">IFERROR(__xludf.dummyfunction("if($T122&lt;&gt;"""",VALUE(REGEXEXTRACT($T122, O$1&amp;""[\w &amp;]*, (\d+\.\d+)"")),"""")
"),5750)</f>
        <v>5750</v>
      </c>
      <c r="P122" s="2" t="n">
        <f aca="false">IFERROR(__xludf.dummyfunction("if($T122&lt;&gt;"""",VALUE(REGEXEXTRACT($T122, P$1&amp;""[\w &amp;]*, (\d+\.\d+)"")),"""")
"),5707.61)</f>
        <v>5707.61</v>
      </c>
      <c r="Q122" s="2" t="n">
        <f aca="false">IFERROR(__xludf.dummyfunction("if($T122&lt;&gt;"""",VALUE(REGEXEXTRACT($T122, Q$1&amp;""[\w &amp;]*, (\d+\.\d+)"")),"""")
"),5669.86)</f>
        <v>5669.86</v>
      </c>
      <c r="R122" s="2" t="n">
        <f aca="false">IFERROR(__xludf.dummyfunction("if($T122&lt;&gt;"""",VALUE(REGEXEXTRACT($T122, SUBSTITUTE(R$1, ""+"", ""\+"")&amp;""[\w &amp;]*, (\d+\.\d+)"")),"""")"),5783.13)</f>
        <v>5783.13</v>
      </c>
      <c r="S122" s="2" t="n">
        <f aca="false">IFERROR(__xludf.dummyfunction("if($T122&lt;&gt;"""",VALUE(REGEXEXTRACT($T122, SUBSTITUTE(S$1, ""+"", ""\+"")&amp;""[\w &amp;]*, (\d+\.\d+)"")),"""")"),5820.88)</f>
        <v>5820.88</v>
      </c>
      <c r="T122" s="5" t="s">
        <v>135</v>
      </c>
      <c r="U122" s="5"/>
    </row>
    <row r="123" customFormat="false" ht="15.75" hidden="false" customHeight="false" outlineLevel="0" collapsed="false">
      <c r="A123" s="4" t="n">
        <f aca="false">IFERROR(__xludf.dummyfunction("""COMPUTED_VALUE"""),45565.6666666667)</f>
        <v>45565.6666666667</v>
      </c>
      <c r="B123" s="2" t="n">
        <f aca="false">IFERROR(__xludf.dummyfunction("""COMPUTED_VALUE"""),5726.52)</f>
        <v>5726.52</v>
      </c>
      <c r="C123" s="2" t="n">
        <f aca="false">IFERROR(__xludf.dummyfunction("""COMPUTED_VALUE"""),5765.14)</f>
        <v>5765.14</v>
      </c>
      <c r="D123" s="2" t="n">
        <f aca="false">IFERROR(__xludf.dummyfunction("""COMPUTED_VALUE"""),5703.53)</f>
        <v>5703.53</v>
      </c>
      <c r="E123" s="2" t="n">
        <f aca="false">IFERROR(__xludf.dummyfunction("""COMPUTED_VALUE"""),5762.48)</f>
        <v>5762.48</v>
      </c>
      <c r="F123" s="3" t="n">
        <f aca="false">IFERROR(__xludf.dummyfunction("if($T123&lt;&gt;"""",VALUE(REGEXEXTRACT(SUBSTITUTE ($T123,F$1&amp;"" CE"",""""), F$1&amp;""[\w &amp;]*, (\d+\.\d+)"")),"""")
"),5750)</f>
        <v>5750</v>
      </c>
      <c r="G123" s="3" t="n">
        <f aca="false">IFERROR(__xludf.dummyfunction("if($T123&lt;&gt;"""",VALUE(REGEXEXTRACT($T123, G$1&amp;""[\w &amp;]*, (\d+\.\d+)"")),"""")
"),5750)</f>
        <v>5750</v>
      </c>
      <c r="H123" s="3" t="n">
        <f aca="false">IFERROR(__xludf.dummyfunction("if($T123&lt;&gt;"""",VALUE(REGEXEXTRACT($T123, H$1&amp;""[\w &amp;]*, (\d+\.\d+)"")),"""")"),5775)</f>
        <v>5775</v>
      </c>
      <c r="I123" s="3" t="n">
        <f aca="false">IFERROR(__xludf.dummyfunction("if($T123&lt;&gt;"""",VALUE(REGEXEXTRACT(SUBSTITUTE ($T123,I$1&amp;"" CE"",""""), I$1&amp;""[\w &amp;]*, (\d+\.\d+)"")),"""")
"),5750)</f>
        <v>5750</v>
      </c>
      <c r="J123" s="3" t="n">
        <f aca="false">IFERROR(__xludf.dummyfunction("if($T123&lt;&gt;"""",VALUE(REGEXEXTRACT($T123, J$1&amp;""[\w &amp;]*, (\d+\.\d+)"")),"""")
"),5720)</f>
        <v>5720</v>
      </c>
      <c r="K123" s="3" t="n">
        <f aca="false">IFERROR(__xludf.dummyfunction("if($T123&lt;&gt;"""",VALUE(REGEXEXTRACT($T123, K$1&amp;""[\w &amp;]*, (\d+\.\d+)"")),"""")
"),5590)</f>
        <v>5590</v>
      </c>
      <c r="L123" s="3" t="n">
        <f aca="false">IFERROR(__xludf.dummyfunction("if($T123&lt;&gt;"""",VALUE(REGEXEXTRACT(SUBSTITUTE ($T123,L$1&amp;"" CE"",""""), L$1&amp;""[\w &amp;]*, (\d+\.\d+)"")),"""")
"),5720)</f>
        <v>5720</v>
      </c>
      <c r="M123" s="3" t="n">
        <f aca="false">IFERROR(__xludf.dummyfunction("if($T123&lt;&gt;"""",VALUE(REGEXEXTRACT($T123, M$1&amp;""[\w &amp;]*, (\d+\.\d+)"")),"""")
"),5730)</f>
        <v>5730</v>
      </c>
      <c r="N123" s="3" t="n">
        <f aca="false">IFERROR(__xludf.dummyfunction("if($T123&lt;&gt;"""",VALUE(REGEXEXTRACT(SUBSTITUTE ($T123,N$1&amp;"" CE"",""""), N$1&amp;""[\w &amp;]*, (\d+\.\d+)"")),"""")
"),5750)</f>
        <v>5750</v>
      </c>
      <c r="O123" s="3" t="n">
        <f aca="false">IFERROR(__xludf.dummyfunction("if($T123&lt;&gt;"""",VALUE(REGEXEXTRACT($T123, O$1&amp;""[\w &amp;]*, (\d+\.\d+)"")),"""")
"),5750)</f>
        <v>5750</v>
      </c>
      <c r="P123" s="2" t="n">
        <f aca="false">IFERROR(__xludf.dummyfunction("if($T123&lt;&gt;"""",VALUE(REGEXEXTRACT($T123, P$1&amp;""[\w &amp;]*, (\d+\.\d+)"")),"""")
"),5695.25)</f>
        <v>5695.25</v>
      </c>
      <c r="Q123" s="2" t="n">
        <f aca="false">IFERROR(__xludf.dummyfunction("if($T123&lt;&gt;"""",VALUE(REGEXEXTRACT($T123, Q$1&amp;""[\w &amp;]*, (\d+\.\d+)"")),"""")
"),5677.47)</f>
        <v>5677.47</v>
      </c>
      <c r="R123" s="2" t="n">
        <f aca="false">IFERROR(__xludf.dummyfunction("if($T123&lt;&gt;"""",VALUE(REGEXEXTRACT($T123, SUBSTITUTE(R$1, ""+"", ""\+"")&amp;""[\w &amp;]*, (\d+\.\d+)"")),"""")"),5781.09)</f>
        <v>5781.09</v>
      </c>
      <c r="S123" s="2" t="n">
        <f aca="false">IFERROR(__xludf.dummyfunction("if($T123&lt;&gt;"""",VALUE(REGEXEXTRACT($T123, SUBSTITUTE(S$1, ""+"", ""\+"")&amp;""[\w &amp;]*, (\d+\.\d+)"")),"""")"),5798.87)</f>
        <v>5798.87</v>
      </c>
      <c r="T123" s="5" t="s">
        <v>136</v>
      </c>
      <c r="U123" s="5"/>
    </row>
    <row r="124" customFormat="false" ht="15.75" hidden="false" customHeight="false" outlineLevel="0" collapsed="false">
      <c r="A124" s="4" t="n">
        <f aca="false">IFERROR(__xludf.dummyfunction("""COMPUTED_VALUE"""),45566.6666666667)</f>
        <v>45566.6666666667</v>
      </c>
      <c r="B124" s="2" t="n">
        <f aca="false">IFERROR(__xludf.dummyfunction("""COMPUTED_VALUE"""),5757.73)</f>
        <v>5757.73</v>
      </c>
      <c r="C124" s="2" t="n">
        <f aca="false">IFERROR(__xludf.dummyfunction("""COMPUTED_VALUE"""),5757.73)</f>
        <v>5757.73</v>
      </c>
      <c r="D124" s="2" t="n">
        <f aca="false">IFERROR(__xludf.dummyfunction("""COMPUTED_VALUE"""),5681.28)</f>
        <v>5681.28</v>
      </c>
      <c r="E124" s="2" t="n">
        <f aca="false">IFERROR(__xludf.dummyfunction("""COMPUTED_VALUE"""),5708.75)</f>
        <v>5708.75</v>
      </c>
      <c r="F124" s="3" t="n">
        <f aca="false">IFERROR(__xludf.dummyfunction("if($T124&lt;&gt;"""",VALUE(REGEXEXTRACT(SUBSTITUTE ($T124,F$1&amp;"" CE"",""""), F$1&amp;""[\w &amp;]*, (\d+\.\d+)"")),"""")
"),5750)</f>
        <v>5750</v>
      </c>
      <c r="G124" s="3" t="n">
        <f aca="false">IFERROR(__xludf.dummyfunction("if($T124&lt;&gt;"""",VALUE(REGEXEXTRACT($T124, G$1&amp;""[\w &amp;]*, (\d+\.\d+)"")),"""")
"),5750)</f>
        <v>5750</v>
      </c>
      <c r="H124" s="3" t="n">
        <f aca="false">IFERROR(__xludf.dummyfunction("if($T124&lt;&gt;"""",VALUE(REGEXEXTRACT($T124, H$1&amp;""[\w &amp;]*, (\d+\.\d+)"")),"""")"),5815)</f>
        <v>5815</v>
      </c>
      <c r="I124" s="3" t="n">
        <f aca="false">IFERROR(__xludf.dummyfunction("if($T124&lt;&gt;"""",VALUE(REGEXEXTRACT(SUBSTITUTE ($T124,I$1&amp;"" CE"",""""), I$1&amp;""[\w &amp;]*, (\d+\.\d+)"")),"""")
"),5750)</f>
        <v>5750</v>
      </c>
      <c r="J124" s="3" t="n">
        <f aca="false">IFERROR(__xludf.dummyfunction("if($T124&lt;&gt;"""",VALUE(REGEXEXTRACT($T124, J$1&amp;""[\w &amp;]*, (\d+\.\d+)"")),"""")
"),5715)</f>
        <v>5715</v>
      </c>
      <c r="K124" s="3" t="n">
        <f aca="false">IFERROR(__xludf.dummyfunction("if($T124&lt;&gt;"""",VALUE(REGEXEXTRACT($T124, K$1&amp;""[\w &amp;]*, (\d+\.\d+)"")),"""")
"),5390)</f>
        <v>5390</v>
      </c>
      <c r="L124" s="3" t="n">
        <f aca="false">IFERROR(__xludf.dummyfunction("if($T124&lt;&gt;"""",VALUE(REGEXEXTRACT(SUBSTITUTE ($T124,L$1&amp;"" CE"",""""), L$1&amp;""[\w &amp;]*, (\d+\.\d+)"")),"""")
"),5695)</f>
        <v>5695</v>
      </c>
      <c r="M124" s="3" t="n">
        <f aca="false">IFERROR(__xludf.dummyfunction("if($T124&lt;&gt;"""",VALUE(REGEXEXTRACT($T124, M$1&amp;""[\w &amp;]*, (\d+\.\d+)"")),"""")
"),5735)</f>
        <v>5735</v>
      </c>
      <c r="N124" s="3" t="n">
        <f aca="false">IFERROR(__xludf.dummyfunction("if($T124&lt;&gt;"""",VALUE(REGEXEXTRACT(SUBSTITUTE ($T124,N$1&amp;"" CE"",""""), N$1&amp;""[\w &amp;]*, (\d+\.\d+)"")),"""")
"),5750)</f>
        <v>5750</v>
      </c>
      <c r="O124" s="3" t="n">
        <f aca="false">IFERROR(__xludf.dummyfunction("if($T124&lt;&gt;"""",VALUE(REGEXEXTRACT($T124, O$1&amp;""[\w &amp;]*, (\d+\.\d+)"")),"""")
"),5750)</f>
        <v>5750</v>
      </c>
      <c r="P124" s="2" t="n">
        <f aca="false">IFERROR(__xludf.dummyfunction("if($T124&lt;&gt;"""",VALUE(REGEXEXTRACT($T124, P$1&amp;""[\w &amp;]*, (\d+\.\d+)"")),"""")
"),5719.97)</f>
        <v>5719.97</v>
      </c>
      <c r="Q124" s="2" t="n">
        <f aca="false">IFERROR(__xludf.dummyfunction("if($T124&lt;&gt;"""",VALUE(REGEXEXTRACT($T124, Q$1&amp;""[\w &amp;]*, (\d+\.\d+)"")),"""")
"),5702.36)</f>
        <v>5702.36</v>
      </c>
      <c r="R124" s="2" t="n">
        <f aca="false">IFERROR(__xludf.dummyfunction("if($T124&lt;&gt;"""",VALUE(REGEXEXTRACT($T124, SUBSTITUTE(R$1, ""+"", ""\+"")&amp;""[\w &amp;]*, (\d+\.\d+)"")),"""")"),5804.99)</f>
        <v>5804.99</v>
      </c>
      <c r="S124" s="2" t="n">
        <f aca="false">IFERROR(__xludf.dummyfunction("if($T124&lt;&gt;"""",VALUE(REGEXEXTRACT($T124, SUBSTITUTE(S$1, ""+"", ""\+"")&amp;""[\w &amp;]*, (\d+\.\d+)"")),"""")"),5822.6)</f>
        <v>5822.6</v>
      </c>
      <c r="T124" s="5" t="s">
        <v>137</v>
      </c>
      <c r="U124" s="5"/>
    </row>
    <row r="125" customFormat="false" ht="15.75" hidden="false" customHeight="false" outlineLevel="0" collapsed="false">
      <c r="A125" s="4" t="n">
        <f aca="false">IFERROR(__xludf.dummyfunction("""COMPUTED_VALUE"""),45567.6666666667)</f>
        <v>45567.6666666667</v>
      </c>
      <c r="B125" s="2" t="n">
        <f aca="false">IFERROR(__xludf.dummyfunction("""COMPUTED_VALUE"""),5698.14)</f>
        <v>5698.14</v>
      </c>
      <c r="C125" s="2" t="n">
        <f aca="false">IFERROR(__xludf.dummyfunction("""COMPUTED_VALUE"""),5719.63)</f>
        <v>5719.63</v>
      </c>
      <c r="D125" s="2" t="n">
        <f aca="false">IFERROR(__xludf.dummyfunction("""COMPUTED_VALUE"""),5674)</f>
        <v>5674</v>
      </c>
      <c r="E125" s="2" t="n">
        <f aca="false">IFERROR(__xludf.dummyfunction("""COMPUTED_VALUE"""),5709.54)</f>
        <v>5709.54</v>
      </c>
      <c r="F125" s="3" t="n">
        <f aca="false">IFERROR(__xludf.dummyfunction("if($T125&lt;&gt;"""",VALUE(REGEXEXTRACT(SUBSTITUTE ($T125,F$1&amp;"" CE"",""""), F$1&amp;""[\w &amp;]*, (\d+\.\d+)"")),"""")
"),5800)</f>
        <v>5800</v>
      </c>
      <c r="G125" s="3" t="n">
        <f aca="false">IFERROR(__xludf.dummyfunction("if($T125&lt;&gt;"""",VALUE(REGEXEXTRACT($T125, G$1&amp;""[\w &amp;]*, (\d+\.\d+)"")),"""")
"),5715)</f>
        <v>5715</v>
      </c>
      <c r="H125" s="3" t="n">
        <f aca="false">IFERROR(__xludf.dummyfunction("if($T125&lt;&gt;"""",VALUE(REGEXEXTRACT($T125, H$1&amp;""[\w &amp;]*, (\d+\.\d+)"")),"""")"),5810)</f>
        <v>5810</v>
      </c>
      <c r="I125" s="3" t="n">
        <f aca="false">IFERROR(__xludf.dummyfunction("if($T125&lt;&gt;"""",VALUE(REGEXEXTRACT(SUBSTITUTE ($T125,I$1&amp;"" CE"",""""), I$1&amp;""[\w &amp;]*, (\d+\.\d+)"")),"""")
"),5000)</f>
        <v>5000</v>
      </c>
      <c r="J125" s="3" t="n">
        <f aca="false">IFERROR(__xludf.dummyfunction("if($T125&lt;&gt;"""",VALUE(REGEXEXTRACT($T125, J$1&amp;""[\w &amp;]*, (\d+\.\d+)"")),"""")
"),5700)</f>
        <v>5700</v>
      </c>
      <c r="K125" s="3" t="n">
        <f aca="false">IFERROR(__xludf.dummyfunction("if($T125&lt;&gt;"""",VALUE(REGEXEXTRACT($T125, K$1&amp;""[\w &amp;]*, (\d+\.\d+)"")),"""")
"),5590)</f>
        <v>5590</v>
      </c>
      <c r="L125" s="3" t="n">
        <f aca="false">IFERROR(__xludf.dummyfunction("if($T125&lt;&gt;"""",VALUE(REGEXEXTRACT(SUBSTITUTE ($T125,L$1&amp;"" CE"",""""), L$1&amp;""[\w &amp;]*, (\d+\.\d+)"")),"""")
"),5705)</f>
        <v>5705</v>
      </c>
      <c r="M125" s="3" t="n">
        <f aca="false">IFERROR(__xludf.dummyfunction("if($T125&lt;&gt;"""",VALUE(REGEXEXTRACT($T125, M$1&amp;""[\w &amp;]*, (\d+\.\d+)"")),"""")
"),5710)</f>
        <v>5710</v>
      </c>
      <c r="N125" s="3" t="n">
        <f aca="false">IFERROR(__xludf.dummyfunction("if($T125&lt;&gt;"""",VALUE(REGEXEXTRACT(SUBSTITUTE ($T125,N$1&amp;"" CE"",""""), N$1&amp;""[\w &amp;]*, (\d+\.\d+)"")),"""")
"),5700)</f>
        <v>5700</v>
      </c>
      <c r="O125" s="3" t="n">
        <f aca="false">IFERROR(__xludf.dummyfunction("if($T125&lt;&gt;"""",VALUE(REGEXEXTRACT($T125, O$1&amp;""[\w &amp;]*, (\d+\.\d+)"")),"""")
"),5700)</f>
        <v>5700</v>
      </c>
      <c r="P125" s="2" t="n">
        <f aca="false">IFERROR(__xludf.dummyfunction("if($T125&lt;&gt;"""",VALUE(REGEXEXTRACT($T125, P$1&amp;""[\w &amp;]*, (\d+\.\d+)"")),"""")
"),5660.56)</f>
        <v>5660.56</v>
      </c>
      <c r="Q125" s="2" t="n">
        <f aca="false">IFERROR(__xludf.dummyfunction("if($T125&lt;&gt;"""",VALUE(REGEXEXTRACT($T125, Q$1&amp;""[\w &amp;]*, (\d+\.\d+)"")),"""")
"),5640.59)</f>
        <v>5640.59</v>
      </c>
      <c r="R125" s="2" t="n">
        <f aca="false">IFERROR(__xludf.dummyfunction("if($T125&lt;&gt;"""",VALUE(REGEXEXTRACT($T125, SUBSTITUTE(R$1, ""+"", ""\+"")&amp;""[\w &amp;]*, (\d+\.\d+)"")),"""")"),5756.94)</f>
        <v>5756.94</v>
      </c>
      <c r="S125" s="2" t="n">
        <f aca="false">IFERROR(__xludf.dummyfunction("if($T125&lt;&gt;"""",VALUE(REGEXEXTRACT($T125, SUBSTITUTE(S$1, ""+"", ""\+"")&amp;""[\w &amp;]*, (\d+\.\d+)"")),"""")"),5776.91)</f>
        <v>5776.91</v>
      </c>
      <c r="T125" s="5" t="s">
        <v>138</v>
      </c>
      <c r="U125" s="5"/>
    </row>
    <row r="126" customFormat="false" ht="15.75" hidden="false" customHeight="false" outlineLevel="0" collapsed="false">
      <c r="A126" s="4" t="n">
        <f aca="false">IFERROR(__xludf.dummyfunction("""COMPUTED_VALUE"""),45568.6666666667)</f>
        <v>45568.6666666667</v>
      </c>
      <c r="B126" s="2" t="n">
        <f aca="false">IFERROR(__xludf.dummyfunction("""COMPUTED_VALUE"""),5698.19)</f>
        <v>5698.19</v>
      </c>
      <c r="C126" s="2" t="n">
        <f aca="false">IFERROR(__xludf.dummyfunction("""COMPUTED_VALUE"""),5718.78)</f>
        <v>5718.78</v>
      </c>
      <c r="D126" s="2" t="n">
        <f aca="false">IFERROR(__xludf.dummyfunction("""COMPUTED_VALUE"""),5677.37)</f>
        <v>5677.37</v>
      </c>
      <c r="E126" s="2" t="n">
        <f aca="false">IFERROR(__xludf.dummyfunction("""COMPUTED_VALUE"""),5699.94)</f>
        <v>5699.94</v>
      </c>
      <c r="F126" s="3" t="n">
        <f aca="false">IFERROR(__xludf.dummyfunction("if($T126&lt;&gt;"""",VALUE(REGEXEXTRACT(SUBSTITUTE ($T126,F$1&amp;"" CE"",""""), F$1&amp;""[\w &amp;]*, (\d+\.\d+)"")),"""")
"),5800)</f>
        <v>5800</v>
      </c>
      <c r="G126" s="3" t="n">
        <f aca="false">IFERROR(__xludf.dummyfunction("if($T126&lt;&gt;"""",VALUE(REGEXEXTRACT($T126, G$1&amp;""[\w &amp;]*, (\d+\.\d+)"")),"""")
"),5745)</f>
        <v>5745</v>
      </c>
      <c r="H126" s="3" t="n">
        <f aca="false">IFERROR(__xludf.dummyfunction("if($T126&lt;&gt;"""",VALUE(REGEXEXTRACT($T126, H$1&amp;""[\w &amp;]*, (\d+\.\d+)"")),"""")"),5810)</f>
        <v>5810</v>
      </c>
      <c r="I126" s="3" t="n">
        <f aca="false">IFERROR(__xludf.dummyfunction("if($T126&lt;&gt;"""",VALUE(REGEXEXTRACT(SUBSTITUTE ($T126,I$1&amp;"" CE"",""""), I$1&amp;""[\w &amp;]*, (\d+\.\d+)"")),"""")
"),5600)</f>
        <v>5600</v>
      </c>
      <c r="J126" s="3" t="n">
        <f aca="false">IFERROR(__xludf.dummyfunction("if($T126&lt;&gt;"""",VALUE(REGEXEXTRACT($T126, J$1&amp;""[\w &amp;]*, (\d+\.\d+)"")),"""")
"),5680)</f>
        <v>5680</v>
      </c>
      <c r="K126" s="3" t="n">
        <f aca="false">IFERROR(__xludf.dummyfunction("if($T126&lt;&gt;"""",VALUE(REGEXEXTRACT($T126, K$1&amp;""[\w &amp;]*, (\d+\.\d+)"")),"""")
"),5590)</f>
        <v>5590</v>
      </c>
      <c r="L126" s="3" t="n">
        <f aca="false">IFERROR(__xludf.dummyfunction("if($T126&lt;&gt;"""",VALUE(REGEXEXTRACT(SUBSTITUTE ($T126,L$1&amp;"" CE"",""""), L$1&amp;""[\w &amp;]*, (\d+\.\d+)"")),"""")
"),5695)</f>
        <v>5695</v>
      </c>
      <c r="M126" s="3" t="n">
        <f aca="false">IFERROR(__xludf.dummyfunction("if($T126&lt;&gt;"""",VALUE(REGEXEXTRACT($T126, M$1&amp;""[\w &amp;]*, (\d+\.\d+)"")),"""")
"),5715)</f>
        <v>5715</v>
      </c>
      <c r="N126" s="3" t="n">
        <f aca="false">IFERROR(__xludf.dummyfunction("if($T126&lt;&gt;"""",VALUE(REGEXEXTRACT(SUBSTITUTE ($T126,N$1&amp;"" CE"",""""), N$1&amp;""[\w &amp;]*, (\d+\.\d+)"")),"""")
"),5750)</f>
        <v>5750</v>
      </c>
      <c r="O126" s="3" t="n">
        <f aca="false">IFERROR(__xludf.dummyfunction("if($T126&lt;&gt;"""",VALUE(REGEXEXTRACT($T126, O$1&amp;""[\w &amp;]*, (\d+\.\d+)"")),"""")
"),5700)</f>
        <v>5700</v>
      </c>
      <c r="P126" s="2" t="n">
        <f aca="false">IFERROR(__xludf.dummyfunction("if($T126&lt;&gt;"""",VALUE(REGEXEXTRACT($T126, P$1&amp;""[\w &amp;]*, (\d+\.\d+)"")),"""")
"),5662.18)</f>
        <v>5662.18</v>
      </c>
      <c r="Q126" s="2" t="n">
        <f aca="false">IFERROR(__xludf.dummyfunction("if($T126&lt;&gt;"""",VALUE(REGEXEXTRACT($T126, Q$1&amp;""[\w &amp;]*, (\d+\.\d+)"")),"""")
"),5642.57)</f>
        <v>5642.57</v>
      </c>
      <c r="R126" s="2" t="n">
        <f aca="false">IFERROR(__xludf.dummyfunction("if($T126&lt;&gt;"""",VALUE(REGEXEXTRACT($T126, SUBSTITUTE(R$1, ""+"", ""\+"")&amp;""[\w &amp;]*, (\d+\.\d+)"")),"""")"),5756.9)</f>
        <v>5756.9</v>
      </c>
      <c r="S126" s="2" t="n">
        <f aca="false">IFERROR(__xludf.dummyfunction("if($T126&lt;&gt;"""",VALUE(REGEXEXTRACT($T126, SUBSTITUTE(S$1, ""+"", ""\+"")&amp;""[\w &amp;]*, (\d+\.\d+)"")),"""")"),5776.51)</f>
        <v>5776.51</v>
      </c>
      <c r="T126" s="5" t="s">
        <v>139</v>
      </c>
      <c r="U126" s="5"/>
    </row>
    <row r="127" customFormat="false" ht="15.75" hidden="false" customHeight="false" outlineLevel="0" collapsed="false">
      <c r="A127" s="4" t="n">
        <f aca="false">IFERROR(__xludf.dummyfunction("""COMPUTED_VALUE"""),45569.6666666667)</f>
        <v>45569.6666666667</v>
      </c>
      <c r="B127" s="2" t="n">
        <f aca="false">IFERROR(__xludf.dummyfunction("""COMPUTED_VALUE"""),5737.48)</f>
        <v>5737.48</v>
      </c>
      <c r="C127" s="2" t="n">
        <f aca="false">IFERROR(__xludf.dummyfunction("""COMPUTED_VALUE"""),5753.21)</f>
        <v>5753.21</v>
      </c>
      <c r="D127" s="2" t="n">
        <f aca="false">IFERROR(__xludf.dummyfunction("""COMPUTED_VALUE"""),5702.83)</f>
        <v>5702.83</v>
      </c>
      <c r="E127" s="2" t="n">
        <f aca="false">IFERROR(__xludf.dummyfunction("""COMPUTED_VALUE"""),5751.07)</f>
        <v>5751.07</v>
      </c>
      <c r="F127" s="3" t="n">
        <f aca="false">IFERROR(__xludf.dummyfunction("if($T127&lt;&gt;"""",VALUE(REGEXEXTRACT(SUBSTITUTE ($T127,F$1&amp;"" CE"",""""), F$1&amp;""[\w &amp;]*, (\d+\.\d+)"")),"""")
"),5800)</f>
        <v>5800</v>
      </c>
      <c r="G127" s="3" t="n">
        <f aca="false">IFERROR(__xludf.dummyfunction("if($T127&lt;&gt;"""",VALUE(REGEXEXTRACT($T127, G$1&amp;""[\w &amp;]*, (\d+\.\d+)"")),"""")
"),5755)</f>
        <v>5755</v>
      </c>
      <c r="H127" s="3" t="n">
        <f aca="false">IFERROR(__xludf.dummyfunction("if($T127&lt;&gt;"""",VALUE(REGEXEXTRACT($T127, H$1&amp;""[\w &amp;]*, (\d+\.\d+)"")),"""")"),5810)</f>
        <v>5810</v>
      </c>
      <c r="I127" s="3" t="n">
        <f aca="false">IFERROR(__xludf.dummyfunction("if($T127&lt;&gt;"""",VALUE(REGEXEXTRACT(SUBSTITUTE ($T127,I$1&amp;"" CE"",""""), I$1&amp;""[\w &amp;]*, (\d+\.\d+)"")),"""")
"),5000)</f>
        <v>5000</v>
      </c>
      <c r="J127" s="3" t="n">
        <f aca="false">IFERROR(__xludf.dummyfunction("if($T127&lt;&gt;"""",VALUE(REGEXEXTRACT($T127, J$1&amp;""[\w &amp;]*, (\d+\.\d+)"")),"""")
"),5650)</f>
        <v>5650</v>
      </c>
      <c r="K127" s="3" t="n">
        <f aca="false">IFERROR(__xludf.dummyfunction("if($T127&lt;&gt;"""",VALUE(REGEXEXTRACT($T127, K$1&amp;""[\w &amp;]*, (\d+\.\d+)"")),"""")
"),5590)</f>
        <v>5590</v>
      </c>
      <c r="L127" s="3" t="n">
        <f aca="false">IFERROR(__xludf.dummyfunction("if($T127&lt;&gt;"""",VALUE(REGEXEXTRACT(SUBSTITUTE ($T127,L$1&amp;"" CE"",""""), L$1&amp;""[\w &amp;]*, (\d+\.\d+)"")),"""")
"),5695)</f>
        <v>5695</v>
      </c>
      <c r="M127" s="3" t="n">
        <f aca="false">IFERROR(__xludf.dummyfunction("if($T127&lt;&gt;"""",VALUE(REGEXEXTRACT($T127, M$1&amp;""[\w &amp;]*, (\d+\.\d+)"")),"""")
"),5710)</f>
        <v>5710</v>
      </c>
      <c r="N127" s="3" t="n">
        <f aca="false">IFERROR(__xludf.dummyfunction("if($T127&lt;&gt;"""",VALUE(REGEXEXTRACT(SUBSTITUTE ($T127,N$1&amp;"" CE"",""""), N$1&amp;""[\w &amp;]*, (\d+\.\d+)"")),"""")
"),5750)</f>
        <v>5750</v>
      </c>
      <c r="O127" s="3" t="n">
        <f aca="false">IFERROR(__xludf.dummyfunction("if($T127&lt;&gt;"""",VALUE(REGEXEXTRACT($T127, O$1&amp;""[\w &amp;]*, (\d+\.\d+)"")),"""")
"),5750)</f>
        <v>5750</v>
      </c>
      <c r="P127" s="2" t="n">
        <f aca="false">IFERROR(__xludf.dummyfunction("if($T127&lt;&gt;"""",VALUE(REGEXEXTRACT($T127, P$1&amp;""[\w &amp;]*, (\d+\.\d+)"")),"""")
"),5651.26)</f>
        <v>5651.26</v>
      </c>
      <c r="Q127" s="2" t="n">
        <f aca="false">IFERROR(__xludf.dummyfunction("if($T127&lt;&gt;"""",VALUE(REGEXEXTRACT($T127, Q$1&amp;""[\w &amp;]*, (\d+\.\d+)"")),"""")
"),5602.58)</f>
        <v>5602.58</v>
      </c>
      <c r="R127" s="2" t="n">
        <f aca="false">IFERROR(__xludf.dummyfunction("if($T127&lt;&gt;"""",VALUE(REGEXEXTRACT($T127, SUBSTITUTE(R$1, ""+"", ""\+"")&amp;""[\w &amp;]*, (\d+\.\d+)"")),"""")"),5748.62)</f>
        <v>5748.62</v>
      </c>
      <c r="S127" s="2" t="n">
        <f aca="false">IFERROR(__xludf.dummyfunction("if($T127&lt;&gt;"""",VALUE(REGEXEXTRACT($T127, SUBSTITUTE(S$1, ""+"", ""\+"")&amp;""[\w &amp;]*, (\d+\.\d+)"")),"""")"),5797.3)</f>
        <v>5797.3</v>
      </c>
      <c r="T127" s="5" t="s">
        <v>140</v>
      </c>
      <c r="U127" s="5"/>
    </row>
    <row r="128" customFormat="false" ht="15.75" hidden="false" customHeight="false" outlineLevel="0" collapsed="false">
      <c r="A128" s="4" t="n">
        <f aca="false">IFERROR(__xludf.dummyfunction("""COMPUTED_VALUE"""),45572.6666666667)</f>
        <v>45572.6666666667</v>
      </c>
      <c r="B128" s="2" t="n">
        <f aca="false">IFERROR(__xludf.dummyfunction("""COMPUTED_VALUE"""),5737.8)</f>
        <v>5737.8</v>
      </c>
      <c r="C128" s="2" t="n">
        <f aca="false">IFERROR(__xludf.dummyfunction("""COMPUTED_VALUE"""),5739.34)</f>
        <v>5739.34</v>
      </c>
      <c r="D128" s="2" t="n">
        <f aca="false">IFERROR(__xludf.dummyfunction("""COMPUTED_VALUE"""),5686.85)</f>
        <v>5686.85</v>
      </c>
      <c r="E128" s="2" t="n">
        <f aca="false">IFERROR(__xludf.dummyfunction("""COMPUTED_VALUE"""),5695.94)</f>
        <v>5695.94</v>
      </c>
      <c r="F128" s="3" t="n">
        <f aca="false">IFERROR(__xludf.dummyfunction("if($T128&lt;&gt;"""",VALUE(REGEXEXTRACT(SUBSTITUTE ($T128,F$1&amp;"" CE"",""""), F$1&amp;""[\w &amp;]*, (\d+\.\d+)"")),"""")
"),5800)</f>
        <v>5800</v>
      </c>
      <c r="G128" s="3" t="n">
        <f aca="false">IFERROR(__xludf.dummyfunction("if($T128&lt;&gt;"""",VALUE(REGEXEXTRACT($T128, G$1&amp;""[\w &amp;]*, (\d+\.\d+)"")),"""")
"),5780)</f>
        <v>5780</v>
      </c>
      <c r="H128" s="3" t="n">
        <f aca="false">IFERROR(__xludf.dummyfunction("if($T128&lt;&gt;"""",VALUE(REGEXEXTRACT($T128, H$1&amp;""[\w &amp;]*, (\d+\.\d+)"")),"""")"),5810)</f>
        <v>5810</v>
      </c>
      <c r="I128" s="3" t="n">
        <f aca="false">IFERROR(__xludf.dummyfunction("if($T128&lt;&gt;"""",VALUE(REGEXEXTRACT(SUBSTITUTE ($T128,I$1&amp;"" CE"",""""), I$1&amp;""[\w &amp;]*, (\d+\.\d+)"")),"""")
"),5000)</f>
        <v>5000</v>
      </c>
      <c r="J128" s="3" t="n">
        <f aca="false">IFERROR(__xludf.dummyfunction("if($T128&lt;&gt;"""",VALUE(REGEXEXTRACT($T128, J$1&amp;""[\w &amp;]*, (\d+\.\d+)"")),"""")
"),5700)</f>
        <v>5700</v>
      </c>
      <c r="K128" s="3" t="n">
        <f aca="false">IFERROR(__xludf.dummyfunction("if($T128&lt;&gt;"""",VALUE(REGEXEXTRACT($T128, K$1&amp;""[\w &amp;]*, (\d+\.\d+)"")),"""")
"),5590)</f>
        <v>5590</v>
      </c>
      <c r="L128" s="3" t="n">
        <f aca="false">IFERROR(__xludf.dummyfunction("if($T128&lt;&gt;"""",VALUE(REGEXEXTRACT(SUBSTITUTE ($T128,L$1&amp;"" CE"",""""), L$1&amp;""[\w &amp;]*, (\d+\.\d+)"")),"""")
"),5715)</f>
        <v>5715</v>
      </c>
      <c r="M128" s="3" t="n">
        <f aca="false">IFERROR(__xludf.dummyfunction("if($T128&lt;&gt;"""",VALUE(REGEXEXTRACT($T128, M$1&amp;""[\w &amp;]*, (\d+\.\d+)"")),"""")
"),5720)</f>
        <v>5720</v>
      </c>
      <c r="N128" s="3" t="n">
        <f aca="false">IFERROR(__xludf.dummyfunction("if($T128&lt;&gt;"""",VALUE(REGEXEXTRACT(SUBSTITUTE ($T128,N$1&amp;"" CE"",""""), N$1&amp;""[\w &amp;]*, (\d+\.\d+)"")),"""")
"),5750)</f>
        <v>5750</v>
      </c>
      <c r="O128" s="3" t="n">
        <f aca="false">IFERROR(__xludf.dummyfunction("if($T128&lt;&gt;"""",VALUE(REGEXEXTRACT($T128, O$1&amp;""[\w &amp;]*, (\d+\.\d+)"")),"""")
"),5700)</f>
        <v>5700</v>
      </c>
      <c r="P128" s="2" t="n">
        <f aca="false">IFERROR(__xludf.dummyfunction("if($T128&lt;&gt;"""",VALUE(REGEXEXTRACT($T128, P$1&amp;""[\w &amp;]*, (\d+\.\d+)"")),"""")
"),5704.96)</f>
        <v>5704.96</v>
      </c>
      <c r="Q128" s="2" t="n">
        <f aca="false">IFERROR(__xludf.dummyfunction("if($T128&lt;&gt;"""",VALUE(REGEXEXTRACT($T128, Q$1&amp;""[\w &amp;]*, (\d+\.\d+)"")),"""")
"),5685.87)</f>
        <v>5685.87</v>
      </c>
      <c r="R128" s="2" t="n">
        <f aca="false">IFERROR(__xludf.dummyfunction("if($T128&lt;&gt;"""",VALUE(REGEXEXTRACT($T128, SUBSTITUTE(R$1, ""+"", ""\+"")&amp;""[\w &amp;]*, (\d+\.\d+)"")),"""")"),5797.17)</f>
        <v>5797.17</v>
      </c>
      <c r="S128" s="2" t="n">
        <f aca="false">IFERROR(__xludf.dummyfunction("if($T128&lt;&gt;"""",VALUE(REGEXEXTRACT($T128, SUBSTITUTE(S$1, ""+"", ""\+"")&amp;""[\w &amp;]*, (\d+\.\d+)"")),"""")"),5816.27)</f>
        <v>5816.27</v>
      </c>
      <c r="T128" s="5" t="s">
        <v>141</v>
      </c>
      <c r="U128" s="5"/>
    </row>
    <row r="129" customFormat="false" ht="15.75" hidden="false" customHeight="false" outlineLevel="0" collapsed="false">
      <c r="A129" s="4" t="n">
        <f aca="false">IFERROR(__xludf.dummyfunction("""COMPUTED_VALUE"""),45573.6666666667)</f>
        <v>45573.6666666667</v>
      </c>
      <c r="B129" s="2" t="n">
        <f aca="false">IFERROR(__xludf.dummyfunction("""COMPUTED_VALUE"""),5719.14)</f>
        <v>5719.14</v>
      </c>
      <c r="C129" s="2" t="n">
        <f aca="false">IFERROR(__xludf.dummyfunction("""COMPUTED_VALUE"""),5757.6)</f>
        <v>5757.6</v>
      </c>
      <c r="D129" s="2" t="n">
        <f aca="false">IFERROR(__xludf.dummyfunction("""COMPUTED_VALUE"""),5714.56)</f>
        <v>5714.56</v>
      </c>
      <c r="E129" s="2" t="n">
        <f aca="false">IFERROR(__xludf.dummyfunction("""COMPUTED_VALUE"""),5751.13)</f>
        <v>5751.13</v>
      </c>
      <c r="F129" s="3" t="n">
        <f aca="false">IFERROR(__xludf.dummyfunction("if($T129&lt;&gt;"""",VALUE(REGEXEXTRACT(SUBSTITUTE ($T129,F$1&amp;"" CE"",""""), F$1&amp;""[\w &amp;]*, (\d+\.\d+)"")),"""")
"),5800)</f>
        <v>5800</v>
      </c>
      <c r="G129" s="3" t="n">
        <f aca="false">IFERROR(__xludf.dummyfunction("if($T129&lt;&gt;"""",VALUE(REGEXEXTRACT($T129, G$1&amp;""[\w &amp;]*, (\d+\.\d+)"")),"""")
"),5750)</f>
        <v>5750</v>
      </c>
      <c r="H129" s="3" t="n">
        <f aca="false">IFERROR(__xludf.dummyfunction("if($T129&lt;&gt;"""",VALUE(REGEXEXTRACT($T129, H$1&amp;""[\w &amp;]*, (\d+\.\d+)"")),"""")"),5810)</f>
        <v>5810</v>
      </c>
      <c r="I129" s="3" t="n">
        <f aca="false">IFERROR(__xludf.dummyfunction("if($T129&lt;&gt;"""",VALUE(REGEXEXTRACT(SUBSTITUTE ($T129,I$1&amp;"" CE"",""""), I$1&amp;""[\w &amp;]*, (\d+\.\d+)"")),"""")
"),5000)</f>
        <v>5000</v>
      </c>
      <c r="J129" s="3" t="n">
        <f aca="false">IFERROR(__xludf.dummyfunction("if($T129&lt;&gt;"""",VALUE(REGEXEXTRACT($T129, J$1&amp;""[\w &amp;]*, (\d+\.\d+)"")),"""")
"),5675)</f>
        <v>5675</v>
      </c>
      <c r="K129" s="3" t="n">
        <f aca="false">IFERROR(__xludf.dummyfunction("if($T129&lt;&gt;"""",VALUE(REGEXEXTRACT($T129, K$1&amp;""[\w &amp;]*, (\d+\.\d+)"")),"""")
"),5585)</f>
        <v>5585</v>
      </c>
      <c r="L129" s="3" t="n">
        <f aca="false">IFERROR(__xludf.dummyfunction("if($T129&lt;&gt;"""",VALUE(REGEXEXTRACT(SUBSTITUTE ($T129,L$1&amp;"" CE"",""""), L$1&amp;""[\w &amp;]*, (\d+\.\d+)"")),"""")
"),5695)</f>
        <v>5695</v>
      </c>
      <c r="M129" s="3" t="n">
        <f aca="false">IFERROR(__xludf.dummyfunction("if($T129&lt;&gt;"""",VALUE(REGEXEXTRACT($T129, M$1&amp;""[\w &amp;]*, (\d+\.\d+)"")),"""")
"),5710)</f>
        <v>5710</v>
      </c>
      <c r="N129" s="3" t="n">
        <f aca="false">IFERROR(__xludf.dummyfunction("if($T129&lt;&gt;"""",VALUE(REGEXEXTRACT(SUBSTITUTE ($T129,N$1&amp;"" CE"",""""), N$1&amp;""[\w &amp;]*, (\d+\.\d+)"")),"""")
"),5750)</f>
        <v>5750</v>
      </c>
      <c r="O129" s="3" t="n">
        <f aca="false">IFERROR(__xludf.dummyfunction("if($T129&lt;&gt;"""",VALUE(REGEXEXTRACT($T129, O$1&amp;""[\w &amp;]*, (\d+\.\d+)"")),"""")
"),5700)</f>
        <v>5700</v>
      </c>
      <c r="P129" s="2" t="n">
        <f aca="false">IFERROR(__xludf.dummyfunction("if($T129&lt;&gt;"""",VALUE(REGEXEXTRACT($T129, P$1&amp;""[\w &amp;]*, (\d+\.\d+)"")),"""")
"),5645.65)</f>
        <v>5645.65</v>
      </c>
      <c r="Q129" s="2" t="n">
        <f aca="false">IFERROR(__xludf.dummyfunction("if($T129&lt;&gt;"""",VALUE(REGEXEXTRACT($T129, Q$1&amp;""[\w &amp;]*, (\d+\.\d+)"")),"""")
"),5624.82)</f>
        <v>5624.82</v>
      </c>
      <c r="R129" s="2" t="n">
        <f aca="false">IFERROR(__xludf.dummyfunction("if($T129&lt;&gt;"""",VALUE(REGEXEXTRACT($T129, SUBSTITUTE(R$1, ""+"", ""\+"")&amp;""[\w &amp;]*, (\d+\.\d+)"")),"""")"),5746.23)</f>
        <v>5746.23</v>
      </c>
      <c r="S129" s="2" t="n">
        <f aca="false">IFERROR(__xludf.dummyfunction("if($T129&lt;&gt;"""",VALUE(REGEXEXTRACT($T129, SUBSTITUTE(S$1, ""+"", ""\+"")&amp;""[\w &amp;]*, (\d+\.\d+)"")),"""")"),5767.06)</f>
        <v>5767.06</v>
      </c>
      <c r="T129" s="5" t="s">
        <v>142</v>
      </c>
      <c r="U129" s="5"/>
    </row>
    <row r="130" customFormat="false" ht="15.75" hidden="false" customHeight="false" outlineLevel="0" collapsed="false">
      <c r="A130" s="4" t="n">
        <f aca="false">IFERROR(__xludf.dummyfunction("""COMPUTED_VALUE"""),45574.6666666667)</f>
        <v>45574.6666666667</v>
      </c>
      <c r="B130" s="2" t="n">
        <f aca="false">IFERROR(__xludf.dummyfunction("""COMPUTED_VALUE"""),5751.8)</f>
        <v>5751.8</v>
      </c>
      <c r="C130" s="2" t="n">
        <f aca="false">IFERROR(__xludf.dummyfunction("""COMPUTED_VALUE"""),5796.8)</f>
        <v>5796.8</v>
      </c>
      <c r="D130" s="2" t="n">
        <f aca="false">IFERROR(__xludf.dummyfunction("""COMPUTED_VALUE"""),5745.02)</f>
        <v>5745.02</v>
      </c>
      <c r="E130" s="2" t="n">
        <f aca="false">IFERROR(__xludf.dummyfunction("""COMPUTED_VALUE"""),5792.04)</f>
        <v>5792.04</v>
      </c>
      <c r="F130" s="3" t="n">
        <f aca="false">IFERROR(__xludf.dummyfunction("if($T130&lt;&gt;"""",VALUE(REGEXEXTRACT(SUBSTITUTE ($T130,F$1&amp;"" CE"",""""), F$1&amp;""[\w &amp;]*, (\d+\.\d+)"")),"""")
"),5775)</f>
        <v>5775</v>
      </c>
      <c r="G130" s="3" t="n">
        <f aca="false">IFERROR(__xludf.dummyfunction("if($T130&lt;&gt;"""",VALUE(REGEXEXTRACT($T130, G$1&amp;""[\w &amp;]*, (\d+\.\d+)"")),"""")
"),5775)</f>
        <v>5775</v>
      </c>
      <c r="H130" s="3" t="n">
        <f aca="false">IFERROR(__xludf.dummyfunction("if($T130&lt;&gt;"""",VALUE(REGEXEXTRACT($T130, H$1&amp;""[\w &amp;]*, (\d+\.\d+)"")),"""")"),5790)</f>
        <v>5790</v>
      </c>
      <c r="I130" s="3" t="n">
        <f aca="false">IFERROR(__xludf.dummyfunction("if($T130&lt;&gt;"""",VALUE(REGEXEXTRACT(SUBSTITUTE ($T130,I$1&amp;"" CE"",""""), I$1&amp;""[\w &amp;]*, (\d+\.\d+)"")),"""")
"),5720)</f>
        <v>5720</v>
      </c>
      <c r="J130" s="3" t="n">
        <f aca="false">IFERROR(__xludf.dummyfunction("if($T130&lt;&gt;"""",VALUE(REGEXEXTRACT($T130, J$1&amp;""[\w &amp;]*, (\d+\.\d+)"")),"""")
"),5720)</f>
        <v>5720</v>
      </c>
      <c r="K130" s="3" t="n">
        <f aca="false">IFERROR(__xludf.dummyfunction("if($T130&lt;&gt;"""",VALUE(REGEXEXTRACT($T130, K$1&amp;""[\w &amp;]*, (\d+\.\d+)"")),"""")
"),5700)</f>
        <v>5700</v>
      </c>
      <c r="L130" s="3" t="n">
        <f aca="false">IFERROR(__xludf.dummyfunction("if($T130&lt;&gt;"""",VALUE(REGEXEXTRACT(SUBSTITUTE ($T130,L$1&amp;"" CE"",""""), L$1&amp;""[\w &amp;]*, (\d+\.\d+)"")),"""")
"),5730)</f>
        <v>5730</v>
      </c>
      <c r="M130" s="3" t="n">
        <f aca="false">IFERROR(__xludf.dummyfunction("if($T130&lt;&gt;"""",VALUE(REGEXEXTRACT($T130, M$1&amp;""[\w &amp;]*, (\d+\.\d+)"")),"""")
"),5730)</f>
        <v>5730</v>
      </c>
      <c r="N130" s="3" t="n">
        <f aca="false">IFERROR(__xludf.dummyfunction("if($T130&lt;&gt;"""",VALUE(REGEXEXTRACT(SUBSTITUTE ($T130,N$1&amp;"" CE"",""""), N$1&amp;""[\w &amp;]*, (\d+\.\d+)"")),"""")
"),5750)</f>
        <v>5750</v>
      </c>
      <c r="O130" s="3" t="n">
        <f aca="false">IFERROR(__xludf.dummyfunction("if($T130&lt;&gt;"""",VALUE(REGEXEXTRACT($T130, O$1&amp;""[\w &amp;]*, (\d+\.\d+)"")),"""")
"),5775)</f>
        <v>5775</v>
      </c>
      <c r="P130" s="2" t="n">
        <f aca="false">IFERROR(__xludf.dummyfunction("if($T130&lt;&gt;"""",VALUE(REGEXEXTRACT($T130, P$1&amp;""[\w &amp;]*, (\d+\.\d+)"")),"""")
"),5706.13)</f>
        <v>5706.13</v>
      </c>
      <c r="Q130" s="2" t="n">
        <f aca="false">IFERROR(__xludf.dummyfunction("if($T130&lt;&gt;"""",VALUE(REGEXEXTRACT($T130, Q$1&amp;""[\w &amp;]*, (\d+\.\d+)"")),"""")
"),5687.49)</f>
        <v>5687.49</v>
      </c>
      <c r="R130" s="2" t="n">
        <f aca="false">IFERROR(__xludf.dummyfunction("if($T130&lt;&gt;"""",VALUE(REGEXEXTRACT($T130, SUBSTITUTE(R$1, ""+"", ""\+"")&amp;""[\w &amp;]*, (\d+\.\d+)"")),"""")"),5796.13)</f>
        <v>5796.13</v>
      </c>
      <c r="S130" s="2" t="n">
        <f aca="false">IFERROR(__xludf.dummyfunction("if($T130&lt;&gt;"""",VALUE(REGEXEXTRACT($T130, SUBSTITUTE(S$1, ""+"", ""\+"")&amp;""[\w &amp;]*, (\d+\.\d+)"")),"""")"),5814.77)</f>
        <v>5814.77</v>
      </c>
      <c r="T130" s="5" t="s">
        <v>143</v>
      </c>
      <c r="U130" s="5"/>
    </row>
    <row r="131" customFormat="false" ht="15.75" hidden="false" customHeight="false" outlineLevel="0" collapsed="false">
      <c r="A131" s="4" t="n">
        <f aca="false">IFERROR(__xludf.dummyfunction("""COMPUTED_VALUE"""),45575.6666666667)</f>
        <v>45575.6666666667</v>
      </c>
      <c r="B131" s="2" t="n">
        <f aca="false">IFERROR(__xludf.dummyfunction("""COMPUTED_VALUE"""),5778.36)</f>
        <v>5778.36</v>
      </c>
      <c r="C131" s="2" t="n">
        <f aca="false">IFERROR(__xludf.dummyfunction("""COMPUTED_VALUE"""),5795.03)</f>
        <v>5795.03</v>
      </c>
      <c r="D131" s="2" t="n">
        <f aca="false">IFERROR(__xludf.dummyfunction("""COMPUTED_VALUE"""),5764.76)</f>
        <v>5764.76</v>
      </c>
      <c r="E131" s="2" t="n">
        <f aca="false">IFERROR(__xludf.dummyfunction("""COMPUTED_VALUE"""),5780.05)</f>
        <v>5780.05</v>
      </c>
      <c r="F131" s="3" t="n">
        <f aca="false">IFERROR(__xludf.dummyfunction("if($T131&lt;&gt;"""",VALUE(REGEXEXTRACT(SUBSTITUTE ($T131,F$1&amp;"" CE"",""""), F$1&amp;""[\w &amp;]*, (\d+\.\d+)"")),"""")
"),5825)</f>
        <v>5825</v>
      </c>
      <c r="G131" s="3" t="n">
        <f aca="false">IFERROR(__xludf.dummyfunction("if($T131&lt;&gt;"""",VALUE(REGEXEXTRACT($T131, G$1&amp;""[\w &amp;]*, (\d+\.\d+)"")),"""")
"),5825)</f>
        <v>5825</v>
      </c>
      <c r="H131" s="3" t="n">
        <f aca="false">IFERROR(__xludf.dummyfunction("if($T131&lt;&gt;"""",VALUE(REGEXEXTRACT($T131, H$1&amp;""[\w &amp;]*, (\d+\.\d+)"")),"""")"),5850)</f>
        <v>5850</v>
      </c>
      <c r="I131" s="3" t="n">
        <f aca="false">IFERROR(__xludf.dummyfunction("if($T131&lt;&gt;"""",VALUE(REGEXEXTRACT(SUBSTITUTE ($T131,I$1&amp;"" CE"",""""), I$1&amp;""[\w &amp;]*, (\d+\.\d+)"")),"""")
"),5745)</f>
        <v>5745</v>
      </c>
      <c r="J131" s="3" t="n">
        <f aca="false">IFERROR(__xludf.dummyfunction("if($T131&lt;&gt;"""",VALUE(REGEXEXTRACT($T131, J$1&amp;""[\w &amp;]*, (\d+\.\d+)"")),"""")
"),5745)</f>
        <v>5745</v>
      </c>
      <c r="K131" s="3" t="n">
        <f aca="false">IFERROR(__xludf.dummyfunction("if($T131&lt;&gt;"""",VALUE(REGEXEXTRACT($T131, K$1&amp;""[\w &amp;]*, (\d+\.\d+)"")),"""")
"),5730)</f>
        <v>5730</v>
      </c>
      <c r="L131" s="3" t="n">
        <f aca="false">IFERROR(__xludf.dummyfunction("if($T131&lt;&gt;"""",VALUE(REGEXEXTRACT(SUBSTITUTE ($T131,L$1&amp;"" CE"",""""), L$1&amp;""[\w &amp;]*, (\d+\.\d+)"")),"""")
"),5745)</f>
        <v>5745</v>
      </c>
      <c r="M131" s="3" t="n">
        <f aca="false">IFERROR(__xludf.dummyfunction("if($T131&lt;&gt;"""",VALUE(REGEXEXTRACT($T131, M$1&amp;""[\w &amp;]*, (\d+\.\d+)"")),"""")
"),5750)</f>
        <v>5750</v>
      </c>
      <c r="N131" s="3" t="n">
        <f aca="false">IFERROR(__xludf.dummyfunction("if($T131&lt;&gt;"""",VALUE(REGEXEXTRACT(SUBSTITUTE ($T131,N$1&amp;"" CE"",""""), N$1&amp;""[\w &amp;]*, (\d+\.\d+)"")),"""")
"),5800)</f>
        <v>5800</v>
      </c>
      <c r="O131" s="3" t="n">
        <f aca="false">IFERROR(__xludf.dummyfunction("if($T131&lt;&gt;"""",VALUE(REGEXEXTRACT($T131, O$1&amp;""[\w &amp;]*, (\d+\.\d+)"")),"""")
"),5745)</f>
        <v>5745</v>
      </c>
      <c r="P131" s="2" t="n">
        <f aca="false">IFERROR(__xludf.dummyfunction("if($T131&lt;&gt;"""",VALUE(REGEXEXTRACT($T131, P$1&amp;""[\w &amp;]*, (\d+\.\d+)"")),"""")
"),5747.36)</f>
        <v>5747.36</v>
      </c>
      <c r="Q131" s="2" t="n">
        <f aca="false">IFERROR(__xludf.dummyfunction("if($T131&lt;&gt;"""",VALUE(REGEXEXTRACT($T131, Q$1&amp;""[\w &amp;]*, (\d+\.\d+)"")),"""")
"),5728.85)</f>
        <v>5728.85</v>
      </c>
      <c r="R131" s="2" t="n">
        <f aca="false">IFERROR(__xludf.dummyfunction("if($T131&lt;&gt;"""",VALUE(REGEXEXTRACT($T131, SUBSTITUTE(R$1, ""+"", ""\+"")&amp;""[\w &amp;]*, (\d+\.\d+)"")),"""")"),5836.72)</f>
        <v>5836.72</v>
      </c>
      <c r="S131" s="2" t="n">
        <f aca="false">IFERROR(__xludf.dummyfunction("if($T131&lt;&gt;"""",VALUE(REGEXEXTRACT($T131, SUBSTITUTE(S$1, ""+"", ""\+"")&amp;""[\w &amp;]*, (\d+\.\d+)"")),"""")"),5855.23)</f>
        <v>5855.23</v>
      </c>
      <c r="T131" s="5" t="s">
        <v>144</v>
      </c>
      <c r="U131" s="5"/>
    </row>
    <row r="132" customFormat="false" ht="15.75" hidden="false" customHeight="false" outlineLevel="0" collapsed="false">
      <c r="A132" s="4" t="n">
        <f aca="false">IFERROR(__xludf.dummyfunction("""COMPUTED_VALUE"""),45579.6666666667)</f>
        <v>45579.6666666667</v>
      </c>
      <c r="B132" s="2" t="n">
        <f aca="false">IFERROR(__xludf.dummyfunction("""COMPUTED_VALUE"""),5829.81)</f>
        <v>5829.81</v>
      </c>
      <c r="C132" s="2" t="n">
        <f aca="false">IFERROR(__xludf.dummyfunction("""COMPUTED_VALUE"""),5871.41)</f>
        <v>5871.41</v>
      </c>
      <c r="D132" s="2" t="n">
        <f aca="false">IFERROR(__xludf.dummyfunction("""COMPUTED_VALUE"""),5829.57)</f>
        <v>5829.57</v>
      </c>
      <c r="E132" s="2" t="n">
        <f aca="false">IFERROR(__xludf.dummyfunction("""COMPUTED_VALUE"""),5859.85)</f>
        <v>5859.85</v>
      </c>
      <c r="F132" s="3" t="n">
        <f aca="false">IFERROR(__xludf.dummyfunction("if($T132&lt;&gt;"""",VALUE(REGEXEXTRACT(SUBSTITUTE ($T132,F$1&amp;"" CE"",""""), F$1&amp;""[\w &amp;]*, (\d+\.\d+)"")),"""")
"),5800)</f>
        <v>5800</v>
      </c>
      <c r="G132" s="3" t="n">
        <f aca="false">IFERROR(__xludf.dummyfunction("if($T132&lt;&gt;"""",VALUE(REGEXEXTRACT($T132, G$1&amp;""[\w &amp;]*, (\d+\.\d+)"")),"""")
"),5800)</f>
        <v>5800</v>
      </c>
      <c r="H132" s="3" t="n">
        <f aca="false">IFERROR(__xludf.dummyfunction("if($T132&lt;&gt;"""",VALUE(REGEXEXTRACT($T132, H$1&amp;""[\w &amp;]*, (\d+\.\d+)"")),"""")"),5810)</f>
        <v>5810</v>
      </c>
      <c r="I132" s="3" t="n">
        <f aca="false">IFERROR(__xludf.dummyfunction("if($T132&lt;&gt;"""",VALUE(REGEXEXTRACT(SUBSTITUTE ($T132,I$1&amp;"" CE"",""""), I$1&amp;""[\w &amp;]*, (\d+\.\d+)"")),"""")
"),5800)</f>
        <v>5800</v>
      </c>
      <c r="J132" s="3" t="n">
        <f aca="false">IFERROR(__xludf.dummyfunction("if($T132&lt;&gt;"""",VALUE(REGEXEXTRACT($T132, J$1&amp;""[\w &amp;]*, (\d+\.\d+)"")),"""")
"),5725)</f>
        <v>5725</v>
      </c>
      <c r="K132" s="3" t="n">
        <f aca="false">IFERROR(__xludf.dummyfunction("if($T132&lt;&gt;"""",VALUE(REGEXEXTRACT($T132, K$1&amp;""[\w &amp;]*, (\d+\.\d+)"")),"""")
"),5475)</f>
        <v>5475</v>
      </c>
      <c r="L132" s="3" t="n">
        <f aca="false">IFERROR(__xludf.dummyfunction("if($T132&lt;&gt;"""",VALUE(REGEXEXTRACT(SUBSTITUTE ($T132,L$1&amp;"" CE"",""""), L$1&amp;""[\w &amp;]*, (\d+\.\d+)"")),"""")
"),5745)</f>
        <v>5745</v>
      </c>
      <c r="M132" s="3" t="n">
        <f aca="false">IFERROR(__xludf.dummyfunction("if($T132&lt;&gt;"""",VALUE(REGEXEXTRACT($T132, M$1&amp;""[\w &amp;]*, (\d+\.\d+)"")),"""")
"),5760)</f>
        <v>5760</v>
      </c>
      <c r="N132" s="3" t="n">
        <f aca="false">IFERROR(__xludf.dummyfunction("if($T132&lt;&gt;"""",VALUE(REGEXEXTRACT(SUBSTITUTE ($T132,N$1&amp;"" CE"",""""), N$1&amp;""[\w &amp;]*, (\d+\.\d+)"")),"""")
"),5800)</f>
        <v>5800</v>
      </c>
      <c r="O132" s="3" t="n">
        <f aca="false">IFERROR(__xludf.dummyfunction("if($T132&lt;&gt;"""",VALUE(REGEXEXTRACT($T132, O$1&amp;""[\w &amp;]*, (\d+\.\d+)"")),"""")
"),5800)</f>
        <v>5800</v>
      </c>
      <c r="P132" s="2" t="n">
        <f aca="false">IFERROR(__xludf.dummyfunction("if($T132&lt;&gt;"""",VALUE(REGEXEXTRACT($T132, P$1&amp;""[\w &amp;]*, (\d+\.\d+)"")),"""")
"),5737.49)</f>
        <v>5737.49</v>
      </c>
      <c r="Q132" s="2" t="n">
        <f aca="false">IFERROR(__xludf.dummyfunction("if($T132&lt;&gt;"""",VALUE(REGEXEXTRACT($T132, Q$1&amp;""[\w &amp;]*, (\d+\.\d+)"")),"""")
"),5694.93)</f>
        <v>5694.93</v>
      </c>
      <c r="R132" s="2" t="n">
        <f aca="false">IFERROR(__xludf.dummyfunction("if($T132&lt;&gt;"""",VALUE(REGEXEXTRACT($T132, SUBSTITUTE(R$1, ""+"", ""\+"")&amp;""[\w &amp;]*, (\d+\.\d+)"")),"""")"),5822.61)</f>
        <v>5822.61</v>
      </c>
      <c r="S132" s="2" t="n">
        <f aca="false">IFERROR(__xludf.dummyfunction("if($T132&lt;&gt;"""",VALUE(REGEXEXTRACT($T132, SUBSTITUTE(S$1, ""+"", ""\+"")&amp;""[\w &amp;]*, (\d+\.\d+)"")),"""")"),5865.17)</f>
        <v>5865.17</v>
      </c>
      <c r="T132" s="5" t="s">
        <v>145</v>
      </c>
      <c r="U132" s="5"/>
    </row>
    <row r="133" customFormat="false" ht="15.75" hidden="false" customHeight="false" outlineLevel="0" collapsed="false">
      <c r="A133" s="4" t="n">
        <f aca="false">IFERROR(__xludf.dummyfunction("""COMPUTED_VALUE"""),45580.6666666667)</f>
        <v>45580.6666666667</v>
      </c>
      <c r="B133" s="2" t="n">
        <f aca="false">IFERROR(__xludf.dummyfunction("""COMPUTED_VALUE"""),5866.74)</f>
        <v>5866.74</v>
      </c>
      <c r="C133" s="2" t="n">
        <f aca="false">IFERROR(__xludf.dummyfunction("""COMPUTED_VALUE"""),5870.36)</f>
        <v>5870.36</v>
      </c>
      <c r="D133" s="2" t="n">
        <f aca="false">IFERROR(__xludf.dummyfunction("""COMPUTED_VALUE"""),5804.48)</f>
        <v>5804.48</v>
      </c>
      <c r="E133" s="2" t="n">
        <f aca="false">IFERROR(__xludf.dummyfunction("""COMPUTED_VALUE"""),5815.26)</f>
        <v>5815.26</v>
      </c>
      <c r="F133" s="3" t="n">
        <f aca="false">IFERROR(__xludf.dummyfunction("if($T133&lt;&gt;"""",VALUE(REGEXEXTRACT(SUBSTITUTE ($T133,F$1&amp;"" CE"",""""), F$1&amp;""[\w &amp;]*, (\d+\.\d+)"")),"""")
"),5800)</f>
        <v>5800</v>
      </c>
      <c r="G133" s="3" t="n">
        <f aca="false">IFERROR(__xludf.dummyfunction("if($T133&lt;&gt;"""",VALUE(REGEXEXTRACT($T133, G$1&amp;""[\w &amp;]*, (\d+\.\d+)"")),"""")
"),5840)</f>
        <v>5840</v>
      </c>
      <c r="H133" s="3" t="n">
        <f aca="false">IFERROR(__xludf.dummyfunction("if($T133&lt;&gt;"""",VALUE(REGEXEXTRACT($T133, H$1&amp;""[\w &amp;]*, (\d+\.\d+)"")),"""")"),5860)</f>
        <v>5860</v>
      </c>
      <c r="I133" s="3" t="n">
        <f aca="false">IFERROR(__xludf.dummyfunction("if($T133&lt;&gt;"""",VALUE(REGEXEXTRACT(SUBSTITUTE ($T133,I$1&amp;"" CE"",""""), I$1&amp;""[\w &amp;]*, (\d+\.\d+)"")),"""")
"),5800)</f>
        <v>5800</v>
      </c>
      <c r="J133" s="3" t="n">
        <f aca="false">IFERROR(__xludf.dummyfunction("if($T133&lt;&gt;"""",VALUE(REGEXEXTRACT($T133, J$1&amp;""[\w &amp;]*, (\d+\.\d+)"")),"""")
"),5775)</f>
        <v>5775</v>
      </c>
      <c r="K133" s="3" t="n">
        <f aca="false">IFERROR(__xludf.dummyfunction("if($T133&lt;&gt;"""",VALUE(REGEXEXTRACT($T133, K$1&amp;""[\w &amp;]*, (\d+\.\d+)"")),"""")
"),5490)</f>
        <v>5490</v>
      </c>
      <c r="L133" s="3" t="n">
        <f aca="false">IFERROR(__xludf.dummyfunction("if($T133&lt;&gt;"""",VALUE(REGEXEXTRACT(SUBSTITUTE ($T133,L$1&amp;"" CE"",""""), L$1&amp;""[\w &amp;]*, (\d+\.\d+)"")),"""")
"),5770)</f>
        <v>5770</v>
      </c>
      <c r="M133" s="3" t="n">
        <f aca="false">IFERROR(__xludf.dummyfunction("if($T133&lt;&gt;"""",VALUE(REGEXEXTRACT($T133, M$1&amp;""[\w &amp;]*, (\d+\.\d+)"")),"""")
"),5795)</f>
        <v>5795</v>
      </c>
      <c r="N133" s="3" t="n">
        <f aca="false">IFERROR(__xludf.dummyfunction("if($T133&lt;&gt;"""",VALUE(REGEXEXTRACT(SUBSTITUTE ($T133,N$1&amp;"" CE"",""""), N$1&amp;""[\w &amp;]*, (\d+\.\d+)"")),"""")
"),5800)</f>
        <v>5800</v>
      </c>
      <c r="O133" s="3" t="n">
        <f aca="false">IFERROR(__xludf.dummyfunction("if($T133&lt;&gt;"""",VALUE(REGEXEXTRACT($T133, O$1&amp;""[\w &amp;]*, (\d+\.\d+)"")),"""")
"),5800)</f>
        <v>5800</v>
      </c>
      <c r="P133" s="2" t="n">
        <f aca="false">IFERROR(__xludf.dummyfunction("if($T133&lt;&gt;"""",VALUE(REGEXEXTRACT($T133, P$1&amp;""[\w &amp;]*, (\d+\.\d+)"")),"""")
"),5771.73)</f>
        <v>5771.73</v>
      </c>
      <c r="Q133" s="2" t="n">
        <f aca="false">IFERROR(__xludf.dummyfunction("if($T133&lt;&gt;"""",VALUE(REGEXEXTRACT($T133, Q$1&amp;""[\w &amp;]*, (\d+\.\d+)"")),"""")
"),5753.79)</f>
        <v>5753.79</v>
      </c>
      <c r="R133" s="2" t="n">
        <f aca="false">IFERROR(__xludf.dummyfunction("if($T133&lt;&gt;"""",VALUE(REGEXEXTRACT($T133, SUBSTITUTE(R$1, ""+"", ""\+"")&amp;""[\w &amp;]*, (\d+\.\d+)"")),"""")"),5858.33)</f>
        <v>5858.33</v>
      </c>
      <c r="S133" s="2" t="n">
        <f aca="false">IFERROR(__xludf.dummyfunction("if($T133&lt;&gt;"""",VALUE(REGEXEXTRACT($T133, SUBSTITUTE(S$1, ""+"", ""\+"")&amp;""[\w &amp;]*, (\d+\.\d+)"")),"""")"),5876.26)</f>
        <v>5876.26</v>
      </c>
      <c r="T133" s="5" t="s">
        <v>146</v>
      </c>
      <c r="U133" s="5"/>
    </row>
    <row r="134" customFormat="false" ht="15.75" hidden="false" customHeight="false" outlineLevel="0" collapsed="false">
      <c r="A134" s="4" t="n">
        <f aca="false">IFERROR(__xludf.dummyfunction("""COMPUTED_VALUE"""),45581.6666666667)</f>
        <v>45581.6666666667</v>
      </c>
      <c r="B134" s="2" t="n">
        <f aca="false">IFERROR(__xludf.dummyfunction("""COMPUTED_VALUE"""),5816.58)</f>
        <v>5816.58</v>
      </c>
      <c r="C134" s="2" t="n">
        <f aca="false">IFERROR(__xludf.dummyfunction("""COMPUTED_VALUE"""),5846.52)</f>
        <v>5846.52</v>
      </c>
      <c r="D134" s="2" t="n">
        <f aca="false">IFERROR(__xludf.dummyfunction("""COMPUTED_VALUE"""),5808.34)</f>
        <v>5808.34</v>
      </c>
      <c r="E134" s="2" t="n">
        <f aca="false">IFERROR(__xludf.dummyfunction("""COMPUTED_VALUE"""),5842.47)</f>
        <v>5842.47</v>
      </c>
      <c r="F134" s="3" t="n">
        <f aca="false">IFERROR(__xludf.dummyfunction("if($T134&lt;&gt;"""",VALUE(REGEXEXTRACT(SUBSTITUTE ($T134,F$1&amp;"" CE"",""""), F$1&amp;""[\w &amp;]*, (\d+\.\d+)"")),"""")
"),5800)</f>
        <v>5800</v>
      </c>
      <c r="G134" s="3" t="n">
        <f aca="false">IFERROR(__xludf.dummyfunction("if($T134&lt;&gt;"""",VALUE(REGEXEXTRACT($T134, G$1&amp;""[\w &amp;]*, (\d+\.\d+)"")),"""")
"),5885)</f>
        <v>5885</v>
      </c>
      <c r="H134" s="3" t="n">
        <f aca="false">IFERROR(__xludf.dummyfunction("if($T134&lt;&gt;"""",VALUE(REGEXEXTRACT($T134, H$1&amp;""[\w &amp;]*, (\d+\.\d+)"")),"""")"),5910)</f>
        <v>5910</v>
      </c>
      <c r="I134" s="3" t="n">
        <f aca="false">IFERROR(__xludf.dummyfunction("if($T134&lt;&gt;"""",VALUE(REGEXEXTRACT(SUBSTITUTE ($T134,I$1&amp;"" CE"",""""), I$1&amp;""[\w &amp;]*, (\d+\.\d+)"")),"""")
"),5800)</f>
        <v>5800</v>
      </c>
      <c r="J134" s="3" t="n">
        <f aca="false">IFERROR(__xludf.dummyfunction("if($T134&lt;&gt;"""",VALUE(REGEXEXTRACT($T134, J$1&amp;""[\w &amp;]*, (\d+\.\d+)"")),"""")
"),5835)</f>
        <v>5835</v>
      </c>
      <c r="K134" s="3" t="n">
        <f aca="false">IFERROR(__xludf.dummyfunction("if($T134&lt;&gt;"""",VALUE(REGEXEXTRACT($T134, K$1&amp;""[\w &amp;]*, (\d+\.\d+)"")),"""")
"),5815)</f>
        <v>5815</v>
      </c>
      <c r="L134" s="3" t="n">
        <f aca="false">IFERROR(__xludf.dummyfunction("if($T134&lt;&gt;"""",VALUE(REGEXEXTRACT(SUBSTITUTE ($T134,L$1&amp;"" CE"",""""), L$1&amp;""[\w &amp;]*, (\d+\.\d+)"")),"""")
"),5755)</f>
        <v>5755</v>
      </c>
      <c r="M134" s="3" t="n">
        <f aca="false">IFERROR(__xludf.dummyfunction("if($T134&lt;&gt;"""",VALUE(REGEXEXTRACT($T134, M$1&amp;""[\w &amp;]*, (\d+\.\d+)"")),"""")
"),5855)</f>
        <v>5855</v>
      </c>
      <c r="N134" s="3" t="n">
        <f aca="false">IFERROR(__xludf.dummyfunction("if($T134&lt;&gt;"""",VALUE(REGEXEXTRACT(SUBSTITUTE ($T134,N$1&amp;"" CE"",""""), N$1&amp;""[\w &amp;]*, (\d+\.\d+)"")),"""")
"),5800)</f>
        <v>5800</v>
      </c>
      <c r="O134" s="3" t="n">
        <f aca="false">IFERROR(__xludf.dummyfunction("if($T134&lt;&gt;"""",VALUE(REGEXEXTRACT($T134, O$1&amp;""[\w &amp;]*, (\d+\.\d+)"")),"""")
"),5885)</f>
        <v>5885</v>
      </c>
      <c r="P134" s="2" t="n">
        <f aca="false">IFERROR(__xludf.dummyfunction("if($T134&lt;&gt;"""",VALUE(REGEXEXTRACT($T134, P$1&amp;""[\w &amp;]*, (\d+\.\d+)"")),"""")
"),5818.19)</f>
        <v>5818.19</v>
      </c>
      <c r="Q134" s="2" t="n">
        <f aca="false">IFERROR(__xludf.dummyfunction("if($T134&lt;&gt;"""",VALUE(REGEXEXTRACT($T134, Q$1&amp;""[\w &amp;]*, (\d+\.\d+)"")),"""")
"),5800.94)</f>
        <v>5800.94</v>
      </c>
      <c r="R134" s="2" t="n">
        <f aca="false">IFERROR(__xludf.dummyfunction("if($T134&lt;&gt;"""",VALUE(REGEXEXTRACT($T134, SUBSTITUTE(R$1, ""+"", ""\+"")&amp;""[\w &amp;]*, (\d+\.\d+)"")),"""")"),5901.51)</f>
        <v>5901.51</v>
      </c>
      <c r="S134" s="2" t="n">
        <f aca="false">IFERROR(__xludf.dummyfunction("if($T134&lt;&gt;"""",VALUE(REGEXEXTRACT($T134, SUBSTITUTE(S$1, ""+"", ""\+"")&amp;""[\w &amp;]*, (\d+\.\d+)"")),"""")"),5918.76)</f>
        <v>5918.76</v>
      </c>
      <c r="T134" s="5" t="s">
        <v>147</v>
      </c>
      <c r="U134" s="5"/>
    </row>
    <row r="135" customFormat="false" ht="15.75" hidden="false" customHeight="false" outlineLevel="0" collapsed="false">
      <c r="A135" s="4" t="n">
        <f aca="false">IFERROR(__xludf.dummyfunction("""COMPUTED_VALUE"""),45582.6666666667)</f>
        <v>45582.6666666667</v>
      </c>
      <c r="B135" s="2" t="n">
        <f aca="false">IFERROR(__xludf.dummyfunction("""COMPUTED_VALUE"""),5875.62)</f>
        <v>5875.62</v>
      </c>
      <c r="C135" s="2" t="n">
        <f aca="false">IFERROR(__xludf.dummyfunction("""COMPUTED_VALUE"""),5878.46)</f>
        <v>5878.46</v>
      </c>
      <c r="D135" s="2" t="n">
        <f aca="false">IFERROR(__xludf.dummyfunction("""COMPUTED_VALUE"""),5840.25)</f>
        <v>5840.25</v>
      </c>
      <c r="E135" s="2" t="n">
        <f aca="false">IFERROR(__xludf.dummyfunction("""COMPUTED_VALUE"""),5841.47)</f>
        <v>5841.47</v>
      </c>
      <c r="F135" s="3" t="n">
        <f aca="false">IFERROR(__xludf.dummyfunction("if($T135&lt;&gt;"""",VALUE(REGEXEXTRACT(SUBSTITUTE ($T135,F$1&amp;"" CE"",""""), F$1&amp;""[\w &amp;]*, (\d+\.\d+)"")),"""")
"),5845)</f>
        <v>5845</v>
      </c>
      <c r="G135" s="3" t="n">
        <f aca="false">IFERROR(__xludf.dummyfunction("if($T135&lt;&gt;"""",VALUE(REGEXEXTRACT($T135, G$1&amp;""[\w &amp;]*, (\d+\.\d+)"")),"""")
"),5845)</f>
        <v>5845</v>
      </c>
      <c r="H135" s="3" t="n">
        <f aca="false">IFERROR(__xludf.dummyfunction("if($T135&lt;&gt;"""",VALUE(REGEXEXTRACT($T135, H$1&amp;""[\w &amp;]*, (\d+\.\d+)"")),"""")"),5860)</f>
        <v>5860</v>
      </c>
      <c r="I135" s="3" t="n">
        <f aca="false">IFERROR(__xludf.dummyfunction("if($T135&lt;&gt;"""",VALUE(REGEXEXTRACT(SUBSTITUTE ($T135,I$1&amp;"" CE"",""""), I$1&amp;""[\w &amp;]*, (\d+\.\d+)"")),"""")
"),5790)</f>
        <v>5790</v>
      </c>
      <c r="J135" s="3" t="n">
        <f aca="false">IFERROR(__xludf.dummyfunction("if($T135&lt;&gt;"""",VALUE(REGEXEXTRACT($T135, J$1&amp;""[\w &amp;]*, (\d+\.\d+)"")),"""")
"),5790)</f>
        <v>5790</v>
      </c>
      <c r="K135" s="3" t="n">
        <f aca="false">IFERROR(__xludf.dummyfunction("if($T135&lt;&gt;"""",VALUE(REGEXEXTRACT($T135, K$1&amp;""[\w &amp;]*, (\d+\.\d+)"")),"""")
"),5765)</f>
        <v>5765</v>
      </c>
      <c r="L135" s="3" t="n">
        <f aca="false">IFERROR(__xludf.dummyfunction("if($T135&lt;&gt;"""",VALUE(REGEXEXTRACT(SUBSTITUTE ($T135,L$1&amp;"" CE"",""""), L$1&amp;""[\w &amp;]*, (\d+\.\d+)"")),"""")
"),5795)</f>
        <v>5795</v>
      </c>
      <c r="M135" s="3" t="n">
        <f aca="false">IFERROR(__xludf.dummyfunction("if($T135&lt;&gt;"""",VALUE(REGEXEXTRACT($T135, M$1&amp;""[\w &amp;]*, (\d+\.\d+)"")),"""")
"),5825)</f>
        <v>5825</v>
      </c>
      <c r="N135" s="3" t="n">
        <f aca="false">IFERROR(__xludf.dummyfunction("if($T135&lt;&gt;"""",VALUE(REGEXEXTRACT(SUBSTITUTE ($T135,N$1&amp;"" CE"",""""), N$1&amp;""[\w &amp;]*, (\d+\.\d+)"")),"""")
"),5800)</f>
        <v>5800</v>
      </c>
      <c r="O135" s="3" t="n">
        <f aca="false">IFERROR(__xludf.dummyfunction("if($T135&lt;&gt;"""",VALUE(REGEXEXTRACT($T135, O$1&amp;""[\w &amp;]*, (\d+\.\d+)"")),"""")
"),5845)</f>
        <v>5845</v>
      </c>
      <c r="P135" s="2" t="n">
        <f aca="false">IFERROR(__xludf.dummyfunction("if($T135&lt;&gt;"""",VALUE(REGEXEXTRACT($T135, P$1&amp;""[\w &amp;]*, (\d+\.\d+)"")),"""")
"),5770.58)</f>
        <v>5770.58</v>
      </c>
      <c r="Q135" s="2" t="n">
        <f aca="false">IFERROR(__xludf.dummyfunction("if($T135&lt;&gt;"""",VALUE(REGEXEXTRACT($T135, Q$1&amp;""[\w &amp;]*, (\d+\.\d+)"")),"""")
"),5752.07)</f>
        <v>5752.07</v>
      </c>
      <c r="R135" s="2" t="n">
        <f aca="false">IFERROR(__xludf.dummyfunction("if($T135&lt;&gt;"""",VALUE(REGEXEXTRACT($T135, SUBSTITUTE(R$1, ""+"", ""\+"")&amp;""[\w &amp;]*, (\d+\.\d+)"")),"""")"),5859.94)</f>
        <v>5859.94</v>
      </c>
      <c r="S135" s="2" t="n">
        <f aca="false">IFERROR(__xludf.dummyfunction("if($T135&lt;&gt;"""",VALUE(REGEXEXTRACT($T135, SUBSTITUTE(S$1, ""+"", ""\+"")&amp;""[\w &amp;]*, (\d+\.\d+)"")),"""")"),5878.45)</f>
        <v>5878.45</v>
      </c>
      <c r="T135" s="5" t="s">
        <v>148</v>
      </c>
      <c r="U135" s="5"/>
    </row>
    <row r="136" customFormat="false" ht="15.75" hidden="false" customHeight="false" outlineLevel="0" collapsed="false">
      <c r="A136" s="4" t="n">
        <f aca="false">IFERROR(__xludf.dummyfunction("""COMPUTED_VALUE"""),45583.6666666667)</f>
        <v>45583.6666666667</v>
      </c>
      <c r="B136" s="2" t="n">
        <f aca="false">IFERROR(__xludf.dummyfunction("""COMPUTED_VALUE"""),5859.43)</f>
        <v>5859.43</v>
      </c>
      <c r="C136" s="2" t="n">
        <f aca="false">IFERROR(__xludf.dummyfunction("""COMPUTED_VALUE"""),5872.17)</f>
        <v>5872.17</v>
      </c>
      <c r="D136" s="2" t="n">
        <f aca="false">IFERROR(__xludf.dummyfunction("""COMPUTED_VALUE"""),5846.11)</f>
        <v>5846.11</v>
      </c>
      <c r="E136" s="2" t="n">
        <f aca="false">IFERROR(__xludf.dummyfunction("""COMPUTED_VALUE"""),5864.67)</f>
        <v>5864.67</v>
      </c>
      <c r="F136" s="3" t="n">
        <f aca="false">IFERROR(__xludf.dummyfunction("if($T136&lt;&gt;"""",VALUE(REGEXEXTRACT(SUBSTITUTE ($T136,F$1&amp;"" CE"",""""), F$1&amp;""[\w &amp;]*, (\d+\.\d+)"")),"""")
"),5900)</f>
        <v>5900</v>
      </c>
      <c r="G136" s="3" t="n">
        <f aca="false">IFERROR(__xludf.dummyfunction("if($T136&lt;&gt;"""",VALUE(REGEXEXTRACT($T136, G$1&amp;""[\w &amp;]*, (\d+\.\d+)"")),"""")
"),5895)</f>
        <v>5895</v>
      </c>
      <c r="H136" s="3" t="n">
        <f aca="false">IFERROR(__xludf.dummyfunction("if($T136&lt;&gt;"""",VALUE(REGEXEXTRACT($T136, H$1&amp;""[\w &amp;]*, (\d+\.\d+)"")),"""")"),5910)</f>
        <v>5910</v>
      </c>
      <c r="I136" s="3" t="n">
        <f aca="false">IFERROR(__xludf.dummyfunction("if($T136&lt;&gt;"""",VALUE(REGEXEXTRACT(SUBSTITUTE ($T136,I$1&amp;"" CE"",""""), I$1&amp;""[\w &amp;]*, (\d+\.\d+)"")),"""")
"),5850)</f>
        <v>5850</v>
      </c>
      <c r="J136" s="3" t="n">
        <f aca="false">IFERROR(__xludf.dummyfunction("if($T136&lt;&gt;"""",VALUE(REGEXEXTRACT($T136, J$1&amp;""[\w &amp;]*, (\d+\.\d+)"")),"""")
"),5840)</f>
        <v>5840</v>
      </c>
      <c r="K136" s="3" t="n">
        <f aca="false">IFERROR(__xludf.dummyfunction("if($T136&lt;&gt;"""",VALUE(REGEXEXTRACT($T136, K$1&amp;""[\w &amp;]*, (\d+\.\d+)"")),"""")
"),5590)</f>
        <v>5590</v>
      </c>
      <c r="L136" s="3" t="n">
        <f aca="false">IFERROR(__xludf.dummyfunction("if($T136&lt;&gt;"""",VALUE(REGEXEXTRACT(SUBSTITUTE ($T136,L$1&amp;"" CE"",""""), L$1&amp;""[\w &amp;]*, (\d+\.\d+)"")),"""")
"),5755)</f>
        <v>5755</v>
      </c>
      <c r="M136" s="3" t="n">
        <f aca="false">IFERROR(__xludf.dummyfunction("if($T136&lt;&gt;"""",VALUE(REGEXEXTRACT($T136, M$1&amp;""[\w &amp;]*, (\d+\.\d+)"")),"""")
"),5840)</f>
        <v>5840</v>
      </c>
      <c r="N136" s="3" t="n">
        <f aca="false">IFERROR(__xludf.dummyfunction("if($T136&lt;&gt;"""",VALUE(REGEXEXTRACT(SUBSTITUTE ($T136,N$1&amp;"" CE"",""""), N$1&amp;""[\w &amp;]*, (\d+\.\d+)"")),"""")
"),5900)</f>
        <v>5900</v>
      </c>
      <c r="O136" s="3" t="n">
        <f aca="false">IFERROR(__xludf.dummyfunction("if($T136&lt;&gt;"""",VALUE(REGEXEXTRACT($T136, O$1&amp;""[\w &amp;]*, (\d+\.\d+)"")),"""")
"),5870)</f>
        <v>5870</v>
      </c>
      <c r="P136" s="2" t="n">
        <f aca="false">IFERROR(__xludf.dummyfunction("if($T136&lt;&gt;"""",VALUE(REGEXEXTRACT($T136, P$1&amp;""[\w &amp;]*, (\d+\.\d+)"")),"""")
"),5799.19)</f>
        <v>5799.19</v>
      </c>
      <c r="Q136" s="2" t="n">
        <f aca="false">IFERROR(__xludf.dummyfunction("if($T136&lt;&gt;"""",VALUE(REGEXEXTRACT($T136, Q$1&amp;""[\w &amp;]*, (\d+\.\d+)"")),"""")
"),5781.28)</f>
        <v>5781.28</v>
      </c>
      <c r="R136" s="2" t="n">
        <f aca="false">IFERROR(__xludf.dummyfunction("if($T136&lt;&gt;"""",VALUE(REGEXEXTRACT($T136, SUBSTITUTE(R$1, ""+"", ""\+"")&amp;""[\w &amp;]*, (\d+\.\d+)"")),"""")"),5885.75)</f>
        <v>5885.75</v>
      </c>
      <c r="S136" s="2" t="n">
        <f aca="false">IFERROR(__xludf.dummyfunction("if($T136&lt;&gt;"""",VALUE(REGEXEXTRACT($T136, SUBSTITUTE(S$1, ""+"", ""\+"")&amp;""[\w &amp;]*, (\d+\.\d+)"")),"""")"),5903.66)</f>
        <v>5903.66</v>
      </c>
      <c r="T136" s="5" t="s">
        <v>149</v>
      </c>
      <c r="U136" s="5"/>
    </row>
    <row r="137" customFormat="false" ht="15.75" hidden="false" customHeight="false" outlineLevel="0" collapsed="false">
      <c r="A137" s="4" t="n">
        <f aca="false">IFERROR(__xludf.dummyfunction("""COMPUTED_VALUE"""),45586.6666666667)</f>
        <v>45586.6666666667</v>
      </c>
      <c r="B137" s="2" t="n">
        <f aca="false">IFERROR(__xludf.dummyfunction("""COMPUTED_VALUE"""),5857.82)</f>
        <v>5857.82</v>
      </c>
      <c r="C137" s="2" t="n">
        <f aca="false">IFERROR(__xludf.dummyfunction("""COMPUTED_VALUE"""),5866.92)</f>
        <v>5866.92</v>
      </c>
      <c r="D137" s="2" t="n">
        <f aca="false">IFERROR(__xludf.dummyfunction("""COMPUTED_VALUE"""),5824.79)</f>
        <v>5824.79</v>
      </c>
      <c r="E137" s="2" t="n">
        <f aca="false">IFERROR(__xludf.dummyfunction("""COMPUTED_VALUE"""),5853.98)</f>
        <v>5853.98</v>
      </c>
      <c r="F137" s="3" t="n">
        <f aca="false">IFERROR(__xludf.dummyfunction("if($T137&lt;&gt;"""",VALUE(REGEXEXTRACT(SUBSTITUTE ($T137,F$1&amp;"" CE"",""""), F$1&amp;""[\w &amp;]*, (\d+\.\d+)"")),"""")
"),5850)</f>
        <v>5850</v>
      </c>
      <c r="G137" s="3" t="n">
        <f aca="false">IFERROR(__xludf.dummyfunction("if($T137&lt;&gt;"""",VALUE(REGEXEXTRACT($T137, G$1&amp;""[\w &amp;]*, (\d+\.\d+)"")),"""")
"),5850)</f>
        <v>5850</v>
      </c>
      <c r="H137" s="3" t="n">
        <f aca="false">IFERROR(__xludf.dummyfunction("if($T137&lt;&gt;"""",VALUE(REGEXEXTRACT($T137, H$1&amp;""[\w &amp;]*, (\d+\.\d+)"")),"""")"),5865)</f>
        <v>5865</v>
      </c>
      <c r="I137" s="3" t="n">
        <f aca="false">IFERROR(__xludf.dummyfunction("if($T137&lt;&gt;"""",VALUE(REGEXEXTRACT(SUBSTITUTE ($T137,I$1&amp;"" CE"",""""), I$1&amp;""[\w &amp;]*, (\d+\.\d+)"")),"""")
"),5850)</f>
        <v>5850</v>
      </c>
      <c r="J137" s="3" t="n">
        <f aca="false">IFERROR(__xludf.dummyfunction("if($T137&lt;&gt;"""",VALUE(REGEXEXTRACT($T137, J$1&amp;""[\w &amp;]*, (\d+\.\d+)"")),"""")
"),5815)</f>
        <v>5815</v>
      </c>
      <c r="K137" s="3" t="n">
        <f aca="false">IFERROR(__xludf.dummyfunction("if($T137&lt;&gt;"""",VALUE(REGEXEXTRACT($T137, K$1&amp;""[\w &amp;]*, (\d+\.\d+)"")),"""")
"),5735)</f>
        <v>5735</v>
      </c>
      <c r="L137" s="3" t="n">
        <f aca="false">IFERROR(__xludf.dummyfunction("if($T137&lt;&gt;"""",VALUE(REGEXEXTRACT(SUBSTITUTE ($T137,L$1&amp;"" CE"",""""), L$1&amp;""[\w &amp;]*, (\d+\.\d+)"")),"""")
"),5820)</f>
        <v>5820</v>
      </c>
      <c r="M137" s="3" t="n">
        <f aca="false">IFERROR(__xludf.dummyfunction("if($T137&lt;&gt;"""",VALUE(REGEXEXTRACT($T137, M$1&amp;""[\w &amp;]*, (\d+\.\d+)"")),"""")
"),5840)</f>
        <v>5840</v>
      </c>
      <c r="N137" s="3" t="n">
        <f aca="false">IFERROR(__xludf.dummyfunction("if($T137&lt;&gt;"""",VALUE(REGEXEXTRACT(SUBSTITUTE ($T137,N$1&amp;"" CE"",""""), N$1&amp;""[\w &amp;]*, (\d+\.\d+)"")),"""")
"),5850)</f>
        <v>5850</v>
      </c>
      <c r="O137" s="3" t="n">
        <f aca="false">IFERROR(__xludf.dummyfunction("if($T137&lt;&gt;"""",VALUE(REGEXEXTRACT($T137, O$1&amp;""[\w &amp;]*, (\d+\.\d+)"")),"""")
"),5850)</f>
        <v>5850</v>
      </c>
      <c r="P137" s="2" t="n">
        <f aca="false">IFERROR(__xludf.dummyfunction("if($T137&lt;&gt;"""",VALUE(REGEXEXTRACT($T137, P$1&amp;""[\w &amp;]*, (\d+\.\d+)"")),"""")
"),5801.65)</f>
        <v>5801.65</v>
      </c>
      <c r="Q137" s="2" t="n">
        <f aca="false">IFERROR(__xludf.dummyfunction("if($T137&lt;&gt;"""",VALUE(REGEXEXTRACT($T137, Q$1&amp;""[\w &amp;]*, (\d+\.\d+)"")),"""")
"),5762.01)</f>
        <v>5762.01</v>
      </c>
      <c r="R137" s="2" t="n">
        <f aca="false">IFERROR(__xludf.dummyfunction("if($T137&lt;&gt;"""",VALUE(REGEXEXTRACT($T137, SUBSTITUTE(R$1, ""+"", ""\+"")&amp;""[\w &amp;]*, (\d+\.\d+)"")),"""")"),5881.29)</f>
        <v>5881.29</v>
      </c>
      <c r="S137" s="2" t="n">
        <f aca="false">IFERROR(__xludf.dummyfunction("if($T137&lt;&gt;"""",VALUE(REGEXEXTRACT($T137, SUBSTITUTE(S$1, ""+"", ""\+"")&amp;""[\w &amp;]*, (\d+\.\d+)"")),"""")"),5920.93)</f>
        <v>5920.93</v>
      </c>
      <c r="T137" s="5" t="s">
        <v>150</v>
      </c>
      <c r="U137" s="5"/>
    </row>
    <row r="138" customFormat="false" ht="15.75" hidden="false" customHeight="false" outlineLevel="0" collapsed="false">
      <c r="A138" s="4" t="n">
        <f aca="false">IFERROR(__xludf.dummyfunction("""COMPUTED_VALUE"""),45587.6666666667)</f>
        <v>45587.6666666667</v>
      </c>
      <c r="B138" s="2" t="n">
        <f aca="false">IFERROR(__xludf.dummyfunction("""COMPUTED_VALUE"""),5832.7)</f>
        <v>5832.7</v>
      </c>
      <c r="C138" s="2" t="n">
        <f aca="false">IFERROR(__xludf.dummyfunction("""COMPUTED_VALUE"""),5863.04)</f>
        <v>5863.04</v>
      </c>
      <c r="D138" s="2" t="n">
        <f aca="false">IFERROR(__xludf.dummyfunction("""COMPUTED_VALUE"""),5821.17)</f>
        <v>5821.17</v>
      </c>
      <c r="E138" s="2" t="n">
        <f aca="false">IFERROR(__xludf.dummyfunction("""COMPUTED_VALUE"""),5851.2)</f>
        <v>5851.2</v>
      </c>
      <c r="F138" s="3" t="n">
        <f aca="false">IFERROR(__xludf.dummyfunction("if($T138&lt;&gt;"""",VALUE(REGEXEXTRACT(SUBSTITUTE ($T138,F$1&amp;"" CE"",""""), F$1&amp;""[\w &amp;]*, (\d+\.\d+)"")),"""")
"),6000)</f>
        <v>6000</v>
      </c>
      <c r="G138" s="3" t="n">
        <f aca="false">IFERROR(__xludf.dummyfunction("if($T138&lt;&gt;"""",VALUE(REGEXEXTRACT($T138, G$1&amp;""[\w &amp;]*, (\d+\.\d+)"")),"""")
"),5875)</f>
        <v>5875</v>
      </c>
      <c r="H138" s="3" t="n">
        <f aca="false">IFERROR(__xludf.dummyfunction("if($T138&lt;&gt;"""",VALUE(REGEXEXTRACT($T138, H$1&amp;""[\w &amp;]*, (\d+\.\d+)"")),"""")"),5910)</f>
        <v>5910</v>
      </c>
      <c r="I138" s="3" t="n">
        <f aca="false">IFERROR(__xludf.dummyfunction("if($T138&lt;&gt;"""",VALUE(REGEXEXTRACT(SUBSTITUTE ($T138,I$1&amp;"" CE"",""""), I$1&amp;""[\w &amp;]*, (\d+\.\d+)"")),"""")
"),5750)</f>
        <v>5750</v>
      </c>
      <c r="J138" s="3" t="n">
        <f aca="false">IFERROR(__xludf.dummyfunction("if($T138&lt;&gt;"""",VALUE(REGEXEXTRACT($T138, J$1&amp;""[\w &amp;]*, (\d+\.\d+)"")),"""")
"),5835)</f>
        <v>5835</v>
      </c>
      <c r="K138" s="3" t="n">
        <f aca="false">IFERROR(__xludf.dummyfunction("if($T138&lt;&gt;"""",VALUE(REGEXEXTRACT($T138, K$1&amp;""[\w &amp;]*, (\d+\.\d+)"")),"""")
"),5735)</f>
        <v>5735</v>
      </c>
      <c r="L138" s="3" t="n">
        <f aca="false">IFERROR(__xludf.dummyfunction("if($T138&lt;&gt;"""",VALUE(REGEXEXTRACT(SUBSTITUTE ($T138,L$1&amp;"" CE"",""""), L$1&amp;""[\w &amp;]*, (\d+\.\d+)"")),"""")
"),5845)</f>
        <v>5845</v>
      </c>
      <c r="M138" s="3" t="n">
        <f aca="false">IFERROR(__xludf.dummyfunction("if($T138&lt;&gt;"""",VALUE(REGEXEXTRACT($T138, M$1&amp;""[\w &amp;]*, (\d+\.\d+)"")),"""")
"),5850)</f>
        <v>5850</v>
      </c>
      <c r="N138" s="3" t="n">
        <f aca="false">IFERROR(__xludf.dummyfunction("if($T138&lt;&gt;"""",VALUE(REGEXEXTRACT(SUBSTITUTE ($T138,N$1&amp;"" CE"",""""), N$1&amp;""[\w &amp;]*, (\d+\.\d+)"")),"""")
"),5850)</f>
        <v>5850</v>
      </c>
      <c r="O138" s="3" t="n">
        <f aca="false">IFERROR(__xludf.dummyfunction("if($T138&lt;&gt;"""",VALUE(REGEXEXTRACT($T138, O$1&amp;""[\w &amp;]*, (\d+\.\d+)"")),"""")
"),5850)</f>
        <v>5850</v>
      </c>
      <c r="P138" s="2" t="n">
        <f aca="false">IFERROR(__xludf.dummyfunction("if($T138&lt;&gt;"""",VALUE(REGEXEXTRACT($T138, P$1&amp;""[\w &amp;]*, (\d+\.\d+)"")),"""")
"),5822.95)</f>
        <v>5822.95</v>
      </c>
      <c r="Q138" s="2" t="n">
        <f aca="false">IFERROR(__xludf.dummyfunction("if($T138&lt;&gt;"""",VALUE(REGEXEXTRACT($T138, Q$1&amp;""[\w &amp;]*, (\d+\.\d+)"")),"""")
"),5805.67)</f>
        <v>5805.67</v>
      </c>
      <c r="R138" s="2" t="n">
        <f aca="false">IFERROR(__xludf.dummyfunction("if($T138&lt;&gt;"""",VALUE(REGEXEXTRACT($T138, SUBSTITUTE(R$1, ""+"", ""\+"")&amp;""[\w &amp;]*, (\d+\.\d+)"")),"""")"),5906.39)</f>
        <v>5906.39</v>
      </c>
      <c r="S138" s="2" t="n">
        <f aca="false">IFERROR(__xludf.dummyfunction("if($T138&lt;&gt;"""",VALUE(REGEXEXTRACT($T138, SUBSTITUTE(S$1, ""+"", ""\+"")&amp;""[\w &amp;]*, (\d+\.\d+)"")),"""")"),5923.67)</f>
        <v>5923.67</v>
      </c>
      <c r="T138" s="5" t="s">
        <v>151</v>
      </c>
      <c r="U138" s="5"/>
    </row>
    <row r="139" customFormat="false" ht="15.75" hidden="false" customHeight="false" outlineLevel="0" collapsed="false">
      <c r="A139" s="4" t="n">
        <f aca="false">IFERROR(__xludf.dummyfunction("""COMPUTED_VALUE"""),45588.6666666667)</f>
        <v>45588.6666666667</v>
      </c>
      <c r="B139" s="2" t="n">
        <f aca="false">IFERROR(__xludf.dummyfunction("""COMPUTED_VALUE"""),5834.5)</f>
        <v>5834.5</v>
      </c>
      <c r="C139" s="2" t="n">
        <f aca="false">IFERROR(__xludf.dummyfunction("""COMPUTED_VALUE"""),5834.85)</f>
        <v>5834.85</v>
      </c>
      <c r="D139" s="2" t="n">
        <f aca="false">IFERROR(__xludf.dummyfunction("""COMPUTED_VALUE"""),5762.41)</f>
        <v>5762.41</v>
      </c>
      <c r="E139" s="2" t="n">
        <f aca="false">IFERROR(__xludf.dummyfunction("""COMPUTED_VALUE"""),5797.42)</f>
        <v>5797.42</v>
      </c>
      <c r="F139" s="3" t="n">
        <f aca="false">IFERROR(__xludf.dummyfunction("if($T139&lt;&gt;"""",VALUE(REGEXEXTRACT(SUBSTITUTE ($T139,F$1&amp;"" CE"",""""), F$1&amp;""[\w &amp;]*, (\d+\.\d+)"")),"""")
"),6000)</f>
        <v>6000</v>
      </c>
      <c r="G139" s="3" t="n">
        <f aca="false">IFERROR(__xludf.dummyfunction("if($T139&lt;&gt;"""",VALUE(REGEXEXTRACT($T139, G$1&amp;""[\w &amp;]*, (\d+\.\d+)"")),"""")
"),5875)</f>
        <v>5875</v>
      </c>
      <c r="H139" s="3" t="n">
        <f aca="false">IFERROR(__xludf.dummyfunction("if($T139&lt;&gt;"""",VALUE(REGEXEXTRACT($T139, H$1&amp;""[\w &amp;]*, (\d+\.\d+)"")),"""")"),5910)</f>
        <v>5910</v>
      </c>
      <c r="I139" s="3" t="n">
        <f aca="false">IFERROR(__xludf.dummyfunction("if($T139&lt;&gt;"""",VALUE(REGEXEXTRACT(SUBSTITUTE ($T139,I$1&amp;"" CE"",""""), I$1&amp;""[\w &amp;]*, (\d+\.\d+)"")),"""")
"),5750)</f>
        <v>5750</v>
      </c>
      <c r="J139" s="3" t="n">
        <f aca="false">IFERROR(__xludf.dummyfunction("if($T139&lt;&gt;"""",VALUE(REGEXEXTRACT($T139, J$1&amp;""[\w &amp;]*, (\d+\.\d+)"")),"""")
"),5800)</f>
        <v>5800</v>
      </c>
      <c r="K139" s="3" t="n">
        <f aca="false">IFERROR(__xludf.dummyfunction("if($T139&lt;&gt;"""",VALUE(REGEXEXTRACT($T139, K$1&amp;""[\w &amp;]*, (\d+\.\d+)"")),"""")
"),5740)</f>
        <v>5740</v>
      </c>
      <c r="L139" s="3" t="n">
        <f aca="false">IFERROR(__xludf.dummyfunction("if($T139&lt;&gt;"""",VALUE(REGEXEXTRACT(SUBSTITUTE ($T139,L$1&amp;"" CE"",""""), L$1&amp;""[\w &amp;]*, (\d+\.\d+)"")),"""")
"),5845)</f>
        <v>5845</v>
      </c>
      <c r="M139" s="3" t="n">
        <f aca="false">IFERROR(__xludf.dummyfunction("if($T139&lt;&gt;"""",VALUE(REGEXEXTRACT($T139, M$1&amp;""[\w &amp;]*, (\d+\.\d+)"")),"""")
"),5850)</f>
        <v>5850</v>
      </c>
      <c r="N139" s="3" t="n">
        <f aca="false">IFERROR(__xludf.dummyfunction("if($T139&lt;&gt;"""",VALUE(REGEXEXTRACT(SUBSTITUTE ($T139,N$1&amp;"" CE"",""""), N$1&amp;""[\w &amp;]*, (\d+\.\d+)"")),"""")
"),5800)</f>
        <v>5800</v>
      </c>
      <c r="O139" s="3" t="n">
        <f aca="false">IFERROR(__xludf.dummyfunction("if($T139&lt;&gt;"""",VALUE(REGEXEXTRACT($T139, O$1&amp;""[\w &amp;]*, (\d+\.\d+)"")),"""")
"),5850)</f>
        <v>5850</v>
      </c>
      <c r="P139" s="2" t="n">
        <f aca="false">IFERROR(__xludf.dummyfunction("if($T139&lt;&gt;"""",VALUE(REGEXEXTRACT($T139, P$1&amp;""[\w &amp;]*, (\d+\.\d+)"")),"""")
"),5810.78)</f>
        <v>5810.78</v>
      </c>
      <c r="Q139" s="2" t="n">
        <f aca="false">IFERROR(__xludf.dummyfunction("if($T139&lt;&gt;"""",VALUE(REGEXEXTRACT($T139, Q$1&amp;""[\w &amp;]*, (\d+\.\d+)"")),"""")
"),5792.88)</f>
        <v>5792.88</v>
      </c>
      <c r="R139" s="2" t="n">
        <f aca="false">IFERROR(__xludf.dummyfunction("if($T139&lt;&gt;"""",VALUE(REGEXEXTRACT($T139, SUBSTITUTE(R$1, ""+"", ""\+"")&amp;""[\w &amp;]*, (\d+\.\d+)"")),"""")"),5897.18)</f>
        <v>5897.18</v>
      </c>
      <c r="S139" s="2" t="n">
        <f aca="false">IFERROR(__xludf.dummyfunction("if($T139&lt;&gt;"""",VALUE(REGEXEXTRACT($T139, SUBSTITUTE(S$1, ""+"", ""\+"")&amp;""[\w &amp;]*, (\d+\.\d+)"")),"""")"),5915.08)</f>
        <v>5915.08</v>
      </c>
      <c r="T139" s="5" t="s">
        <v>152</v>
      </c>
      <c r="U139" s="5"/>
    </row>
    <row r="140" customFormat="false" ht="15.75" hidden="false" customHeight="false" outlineLevel="0" collapsed="false">
      <c r="A140" s="4" t="n">
        <f aca="false">IFERROR(__xludf.dummyfunction("""COMPUTED_VALUE"""),45589.6666666667)</f>
        <v>45589.6666666667</v>
      </c>
      <c r="B140" s="2" t="n">
        <f aca="false">IFERROR(__xludf.dummyfunction("""COMPUTED_VALUE"""),5817.8)</f>
        <v>5817.8</v>
      </c>
      <c r="C140" s="2" t="n">
        <f aca="false">IFERROR(__xludf.dummyfunction("""COMPUTED_VALUE"""),5817.8)</f>
        <v>5817.8</v>
      </c>
      <c r="D140" s="2" t="n">
        <f aca="false">IFERROR(__xludf.dummyfunction("""COMPUTED_VALUE"""),5784.92)</f>
        <v>5784.92</v>
      </c>
      <c r="E140" s="2" t="n">
        <f aca="false">IFERROR(__xludf.dummyfunction("""COMPUTED_VALUE"""),5809.86)</f>
        <v>5809.86</v>
      </c>
      <c r="F140" s="3" t="n">
        <f aca="false">IFERROR(__xludf.dummyfunction("if($T140&lt;&gt;"""",VALUE(REGEXEXTRACT(SUBSTITUTE ($T140,F$1&amp;"" CE"",""""), F$1&amp;""[\w &amp;]*, (\d+\.\d+)"")),"""")
"),6000)</f>
        <v>6000</v>
      </c>
      <c r="G140" s="3" t="n">
        <f aca="false">IFERROR(__xludf.dummyfunction("if($T140&lt;&gt;"""",VALUE(REGEXEXTRACT($T140, G$1&amp;""[\w &amp;]*, (\d+\.\d+)"")),"""")
"),5870)</f>
        <v>5870</v>
      </c>
      <c r="H140" s="3" t="n">
        <f aca="false">IFERROR(__xludf.dummyfunction("if($T140&lt;&gt;"""",VALUE(REGEXEXTRACT($T140, H$1&amp;""[\w &amp;]*, (\d+\.\d+)"")),"""")"),5910)</f>
        <v>5910</v>
      </c>
      <c r="I140" s="3" t="n">
        <f aca="false">IFERROR(__xludf.dummyfunction("if($T140&lt;&gt;"""",VALUE(REGEXEXTRACT(SUBSTITUTE ($T140,I$1&amp;"" CE"",""""), I$1&amp;""[\w &amp;]*, (\d+\.\d+)"")),"""")
"),5750)</f>
        <v>5750</v>
      </c>
      <c r="J140" s="3" t="n">
        <f aca="false">IFERROR(__xludf.dummyfunction("if($T140&lt;&gt;"""",VALUE(REGEXEXTRACT($T140, J$1&amp;""[\w &amp;]*, (\d+\.\d+)"")),"""")
"),5825)</f>
        <v>5825</v>
      </c>
      <c r="K140" s="3" t="n">
        <f aca="false">IFERROR(__xludf.dummyfunction("if($T140&lt;&gt;"""",VALUE(REGEXEXTRACT($T140, K$1&amp;""[\w &amp;]*, (\d+\.\d+)"")),"""")
"),5800)</f>
        <v>5800</v>
      </c>
      <c r="L140" s="3" t="n">
        <f aca="false">IFERROR(__xludf.dummyfunction("if($T140&lt;&gt;"""",VALUE(REGEXEXTRACT(SUBSTITUTE ($T140,L$1&amp;"" CE"",""""), L$1&amp;""[\w &amp;]*, (\d+\.\d+)"")),"""")
"),5845)</f>
        <v>5845</v>
      </c>
      <c r="M140" s="3" t="n">
        <f aca="false">IFERROR(__xludf.dummyfunction("if($T140&lt;&gt;"""",VALUE(REGEXEXTRACT($T140, M$1&amp;""[\w &amp;]*, (\d+\.\d+)"")),"""")
"),5850)</f>
        <v>5850</v>
      </c>
      <c r="N140" s="3" t="n">
        <f aca="false">IFERROR(__xludf.dummyfunction("if($T140&lt;&gt;"""",VALUE(REGEXEXTRACT(SUBSTITUTE ($T140,N$1&amp;"" CE"",""""), N$1&amp;""[\w &amp;]*, (\d+\.\d+)"")),"""")
"),5850)</f>
        <v>5850</v>
      </c>
      <c r="O140" s="3" t="n">
        <f aca="false">IFERROR(__xludf.dummyfunction("if($T140&lt;&gt;"""",VALUE(REGEXEXTRACT($T140, O$1&amp;""[\w &amp;]*, (\d+\.\d+)"")),"""")
"),5850)</f>
        <v>5850</v>
      </c>
      <c r="P140" s="2" t="n">
        <f aca="false">IFERROR(__xludf.dummyfunction("if($T140&lt;&gt;"""",VALUE(REGEXEXTRACT($T140, P$1&amp;""[\w &amp;]*, (\d+\.\d+)"")),"""")
"),5808.55)</f>
        <v>5808.55</v>
      </c>
      <c r="Q140" s="2" t="n">
        <f aca="false">IFERROR(__xludf.dummyfunction("if($T140&lt;&gt;"""",VALUE(REGEXEXTRACT($T140, Q$1&amp;""[\w &amp;]*, (\d+\.\d+)"")),"""")
"),5790.88)</f>
        <v>5790.88</v>
      </c>
      <c r="R140" s="2" t="n">
        <f aca="false">IFERROR(__xludf.dummyfunction("if($T140&lt;&gt;"""",VALUE(REGEXEXTRACT($T140, SUBSTITUTE(R$1, ""+"", ""\+"")&amp;""[\w &amp;]*, (\d+\.\d+)"")),"""")"),5893.85)</f>
        <v>5893.85</v>
      </c>
      <c r="S140" s="2" t="n">
        <f aca="false">IFERROR(__xludf.dummyfunction("if($T140&lt;&gt;"""",VALUE(REGEXEXTRACT($T140, SUBSTITUTE(S$1, ""+"", ""\+"")&amp;""[\w &amp;]*, (\d+\.\d+)"")),"""")"),5911.52)</f>
        <v>5911.52</v>
      </c>
      <c r="T140" s="5" t="s">
        <v>153</v>
      </c>
      <c r="U140" s="5"/>
    </row>
    <row r="141" customFormat="false" ht="15.75" hidden="false" customHeight="false" outlineLevel="0" collapsed="false">
      <c r="A141" s="4" t="n">
        <f aca="false">IFERROR(__xludf.dummyfunction("""COMPUTED_VALUE"""),45590.6666666667)</f>
        <v>45590.6666666667</v>
      </c>
      <c r="B141" s="2" t="n">
        <f aca="false">IFERROR(__xludf.dummyfunction("""COMPUTED_VALUE"""),5826.75)</f>
        <v>5826.75</v>
      </c>
      <c r="C141" s="2" t="n">
        <f aca="false">IFERROR(__xludf.dummyfunction("""COMPUTED_VALUE"""),5862.82)</f>
        <v>5862.82</v>
      </c>
      <c r="D141" s="2" t="n">
        <f aca="false">IFERROR(__xludf.dummyfunction("""COMPUTED_VALUE"""),5799.98)</f>
        <v>5799.98</v>
      </c>
      <c r="E141" s="2" t="n">
        <f aca="false">IFERROR(__xludf.dummyfunction("""COMPUTED_VALUE"""),5808.12)</f>
        <v>5808.12</v>
      </c>
      <c r="F141" s="3" t="n">
        <f aca="false">IFERROR(__xludf.dummyfunction("if($T141&lt;&gt;"""",VALUE(REGEXEXTRACT(SUBSTITUTE ($T141,F$1&amp;"" CE"",""""), F$1&amp;""[\w &amp;]*, (\d+\.\d+)"")),"""")
"),5850)</f>
        <v>5850</v>
      </c>
      <c r="G141" s="3" t="n">
        <f aca="false">IFERROR(__xludf.dummyfunction("if($T141&lt;&gt;"""",VALUE(REGEXEXTRACT($T141, G$1&amp;""[\w &amp;]*, (\d+\.\d+)"")),"""")
"),5850)</f>
        <v>5850</v>
      </c>
      <c r="H141" s="3" t="n">
        <f aca="false">IFERROR(__xludf.dummyfunction("if($T141&lt;&gt;"""",VALUE(REGEXEXTRACT($T141, H$1&amp;""[\w &amp;]*, (\d+\.\d+)"")),"""")"),5910)</f>
        <v>5910</v>
      </c>
      <c r="I141" s="3" t="n">
        <f aca="false">IFERROR(__xludf.dummyfunction("if($T141&lt;&gt;"""",VALUE(REGEXEXTRACT(SUBSTITUTE ($T141,I$1&amp;"" CE"",""""), I$1&amp;""[\w &amp;]*, (\d+\.\d+)"")),"""")
"),5750)</f>
        <v>5750</v>
      </c>
      <c r="J141" s="3" t="n">
        <f aca="false">IFERROR(__xludf.dummyfunction("if($T141&lt;&gt;"""",VALUE(REGEXEXTRACT($T141, J$1&amp;""[\w &amp;]*, (\d+\.\d+)"")),"""")
"),5750)</f>
        <v>5750</v>
      </c>
      <c r="K141" s="3" t="n">
        <f aca="false">IFERROR(__xludf.dummyfunction("if($T141&lt;&gt;"""",VALUE(REGEXEXTRACT($T141, K$1&amp;""[\w &amp;]*, (\d+\.\d+)"")),"""")
"),5740)</f>
        <v>5740</v>
      </c>
      <c r="L141" s="3" t="n">
        <f aca="false">IFERROR(__xludf.dummyfunction("if($T141&lt;&gt;"""",VALUE(REGEXEXTRACT(SUBSTITUTE ($T141,L$1&amp;"" CE"",""""), L$1&amp;""[\w &amp;]*, (\d+\.\d+)"")),"""")
"),5815)</f>
        <v>5815</v>
      </c>
      <c r="M141" s="3" t="n">
        <f aca="false">IFERROR(__xludf.dummyfunction("if($T141&lt;&gt;"""",VALUE(REGEXEXTRACT($T141, M$1&amp;""[\w &amp;]*, (\d+\.\d+)"")),"""")
"),5805)</f>
        <v>5805</v>
      </c>
      <c r="N141" s="3" t="n">
        <f aca="false">IFERROR(__xludf.dummyfunction("if($T141&lt;&gt;"""",VALUE(REGEXEXTRACT(SUBSTITUTE ($T141,N$1&amp;"" CE"",""""), N$1&amp;""[\w &amp;]*, (\d+\.\d+)"")),"""")
"),5850)</f>
        <v>5850</v>
      </c>
      <c r="O141" s="3" t="n">
        <f aca="false">IFERROR(__xludf.dummyfunction("if($T141&lt;&gt;"""",VALUE(REGEXEXTRACT($T141, O$1&amp;""[\w &amp;]*, (\d+\.\d+)"")),"""")
"),5850)</f>
        <v>5850</v>
      </c>
      <c r="P141" s="2" t="n">
        <f aca="false">IFERROR(__xludf.dummyfunction("if($T141&lt;&gt;"""",VALUE(REGEXEXTRACT($T141, P$1&amp;""[\w &amp;]*, (\d+\.\d+)"")),"""")
"),5750.58)</f>
        <v>5750.58</v>
      </c>
      <c r="Q141" s="2" t="n">
        <f aca="false">IFERROR(__xludf.dummyfunction("if($T141&lt;&gt;"""",VALUE(REGEXEXTRACT($T141, Q$1&amp;""[\w &amp;]*, (\d+\.\d+)"")),"""")
"),5731.17)</f>
        <v>5731.17</v>
      </c>
      <c r="R141" s="2" t="n">
        <f aca="false">IFERROR(__xludf.dummyfunction("if($T141&lt;&gt;"""",VALUE(REGEXEXTRACT($T141, SUBSTITUTE(R$1, ""+"", ""\+"")&amp;""[\w &amp;]*, (\d+\.\d+)"")),"""")"),5844.26)</f>
        <v>5844.26</v>
      </c>
      <c r="S141" s="2" t="n">
        <f aca="false">IFERROR(__xludf.dummyfunction("if($T141&lt;&gt;"""",VALUE(REGEXEXTRACT($T141, SUBSTITUTE(S$1, ""+"", ""\+"")&amp;""[\w &amp;]*, (\d+\.\d+)"")),"""")"),5863.67)</f>
        <v>5863.67</v>
      </c>
      <c r="T141" s="5" t="s">
        <v>154</v>
      </c>
      <c r="U141" s="5"/>
    </row>
    <row r="142" customFormat="false" ht="15.75" hidden="false" customHeight="false" outlineLevel="0" collapsed="false">
      <c r="A142" s="4" t="n">
        <f aca="false">IFERROR(__xludf.dummyfunction("""COMPUTED_VALUE"""),45593.6666666667)</f>
        <v>45593.6666666667</v>
      </c>
      <c r="B142" s="2" t="n">
        <f aca="false">IFERROR(__xludf.dummyfunction("""COMPUTED_VALUE"""),5833.93)</f>
        <v>5833.93</v>
      </c>
      <c r="C142" s="2" t="n">
        <f aca="false">IFERROR(__xludf.dummyfunction("""COMPUTED_VALUE"""),5842.92)</f>
        <v>5842.92</v>
      </c>
      <c r="D142" s="2" t="n">
        <f aca="false">IFERROR(__xludf.dummyfunction("""COMPUTED_VALUE"""),5823.08)</f>
        <v>5823.08</v>
      </c>
      <c r="E142" s="2" t="n">
        <f aca="false">IFERROR(__xludf.dummyfunction("""COMPUTED_VALUE"""),5823.52)</f>
        <v>5823.52</v>
      </c>
      <c r="F142" s="3" t="n">
        <f aca="false">IFERROR(__xludf.dummyfunction("if($T142&lt;&gt;"""",VALUE(REGEXEXTRACT(SUBSTITUTE ($T142,F$1&amp;"" CE"",""""), F$1&amp;""[\w &amp;]*, (\d+\.\d+)"")),"""")
"),5850)</f>
        <v>5850</v>
      </c>
      <c r="G142" s="3" t="n">
        <f aca="false">IFERROR(__xludf.dummyfunction("if($T142&lt;&gt;"""",VALUE(REGEXEXTRACT($T142, G$1&amp;""[\w &amp;]*, (\d+\.\d+)"")),"""")
"),5820)</f>
        <v>5820</v>
      </c>
      <c r="H142" s="3" t="n">
        <f aca="false">IFERROR(__xludf.dummyfunction("if($T142&lt;&gt;"""",VALUE(REGEXEXTRACT($T142, H$1&amp;""[\w &amp;]*, (\d+\.\d+)"")),"""")"),5910)</f>
        <v>5910</v>
      </c>
      <c r="I142" s="3" t="n">
        <f aca="false">IFERROR(__xludf.dummyfunction("if($T142&lt;&gt;"""",VALUE(REGEXEXTRACT(SUBSTITUTE ($T142,I$1&amp;"" CE"",""""), I$1&amp;""[\w &amp;]*, (\d+\.\d+)"")),"""")
"),5850)</f>
        <v>5850</v>
      </c>
      <c r="J142" s="3" t="n">
        <f aca="false">IFERROR(__xludf.dummyfunction("if($T142&lt;&gt;"""",VALUE(REGEXEXTRACT($T142, J$1&amp;""[\w &amp;]*, (\d+\.\d+)"")),"""")
"),5780)</f>
        <v>5780</v>
      </c>
      <c r="K142" s="3" t="n">
        <f aca="false">IFERROR(__xludf.dummyfunction("if($T142&lt;&gt;"""",VALUE(REGEXEXTRACT($T142, K$1&amp;""[\w &amp;]*, (\d+\.\d+)"")),"""")
"),5740)</f>
        <v>5740</v>
      </c>
      <c r="L142" s="3" t="n">
        <f aca="false">IFERROR(__xludf.dummyfunction("if($T142&lt;&gt;"""",VALUE(REGEXEXTRACT(SUBSTITUTE ($T142,L$1&amp;"" CE"",""""), L$1&amp;""[\w &amp;]*, (\d+\.\d+)"")),"""")
"),5830)</f>
        <v>5830</v>
      </c>
      <c r="M142" s="3" t="n">
        <f aca="false">IFERROR(__xludf.dummyfunction("if($T142&lt;&gt;"""",VALUE(REGEXEXTRACT($T142, M$1&amp;""[\w &amp;]*, (\d+\.\d+)"")),"""")
"),5830)</f>
        <v>5830</v>
      </c>
      <c r="N142" s="3" t="n">
        <f aca="false">IFERROR(__xludf.dummyfunction("if($T142&lt;&gt;"""",VALUE(REGEXEXTRACT(SUBSTITUTE ($T142,N$1&amp;"" CE"",""""), N$1&amp;""[\w &amp;]*, (\d+\.\d+)"")),"""")
"),5850)</f>
        <v>5850</v>
      </c>
      <c r="O142" s="3" t="n">
        <f aca="false">IFERROR(__xludf.dummyfunction("if($T142&lt;&gt;"""",VALUE(REGEXEXTRACT($T142, O$1&amp;""[\w &amp;]*, (\d+\.\d+)"")),"""")
"),5850)</f>
        <v>5850</v>
      </c>
      <c r="P142" s="2" t="n">
        <f aca="false">IFERROR(__xludf.dummyfunction("if($T142&lt;&gt;"""",VALUE(REGEXEXTRACT($T142, P$1&amp;""[\w &amp;]*, (\d+\.\d+)"")),"""")
"),5764.06)</f>
        <v>5764.06</v>
      </c>
      <c r="Q142" s="2" t="n">
        <f aca="false">IFERROR(__xludf.dummyfunction("if($T142&lt;&gt;"""",VALUE(REGEXEXTRACT($T142, Q$1&amp;""[\w &amp;]*, (\d+\.\d+)"")),"""")
"),5718.27)</f>
        <v>5718.27</v>
      </c>
      <c r="R142" s="2" t="n">
        <f aca="false">IFERROR(__xludf.dummyfunction("if($T142&lt;&gt;"""",VALUE(REGEXEXTRACT($T142, SUBSTITUTE(R$1, ""+"", ""\+"")&amp;""[\w &amp;]*, (\d+\.\d+)"")),"""")"),5855.66)</f>
        <v>5855.66</v>
      </c>
      <c r="S142" s="2" t="n">
        <f aca="false">IFERROR(__xludf.dummyfunction("if($T142&lt;&gt;"""",VALUE(REGEXEXTRACT($T142, SUBSTITUTE(S$1, ""+"", ""\+"")&amp;""[\w &amp;]*, (\d+\.\d+)"")),"""")"),5901.45)</f>
        <v>5901.45</v>
      </c>
      <c r="T142" s="5" t="s">
        <v>155</v>
      </c>
      <c r="U142" s="5"/>
    </row>
    <row r="143" customFormat="false" ht="15.75" hidden="false" customHeight="false" outlineLevel="0" collapsed="false">
      <c r="A143" s="4" t="n">
        <f aca="false">IFERROR(__xludf.dummyfunction("""COMPUTED_VALUE"""),45594.6666666667)</f>
        <v>45594.6666666667</v>
      </c>
      <c r="B143" s="2" t="n">
        <f aca="false">IFERROR(__xludf.dummyfunction("""COMPUTED_VALUE"""),5819.68)</f>
        <v>5819.68</v>
      </c>
      <c r="C143" s="2" t="n">
        <f aca="false">IFERROR(__xludf.dummyfunction("""COMPUTED_VALUE"""),5847.19)</f>
        <v>5847.19</v>
      </c>
      <c r="D143" s="2" t="n">
        <f aca="false">IFERROR(__xludf.dummyfunction("""COMPUTED_VALUE"""),5802.17)</f>
        <v>5802.17</v>
      </c>
      <c r="E143" s="2" t="n">
        <f aca="false">IFERROR(__xludf.dummyfunction("""COMPUTED_VALUE"""),5832.92)</f>
        <v>5832.92</v>
      </c>
      <c r="F143" s="3" t="n">
        <f aca="false">IFERROR(__xludf.dummyfunction("if($T143&lt;&gt;"""",VALUE(REGEXEXTRACT(SUBSTITUTE ($T143,F$1&amp;"" CE"",""""), F$1&amp;""[\w &amp;]*, (\d+\.\d+)"")),"""")
"),6000)</f>
        <v>6000</v>
      </c>
      <c r="G143" s="3" t="n">
        <f aca="false">IFERROR(__xludf.dummyfunction("if($T143&lt;&gt;"""",VALUE(REGEXEXTRACT($T143, G$1&amp;""[\w &amp;]*, (\d+\.\d+)"")),"""")
"),5850)</f>
        <v>5850</v>
      </c>
      <c r="H143" s="3" t="n">
        <f aca="false">IFERROR(__xludf.dummyfunction("if($T143&lt;&gt;"""",VALUE(REGEXEXTRACT($T143, H$1&amp;""[\w &amp;]*, (\d+\.\d+)"")),"""")"),5910)</f>
        <v>5910</v>
      </c>
      <c r="I143" s="3" t="n">
        <f aca="false">IFERROR(__xludf.dummyfunction("if($T143&lt;&gt;"""",VALUE(REGEXEXTRACT(SUBSTITUTE ($T143,I$1&amp;"" CE"",""""), I$1&amp;""[\w &amp;]*, (\d+\.\d+)"")),"""")
"),5750)</f>
        <v>5750</v>
      </c>
      <c r="J143" s="3" t="n">
        <f aca="false">IFERROR(__xludf.dummyfunction("if($T143&lt;&gt;"""",VALUE(REGEXEXTRACT($T143, J$1&amp;""[\w &amp;]*, (\d+\.\d+)"")),"""")
"),5820)</f>
        <v>5820</v>
      </c>
      <c r="K143" s="3" t="n">
        <f aca="false">IFERROR(__xludf.dummyfunction("if($T143&lt;&gt;"""",VALUE(REGEXEXTRACT($T143, K$1&amp;""[\w &amp;]*, (\d+\.\d+)"")),"""")
"),5740)</f>
        <v>5740</v>
      </c>
      <c r="L143" s="3" t="n">
        <f aca="false">IFERROR(__xludf.dummyfunction("if($T143&lt;&gt;"""",VALUE(REGEXEXTRACT(SUBSTITUTE ($T143,L$1&amp;"" CE"",""""), L$1&amp;""[\w &amp;]*, (\d+\.\d+)"")),"""")
"),5820)</f>
        <v>5820</v>
      </c>
      <c r="M143" s="3" t="n">
        <f aca="false">IFERROR(__xludf.dummyfunction("if($T143&lt;&gt;"""",VALUE(REGEXEXTRACT($T143, M$1&amp;""[\w &amp;]*, (\d+\.\d+)"")),"""")
"),5825)</f>
        <v>5825</v>
      </c>
      <c r="N143" s="3" t="n">
        <f aca="false">IFERROR(__xludf.dummyfunction("if($T143&lt;&gt;"""",VALUE(REGEXEXTRACT(SUBSTITUTE ($T143,N$1&amp;"" CE"",""""), N$1&amp;""[\w &amp;]*, (\d+\.\d+)"")),"""")
"),5850)</f>
        <v>5850</v>
      </c>
      <c r="O143" s="3" t="n">
        <f aca="false">IFERROR(__xludf.dummyfunction("if($T143&lt;&gt;"""",VALUE(REGEXEXTRACT($T143, O$1&amp;""[\w &amp;]*, (\d+\.\d+)"")),"""")
"),5850)</f>
        <v>5850</v>
      </c>
      <c r="P143" s="2" t="n">
        <f aca="false">IFERROR(__xludf.dummyfunction("if($T143&lt;&gt;"""",VALUE(REGEXEXTRACT($T143, P$1&amp;""[\w &amp;]*, (\d+\.\d+)"")),"""")
"),5757.73)</f>
        <v>5757.73</v>
      </c>
      <c r="Q143" s="2" t="n">
        <f aca="false">IFERROR(__xludf.dummyfunction("if($T143&lt;&gt;"""",VALUE(REGEXEXTRACT($T143, Q$1&amp;""[\w &amp;]*, (\d+\.\d+)"")),"""")
"),5736.86)</f>
        <v>5736.86</v>
      </c>
      <c r="R143" s="2" t="n">
        <f aca="false">IFERROR(__xludf.dummyfunction("if($T143&lt;&gt;"""",VALUE(REGEXEXTRACT($T143, SUBSTITUTE(R$1, ""+"", ""\+"")&amp;""[\w &amp;]*, (\d+\.\d+)"")),"""")"),5858.51)</f>
        <v>5858.51</v>
      </c>
      <c r="S143" s="2" t="n">
        <f aca="false">IFERROR(__xludf.dummyfunction("if($T143&lt;&gt;"""",VALUE(REGEXEXTRACT($T143, SUBSTITUTE(S$1, ""+"", ""\+"")&amp;""[\w &amp;]*, (\d+\.\d+)"")),"""")"),5879.38)</f>
        <v>5879.38</v>
      </c>
      <c r="T143" s="5" t="s">
        <v>156</v>
      </c>
      <c r="U143" s="5"/>
    </row>
    <row r="144" customFormat="false" ht="15.75" hidden="false" customHeight="false" outlineLevel="0" collapsed="false">
      <c r="A144" s="4" t="n">
        <f aca="false">IFERROR(__xludf.dummyfunction("""COMPUTED_VALUE"""),45595.6666666667)</f>
        <v>45595.6666666667</v>
      </c>
      <c r="B144" s="2" t="n">
        <f aca="false">IFERROR(__xludf.dummyfunction("""COMPUTED_VALUE"""),5832.65)</f>
        <v>5832.65</v>
      </c>
      <c r="C144" s="2" t="n">
        <f aca="false">IFERROR(__xludf.dummyfunction("""COMPUTED_VALUE"""),5850.94)</f>
        <v>5850.94</v>
      </c>
      <c r="D144" s="2" t="n">
        <f aca="false">IFERROR(__xludf.dummyfunction("""COMPUTED_VALUE"""),5811.28)</f>
        <v>5811.28</v>
      </c>
      <c r="E144" s="2" t="n">
        <f aca="false">IFERROR(__xludf.dummyfunction("""COMPUTED_VALUE"""),5813.67)</f>
        <v>5813.67</v>
      </c>
      <c r="F144" s="3" t="n">
        <f aca="false">IFERROR(__xludf.dummyfunction("if($T144&lt;&gt;"""",VALUE(REGEXEXTRACT(SUBSTITUTE ($T144,F$1&amp;"" CE"",""""), F$1&amp;""[\w &amp;]*, (\d+\.\d+)"")),"""")
"),6000)</f>
        <v>6000</v>
      </c>
      <c r="G144" s="3" t="n">
        <f aca="false">IFERROR(__xludf.dummyfunction("if($T144&lt;&gt;"""",VALUE(REGEXEXTRACT($T144, G$1&amp;""[\w &amp;]*, (\d+\.\d+)"")),"""")
"),5850)</f>
        <v>5850</v>
      </c>
      <c r="H144" s="3" t="n">
        <f aca="false">IFERROR(__xludf.dummyfunction("if($T144&lt;&gt;"""",VALUE(REGEXEXTRACT($T144, H$1&amp;""[\w &amp;]*, (\d+\.\d+)"")),"""")"),6010)</f>
        <v>6010</v>
      </c>
      <c r="I144" s="3" t="n">
        <f aca="false">IFERROR(__xludf.dummyfunction("if($T144&lt;&gt;"""",VALUE(REGEXEXTRACT(SUBSTITUTE ($T144,I$1&amp;"" CE"",""""), I$1&amp;""[\w &amp;]*, (\d+\.\d+)"")),"""")
"),5750)</f>
        <v>5750</v>
      </c>
      <c r="J144" s="3" t="n">
        <f aca="false">IFERROR(__xludf.dummyfunction("if($T144&lt;&gt;"""",VALUE(REGEXEXTRACT($T144, J$1&amp;""[\w &amp;]*, (\d+\.\d+)"")),"""")
"),5820)</f>
        <v>5820</v>
      </c>
      <c r="K144" s="3" t="n">
        <f aca="false">IFERROR(__xludf.dummyfunction("if($T144&lt;&gt;"""",VALUE(REGEXEXTRACT($T144, K$1&amp;""[\w &amp;]*, (\d+\.\d+)"")),"""")
"),5780)</f>
        <v>5780</v>
      </c>
      <c r="L144" s="3" t="n">
        <f aca="false">IFERROR(__xludf.dummyfunction("if($T144&lt;&gt;"""",VALUE(REGEXEXTRACT(SUBSTITUTE ($T144,L$1&amp;"" CE"",""""), L$1&amp;""[\w &amp;]*, (\d+\.\d+)"")),"""")
"),5820)</f>
        <v>5820</v>
      </c>
      <c r="M144" s="3" t="n">
        <f aca="false">IFERROR(__xludf.dummyfunction("if($T144&lt;&gt;"""",VALUE(REGEXEXTRACT($T144, M$1&amp;""[\w &amp;]*, (\d+\.\d+)"")),"""")
"),5835)</f>
        <v>5835</v>
      </c>
      <c r="N144" s="3" t="n">
        <f aca="false">IFERROR(__xludf.dummyfunction("if($T144&lt;&gt;"""",VALUE(REGEXEXTRACT(SUBSTITUTE ($T144,N$1&amp;"" CE"",""""), N$1&amp;""[\w &amp;]*, (\d+\.\d+)"")),"""")
"),5800)</f>
        <v>5800</v>
      </c>
      <c r="O144" s="3" t="n">
        <f aca="false">IFERROR(__xludf.dummyfunction("if($T144&lt;&gt;"""",VALUE(REGEXEXTRACT($T144, O$1&amp;""[\w &amp;]*, (\d+\.\d+)"")),"""")
"),5850)</f>
        <v>5850</v>
      </c>
      <c r="P144" s="2" t="n">
        <f aca="false">IFERROR(__xludf.dummyfunction("if($T144&lt;&gt;"""",VALUE(REGEXEXTRACT($T144, P$1&amp;""[\w &amp;]*, (\d+\.\d+)"")),"""")
"),5773.26)</f>
        <v>5773.26</v>
      </c>
      <c r="Q144" s="2" t="n">
        <f aca="false">IFERROR(__xludf.dummyfunction("if($T144&lt;&gt;"""",VALUE(REGEXEXTRACT($T144, Q$1&amp;""[\w &amp;]*, (\d+\.\d+)"")),"""")
"),5752.44)</f>
        <v>5752.44</v>
      </c>
      <c r="R144" s="2" t="n">
        <f aca="false">IFERROR(__xludf.dummyfunction("if($T144&lt;&gt;"""",VALUE(REGEXEXTRACT($T144, SUBSTITUTE(R$1, ""+"", ""\+"")&amp;""[\w &amp;]*, (\d+\.\d+)"")),"""")"),5873.78)</f>
        <v>5873.78</v>
      </c>
      <c r="S144" s="2" t="n">
        <f aca="false">IFERROR(__xludf.dummyfunction("if($T144&lt;&gt;"""",VALUE(REGEXEXTRACT($T144, SUBSTITUTE(S$1, ""+"", ""\+"")&amp;""[\w &amp;]*, (\d+\.\d+)"")),"""")"),5894.6)</f>
        <v>5894.6</v>
      </c>
      <c r="T144" s="5" t="s">
        <v>157</v>
      </c>
      <c r="U144" s="5"/>
    </row>
    <row r="145" customFormat="false" ht="15.75" hidden="false" customHeight="false" outlineLevel="0" collapsed="false">
      <c r="A145" s="4" t="n">
        <f aca="false">IFERROR(__xludf.dummyfunction("""COMPUTED_VALUE"""),45596.6666666667)</f>
        <v>45596.6666666667</v>
      </c>
      <c r="B145" s="2" t="n">
        <f aca="false">IFERROR(__xludf.dummyfunction("""COMPUTED_VALUE"""),5775.34)</f>
        <v>5775.34</v>
      </c>
      <c r="C145" s="2" t="n">
        <f aca="false">IFERROR(__xludf.dummyfunction("""COMPUTED_VALUE"""),5775.34)</f>
        <v>5775.34</v>
      </c>
      <c r="D145" s="2" t="n">
        <f aca="false">IFERROR(__xludf.dummyfunction("""COMPUTED_VALUE"""),5702.86)</f>
        <v>5702.86</v>
      </c>
      <c r="E145" s="2" t="n">
        <f aca="false">IFERROR(__xludf.dummyfunction("""COMPUTED_VALUE"""),5705.45)</f>
        <v>5705.45</v>
      </c>
      <c r="F145" s="3" t="n">
        <f aca="false">IFERROR(__xludf.dummyfunction("if($T145&lt;&gt;"""",VALUE(REGEXEXTRACT(SUBSTITUTE ($T145,F$1&amp;"" CE"",""""), F$1&amp;""[\w &amp;]*, (\d+\.\d+)"")),"""")
"),5835)</f>
        <v>5835</v>
      </c>
      <c r="G145" s="3" t="n">
        <f aca="false">IFERROR(__xludf.dummyfunction("if($T145&lt;&gt;"""",VALUE(REGEXEXTRACT($T145, G$1&amp;""[\w &amp;]*, (\d+\.\d+)"")),"""")
"),5875)</f>
        <v>5875</v>
      </c>
      <c r="H145" s="3" t="n">
        <f aca="false">IFERROR(__xludf.dummyfunction("if($T145&lt;&gt;"""",VALUE(REGEXEXTRACT($T145, H$1&amp;""[\w &amp;]*, (\d+\.\d+)"")),"""")"),6010)</f>
        <v>6010</v>
      </c>
      <c r="I145" s="3" t="n">
        <f aca="false">IFERROR(__xludf.dummyfunction("if($T145&lt;&gt;"""",VALUE(REGEXEXTRACT(SUBSTITUTE ($T145,I$1&amp;"" CE"",""""), I$1&amp;""[\w &amp;]*, (\d+\.\d+)"")),"""")
"),5750)</f>
        <v>5750</v>
      </c>
      <c r="J145" s="3" t="n">
        <f aca="false">IFERROR(__xludf.dummyfunction("if($T145&lt;&gt;"""",VALUE(REGEXEXTRACT($T145, J$1&amp;""[\w &amp;]*, (\d+\.\d+)"")),"""")
"),5800)</f>
        <v>5800</v>
      </c>
      <c r="K145" s="3" t="n">
        <f aca="false">IFERROR(__xludf.dummyfunction("if($T145&lt;&gt;"""",VALUE(REGEXEXTRACT($T145, K$1&amp;""[\w &amp;]*, (\d+\.\d+)"")),"""")
"),5690)</f>
        <v>5690</v>
      </c>
      <c r="L145" s="3" t="n">
        <f aca="false">IFERROR(__xludf.dummyfunction("if($T145&lt;&gt;"""",VALUE(REGEXEXTRACT(SUBSTITUTE ($T145,L$1&amp;"" CE"",""""), L$1&amp;""[\w &amp;]*, (\d+\.\d+)"")),"""")
"),5820)</f>
        <v>5820</v>
      </c>
      <c r="M145" s="3" t="n">
        <f aca="false">IFERROR(__xludf.dummyfunction("if($T145&lt;&gt;"""",VALUE(REGEXEXTRACT($T145, M$1&amp;""[\w &amp;]*, (\d+\.\d+)"")),"""")
"),5820)</f>
        <v>5820</v>
      </c>
      <c r="N145" s="3" t="n">
        <f aca="false">IFERROR(__xludf.dummyfunction("if($T145&lt;&gt;"""",VALUE(REGEXEXTRACT(SUBSTITUTE ($T145,N$1&amp;"" CE"",""""), N$1&amp;""[\w &amp;]*, (\d+\.\d+)"")),"""")
"),5850)</f>
        <v>5850</v>
      </c>
      <c r="O145" s="3" t="n">
        <f aca="false">IFERROR(__xludf.dummyfunction("if($T145&lt;&gt;"""",VALUE(REGEXEXTRACT($T145, O$1&amp;""[\w &amp;]*, (\d+\.\d+)"")),"""")
"),5850)</f>
        <v>5850</v>
      </c>
      <c r="P145" s="2" t="n">
        <f aca="false">IFERROR(__xludf.dummyfunction("if($T145&lt;&gt;"""",VALUE(REGEXEXTRACT($T145, P$1&amp;""[\w &amp;]*, (\d+\.\d+)"")),"""")
"),5781.91)</f>
        <v>5781.91</v>
      </c>
      <c r="Q145" s="2" t="n">
        <f aca="false">IFERROR(__xludf.dummyfunction("if($T145&lt;&gt;"""",VALUE(REGEXEXTRACT($T145, Q$1&amp;""[\w &amp;]*, (\d+\.\d+)"")),"""")
"),5760.78)</f>
        <v>5760.78</v>
      </c>
      <c r="R145" s="2" t="n">
        <f aca="false">IFERROR(__xludf.dummyfunction("if($T145&lt;&gt;"""",VALUE(REGEXEXTRACT($T145, SUBSTITUTE(R$1, ""+"", ""\+"")&amp;""[\w &amp;]*, (\d+\.\d+)"")),"""")"),5883.93)</f>
        <v>5883.93</v>
      </c>
      <c r="S145" s="2" t="n">
        <f aca="false">IFERROR(__xludf.dummyfunction("if($T145&lt;&gt;"""",VALUE(REGEXEXTRACT($T145, SUBSTITUTE(S$1, ""+"", ""\+"")&amp;""[\w &amp;]*, (\d+\.\d+)"")),"""")"),5905.06)</f>
        <v>5905.06</v>
      </c>
      <c r="T145" s="5" t="s">
        <v>158</v>
      </c>
      <c r="U145" s="5"/>
    </row>
    <row r="146" customFormat="false" ht="15.75" hidden="false" customHeight="false" outlineLevel="0" collapsed="false">
      <c r="A146" s="4" t="n">
        <f aca="false">IFERROR(__xludf.dummyfunction("""COMPUTED_VALUE"""),45597.6666666667)</f>
        <v>45597.6666666667</v>
      </c>
      <c r="B146" s="2" t="n">
        <f aca="false">IFERROR(__xludf.dummyfunction("""COMPUTED_VALUE"""),5723.22)</f>
        <v>5723.22</v>
      </c>
      <c r="C146" s="2" t="n">
        <f aca="false">IFERROR(__xludf.dummyfunction("""COMPUTED_VALUE"""),5772.52)</f>
        <v>5772.52</v>
      </c>
      <c r="D146" s="2" t="n">
        <f aca="false">IFERROR(__xludf.dummyfunction("""COMPUTED_VALUE"""),5723.22)</f>
        <v>5723.22</v>
      </c>
      <c r="E146" s="2" t="n">
        <f aca="false">IFERROR(__xludf.dummyfunction("""COMPUTED_VALUE"""),5728.8)</f>
        <v>5728.8</v>
      </c>
      <c r="F146" s="3" t="n">
        <f aca="false">IFERROR(__xludf.dummyfunction("if($T146&lt;&gt;"""",VALUE(REGEXEXTRACT(SUBSTITUTE ($T146,F$1&amp;"" CE"",""""), F$1&amp;""[\w &amp;]*, (\d+\.\d+)"")),"""")
"),6000)</f>
        <v>6000</v>
      </c>
      <c r="G146" s="3" t="n">
        <f aca="false">IFERROR(__xludf.dummyfunction("if($T146&lt;&gt;"""",VALUE(REGEXEXTRACT($T146, G$1&amp;""[\w &amp;]*, (\d+\.\d+)"")),"""")
"),5835)</f>
        <v>5835</v>
      </c>
      <c r="H146" s="3" t="n">
        <f aca="false">IFERROR(__xludf.dummyfunction("if($T146&lt;&gt;"""",VALUE(REGEXEXTRACT($T146, H$1&amp;""[\w &amp;]*, (\d+\.\d+)"")),"""")"),6010)</f>
        <v>6010</v>
      </c>
      <c r="I146" s="3" t="n">
        <f aca="false">IFERROR(__xludf.dummyfunction("if($T146&lt;&gt;"""",VALUE(REGEXEXTRACT(SUBSTITUTE ($T146,I$1&amp;"" CE"",""""), I$1&amp;""[\w &amp;]*, (\d+\.\d+)"")),"""")
"),5800)</f>
        <v>5800</v>
      </c>
      <c r="J146" s="3" t="n">
        <f aca="false">IFERROR(__xludf.dummyfunction("if($T146&lt;&gt;"""",VALUE(REGEXEXTRACT($T146, J$1&amp;""[\w &amp;]*, (\d+\.\d+)"")),"""")
"),5800)</f>
        <v>5800</v>
      </c>
      <c r="K146" s="3" t="n">
        <f aca="false">IFERROR(__xludf.dummyfunction("if($T146&lt;&gt;"""",VALUE(REGEXEXTRACT($T146, K$1&amp;""[\w &amp;]*, (\d+\.\d+)"")),"""")
"),5690)</f>
        <v>5690</v>
      </c>
      <c r="L146" s="3" t="n">
        <f aca="false">IFERROR(__xludf.dummyfunction("if($T146&lt;&gt;"""",VALUE(REGEXEXTRACT(SUBSTITUTE ($T146,L$1&amp;"" CE"",""""), L$1&amp;""[\w &amp;]*, (\d+\.\d+)"")),"""")
"),5820)</f>
        <v>5820</v>
      </c>
      <c r="M146" s="3" t="n">
        <f aca="false">IFERROR(__xludf.dummyfunction("if($T146&lt;&gt;"""",VALUE(REGEXEXTRACT($T146, M$1&amp;""[\w &amp;]*, (\d+\.\d+)"")),"""")
"),5820)</f>
        <v>5820</v>
      </c>
      <c r="N146" s="3" t="n">
        <f aca="false">IFERROR(__xludf.dummyfunction("if($T146&lt;&gt;"""",VALUE(REGEXEXTRACT(SUBSTITUTE ($T146,N$1&amp;"" CE"",""""), N$1&amp;""[\w &amp;]*, (\d+\.\d+)"")),"""")
"),5800)</f>
        <v>5800</v>
      </c>
      <c r="O146" s="3" t="n">
        <f aca="false">IFERROR(__xludf.dummyfunction("if($T146&lt;&gt;"""",VALUE(REGEXEXTRACT($T146, O$1&amp;""[\w &amp;]*, (\d+\.\d+)"")),"""")
"),5800)</f>
        <v>5800</v>
      </c>
      <c r="P146" s="2" t="n">
        <f aca="false">IFERROR(__xludf.dummyfunction("if($T146&lt;&gt;"""",VALUE(REGEXEXTRACT($T146, P$1&amp;""[\w &amp;]*, (\d+\.\d+)"")),"""")
"),5759.96)</f>
        <v>5759.96</v>
      </c>
      <c r="Q146" s="2" t="n">
        <f aca="false">IFERROR(__xludf.dummyfunction("if($T146&lt;&gt;"""",VALUE(REGEXEXTRACT($T146, Q$1&amp;""[\w &amp;]*, (\d+\.\d+)"")),"""")
"),5737.71)</f>
        <v>5737.71</v>
      </c>
      <c r="R146" s="2" t="n">
        <f aca="false">IFERROR(__xludf.dummyfunction("if($T146&lt;&gt;"""",VALUE(REGEXEXTRACT($T146, SUBSTITUTE(R$1, ""+"", ""\+"")&amp;""[\w &amp;]*, (\d+\.\d+)"")),"""")"),5867.38)</f>
        <v>5867.38</v>
      </c>
      <c r="S146" s="2" t="n">
        <f aca="false">IFERROR(__xludf.dummyfunction("if($T146&lt;&gt;"""",VALUE(REGEXEXTRACT($T146, SUBSTITUTE(S$1, ""+"", ""\+"")&amp;""[\w &amp;]*, (\d+\.\d+)"")),"""")"),5889.63)</f>
        <v>5889.63</v>
      </c>
      <c r="T146" s="5" t="s">
        <v>159</v>
      </c>
      <c r="U146" s="5"/>
    </row>
    <row r="147" customFormat="false" ht="15.75" hidden="false" customHeight="false" outlineLevel="0" collapsed="false">
      <c r="A147" s="4" t="n">
        <f aca="false">IFERROR(__xludf.dummyfunction("""COMPUTED_VALUE"""),45600.6666666667)</f>
        <v>45600.6666666667</v>
      </c>
      <c r="B147" s="2" t="n">
        <f aca="false">IFERROR(__xludf.dummyfunction("""COMPUTED_VALUE"""),5725.15)</f>
        <v>5725.15</v>
      </c>
      <c r="C147" s="2" t="n">
        <f aca="false">IFERROR(__xludf.dummyfunction("""COMPUTED_VALUE"""),5741.43)</f>
        <v>5741.43</v>
      </c>
      <c r="D147" s="2" t="n">
        <f aca="false">IFERROR(__xludf.dummyfunction("""COMPUTED_VALUE"""),5696.51)</f>
        <v>5696.51</v>
      </c>
      <c r="E147" s="2" t="n">
        <f aca="false">IFERROR(__xludf.dummyfunction("""COMPUTED_VALUE"""),5712.69)</f>
        <v>5712.69</v>
      </c>
      <c r="F147" s="3" t="n">
        <f aca="false">IFERROR(__xludf.dummyfunction("if($T147&lt;&gt;"""",VALUE(REGEXEXTRACT(SUBSTITUTE ($T147,F$1&amp;"" CE"",""""), F$1&amp;""[\w &amp;]*, (\d+\.\d+)"")),"""")
"),5750)</f>
        <v>5750</v>
      </c>
      <c r="G147" s="3" t="n">
        <f aca="false">IFERROR(__xludf.dummyfunction("if($T147&lt;&gt;"""",VALUE(REGEXEXTRACT($T147, G$1&amp;""[\w &amp;]*, (\d+\.\d+)"")),"""")
"),5800)</f>
        <v>5800</v>
      </c>
      <c r="H147" s="3" t="n">
        <f aca="false">IFERROR(__xludf.dummyfunction("if($T147&lt;&gt;"""",VALUE(REGEXEXTRACT($T147, H$1&amp;""[\w &amp;]*, (\d+\.\d+)"")),"""")"),6010)</f>
        <v>6010</v>
      </c>
      <c r="I147" s="3" t="n">
        <f aca="false">IFERROR(__xludf.dummyfunction("if($T147&lt;&gt;"""",VALUE(REGEXEXTRACT(SUBSTITUTE ($T147,I$1&amp;"" CE"",""""), I$1&amp;""[\w &amp;]*, (\d+\.\d+)"")),"""")
"),5750)</f>
        <v>5750</v>
      </c>
      <c r="J147" s="3" t="n">
        <f aca="false">IFERROR(__xludf.dummyfunction("if($T147&lt;&gt;"""",VALUE(REGEXEXTRACT($T147, J$1&amp;""[\w &amp;]*, (\d+\.\d+)"")),"""")
"),5700)</f>
        <v>5700</v>
      </c>
      <c r="K147" s="3" t="n">
        <f aca="false">IFERROR(__xludf.dummyfunction("if($T147&lt;&gt;"""",VALUE(REGEXEXTRACT($T147, K$1&amp;""[\w &amp;]*, (\d+\.\d+)"")),"""")
"),5690)</f>
        <v>5690</v>
      </c>
      <c r="L147" s="3" t="n">
        <f aca="false">IFERROR(__xludf.dummyfunction("if($T147&lt;&gt;"""",VALUE(REGEXEXTRACT(SUBSTITUTE ($T147,L$1&amp;"" CE"",""""), L$1&amp;""[\w &amp;]*, (\d+\.\d+)"")),"""")
"),5795)</f>
        <v>5795</v>
      </c>
      <c r="M147" s="3" t="n">
        <f aca="false">IFERROR(__xludf.dummyfunction("if($T147&lt;&gt;"""",VALUE(REGEXEXTRACT($T147, M$1&amp;""[\w &amp;]*, (\d+\.\d+)"")),"""")
"),5760)</f>
        <v>5760</v>
      </c>
      <c r="N147" s="3" t="n">
        <f aca="false">IFERROR(__xludf.dummyfunction("if($T147&lt;&gt;"""",VALUE(REGEXEXTRACT(SUBSTITUTE ($T147,N$1&amp;"" CE"",""""), N$1&amp;""[\w &amp;]*, (\d+\.\d+)"")),"""")
"),5800)</f>
        <v>5800</v>
      </c>
      <c r="O147" s="3" t="n">
        <f aca="false">IFERROR(__xludf.dummyfunction("if($T147&lt;&gt;"""",VALUE(REGEXEXTRACT($T147, O$1&amp;""[\w &amp;]*, (\d+\.\d+)"")),"""")
"),5700)</f>
        <v>5700</v>
      </c>
      <c r="P147" s="2" t="n">
        <f aca="false">IFERROR(__xludf.dummyfunction("if($T147&lt;&gt;"""",VALUE(REGEXEXTRACT($T147, P$1&amp;""[\w &amp;]*, (\d+\.\d+)"")),"""")
"),5647.36)</f>
        <v>5647.36</v>
      </c>
      <c r="Q147" s="2" t="n">
        <f aca="false">IFERROR(__xludf.dummyfunction("if($T147&lt;&gt;"""",VALUE(REGEXEXTRACT($T147, Q$1&amp;""[\w &amp;]*, (\d+\.\d+)"")),"""")
"),5589.28)</f>
        <v>5589.28</v>
      </c>
      <c r="R147" s="2" t="n">
        <f aca="false">IFERROR(__xludf.dummyfunction("if($T147&lt;&gt;"""",VALUE(REGEXEXTRACT($T147, SUBSTITUTE(R$1, ""+"", ""\+"")&amp;""[\w &amp;]*, (\d+\.\d+)"")),"""")"),5763.54)</f>
        <v>5763.54</v>
      </c>
      <c r="S147" s="2" t="n">
        <f aca="false">IFERROR(__xludf.dummyfunction("if($T147&lt;&gt;"""",VALUE(REGEXEXTRACT($T147, SUBSTITUTE(S$1, ""+"", ""\+"")&amp;""[\w &amp;]*, (\d+\.\d+)"")),"""")"),5821.62)</f>
        <v>5821.62</v>
      </c>
      <c r="T147" s="5" t="s">
        <v>160</v>
      </c>
      <c r="U147" s="5"/>
    </row>
    <row r="148" customFormat="false" ht="15.75" hidden="false" customHeight="false" outlineLevel="0" collapsed="false">
      <c r="A148" s="4" t="n">
        <f aca="false">IFERROR(__xludf.dummyfunction("""COMPUTED_VALUE"""),45601.6666666667)</f>
        <v>45601.6666666667</v>
      </c>
      <c r="B148" s="2" t="n">
        <f aca="false">IFERROR(__xludf.dummyfunction("""COMPUTED_VALUE"""),5722.43)</f>
        <v>5722.43</v>
      </c>
      <c r="C148" s="2" t="n">
        <f aca="false">IFERROR(__xludf.dummyfunction("""COMPUTED_VALUE"""),5783.44)</f>
        <v>5783.44</v>
      </c>
      <c r="D148" s="2" t="n">
        <f aca="false">IFERROR(__xludf.dummyfunction("""COMPUTED_VALUE"""),5722.1)</f>
        <v>5722.1</v>
      </c>
      <c r="E148" s="2" t="n">
        <f aca="false">IFERROR(__xludf.dummyfunction("""COMPUTED_VALUE"""),5782.76)</f>
        <v>5782.76</v>
      </c>
      <c r="F148" s="3" t="n">
        <f aca="false">IFERROR(__xludf.dummyfunction("if($T148&lt;&gt;"""",VALUE(REGEXEXTRACT(SUBSTITUTE ($T148,F$1&amp;"" CE"",""""), F$1&amp;""[\w &amp;]*, (\d+\.\d+)"")),"""")
"),5750)</f>
        <v>5750</v>
      </c>
      <c r="G148" s="3" t="n">
        <f aca="false">IFERROR(__xludf.dummyfunction("if($T148&lt;&gt;"""",VALUE(REGEXEXTRACT($T148, G$1&amp;""[\w &amp;]*, (\d+\.\d+)"")),"""")
"),5765)</f>
        <v>5765</v>
      </c>
      <c r="H148" s="3" t="n">
        <f aca="false">IFERROR(__xludf.dummyfunction("if($T148&lt;&gt;"""",VALUE(REGEXEXTRACT($T148, H$1&amp;""[\w &amp;]*, (\d+\.\d+)"")),"""")"),6010)</f>
        <v>6010</v>
      </c>
      <c r="I148" s="3" t="n">
        <f aca="false">IFERROR(__xludf.dummyfunction("if($T148&lt;&gt;"""",VALUE(REGEXEXTRACT(SUBSTITUTE ($T148,I$1&amp;"" CE"",""""), I$1&amp;""[\w &amp;]*, (\d+\.\d+)"")),"""")
"),5750)</f>
        <v>5750</v>
      </c>
      <c r="J148" s="3" t="n">
        <f aca="false">IFERROR(__xludf.dummyfunction("if($T148&lt;&gt;"""",VALUE(REGEXEXTRACT($T148, J$1&amp;""[\w &amp;]*, (\d+\.\d+)"")),"""")
"),5700)</f>
        <v>5700</v>
      </c>
      <c r="K148" s="3" t="n">
        <f aca="false">IFERROR(__xludf.dummyfunction("if($T148&lt;&gt;"""",VALUE(REGEXEXTRACT($T148, K$1&amp;""[\w &amp;]*, (\d+\.\d+)"")),"""")
"),5690)</f>
        <v>5690</v>
      </c>
      <c r="L148" s="3" t="n">
        <f aca="false">IFERROR(__xludf.dummyfunction("if($T148&lt;&gt;"""",VALUE(REGEXEXTRACT(SUBSTITUTE ($T148,L$1&amp;"" CE"",""""), L$1&amp;""[\w &amp;]*, (\d+\.\d+)"")),"""")
"),5760)</f>
        <v>5760</v>
      </c>
      <c r="M148" s="3" t="n">
        <f aca="false">IFERROR(__xludf.dummyfunction("if($T148&lt;&gt;"""",VALUE(REGEXEXTRACT($T148, M$1&amp;""[\w &amp;]*, (\d+\.\d+)"")),"""")
"),5760)</f>
        <v>5760</v>
      </c>
      <c r="N148" s="3" t="n">
        <f aca="false">IFERROR(__xludf.dummyfunction("if($T148&lt;&gt;"""",VALUE(REGEXEXTRACT(SUBSTITUTE ($T148,N$1&amp;"" CE"",""""), N$1&amp;""[\w &amp;]*, (\d+\.\d+)"")),"""")
"),5800)</f>
        <v>5800</v>
      </c>
      <c r="O148" s="3" t="n">
        <f aca="false">IFERROR(__xludf.dummyfunction("if($T148&lt;&gt;"""",VALUE(REGEXEXTRACT($T148, O$1&amp;""[\w &amp;]*, (\d+\.\d+)"")),"""")
"),5750)</f>
        <v>5750</v>
      </c>
      <c r="P148" s="2" t="n">
        <f aca="false">IFERROR(__xludf.dummyfunction("if($T148&lt;&gt;"""",VALUE(REGEXEXTRACT($T148, P$1&amp;""[\w &amp;]*, (\d+\.\d+)"")),"""")
"),5667.78)</f>
        <v>5667.78</v>
      </c>
      <c r="Q148" s="2" t="n">
        <f aca="false">IFERROR(__xludf.dummyfunction("if($T148&lt;&gt;"""",VALUE(REGEXEXTRACT($T148, Q$1&amp;""[\w &amp;]*, (\d+\.\d+)"")),"""")
"),5642.5)</f>
        <v>5642.5</v>
      </c>
      <c r="R148" s="2" t="n">
        <f aca="false">IFERROR(__xludf.dummyfunction("if($T148&lt;&gt;"""",VALUE(REGEXEXTRACT($T148, SUBSTITUTE(R$1, ""+"", ""\+"")&amp;""[\w &amp;]*, (\d+\.\d+)"")),"""")"),5789.82)</f>
        <v>5789.82</v>
      </c>
      <c r="S148" s="2" t="n">
        <f aca="false">IFERROR(__xludf.dummyfunction("if($T148&lt;&gt;"""",VALUE(REGEXEXTRACT($T148, SUBSTITUTE(S$1, ""+"", ""\+"")&amp;""[\w &amp;]*, (\d+\.\d+)"")),"""")"),5815.1)</f>
        <v>5815.1</v>
      </c>
      <c r="T148" s="5" t="s">
        <v>161</v>
      </c>
      <c r="U148" s="5"/>
    </row>
    <row r="149" customFormat="false" ht="15.75" hidden="false" customHeight="false" outlineLevel="0" collapsed="false">
      <c r="A149" s="4" t="n">
        <f aca="false">IFERROR(__xludf.dummyfunction("""COMPUTED_VALUE"""),45602.6666666667)</f>
        <v>45602.6666666667</v>
      </c>
      <c r="B149" s="2" t="n">
        <f aca="false">IFERROR(__xludf.dummyfunction("""COMPUTED_VALUE"""),5864.89)</f>
        <v>5864.89</v>
      </c>
      <c r="C149" s="2" t="n">
        <f aca="false">IFERROR(__xludf.dummyfunction("""COMPUTED_VALUE"""),5936.14)</f>
        <v>5936.14</v>
      </c>
      <c r="D149" s="2" t="n">
        <f aca="false">IFERROR(__xludf.dummyfunction("""COMPUTED_VALUE"""),5864.89)</f>
        <v>5864.89</v>
      </c>
      <c r="E149" s="2" t="n">
        <f aca="false">IFERROR(__xludf.dummyfunction("""COMPUTED_VALUE"""),5929.04)</f>
        <v>5929.04</v>
      </c>
      <c r="F149" s="3" t="n">
        <f aca="false">IFERROR(__xludf.dummyfunction("if($T149&lt;&gt;"""",VALUE(REGEXEXTRACT(SUBSTITUTE ($T149,F$1&amp;"" CE"",""""), F$1&amp;""[\w &amp;]*, (\d+\.\d+)"")),"""")
"),5750)</f>
        <v>5750</v>
      </c>
      <c r="G149" s="3" t="n">
        <f aca="false">IFERROR(__xludf.dummyfunction("if($T149&lt;&gt;"""",VALUE(REGEXEXTRACT($T149, G$1&amp;""[\w &amp;]*, (\d+\.\d+)"")),"""")
"),5755)</f>
        <v>5755</v>
      </c>
      <c r="H149" s="3" t="n">
        <f aca="false">IFERROR(__xludf.dummyfunction("if($T149&lt;&gt;"""",VALUE(REGEXEXTRACT($T149, H$1&amp;""[\w &amp;]*, (\d+\.\d+)"")),"""")"),6010)</f>
        <v>6010</v>
      </c>
      <c r="I149" s="3" t="n">
        <f aca="false">IFERROR(__xludf.dummyfunction("if($T149&lt;&gt;"""",VALUE(REGEXEXTRACT(SUBSTITUTE ($T149,I$1&amp;"" CE"",""""), I$1&amp;""[\w &amp;]*, (\d+\.\d+)"")),"""")
"),5750)</f>
        <v>5750</v>
      </c>
      <c r="J149" s="3" t="n">
        <f aca="false">IFERROR(__xludf.dummyfunction("if($T149&lt;&gt;"""",VALUE(REGEXEXTRACT($T149, J$1&amp;""[\w &amp;]*, (\d+\.\d+)"")),"""")
"),5700)</f>
        <v>5700</v>
      </c>
      <c r="K149" s="3" t="n">
        <f aca="false">IFERROR(__xludf.dummyfunction("if($T149&lt;&gt;"""",VALUE(REGEXEXTRACT($T149, K$1&amp;""[\w &amp;]*, (\d+\.\d+)"")),"""")
"),5590)</f>
        <v>5590</v>
      </c>
      <c r="L149" s="3" t="n">
        <f aca="false">IFERROR(__xludf.dummyfunction("if($T149&lt;&gt;"""",VALUE(REGEXEXTRACT(SUBSTITUTE ($T149,L$1&amp;"" CE"",""""), L$1&amp;""[\w &amp;]*, (\d+\.\d+)"")),"""")
"),5750)</f>
        <v>5750</v>
      </c>
      <c r="M149" s="3" t="n">
        <f aca="false">IFERROR(__xludf.dummyfunction("if($T149&lt;&gt;"""",VALUE(REGEXEXTRACT($T149, M$1&amp;""[\w &amp;]*, (\d+\.\d+)"")),"""")
"),5730)</f>
        <v>5730</v>
      </c>
      <c r="N149" s="3" t="n">
        <f aca="false">IFERROR(__xludf.dummyfunction("if($T149&lt;&gt;"""",VALUE(REGEXEXTRACT(SUBSTITUTE ($T149,N$1&amp;"" CE"",""""), N$1&amp;""[\w &amp;]*, (\d+\.\d+)"")),"""")
"),5800)</f>
        <v>5800</v>
      </c>
      <c r="O149" s="3" t="n">
        <f aca="false">IFERROR(__xludf.dummyfunction("if($T149&lt;&gt;"""",VALUE(REGEXEXTRACT($T149, O$1&amp;""[\w &amp;]*, (\d+\.\d+)"")),"""")
"),5750)</f>
        <v>5750</v>
      </c>
      <c r="P149" s="2" t="n">
        <f aca="false">IFERROR(__xludf.dummyfunction("if($T149&lt;&gt;"""",VALUE(REGEXEXTRACT($T149, P$1&amp;""[\w &amp;]*, (\d+\.\d+)"")),"""")
"),5651.33)</f>
        <v>5651.33</v>
      </c>
      <c r="Q149" s="2" t="n">
        <f aca="false">IFERROR(__xludf.dummyfunction("if($T149&lt;&gt;"""",VALUE(REGEXEXTRACT($T149, Q$1&amp;""[\w &amp;]*, (\d+\.\d+)"")),"""")
"),5625.91)</f>
        <v>5625.91</v>
      </c>
      <c r="R149" s="2" t="n">
        <f aca="false">IFERROR(__xludf.dummyfunction("if($T149&lt;&gt;"""",VALUE(REGEXEXTRACT($T149, SUBSTITUTE(R$1, ""+"", ""\+"")&amp;""[\w &amp;]*, (\d+\.\d+)"")),"""")"),5774.05)</f>
        <v>5774.05</v>
      </c>
      <c r="S149" s="2" t="n">
        <f aca="false">IFERROR(__xludf.dummyfunction("if($T149&lt;&gt;"""",VALUE(REGEXEXTRACT($T149, SUBSTITUTE(S$1, ""+"", ""\+"")&amp;""[\w &amp;]*, (\d+\.\d+)"")),"""")"),5799.47)</f>
        <v>5799.47</v>
      </c>
      <c r="T149" s="5" t="s">
        <v>162</v>
      </c>
      <c r="U149" s="5"/>
    </row>
    <row r="150" customFormat="false" ht="15.75" hidden="false" customHeight="false" outlineLevel="0" collapsed="false">
      <c r="A150" s="4" t="n">
        <f aca="false">IFERROR(__xludf.dummyfunction("""COMPUTED_VALUE"""),45603.6666666667)</f>
        <v>45603.6666666667</v>
      </c>
      <c r="B150" s="2" t="n">
        <f aca="false">IFERROR(__xludf.dummyfunction("""COMPUTED_VALUE"""),5947.21)</f>
        <v>5947.21</v>
      </c>
      <c r="C150" s="2" t="n">
        <f aca="false">IFERROR(__xludf.dummyfunction("""COMPUTED_VALUE"""),5983.84)</f>
        <v>5983.84</v>
      </c>
      <c r="D150" s="2" t="n">
        <f aca="false">IFERROR(__xludf.dummyfunction("""COMPUTED_VALUE"""),5947.21)</f>
        <v>5947.21</v>
      </c>
      <c r="E150" s="2" t="n">
        <f aca="false">IFERROR(__xludf.dummyfunction("""COMPUTED_VALUE"""),5973.1)</f>
        <v>5973.1</v>
      </c>
      <c r="F150" s="3" t="n">
        <f aca="false">IFERROR(__xludf.dummyfunction("if($T150&lt;&gt;"""",VALUE(REGEXEXTRACT(SUBSTITUTE ($T150,F$1&amp;"" CE"",""""), F$1&amp;""[\w &amp;]*, (\d+\.\d+)"")),"""")
"),6000)</f>
        <v>6000</v>
      </c>
      <c r="G150" s="3" t="n">
        <f aca="false">IFERROR(__xludf.dummyfunction("if($T150&lt;&gt;"""",VALUE(REGEXEXTRACT($T150, G$1&amp;""[\w &amp;]*, (\d+\.\d+)"")),"""")
"),5900)</f>
        <v>5900</v>
      </c>
      <c r="H150" s="3" t="n">
        <f aca="false">IFERROR(__xludf.dummyfunction("if($T150&lt;&gt;"""",VALUE(REGEXEXTRACT($T150, H$1&amp;""[\w &amp;]*, (\d+\.\d+)"")),"""")"),6010)</f>
        <v>6010</v>
      </c>
      <c r="I150" s="3" t="n">
        <f aca="false">IFERROR(__xludf.dummyfunction("if($T150&lt;&gt;"""",VALUE(REGEXEXTRACT(SUBSTITUTE ($T150,I$1&amp;"" CE"",""""), I$1&amp;""[\w &amp;]*, (\d+\.\d+)"")),"""")
"),5750)</f>
        <v>5750</v>
      </c>
      <c r="J150" s="3" t="n">
        <f aca="false">IFERROR(__xludf.dummyfunction("if($T150&lt;&gt;"""",VALUE(REGEXEXTRACT($T150, J$1&amp;""[\w &amp;]*, (\d+\.\d+)"")),"""")
"),5690)</f>
        <v>5690</v>
      </c>
      <c r="K150" s="3" t="n">
        <f aca="false">IFERROR(__xludf.dummyfunction("if($T150&lt;&gt;"""",VALUE(REGEXEXTRACT($T150, K$1&amp;""[\w &amp;]*, (\d+\.\d+)"")),"""")
"),5590)</f>
        <v>5590</v>
      </c>
      <c r="L150" s="3" t="n">
        <f aca="false">IFERROR(__xludf.dummyfunction("if($T150&lt;&gt;"""",VALUE(REGEXEXTRACT(SUBSTITUTE ($T150,L$1&amp;"" CE"",""""), L$1&amp;""[\w &amp;]*, (\d+\.\d+)"")),"""")
"),5765)</f>
        <v>5765</v>
      </c>
      <c r="M150" s="3" t="n">
        <f aca="false">IFERROR(__xludf.dummyfunction("if($T150&lt;&gt;"""",VALUE(REGEXEXTRACT($T150, M$1&amp;""[\w &amp;]*, (\d+\.\d+)"")),"""")
"),5760)</f>
        <v>5760</v>
      </c>
      <c r="N150" s="3" t="n">
        <f aca="false">IFERROR(__xludf.dummyfunction("if($T150&lt;&gt;"""",VALUE(REGEXEXTRACT(SUBSTITUTE ($T150,N$1&amp;"" CE"",""""), N$1&amp;""[\w &amp;]*, (\d+\.\d+)"")),"""")
"),6000)</f>
        <v>6000</v>
      </c>
      <c r="O150" s="3" t="n">
        <f aca="false">IFERROR(__xludf.dummyfunction("if($T150&lt;&gt;"""",VALUE(REGEXEXTRACT($T150, O$1&amp;""[\w &amp;]*, (\d+\.\d+)"")),"""")
"),5900)</f>
        <v>5900</v>
      </c>
      <c r="P150" s="2" t="n">
        <f aca="false">IFERROR(__xludf.dummyfunction("if($T150&lt;&gt;"""",VALUE(REGEXEXTRACT($T150, P$1&amp;""[\w &amp;]*, (\d+\.\d+)"")),"""")
"),5733.35)</f>
        <v>5733.35</v>
      </c>
      <c r="Q150" s="2" t="n">
        <f aca="false">IFERROR(__xludf.dummyfunction("if($T150&lt;&gt;"""",VALUE(REGEXEXTRACT($T150, Q$1&amp;""[\w &amp;]*, (\d+\.\d+)"")),"""")
"),5712.89)</f>
        <v>5712.89</v>
      </c>
      <c r="R150" s="2" t="n">
        <f aca="false">IFERROR(__xludf.dummyfunction("if($T150&lt;&gt;"""",VALUE(REGEXEXTRACT($T150, SUBSTITUTE(R$1, ""+"", ""\+"")&amp;""[\w &amp;]*, (\d+\.\d+)"")),"""")"),5832.17)</f>
        <v>5832.17</v>
      </c>
      <c r="S150" s="2" t="n">
        <f aca="false">IFERROR(__xludf.dummyfunction("if($T150&lt;&gt;"""",VALUE(REGEXEXTRACT($T150, SUBSTITUTE(S$1, ""+"", ""\+"")&amp;""[\w &amp;]*, (\d+\.\d+)"")),"""")"),5852.63)</f>
        <v>5852.63</v>
      </c>
      <c r="T150" s="5" t="s">
        <v>163</v>
      </c>
      <c r="U150" s="5"/>
    </row>
    <row r="151" customFormat="false" ht="15.75" hidden="false" customHeight="false" outlineLevel="0" collapsed="false">
      <c r="A151" s="4" t="n">
        <f aca="false">IFERROR(__xludf.dummyfunction("""COMPUTED_VALUE"""),45604.6666666667)</f>
        <v>45604.6666666667</v>
      </c>
      <c r="B151" s="2" t="n">
        <f aca="false">IFERROR(__xludf.dummyfunction("""COMPUTED_VALUE"""),5976.76)</f>
        <v>5976.76</v>
      </c>
      <c r="C151" s="2" t="n">
        <f aca="false">IFERROR(__xludf.dummyfunction("""COMPUTED_VALUE"""),6012.45)</f>
        <v>6012.45</v>
      </c>
      <c r="D151" s="2" t="n">
        <f aca="false">IFERROR(__xludf.dummyfunction("""COMPUTED_VALUE"""),5976.76)</f>
        <v>5976.76</v>
      </c>
      <c r="E151" s="2" t="n">
        <f aca="false">IFERROR(__xludf.dummyfunction("""COMPUTED_VALUE"""),5995.54)</f>
        <v>5995.54</v>
      </c>
      <c r="F151" s="3" t="n">
        <f aca="false">IFERROR(__xludf.dummyfunction("if($T151&lt;&gt;"""",VALUE(REGEXEXTRACT(SUBSTITUTE ($T151,F$1&amp;"" CE"",""""), F$1&amp;""[\w &amp;]*, (\d+\.\d+)"")),"""")
"),6000)</f>
        <v>6000</v>
      </c>
      <c r="G151" s="3" t="n">
        <f aca="false">IFERROR(__xludf.dummyfunction("if($T151&lt;&gt;"""",VALUE(REGEXEXTRACT($T151, G$1&amp;""[\w &amp;]*, (\d+\.\d+)"")),"""")
"),5970)</f>
        <v>5970</v>
      </c>
      <c r="H151" s="3" t="n">
        <f aca="false">IFERROR(__xludf.dummyfunction("if($T151&lt;&gt;"""",VALUE(REGEXEXTRACT($T151, H$1&amp;""[\w &amp;]*, (\d+\.\d+)"")),"""")"),6010)</f>
        <v>6010</v>
      </c>
      <c r="I151" s="3" t="n">
        <f aca="false">IFERROR(__xludf.dummyfunction("if($T151&lt;&gt;"""",VALUE(REGEXEXTRACT(SUBSTITUTE ($T151,I$1&amp;"" CE"",""""), I$1&amp;""[\w &amp;]*, (\d+\.\d+)"")),"""")
"),6000)</f>
        <v>6000</v>
      </c>
      <c r="J151" s="3" t="n">
        <f aca="false">IFERROR(__xludf.dummyfunction("if($T151&lt;&gt;"""",VALUE(REGEXEXTRACT($T151, J$1&amp;""[\w &amp;]*, (\d+\.\d+)"")),"""")
"),5885)</f>
        <v>5885</v>
      </c>
      <c r="K151" s="3" t="n">
        <f aca="false">IFERROR(__xludf.dummyfunction("if($T151&lt;&gt;"""",VALUE(REGEXEXTRACT($T151, K$1&amp;""[\w &amp;]*, (\d+\.\d+)"")),"""")
"),5590)</f>
        <v>5590</v>
      </c>
      <c r="L151" s="3" t="n">
        <f aca="false">IFERROR(__xludf.dummyfunction("if($T151&lt;&gt;"""",VALUE(REGEXEXTRACT(SUBSTITUTE ($T151,L$1&amp;"" CE"",""""), L$1&amp;""[\w &amp;]*, (\d+\.\d+)"")),"""")
"),5820)</f>
        <v>5820</v>
      </c>
      <c r="M151" s="3" t="n">
        <f aca="false">IFERROR(__xludf.dummyfunction("if($T151&lt;&gt;"""",VALUE(REGEXEXTRACT($T151, M$1&amp;""[\w &amp;]*, (\d+\.\d+)"")),"""")
"),5910)</f>
        <v>5910</v>
      </c>
      <c r="N151" s="3" t="n">
        <f aca="false">IFERROR(__xludf.dummyfunction("if($T151&lt;&gt;"""",VALUE(REGEXEXTRACT(SUBSTITUTE ($T151,N$1&amp;"" CE"",""""), N$1&amp;""[\w &amp;]*, (\d+\.\d+)"")),"""")
"),6000)</f>
        <v>6000</v>
      </c>
      <c r="O151" s="3" t="n">
        <f aca="false">IFERROR(__xludf.dummyfunction("if($T151&lt;&gt;"""",VALUE(REGEXEXTRACT($T151, O$1&amp;""[\w &amp;]*, (\d+\.\d+)"")),"""")
"),5970)</f>
        <v>5970</v>
      </c>
      <c r="P151" s="2" t="n">
        <f aca="false">IFERROR(__xludf.dummyfunction("if($T151&lt;&gt;"""",VALUE(REGEXEXTRACT($T151, P$1&amp;""[\w &amp;]*, (\d+\.\d+)"")),"""")
"),5888.6)</f>
        <v>5888.6</v>
      </c>
      <c r="Q151" s="2" t="n">
        <f aca="false">IFERROR(__xludf.dummyfunction("if($T151&lt;&gt;"""",VALUE(REGEXEXTRACT($T151, Q$1&amp;""[\w &amp;]*, (\d+\.\d+)"")),"""")
"),5871.85)</f>
        <v>5871.85</v>
      </c>
      <c r="R151" s="2" t="n">
        <f aca="false">IFERROR(__xludf.dummyfunction("if($T151&lt;&gt;"""",VALUE(REGEXEXTRACT($T151, SUBSTITUTE(R$1, ""+"", ""\+"")&amp;""[\w &amp;]*, (\d+\.\d+)"")),"""")"),5969.48)</f>
        <v>5969.48</v>
      </c>
      <c r="S151" s="2" t="n">
        <f aca="false">IFERROR(__xludf.dummyfunction("if($T151&lt;&gt;"""",VALUE(REGEXEXTRACT($T151, SUBSTITUTE(S$1, ""+"", ""\+"")&amp;""[\w &amp;]*, (\d+\.\d+)"")),"""")"),5986.23)</f>
        <v>5986.23</v>
      </c>
      <c r="T151" s="5" t="s">
        <v>164</v>
      </c>
      <c r="U151" s="5"/>
    </row>
    <row r="152" customFormat="false" ht="15.75" hidden="false" customHeight="false" outlineLevel="0" collapsed="false">
      <c r="A152" s="4" t="n">
        <f aca="false">IFERROR(__xludf.dummyfunction("""COMPUTED_VALUE"""),45607.6666666667)</f>
        <v>45607.6666666667</v>
      </c>
      <c r="B152" s="2" t="n">
        <f aca="false">IFERROR(__xludf.dummyfunction("""COMPUTED_VALUE"""),6008.86)</f>
        <v>6008.86</v>
      </c>
      <c r="C152" s="2" t="n">
        <f aca="false">IFERROR(__xludf.dummyfunction("""COMPUTED_VALUE"""),6017.31)</f>
        <v>6017.31</v>
      </c>
      <c r="D152" s="2" t="n">
        <f aca="false">IFERROR(__xludf.dummyfunction("""COMPUTED_VALUE"""),5986.69)</f>
        <v>5986.69</v>
      </c>
      <c r="E152" s="2" t="n">
        <f aca="false">IFERROR(__xludf.dummyfunction("""COMPUTED_VALUE"""),6001.35)</f>
        <v>6001.35</v>
      </c>
      <c r="F152" s="3" t="n">
        <f aca="false">IFERROR(__xludf.dummyfunction("if($T152&lt;&gt;"""",VALUE(REGEXEXTRACT(SUBSTITUTE ($T152,F$1&amp;"" CE"",""""), F$1&amp;""[\w &amp;]*, (\d+\.\d+)"")),"""")
"),6000)</f>
        <v>6000</v>
      </c>
      <c r="G152" s="3" t="n">
        <f aca="false">IFERROR(__xludf.dummyfunction("if($T152&lt;&gt;"""",VALUE(REGEXEXTRACT($T152, G$1&amp;""[\w &amp;]*, (\d+\.\d+)"")),"""")
"),6000)</f>
        <v>6000</v>
      </c>
      <c r="H152" s="3" t="n">
        <f aca="false">IFERROR(__xludf.dummyfunction("if($T152&lt;&gt;"""",VALUE(REGEXEXTRACT($T152, H$1&amp;""[\w &amp;]*, (\d+\.\d+)"")),"""")"),6025)</f>
        <v>6025</v>
      </c>
      <c r="I152" s="3" t="n">
        <f aca="false">IFERROR(__xludf.dummyfunction("if($T152&lt;&gt;"""",VALUE(REGEXEXTRACT(SUBSTITUTE ($T152,I$1&amp;"" CE"",""""), I$1&amp;""[\w &amp;]*, (\d+\.\d+)"")),"""")
"),6000)</f>
        <v>6000</v>
      </c>
      <c r="J152" s="3" t="n">
        <f aca="false">IFERROR(__xludf.dummyfunction("if($T152&lt;&gt;"""",VALUE(REGEXEXTRACT($T152, J$1&amp;""[\w &amp;]*, (\d+\.\d+)"")),"""")
"),5945)</f>
        <v>5945</v>
      </c>
      <c r="K152" s="3" t="n">
        <f aca="false">IFERROR(__xludf.dummyfunction("if($T152&lt;&gt;"""",VALUE(REGEXEXTRACT($T152, K$1&amp;""[\w &amp;]*, (\d+\.\d+)"")),"""")
"),5935)</f>
        <v>5935</v>
      </c>
      <c r="L152" s="3" t="n">
        <f aca="false">IFERROR(__xludf.dummyfunction("if($T152&lt;&gt;"""",VALUE(REGEXEXTRACT(SUBSTITUTE ($T152,L$1&amp;"" CE"",""""), L$1&amp;""[\w &amp;]*, (\d+\.\d+)"")),"""")
"),5835)</f>
        <v>5835</v>
      </c>
      <c r="M152" s="3" t="n">
        <f aca="false">IFERROR(__xludf.dummyfunction("if($T152&lt;&gt;"""",VALUE(REGEXEXTRACT($T152, M$1&amp;""[\w &amp;]*, (\d+\.\d+)"")),"""")
"),5955)</f>
        <v>5955</v>
      </c>
      <c r="N152" s="3" t="n">
        <f aca="false">IFERROR(__xludf.dummyfunction("if($T152&lt;&gt;"""",VALUE(REGEXEXTRACT(SUBSTITUTE ($T152,N$1&amp;"" CE"",""""), N$1&amp;""[\w &amp;]*, (\d+\.\d+)"")),"""")
"),6000)</f>
        <v>6000</v>
      </c>
      <c r="O152" s="3" t="n">
        <f aca="false">IFERROR(__xludf.dummyfunction("if($T152&lt;&gt;"""",VALUE(REGEXEXTRACT($T152, O$1&amp;""[\w &amp;]*, (\d+\.\d+)"")),"""")
"),6000)</f>
        <v>6000</v>
      </c>
      <c r="P152" s="2" t="n">
        <f aca="false">IFERROR(__xludf.dummyfunction("if($T152&lt;&gt;"""",VALUE(REGEXEXTRACT($T152, P$1&amp;""[\w &amp;]*, (\d+\.\d+)"")),"""")
"),5936.91)</f>
        <v>5936.91</v>
      </c>
      <c r="Q152" s="2" t="n">
        <f aca="false">IFERROR(__xludf.dummyfunction("if($T152&lt;&gt;"""",VALUE(REGEXEXTRACT($T152, Q$1&amp;""[\w &amp;]*, (\d+\.\d+)"")),"""")
"),5900.72)</f>
        <v>5900.72</v>
      </c>
      <c r="R152" s="2" t="n">
        <f aca="false">IFERROR(__xludf.dummyfunction("if($T152&lt;&gt;"""",VALUE(REGEXEXTRACT($T152, SUBSTITUTE(R$1, ""+"", ""\+"")&amp;""[\w &amp;]*, (\d+\.\d+)"")),"""")"),6009.29)</f>
        <v>6009.29</v>
      </c>
      <c r="S152" s="2" t="n">
        <f aca="false">IFERROR(__xludf.dummyfunction("if($T152&lt;&gt;"""",VALUE(REGEXEXTRACT($T152, SUBSTITUTE(S$1, ""+"", ""\+"")&amp;""[\w &amp;]*, (\d+\.\d+)"")),"""")"),6045.49)</f>
        <v>6045.49</v>
      </c>
      <c r="T152" s="5" t="s">
        <v>165</v>
      </c>
      <c r="U152" s="5"/>
    </row>
    <row r="153" customFormat="false" ht="15.75" hidden="false" customHeight="false" outlineLevel="0" collapsed="false">
      <c r="A153" s="4" t="n">
        <f aca="false">IFERROR(__xludf.dummyfunction("""COMPUTED_VALUE"""),45608.6666666667)</f>
        <v>45608.6666666667</v>
      </c>
      <c r="B153" s="2" t="n">
        <f aca="false">IFERROR(__xludf.dummyfunction("""COMPUTED_VALUE"""),6003.6)</f>
        <v>6003.6</v>
      </c>
      <c r="C153" s="2" t="n">
        <f aca="false">IFERROR(__xludf.dummyfunction("""COMPUTED_VALUE"""),6009.92)</f>
        <v>6009.92</v>
      </c>
      <c r="D153" s="2" t="n">
        <f aca="false">IFERROR(__xludf.dummyfunction("""COMPUTED_VALUE"""),5960.08)</f>
        <v>5960.08</v>
      </c>
      <c r="E153" s="2" t="n">
        <f aca="false">IFERROR(__xludf.dummyfunction("""COMPUTED_VALUE"""),5983.99)</f>
        <v>5983.99</v>
      </c>
      <c r="F153" s="3" t="n">
        <f aca="false">IFERROR(__xludf.dummyfunction("if($T153&lt;&gt;"""",VALUE(REGEXEXTRACT(SUBSTITUTE ($T153,F$1&amp;"" CE"",""""), F$1&amp;""[\w &amp;]*, (\d+\.\d+)"")),"""")
"),6000)</f>
        <v>6000</v>
      </c>
      <c r="G153" s="3" t="n">
        <f aca="false">IFERROR(__xludf.dummyfunction("if($T153&lt;&gt;"""",VALUE(REGEXEXTRACT($T153, G$1&amp;""[\w &amp;]*, (\d+\.\d+)"")),"""")
"),6030)</f>
        <v>6030</v>
      </c>
      <c r="H153" s="3" t="n">
        <f aca="false">IFERROR(__xludf.dummyfunction("if($T153&lt;&gt;"""",VALUE(REGEXEXTRACT($T153, H$1&amp;""[\w &amp;]*, (\d+\.\d+)"")),"""")"),6010)</f>
        <v>6010</v>
      </c>
      <c r="I153" s="3" t="n">
        <f aca="false">IFERROR(__xludf.dummyfunction("if($T153&lt;&gt;"""",VALUE(REGEXEXTRACT(SUBSTITUTE ($T153,I$1&amp;"" CE"",""""), I$1&amp;""[\w &amp;]*, (\d+\.\d+)"")),"""")
"),6000)</f>
        <v>6000</v>
      </c>
      <c r="J153" s="3" t="n">
        <f aca="false">IFERROR(__xludf.dummyfunction("if($T153&lt;&gt;"""",VALUE(REGEXEXTRACT($T153, J$1&amp;""[\w &amp;]*, (\d+\.\d+)"")),"""")
"),5995)</f>
        <v>5995</v>
      </c>
      <c r="K153" s="3" t="n">
        <f aca="false">IFERROR(__xludf.dummyfunction("if($T153&lt;&gt;"""",VALUE(REGEXEXTRACT($T153, K$1&amp;""[\w &amp;]*, (\d+\.\d+)"")),"""")
"),5690)</f>
        <v>5690</v>
      </c>
      <c r="L153" s="3" t="n">
        <f aca="false">IFERROR(__xludf.dummyfunction("if($T153&lt;&gt;"""",VALUE(REGEXEXTRACT(SUBSTITUTE ($T153,L$1&amp;"" CE"",""""), L$1&amp;""[\w &amp;]*, (\d+\.\d+)"")),"""")
"),5845)</f>
        <v>5845</v>
      </c>
      <c r="M153" s="3" t="n">
        <f aca="false">IFERROR(__xludf.dummyfunction("if($T153&lt;&gt;"""",VALUE(REGEXEXTRACT($T153, M$1&amp;""[\w &amp;]*, (\d+\.\d+)"")),"""")
"),5995)</f>
        <v>5995</v>
      </c>
      <c r="N153" s="3" t="n">
        <f aca="false">IFERROR(__xludf.dummyfunction("if($T153&lt;&gt;"""",VALUE(REGEXEXTRACT(SUBSTITUTE ($T153,N$1&amp;"" CE"",""""), N$1&amp;""[\w &amp;]*, (\d+\.\d+)"")),"""")
"),6000)</f>
        <v>6000</v>
      </c>
      <c r="O153" s="3" t="n">
        <f aca="false">IFERROR(__xludf.dummyfunction("if($T153&lt;&gt;"""",VALUE(REGEXEXTRACT($T153, O$1&amp;""[\w &amp;]*, (\d+\.\d+)"")),"""")
"),6000)</f>
        <v>6000</v>
      </c>
      <c r="P153" s="2" t="n">
        <f aca="false">IFERROR(__xludf.dummyfunction("if($T153&lt;&gt;"""",VALUE(REGEXEXTRACT($T153, P$1&amp;""[\w &amp;]*, (\d+\.\d+)"")),"""")
"),5956.45)</f>
        <v>5956.45</v>
      </c>
      <c r="Q153" s="2" t="n">
        <f aca="false">IFERROR(__xludf.dummyfunction("if($T153&lt;&gt;"""",VALUE(REGEXEXTRACT($T153, Q$1&amp;""[\w &amp;]*, (\d+\.\d+)"")),"""")
"),5940.26)</f>
        <v>5940.26</v>
      </c>
      <c r="R153" s="2" t="n">
        <f aca="false">IFERROR(__xludf.dummyfunction("if($T153&lt;&gt;"""",VALUE(REGEXEXTRACT($T153, SUBSTITUTE(R$1, ""+"", ""\+"")&amp;""[\w &amp;]*, (\d+\.\d+)"")),"""")"),6034.63)</f>
        <v>6034.63</v>
      </c>
      <c r="S153" s="2" t="n">
        <f aca="false">IFERROR(__xludf.dummyfunction("if($T153&lt;&gt;"""",VALUE(REGEXEXTRACT($T153, SUBSTITUTE(S$1, ""+"", ""\+"")&amp;""[\w &amp;]*, (\d+\.\d+)"")),"""")"),6050.82)</f>
        <v>6050.82</v>
      </c>
      <c r="T153" s="5" t="s">
        <v>166</v>
      </c>
      <c r="U153" s="5"/>
    </row>
    <row r="154" customFormat="false" ht="15.75" hidden="false" customHeight="false" outlineLevel="0" collapsed="false">
      <c r="A154" s="4" t="n">
        <f aca="false">IFERROR(__xludf.dummyfunction("""COMPUTED_VALUE"""),45609.6666666667)</f>
        <v>45609.6666666667</v>
      </c>
      <c r="B154" s="2" t="n">
        <f aca="false">IFERROR(__xludf.dummyfunction("""COMPUTED_VALUE"""),5985.75)</f>
        <v>5985.75</v>
      </c>
      <c r="C154" s="2" t="n">
        <f aca="false">IFERROR(__xludf.dummyfunction("""COMPUTED_VALUE"""),6008.19)</f>
        <v>6008.19</v>
      </c>
      <c r="D154" s="2" t="n">
        <f aca="false">IFERROR(__xludf.dummyfunction("""COMPUTED_VALUE"""),5965.91)</f>
        <v>5965.91</v>
      </c>
      <c r="E154" s="2" t="n">
        <f aca="false">IFERROR(__xludf.dummyfunction("""COMPUTED_VALUE"""),5985.38)</f>
        <v>5985.38</v>
      </c>
      <c r="F154" s="3" t="n">
        <f aca="false">IFERROR(__xludf.dummyfunction("if($T154&lt;&gt;"""",VALUE(REGEXEXTRACT(SUBSTITUTE ($T154,F$1&amp;"" CE"",""""), F$1&amp;""[\w &amp;]*, (\d+\.\d+)"")),"""")
"),6000)</f>
        <v>6000</v>
      </c>
      <c r="G154" s="3" t="n">
        <f aca="false">IFERROR(__xludf.dummyfunction("if($T154&lt;&gt;"""",VALUE(REGEXEXTRACT($T154, G$1&amp;""[\w &amp;]*, (\d+\.\d+)"")),"""")
"),6020)</f>
        <v>6020</v>
      </c>
      <c r="H154" s="3" t="n">
        <f aca="false">IFERROR(__xludf.dummyfunction("if($T154&lt;&gt;"""",VALUE(REGEXEXTRACT($T154, H$1&amp;""[\w &amp;]*, (\d+\.\d+)"")),"""")"),6025)</f>
        <v>6025</v>
      </c>
      <c r="I154" s="3" t="n">
        <f aca="false">IFERROR(__xludf.dummyfunction("if($T154&lt;&gt;"""",VALUE(REGEXEXTRACT(SUBSTITUTE ($T154,I$1&amp;"" CE"",""""), I$1&amp;""[\w &amp;]*, (\d+\.\d+)"")),"""")
"),6000)</f>
        <v>6000</v>
      </c>
      <c r="J154" s="3" t="n">
        <f aca="false">IFERROR(__xludf.dummyfunction("if($T154&lt;&gt;"""",VALUE(REGEXEXTRACT($T154, J$1&amp;""[\w &amp;]*, (\d+\.\d+)"")),"""")
"),5980)</f>
        <v>5980</v>
      </c>
      <c r="K154" s="3" t="n">
        <f aca="false">IFERROR(__xludf.dummyfunction("if($T154&lt;&gt;"""",VALUE(REGEXEXTRACT($T154, K$1&amp;""[\w &amp;]*, (\d+\.\d+)"")),"""")
"),5970)</f>
        <v>5970</v>
      </c>
      <c r="L154" s="3" t="n">
        <f aca="false">IFERROR(__xludf.dummyfunction("if($T154&lt;&gt;"""",VALUE(REGEXEXTRACT(SUBSTITUTE ($T154,L$1&amp;"" CE"",""""), L$1&amp;""[\w &amp;]*, (\d+\.\d+)"")),"""")
"),5895)</f>
        <v>5895</v>
      </c>
      <c r="M154" s="3" t="n">
        <f aca="false">IFERROR(__xludf.dummyfunction("if($T154&lt;&gt;"""",VALUE(REGEXEXTRACT($T154, M$1&amp;""[\w &amp;]*, (\d+\.\d+)"")),"""")
"),5995)</f>
        <v>5995</v>
      </c>
      <c r="N154" s="3" t="n">
        <f aca="false">IFERROR(__xludf.dummyfunction("if($T154&lt;&gt;"""",VALUE(REGEXEXTRACT(SUBSTITUTE ($T154,N$1&amp;"" CE"",""""), N$1&amp;""[\w &amp;]*, (\d+\.\d+)"")),"""")
"),6000)</f>
        <v>6000</v>
      </c>
      <c r="O154" s="3" t="n">
        <f aca="false">IFERROR(__xludf.dummyfunction("if($T154&lt;&gt;"""",VALUE(REGEXEXTRACT($T154, O$1&amp;""[\w &amp;]*, (\d+\.\d+)"")),"""")
"),6000)</f>
        <v>6000</v>
      </c>
      <c r="P154" s="2" t="n">
        <f aca="false">IFERROR(__xludf.dummyfunction("if($T154&lt;&gt;"""",VALUE(REGEXEXTRACT($T154, P$1&amp;""[\w &amp;]*, (\d+\.\d+)"")),"""")
"),5963.37)</f>
        <v>5963.37</v>
      </c>
      <c r="Q154" s="2" t="n">
        <f aca="false">IFERROR(__xludf.dummyfunction("if($T154&lt;&gt;"""",VALUE(REGEXEXTRACT($T154, Q$1&amp;""[\w &amp;]*, (\d+\.\d+)"")),"""")
"),5947.64)</f>
        <v>5947.64</v>
      </c>
      <c r="R154" s="2" t="n">
        <f aca="false">IFERROR(__xludf.dummyfunction("if($T154&lt;&gt;"""",VALUE(REGEXEXTRACT($T154, SUBSTITUTE(R$1, ""+"", ""\+"")&amp;""[\w &amp;]*, (\d+\.\d+)"")),"""")"),6039.33)</f>
        <v>6039.33</v>
      </c>
      <c r="S154" s="2" t="n">
        <f aca="false">IFERROR(__xludf.dummyfunction("if($T154&lt;&gt;"""",VALUE(REGEXEXTRACT($T154, SUBSTITUTE(S$1, ""+"", ""\+"")&amp;""[\w &amp;]*, (\d+\.\d+)"")),"""")"),6055.06)</f>
        <v>6055.06</v>
      </c>
      <c r="T154" s="5" t="s">
        <v>167</v>
      </c>
      <c r="U154" s="5"/>
    </row>
    <row r="155" customFormat="false" ht="15.75" hidden="false" customHeight="false" outlineLevel="0" collapsed="false">
      <c r="A155" s="4" t="n">
        <f aca="false">IFERROR(__xludf.dummyfunction("""COMPUTED_VALUE"""),45610.6666666667)</f>
        <v>45610.6666666667</v>
      </c>
      <c r="B155" s="2" t="n">
        <f aca="false">IFERROR(__xludf.dummyfunction("""COMPUTED_VALUE"""),5989.68)</f>
        <v>5989.68</v>
      </c>
      <c r="C155" s="2" t="n">
        <f aca="false">IFERROR(__xludf.dummyfunction("""COMPUTED_VALUE"""),5993.88)</f>
        <v>5993.88</v>
      </c>
      <c r="D155" s="2" t="n">
        <f aca="false">IFERROR(__xludf.dummyfunction("""COMPUTED_VALUE"""),5942.28)</f>
        <v>5942.28</v>
      </c>
      <c r="E155" s="2" t="n">
        <f aca="false">IFERROR(__xludf.dummyfunction("""COMPUTED_VALUE"""),5949.17)</f>
        <v>5949.17</v>
      </c>
      <c r="F155" s="3" t="n">
        <f aca="false">IFERROR(__xludf.dummyfunction("if($T155&lt;&gt;"""",VALUE(REGEXEXTRACT(SUBSTITUTE ($T155,F$1&amp;"" CE"",""""), F$1&amp;""[\w &amp;]*, (\d+\.\d+)"")),"""")
"),6000)</f>
        <v>6000</v>
      </c>
      <c r="G155" s="3" t="n">
        <f aca="false">IFERROR(__xludf.dummyfunction("if($T155&lt;&gt;"""",VALUE(REGEXEXTRACT($T155, G$1&amp;""[\w &amp;]*, (\d+\.\d+)"")),"""")
"),6000)</f>
        <v>6000</v>
      </c>
      <c r="H155" s="3" t="n">
        <f aca="false">IFERROR(__xludf.dummyfunction("if($T155&lt;&gt;"""",VALUE(REGEXEXTRACT($T155, H$1&amp;""[\w &amp;]*, (\d+\.\d+)"")),"""")"),6025)</f>
        <v>6025</v>
      </c>
      <c r="I155" s="3" t="n">
        <f aca="false">IFERROR(__xludf.dummyfunction("if($T155&lt;&gt;"""",VALUE(REGEXEXTRACT(SUBSTITUTE ($T155,I$1&amp;"" CE"",""""), I$1&amp;""[\w &amp;]*, (\d+\.\d+)"")),"""")
"),6000)</f>
        <v>6000</v>
      </c>
      <c r="J155" s="3" t="n">
        <f aca="false">IFERROR(__xludf.dummyfunction("if($T155&lt;&gt;"""",VALUE(REGEXEXTRACT($T155, J$1&amp;""[\w &amp;]*, (\d+\.\d+)"")),"""")
"),5900)</f>
        <v>5900</v>
      </c>
      <c r="K155" s="3" t="n">
        <f aca="false">IFERROR(__xludf.dummyfunction("if($T155&lt;&gt;"""",VALUE(REGEXEXTRACT($T155, K$1&amp;""[\w &amp;]*, (\d+\.\d+)"")),"""")
"),5935)</f>
        <v>5935</v>
      </c>
      <c r="L155" s="3" t="n">
        <f aca="false">IFERROR(__xludf.dummyfunction("if($T155&lt;&gt;"""",VALUE(REGEXEXTRACT(SUBSTITUTE ($T155,L$1&amp;"" CE"",""""), L$1&amp;""[\w &amp;]*, (\d+\.\d+)"")),"""")
"),5945)</f>
        <v>5945</v>
      </c>
      <c r="M155" s="3" t="n">
        <f aca="false">IFERROR(__xludf.dummyfunction("if($T155&lt;&gt;"""",VALUE(REGEXEXTRACT($T155, M$1&amp;""[\w &amp;]*, (\d+\.\d+)"")),"""")
"),5995)</f>
        <v>5995</v>
      </c>
      <c r="N155" s="3" t="n">
        <f aca="false">IFERROR(__xludf.dummyfunction("if($T155&lt;&gt;"""",VALUE(REGEXEXTRACT(SUBSTITUTE ($T155,N$1&amp;"" CE"",""""), N$1&amp;""[\w &amp;]*, (\d+\.\d+)"")),"""")
"),6000)</f>
        <v>6000</v>
      </c>
      <c r="O155" s="3" t="n">
        <f aca="false">IFERROR(__xludf.dummyfunction("if($T155&lt;&gt;"""",VALUE(REGEXEXTRACT($T155, O$1&amp;""[\w &amp;]*, (\d+\.\d+)"")),"""")
"),6000)</f>
        <v>6000</v>
      </c>
      <c r="P155" s="2" t="n">
        <f aca="false">IFERROR(__xludf.dummyfunction("if($T155&lt;&gt;"""",VALUE(REGEXEXTRACT($T155, P$1&amp;""[\w &amp;]*, (\d+\.\d+)"")),"""")
"),5944.99)</f>
        <v>5944.99</v>
      </c>
      <c r="Q155" s="2" t="n">
        <f aca="false">IFERROR(__xludf.dummyfunction("if($T155&lt;&gt;"""",VALUE(REGEXEXTRACT($T155, Q$1&amp;""[\w &amp;]*, (\d+\.\d+)"")),"""")
"),5928.84)</f>
        <v>5928.84</v>
      </c>
      <c r="R155" s="2" t="n">
        <f aca="false">IFERROR(__xludf.dummyfunction("if($T155&lt;&gt;"""",VALUE(REGEXEXTRACT($T155, SUBSTITUTE(R$1, ""+"", ""\+"")&amp;""[\w &amp;]*, (\d+\.\d+)"")),"""")"),6022.99)</f>
        <v>6022.99</v>
      </c>
      <c r="S155" s="2" t="n">
        <f aca="false">IFERROR(__xludf.dummyfunction("if($T155&lt;&gt;"""",VALUE(REGEXEXTRACT($T155, SUBSTITUTE(S$1, ""+"", ""\+"")&amp;""[\w &amp;]*, (\d+\.\d+)"")),"""")"),6039.14)</f>
        <v>6039.14</v>
      </c>
      <c r="T155" s="5" t="s">
        <v>168</v>
      </c>
      <c r="U155" s="5"/>
    </row>
    <row r="156" customFormat="false" ht="15.75" hidden="false" customHeight="false" outlineLevel="0" collapsed="false">
      <c r="A156" s="4" t="n">
        <f aca="false">IFERROR(__xludf.dummyfunction("""COMPUTED_VALUE"""),45611.6666666667)</f>
        <v>45611.6666666667</v>
      </c>
      <c r="B156" s="2" t="n">
        <f aca="false">IFERROR(__xludf.dummyfunction("""COMPUTED_VALUE"""),5912.79)</f>
        <v>5912.79</v>
      </c>
      <c r="C156" s="2" t="n">
        <f aca="false">IFERROR(__xludf.dummyfunction("""COMPUTED_VALUE"""),5915.32)</f>
        <v>5915.32</v>
      </c>
      <c r="D156" s="2" t="n">
        <f aca="false">IFERROR(__xludf.dummyfunction("""COMPUTED_VALUE"""),5853.01)</f>
        <v>5853.01</v>
      </c>
      <c r="E156" s="2" t="n">
        <f aca="false">IFERROR(__xludf.dummyfunction("""COMPUTED_VALUE"""),5870.62)</f>
        <v>5870.62</v>
      </c>
      <c r="F156" s="3" t="n">
        <f aca="false">IFERROR(__xludf.dummyfunction("if($T156&lt;&gt;"""",VALUE(REGEXEXTRACT(SUBSTITUTE ($T156,F$1&amp;"" CE"",""""), F$1&amp;""[\w &amp;]*, (\d+\.\d+)"")),"""")
"),6000)</f>
        <v>6000</v>
      </c>
      <c r="G156" s="3" t="n">
        <f aca="false">IFERROR(__xludf.dummyfunction("if($T156&lt;&gt;"""",VALUE(REGEXEXTRACT($T156, G$1&amp;""[\w &amp;]*, (\d+\.\d+)"")),"""")
"),6010)</f>
        <v>6010</v>
      </c>
      <c r="H156" s="3" t="n">
        <f aca="false">IFERROR(__xludf.dummyfunction("if($T156&lt;&gt;"""",VALUE(REGEXEXTRACT($T156, H$1&amp;""[\w &amp;]*, (\d+\.\d+)"")),"""")"),6025)</f>
        <v>6025</v>
      </c>
      <c r="I156" s="3" t="n">
        <f aca="false">IFERROR(__xludf.dummyfunction("if($T156&lt;&gt;"""",VALUE(REGEXEXTRACT(SUBSTITUTE ($T156,I$1&amp;"" CE"",""""), I$1&amp;""[\w &amp;]*, (\d+\.\d+)"")),"""")
"),6000)</f>
        <v>6000</v>
      </c>
      <c r="J156" s="3" t="n">
        <f aca="false">IFERROR(__xludf.dummyfunction("if($T156&lt;&gt;"""",VALUE(REGEXEXTRACT($T156, J$1&amp;""[\w &amp;]*, (\d+\.\d+)"")),"""")
"),5960)</f>
        <v>5960</v>
      </c>
      <c r="K156" s="3" t="n">
        <f aca="false">IFERROR(__xludf.dummyfunction("if($T156&lt;&gt;"""",VALUE(REGEXEXTRACT($T156, K$1&amp;""[\w &amp;]*, (\d+\.\d+)"")),"""")
"),5935)</f>
        <v>5935</v>
      </c>
      <c r="L156" s="3" t="n">
        <f aca="false">IFERROR(__xludf.dummyfunction("if($T156&lt;&gt;"""",VALUE(REGEXEXTRACT(SUBSTITUTE ($T156,L$1&amp;"" CE"",""""), L$1&amp;""[\w &amp;]*, (\d+\.\d+)"")),"""")
"),5945)</f>
        <v>5945</v>
      </c>
      <c r="M156" s="3" t="n">
        <f aca="false">IFERROR(__xludf.dummyfunction("if($T156&lt;&gt;"""",VALUE(REGEXEXTRACT($T156, M$1&amp;""[\w &amp;]*, (\d+\.\d+)"")),"""")
"),5995)</f>
        <v>5995</v>
      </c>
      <c r="N156" s="3" t="n">
        <f aca="false">IFERROR(__xludf.dummyfunction("if($T156&lt;&gt;"""",VALUE(REGEXEXTRACT(SUBSTITUTE ($T156,N$1&amp;"" CE"",""""), N$1&amp;""[\w &amp;]*, (\d+\.\d+)"")),"""")
"),6000)</f>
        <v>6000</v>
      </c>
      <c r="O156" s="3" t="n">
        <f aca="false">IFERROR(__xludf.dummyfunction("if($T156&lt;&gt;"""",VALUE(REGEXEXTRACT($T156, O$1&amp;""[\w &amp;]*, (\d+\.\d+)"")),"""")
"),6000)</f>
        <v>6000</v>
      </c>
      <c r="P156" s="2" t="n">
        <f aca="false">IFERROR(__xludf.dummyfunction("if($T156&lt;&gt;"""",VALUE(REGEXEXTRACT($T156, P$1&amp;""[\w &amp;]*, (\d+\.\d+)"")),"""")
"),5949.26)</f>
        <v>5949.26</v>
      </c>
      <c r="Q156" s="2" t="n">
        <f aca="false">IFERROR(__xludf.dummyfunction("if($T156&lt;&gt;"""",VALUE(REGEXEXTRACT($T156, Q$1&amp;""[\w &amp;]*, (\d+\.\d+)"")),"""")
"),5934.53)</f>
        <v>5934.53</v>
      </c>
      <c r="R156" s="2" t="n">
        <f aca="false">IFERROR(__xludf.dummyfunction("if($T156&lt;&gt;"""",VALUE(REGEXEXTRACT($T156, SUBSTITUTE(R$1, ""+"", ""\+"")&amp;""[\w &amp;]*, (\d+\.\d+)"")),"""")"),6021.5)</f>
        <v>6021.5</v>
      </c>
      <c r="S156" s="2" t="n">
        <f aca="false">IFERROR(__xludf.dummyfunction("if($T156&lt;&gt;"""",VALUE(REGEXEXTRACT($T156, SUBSTITUTE(S$1, ""+"", ""\+"")&amp;""[\w &amp;]*, (\d+\.\d+)"")),"""")"),6036.23)</f>
        <v>6036.23</v>
      </c>
      <c r="T156" s="5" t="s">
        <v>169</v>
      </c>
      <c r="U156" s="5"/>
    </row>
    <row r="157" customFormat="false" ht="15.75" hidden="false" customHeight="false" outlineLevel="0" collapsed="false">
      <c r="A157" s="4" t="n">
        <f aca="false">IFERROR(__xludf.dummyfunction("""COMPUTED_VALUE"""),45614.6666666667)</f>
        <v>45614.6666666667</v>
      </c>
      <c r="B157" s="2" t="n">
        <f aca="false">IFERROR(__xludf.dummyfunction("""COMPUTED_VALUE"""),5874.17)</f>
        <v>5874.17</v>
      </c>
      <c r="C157" s="2" t="n">
        <f aca="false">IFERROR(__xludf.dummyfunction("""COMPUTED_VALUE"""),5908.12)</f>
        <v>5908.12</v>
      </c>
      <c r="D157" s="2" t="n">
        <f aca="false">IFERROR(__xludf.dummyfunction("""COMPUTED_VALUE"""),5865.95)</f>
        <v>5865.95</v>
      </c>
      <c r="E157" s="2" t="n">
        <f aca="false">IFERROR(__xludf.dummyfunction("""COMPUTED_VALUE"""),5893.62)</f>
        <v>5893.62</v>
      </c>
      <c r="F157" s="3" t="n">
        <f aca="false">IFERROR(__xludf.dummyfunction("if($T157&lt;&gt;"""",VALUE(REGEXEXTRACT(SUBSTITUTE ($T157,F$1&amp;"" CE"",""""), F$1&amp;""[\w &amp;]*, (\d+\.\d+)"")),"""")
"),6000)</f>
        <v>6000</v>
      </c>
      <c r="G157" s="3" t="n">
        <f aca="false">IFERROR(__xludf.dummyfunction("if($T157&lt;&gt;"""",VALUE(REGEXEXTRACT($T157, G$1&amp;""[\w &amp;]*, (\d+\.\d+)"")),"""")
"),5905)</f>
        <v>5905</v>
      </c>
      <c r="H157" s="3" t="n">
        <f aca="false">IFERROR(__xludf.dummyfunction("if($T157&lt;&gt;"""",VALUE(REGEXEXTRACT($T157, H$1&amp;""[\w &amp;]*, (\d+\.\d+)"")),"""")"),6010)</f>
        <v>6010</v>
      </c>
      <c r="I157" s="3" t="n">
        <f aca="false">IFERROR(__xludf.dummyfunction("if($T157&lt;&gt;"""",VALUE(REGEXEXTRACT(SUBSTITUTE ($T157,I$1&amp;"" CE"",""""), I$1&amp;""[\w &amp;]*, (\d+\.\d+)"")),"""")
"),6000)</f>
        <v>6000</v>
      </c>
      <c r="J157" s="3" t="n">
        <f aca="false">IFERROR(__xludf.dummyfunction("if($T157&lt;&gt;"""",VALUE(REGEXEXTRACT($T157, J$1&amp;""[\w &amp;]*, (\d+\.\d+)"")),"""")
"),5860)</f>
        <v>5860</v>
      </c>
      <c r="K157" s="3" t="n">
        <f aca="false">IFERROR(__xludf.dummyfunction("if($T157&lt;&gt;"""",VALUE(REGEXEXTRACT($T157, K$1&amp;""[\w &amp;]*, (\d+\.\d+)"")),"""")
"),5850)</f>
        <v>5850</v>
      </c>
      <c r="L157" s="3" t="n">
        <f aca="false">IFERROR(__xludf.dummyfunction("if($T157&lt;&gt;"""",VALUE(REGEXEXTRACT(SUBSTITUTE ($T157,L$1&amp;"" CE"",""""), L$1&amp;""[\w &amp;]*, (\d+\.\d+)"")),"""")
"),5895)</f>
        <v>5895</v>
      </c>
      <c r="M157" s="3" t="n">
        <f aca="false">IFERROR(__xludf.dummyfunction("if($T157&lt;&gt;"""",VALUE(REGEXEXTRACT($T157, M$1&amp;""[\w &amp;]*, (\d+\.\d+)"")),"""")
"),5895)</f>
        <v>5895</v>
      </c>
      <c r="N157" s="3" t="n">
        <f aca="false">IFERROR(__xludf.dummyfunction("if($T157&lt;&gt;"""",VALUE(REGEXEXTRACT(SUBSTITUTE ($T157,N$1&amp;"" CE"",""""), N$1&amp;""[\w &amp;]*, (\d+\.\d+)"")),"""")
"),6000)</f>
        <v>6000</v>
      </c>
      <c r="O157" s="3" t="n">
        <f aca="false">IFERROR(__xludf.dummyfunction("if($T157&lt;&gt;"""",VALUE(REGEXEXTRACT($T157, O$1&amp;""[\w &amp;]*, (\d+\.\d+)"")),"""")
"),5900)</f>
        <v>5900</v>
      </c>
      <c r="P157" s="2" t="n">
        <f aca="false">IFERROR(__xludf.dummyfunction("if($T157&lt;&gt;"""",VALUE(REGEXEXTRACT($T157, P$1&amp;""[\w &amp;]*, (\d+\.\d+)"")),"""")
"),5828.22)</f>
        <v>5828.22</v>
      </c>
      <c r="Q157" s="2" t="n">
        <f aca="false">IFERROR(__xludf.dummyfunction("if($T157&lt;&gt;"""",VALUE(REGEXEXTRACT($T157, Q$1&amp;""[\w &amp;]*, (\d+\.\d+)"")),"""")
"),5810.66)</f>
        <v>5810.66</v>
      </c>
      <c r="R157" s="2" t="n">
        <f aca="false">IFERROR(__xludf.dummyfunction("if($T157&lt;&gt;"""",VALUE(REGEXEXTRACT($T157, SUBSTITUTE(R$1, ""+"", ""\+"")&amp;""[\w &amp;]*, (\d+\.\d+)"")),"""")"),5913.02)</f>
        <v>5913.02</v>
      </c>
      <c r="S157" s="2" t="n">
        <f aca="false">IFERROR(__xludf.dummyfunction("if($T157&lt;&gt;"""",VALUE(REGEXEXTRACT($T157, SUBSTITUTE(S$1, ""+"", ""\+"")&amp;""[\w &amp;]*, (\d+\.\d+)"")),"""")"),5930.58)</f>
        <v>5930.58</v>
      </c>
      <c r="T157" s="6" t="s">
        <v>170</v>
      </c>
      <c r="U157" s="6"/>
    </row>
    <row r="158" customFormat="false" ht="15.75" hidden="false" customHeight="false" outlineLevel="0" collapsed="false">
      <c r="A158" s="4" t="n">
        <f aca="false">IFERROR(__xludf.dummyfunction("""COMPUTED_VALUE"""),45615.6666666667)</f>
        <v>45615.6666666667</v>
      </c>
      <c r="B158" s="2" t="n">
        <f aca="false">IFERROR(__xludf.dummyfunction("""COMPUTED_VALUE"""),5870.05)</f>
        <v>5870.05</v>
      </c>
      <c r="C158" s="2" t="n">
        <f aca="false">IFERROR(__xludf.dummyfunction("""COMPUTED_VALUE"""),5923.51)</f>
        <v>5923.51</v>
      </c>
      <c r="D158" s="2" t="n">
        <f aca="false">IFERROR(__xludf.dummyfunction("""COMPUTED_VALUE"""),5855.29)</f>
        <v>5855.29</v>
      </c>
      <c r="E158" s="2" t="n">
        <f aca="false">IFERROR(__xludf.dummyfunction("""COMPUTED_VALUE"""),5916.98)</f>
        <v>5916.98</v>
      </c>
      <c r="F158" s="3" t="n">
        <f aca="false">IFERROR(__xludf.dummyfunction("if($T158&lt;&gt;"""",VALUE(REGEXEXTRACT(SUBSTITUTE ($T158,F$1&amp;"" CE"",""""), F$1&amp;""[\w &amp;]*, (\d+\.\d+)"")),"""")
"),6000)</f>
        <v>6000</v>
      </c>
      <c r="G158" s="3" t="n">
        <f aca="false">IFERROR(__xludf.dummyfunction("if($T158&lt;&gt;"""",VALUE(REGEXEXTRACT($T158, G$1&amp;""[\w &amp;]*, (\d+\.\d+)"")),"""")
"),5920)</f>
        <v>5920</v>
      </c>
      <c r="H158" s="3" t="n">
        <f aca="false">IFERROR(__xludf.dummyfunction("if($T158&lt;&gt;"""",VALUE(REGEXEXTRACT($T158, H$1&amp;""[\w &amp;]*, (\d+\.\d+)"")),"""")"),6010)</f>
        <v>6010</v>
      </c>
      <c r="I158" s="3" t="n">
        <f aca="false">IFERROR(__xludf.dummyfunction("if($T158&lt;&gt;"""",VALUE(REGEXEXTRACT(SUBSTITUTE ($T158,I$1&amp;"" CE"",""""), I$1&amp;""[\w &amp;]*, (\d+\.\d+)"")),"""")
"),6000)</f>
        <v>6000</v>
      </c>
      <c r="J158" s="3" t="n">
        <f aca="false">IFERROR(__xludf.dummyfunction("if($T158&lt;&gt;"""",VALUE(REGEXEXTRACT($T158, J$1&amp;""[\w &amp;]*, (\d+\.\d+)"")),"""")
"),5870)</f>
        <v>5870</v>
      </c>
      <c r="K158" s="3" t="n">
        <f aca="false">IFERROR(__xludf.dummyfunction("if($T158&lt;&gt;"""",VALUE(REGEXEXTRACT($T158, K$1&amp;""[\w &amp;]*, (\d+\.\d+)"")),"""")
"),5770)</f>
        <v>5770</v>
      </c>
      <c r="L158" s="3" t="n">
        <f aca="false">IFERROR(__xludf.dummyfunction("if($T158&lt;&gt;"""",VALUE(REGEXEXTRACT(SUBSTITUTE ($T158,L$1&amp;"" CE"",""""), L$1&amp;""[\w &amp;]*, (\d+\.\d+)"")),"""")
"),5895)</f>
        <v>5895</v>
      </c>
      <c r="M158" s="3" t="n">
        <f aca="false">IFERROR(__xludf.dummyfunction("if($T158&lt;&gt;"""",VALUE(REGEXEXTRACT($T158, M$1&amp;""[\w &amp;]*, (\d+\.\d+)"")),"""")
"),5895)</f>
        <v>5895</v>
      </c>
      <c r="N158" s="3" t="n">
        <f aca="false">IFERROR(__xludf.dummyfunction("if($T158&lt;&gt;"""",VALUE(REGEXEXTRACT(SUBSTITUTE ($T158,N$1&amp;"" CE"",""""), N$1&amp;""[\w &amp;]*, (\d+\.\d+)"")),"""")
"),6000)</f>
        <v>6000</v>
      </c>
      <c r="O158" s="3" t="n">
        <f aca="false">IFERROR(__xludf.dummyfunction("if($T158&lt;&gt;"""",VALUE(REGEXEXTRACT($T158, O$1&amp;""[\w &amp;]*, (\d+\.\d+)"")),"""")
"),5900)</f>
        <v>5900</v>
      </c>
      <c r="P158" s="2" t="n">
        <f aca="false">IFERROR(__xludf.dummyfunction("if($T158&lt;&gt;"""",VALUE(REGEXEXTRACT($T158, P$1&amp;""[\w &amp;]*, (\d+\.\d+)"")),"""")
"),5851.88)</f>
        <v>5851.88</v>
      </c>
      <c r="Q158" s="2" t="n">
        <f aca="false">IFERROR(__xludf.dummyfunction("if($T158&lt;&gt;"""",VALUE(REGEXEXTRACT($T158, Q$1&amp;""[\w &amp;]*, (\d+\.\d+)"")),"""")
"),5834.59)</f>
        <v>5834.59</v>
      </c>
      <c r="R158" s="2" t="n">
        <f aca="false">IFERROR(__xludf.dummyfunction("if($T158&lt;&gt;"""",VALUE(REGEXEXTRACT($T158, SUBSTITUTE(R$1, ""+"", ""\+"")&amp;""[\w &amp;]*, (\d+\.\d+)"")),"""")"),5935.36)</f>
        <v>5935.36</v>
      </c>
      <c r="S158" s="2" t="n">
        <f aca="false">IFERROR(__xludf.dummyfunction("if($T158&lt;&gt;"""",VALUE(REGEXEXTRACT($T158, SUBSTITUTE(S$1, ""+"", ""\+"")&amp;""[\w &amp;]*, (\d+\.\d+)"")),"""")"),5952.65)</f>
        <v>5952.65</v>
      </c>
      <c r="T158" s="6" t="s">
        <v>171</v>
      </c>
      <c r="U158" s="6"/>
    </row>
    <row r="159" customFormat="false" ht="15.75" hidden="false" customHeight="false" outlineLevel="0" collapsed="false">
      <c r="A159" s="4" t="n">
        <f aca="false">IFERROR(__xludf.dummyfunction("""COMPUTED_VALUE"""),45616.6666666667)</f>
        <v>45616.6666666667</v>
      </c>
      <c r="B159" s="2" t="n">
        <f aca="false">IFERROR(__xludf.dummyfunction("""COMPUTED_VALUE"""),5914.34)</f>
        <v>5914.34</v>
      </c>
      <c r="C159" s="2" t="n">
        <f aca="false">IFERROR(__xludf.dummyfunction("""COMPUTED_VALUE"""),5920.67)</f>
        <v>5920.67</v>
      </c>
      <c r="D159" s="2" t="n">
        <f aca="false">IFERROR(__xludf.dummyfunction("""COMPUTED_VALUE"""),5860.56)</f>
        <v>5860.56</v>
      </c>
      <c r="E159" s="2" t="n">
        <f aca="false">IFERROR(__xludf.dummyfunction("""COMPUTED_VALUE"""),5917.11)</f>
        <v>5917.11</v>
      </c>
      <c r="F159" s="3" t="n">
        <f aca="false">IFERROR(__xludf.dummyfunction("if($T159&lt;&gt;"""",VALUE(REGEXEXTRACT(SUBSTITUTE ($T159,F$1&amp;"" CE"",""""), F$1&amp;""[\w &amp;]*, (\d+\.\d+)"")),"""")
"),6000)</f>
        <v>6000</v>
      </c>
      <c r="G159" s="3" t="n">
        <f aca="false">IFERROR(__xludf.dummyfunction("if($T159&lt;&gt;"""",VALUE(REGEXEXTRACT($T159, G$1&amp;""[\w &amp;]*, (\d+\.\d+)"")),"""")
"),5950)</f>
        <v>5950</v>
      </c>
      <c r="H159" s="3" t="n">
        <f aca="false">IFERROR(__xludf.dummyfunction("if($T159&lt;&gt;"""",VALUE(REGEXEXTRACT($T159, H$1&amp;""[\w &amp;]*, (\d+\.\d+)"")),"""")"),6010)</f>
        <v>6010</v>
      </c>
      <c r="I159" s="3" t="n">
        <f aca="false">IFERROR(__xludf.dummyfunction("if($T159&lt;&gt;"""",VALUE(REGEXEXTRACT(SUBSTITUTE ($T159,I$1&amp;"" CE"",""""), I$1&amp;""[\w &amp;]*, (\d+\.\d+)"")),"""")
"),6000)</f>
        <v>6000</v>
      </c>
      <c r="J159" s="3" t="n">
        <f aca="false">IFERROR(__xludf.dummyfunction("if($T159&lt;&gt;"""",VALUE(REGEXEXTRACT($T159, J$1&amp;""[\w &amp;]*, (\d+\.\d+)"")),"""")
"),5865)</f>
        <v>5865</v>
      </c>
      <c r="K159" s="3" t="n">
        <f aca="false">IFERROR(__xludf.dummyfunction("if($T159&lt;&gt;"""",VALUE(REGEXEXTRACT($T159, K$1&amp;""[\w &amp;]*, (\d+\.\d+)"")),"""")
"),5790)</f>
        <v>5790</v>
      </c>
      <c r="L159" s="3" t="n">
        <f aca="false">IFERROR(__xludf.dummyfunction("if($T159&lt;&gt;"""",VALUE(REGEXEXTRACT(SUBSTITUTE ($T159,L$1&amp;"" CE"",""""), L$1&amp;""[\w &amp;]*, (\d+\.\d+)"")),"""")
"),5915)</f>
        <v>5915</v>
      </c>
      <c r="M159" s="3" t="n">
        <f aca="false">IFERROR(__xludf.dummyfunction("if($T159&lt;&gt;"""",VALUE(REGEXEXTRACT($T159, M$1&amp;""[\w &amp;]*, (\d+\.\d+)"")),"""")
"),5880)</f>
        <v>5880</v>
      </c>
      <c r="N159" s="3" t="n">
        <f aca="false">IFERROR(__xludf.dummyfunction("if($T159&lt;&gt;"""",VALUE(REGEXEXTRACT(SUBSTITUTE ($T159,N$1&amp;"" CE"",""""), N$1&amp;""[\w &amp;]*, (\d+\.\d+)"")),"""")
"),6000)</f>
        <v>6000</v>
      </c>
      <c r="O159" s="3" t="n">
        <f aca="false">IFERROR(__xludf.dummyfunction("if($T159&lt;&gt;"""",VALUE(REGEXEXTRACT($T159, O$1&amp;""[\w &amp;]*, (\d+\.\d+)"")),"""")
"),5950)</f>
        <v>5950</v>
      </c>
      <c r="P159" s="2" t="n">
        <f aca="false">IFERROR(__xludf.dummyfunction("if($T159&lt;&gt;"""",VALUE(REGEXEXTRACT($T159, P$1&amp;""[\w &amp;]*, (\d+\.\d+)"")),"""")
"),5875.26)</f>
        <v>5875.26</v>
      </c>
      <c r="Q159" s="2" t="n">
        <f aca="false">IFERROR(__xludf.dummyfunction("if($T159&lt;&gt;"""",VALUE(REGEXEXTRACT($T159, Q$1&amp;""[\w &amp;]*, (\d+\.\d+)"")),"""")
"),5857.92)</f>
        <v>5857.92</v>
      </c>
      <c r="R159" s="2" t="n">
        <f aca="false">IFERROR(__xludf.dummyfunction("if($T159&lt;&gt;"""",VALUE(REGEXEXTRACT($T159, SUBSTITUTE(R$1, ""+"", ""\+"")&amp;""[\w &amp;]*, (\d+\.\d+)"")),"""")"),5958.96)</f>
        <v>5958.96</v>
      </c>
      <c r="S159" s="2" t="n">
        <f aca="false">IFERROR(__xludf.dummyfunction("if($T159&lt;&gt;"""",VALUE(REGEXEXTRACT($T159, SUBSTITUTE(S$1, ""+"", ""\+"")&amp;""[\w &amp;]*, (\d+\.\d+)"")),"""")"),5976.3)</f>
        <v>5976.3</v>
      </c>
      <c r="T159" s="7" t="s">
        <v>172</v>
      </c>
      <c r="U159" s="7"/>
    </row>
    <row r="160" customFormat="false" ht="15.75" hidden="false" customHeight="false" outlineLevel="0" collapsed="false">
      <c r="A160" s="4" t="n">
        <f aca="false">IFERROR(__xludf.dummyfunction("""COMPUTED_VALUE"""),45617.6666666667)</f>
        <v>45617.6666666667</v>
      </c>
      <c r="B160" s="2" t="n">
        <f aca="false">IFERROR(__xludf.dummyfunction("""COMPUTED_VALUE"""),5940.58)</f>
        <v>5940.58</v>
      </c>
      <c r="C160" s="2" t="n">
        <f aca="false">IFERROR(__xludf.dummyfunction("""COMPUTED_VALUE"""),5963.32)</f>
        <v>5963.32</v>
      </c>
      <c r="D160" s="2" t="n">
        <f aca="false">IFERROR(__xludf.dummyfunction("""COMPUTED_VALUE"""),5887.26)</f>
        <v>5887.26</v>
      </c>
      <c r="E160" s="2" t="n">
        <f aca="false">IFERROR(__xludf.dummyfunction("""COMPUTED_VALUE"""),5948.71)</f>
        <v>5948.71</v>
      </c>
      <c r="F160" s="3" t="n">
        <f aca="false">IFERROR(__xludf.dummyfunction("if($T160&lt;&gt;"""",VALUE(REGEXEXTRACT(SUBSTITUTE ($T160,F$1&amp;"" CE"",""""), F$1&amp;""[\w &amp;]*, (\d+\.\d+)"")),"""")
"),6000)</f>
        <v>6000</v>
      </c>
      <c r="G160" s="3" t="n">
        <f aca="false">IFERROR(__xludf.dummyfunction("if($T160&lt;&gt;"""",VALUE(REGEXEXTRACT($T160, G$1&amp;""[\w &amp;]*, (\d+\.\d+)"")),"""")
"),5975)</f>
        <v>5975</v>
      </c>
      <c r="H160" s="3" t="n">
        <f aca="false">IFERROR(__xludf.dummyfunction("if($T160&lt;&gt;"""",VALUE(REGEXEXTRACT($T160, H$1&amp;""[\w &amp;]*, (\d+\.\d+)"")),"""")"),6010)</f>
        <v>6010</v>
      </c>
      <c r="I160" s="3" t="n">
        <f aca="false">IFERROR(__xludf.dummyfunction("if($T160&lt;&gt;"""",VALUE(REGEXEXTRACT(SUBSTITUTE ($T160,I$1&amp;"" CE"",""""), I$1&amp;""[\w &amp;]*, (\d+\.\d+)"")),"""")
"),6000)</f>
        <v>6000</v>
      </c>
      <c r="J160" s="3" t="n">
        <f aca="false">IFERROR(__xludf.dummyfunction("if($T160&lt;&gt;"""",VALUE(REGEXEXTRACT($T160, J$1&amp;""[\w &amp;]*, (\d+\.\d+)"")),"""")
"),5850)</f>
        <v>5850</v>
      </c>
      <c r="K160" s="3" t="n">
        <f aca="false">IFERROR(__xludf.dummyfunction("if($T160&lt;&gt;"""",VALUE(REGEXEXTRACT($T160, K$1&amp;""[\w &amp;]*, (\d+\.\d+)"")),"""")
"),5790)</f>
        <v>5790</v>
      </c>
      <c r="L160" s="3" t="n">
        <f aca="false">IFERROR(__xludf.dummyfunction("if($T160&lt;&gt;"""",VALUE(REGEXEXTRACT(SUBSTITUTE ($T160,L$1&amp;"" CE"",""""), L$1&amp;""[\w &amp;]*, (\d+\.\d+)"")),"""")
"),5900)</f>
        <v>5900</v>
      </c>
      <c r="M160" s="3" t="n">
        <f aca="false">IFERROR(__xludf.dummyfunction("if($T160&lt;&gt;"""",VALUE(REGEXEXTRACT($T160, M$1&amp;""[\w &amp;]*, (\d+\.\d+)"")),"""")
"),5900)</f>
        <v>5900</v>
      </c>
      <c r="N160" s="3" t="n">
        <f aca="false">IFERROR(__xludf.dummyfunction("if($T160&lt;&gt;"""",VALUE(REGEXEXTRACT(SUBSTITUTE ($T160,N$1&amp;"" CE"",""""), N$1&amp;""[\w &amp;]*, (\d+\.\d+)"")),"""")
"),6000)</f>
        <v>6000</v>
      </c>
      <c r="O160" s="3" t="n">
        <f aca="false">IFERROR(__xludf.dummyfunction("if($T160&lt;&gt;"""",VALUE(REGEXEXTRACT($T160, O$1&amp;""[\w &amp;]*, (\d+\.\d+)"")),"""")
"),5950)</f>
        <v>5950</v>
      </c>
      <c r="P160" s="2" t="n">
        <f aca="false">IFERROR(__xludf.dummyfunction("if($T160&lt;&gt;"""",VALUE(REGEXEXTRACT($T160, P$1&amp;""[\w &amp;]*, (\d+\.\d+)"")),"""")
"),5875.62)</f>
        <v>5875.62</v>
      </c>
      <c r="Q160" s="2" t="n">
        <f aca="false">IFERROR(__xludf.dummyfunction("if($T160&lt;&gt;"""",VALUE(REGEXEXTRACT($T160, Q$1&amp;""[\w &amp;]*, (\d+\.\d+)"")),"""")
"),5858.49)</f>
        <v>5858.49</v>
      </c>
      <c r="R160" s="2" t="n">
        <f aca="false">IFERROR(__xludf.dummyfunction("if($T160&lt;&gt;"""",VALUE(REGEXEXTRACT($T160, SUBSTITUTE(R$1, ""+"", ""\+"")&amp;""[\w &amp;]*, (\d+\.\d+)"")),"""")"),5958.34)</f>
        <v>5958.34</v>
      </c>
      <c r="S160" s="2" t="n">
        <f aca="false">IFERROR(__xludf.dummyfunction("if($T160&lt;&gt;"""",VALUE(REGEXEXTRACT($T160, SUBSTITUTE(S$1, ""+"", ""\+"")&amp;""[\w &amp;]*, (\d+\.\d+)"")),"""")"),5975.47)</f>
        <v>5975.47</v>
      </c>
      <c r="T160" s="7" t="s">
        <v>173</v>
      </c>
      <c r="U160" s="7"/>
    </row>
    <row r="161" customFormat="false" ht="15.75" hidden="false" customHeight="false" outlineLevel="0" collapsed="false">
      <c r="A161" s="4" t="n">
        <f aca="false">IFERROR(__xludf.dummyfunction("""COMPUTED_VALUE"""),45618.6666666667)</f>
        <v>45618.6666666667</v>
      </c>
      <c r="B161" s="2" t="n">
        <f aca="false">IFERROR(__xludf.dummyfunction("""COMPUTED_VALUE"""),5944.36)</f>
        <v>5944.36</v>
      </c>
      <c r="C161" s="2" t="n">
        <f aca="false">IFERROR(__xludf.dummyfunction("""COMPUTED_VALUE"""),5972.9)</f>
        <v>5972.9</v>
      </c>
      <c r="D161" s="2" t="n">
        <f aca="false">IFERROR(__xludf.dummyfunction("""COMPUTED_VALUE"""),5944.36)</f>
        <v>5944.36</v>
      </c>
      <c r="E161" s="2" t="n">
        <f aca="false">IFERROR(__xludf.dummyfunction("""COMPUTED_VALUE"""),5969.34)</f>
        <v>5969.34</v>
      </c>
      <c r="F161" s="3" t="n">
        <f aca="false">IFERROR(__xludf.dummyfunction("if($T161&lt;&gt;"""",VALUE(REGEXEXTRACT(SUBSTITUTE ($T161,F$1&amp;"" CE"",""""), F$1&amp;""[\w &amp;]*, (\d+\.\d+)"")),"""")
"),6000)</f>
        <v>6000</v>
      </c>
      <c r="G161" s="3" t="n">
        <f aca="false">IFERROR(__xludf.dummyfunction("if($T161&lt;&gt;"""",VALUE(REGEXEXTRACT($T161, G$1&amp;""[\w &amp;]*, (\d+\.\d+)"")),"""")
"),6000)</f>
        <v>6000</v>
      </c>
      <c r="H161" s="3" t="n">
        <f aca="false">IFERROR(__xludf.dummyfunction("if($T161&lt;&gt;"""",VALUE(REGEXEXTRACT($T161, H$1&amp;""[\w &amp;]*, (\d+\.\d+)"")),"""")"),6010)</f>
        <v>6010</v>
      </c>
      <c r="I161" s="3" t="n">
        <f aca="false">IFERROR(__xludf.dummyfunction("if($T161&lt;&gt;"""",VALUE(REGEXEXTRACT(SUBSTITUTE ($T161,I$1&amp;"" CE"",""""), I$1&amp;""[\w &amp;]*, (\d+\.\d+)"")),"""")
"),6000)</f>
        <v>6000</v>
      </c>
      <c r="J161" s="3" t="n">
        <f aca="false">IFERROR(__xludf.dummyfunction("if($T161&lt;&gt;"""",VALUE(REGEXEXTRACT($T161, J$1&amp;""[\w &amp;]*, (\d+\.\d+)"")),"""")
"),5920)</f>
        <v>5920</v>
      </c>
      <c r="K161" s="3" t="n">
        <f aca="false">IFERROR(__xludf.dummyfunction("if($T161&lt;&gt;"""",VALUE(REGEXEXTRACT($T161, K$1&amp;""[\w &amp;]*, (\d+\.\d+)"")),"""")
"),5690)</f>
        <v>5690</v>
      </c>
      <c r="L161" s="3" t="n">
        <f aca="false">IFERROR(__xludf.dummyfunction("if($T161&lt;&gt;"""",VALUE(REGEXEXTRACT(SUBSTITUTE ($T161,L$1&amp;"" CE"",""""), L$1&amp;""[\w &amp;]*, (\d+\.\d+)"")),"""")
"),5935)</f>
        <v>5935</v>
      </c>
      <c r="M161" s="3" t="n">
        <f aca="false">IFERROR(__xludf.dummyfunction("if($T161&lt;&gt;"""",VALUE(REGEXEXTRACT($T161, M$1&amp;""[\w &amp;]*, (\d+\.\d+)"")),"""")
"),5965)</f>
        <v>5965</v>
      </c>
      <c r="N161" s="3" t="n">
        <f aca="false">IFERROR(__xludf.dummyfunction("if($T161&lt;&gt;"""",VALUE(REGEXEXTRACT(SUBSTITUTE ($T161,N$1&amp;"" CE"",""""), N$1&amp;""[\w &amp;]*, (\d+\.\d+)"")),"""")
"),6000)</f>
        <v>6000</v>
      </c>
      <c r="O161" s="3" t="n">
        <f aca="false">IFERROR(__xludf.dummyfunction("if($T161&lt;&gt;"""",VALUE(REGEXEXTRACT($T161, O$1&amp;""[\w &amp;]*, (\d+\.\d+)"")),"""")
"),6000)</f>
        <v>6000</v>
      </c>
      <c r="P161" s="2" t="n">
        <f aca="false">IFERROR(__xludf.dummyfunction("if($T161&lt;&gt;"""",VALUE(REGEXEXTRACT($T161, P$1&amp;""[\w &amp;]*, (\d+\.\d+)"")),"""")
"),5931.52)</f>
        <v>5931.52</v>
      </c>
      <c r="Q161" s="2" t="n">
        <f aca="false">IFERROR(__xludf.dummyfunction("if($T161&lt;&gt;"""",VALUE(REGEXEXTRACT($T161, Q$1&amp;""[\w &amp;]*, (\d+\.\d+)"")),"""")
"),5915.86)</f>
        <v>5915.86</v>
      </c>
      <c r="R161" s="2" t="n">
        <f aca="false">IFERROR(__xludf.dummyfunction("if($T161&lt;&gt;"""",VALUE(REGEXEXTRACT($T161, SUBSTITUTE(R$1, ""+"", ""\+"")&amp;""[\w &amp;]*, (\d+\.\d+)"")),"""")"),6007.16)</f>
        <v>6007.16</v>
      </c>
      <c r="S161" s="2" t="n">
        <f aca="false">IFERROR(__xludf.dummyfunction("if($T161&lt;&gt;"""",VALUE(REGEXEXTRACT($T161, SUBSTITUTE(S$1, ""+"", ""\+"")&amp;""[\w &amp;]*, (\d+\.\d+)"")),"""")"),6022.82)</f>
        <v>6022.82</v>
      </c>
      <c r="T161" s="7" t="s">
        <v>174</v>
      </c>
      <c r="U161" s="7"/>
    </row>
    <row r="162" customFormat="false" ht="15.75" hidden="false" customHeight="false" outlineLevel="0" collapsed="false">
      <c r="A162" s="4" t="n">
        <f aca="false">IFERROR(__xludf.dummyfunction("""COMPUTED_VALUE"""),45621.6666666667)</f>
        <v>45621.6666666667</v>
      </c>
      <c r="B162" s="2" t="n">
        <f aca="false">IFERROR(__xludf.dummyfunction("""COMPUTED_VALUE"""),5992.28)</f>
        <v>5992.28</v>
      </c>
      <c r="C162" s="2" t="n">
        <f aca="false">IFERROR(__xludf.dummyfunction("""COMPUTED_VALUE"""),6020.75)</f>
        <v>6020.75</v>
      </c>
      <c r="D162" s="2" t="n">
        <f aca="false">IFERROR(__xludf.dummyfunction("""COMPUTED_VALUE"""),5963.91)</f>
        <v>5963.91</v>
      </c>
      <c r="E162" s="2" t="n">
        <f aca="false">IFERROR(__xludf.dummyfunction("""COMPUTED_VALUE"""),5987.37)</f>
        <v>5987.37</v>
      </c>
      <c r="F162" s="3" t="n">
        <f aca="false">IFERROR(__xludf.dummyfunction("if($T162&lt;&gt;"""",VALUE(REGEXEXTRACT(SUBSTITUTE ($T162,F$1&amp;"" CE"",""""), F$1&amp;""[\w &amp;]*, (\d+\.\d+)"")),"""")
"),6000)</f>
        <v>6000</v>
      </c>
      <c r="G162" s="3" t="n">
        <f aca="false">IFERROR(__xludf.dummyfunction("if($T162&lt;&gt;"""",VALUE(REGEXEXTRACT($T162, G$1&amp;""[\w &amp;]*, (\d+\.\d+)"")),"""")
"),5975)</f>
        <v>5975</v>
      </c>
      <c r="H162" s="3" t="n">
        <f aca="false">IFERROR(__xludf.dummyfunction("if($T162&lt;&gt;"""",VALUE(REGEXEXTRACT($T162, H$1&amp;""[\w &amp;]*, (\d+\.\d+)"")),"""")"),6010)</f>
        <v>6010</v>
      </c>
      <c r="I162" s="3" t="n">
        <f aca="false">IFERROR(__xludf.dummyfunction("if($T162&lt;&gt;"""",VALUE(REGEXEXTRACT(SUBSTITUTE ($T162,I$1&amp;"" CE"",""""), I$1&amp;""[\w &amp;]*, (\d+\.\d+)"")),"""")
"),6000)</f>
        <v>6000</v>
      </c>
      <c r="J162" s="3" t="n">
        <f aca="false">IFERROR(__xludf.dummyfunction("if($T162&lt;&gt;"""",VALUE(REGEXEXTRACT($T162, J$1&amp;""[\w &amp;]*, (\d+\.\d+)"")),"""")
"),5900)</f>
        <v>5900</v>
      </c>
      <c r="K162" s="3" t="n">
        <f aca="false">IFERROR(__xludf.dummyfunction("if($T162&lt;&gt;"""",VALUE(REGEXEXTRACT($T162, K$1&amp;""[\w &amp;]*, (\d+\.\d+)"")),"""")
"),5790)</f>
        <v>5790</v>
      </c>
      <c r="L162" s="3" t="n">
        <f aca="false">IFERROR(__xludf.dummyfunction("if($T162&lt;&gt;"""",VALUE(REGEXEXTRACT(SUBSTITUTE ($T162,L$1&amp;"" CE"",""""), L$1&amp;""[\w &amp;]*, (\d+\.\d+)"")),"""")
"),5920)</f>
        <v>5920</v>
      </c>
      <c r="M162" s="3" t="n">
        <f aca="false">IFERROR(__xludf.dummyfunction("if($T162&lt;&gt;"""",VALUE(REGEXEXTRACT($T162, M$1&amp;""[\w &amp;]*, (\d+\.\d+)"")),"""")
"),5920)</f>
        <v>5920</v>
      </c>
      <c r="N162" s="3" t="n">
        <f aca="false">IFERROR(__xludf.dummyfunction("if($T162&lt;&gt;"""",VALUE(REGEXEXTRACT(SUBSTITUTE ($T162,N$1&amp;"" CE"",""""), N$1&amp;""[\w &amp;]*, (\d+\.\d+)"")),"""")
"),6000)</f>
        <v>6000</v>
      </c>
      <c r="O162" s="3" t="n">
        <f aca="false">IFERROR(__xludf.dummyfunction("if($T162&lt;&gt;"""",VALUE(REGEXEXTRACT($T162, O$1&amp;""[\w &amp;]*, (\d+\.\d+)"")),"""")
"),5950)</f>
        <v>5950</v>
      </c>
      <c r="P162" s="2" t="n">
        <f aca="false">IFERROR(__xludf.dummyfunction("if($T162&lt;&gt;"""",VALUE(REGEXEXTRACT($T162, P$1&amp;""[\w &amp;]*, (\d+\.\d+)"")),"""")
"),5908.22)</f>
        <v>5908.22</v>
      </c>
      <c r="Q162" s="2" t="n">
        <f aca="false">IFERROR(__xludf.dummyfunction("if($T162&lt;&gt;"""",VALUE(REGEXEXTRACT($T162, Q$1&amp;""[\w &amp;]*, (\d+\.\d+)"")),"""")
"),5867.72)</f>
        <v>5867.72</v>
      </c>
      <c r="R162" s="2" t="n">
        <f aca="false">IFERROR(__xludf.dummyfunction("if($T162&lt;&gt;"""",VALUE(REGEXEXTRACT($T162, SUBSTITUTE(R$1, ""+"", ""\+"")&amp;""[\w &amp;]*, (\d+\.\d+)"")),"""")"),5989.2)</f>
        <v>5989.2</v>
      </c>
      <c r="S162" s="2" t="n">
        <f aca="false">IFERROR(__xludf.dummyfunction("if($T162&lt;&gt;"""",VALUE(REGEXEXTRACT($T162, SUBSTITUTE(S$1, ""+"", ""\+"")&amp;""[\w &amp;]*, (\d+\.\d+)"")),"""")"),6029.7)</f>
        <v>6029.7</v>
      </c>
      <c r="T162" s="7" t="s">
        <v>175</v>
      </c>
      <c r="U162" s="7"/>
    </row>
    <row r="163" customFormat="false" ht="15.75" hidden="false" customHeight="false" outlineLevel="0" collapsed="false">
      <c r="A163" s="4" t="n">
        <f aca="false">IFERROR(__xludf.dummyfunction("""COMPUTED_VALUE"""),45622.6666666667)</f>
        <v>45622.6666666667</v>
      </c>
      <c r="B163" s="2" t="n">
        <f aca="false">IFERROR(__xludf.dummyfunction("""COMPUTED_VALUE"""),6000.03)</f>
        <v>6000.03</v>
      </c>
      <c r="C163" s="2" t="n">
        <f aca="false">IFERROR(__xludf.dummyfunction("""COMPUTED_VALUE"""),6025.42)</f>
        <v>6025.42</v>
      </c>
      <c r="D163" s="2" t="n">
        <f aca="false">IFERROR(__xludf.dummyfunction("""COMPUTED_VALUE"""),5992.27)</f>
        <v>5992.27</v>
      </c>
      <c r="E163" s="2" t="n">
        <f aca="false">IFERROR(__xludf.dummyfunction("""COMPUTED_VALUE"""),6021.63)</f>
        <v>6021.63</v>
      </c>
      <c r="F163" s="3" t="n">
        <f aca="false">IFERROR(__xludf.dummyfunction("if($T163&lt;&gt;"""",VALUE(REGEXEXTRACT(SUBSTITUTE ($T163,F$1&amp;"" CE"",""""), F$1&amp;""[\w &amp;]*, (\d+\.\d+)"")),"""")
"),6000)</f>
        <v>6000</v>
      </c>
      <c r="G163" s="3" t="n">
        <f aca="false">IFERROR(__xludf.dummyfunction("if($T163&lt;&gt;"""",VALUE(REGEXEXTRACT($T163, G$1&amp;""[\w &amp;]*, (\d+\.\d+)"")),"""")
"),6020)</f>
        <v>6020</v>
      </c>
      <c r="H163" s="3" t="n">
        <f aca="false">IFERROR(__xludf.dummyfunction("if($T163&lt;&gt;"""",VALUE(REGEXEXTRACT($T163, H$1&amp;""[\w &amp;]*, (\d+\.\d+)"")),"""")"),6075)</f>
        <v>6075</v>
      </c>
      <c r="I163" s="3" t="n">
        <f aca="false">IFERROR(__xludf.dummyfunction("if($T163&lt;&gt;"""",VALUE(REGEXEXTRACT(SUBSTITUTE ($T163,I$1&amp;"" CE"",""""), I$1&amp;""[\w &amp;]*, (\d+\.\d+)"")),"""")
"),6000)</f>
        <v>6000</v>
      </c>
      <c r="J163" s="3" t="n">
        <f aca="false">IFERROR(__xludf.dummyfunction("if($T163&lt;&gt;"""",VALUE(REGEXEXTRACT($T163, J$1&amp;""[\w &amp;]*, (\d+\.\d+)"")),"""")
"),5995)</f>
        <v>5995</v>
      </c>
      <c r="K163" s="3" t="str">
        <f aca="false">IFERROR(__xludf.dummyfunction("if($T163&lt;&gt;"""",VALUE(REGEXEXTRACT($T163, K$1&amp;""[\w &amp;]*, (\d+\.\d+)"")),"""")
"),"#N/A")</f>
        <v>#N/A</v>
      </c>
      <c r="L163" s="3" t="n">
        <f aca="false">IFERROR(__xludf.dummyfunction("if($T163&lt;&gt;"""",VALUE(REGEXEXTRACT(SUBSTITUTE ($T163,L$1&amp;"" CE"",""""), L$1&amp;""[\w &amp;]*, (\d+\.\d+)"")),"""")
"),5985)</f>
        <v>5985</v>
      </c>
      <c r="M163" s="3" t="n">
        <f aca="false">IFERROR(__xludf.dummyfunction("if($T163&lt;&gt;"""",VALUE(REGEXEXTRACT($T163, M$1&amp;""[\w &amp;]*, (\d+\.\d+)"")),"""")
"),6000)</f>
        <v>6000</v>
      </c>
      <c r="N163" s="3" t="n">
        <f aca="false">IFERROR(__xludf.dummyfunction("if($T163&lt;&gt;"""",VALUE(REGEXEXTRACT(SUBSTITUTE ($T163,N$1&amp;"" CE"",""""), N$1&amp;""[\w &amp;]*, (\d+\.\d+)"")),"""")
"),6000)</f>
        <v>6000</v>
      </c>
      <c r="O163" s="3" t="n">
        <f aca="false">IFERROR(__xludf.dummyfunction("if($T163&lt;&gt;"""",VALUE(REGEXEXTRACT($T163, O$1&amp;""[\w &amp;]*, (\d+\.\d+)"")),"""")
"),6000)</f>
        <v>6000</v>
      </c>
      <c r="P163" s="2" t="n">
        <f aca="false">IFERROR(__xludf.dummyfunction("if($T163&lt;&gt;"""",VALUE(REGEXEXTRACT($T163, P$1&amp;""[\w &amp;]*, (\d+\.\d+)"")),"""")
"),5988.23)</f>
        <v>5988.23</v>
      </c>
      <c r="Q163" s="2" t="n">
        <f aca="false">IFERROR(__xludf.dummyfunction("if($T163&lt;&gt;"""",VALUE(REGEXEXTRACT($T163, Q$1&amp;""[\w &amp;]*, (\d+\.\d+)"")),"""")
"),5963.78)</f>
        <v>5963.78</v>
      </c>
      <c r="R163" s="2" t="n">
        <f aca="false">IFERROR(__xludf.dummyfunction("if($T163&lt;&gt;"""",VALUE(REGEXEXTRACT($T163, SUBSTITUTE(R$1, ""+"", ""\+"")&amp;""[\w &amp;]*, (\d+\.\d+)"")),"""")"),6055.03)</f>
        <v>6055.03</v>
      </c>
      <c r="S163" s="2" t="n">
        <f aca="false">IFERROR(__xludf.dummyfunction("if($T163&lt;&gt;"""",VALUE(REGEXEXTRACT($T163, SUBSTITUTE(S$1, ""+"", ""\+"")&amp;""[\w &amp;]*, (\d+\.\d+)"")),"""")"),6079.48)</f>
        <v>6079.48</v>
      </c>
      <c r="T163" s="7" t="s">
        <v>176</v>
      </c>
      <c r="U163" s="7"/>
    </row>
    <row r="164" customFormat="false" ht="15.75" hidden="false" customHeight="false" outlineLevel="0" collapsed="false">
      <c r="A164" s="4" t="n">
        <f aca="false">IFERROR(__xludf.dummyfunction("""COMPUTED_VALUE"""),45623.6666666667)</f>
        <v>45623.6666666667</v>
      </c>
      <c r="B164" s="2" t="n">
        <f aca="false">IFERROR(__xludf.dummyfunction("""COMPUTED_VALUE"""),6014.11)</f>
        <v>6014.11</v>
      </c>
      <c r="C164" s="2" t="n">
        <f aca="false">IFERROR(__xludf.dummyfunction("""COMPUTED_VALUE"""),6020.16)</f>
        <v>6020.16</v>
      </c>
      <c r="D164" s="2" t="n">
        <f aca="false">IFERROR(__xludf.dummyfunction("""COMPUTED_VALUE"""),5984.87)</f>
        <v>5984.87</v>
      </c>
      <c r="E164" s="2" t="n">
        <f aca="false">IFERROR(__xludf.dummyfunction("""COMPUTED_VALUE"""),5998.74)</f>
        <v>5998.74</v>
      </c>
      <c r="F164" s="3" t="n">
        <f aca="false">IFERROR(__xludf.dummyfunction("if($T164&lt;&gt;"""",VALUE(REGEXEXTRACT(SUBSTITUTE ($T164,F$1&amp;"" CE"",""""), F$1&amp;""[\w &amp;]*, (\d+\.\d+)"")),"""")
"),6000)</f>
        <v>6000</v>
      </c>
      <c r="G164" s="3" t="n">
        <f aca="false">IFERROR(__xludf.dummyfunction("if($T164&lt;&gt;"""",VALUE(REGEXEXTRACT($T164, G$1&amp;""[\w &amp;]*, (\d+\.\d+)"")),"""")
"),6030)</f>
        <v>6030</v>
      </c>
      <c r="H164" s="3" t="n">
        <f aca="false">IFERROR(__xludf.dummyfunction("if($T164&lt;&gt;"""",VALUE(REGEXEXTRACT($T164, H$1&amp;""[\w &amp;]*, (\d+\.\d+)"")),"""")"),6125)</f>
        <v>6125</v>
      </c>
      <c r="I164" s="3" t="n">
        <f aca="false">IFERROR(__xludf.dummyfunction("if($T164&lt;&gt;"""",VALUE(REGEXEXTRACT(SUBSTITUTE ($T164,I$1&amp;"" CE"",""""), I$1&amp;""[\w &amp;]*, (\d+\.\d+)"")),"""")
"),6000)</f>
        <v>6000</v>
      </c>
      <c r="J164" s="3" t="n">
        <f aca="false">IFERROR(__xludf.dummyfunction("if($T164&lt;&gt;"""",VALUE(REGEXEXTRACT($T164, J$1&amp;""[\w &amp;]*, (\d+\.\d+)"")),"""")
"),5975)</f>
        <v>5975</v>
      </c>
      <c r="K164" s="3" t="n">
        <f aca="false">IFERROR(__xludf.dummyfunction("if($T164&lt;&gt;"""",VALUE(REGEXEXTRACT($T164, K$1&amp;""[\w &amp;]*, (\d+\.\d+)"")),"""")
"),5930)</f>
        <v>5930</v>
      </c>
      <c r="L164" s="3" t="n">
        <f aca="false">IFERROR(__xludf.dummyfunction("if($T164&lt;&gt;"""",VALUE(REGEXEXTRACT(SUBSTITUTE ($T164,L$1&amp;"" CE"",""""), L$1&amp;""[\w &amp;]*, (\d+\.\d+)"")),"""")
"),5985)</f>
        <v>5985</v>
      </c>
      <c r="M164" s="3" t="n">
        <f aca="false">IFERROR(__xludf.dummyfunction("if($T164&lt;&gt;"""",VALUE(REGEXEXTRACT($T164, M$1&amp;""[\w &amp;]*, (\d+\.\d+)"")),"""")
"),5985)</f>
        <v>5985</v>
      </c>
      <c r="N164" s="3" t="n">
        <f aca="false">IFERROR(__xludf.dummyfunction("if($T164&lt;&gt;"""",VALUE(REGEXEXTRACT(SUBSTITUTE ($T164,N$1&amp;"" CE"",""""), N$1&amp;""[\w &amp;]*, (\d+\.\d+)"")),"""")
"),6000)</f>
        <v>6000</v>
      </c>
      <c r="O164" s="3" t="n">
        <f aca="false">IFERROR(__xludf.dummyfunction("if($T164&lt;&gt;"""",VALUE(REGEXEXTRACT($T164, O$1&amp;""[\w &amp;]*, (\d+\.\d+)"")),"""")
"),6000)</f>
        <v>6000</v>
      </c>
      <c r="P164" s="2" t="n">
        <f aca="false">IFERROR(__xludf.dummyfunction("if($T164&lt;&gt;"""",VALUE(REGEXEXTRACT($T164, P$1&amp;""[\w &amp;]*, (\d+\.\d+)"")),"""")
"),5965.17)</f>
        <v>5965.17</v>
      </c>
      <c r="Q164" s="2" t="n">
        <f aca="false">IFERROR(__xludf.dummyfunction("if($T164&lt;&gt;"""",VALUE(REGEXEXTRACT($T164, Q$1&amp;""[\w &amp;]*, (\d+\.\d+)"")),"""")
"),5931.6)</f>
        <v>5931.6</v>
      </c>
      <c r="R164" s="2" t="n">
        <f aca="false">IFERROR(__xludf.dummyfunction("if($T164&lt;&gt;"""",VALUE(REGEXEXTRACT($T164, SUBSTITUTE(R$1, ""+"", ""\+"")&amp;""[\w &amp;]*, (\d+\.\d+)"")),"""")"),6032.31)</f>
        <v>6032.31</v>
      </c>
      <c r="S164" s="2" t="n">
        <f aca="false">IFERROR(__xludf.dummyfunction("if($T164&lt;&gt;"""",VALUE(REGEXEXTRACT($T164, SUBSTITUTE(S$1, ""+"", ""\+"")&amp;""[\w &amp;]*, (\d+\.\d+)"")),"""")"),6065.88)</f>
        <v>6065.88</v>
      </c>
      <c r="T164" s="7" t="s">
        <v>177</v>
      </c>
      <c r="U164" s="7"/>
    </row>
    <row r="165" customFormat="false" ht="15.75" hidden="false" customHeight="false" outlineLevel="0" collapsed="false">
      <c r="A165" s="4" t="n">
        <f aca="false">IFERROR(__xludf.dummyfunction("""COMPUTED_VALUE"""),45625.5416666667)</f>
        <v>45625.5416666667</v>
      </c>
      <c r="B165" s="2" t="n">
        <f aca="false">IFERROR(__xludf.dummyfunction("""COMPUTED_VALUE"""),6003.98)</f>
        <v>6003.98</v>
      </c>
      <c r="C165" s="2" t="n">
        <f aca="false">IFERROR(__xludf.dummyfunction("""COMPUTED_VALUE"""),6044.17)</f>
        <v>6044.17</v>
      </c>
      <c r="D165" s="2" t="n">
        <f aca="false">IFERROR(__xludf.dummyfunction("""COMPUTED_VALUE"""),6003.98)</f>
        <v>6003.98</v>
      </c>
      <c r="E165" s="2" t="n">
        <f aca="false">IFERROR(__xludf.dummyfunction("""COMPUTED_VALUE"""),6032.38)</f>
        <v>6032.38</v>
      </c>
      <c r="F165" s="3" t="n">
        <f aca="false">IFERROR(__xludf.dummyfunction("if($T165&lt;&gt;"""",VALUE(REGEXEXTRACT(SUBSTITUTE ($T165,F$1&amp;"" CE"",""""), F$1&amp;""[\w &amp;]*, (\d+\.\d+)"")),"""")
"),6000)</f>
        <v>6000</v>
      </c>
      <c r="G165" s="3" t="n">
        <f aca="false">IFERROR(__xludf.dummyfunction("if($T165&lt;&gt;"""",VALUE(REGEXEXTRACT($T165, G$1&amp;""[\w &amp;]*, (\d+\.\d+)"")),"""")
"),6055)</f>
        <v>6055</v>
      </c>
      <c r="H165" s="3" t="n">
        <f aca="false">IFERROR(__xludf.dummyfunction("if($T165&lt;&gt;"""",VALUE(REGEXEXTRACT($T165, H$1&amp;""[\w &amp;]*, (\d+\.\d+)"")),"""")"),6125)</f>
        <v>6125</v>
      </c>
      <c r="I165" s="3" t="n">
        <f aca="false">IFERROR(__xludf.dummyfunction("if($T165&lt;&gt;"""",VALUE(REGEXEXTRACT(SUBSTITUTE ($T165,I$1&amp;"" CE"",""""), I$1&amp;""[\w &amp;]*, (\d+\.\d+)"")),"""")
"),6000)</f>
        <v>6000</v>
      </c>
      <c r="J165" s="3" t="n">
        <f aca="false">IFERROR(__xludf.dummyfunction("if($T165&lt;&gt;"""",VALUE(REGEXEXTRACT($T165, J$1&amp;""[\w &amp;]*, (\d+\.\d+)"")),"""")
"),6010)</f>
        <v>6010</v>
      </c>
      <c r="K165" s="3" t="n">
        <f aca="false">IFERROR(__xludf.dummyfunction("if($T165&lt;&gt;"""",VALUE(REGEXEXTRACT($T165, K$1&amp;""[\w &amp;]*, (\d+\.\d+)"")),"""")
"),5990)</f>
        <v>5990</v>
      </c>
      <c r="L165" s="3" t="n">
        <f aca="false">IFERROR(__xludf.dummyfunction("if($T165&lt;&gt;"""",VALUE(REGEXEXTRACT(SUBSTITUTE ($T165,L$1&amp;"" CE"",""""), L$1&amp;""[\w &amp;]*, (\d+\.\d+)"")),"""")
"),5995)</f>
        <v>5995</v>
      </c>
      <c r="M165" s="3" t="n">
        <f aca="false">IFERROR(__xludf.dummyfunction("if($T165&lt;&gt;"""",VALUE(REGEXEXTRACT($T165, M$1&amp;""[\w &amp;]*, (\d+\.\d+)"")),"""")
"),6025)</f>
        <v>6025</v>
      </c>
      <c r="N165" s="3" t="n">
        <f aca="false">IFERROR(__xludf.dummyfunction("if($T165&lt;&gt;"""",VALUE(REGEXEXTRACT(SUBSTITUTE ($T165,N$1&amp;"" CE"",""""), N$1&amp;""[\w &amp;]*, (\d+\.\d+)"")),"""")
"),6000)</f>
        <v>6000</v>
      </c>
      <c r="O165" s="3" t="n">
        <f aca="false">IFERROR(__xludf.dummyfunction("if($T165&lt;&gt;"""",VALUE(REGEXEXTRACT($T165, O$1&amp;""[\w &amp;]*, (\d+\.\d+)"")),"""")
"),6035)</f>
        <v>6035</v>
      </c>
      <c r="P165" s="2" t="n">
        <f aca="false">IFERROR(__xludf.dummyfunction("if($T165&lt;&gt;"""",VALUE(REGEXEXTRACT($T165, P$1&amp;""[\w &amp;]*, (\d+\.\d+)"")),"""")
"),5997.9)</f>
        <v>5997.9</v>
      </c>
      <c r="Q165" s="2" t="n">
        <f aca="false">IFERROR(__xludf.dummyfunction("if($T165&lt;&gt;"""",VALUE(REGEXEXTRACT($T165, Q$1&amp;""[\w &amp;]*, (\d+\.\d+)"")),"""")
"),5983.62)</f>
        <v>5983.62</v>
      </c>
      <c r="R165" s="2" t="n">
        <f aca="false">IFERROR(__xludf.dummyfunction("if($T165&lt;&gt;"""",VALUE(REGEXEXTRACT($T165, SUBSTITUTE(R$1, ""+"", ""\+"")&amp;""[\w &amp;]*, (\d+\.\d+)"")),"""")"),6066.86)</f>
        <v>6066.86</v>
      </c>
      <c r="S165" s="2" t="n">
        <f aca="false">IFERROR(__xludf.dummyfunction("if($T165&lt;&gt;"""",VALUE(REGEXEXTRACT($T165, SUBSTITUTE(S$1, ""+"", ""\+"")&amp;""[\w &amp;]*, (\d+\.\d+)"")),"""")"),6081.14)</f>
        <v>6081.14</v>
      </c>
      <c r="T165" s="7" t="s">
        <v>178</v>
      </c>
      <c r="U165" s="7"/>
    </row>
    <row r="166" customFormat="false" ht="15.75" hidden="false" customHeight="false" outlineLevel="0" collapsed="false">
      <c r="A166" s="4" t="n">
        <f aca="false">IFERROR(__xludf.dummyfunction("""COMPUTED_VALUE"""),45628.6666666667)</f>
        <v>45628.6666666667</v>
      </c>
      <c r="B166" s="2" t="n">
        <f aca="false">IFERROR(__xludf.dummyfunction("""COMPUTED_VALUE"""),6040.11)</f>
        <v>6040.11</v>
      </c>
      <c r="C166" s="2" t="n">
        <f aca="false">IFERROR(__xludf.dummyfunction("""COMPUTED_VALUE"""),6053.58)</f>
        <v>6053.58</v>
      </c>
      <c r="D166" s="2" t="n">
        <f aca="false">IFERROR(__xludf.dummyfunction("""COMPUTED_VALUE"""),6035.33)</f>
        <v>6035.33</v>
      </c>
      <c r="E166" s="2" t="n">
        <f aca="false">IFERROR(__xludf.dummyfunction("""COMPUTED_VALUE"""),6047.15)</f>
        <v>6047.15</v>
      </c>
      <c r="F166" s="3" t="n">
        <f aca="false">IFERROR(__xludf.dummyfunction("if($T166&lt;&gt;"""",VALUE(REGEXEXTRACT(SUBSTITUTE ($T166,F$1&amp;"" CE"",""""), F$1&amp;""[\w &amp;]*, (\d+\.\d+)"")),"""")
"),6000)</f>
        <v>6000</v>
      </c>
      <c r="G166" s="3" t="n">
        <f aca="false">IFERROR(__xludf.dummyfunction("if($T166&lt;&gt;"""",VALUE(REGEXEXTRACT($T166, G$1&amp;""[\w &amp;]*, (\d+\.\d+)"")),"""")
"),6000)</f>
        <v>6000</v>
      </c>
      <c r="H166" s="3" t="n">
        <f aca="false">IFERROR(__xludf.dummyfunction("if($T166&lt;&gt;"""",VALUE(REGEXEXTRACT($T166, H$1&amp;""[\w &amp;]*, (\d+\.\d+)"")),"""")"),6010)</f>
        <v>6010</v>
      </c>
      <c r="I166" s="3" t="n">
        <f aca="false">IFERROR(__xludf.dummyfunction("if($T166&lt;&gt;"""",VALUE(REGEXEXTRACT(SUBSTITUTE ($T166,I$1&amp;"" CE"",""""), I$1&amp;""[\w &amp;]*, (\d+\.\d+)"")),"""")
"),6000)</f>
        <v>6000</v>
      </c>
      <c r="J166" s="3" t="n">
        <f aca="false">IFERROR(__xludf.dummyfunction("if($T166&lt;&gt;"""",VALUE(REGEXEXTRACT($T166, J$1&amp;""[\w &amp;]*, (\d+\.\d+)"")),"""")
"),5960)</f>
        <v>5960</v>
      </c>
      <c r="K166" s="3" t="n">
        <f aca="false">IFERROR(__xludf.dummyfunction("if($T166&lt;&gt;"""",VALUE(REGEXEXTRACT($T166, K$1&amp;""[\w &amp;]*, (\d+\.\d+)"")),"""")
"),5690)</f>
        <v>5690</v>
      </c>
      <c r="L166" s="3" t="n">
        <f aca="false">IFERROR(__xludf.dummyfunction("if($T166&lt;&gt;"""",VALUE(REGEXEXTRACT(SUBSTITUTE ($T166,L$1&amp;"" CE"",""""), L$1&amp;""[\w &amp;]*, (\d+\.\d+)"")),"""")
"),5965)</f>
        <v>5965</v>
      </c>
      <c r="M166" s="3" t="n">
        <f aca="false">IFERROR(__xludf.dummyfunction("if($T166&lt;&gt;"""",VALUE(REGEXEXTRACT($T166, M$1&amp;""[\w &amp;]*, (\d+\.\d+)"")),"""")
"),5980)</f>
        <v>5980</v>
      </c>
      <c r="N166" s="3" t="n">
        <f aca="false">IFERROR(__xludf.dummyfunction("if($T166&lt;&gt;"""",VALUE(REGEXEXTRACT(SUBSTITUTE ($T166,N$1&amp;"" CE"",""""), N$1&amp;""[\w &amp;]*, (\d+\.\d+)"")),"""")
"),6000)</f>
        <v>6000</v>
      </c>
      <c r="O166" s="3" t="n">
        <f aca="false">IFERROR(__xludf.dummyfunction("if($T166&lt;&gt;"""",VALUE(REGEXEXTRACT($T166, O$1&amp;""[\w &amp;]*, (\d+\.\d+)"")),"""")
"),6000)</f>
        <v>6000</v>
      </c>
      <c r="P166" s="2" t="n">
        <f aca="false">IFERROR(__xludf.dummyfunction("if($T166&lt;&gt;"""",VALUE(REGEXEXTRACT($T166, P$1&amp;""[\w &amp;]*, (\d+\.\d+)"")),"""")
"),5951.84)</f>
        <v>5951.84</v>
      </c>
      <c r="Q166" s="2" t="n">
        <f aca="false">IFERROR(__xludf.dummyfunction("if($T166&lt;&gt;"""",VALUE(REGEXEXTRACT($T166, Q$1&amp;""[\w &amp;]*, (\d+\.\d+)"")),"""")
"),5937.12)</f>
        <v>5937.12</v>
      </c>
      <c r="R166" s="2" t="n">
        <f aca="false">IFERROR(__xludf.dummyfunction("if($T166&lt;&gt;"""",VALUE(REGEXEXTRACT($T166, SUBSTITUTE(R$1, ""+"", ""\+"")&amp;""[\w &amp;]*, (\d+\.\d+)"")),"""")"),6022.9)</f>
        <v>6022.9</v>
      </c>
      <c r="S166" s="2" t="n">
        <f aca="false">IFERROR(__xludf.dummyfunction("if($T166&lt;&gt;"""",VALUE(REGEXEXTRACT($T166, SUBSTITUTE(S$1, ""+"", ""\+"")&amp;""[\w &amp;]*, (\d+\.\d+)"")),"""")"),6037.62)</f>
        <v>6037.62</v>
      </c>
      <c r="T166" s="7" t="s">
        <v>179</v>
      </c>
      <c r="U166" s="7"/>
    </row>
    <row r="167" customFormat="false" ht="15.75" hidden="false" customHeight="false" outlineLevel="0" collapsed="false">
      <c r="A167" s="4" t="n">
        <f aca="false">IFERROR(__xludf.dummyfunction("""COMPUTED_VALUE"""),45629.6666666667)</f>
        <v>45629.6666666667</v>
      </c>
      <c r="B167" s="2" t="n">
        <f aca="false">IFERROR(__xludf.dummyfunction("""COMPUTED_VALUE"""),6042.97)</f>
        <v>6042.97</v>
      </c>
      <c r="C167" s="2" t="n">
        <f aca="false">IFERROR(__xludf.dummyfunction("""COMPUTED_VALUE"""),6052.07)</f>
        <v>6052.07</v>
      </c>
      <c r="D167" s="2" t="n">
        <f aca="false">IFERROR(__xludf.dummyfunction("""COMPUTED_VALUE"""),6033.39)</f>
        <v>6033.39</v>
      </c>
      <c r="E167" s="2" t="n">
        <f aca="false">IFERROR(__xludf.dummyfunction("""COMPUTED_VALUE"""),6049.88)</f>
        <v>6049.88</v>
      </c>
      <c r="F167" s="3" t="n">
        <f aca="false">IFERROR(__xludf.dummyfunction("if($T167&lt;&gt;"""",VALUE(REGEXEXTRACT(SUBSTITUTE ($T167,F$1&amp;"" CE"",""""), F$1&amp;""[\w &amp;]*, (\d+\.\d+)"")),"""")
"),6000)</f>
        <v>6000</v>
      </c>
      <c r="G167" s="3" t="n">
        <f aca="false">IFERROR(__xludf.dummyfunction("if($T167&lt;&gt;"""",VALUE(REGEXEXTRACT($T167, G$1&amp;""[\w &amp;]*, (\d+\.\d+)"")),"""")
"),6070)</f>
        <v>6070</v>
      </c>
      <c r="H167" s="3" t="n">
        <f aca="false">IFERROR(__xludf.dummyfunction("if($T167&lt;&gt;"""",VALUE(REGEXEXTRACT($T167, H$1&amp;""[\w &amp;]*, (\d+\.\d+)"")),"""")"),6125)</f>
        <v>6125</v>
      </c>
      <c r="I167" s="3" t="n">
        <f aca="false">IFERROR(__xludf.dummyfunction("if($T167&lt;&gt;"""",VALUE(REGEXEXTRACT(SUBSTITUTE ($T167,I$1&amp;"" CE"",""""), I$1&amp;""[\w &amp;]*, (\d+\.\d+)"")),"""")
"),6000)</f>
        <v>6000</v>
      </c>
      <c r="J167" s="3" t="n">
        <f aca="false">IFERROR(__xludf.dummyfunction("if($T167&lt;&gt;"""",VALUE(REGEXEXTRACT($T167, J$1&amp;""[\w &amp;]*, (\d+\.\d+)"")),"""")
"),6030)</f>
        <v>6030</v>
      </c>
      <c r="K167" s="3" t="n">
        <f aca="false">IFERROR(__xludf.dummyfunction("if($T167&lt;&gt;"""",VALUE(REGEXEXTRACT($T167, K$1&amp;""[\w &amp;]*, (\d+\.\d+)"")),"""")
"),5790)</f>
        <v>5790</v>
      </c>
      <c r="L167" s="3" t="n">
        <f aca="false">IFERROR(__xludf.dummyfunction("if($T167&lt;&gt;"""",VALUE(REGEXEXTRACT(SUBSTITUTE ($T167,L$1&amp;"" CE"",""""), L$1&amp;""[\w &amp;]*, (\d+\.\d+)"")),"""")
"),6030)</f>
        <v>6030</v>
      </c>
      <c r="M167" s="3" t="n">
        <f aca="false">IFERROR(__xludf.dummyfunction("if($T167&lt;&gt;"""",VALUE(REGEXEXTRACT($T167, M$1&amp;""[\w &amp;]*, (\d+\.\d+)"")),"""")
"),6045)</f>
        <v>6045</v>
      </c>
      <c r="N167" s="3" t="n">
        <f aca="false">IFERROR(__xludf.dummyfunction("if($T167&lt;&gt;"""",VALUE(REGEXEXTRACT(SUBSTITUTE ($T167,N$1&amp;"" CE"",""""), N$1&amp;""[\w &amp;]*, (\d+\.\d+)"")),"""")
"),6000)</f>
        <v>6000</v>
      </c>
      <c r="O167" s="3" t="n">
        <f aca="false">IFERROR(__xludf.dummyfunction("if($T167&lt;&gt;"""",VALUE(REGEXEXTRACT($T167, O$1&amp;""[\w &amp;]*, (\d+\.\d+)"")),"""")
"),6070)</f>
        <v>6070</v>
      </c>
      <c r="P167" s="2" t="n">
        <f aca="false">IFERROR(__xludf.dummyfunction("if($T167&lt;&gt;"""",VALUE(REGEXEXTRACT($T167, P$1&amp;""[\w &amp;]*, (\d+\.\d+)"")),"""")
"),6016.4)</f>
        <v>6016.4</v>
      </c>
      <c r="Q167" s="2" t="n">
        <f aca="false">IFERROR(__xludf.dummyfunction("if($T167&lt;&gt;"""",VALUE(REGEXEXTRACT($T167, Q$1&amp;""[\w &amp;]*, (\d+\.\d+)"")),"""")
"),6002.54)</f>
        <v>6002.54</v>
      </c>
      <c r="R167" s="2" t="n">
        <f aca="false">IFERROR(__xludf.dummyfunction("if($T167&lt;&gt;"""",VALUE(REGEXEXTRACT($T167, SUBSTITUTE(R$1, ""+"", ""\+"")&amp;""[\w &amp;]*, (\d+\.\d+)"")),"""")"),6083.36)</f>
        <v>6083.36</v>
      </c>
      <c r="S167" s="2" t="n">
        <f aca="false">IFERROR(__xludf.dummyfunction("if($T167&lt;&gt;"""",VALUE(REGEXEXTRACT($T167, SUBSTITUTE(S$1, ""+"", ""\+"")&amp;""[\w &amp;]*, (\d+\.\d+)"")),"""")"),6097.22)</f>
        <v>6097.22</v>
      </c>
      <c r="T167" s="7" t="s">
        <v>180</v>
      </c>
      <c r="U167" s="7"/>
    </row>
    <row r="168" customFormat="false" ht="15.75" hidden="false" customHeight="false" outlineLevel="0" collapsed="false">
      <c r="A168" s="4" t="n">
        <f aca="false">IFERROR(__xludf.dummyfunction("""COMPUTED_VALUE"""),45630.6666666667)</f>
        <v>45630.6666666667</v>
      </c>
      <c r="B168" s="2" t="n">
        <f aca="false">IFERROR(__xludf.dummyfunction("""COMPUTED_VALUE"""),6069.39)</f>
        <v>6069.39</v>
      </c>
      <c r="C168" s="2" t="n">
        <f aca="false">IFERROR(__xludf.dummyfunction("""COMPUTED_VALUE"""),6089.84)</f>
        <v>6089.84</v>
      </c>
      <c r="D168" s="2" t="n">
        <f aca="false">IFERROR(__xludf.dummyfunction("""COMPUTED_VALUE"""),6061.06)</f>
        <v>6061.06</v>
      </c>
      <c r="E168" s="2" t="n">
        <f aca="false">IFERROR(__xludf.dummyfunction("""COMPUTED_VALUE"""),6086.49)</f>
        <v>6086.49</v>
      </c>
      <c r="F168" s="3" t="n">
        <f aca="false">IFERROR(__xludf.dummyfunction("if($T168&lt;&gt;"""",VALUE(REGEXEXTRACT(SUBSTITUTE ($T168,F$1&amp;"" CE"",""""), F$1&amp;""[\w &amp;]*, (\d+\.\d+)"")),"""")
"),6000)</f>
        <v>6000</v>
      </c>
      <c r="G168" s="3" t="n">
        <f aca="false">IFERROR(__xludf.dummyfunction("if($T168&lt;&gt;"""",VALUE(REGEXEXTRACT($T168, G$1&amp;""[\w &amp;]*, (\d+\.\d+)"")),"""")
"),6100)</f>
        <v>6100</v>
      </c>
      <c r="H168" s="3" t="n">
        <f aca="false">IFERROR(__xludf.dummyfunction("if($T168&lt;&gt;"""",VALUE(REGEXEXTRACT($T168, H$1&amp;""[\w &amp;]*, (\d+\.\d+)"")),"""")"),6125)</f>
        <v>6125</v>
      </c>
      <c r="I168" s="3" t="n">
        <f aca="false">IFERROR(__xludf.dummyfunction("if($T168&lt;&gt;"""",VALUE(REGEXEXTRACT(SUBSTITUTE ($T168,I$1&amp;"" CE"",""""), I$1&amp;""[\w &amp;]*, (\d+\.\d+)"")),"""")
"),6000)</f>
        <v>6000</v>
      </c>
      <c r="J168" s="3" t="n">
        <f aca="false">IFERROR(__xludf.dummyfunction("if($T168&lt;&gt;"""",VALUE(REGEXEXTRACT($T168, J$1&amp;""[\w &amp;]*, (\d+\.\d+)"")),"""")
"),6060)</f>
        <v>6060</v>
      </c>
      <c r="K168" s="3" t="str">
        <f aca="false">IFERROR(__xludf.dummyfunction("if($T168&lt;&gt;"""",VALUE(REGEXEXTRACT($T168, K$1&amp;""[\w &amp;]*, (\d+\.\d+)"")),"""")
"),"#N/A")</f>
        <v>#N/A</v>
      </c>
      <c r="L168" s="3" t="n">
        <f aca="false">IFERROR(__xludf.dummyfunction("if($T168&lt;&gt;"""",VALUE(REGEXEXTRACT(SUBSTITUTE ($T168,L$1&amp;"" CE"",""""), L$1&amp;""[\w &amp;]*, (\d+\.\d+)"")),"""")
"),6045)</f>
        <v>6045</v>
      </c>
      <c r="M168" s="3" t="n">
        <f aca="false">IFERROR(__xludf.dummyfunction("if($T168&lt;&gt;"""",VALUE(REGEXEXTRACT($T168, M$1&amp;""[\w &amp;]*, (\d+\.\d+)"")),"""")
"),6070)</f>
        <v>6070</v>
      </c>
      <c r="N168" s="3" t="n">
        <f aca="false">IFERROR(__xludf.dummyfunction("if($T168&lt;&gt;"""",VALUE(REGEXEXTRACT(SUBSTITUTE ($T168,N$1&amp;"" CE"",""""), N$1&amp;""[\w &amp;]*, (\d+\.\d+)"")),"""")
"),6000)</f>
        <v>6000</v>
      </c>
      <c r="O168" s="3" t="n">
        <f aca="false">IFERROR(__xludf.dummyfunction("if($T168&lt;&gt;"""",VALUE(REGEXEXTRACT($T168, O$1&amp;""[\w &amp;]*, (\d+\.\d+)"")),"""")
"),6080)</f>
        <v>6080</v>
      </c>
      <c r="P168" s="2" t="n">
        <f aca="false">IFERROR(__xludf.dummyfunction("if($T168&lt;&gt;"""",VALUE(REGEXEXTRACT($T168, P$1&amp;""[\w &amp;]*, (\d+\.\d+)"")),"""")
"),6054.52)</f>
        <v>6054.52</v>
      </c>
      <c r="Q168" s="2" t="n">
        <f aca="false">IFERROR(__xludf.dummyfunction("if($T168&lt;&gt;"""",VALUE(REGEXEXTRACT($T168, Q$1&amp;""[\w &amp;]*, (\d+\.\d+)"")),"""")
"),6041.28)</f>
        <v>6041.28</v>
      </c>
      <c r="R168" s="2" t="n">
        <f aca="false">IFERROR(__xludf.dummyfunction("if($T168&lt;&gt;"""",VALUE(REGEXEXTRACT($T168, SUBSTITUTE(R$1, ""+"", ""\+"")&amp;""[\w &amp;]*, (\d+\.\d+)"")),"""")"),6118.46)</f>
        <v>6118.46</v>
      </c>
      <c r="S168" s="2" t="n">
        <f aca="false">IFERROR(__xludf.dummyfunction("if($T168&lt;&gt;"""",VALUE(REGEXEXTRACT($T168, SUBSTITUTE(S$1, ""+"", ""\+"")&amp;""[\w &amp;]*, (\d+\.\d+)"")),"""")"),6131.7)</f>
        <v>6131.7</v>
      </c>
      <c r="T168" s="7" t="s">
        <v>181</v>
      </c>
      <c r="U168" s="7"/>
    </row>
    <row r="169" customFormat="false" ht="15.75" hidden="false" customHeight="false" outlineLevel="0" collapsed="false">
      <c r="A169" s="4" t="n">
        <f aca="false">IFERROR(__xludf.dummyfunction("""COMPUTED_VALUE"""),45631.6666666667)</f>
        <v>45631.6666666667</v>
      </c>
      <c r="B169" s="2" t="n">
        <f aca="false">IFERROR(__xludf.dummyfunction("""COMPUTED_VALUE"""),6089.03)</f>
        <v>6089.03</v>
      </c>
      <c r="C169" s="2" t="n">
        <f aca="false">IFERROR(__xludf.dummyfunction("""COMPUTED_VALUE"""),6094.55)</f>
        <v>6094.55</v>
      </c>
      <c r="D169" s="2" t="n">
        <f aca="false">IFERROR(__xludf.dummyfunction("""COMPUTED_VALUE"""),6072.9)</f>
        <v>6072.9</v>
      </c>
      <c r="E169" s="2" t="n">
        <f aca="false">IFERROR(__xludf.dummyfunction("""COMPUTED_VALUE"""),6075.11)</f>
        <v>6075.11</v>
      </c>
      <c r="F169" s="3" t="n">
        <f aca="false">IFERROR(__xludf.dummyfunction("if($T169&lt;&gt;"""",VALUE(REGEXEXTRACT(SUBSTITUTE ($T169,F$1&amp;"" CE"",""""), F$1&amp;""[\w &amp;]*, (\d+\.\d+)"")),"""")
"),6000)</f>
        <v>6000</v>
      </c>
      <c r="G169" s="3" t="n">
        <f aca="false">IFERROR(__xludf.dummyfunction("if($T169&lt;&gt;"""",VALUE(REGEXEXTRACT($T169, G$1&amp;""[\w &amp;]*, (\d+\.\d+)"")),"""")
"),6065)</f>
        <v>6065</v>
      </c>
      <c r="H169" s="3" t="n">
        <f aca="false">IFERROR(__xludf.dummyfunction("if($T169&lt;&gt;"""",VALUE(REGEXEXTRACT($T169, H$1&amp;""[\w &amp;]*, (\d+\.\d+)"")),"""")"),6125)</f>
        <v>6125</v>
      </c>
      <c r="I169" s="3" t="n">
        <f aca="false">IFERROR(__xludf.dummyfunction("if($T169&lt;&gt;"""",VALUE(REGEXEXTRACT(SUBSTITUTE ($T169,I$1&amp;"" CE"",""""), I$1&amp;""[\w &amp;]*, (\d+\.\d+)"")),"""")
"),6000)</f>
        <v>6000</v>
      </c>
      <c r="J169" s="3" t="n">
        <f aca="false">IFERROR(__xludf.dummyfunction("if($T169&lt;&gt;"""",VALUE(REGEXEXTRACT($T169, J$1&amp;""[\w &amp;]*, (\d+\.\d+)"")),"""")
"),6035)</f>
        <v>6035</v>
      </c>
      <c r="K169" s="3" t="n">
        <f aca="false">IFERROR(__xludf.dummyfunction("if($T169&lt;&gt;"""",VALUE(REGEXEXTRACT($T169, K$1&amp;""[\w &amp;]*, (\d+\.\d+)"")),"""")
"),5785)</f>
        <v>5785</v>
      </c>
      <c r="L169" s="3" t="n">
        <f aca="false">IFERROR(__xludf.dummyfunction("if($T169&lt;&gt;"""",VALUE(REGEXEXTRACT(SUBSTITUTE ($T169,L$1&amp;"" CE"",""""), L$1&amp;""[\w &amp;]*, (\d+\.\d+)"")),"""")
"),6035)</f>
        <v>6035</v>
      </c>
      <c r="M169" s="3" t="n">
        <f aca="false">IFERROR(__xludf.dummyfunction("if($T169&lt;&gt;"""",VALUE(REGEXEXTRACT($T169, M$1&amp;""[\w &amp;]*, (\d+\.\d+)"")),"""")
"),6040)</f>
        <v>6040</v>
      </c>
      <c r="N169" s="3" t="n">
        <f aca="false">IFERROR(__xludf.dummyfunction("if($T169&lt;&gt;"""",VALUE(REGEXEXTRACT(SUBSTITUTE ($T169,N$1&amp;"" CE"",""""), N$1&amp;""[\w &amp;]*, (\d+\.\d+)"")),"""")
"),6000)</f>
        <v>6000</v>
      </c>
      <c r="O169" s="3" t="n">
        <f aca="false">IFERROR(__xludf.dummyfunction("if($T169&lt;&gt;"""",VALUE(REGEXEXTRACT($T169, O$1&amp;""[\w &amp;]*, (\d+\.\d+)"")),"""")
"),6050)</f>
        <v>6050</v>
      </c>
      <c r="P169" s="2" t="n">
        <f aca="false">IFERROR(__xludf.dummyfunction("if($T169&lt;&gt;"""",VALUE(REGEXEXTRACT($T169, P$1&amp;""[\w &amp;]*, (\d+\.\d+)"")),"""")
"),6013.84)</f>
        <v>6013.84</v>
      </c>
      <c r="Q169" s="2" t="n">
        <f aca="false">IFERROR(__xludf.dummyfunction("if($T169&lt;&gt;"""",VALUE(REGEXEXTRACT($T169, Q$1&amp;""[\w &amp;]*, (\d+\.\d+)"")),"""")
"),6000.04)</f>
        <v>6000.04</v>
      </c>
      <c r="R169" s="2" t="n">
        <f aca="false">IFERROR(__xludf.dummyfunction("if($T169&lt;&gt;"""",VALUE(REGEXEXTRACT($T169, SUBSTITUTE(R$1, ""+"", ""\+"")&amp;""[\w &amp;]*, (\d+\.\d+)"")),"""")"),6080.46)</f>
        <v>6080.46</v>
      </c>
      <c r="S169" s="2" t="n">
        <f aca="false">IFERROR(__xludf.dummyfunction("if($T169&lt;&gt;"""",VALUE(REGEXEXTRACT($T169, SUBSTITUTE(S$1, ""+"", ""\+"")&amp;""[\w &amp;]*, (\d+\.\d+)"")),"""")"),6094.26)</f>
        <v>6094.26</v>
      </c>
      <c r="T169" s="7" t="s">
        <v>182</v>
      </c>
      <c r="U169" s="7"/>
    </row>
    <row r="170" customFormat="false" ht="15.75" hidden="false" customHeight="false" outlineLevel="0" collapsed="false">
      <c r="A170" s="4" t="n">
        <f aca="false">IFERROR(__xludf.dummyfunction("""COMPUTED_VALUE"""),45632.6666666667)</f>
        <v>45632.6666666667</v>
      </c>
      <c r="B170" s="2" t="n">
        <f aca="false">IFERROR(__xludf.dummyfunction("""COMPUTED_VALUE"""),6081.38)</f>
        <v>6081.38</v>
      </c>
      <c r="C170" s="2" t="n">
        <f aca="false">IFERROR(__xludf.dummyfunction("""COMPUTED_VALUE"""),6099.97)</f>
        <v>6099.97</v>
      </c>
      <c r="D170" s="2" t="n">
        <f aca="false">IFERROR(__xludf.dummyfunction("""COMPUTED_VALUE"""),6079.98)</f>
        <v>6079.98</v>
      </c>
      <c r="E170" s="2" t="n">
        <f aca="false">IFERROR(__xludf.dummyfunction("""COMPUTED_VALUE"""),6090.27)</f>
        <v>6090.27</v>
      </c>
      <c r="F170" s="3" t="n">
        <f aca="false">IFERROR(__xludf.dummyfunction("if($T170&lt;&gt;"""",VALUE(REGEXEXTRACT(SUBSTITUTE ($T170,F$1&amp;"" CE"",""""), F$1&amp;""[\w &amp;]*, (\d+\.\d+)"")),"""")
"),6000)</f>
        <v>6000</v>
      </c>
      <c r="G170" s="3" t="n">
        <f aca="false">IFERROR(__xludf.dummyfunction("if($T170&lt;&gt;"""",VALUE(REGEXEXTRACT($T170, G$1&amp;""[\w &amp;]*, (\d+\.\d+)"")),"""")
"),6100)</f>
        <v>6100</v>
      </c>
      <c r="H170" s="3" t="n">
        <f aca="false">IFERROR(__xludf.dummyfunction("if($T170&lt;&gt;"""",VALUE(REGEXEXTRACT($T170, H$1&amp;""[\w &amp;]*, (\d+\.\d+)"")),"""")"),6125)</f>
        <v>6125</v>
      </c>
      <c r="I170" s="3" t="n">
        <f aca="false">IFERROR(__xludf.dummyfunction("if($T170&lt;&gt;"""",VALUE(REGEXEXTRACT(SUBSTITUTE ($T170,I$1&amp;"" CE"",""""), I$1&amp;""[\w &amp;]*, (\d+\.\d+)"")),"""")
"),6000)</f>
        <v>6000</v>
      </c>
      <c r="J170" s="3" t="n">
        <f aca="false">IFERROR(__xludf.dummyfunction("if($T170&lt;&gt;"""",VALUE(REGEXEXTRACT($T170, J$1&amp;""[\w &amp;]*, (\d+\.\d+)"")),"""")
"),6020)</f>
        <v>6020</v>
      </c>
      <c r="K170" s="3" t="n">
        <f aca="false">IFERROR(__xludf.dummyfunction("if($T170&lt;&gt;"""",VALUE(REGEXEXTRACT($T170, K$1&amp;""[\w &amp;]*, (\d+\.\d+)"")),"""")
"),5935)</f>
        <v>5935</v>
      </c>
      <c r="L170" s="3" t="n">
        <f aca="false">IFERROR(__xludf.dummyfunction("if($T170&lt;&gt;"""",VALUE(REGEXEXTRACT(SUBSTITUTE ($T170,L$1&amp;"" CE"",""""), L$1&amp;""[\w &amp;]*, (\d+\.\d+)"")),"""")
"),6045)</f>
        <v>6045</v>
      </c>
      <c r="M170" s="3" t="n">
        <f aca="false">IFERROR(__xludf.dummyfunction("if($T170&lt;&gt;"""",VALUE(REGEXEXTRACT($T170, M$1&amp;""[\w &amp;]*, (\d+\.\d+)"")),"""")
"),6055)</f>
        <v>6055</v>
      </c>
      <c r="N170" s="3" t="n">
        <f aca="false">IFERROR(__xludf.dummyfunction("if($T170&lt;&gt;"""",VALUE(REGEXEXTRACT(SUBSTITUTE ($T170,N$1&amp;"" CE"",""""), N$1&amp;""[\w &amp;]*, (\d+\.\d+)"")),"""")
"),6000)</f>
        <v>6000</v>
      </c>
      <c r="O170" s="3" t="n">
        <f aca="false">IFERROR(__xludf.dummyfunction("if($T170&lt;&gt;"""",VALUE(REGEXEXTRACT($T170, O$1&amp;""[\w &amp;]*, (\d+\.\d+)"")),"""")
"),6100)</f>
        <v>6100</v>
      </c>
      <c r="P170" s="2" t="n">
        <f aca="false">IFERROR(__xludf.dummyfunction("if($T170&lt;&gt;"""",VALUE(REGEXEXTRACT($T170, P$1&amp;""[\w &amp;]*, (\d+\.\d+)"")),"""")
"),6042.71)</f>
        <v>6042.71</v>
      </c>
      <c r="Q170" s="2" t="n">
        <f aca="false">IFERROR(__xludf.dummyfunction("if($T170&lt;&gt;"""",VALUE(REGEXEXTRACT($T170, Q$1&amp;""[\w &amp;]*, (\d+\.\d+)"")),"""")
"),6010.32)</f>
        <v>6010.32</v>
      </c>
      <c r="R170" s="2" t="n">
        <f aca="false">IFERROR(__xludf.dummyfunction("if($T170&lt;&gt;"""",VALUE(REGEXEXTRACT($T170, SUBSTITUTE(R$1, ""+"", ""\+"")&amp;""[\w &amp;]*, (\d+\.\d+)"")),"""")"),6107.51)</f>
        <v>6107.51</v>
      </c>
      <c r="S170" s="2" t="n">
        <f aca="false">IFERROR(__xludf.dummyfunction("if($T170&lt;&gt;"""",VALUE(REGEXEXTRACT($T170, SUBSTITUTE(S$1, ""+"", ""\+"")&amp;""[\w &amp;]*, (\d+\.\d+)"")),"""")"),6139.9)</f>
        <v>6139.9</v>
      </c>
      <c r="T170" s="7" t="s">
        <v>183</v>
      </c>
      <c r="U170" s="7"/>
    </row>
    <row r="171" customFormat="false" ht="15.75" hidden="false" customHeight="false" outlineLevel="0" collapsed="false">
      <c r="A171" s="4" t="n">
        <f aca="false">IFERROR(__xludf.dummyfunction("""COMPUTED_VALUE"""),45635.6666666667)</f>
        <v>45635.6666666667</v>
      </c>
      <c r="B171" s="2" t="n">
        <f aca="false">IFERROR(__xludf.dummyfunction("""COMPUTED_VALUE"""),6083.01)</f>
        <v>6083.01</v>
      </c>
      <c r="C171" s="2" t="n">
        <f aca="false">IFERROR(__xludf.dummyfunction("""COMPUTED_VALUE"""),6088.51)</f>
        <v>6088.51</v>
      </c>
      <c r="D171" s="2" t="n">
        <f aca="false">IFERROR(__xludf.dummyfunction("""COMPUTED_VALUE"""),6048.63)</f>
        <v>6048.63</v>
      </c>
      <c r="E171" s="2" t="n">
        <f aca="false">IFERROR(__xludf.dummyfunction("""COMPUTED_VALUE"""),6052.85)</f>
        <v>6052.85</v>
      </c>
      <c r="F171" s="3" t="n">
        <f aca="false">IFERROR(__xludf.dummyfunction("if($T171&lt;&gt;"""",VALUE(REGEXEXTRACT(SUBSTITUTE ($T171,F$1&amp;"" CE"",""""), F$1&amp;""[\w &amp;]*, (\d+\.\d+)"")),"""")
"),6000)</f>
        <v>6000</v>
      </c>
      <c r="G171" s="3" t="n">
        <f aca="false">IFERROR(__xludf.dummyfunction("if($T171&lt;&gt;"""",VALUE(REGEXEXTRACT($T171, G$1&amp;""[\w &amp;]*, (\d+\.\d+)"")),"""")
"),6075)</f>
        <v>6075</v>
      </c>
      <c r="H171" s="3" t="n">
        <f aca="false">IFERROR(__xludf.dummyfunction("if($T171&lt;&gt;"""",VALUE(REGEXEXTRACT($T171, H$1&amp;""[\w &amp;]*, (\d+\.\d+)"")),"""")"),6110)</f>
        <v>6110</v>
      </c>
      <c r="I171" s="3" t="n">
        <f aca="false">IFERROR(__xludf.dummyfunction("if($T171&lt;&gt;"""",VALUE(REGEXEXTRACT(SUBSTITUTE ($T171,I$1&amp;"" CE"",""""), I$1&amp;""[\w &amp;]*, (\d+\.\d+)"")),"""")
"),6000)</f>
        <v>6000</v>
      </c>
      <c r="J171" s="3" t="n">
        <f aca="false">IFERROR(__xludf.dummyfunction("if($T171&lt;&gt;"""",VALUE(REGEXEXTRACT($T171, J$1&amp;""[\w &amp;]*, (\d+\.\d+)"")),"""")
"),6025)</f>
        <v>6025</v>
      </c>
      <c r="K171" s="3" t="n">
        <f aca="false">IFERROR(__xludf.dummyfunction("if($T171&lt;&gt;"""",VALUE(REGEXEXTRACT($T171, K$1&amp;""[\w &amp;]*, (\d+\.\d+)"")),"""")
"),6000)</f>
        <v>6000</v>
      </c>
      <c r="L171" s="3" t="n">
        <f aca="false">IFERROR(__xludf.dummyfunction("if($T171&lt;&gt;"""",VALUE(REGEXEXTRACT(SUBSTITUTE ($T171,L$1&amp;"" CE"",""""), L$1&amp;""[\w &amp;]*, (\d+\.\d+)"")),"""")
"),6045)</f>
        <v>6045</v>
      </c>
      <c r="M171" s="3" t="n">
        <f aca="false">IFERROR(__xludf.dummyfunction("if($T171&lt;&gt;"""",VALUE(REGEXEXTRACT($T171, M$1&amp;""[\w &amp;]*, (\d+\.\d+)"")),"""")
"),6070)</f>
        <v>6070</v>
      </c>
      <c r="N171" s="3" t="n">
        <f aca="false">IFERROR(__xludf.dummyfunction("if($T171&lt;&gt;"""",VALUE(REGEXEXTRACT(SUBSTITUTE ($T171,N$1&amp;"" CE"",""""), N$1&amp;""[\w &amp;]*, (\d+\.\d+)"")),"""")
"),6000)</f>
        <v>6000</v>
      </c>
      <c r="O171" s="3" t="n">
        <f aca="false">IFERROR(__xludf.dummyfunction("if($T171&lt;&gt;"""",VALUE(REGEXEXTRACT($T171, O$1&amp;""[\w &amp;]*, (\d+\.\d+)"")),"""")
"),6055)</f>
        <v>6055</v>
      </c>
      <c r="P171" s="2" t="n">
        <f aca="false">IFERROR(__xludf.dummyfunction("if($T171&lt;&gt;"""",VALUE(REGEXEXTRACT($T171, P$1&amp;""[\w &amp;]*, (\d+\.\d+)"")),"""")
"),6018.61)</f>
        <v>6018.61</v>
      </c>
      <c r="Q171" s="2" t="n">
        <f aca="false">IFERROR(__xludf.dummyfunction("if($T171&lt;&gt;"""",VALUE(REGEXEXTRACT($T171, Q$1&amp;""[\w &amp;]*, (\d+\.\d+)"")),"""")
"),6004.43)</f>
        <v>6004.43</v>
      </c>
      <c r="R171" s="2" t="n">
        <f aca="false">IFERROR(__xludf.dummyfunction("if($T171&lt;&gt;"""",VALUE(REGEXEXTRACT($T171, SUBSTITUTE(R$1, ""+"", ""\+"")&amp;""[\w &amp;]*, (\d+\.\d+)"")),"""")"),6087.09)</f>
        <v>6087.09</v>
      </c>
      <c r="S171" s="2" t="n">
        <f aca="false">IFERROR(__xludf.dummyfunction("if($T171&lt;&gt;"""",VALUE(REGEXEXTRACT($T171, SUBSTITUTE(S$1, ""+"", ""\+"")&amp;""[\w &amp;]*, (\d+\.\d+)"")),"""")"),6101.27)</f>
        <v>6101.27</v>
      </c>
      <c r="T171" s="7" t="s">
        <v>184</v>
      </c>
      <c r="U171" s="7"/>
    </row>
    <row r="172" customFormat="false" ht="15.75" hidden="false" customHeight="false" outlineLevel="0" collapsed="false">
      <c r="A172" s="4" t="n">
        <f aca="false">IFERROR(__xludf.dummyfunction("""COMPUTED_VALUE"""),45636.6666666667)</f>
        <v>45636.6666666667</v>
      </c>
      <c r="B172" s="2" t="n">
        <f aca="false">IFERROR(__xludf.dummyfunction("""COMPUTED_VALUE"""),6057.59)</f>
        <v>6057.59</v>
      </c>
      <c r="C172" s="2" t="n">
        <f aca="false">IFERROR(__xludf.dummyfunction("""COMPUTED_VALUE"""),6065.4)</f>
        <v>6065.4</v>
      </c>
      <c r="D172" s="2" t="n">
        <f aca="false">IFERROR(__xludf.dummyfunction("""COMPUTED_VALUE"""),6029.89)</f>
        <v>6029.89</v>
      </c>
      <c r="E172" s="2" t="n">
        <f aca="false">IFERROR(__xludf.dummyfunction("""COMPUTED_VALUE"""),6034.91)</f>
        <v>6034.91</v>
      </c>
      <c r="F172" s="3" t="n">
        <f aca="false">IFERROR(__xludf.dummyfunction("if($T172&lt;&gt;"""",VALUE(REGEXEXTRACT(SUBSTITUTE ($T172,F$1&amp;"" CE"",""""), F$1&amp;""[\w &amp;]*, (\d+\.\d+)"")),"""")
"),6000)</f>
        <v>6000</v>
      </c>
      <c r="G172" s="3" t="n">
        <f aca="false">IFERROR(__xludf.dummyfunction("if($T172&lt;&gt;"""",VALUE(REGEXEXTRACT($T172, G$1&amp;""[\w &amp;]*, (\d+\.\d+)"")),"""")
"),6100)</f>
        <v>6100</v>
      </c>
      <c r="H172" s="3" t="n">
        <f aca="false">IFERROR(__xludf.dummyfunction("if($T172&lt;&gt;"""",VALUE(REGEXEXTRACT($T172, H$1&amp;""[\w &amp;]*, (\d+\.\d+)"")),"""")"),6110)</f>
        <v>6110</v>
      </c>
      <c r="I172" s="3" t="n">
        <f aca="false">IFERROR(__xludf.dummyfunction("if($T172&lt;&gt;"""",VALUE(REGEXEXTRACT(SUBSTITUTE ($T172,I$1&amp;"" CE"",""""), I$1&amp;""[\w &amp;]*, (\d+\.\d+)"")),"""")
"),6000)</f>
        <v>6000</v>
      </c>
      <c r="J172" s="3" t="n">
        <f aca="false">IFERROR(__xludf.dummyfunction("if($T172&lt;&gt;"""",VALUE(REGEXEXTRACT($T172, J$1&amp;""[\w &amp;]*, (\d+\.\d+)"")),"""")
"),6070)</f>
        <v>6070</v>
      </c>
      <c r="K172" s="3" t="n">
        <f aca="false">IFERROR(__xludf.dummyfunction("if($T172&lt;&gt;"""",VALUE(REGEXEXTRACT($T172, K$1&amp;""[\w &amp;]*, (\d+\.\d+)"")),"""")
"),6040)</f>
        <v>6040</v>
      </c>
      <c r="L172" s="3" t="n">
        <f aca="false">IFERROR(__xludf.dummyfunction("if($T172&lt;&gt;"""",VALUE(REGEXEXTRACT(SUBSTITUTE ($T172,L$1&amp;"" CE"",""""), L$1&amp;""[\w &amp;]*, (\d+\.\d+)"")),"""")
"),6070)</f>
        <v>6070</v>
      </c>
      <c r="M172" s="3" t="n">
        <f aca="false">IFERROR(__xludf.dummyfunction("if($T172&lt;&gt;"""",VALUE(REGEXEXTRACT($T172, M$1&amp;""[\w &amp;]*, (\d+\.\d+)"")),"""")
"),6075)</f>
        <v>6075</v>
      </c>
      <c r="N172" s="3" t="n">
        <f aca="false">IFERROR(__xludf.dummyfunction("if($T172&lt;&gt;"""",VALUE(REGEXEXTRACT(SUBSTITUTE ($T172,N$1&amp;"" CE"",""""), N$1&amp;""[\w &amp;]*, (\d+\.\d+)"")),"""")
"),6000)</f>
        <v>6000</v>
      </c>
      <c r="O172" s="3" t="n">
        <f aca="false">IFERROR(__xludf.dummyfunction("if($T172&lt;&gt;"""",VALUE(REGEXEXTRACT($T172, O$1&amp;""[\w &amp;]*, (\d+\.\d+)"")),"""")
"),6085)</f>
        <v>6085</v>
      </c>
      <c r="P172" s="2" t="n">
        <f aca="false">IFERROR(__xludf.dummyfunction("if($T172&lt;&gt;"""",VALUE(REGEXEXTRACT($T172, P$1&amp;""[\w &amp;]*, (\d+\.\d+)"")),"""")
"),6058.52)</f>
        <v>6058.52</v>
      </c>
      <c r="Q172" s="2" t="n">
        <f aca="false">IFERROR(__xludf.dummyfunction("if($T172&lt;&gt;"""",VALUE(REGEXEXTRACT($T172, Q$1&amp;""[\w &amp;]*, (\d+\.\d+)"")),"""")
"),6045.37)</f>
        <v>6045.37</v>
      </c>
      <c r="R172" s="2" t="n">
        <f aca="false">IFERROR(__xludf.dummyfunction("if($T172&lt;&gt;"""",VALUE(REGEXEXTRACT($T172, SUBSTITUTE(R$1, ""+"", ""\+"")&amp;""[\w &amp;]*, (\d+\.\d+)"")),"""")"),6122.02)</f>
        <v>6122.02</v>
      </c>
      <c r="S172" s="2" t="n">
        <f aca="false">IFERROR(__xludf.dummyfunction("if($T172&lt;&gt;"""",VALUE(REGEXEXTRACT($T172, SUBSTITUTE(S$1, ""+"", ""\+"")&amp;""[\w &amp;]*, (\d+\.\d+)"")),"""")"),6135.17)</f>
        <v>6135.17</v>
      </c>
      <c r="T172" s="7" t="s">
        <v>185</v>
      </c>
      <c r="U172" s="7"/>
    </row>
    <row r="173" customFormat="false" ht="15.75" hidden="false" customHeight="false" outlineLevel="0" collapsed="false">
      <c r="A173" s="4" t="n">
        <f aca="false">IFERROR(__xludf.dummyfunction("""COMPUTED_VALUE"""),45637.6666666667)</f>
        <v>45637.6666666667</v>
      </c>
      <c r="B173" s="2" t="n">
        <f aca="false">IFERROR(__xludf.dummyfunction("""COMPUTED_VALUE"""),6060.15)</f>
        <v>6060.15</v>
      </c>
      <c r="C173" s="2" t="n">
        <f aca="false">IFERROR(__xludf.dummyfunction("""COMPUTED_VALUE"""),6092.59)</f>
        <v>6092.59</v>
      </c>
      <c r="D173" s="2" t="n">
        <f aca="false">IFERROR(__xludf.dummyfunction("""COMPUTED_VALUE"""),6060.15)</f>
        <v>6060.15</v>
      </c>
      <c r="E173" s="2" t="n">
        <f aca="false">IFERROR(__xludf.dummyfunction("""COMPUTED_VALUE"""),6084.19)</f>
        <v>6084.19</v>
      </c>
      <c r="F173" s="3" t="n">
        <f aca="false">IFERROR(__xludf.dummyfunction("if($T173&lt;&gt;"""",VALUE(REGEXEXTRACT(SUBSTITUTE ($T173,F$1&amp;"" CE"",""""), F$1&amp;""[\w &amp;]*, (\d+\.\d+)"")),"""")
"),6000)</f>
        <v>6000</v>
      </c>
      <c r="G173" s="3" t="n">
        <f aca="false">IFERROR(__xludf.dummyfunction("if($T173&lt;&gt;"""",VALUE(REGEXEXTRACT($T173, G$1&amp;""[\w &amp;]*, (\d+\.\d+)"")),"""")
"),6100)</f>
        <v>6100</v>
      </c>
      <c r="H173" s="3" t="n">
        <f aca="false">IFERROR(__xludf.dummyfunction("if($T173&lt;&gt;"""",VALUE(REGEXEXTRACT($T173, H$1&amp;""[\w &amp;]*, (\d+\.\d+)"")),"""")"),6110)</f>
        <v>6110</v>
      </c>
      <c r="I173" s="3" t="n">
        <f aca="false">IFERROR(__xludf.dummyfunction("if($T173&lt;&gt;"""",VALUE(REGEXEXTRACT(SUBSTITUTE ($T173,I$1&amp;"" CE"",""""), I$1&amp;""[\w &amp;]*, (\d+\.\d+)"")),"""")
"),6000)</f>
        <v>6000</v>
      </c>
      <c r="J173" s="3" t="n">
        <f aca="false">IFERROR(__xludf.dummyfunction("if($T173&lt;&gt;"""",VALUE(REGEXEXTRACT($T173, J$1&amp;""[\w &amp;]*, (\d+\.\d+)"")),"""")
"),6000)</f>
        <v>6000</v>
      </c>
      <c r="K173" s="3" t="n">
        <f aca="false">IFERROR(__xludf.dummyfunction("if($T173&lt;&gt;"""",VALUE(REGEXEXTRACT($T173, K$1&amp;""[\w &amp;]*, (\d+\.\d+)"")),"""")
"),5990)</f>
        <v>5990</v>
      </c>
      <c r="L173" s="3" t="n">
        <f aca="false">IFERROR(__xludf.dummyfunction("if($T173&lt;&gt;"""",VALUE(REGEXEXTRACT(SUBSTITUTE ($T173,L$1&amp;"" CE"",""""), L$1&amp;""[\w &amp;]*, (\d+\.\d+)"")),"""")
"),6045)</f>
        <v>6045</v>
      </c>
      <c r="M173" s="3" t="n">
        <f aca="false">IFERROR(__xludf.dummyfunction("if($T173&lt;&gt;"""",VALUE(REGEXEXTRACT($T173, M$1&amp;""[\w &amp;]*, (\d+\.\d+)"")),"""")
"),6060)</f>
        <v>6060</v>
      </c>
      <c r="N173" s="3" t="n">
        <f aca="false">IFERROR(__xludf.dummyfunction("if($T173&lt;&gt;"""",VALUE(REGEXEXTRACT(SUBSTITUTE ($T173,N$1&amp;"" CE"",""""), N$1&amp;""[\w &amp;]*, (\d+\.\d+)"")),"""")
"),6000)</f>
        <v>6000</v>
      </c>
      <c r="O173" s="3" t="n">
        <f aca="false">IFERROR(__xludf.dummyfunction("if($T173&lt;&gt;"""",VALUE(REGEXEXTRACT($T173, O$1&amp;""[\w &amp;]*, (\d+\.\d+)"")),"""")
"),6050)</f>
        <v>6050</v>
      </c>
      <c r="P173" s="2" t="n">
        <f aca="false">IFERROR(__xludf.dummyfunction("if($T173&lt;&gt;"""",VALUE(REGEXEXTRACT($T173, P$1&amp;""[\w &amp;]*, (\d+\.\d+)"")),"""")
"),5999.8)</f>
        <v>5999.8</v>
      </c>
      <c r="Q173" s="2" t="n">
        <f aca="false">IFERROR(__xludf.dummyfunction("if($T173&lt;&gt;"""",VALUE(REGEXEXTRACT($T173, Q$1&amp;""[\w &amp;]*, (\d+\.\d+)"")),"""")
"),5985.26)</f>
        <v>5985.26</v>
      </c>
      <c r="R173" s="2" t="n">
        <f aca="false">IFERROR(__xludf.dummyfunction("if($T173&lt;&gt;"""",VALUE(REGEXEXTRACT($T173, SUBSTITUTE(R$1, ""+"", ""\+"")&amp;""[\w &amp;]*, (\d+\.\d+)"")),"""")"),6070.02)</f>
        <v>6070.02</v>
      </c>
      <c r="S173" s="2" t="n">
        <f aca="false">IFERROR(__xludf.dummyfunction("if($T173&lt;&gt;"""",VALUE(REGEXEXTRACT($T173, SUBSTITUTE(S$1, ""+"", ""\+"")&amp;""[\w &amp;]*, (\d+\.\d+)"")),"""")"),6084.56)</f>
        <v>6084.56</v>
      </c>
      <c r="T173" s="7" t="s">
        <v>186</v>
      </c>
      <c r="U173" s="7"/>
    </row>
    <row r="174" customFormat="false" ht="15.75" hidden="false" customHeight="false" outlineLevel="0" collapsed="false">
      <c r="A174" s="4" t="n">
        <f aca="false">IFERROR(__xludf.dummyfunction("""COMPUTED_VALUE"""),45638.6666666667)</f>
        <v>45638.6666666667</v>
      </c>
      <c r="B174" s="2" t="n">
        <f aca="false">IFERROR(__xludf.dummyfunction("""COMPUTED_VALUE"""),6074.29)</f>
        <v>6074.29</v>
      </c>
      <c r="C174" s="2" t="n">
        <f aca="false">IFERROR(__xludf.dummyfunction("""COMPUTED_VALUE"""),6079.68)</f>
        <v>6079.68</v>
      </c>
      <c r="D174" s="2" t="n">
        <f aca="false">IFERROR(__xludf.dummyfunction("""COMPUTED_VALUE"""),6051.25)</f>
        <v>6051.25</v>
      </c>
      <c r="E174" s="2" t="n">
        <f aca="false">IFERROR(__xludf.dummyfunction("""COMPUTED_VALUE"""),6051.25)</f>
        <v>6051.25</v>
      </c>
      <c r="F174" s="3" t="n">
        <f aca="false">IFERROR(__xludf.dummyfunction("if($T174&lt;&gt;"""",VALUE(REGEXEXTRACT(SUBSTITUTE ($T174,F$1&amp;"" CE"",""""), F$1&amp;""[\w &amp;]*, (\d+\.\d+)"")),"""")
"),6000)</f>
        <v>6000</v>
      </c>
      <c r="G174" s="3" t="n">
        <f aca="false">IFERROR(__xludf.dummyfunction("if($T174&lt;&gt;"""",VALUE(REGEXEXTRACT($T174, G$1&amp;""[\w &amp;]*, (\d+\.\d+)"")),"""")
"),6075)</f>
        <v>6075</v>
      </c>
      <c r="H174" s="3" t="n">
        <f aca="false">IFERROR(__xludf.dummyfunction("if($T174&lt;&gt;"""",VALUE(REGEXEXTRACT($T174, H$1&amp;""[\w &amp;]*, (\d+\.\d+)"")),"""")"),6125)</f>
        <v>6125</v>
      </c>
      <c r="I174" s="3" t="n">
        <f aca="false">IFERROR(__xludf.dummyfunction("if($T174&lt;&gt;"""",VALUE(REGEXEXTRACT(SUBSTITUTE ($T174,I$1&amp;"" CE"",""""), I$1&amp;""[\w &amp;]*, (\d+\.\d+)"")),"""")
"),6000)</f>
        <v>6000</v>
      </c>
      <c r="J174" s="3" t="n">
        <f aca="false">IFERROR(__xludf.dummyfunction("if($T174&lt;&gt;"""",VALUE(REGEXEXTRACT($T174, J$1&amp;""[\w &amp;]*, (\d+\.\d+)"")),"""")
"),6030)</f>
        <v>6030</v>
      </c>
      <c r="K174" s="3" t="n">
        <f aca="false">IFERROR(__xludf.dummyfunction("if($T174&lt;&gt;"""",VALUE(REGEXEXTRACT($T174, K$1&amp;""[\w &amp;]*, (\d+\.\d+)"")),"""")
"),6010)</f>
        <v>6010</v>
      </c>
      <c r="L174" s="3" t="n">
        <f aca="false">IFERROR(__xludf.dummyfunction("if($T174&lt;&gt;"""",VALUE(REGEXEXTRACT(SUBSTITUTE ($T174,L$1&amp;"" CE"",""""), L$1&amp;""[\w &amp;]*, (\d+\.\d+)"")),"""")
"),6045)</f>
        <v>6045</v>
      </c>
      <c r="M174" s="3" t="n">
        <f aca="false">IFERROR(__xludf.dummyfunction("if($T174&lt;&gt;"""",VALUE(REGEXEXTRACT($T174, M$1&amp;""[\w &amp;]*, (\d+\.\d+)"")),"""")
"),6065)</f>
        <v>6065</v>
      </c>
      <c r="N174" s="3" t="n">
        <f aca="false">IFERROR(__xludf.dummyfunction("if($T174&lt;&gt;"""",VALUE(REGEXEXTRACT(SUBSTITUTE ($T174,N$1&amp;"" CE"",""""), N$1&amp;""[\w &amp;]*, (\d+\.\d+)"")),"""")
"),6000)</f>
        <v>6000</v>
      </c>
      <c r="O174" s="3" t="n">
        <f aca="false">IFERROR(__xludf.dummyfunction("if($T174&lt;&gt;"""",VALUE(REGEXEXTRACT($T174, O$1&amp;""[\w &amp;]*, (\d+\.\d+)"")),"""")
"),6075)</f>
        <v>6075</v>
      </c>
      <c r="P174" s="2" t="n">
        <f aca="false">IFERROR(__xludf.dummyfunction("if($T174&lt;&gt;"""",VALUE(REGEXEXTRACT($T174, P$1&amp;""[\w &amp;]*, (\d+\.\d+)"")),"""")
"),6019.01)</f>
        <v>6019.01</v>
      </c>
      <c r="Q174" s="2" t="n">
        <f aca="false">IFERROR(__xludf.dummyfunction("if($T174&lt;&gt;"""",VALUE(REGEXEXTRACT($T174, Q$1&amp;""[\w &amp;]*, (\d+\.\d+)"")),"""")
"),5986.76)</f>
        <v>5986.76</v>
      </c>
      <c r="R174" s="2" t="n">
        <f aca="false">IFERROR(__xludf.dummyfunction("if($T174&lt;&gt;"""",VALUE(REGEXEXTRACT($T174, SUBSTITUTE(R$1, ""+"", ""\+"")&amp;""[\w &amp;]*, (\d+\.\d+)"")),"""")"),6083.49)</f>
        <v>6083.49</v>
      </c>
      <c r="S174" s="2" t="n">
        <f aca="false">IFERROR(__xludf.dummyfunction("if($T174&lt;&gt;"""",VALUE(REGEXEXTRACT($T174, SUBSTITUTE(S$1, ""+"", ""\+"")&amp;""[\w &amp;]*, (\d+\.\d+)"")),"""")"),6115.74)</f>
        <v>6115.74</v>
      </c>
      <c r="T174" s="7" t="s">
        <v>187</v>
      </c>
      <c r="U174" s="7"/>
    </row>
    <row r="175" customFormat="false" ht="15.75" hidden="false" customHeight="false" outlineLevel="0" collapsed="false">
      <c r="A175" s="4" t="n">
        <f aca="false">IFERROR(__xludf.dummyfunction("""COMPUTED_VALUE"""),45639.6666666667)</f>
        <v>45639.6666666667</v>
      </c>
      <c r="B175" s="2" t="n">
        <f aca="false">IFERROR(__xludf.dummyfunction("""COMPUTED_VALUE"""),6068.17)</f>
        <v>6068.17</v>
      </c>
      <c r="C175" s="2" t="n">
        <f aca="false">IFERROR(__xludf.dummyfunction("""COMPUTED_VALUE"""),6078.58)</f>
        <v>6078.58</v>
      </c>
      <c r="D175" s="2" t="n">
        <f aca="false">IFERROR(__xludf.dummyfunction("""COMPUTED_VALUE"""),6035.77)</f>
        <v>6035.77</v>
      </c>
      <c r="E175" s="2" t="n">
        <f aca="false">IFERROR(__xludf.dummyfunction("""COMPUTED_VALUE"""),6051.09)</f>
        <v>6051.09</v>
      </c>
      <c r="F175" s="3" t="n">
        <f aca="false">IFERROR(__xludf.dummyfunction("if($T175&lt;&gt;"""",VALUE(REGEXEXTRACT(SUBSTITUTE ($T175,F$1&amp;"" CE"",""""), F$1&amp;""[\w &amp;]*, (\d+\.\d+)"")),"""")
"),6000)</f>
        <v>6000</v>
      </c>
      <c r="G175" s="3" t="n">
        <f aca="false">IFERROR(__xludf.dummyfunction("if($T175&lt;&gt;"""",VALUE(REGEXEXTRACT($T175, G$1&amp;""[\w &amp;]*, (\d+\.\d+)"")),"""")
"),6075)</f>
        <v>6075</v>
      </c>
      <c r="H175" s="3" t="n">
        <f aca="false">IFERROR(__xludf.dummyfunction("if($T175&lt;&gt;"""",VALUE(REGEXEXTRACT($T175, H$1&amp;""[\w &amp;]*, (\d+\.\d+)"")),"""")"),6115)</f>
        <v>6115</v>
      </c>
      <c r="I175" s="3" t="n">
        <f aca="false">IFERROR(__xludf.dummyfunction("if($T175&lt;&gt;"""",VALUE(REGEXEXTRACT(SUBSTITUTE ($T175,I$1&amp;"" CE"",""""), I$1&amp;""[\w &amp;]*, (\d+\.\d+)"")),"""")
"),6000)</f>
        <v>6000</v>
      </c>
      <c r="J175" s="3" t="n">
        <f aca="false">IFERROR(__xludf.dummyfunction("if($T175&lt;&gt;"""",VALUE(REGEXEXTRACT($T175, J$1&amp;""[\w &amp;]*, (\d+\.\d+)"")),"""")
"),6040)</f>
        <v>6040</v>
      </c>
      <c r="K175" s="3" t="n">
        <f aca="false">IFERROR(__xludf.dummyfunction("if($T175&lt;&gt;"""",VALUE(REGEXEXTRACT($T175, K$1&amp;""[\w &amp;]*, (\d+\.\d+)"")),"""")
"),6030)</f>
        <v>6030</v>
      </c>
      <c r="L175" s="3" t="n">
        <f aca="false">IFERROR(__xludf.dummyfunction("if($T175&lt;&gt;"""",VALUE(REGEXEXTRACT(SUBSTITUTE ($T175,L$1&amp;"" CE"",""""), L$1&amp;""[\w &amp;]*, (\d+\.\d+)"")),"""")
"),6045)</f>
        <v>6045</v>
      </c>
      <c r="M175" s="3" t="n">
        <f aca="false">IFERROR(__xludf.dummyfunction("if($T175&lt;&gt;"""",VALUE(REGEXEXTRACT($T175, M$1&amp;""[\w &amp;]*, (\d+\.\d+)"")),"""")
"),6055)</f>
        <v>6055</v>
      </c>
      <c r="N175" s="3" t="n">
        <f aca="false">IFERROR(__xludf.dummyfunction("if($T175&lt;&gt;"""",VALUE(REGEXEXTRACT(SUBSTITUTE ($T175,N$1&amp;"" CE"",""""), N$1&amp;""[\w &amp;]*, (\d+\.\d+)"")),"""")
"),6000)</f>
        <v>6000</v>
      </c>
      <c r="O175" s="3" t="n">
        <f aca="false">IFERROR(__xludf.dummyfunction("if($T175&lt;&gt;"""",VALUE(REGEXEXTRACT($T175, O$1&amp;""[\w &amp;]*, (\d+\.\d+)"")),"""")
"),6050)</f>
        <v>6050</v>
      </c>
      <c r="P175" s="2" t="n">
        <f aca="false">IFERROR(__xludf.dummyfunction("if($T175&lt;&gt;"""",VALUE(REGEXEXTRACT($T175, P$1&amp;""[\w &amp;]*, (\d+\.\d+)"")),"""")
"),6016.59)</f>
        <v>6016.59</v>
      </c>
      <c r="Q175" s="2" t="n">
        <f aca="false">IFERROR(__xludf.dummyfunction("if($T175&lt;&gt;"""",VALUE(REGEXEXTRACT($T175, Q$1&amp;""[\w &amp;]*, (\d+\.\d+)"")),"""")
"),6002.3)</f>
        <v>6002.3</v>
      </c>
      <c r="R175" s="2" t="n">
        <f aca="false">IFERROR(__xludf.dummyfunction("if($T175&lt;&gt;"""",VALUE(REGEXEXTRACT($T175, SUBSTITUTE(R$1, ""+"", ""\+"")&amp;""[\w &amp;]*, (\d+\.\d+)"")),"""")"),6085.59)</f>
        <v>6085.59</v>
      </c>
      <c r="S175" s="2" t="n">
        <f aca="false">IFERROR(__xludf.dummyfunction("if($T175&lt;&gt;"""",VALUE(REGEXEXTRACT($T175, SUBSTITUTE(S$1, ""+"", ""\+"")&amp;""[\w &amp;]*, (\d+\.\d+)"")),"""")"),6099.88)</f>
        <v>6099.88</v>
      </c>
      <c r="T175" s="7" t="s">
        <v>188</v>
      </c>
      <c r="U175" s="7"/>
    </row>
    <row r="176" customFormat="false" ht="15.75" hidden="false" customHeight="false" outlineLevel="0" collapsed="false">
      <c r="A176" s="4" t="n">
        <f aca="false">IFERROR(__xludf.dummyfunction("""COMPUTED_VALUE"""),45642.6666666667)</f>
        <v>45642.6666666667</v>
      </c>
      <c r="B176" s="2" t="n">
        <f aca="false">IFERROR(__xludf.dummyfunction("""COMPUTED_VALUE"""),6063.79)</f>
        <v>6063.79</v>
      </c>
      <c r="C176" s="2" t="n">
        <f aca="false">IFERROR(__xludf.dummyfunction("""COMPUTED_VALUE"""),6085.19)</f>
        <v>6085.19</v>
      </c>
      <c r="D176" s="2" t="n">
        <f aca="false">IFERROR(__xludf.dummyfunction("""COMPUTED_VALUE"""),6059.14)</f>
        <v>6059.14</v>
      </c>
      <c r="E176" s="2" t="n">
        <f aca="false">IFERROR(__xludf.dummyfunction("""COMPUTED_VALUE"""),6074.08)</f>
        <v>6074.08</v>
      </c>
      <c r="F176" s="3" t="n">
        <f aca="false">IFERROR(__xludf.dummyfunction("if($T176&lt;&gt;"""",VALUE(REGEXEXTRACT(SUBSTITUTE ($T176,F$1&amp;"" CE"",""""), F$1&amp;""[\w &amp;]*, (\d+\.\d+)"")),"""")
"),6000)</f>
        <v>6000</v>
      </c>
      <c r="G176" s="3" t="n">
        <f aca="false">IFERROR(__xludf.dummyfunction("if($T176&lt;&gt;"""",VALUE(REGEXEXTRACT($T176, G$1&amp;""[\w &amp;]*, (\d+\.\d+)"")),"""")
"),6100)</f>
        <v>6100</v>
      </c>
      <c r="H176" s="3" t="n">
        <f aca="false">IFERROR(__xludf.dummyfunction("if($T176&lt;&gt;"""",VALUE(REGEXEXTRACT($T176, H$1&amp;""[\w &amp;]*, (\d+\.\d+)"")),"""")"),6125)</f>
        <v>6125</v>
      </c>
      <c r="I176" s="3" t="n">
        <f aca="false">IFERROR(__xludf.dummyfunction("if($T176&lt;&gt;"""",VALUE(REGEXEXTRACT(SUBSTITUTE ($T176,I$1&amp;"" CE"",""""), I$1&amp;""[\w &amp;]*, (\d+\.\d+)"")),"""")
"),6000)</f>
        <v>6000</v>
      </c>
      <c r="J176" s="3" t="n">
        <f aca="false">IFERROR(__xludf.dummyfunction("if($T176&lt;&gt;"""",VALUE(REGEXEXTRACT($T176, J$1&amp;""[\w &amp;]*, (\d+\.\d+)"")),"""")
"),6060)</f>
        <v>6060</v>
      </c>
      <c r="K176" s="3" t="n">
        <f aca="false">IFERROR(__xludf.dummyfunction("if($T176&lt;&gt;"""",VALUE(REGEXEXTRACT($T176, K$1&amp;""[\w &amp;]*, (\d+\.\d+)"")),"""")
"),6040)</f>
        <v>6040</v>
      </c>
      <c r="L176" s="3" t="n">
        <f aca="false">IFERROR(__xludf.dummyfunction("if($T176&lt;&gt;"""",VALUE(REGEXEXTRACT(SUBSTITUTE ($T176,L$1&amp;"" CE"",""""), L$1&amp;""[\w &amp;]*, (\d+\.\d+)"")),"""")
"),6070)</f>
        <v>6070</v>
      </c>
      <c r="M176" s="3" t="n">
        <f aca="false">IFERROR(__xludf.dummyfunction("if($T176&lt;&gt;"""",VALUE(REGEXEXTRACT($T176, M$1&amp;""[\w &amp;]*, (\d+\.\d+)"")),"""")
"),6085)</f>
        <v>6085</v>
      </c>
      <c r="N176" s="3" t="n">
        <f aca="false">IFERROR(__xludf.dummyfunction("if($T176&lt;&gt;"""",VALUE(REGEXEXTRACT(SUBSTITUTE ($T176,N$1&amp;"" CE"",""""), N$1&amp;""[\w &amp;]*, (\d+\.\d+)"")),"""")
"),6000)</f>
        <v>6000</v>
      </c>
      <c r="O176" s="3" t="n">
        <f aca="false">IFERROR(__xludf.dummyfunction("if($T176&lt;&gt;"""",VALUE(REGEXEXTRACT($T176, O$1&amp;""[\w &amp;]*, (\d+\.\d+)"")),"""")
"),6060)</f>
        <v>6060</v>
      </c>
      <c r="P176" s="2" t="n">
        <f aca="false">IFERROR(__xludf.dummyfunction("if($T176&lt;&gt;"""",VALUE(REGEXEXTRACT($T176, P$1&amp;""[\w &amp;]*, (\d+\.\d+)"")),"""")
"),6052.77)</f>
        <v>6052.77</v>
      </c>
      <c r="Q176" s="2" t="n">
        <f aca="false">IFERROR(__xludf.dummyfunction("if($T176&lt;&gt;"""",VALUE(REGEXEXTRACT($T176, Q$1&amp;""[\w &amp;]*, (\d+\.\d+)"")),"""")
"),6039.76)</f>
        <v>6039.76</v>
      </c>
      <c r="R176" s="2" t="n">
        <f aca="false">IFERROR(__xludf.dummyfunction("if($T176&lt;&gt;"""",VALUE(REGEXEXTRACT($T176, SUBSTITUTE(R$1, ""+"", ""\+"")&amp;""[\w &amp;]*, (\d+\.\d+)"")),"""")"),6115.61)</f>
        <v>6115.61</v>
      </c>
      <c r="S176" s="2" t="n">
        <f aca="false">IFERROR(__xludf.dummyfunction("if($T176&lt;&gt;"""",VALUE(REGEXEXTRACT($T176, SUBSTITUTE(S$1, ""+"", ""\+"")&amp;""[\w &amp;]*, (\d+\.\d+)"")),"""")"),6128.62)</f>
        <v>6128.62</v>
      </c>
      <c r="T176" s="7" t="s">
        <v>189</v>
      </c>
      <c r="U176" s="7"/>
    </row>
    <row r="177" customFormat="false" ht="15.75" hidden="false" customHeight="false" outlineLevel="0" collapsed="false">
      <c r="A177" s="4" t="n">
        <f aca="false">IFERROR(__xludf.dummyfunction("""COMPUTED_VALUE"""),45643.6666666667)</f>
        <v>45643.6666666667</v>
      </c>
      <c r="B177" s="2" t="n">
        <f aca="false">IFERROR(__xludf.dummyfunction("""COMPUTED_VALUE"""),6052.55)</f>
        <v>6052.55</v>
      </c>
      <c r="C177" s="2" t="n">
        <f aca="false">IFERROR(__xludf.dummyfunction("""COMPUTED_VALUE"""),6057.68)</f>
        <v>6057.68</v>
      </c>
      <c r="D177" s="2" t="n">
        <f aca="false">IFERROR(__xludf.dummyfunction("""COMPUTED_VALUE"""),6035.19)</f>
        <v>6035.19</v>
      </c>
      <c r="E177" s="2" t="n">
        <f aca="false">IFERROR(__xludf.dummyfunction("""COMPUTED_VALUE"""),6050.61)</f>
        <v>6050.61</v>
      </c>
      <c r="F177" s="3" t="n">
        <f aca="false">IFERROR(__xludf.dummyfunction("if($T177&lt;&gt;"""",VALUE(REGEXEXTRACT(SUBSTITUTE ($T177,F$1&amp;"" CE"",""""), F$1&amp;""[\w &amp;]*, (\d+\.\d+)"")),"""")
"),6000)</f>
        <v>6000</v>
      </c>
      <c r="G177" s="3" t="n">
        <f aca="false">IFERROR(__xludf.dummyfunction("if($T177&lt;&gt;"""",VALUE(REGEXEXTRACT($T177, G$1&amp;""[\w &amp;]*, (\d+\.\d+)"")),"""")
"),6100)</f>
        <v>6100</v>
      </c>
      <c r="H177" s="3" t="n">
        <f aca="false">IFERROR(__xludf.dummyfunction("if($T177&lt;&gt;"""",VALUE(REGEXEXTRACT($T177, H$1&amp;""[\w &amp;]*, (\d+\.\d+)"")),"""")"),6115)</f>
        <v>6115</v>
      </c>
      <c r="I177" s="3" t="n">
        <f aca="false">IFERROR(__xludf.dummyfunction("if($T177&lt;&gt;"""",VALUE(REGEXEXTRACT(SUBSTITUTE ($T177,I$1&amp;"" CE"",""""), I$1&amp;""[\w &amp;]*, (\d+\.\d+)"")),"""")
"),6000)</f>
        <v>6000</v>
      </c>
      <c r="J177" s="3" t="n">
        <f aca="false">IFERROR(__xludf.dummyfunction("if($T177&lt;&gt;"""",VALUE(REGEXEXTRACT($T177, J$1&amp;""[\w &amp;]*, (\d+\.\d+)"")),"""")
"),6000)</f>
        <v>6000</v>
      </c>
      <c r="K177" s="3" t="n">
        <f aca="false">IFERROR(__xludf.dummyfunction("if($T177&lt;&gt;"""",VALUE(REGEXEXTRACT($T177, K$1&amp;""[\w &amp;]*, (\d+\.\d+)"")),"""")
"),5890)</f>
        <v>5890</v>
      </c>
      <c r="L177" s="3" t="n">
        <f aca="false">IFERROR(__xludf.dummyfunction("if($T177&lt;&gt;"""",VALUE(REGEXEXTRACT(SUBSTITUTE ($T177,L$1&amp;"" CE"",""""), L$1&amp;""[\w &amp;]*, (\d+\.\d+)"")),"""")
"),6040)</f>
        <v>6040</v>
      </c>
      <c r="M177" s="3" t="n">
        <f aca="false">IFERROR(__xludf.dummyfunction("if($T177&lt;&gt;"""",VALUE(REGEXEXTRACT($T177, M$1&amp;""[\w &amp;]*, (\d+\.\d+)"")),"""")
"),6060)</f>
        <v>6060</v>
      </c>
      <c r="N177" s="3" t="n">
        <f aca="false">IFERROR(__xludf.dummyfunction("if($T177&lt;&gt;"""",VALUE(REGEXEXTRACT(SUBSTITUTE ($T177,N$1&amp;"" CE"",""""), N$1&amp;""[\w &amp;]*, (\d+\.\d+)"")),"""")
"),6000)</f>
        <v>6000</v>
      </c>
      <c r="O177" s="3" t="n">
        <f aca="false">IFERROR(__xludf.dummyfunction("if($T177&lt;&gt;"""",VALUE(REGEXEXTRACT($T177, O$1&amp;""[\w &amp;]*, (\d+\.\d+)"")),"""")
"),6100)</f>
        <v>6100</v>
      </c>
      <c r="P177" s="2" t="n">
        <f aca="false">IFERROR(__xludf.dummyfunction("if($T177&lt;&gt;"""",VALUE(REGEXEXTRACT($T177, P$1&amp;""[\w &amp;]*, (\d+\.\d+)"")),"""")
"),6012.47)</f>
        <v>6012.47</v>
      </c>
      <c r="Q177" s="2" t="n">
        <f aca="false">IFERROR(__xludf.dummyfunction("if($T177&lt;&gt;"""",VALUE(REGEXEXTRACT($T177, Q$1&amp;""[\w &amp;]*, (\d+\.\d+)"")),"""")
"),5996.68)</f>
        <v>5996.68</v>
      </c>
      <c r="R177" s="2" t="n">
        <f aca="false">IFERROR(__xludf.dummyfunction("if($T177&lt;&gt;"""",VALUE(REGEXEXTRACT($T177, SUBSTITUTE(R$1, ""+"", ""\+"")&amp;""[\w &amp;]*, (\d+\.\d+)"")),"""")"),6088.75)</f>
        <v>6088.75</v>
      </c>
      <c r="S177" s="2" t="n">
        <f aca="false">IFERROR(__xludf.dummyfunction("if($T177&lt;&gt;"""",VALUE(REGEXEXTRACT($T177, SUBSTITUTE(S$1, ""+"", ""\+"")&amp;""[\w &amp;]*, (\d+\.\d+)"")),"""")"),6104.54)</f>
        <v>6104.54</v>
      </c>
      <c r="T177" s="7" t="s">
        <v>190</v>
      </c>
      <c r="U177" s="7"/>
    </row>
    <row r="178" customFormat="false" ht="15.75" hidden="false" customHeight="false" outlineLevel="0" collapsed="false">
      <c r="A178" s="4" t="n">
        <f aca="false">IFERROR(__xludf.dummyfunction("""COMPUTED_VALUE"""),45644.6666666667)</f>
        <v>45644.6666666667</v>
      </c>
      <c r="B178" s="2" t="n">
        <f aca="false">IFERROR(__xludf.dummyfunction("""COMPUTED_VALUE"""),6047.65)</f>
        <v>6047.65</v>
      </c>
      <c r="C178" s="2" t="n">
        <f aca="false">IFERROR(__xludf.dummyfunction("""COMPUTED_VALUE"""),6070.67)</f>
        <v>6070.67</v>
      </c>
      <c r="D178" s="2" t="n">
        <f aca="false">IFERROR(__xludf.dummyfunction("""COMPUTED_VALUE"""),5867.79)</f>
        <v>5867.79</v>
      </c>
      <c r="E178" s="2" t="n">
        <f aca="false">IFERROR(__xludf.dummyfunction("""COMPUTED_VALUE"""),5872.16)</f>
        <v>5872.16</v>
      </c>
      <c r="F178" s="3" t="n">
        <f aca="false">IFERROR(__xludf.dummyfunction("if($T178&lt;&gt;"""",VALUE(REGEXEXTRACT(SUBSTITUTE ($T178,F$1&amp;"" CE"",""""), F$1&amp;""[\w &amp;]*, (\d+\.\d+)"")),"""")
"),5900)</f>
        <v>5900</v>
      </c>
      <c r="G178" s="3" t="n">
        <f aca="false">IFERROR(__xludf.dummyfunction("if($T178&lt;&gt;"""",VALUE(REGEXEXTRACT($T178, G$1&amp;""[\w &amp;]*, (\d+\.\d+)"")),"""")
"),5930)</f>
        <v>5930</v>
      </c>
      <c r="H178" s="3" t="n">
        <f aca="false">IFERROR(__xludf.dummyfunction("if($T178&lt;&gt;"""",VALUE(REGEXEXTRACT($T178, H$1&amp;""[\w &amp;]*, (\d+\.\d+)"")),"""")"),6065)</f>
        <v>6065</v>
      </c>
      <c r="I178" s="3" t="n">
        <f aca="false">IFERROR(__xludf.dummyfunction("if($T178&lt;&gt;"""",VALUE(REGEXEXTRACT(SUBSTITUTE ($T178,I$1&amp;"" CE"",""""), I$1&amp;""[\w &amp;]*, (\d+\.\d+)"")),"""")
"),5900)</f>
        <v>5900</v>
      </c>
      <c r="J178" s="3" t="n">
        <f aca="false">IFERROR(__xludf.dummyfunction("if($T178&lt;&gt;"""",VALUE(REGEXEXTRACT($T178, J$1&amp;""[\w &amp;]*, (\d+\.\d+)"")),"""")
"),5900)</f>
        <v>5900</v>
      </c>
      <c r="K178" s="3" t="n">
        <f aca="false">IFERROR(__xludf.dummyfunction("if($T178&lt;&gt;"""",VALUE(REGEXEXTRACT($T178, K$1&amp;""[\w &amp;]*, (\d+\.\d+)"")),"""")
"),5890)</f>
        <v>5890</v>
      </c>
      <c r="L178" s="3" t="n">
        <f aca="false">IFERROR(__xludf.dummyfunction("if($T178&lt;&gt;"""",VALUE(REGEXEXTRACT(SUBSTITUTE ($T178,L$1&amp;"" CE"",""""), L$1&amp;""[\w &amp;]*, (\d+\.\d+)"")),"""")
"),6040)</f>
        <v>6040</v>
      </c>
      <c r="M178" s="3" t="n">
        <f aca="false">IFERROR(__xludf.dummyfunction("if($T178&lt;&gt;"""",VALUE(REGEXEXTRACT($T178, M$1&amp;""[\w &amp;]*, (\d+\.\d+)"")),"""")
"),6040)</f>
        <v>6040</v>
      </c>
      <c r="N178" s="3" t="n">
        <f aca="false">IFERROR(__xludf.dummyfunction("if($T178&lt;&gt;"""",VALUE(REGEXEXTRACT(SUBSTITUTE ($T178,N$1&amp;"" CE"",""""), N$1&amp;""[\w &amp;]*, (\d+\.\d+)"")),"""")
"),6000)</f>
        <v>6000</v>
      </c>
      <c r="O178" s="3" t="n">
        <f aca="false">IFERROR(__xludf.dummyfunction("if($T178&lt;&gt;"""",VALUE(REGEXEXTRACT($T178, O$1&amp;""[\w &amp;]*, (\d+\.\d+)"")),"""")
"),5900)</f>
        <v>5900</v>
      </c>
      <c r="P178" s="2" t="n">
        <f aca="false">IFERROR(__xludf.dummyfunction("if($T178&lt;&gt;"""",VALUE(REGEXEXTRACT($T178, P$1&amp;""[\w &amp;]*, (\d+\.\d+)"")),"""")
"),5819.85)</f>
        <v>5819.85</v>
      </c>
      <c r="Q178" s="2" t="n">
        <f aca="false">IFERROR(__xludf.dummyfunction("if($T178&lt;&gt;"""",VALUE(REGEXEXTRACT($T178, Q$1&amp;""[\w &amp;]*, (\d+\.\d+)"")),"""")
"),5798.79)</f>
        <v>5798.79</v>
      </c>
      <c r="R178" s="2" t="n">
        <f aca="false">IFERROR(__xludf.dummyfunction("if($T178&lt;&gt;"""",VALUE(REGEXEXTRACT($T178, SUBSTITUTE(R$1, ""+"", ""\+"")&amp;""[\w &amp;]*, (\d+\.\d+)"")),"""")"),5924.47)</f>
        <v>5924.47</v>
      </c>
      <c r="S178" s="2" t="n">
        <f aca="false">IFERROR(__xludf.dummyfunction("if($T178&lt;&gt;"""",VALUE(REGEXEXTRACT($T178, SUBSTITUTE(S$1, ""+"", ""\+"")&amp;""[\w &amp;]*, (\d+\.\d+)"")),"""")"),5945.54)</f>
        <v>5945.54</v>
      </c>
      <c r="T178" s="7" t="s">
        <v>191</v>
      </c>
      <c r="U178" s="7"/>
    </row>
    <row r="179" customFormat="false" ht="15.75" hidden="false" customHeight="false" outlineLevel="0" collapsed="false">
      <c r="A179" s="4" t="n">
        <f aca="false">IFERROR(__xludf.dummyfunction("""COMPUTED_VALUE"""),45645.6666666667)</f>
        <v>45645.6666666667</v>
      </c>
      <c r="B179" s="2" t="n">
        <f aca="false">IFERROR(__xludf.dummyfunction("""COMPUTED_VALUE"""),5912.71)</f>
        <v>5912.71</v>
      </c>
      <c r="C179" s="2" t="n">
        <f aca="false">IFERROR(__xludf.dummyfunction("""COMPUTED_VALUE"""),5935.52)</f>
        <v>5935.52</v>
      </c>
      <c r="D179" s="2" t="n">
        <f aca="false">IFERROR(__xludf.dummyfunction("""COMPUTED_VALUE"""),5866.07)</f>
        <v>5866.07</v>
      </c>
      <c r="E179" s="2" t="n">
        <f aca="false">IFERROR(__xludf.dummyfunction("""COMPUTED_VALUE"""),5867.08)</f>
        <v>5867.08</v>
      </c>
      <c r="F179" s="3" t="n">
        <f aca="false">IFERROR(__xludf.dummyfunction("if($T179&lt;&gt;"""",VALUE(REGEXEXTRACT(SUBSTITUTE ($T179,F$1&amp;"" CE"",""""), F$1&amp;""[\w &amp;]*, (\d+\.\d+)"")),"""")
"),6000)</f>
        <v>6000</v>
      </c>
      <c r="G179" s="3" t="n">
        <f aca="false">IFERROR(__xludf.dummyfunction("if($T179&lt;&gt;"""",VALUE(REGEXEXTRACT($T179, G$1&amp;""[\w &amp;]*, (\d+\.\d+)"")),"""")
"),6100)</f>
        <v>6100</v>
      </c>
      <c r="H179" s="3" t="n">
        <f aca="false">IFERROR(__xludf.dummyfunction("if($T179&lt;&gt;"""",VALUE(REGEXEXTRACT($T179, H$1&amp;""[\w &amp;]*, (\d+\.\d+)"")),"""")"),6115)</f>
        <v>6115</v>
      </c>
      <c r="I179" s="3" t="n">
        <f aca="false">IFERROR(__xludf.dummyfunction("if($T179&lt;&gt;"""",VALUE(REGEXEXTRACT(SUBSTITUTE ($T179,I$1&amp;"" CE"",""""), I$1&amp;""[\w &amp;]*, (\d+\.\d+)"")),"""")
"),6000)</f>
        <v>6000</v>
      </c>
      <c r="J179" s="3" t="n">
        <f aca="false">IFERROR(__xludf.dummyfunction("if($T179&lt;&gt;"""",VALUE(REGEXEXTRACT($T179, J$1&amp;""[\w &amp;]*, (\d+\.\d+)"")),"""")
"),6040)</f>
        <v>6040</v>
      </c>
      <c r="K179" s="3" t="n">
        <f aca="false">IFERROR(__xludf.dummyfunction("if($T179&lt;&gt;"""",VALUE(REGEXEXTRACT($T179, K$1&amp;""[\w &amp;]*, (\d+\.\d+)"")),"""")
"),6030)</f>
        <v>6030</v>
      </c>
      <c r="L179" s="3" t="n">
        <f aca="false">IFERROR(__xludf.dummyfunction("if($T179&lt;&gt;"""",VALUE(REGEXEXTRACT(SUBSTITUTE ($T179,L$1&amp;"" CE"",""""), L$1&amp;""[\w &amp;]*, (\d+\.\d+)"")),"""")
"),6070)</f>
        <v>6070</v>
      </c>
      <c r="M179" s="3" t="n">
        <f aca="false">IFERROR(__xludf.dummyfunction("if($T179&lt;&gt;"""",VALUE(REGEXEXTRACT($T179, M$1&amp;""[\w &amp;]*, (\d+\.\d+)"")),"""")
"),6070)</f>
        <v>6070</v>
      </c>
      <c r="N179" s="3" t="n">
        <f aca="false">IFERROR(__xludf.dummyfunction("if($T179&lt;&gt;"""",VALUE(REGEXEXTRACT(SUBSTITUTE ($T179,N$1&amp;"" CE"",""""), N$1&amp;""[\w &amp;]*, (\d+\.\d+)"")),"""")
"),6000)</f>
        <v>6000</v>
      </c>
      <c r="O179" s="3" t="n">
        <f aca="false">IFERROR(__xludf.dummyfunction("if($T179&lt;&gt;"""",VALUE(REGEXEXTRACT($T179, O$1&amp;""[\w &amp;]*, (\d+\.\d+)"")),"""")
"),6050)</f>
        <v>6050</v>
      </c>
      <c r="P179" s="2" t="n">
        <f aca="false">IFERROR(__xludf.dummyfunction("if($T179&lt;&gt;"""",VALUE(REGEXEXTRACT($T179, P$1&amp;""[\w &amp;]*, (\d+\.\d+)"")),"""")
"),6038.76)</f>
        <v>6038.76</v>
      </c>
      <c r="Q179" s="2" t="n">
        <f aca="false">IFERROR(__xludf.dummyfunction("if($T179&lt;&gt;"""",VALUE(REGEXEXTRACT($T179, Q$1&amp;""[\w &amp;]*, (\d+\.\d+)"")),"""")
"),6024.14)</f>
        <v>6024.14</v>
      </c>
      <c r="R179" s="2" t="n">
        <f aca="false">IFERROR(__xludf.dummyfunction("if($T179&lt;&gt;"""",VALUE(REGEXEXTRACT($T179, SUBSTITUTE(R$1, ""+"", ""\+"")&amp;""[\w &amp;]*, (\d+\.\d+)"")),"""")"),6109.4)</f>
        <v>6109.4</v>
      </c>
      <c r="S179" s="2" t="n">
        <f aca="false">IFERROR(__xludf.dummyfunction("if($T179&lt;&gt;"""",VALUE(REGEXEXTRACT($T179, SUBSTITUTE(S$1, ""+"", ""\+"")&amp;""[\w &amp;]*, (\d+\.\d+)"")),"""")"),6124.02)</f>
        <v>6124.02</v>
      </c>
      <c r="T179" s="7" t="s">
        <v>192</v>
      </c>
      <c r="U179" s="7"/>
    </row>
    <row r="180" customFormat="false" ht="15.75" hidden="false" customHeight="false" outlineLevel="0" collapsed="false">
      <c r="A180" s="4" t="n">
        <f aca="false">IFERROR(__xludf.dummyfunction("""COMPUTED_VALUE"""),45646.6666666667)</f>
        <v>45646.6666666667</v>
      </c>
      <c r="B180" s="2" t="n">
        <f aca="false">IFERROR(__xludf.dummyfunction("""COMPUTED_VALUE"""),5842)</f>
        <v>5842</v>
      </c>
      <c r="C180" s="2" t="n">
        <f aca="false">IFERROR(__xludf.dummyfunction("""COMPUTED_VALUE"""),5982.06)</f>
        <v>5982.06</v>
      </c>
      <c r="D180" s="2" t="n">
        <f aca="false">IFERROR(__xludf.dummyfunction("""COMPUTED_VALUE"""),5832.3)</f>
        <v>5832.3</v>
      </c>
      <c r="E180" s="2" t="n">
        <f aca="false">IFERROR(__xludf.dummyfunction("""COMPUTED_VALUE"""),5930.85)</f>
        <v>5930.85</v>
      </c>
      <c r="F180" s="3" t="n">
        <f aca="false">IFERROR(__xludf.dummyfunction("if($T180&lt;&gt;"""",VALUE(REGEXEXTRACT(SUBSTITUTE ($T180,F$1&amp;"" CE"",""""), F$1&amp;""[\w &amp;]*, (\d+\.\d+)"")),"""")
"),6055)</f>
        <v>6055</v>
      </c>
      <c r="G180" s="3" t="n">
        <f aca="false">IFERROR(__xludf.dummyfunction("if($T180&lt;&gt;"""",VALUE(REGEXEXTRACT($T180, G$1&amp;""[\w &amp;]*, (\d+\.\d+)"")),"""")
"),5975)</f>
        <v>5975</v>
      </c>
      <c r="H180" s="3" t="n">
        <f aca="false">IFERROR(__xludf.dummyfunction("if($T180&lt;&gt;"""",VALUE(REGEXEXTRACT($T180, H$1&amp;""[\w &amp;]*, (\d+\.\d+)"")),"""")"),6065)</f>
        <v>6065</v>
      </c>
      <c r="I180" s="3" t="n">
        <f aca="false">IFERROR(__xludf.dummyfunction("if($T180&lt;&gt;"""",VALUE(REGEXEXTRACT(SUBSTITUTE ($T180,I$1&amp;"" CE"",""""), I$1&amp;""[\w &amp;]*, (\d+\.\d+)"")),"""")
"),6000)</f>
        <v>6000</v>
      </c>
      <c r="J180" s="3" t="n">
        <f aca="false">IFERROR(__xludf.dummyfunction("if($T180&lt;&gt;"""",VALUE(REGEXEXTRACT($T180, J$1&amp;""[\w &amp;]*, (\d+\.\d+)"")),"""")
"),5915)</f>
        <v>5915</v>
      </c>
      <c r="K180" s="3" t="n">
        <f aca="false">IFERROR(__xludf.dummyfunction("if($T180&lt;&gt;"""",VALUE(REGEXEXTRACT($T180, K$1&amp;""[\w &amp;]*, (\d+\.\d+)"")),"""")
"),5875)</f>
        <v>5875</v>
      </c>
      <c r="L180" s="3" t="n">
        <f aca="false">IFERROR(__xludf.dummyfunction("if($T180&lt;&gt;"""",VALUE(REGEXEXTRACT(SUBSTITUTE ($T180,L$1&amp;"" CE"",""""), L$1&amp;""[\w &amp;]*, (\d+\.\d+)"")),"""")
"),5970)</f>
        <v>5970</v>
      </c>
      <c r="M180" s="3" t="n">
        <f aca="false">IFERROR(__xludf.dummyfunction("if($T180&lt;&gt;"""",VALUE(REGEXEXTRACT($T180, M$1&amp;""[\w &amp;]*, (\d+\.\d+)"")),"""")
"),5970)</f>
        <v>5970</v>
      </c>
      <c r="N180" s="3" t="n">
        <f aca="false">IFERROR(__xludf.dummyfunction("if($T180&lt;&gt;"""",VALUE(REGEXEXTRACT(SUBSTITUTE ($T180,N$1&amp;"" CE"",""""), N$1&amp;""[\w &amp;]*, (\d+\.\d+)"")),"""")
"),6000)</f>
        <v>6000</v>
      </c>
      <c r="O180" s="3" t="n">
        <f aca="false">IFERROR(__xludf.dummyfunction("if($T180&lt;&gt;"""",VALUE(REGEXEXTRACT($T180, O$1&amp;""[\w &amp;]*, (\d+\.\d+)"")),"""")
"),5915)</f>
        <v>5915</v>
      </c>
      <c r="P180" s="2" t="n">
        <f aca="false">IFERROR(__xludf.dummyfunction("if($T180&lt;&gt;"""",VALUE(REGEXEXTRACT($T180, P$1&amp;""[\w &amp;]*, (\d+\.\d+)"")),"""")
"),5883.37)</f>
        <v>5883.37</v>
      </c>
      <c r="Q180" s="2" t="n">
        <f aca="false">IFERROR(__xludf.dummyfunction("if($T180&lt;&gt;"""",VALUE(REGEXEXTRACT($T180, Q$1&amp;""[\w &amp;]*, (\d+\.\d+)"")),"""")
"),5863.7)</f>
        <v>5863.7</v>
      </c>
      <c r="R180" s="2" t="n">
        <f aca="false">IFERROR(__xludf.dummyfunction("if($T180&lt;&gt;"""",VALUE(REGEXEXTRACT($T180, SUBSTITUTE(R$1, ""+"", ""\+"")&amp;""[\w &amp;]*, (\d+\.\d+)"")),"""")"),5978.33)</f>
        <v>5978.33</v>
      </c>
      <c r="S180" s="2" t="n">
        <f aca="false">IFERROR(__xludf.dummyfunction("if($T180&lt;&gt;"""",VALUE(REGEXEXTRACT($T180, SUBSTITUTE(S$1, ""+"", ""\+"")&amp;""[\w &amp;]*, (\d+\.\d+)"")),"""")"),5998)</f>
        <v>5998</v>
      </c>
      <c r="T180" s="7" t="s">
        <v>193</v>
      </c>
      <c r="U180" s="7"/>
    </row>
    <row r="181" customFormat="false" ht="15.75" hidden="false" customHeight="false" outlineLevel="0" collapsed="false">
      <c r="A181" s="4" t="n">
        <f aca="false">IFERROR(__xludf.dummyfunction("""COMPUTED_VALUE"""),45649.6666666667)</f>
        <v>45649.6666666667</v>
      </c>
      <c r="B181" s="2" t="n">
        <f aca="false">IFERROR(__xludf.dummyfunction("""COMPUTED_VALUE"""),5940.25)</f>
        <v>5940.25</v>
      </c>
      <c r="C181" s="2" t="n">
        <f aca="false">IFERROR(__xludf.dummyfunction("""COMPUTED_VALUE"""),5978.25)</f>
        <v>5978.25</v>
      </c>
      <c r="D181" s="2" t="n">
        <f aca="false">IFERROR(__xludf.dummyfunction("""COMPUTED_VALUE"""),5902.57)</f>
        <v>5902.57</v>
      </c>
      <c r="E181" s="2" t="n">
        <f aca="false">IFERROR(__xludf.dummyfunction("""COMPUTED_VALUE"""),5974.07)</f>
        <v>5974.07</v>
      </c>
      <c r="F181" s="3" t="n">
        <f aca="false">IFERROR(__xludf.dummyfunction("if($T181&lt;&gt;"""",VALUE(REGEXEXTRACT(SUBSTITUTE ($T181,F$1&amp;"" CE"",""""), F$1&amp;""[\w &amp;]*, (\d+\.\d+)"")),"""")
"),5900)</f>
        <v>5900</v>
      </c>
      <c r="G181" s="3" t="n">
        <f aca="false">IFERROR(__xludf.dummyfunction("if($T181&lt;&gt;"""",VALUE(REGEXEXTRACT($T181, G$1&amp;""[\w &amp;]*, (\d+\.\d+)"")),"""")
"),5500)</f>
        <v>5500</v>
      </c>
      <c r="H181" s="3" t="n">
        <f aca="false">IFERROR(__xludf.dummyfunction("if($T181&lt;&gt;"""",VALUE(REGEXEXTRACT($T181, H$1&amp;""[\w &amp;]*, (\d+\.\d+)"")),"""")"),6210)</f>
        <v>6210</v>
      </c>
      <c r="I181" s="3" t="n">
        <f aca="false">IFERROR(__xludf.dummyfunction("if($T181&lt;&gt;"""",VALUE(REGEXEXTRACT(SUBSTITUTE ($T181,I$1&amp;"" CE"",""""), I$1&amp;""[\w &amp;]*, (\d+\.\d+)"")),"""")
"),5800)</f>
        <v>5800</v>
      </c>
      <c r="J181" s="3" t="n">
        <f aca="false">IFERROR(__xludf.dummyfunction("if($T181&lt;&gt;"""",VALUE(REGEXEXTRACT($T181, J$1&amp;""[\w &amp;]*, (\d+\.\d+)"")),"""")
"),5800)</f>
        <v>5800</v>
      </c>
      <c r="K181" s="3" t="n">
        <f aca="false">IFERROR(__xludf.dummyfunction("if($T181&lt;&gt;"""",VALUE(REGEXEXTRACT($T181, K$1&amp;""[\w &amp;]*, (\d+\.\d+)"")),"""")
"),5790)</f>
        <v>5790</v>
      </c>
      <c r="L181" s="3" t="n">
        <f aca="false">IFERROR(__xludf.dummyfunction("if($T181&lt;&gt;"""",VALUE(REGEXEXTRACT(SUBSTITUTE ($T181,L$1&amp;"" CE"",""""), L$1&amp;""[\w &amp;]*, (\d+\.\d+)"")),"""")
"),6010)</f>
        <v>6010</v>
      </c>
      <c r="M181" s="3" t="n">
        <f aca="false">IFERROR(__xludf.dummyfunction("if($T181&lt;&gt;"""",VALUE(REGEXEXTRACT($T181, M$1&amp;""[\w &amp;]*, (\d+\.\d+)"")),"""")
"),5975)</f>
        <v>5975</v>
      </c>
      <c r="N181" s="3" t="n">
        <f aca="false">IFERROR(__xludf.dummyfunction("if($T181&lt;&gt;"""",VALUE(REGEXEXTRACT(SUBSTITUTE ($T181,N$1&amp;"" CE"",""""), N$1&amp;""[\w &amp;]*, (\d+\.\d+)"")),"""")
"),5800)</f>
        <v>5800</v>
      </c>
      <c r="O181" s="3" t="n">
        <f aca="false">IFERROR(__xludf.dummyfunction("if($T181&lt;&gt;"""",VALUE(REGEXEXTRACT($T181, O$1&amp;""[\w &amp;]*, (\d+\.\d+)"")),"""")
"),5800)</f>
        <v>5800</v>
      </c>
      <c r="P181" s="2" t="n">
        <f aca="false">IFERROR(__xludf.dummyfunction("if($T181&lt;&gt;"""",VALUE(REGEXEXTRACT($T181, P$1&amp;""[\w &amp;]*, (\d+\.\d+)"")),"""")
"),5805.98)</f>
        <v>5805.98</v>
      </c>
      <c r="Q181" s="2" t="n">
        <f aca="false">IFERROR(__xludf.dummyfunction("if($T181&lt;&gt;"""",VALUE(REGEXEXTRACT($T181, Q$1&amp;""[\w &amp;]*, (\d+\.\d+)"")),"""")
"),5744.85)</f>
        <v>5744.85</v>
      </c>
      <c r="R181" s="2" t="n">
        <f aca="false">IFERROR(__xludf.dummyfunction("if($T181&lt;&gt;"""",VALUE(REGEXEXTRACT($T181, SUBSTITUTE(R$1, ""+"", ""\+"")&amp;""[\w &amp;]*, (\d+\.\d+)"")),"""")"),5928.18)</f>
        <v>5928.18</v>
      </c>
      <c r="S181" s="2" t="n">
        <f aca="false">IFERROR(__xludf.dummyfunction("if($T181&lt;&gt;"""",VALUE(REGEXEXTRACT($T181, SUBSTITUTE(S$1, ""+"", ""\+"")&amp;""[\w &amp;]*, (\d+\.\d+)"")),"""")"),5989.31)</f>
        <v>5989.31</v>
      </c>
      <c r="T181" s="7" t="s">
        <v>194</v>
      </c>
      <c r="U181" s="7"/>
    </row>
    <row r="182" customFormat="false" ht="15.75" hidden="false" customHeight="false" outlineLevel="0" collapsed="false">
      <c r="A182" s="4" t="n">
        <f aca="false">IFERROR(__xludf.dummyfunction("""COMPUTED_VALUE"""),45650.5416666667)</f>
        <v>45650.5416666667</v>
      </c>
      <c r="B182" s="2" t="n">
        <f aca="false">IFERROR(__xludf.dummyfunction("""COMPUTED_VALUE"""),5984.63)</f>
        <v>5984.63</v>
      </c>
      <c r="C182" s="2" t="n">
        <f aca="false">IFERROR(__xludf.dummyfunction("""COMPUTED_VALUE"""),6040.1)</f>
        <v>6040.1</v>
      </c>
      <c r="D182" s="2" t="n">
        <f aca="false">IFERROR(__xludf.dummyfunction("""COMPUTED_VALUE"""),5981.44)</f>
        <v>5981.44</v>
      </c>
      <c r="E182" s="2" t="n">
        <f aca="false">IFERROR(__xludf.dummyfunction("""COMPUTED_VALUE"""),6040.04)</f>
        <v>6040.04</v>
      </c>
      <c r="F182" s="3" t="n">
        <f aca="false">IFERROR(__xludf.dummyfunction("if($T182&lt;&gt;"""",VALUE(REGEXEXTRACT(SUBSTITUTE ($T182,F$1&amp;"" CE"",""""), F$1&amp;""[\w &amp;]*, (\d+\.\d+)"")),"""")
"),6055)</f>
        <v>6055</v>
      </c>
      <c r="G182" s="3" t="n">
        <f aca="false">IFERROR(__xludf.dummyfunction("if($T182&lt;&gt;"""",VALUE(REGEXEXTRACT($T182, G$1&amp;""[\w &amp;]*, (\d+\.\d+)"")),"""")
"),6050)</f>
        <v>6050</v>
      </c>
      <c r="H182" s="3" t="n">
        <f aca="false">IFERROR(__xludf.dummyfunction("if($T182&lt;&gt;"""",VALUE(REGEXEXTRACT($T182, H$1&amp;""[\w &amp;]*, (\d+\.\d+)"")),"""")"),6075)</f>
        <v>6075</v>
      </c>
      <c r="I182" s="3" t="n">
        <f aca="false">IFERROR(__xludf.dummyfunction("if($T182&lt;&gt;"""",VALUE(REGEXEXTRACT(SUBSTITUTE ($T182,I$1&amp;"" CE"",""""), I$1&amp;""[\w &amp;]*, (\d+\.\d+)"")),"""")
"),6000)</f>
        <v>6000</v>
      </c>
      <c r="J182" s="3" t="n">
        <f aca="false">IFERROR(__xludf.dummyfunction("if($T182&lt;&gt;"""",VALUE(REGEXEXTRACT($T182, J$1&amp;""[\w &amp;]*, (\d+\.\d+)"")),"""")
"),5980)</f>
        <v>5980</v>
      </c>
      <c r="K182" s="3" t="n">
        <f aca="false">IFERROR(__xludf.dummyfunction("if($T182&lt;&gt;"""",VALUE(REGEXEXTRACT($T182, K$1&amp;""[\w &amp;]*, (\d+\.\d+)"")),"""")
"),5885)</f>
        <v>5885</v>
      </c>
      <c r="L182" s="3" t="n">
        <f aca="false">IFERROR(__xludf.dummyfunction("if($T182&lt;&gt;"""",VALUE(REGEXEXTRACT(SUBSTITUTE ($T182,L$1&amp;"" CE"",""""), L$1&amp;""[\w &amp;]*, (\d+\.\d+)"")),"""")
"),5990)</f>
        <v>5990</v>
      </c>
      <c r="M182" s="3" t="n">
        <f aca="false">IFERROR(__xludf.dummyfunction("if($T182&lt;&gt;"""",VALUE(REGEXEXTRACT($T182, M$1&amp;""[\w &amp;]*, (\d+\.\d+)"")),"""")
"),6005)</f>
        <v>6005</v>
      </c>
      <c r="N182" s="3" t="n">
        <f aca="false">IFERROR(__xludf.dummyfunction("if($T182&lt;&gt;"""",VALUE(REGEXEXTRACT(SUBSTITUTE ($T182,N$1&amp;"" CE"",""""), N$1&amp;""[\w &amp;]*, (\d+\.\d+)"")),"""")
"),6000)</f>
        <v>6000</v>
      </c>
      <c r="O182" s="3" t="n">
        <f aca="false">IFERROR(__xludf.dummyfunction("if($T182&lt;&gt;"""",VALUE(REGEXEXTRACT($T182, O$1&amp;""[\w &amp;]*, (\d+\.\d+)"")),"""")
"),6050)</f>
        <v>6050</v>
      </c>
      <c r="P182" s="2" t="n">
        <f aca="false">IFERROR(__xludf.dummyfunction("if($T182&lt;&gt;"""",VALUE(REGEXEXTRACT($T182, P$1&amp;""[\w &amp;]*, (\d+\.\d+)"")),"""")
"),6004.55)</f>
        <v>6004.55</v>
      </c>
      <c r="Q182" s="2" t="n">
        <f aca="false">IFERROR(__xludf.dummyfunction("if($T182&lt;&gt;"""",VALUE(REGEXEXTRACT($T182, Q$1&amp;""[\w &amp;]*, (\d+\.\d+)"")),"""")
"),5989.85)</f>
        <v>5989.85</v>
      </c>
      <c r="R182" s="2" t="n">
        <f aca="false">IFERROR(__xludf.dummyfunction("if($T182&lt;&gt;"""",VALUE(REGEXEXTRACT($T182, SUBSTITUTE(R$1, ""+"", ""\+"")&amp;""[\w &amp;]*, (\d+\.\d+)"")),"""")"),6075.53)</f>
        <v>6075.53</v>
      </c>
      <c r="S182" s="2" t="n">
        <f aca="false">IFERROR(__xludf.dummyfunction("if($T182&lt;&gt;"""",VALUE(REGEXEXTRACT($T182, SUBSTITUTE(S$1, ""+"", ""\+"")&amp;""[\w &amp;]*, (\d+\.\d+)"")),"""")"),6090.23)</f>
        <v>6090.23</v>
      </c>
      <c r="T182" s="7" t="s">
        <v>195</v>
      </c>
      <c r="U182" s="7"/>
    </row>
    <row r="183" customFormat="false" ht="15.75" hidden="false" customHeight="false" outlineLevel="0" collapsed="false">
      <c r="A183" s="4" t="n">
        <f aca="false">IFERROR(__xludf.dummyfunction("""COMPUTED_VALUE"""),45652.6666666667)</f>
        <v>45652.6666666667</v>
      </c>
      <c r="B183" s="2" t="n">
        <f aca="false">IFERROR(__xludf.dummyfunction("""COMPUTED_VALUE"""),6024.97)</f>
        <v>6024.97</v>
      </c>
      <c r="C183" s="2" t="n">
        <f aca="false">IFERROR(__xludf.dummyfunction("""COMPUTED_VALUE"""),6049.75)</f>
        <v>6049.75</v>
      </c>
      <c r="D183" s="2" t="n">
        <f aca="false">IFERROR(__xludf.dummyfunction("""COMPUTED_VALUE"""),6007.37)</f>
        <v>6007.37</v>
      </c>
      <c r="E183" s="2" t="n">
        <f aca="false">IFERROR(__xludf.dummyfunction("""COMPUTED_VALUE"""),6037.59)</f>
        <v>6037.59</v>
      </c>
      <c r="F183" s="3" t="n">
        <f aca="false">IFERROR(__xludf.dummyfunction("if($T183&lt;&gt;"""",VALUE(REGEXEXTRACT(SUBSTITUTE ($T183,F$1&amp;"" CE"",""""), F$1&amp;""[\w &amp;]*, (\d+\.\d+)"")),"""")
"),6055)</f>
        <v>6055</v>
      </c>
      <c r="G183" s="3" t="n">
        <f aca="false">IFERROR(__xludf.dummyfunction("if($T183&lt;&gt;"""",VALUE(REGEXEXTRACT($T183, G$1&amp;""[\w &amp;]*, (\d+\.\d+)"")),"""")
"),6050)</f>
        <v>6050</v>
      </c>
      <c r="H183" s="3" t="n">
        <f aca="false">IFERROR(__xludf.dummyfunction("if($T183&lt;&gt;"""",VALUE(REGEXEXTRACT($T183, H$1&amp;""[\w &amp;]*, (\d+\.\d+)"")),"""")"),6075)</f>
        <v>6075</v>
      </c>
      <c r="I183" s="3" t="n">
        <f aca="false">IFERROR(__xludf.dummyfunction("if($T183&lt;&gt;"""",VALUE(REGEXEXTRACT(SUBSTITUTE ($T183,I$1&amp;"" CE"",""""), I$1&amp;""[\w &amp;]*, (\d+\.\d+)"")),"""")
"),6000)</f>
        <v>6000</v>
      </c>
      <c r="J183" s="3" t="n">
        <f aca="false">IFERROR(__xludf.dummyfunction("if($T183&lt;&gt;"""",VALUE(REGEXEXTRACT($T183, J$1&amp;""[\w &amp;]*, (\d+\.\d+)"")),"""")
"),6000)</f>
        <v>6000</v>
      </c>
      <c r="K183" s="3" t="n">
        <f aca="false">IFERROR(__xludf.dummyfunction("if($T183&lt;&gt;"""",VALUE(REGEXEXTRACT($T183, K$1&amp;""[\w &amp;]*, (\d+\.\d+)"")),"""")
"),5885)</f>
        <v>5885</v>
      </c>
      <c r="L183" s="3" t="n">
        <f aca="false">IFERROR(__xludf.dummyfunction("if($T183&lt;&gt;"""",VALUE(REGEXEXTRACT(SUBSTITUTE ($T183,L$1&amp;"" CE"",""""), L$1&amp;""[\w &amp;]*, (\d+\.\d+)"")),"""")
"),6010)</f>
        <v>6010</v>
      </c>
      <c r="M183" s="3" t="n">
        <f aca="false">IFERROR(__xludf.dummyfunction("if($T183&lt;&gt;"""",VALUE(REGEXEXTRACT($T183, M$1&amp;""[\w &amp;]*, (\d+\.\d+)"")),"""")
"),6030)</f>
        <v>6030</v>
      </c>
      <c r="N183" s="3" t="n">
        <f aca="false">IFERROR(__xludf.dummyfunction("if($T183&lt;&gt;"""",VALUE(REGEXEXTRACT(SUBSTITUTE ($T183,N$1&amp;"" CE"",""""), N$1&amp;""[\w &amp;]*, (\d+\.\d+)"")),"""")
"),6000)</f>
        <v>6000</v>
      </c>
      <c r="O183" s="3" t="n">
        <f aca="false">IFERROR(__xludf.dummyfunction("if($T183&lt;&gt;"""",VALUE(REGEXEXTRACT($T183, O$1&amp;""[\w &amp;]*, (\d+\.\d+)"")),"""")
"),6000)</f>
        <v>6000</v>
      </c>
      <c r="P183" s="2" t="n">
        <f aca="false">IFERROR(__xludf.dummyfunction("if($T183&lt;&gt;"""",VALUE(REGEXEXTRACT($T183, P$1&amp;""[\w &amp;]*, (\d+\.\d+)"")),"""")
"),6002.71)</f>
        <v>6002.71</v>
      </c>
      <c r="Q183" s="2" t="n">
        <f aca="false">IFERROR(__xludf.dummyfunction("if($T183&lt;&gt;"""",VALUE(REGEXEXTRACT($T183, Q$1&amp;""[\w &amp;]*, (\d+\.\d+)"")),"""")
"),5967.82)</f>
        <v>5967.82</v>
      </c>
      <c r="R183" s="2" t="n">
        <f aca="false">IFERROR(__xludf.dummyfunction("if($T183&lt;&gt;"""",VALUE(REGEXEXTRACT($T183, SUBSTITUTE(R$1, ""+"", ""\+"")&amp;""[\w &amp;]*, (\d+\.\d+)"")),"""")"),6072.47)</f>
        <v>6072.47</v>
      </c>
      <c r="S183" s="2" t="n">
        <f aca="false">IFERROR(__xludf.dummyfunction("if($T183&lt;&gt;"""",VALUE(REGEXEXTRACT($T183, SUBSTITUTE(S$1, ""+"", ""\+"")&amp;""[\w &amp;]*, (\d+\.\d+)"")),"""")"),6107.36)</f>
        <v>6107.36</v>
      </c>
      <c r="T183" s="7" t="s">
        <v>196</v>
      </c>
      <c r="U183" s="7"/>
    </row>
    <row r="184" customFormat="false" ht="15.75" hidden="false" customHeight="false" outlineLevel="0" collapsed="false">
      <c r="A184" s="4" t="n">
        <f aca="false">IFERROR(__xludf.dummyfunction("""COMPUTED_VALUE"""),45653.6666666667)</f>
        <v>45653.6666666667</v>
      </c>
      <c r="B184" s="2" t="n">
        <f aca="false">IFERROR(__xludf.dummyfunction("""COMPUTED_VALUE"""),6006.17)</f>
        <v>6006.17</v>
      </c>
      <c r="C184" s="2" t="n">
        <f aca="false">IFERROR(__xludf.dummyfunction("""COMPUTED_VALUE"""),6006.17)</f>
        <v>6006.17</v>
      </c>
      <c r="D184" s="2" t="n">
        <f aca="false">IFERROR(__xludf.dummyfunction("""COMPUTED_VALUE"""),5932.95)</f>
        <v>5932.95</v>
      </c>
      <c r="E184" s="2" t="n">
        <f aca="false">IFERROR(__xludf.dummyfunction("""COMPUTED_VALUE"""),5970.84)</f>
        <v>5970.84</v>
      </c>
      <c r="F184" s="3" t="n">
        <f aca="false">IFERROR(__xludf.dummyfunction("if($T184&lt;&gt;"""",VALUE(REGEXEXTRACT(SUBSTITUTE ($T184,F$1&amp;"" CE"",""""), F$1&amp;""[\w &amp;]*, (\d+\.\d+)"")),"""")
"),6000)</f>
        <v>6000</v>
      </c>
      <c r="G184" s="3" t="n">
        <f aca="false">IFERROR(__xludf.dummyfunction("if($T184&lt;&gt;"""",VALUE(REGEXEXTRACT($T184, G$1&amp;""[\w &amp;]*, (\d+\.\d+)"")),"""")
"),6010)</f>
        <v>6010</v>
      </c>
      <c r="H184" s="3" t="n">
        <f aca="false">IFERROR(__xludf.dummyfunction("if($T184&lt;&gt;"""",VALUE(REGEXEXTRACT($T184, H$1&amp;""[\w &amp;]*, (\d+\.\d+)"")),"""")"),6075)</f>
        <v>6075</v>
      </c>
      <c r="I184" s="3" t="n">
        <f aca="false">IFERROR(__xludf.dummyfunction("if($T184&lt;&gt;"""",VALUE(REGEXEXTRACT(SUBSTITUTE ($T184,I$1&amp;"" CE"",""""), I$1&amp;""[\w &amp;]*, (\d+\.\d+)"")),"""")
"),6000)</f>
        <v>6000</v>
      </c>
      <c r="J184" s="3" t="n">
        <f aca="false">IFERROR(__xludf.dummyfunction("if($T184&lt;&gt;"""",VALUE(REGEXEXTRACT($T184, J$1&amp;""[\w &amp;]*, (\d+\.\d+)"")),"""")
"),5925)</f>
        <v>5925</v>
      </c>
      <c r="K184" s="3" t="n">
        <f aca="false">IFERROR(__xludf.dummyfunction("if($T184&lt;&gt;"""",VALUE(REGEXEXTRACT($T184, K$1&amp;""[\w &amp;]*, (\d+\.\d+)"")),"""")
"),5890)</f>
        <v>5890</v>
      </c>
      <c r="L184" s="3" t="n">
        <f aca="false">IFERROR(__xludf.dummyfunction("if($T184&lt;&gt;"""",VALUE(REGEXEXTRACT(SUBSTITUTE ($T184,L$1&amp;"" CE"",""""), L$1&amp;""[\w &amp;]*, (\d+\.\d+)"")),"""")
"),5990)</f>
        <v>5990</v>
      </c>
      <c r="M184" s="3" t="n">
        <f aca="false">IFERROR(__xludf.dummyfunction("if($T184&lt;&gt;"""",VALUE(REGEXEXTRACT($T184, M$1&amp;""[\w &amp;]*, (\d+\.\d+)"")),"""")
"),5975)</f>
        <v>5975</v>
      </c>
      <c r="N184" s="3" t="n">
        <f aca="false">IFERROR(__xludf.dummyfunction("if($T184&lt;&gt;"""",VALUE(REGEXEXTRACT(SUBSTITUTE ($T184,N$1&amp;"" CE"",""""), N$1&amp;""[\w &amp;]*, (\d+\.\d+)"")),"""")
"),6000)</f>
        <v>6000</v>
      </c>
      <c r="O184" s="3" t="n">
        <f aca="false">IFERROR(__xludf.dummyfunction("if($T184&lt;&gt;"""",VALUE(REGEXEXTRACT($T184, O$1&amp;""[\w &amp;]*, (\d+\.\d+)"")),"""")
"),6000)</f>
        <v>6000</v>
      </c>
      <c r="P184" s="2" t="n">
        <f aca="false">IFERROR(__xludf.dummyfunction("if($T184&lt;&gt;"""",VALUE(REGEXEXTRACT($T184, P$1&amp;""[\w &amp;]*, (\d+\.\d+)"")),"""")
"),5928.31)</f>
        <v>5928.31</v>
      </c>
      <c r="Q184" s="2" t="n">
        <f aca="false">IFERROR(__xludf.dummyfunction("if($T184&lt;&gt;"""",VALUE(REGEXEXTRACT($T184, Q$1&amp;""[\w &amp;]*, (\d+\.\d+)"")),"""")
"),5910.69)</f>
        <v>5910.69</v>
      </c>
      <c r="R184" s="2" t="n">
        <f aca="false">IFERROR(__xludf.dummyfunction("if($T184&lt;&gt;"""",VALUE(REGEXEXTRACT($T184, SUBSTITUTE(R$1, ""+"", ""\+"")&amp;""[\w &amp;]*, (\d+\.\d+)"")),"""")"),6013.37)</f>
        <v>6013.37</v>
      </c>
      <c r="S184" s="2" t="n">
        <f aca="false">IFERROR(__xludf.dummyfunction("if($T184&lt;&gt;"""",VALUE(REGEXEXTRACT($T184, SUBSTITUTE(S$1, ""+"", ""\+"")&amp;""[\w &amp;]*, (\d+\.\d+)"")),"""")"),6030.99)</f>
        <v>6030.99</v>
      </c>
      <c r="T184" s="7" t="s">
        <v>197</v>
      </c>
      <c r="U184" s="7"/>
    </row>
    <row r="185" customFormat="false" ht="15.75" hidden="false" customHeight="false" outlineLevel="0" collapsed="false">
      <c r="A185" s="4" t="n">
        <f aca="false">IFERROR(__xludf.dummyfunction("""COMPUTED_VALUE"""),45656.6666666667)</f>
        <v>45656.6666666667</v>
      </c>
      <c r="B185" s="2" t="n">
        <f aca="false">IFERROR(__xludf.dummyfunction("""COMPUTED_VALUE"""),5920.67)</f>
        <v>5920.67</v>
      </c>
      <c r="C185" s="2" t="n">
        <f aca="false">IFERROR(__xludf.dummyfunction("""COMPUTED_VALUE"""),5940.79)</f>
        <v>5940.79</v>
      </c>
      <c r="D185" s="2" t="n">
        <f aca="false">IFERROR(__xludf.dummyfunction("""COMPUTED_VALUE"""),5869.16)</f>
        <v>5869.16</v>
      </c>
      <c r="E185" s="2" t="n">
        <f aca="false">IFERROR(__xludf.dummyfunction("""COMPUTED_VALUE"""),5906.94)</f>
        <v>5906.94</v>
      </c>
      <c r="F185" s="3" t="n">
        <f aca="false">IFERROR(__xludf.dummyfunction("if($T185&lt;&gt;"""",VALUE(REGEXEXTRACT(SUBSTITUTE ($T185,F$1&amp;"" CE"",""""), F$1&amp;""[\w &amp;]*, (\d+\.\d+)"")),"""")
"),6055)</f>
        <v>6055</v>
      </c>
      <c r="G185" s="3" t="n">
        <f aca="false">IFERROR(__xludf.dummyfunction("if($T185&lt;&gt;"""",VALUE(REGEXEXTRACT($T185, G$1&amp;""[\w &amp;]*, (\d+\.\d+)"")),"""")
"),5995)</f>
        <v>5995</v>
      </c>
      <c r="H185" s="3" t="n">
        <f aca="false">IFERROR(__xludf.dummyfunction("if($T185&lt;&gt;"""",VALUE(REGEXEXTRACT($T185, H$1&amp;""[\w &amp;]*, (\d+\.\d+)"")),"""")"),6065)</f>
        <v>6065</v>
      </c>
      <c r="I185" s="3" t="n">
        <f aca="false">IFERROR(__xludf.dummyfunction("if($T185&lt;&gt;"""",VALUE(REGEXEXTRACT(SUBSTITUTE ($T185,I$1&amp;"" CE"",""""), I$1&amp;""[\w &amp;]*, (\d+\.\d+)"")),"""")
"),6000)</f>
        <v>6000</v>
      </c>
      <c r="J185" s="3" t="n">
        <f aca="false">IFERROR(__xludf.dummyfunction("if($T185&lt;&gt;"""",VALUE(REGEXEXTRACT($T185, J$1&amp;""[\w &amp;]*, (\d+\.\d+)"")),"""")
"),5950)</f>
        <v>5950</v>
      </c>
      <c r="K185" s="3" t="n">
        <f aca="false">IFERROR(__xludf.dummyfunction("if($T185&lt;&gt;"""",VALUE(REGEXEXTRACT($T185, K$1&amp;""[\w &amp;]*, (\d+\.\d+)"")),"""")
"),5885)</f>
        <v>5885</v>
      </c>
      <c r="L185" s="3" t="n">
        <f aca="false">IFERROR(__xludf.dummyfunction("if($T185&lt;&gt;"""",VALUE(REGEXEXTRACT(SUBSTITUTE ($T185,L$1&amp;"" CE"",""""), L$1&amp;""[\w &amp;]*, (\d+\.\d+)"")),"""")
"),5950)</f>
        <v>5950</v>
      </c>
      <c r="M185" s="3" t="n">
        <f aca="false">IFERROR(__xludf.dummyfunction("if($T185&lt;&gt;"""",VALUE(REGEXEXTRACT($T185, M$1&amp;""[\w &amp;]*, (\d+\.\d+)"")),"""")
"),5950)</f>
        <v>5950</v>
      </c>
      <c r="N185" s="3" t="n">
        <f aca="false">IFERROR(__xludf.dummyfunction("if($T185&lt;&gt;"""",VALUE(REGEXEXTRACT(SUBSTITUTE ($T185,N$1&amp;"" CE"",""""), N$1&amp;""[\w &amp;]*, (\d+\.\d+)"")),"""")
"),6000)</f>
        <v>6000</v>
      </c>
      <c r="O185" s="3" t="n">
        <f aca="false">IFERROR(__xludf.dummyfunction("if($T185&lt;&gt;"""",VALUE(REGEXEXTRACT($T185, O$1&amp;""[\w &amp;]*, (\d+\.\d+)"")),"""")
"),6000)</f>
        <v>6000</v>
      </c>
      <c r="P185" s="2" t="n">
        <f aca="false">IFERROR(__xludf.dummyfunction("if($T185&lt;&gt;"""",VALUE(REGEXEXTRACT($T185, P$1&amp;""[\w &amp;]*, (\d+\.\d+)"")),"""")
"),5933.13)</f>
        <v>5933.13</v>
      </c>
      <c r="Q185" s="2" t="n">
        <f aca="false">IFERROR(__xludf.dummyfunction("if($T185&lt;&gt;"""",VALUE(REGEXEXTRACT($T185, Q$1&amp;""[\w &amp;]*, (\d+\.\d+)"")),"""")
"),5903.15)</f>
        <v>5903.15</v>
      </c>
      <c r="R185" s="2" t="n">
        <f aca="false">IFERROR(__xludf.dummyfunction("if($T185&lt;&gt;"""",VALUE(REGEXEXTRACT($T185, SUBSTITUTE(R$1, ""+"", ""\+"")&amp;""[\w &amp;]*, (\d+\.\d+)"")),"""")"),6015.01)</f>
        <v>6015.01</v>
      </c>
      <c r="S185" s="2" t="n">
        <f aca="false">IFERROR(__xludf.dummyfunction("if($T185&lt;&gt;"""",VALUE(REGEXEXTRACT($T185, SUBSTITUTE(S$1, ""+"", ""\+"")&amp;""[\w &amp;]*, (\d+\.\d+)"")),"""")"),6044.99)</f>
        <v>6044.99</v>
      </c>
      <c r="T185" s="7" t="s">
        <v>198</v>
      </c>
      <c r="U185" s="7"/>
    </row>
    <row r="186" customFormat="false" ht="15.75" hidden="false" customHeight="false" outlineLevel="0" collapsed="false">
      <c r="A186" s="4" t="n">
        <f aca="false">IFERROR(__xludf.dummyfunction("""COMPUTED_VALUE"""),45657.6666666667)</f>
        <v>45657.6666666667</v>
      </c>
      <c r="B186" s="2" t="n">
        <f aca="false">IFERROR(__xludf.dummyfunction("""COMPUTED_VALUE"""),5919.74)</f>
        <v>5919.74</v>
      </c>
      <c r="C186" s="2" t="n">
        <f aca="false">IFERROR(__xludf.dummyfunction("""COMPUTED_VALUE"""),5929.74)</f>
        <v>5929.74</v>
      </c>
      <c r="D186" s="2" t="n">
        <f aca="false">IFERROR(__xludf.dummyfunction("""COMPUTED_VALUE"""),5868.86)</f>
        <v>5868.86</v>
      </c>
      <c r="E186" s="2" t="n">
        <f aca="false">IFERROR(__xludf.dummyfunction("""COMPUTED_VALUE"""),5881.63)</f>
        <v>5881.63</v>
      </c>
      <c r="F186" s="3" t="n">
        <f aca="false">IFERROR(__xludf.dummyfunction("if($T186&lt;&gt;"""",VALUE(REGEXEXTRACT(SUBSTITUTE ($T186,F$1&amp;"" CE"",""""), F$1&amp;""[\w &amp;]*, (\d+\.\d+)"")),"""")
"),6000)</f>
        <v>6000</v>
      </c>
      <c r="G186" s="3" t="n">
        <f aca="false">IFERROR(__xludf.dummyfunction("if($T186&lt;&gt;"""",VALUE(REGEXEXTRACT($T186, G$1&amp;""[\w &amp;]*, (\d+\.\d+)"")),"""")
"),6000)</f>
        <v>6000</v>
      </c>
      <c r="H186" s="3" t="n">
        <f aca="false">IFERROR(__xludf.dummyfunction("if($T186&lt;&gt;"""",VALUE(REGEXEXTRACT($T186, H$1&amp;""[\w &amp;]*, (\d+\.\d+)"")),"""")"),6010)</f>
        <v>6010</v>
      </c>
      <c r="I186" s="3" t="n">
        <f aca="false">IFERROR(__xludf.dummyfunction("if($T186&lt;&gt;"""",VALUE(REGEXEXTRACT(SUBSTITUTE ($T186,I$1&amp;"" CE"",""""), I$1&amp;""[\w &amp;]*, (\d+\.\d+)"")),"""")
"),6000)</f>
        <v>6000</v>
      </c>
      <c r="J186" s="3" t="n">
        <f aca="false">IFERROR(__xludf.dummyfunction("if($T186&lt;&gt;"""",VALUE(REGEXEXTRACT($T186, J$1&amp;""[\w &amp;]*, (\d+\.\d+)"")),"""")
"),5910)</f>
        <v>5910</v>
      </c>
      <c r="K186" s="3" t="n">
        <f aca="false">IFERROR(__xludf.dummyfunction("if($T186&lt;&gt;"""",VALUE(REGEXEXTRACT($T186, K$1&amp;""[\w &amp;]*, (\d+\.\d+)"")),"""")
"),5890)</f>
        <v>5890</v>
      </c>
      <c r="L186" s="3" t="n">
        <f aca="false">IFERROR(__xludf.dummyfunction("if($T186&lt;&gt;"""",VALUE(REGEXEXTRACT(SUBSTITUTE ($T186,L$1&amp;"" CE"",""""), L$1&amp;""[\w &amp;]*, (\d+\.\d+)"")),"""")
"),5940)</f>
        <v>5940</v>
      </c>
      <c r="M186" s="3" t="n">
        <f aca="false">IFERROR(__xludf.dummyfunction("if($T186&lt;&gt;"""",VALUE(REGEXEXTRACT($T186, M$1&amp;""[\w &amp;]*, (\d+\.\d+)"")),"""")
"),5940)</f>
        <v>5940</v>
      </c>
      <c r="N186" s="3" t="n">
        <f aca="false">IFERROR(__xludf.dummyfunction("if($T186&lt;&gt;"""",VALUE(REGEXEXTRACT(SUBSTITUTE ($T186,N$1&amp;"" CE"",""""), N$1&amp;""[\w &amp;]*, (\d+\.\d+)"")),"""")
"),6000)</f>
        <v>6000</v>
      </c>
      <c r="O186" s="3" t="n">
        <f aca="false">IFERROR(__xludf.dummyfunction("if($T186&lt;&gt;"""",VALUE(REGEXEXTRACT($T186, O$1&amp;""[\w &amp;]*, (\d+\.\d+)"")),"""")
"),6000)</f>
        <v>6000</v>
      </c>
      <c r="P186" s="2" t="n">
        <f aca="false">IFERROR(__xludf.dummyfunction("if($T186&lt;&gt;"""",VALUE(REGEXEXTRACT($T186, P$1&amp;""[\w &amp;]*, (\d+\.\d+)"")),"""")
"),5897.97)</f>
        <v>5897.97</v>
      </c>
      <c r="Q186" s="2" t="n">
        <f aca="false">IFERROR(__xludf.dummyfunction("if($T186&lt;&gt;"""",VALUE(REGEXEXTRACT($T186, Q$1&amp;""[\w &amp;]*, (\d+\.\d+)"")),"""")
"),5879.53)</f>
        <v>5879.53</v>
      </c>
      <c r="R186" s="2" t="n">
        <f aca="false">IFERROR(__xludf.dummyfunction("if($T186&lt;&gt;"""",VALUE(REGEXEXTRACT($T186, SUBSTITUTE(R$1, ""+"", ""\+"")&amp;""[\w &amp;]*, (\d+\.\d+)"")),"""")"),5986.97)</f>
        <v>5986.97</v>
      </c>
      <c r="S186" s="2" t="n">
        <f aca="false">IFERROR(__xludf.dummyfunction("if($T186&lt;&gt;"""",VALUE(REGEXEXTRACT($T186, SUBSTITUTE(S$1, ""+"", ""\+"")&amp;""[\w &amp;]*, (\d+\.\d+)"")),"""")"),6005.41)</f>
        <v>6005.41</v>
      </c>
      <c r="T186" s="7" t="s">
        <v>199</v>
      </c>
      <c r="U186" s="7"/>
    </row>
    <row r="187" customFormat="false" ht="15.75" hidden="false" customHeight="false" outlineLevel="0" collapsed="false">
      <c r="A187" s="4" t="n">
        <f aca="false">IFERROR(__xludf.dummyfunction("""COMPUTED_VALUE"""),45659.6666666667)</f>
        <v>45659.6666666667</v>
      </c>
      <c r="B187" s="2" t="n">
        <f aca="false">IFERROR(__xludf.dummyfunction("""COMPUTED_VALUE"""),5903.26)</f>
        <v>5903.26</v>
      </c>
      <c r="C187" s="2" t="n">
        <f aca="false">IFERROR(__xludf.dummyfunction("""COMPUTED_VALUE"""),5935.09)</f>
        <v>5935.09</v>
      </c>
      <c r="D187" s="2" t="n">
        <f aca="false">IFERROR(__xludf.dummyfunction("""COMPUTED_VALUE"""),5829.53)</f>
        <v>5829.53</v>
      </c>
      <c r="E187" s="2" t="n">
        <f aca="false">IFERROR(__xludf.dummyfunction("""COMPUTED_VALUE"""),5868.55)</f>
        <v>5868.55</v>
      </c>
      <c r="F187" s="3" t="n">
        <f aca="false">IFERROR(__xludf.dummyfunction("if($T187&lt;&gt;"""",VALUE(REGEXEXTRACT(SUBSTITUTE ($T187,F$1&amp;"" CE"",""""), F$1&amp;""[\w &amp;]*, (\d+\.\d+)"")),"""")
"),6000)</f>
        <v>6000</v>
      </c>
      <c r="G187" s="3" t="n">
        <f aca="false">IFERROR(__xludf.dummyfunction("if($T187&lt;&gt;"""",VALUE(REGEXEXTRACT($T187, G$1&amp;""[\w &amp;]*, (\d+\.\d+)"")),"""")
"),5980)</f>
        <v>5980</v>
      </c>
      <c r="H187" s="3" t="n">
        <f aca="false">IFERROR(__xludf.dummyfunction("if($T187&lt;&gt;"""",VALUE(REGEXEXTRACT($T187, H$1&amp;""[\w &amp;]*, (\d+\.\d+)"")),"""")"),6110)</f>
        <v>6110</v>
      </c>
      <c r="I187" s="3" t="n">
        <f aca="false">IFERROR(__xludf.dummyfunction("if($T187&lt;&gt;"""",VALUE(REGEXEXTRACT(SUBSTITUTE ($T187,I$1&amp;"" CE"",""""), I$1&amp;""[\w &amp;]*, (\d+\.\d+)"")),"""")
"),6000)</f>
        <v>6000</v>
      </c>
      <c r="J187" s="3" t="n">
        <f aca="false">IFERROR(__xludf.dummyfunction("if($T187&lt;&gt;"""",VALUE(REGEXEXTRACT($T187, J$1&amp;""[\w &amp;]*, (\d+\.\d+)"")),"""")
"),5915)</f>
        <v>5915</v>
      </c>
      <c r="K187" s="3" t="n">
        <f aca="false">IFERROR(__xludf.dummyfunction("if($T187&lt;&gt;"""",VALUE(REGEXEXTRACT($T187, K$1&amp;""[\w &amp;]*, (\d+\.\d+)"")),"""")
"),5890)</f>
        <v>5890</v>
      </c>
      <c r="L187" s="3" t="n">
        <f aca="false">IFERROR(__xludf.dummyfunction("if($T187&lt;&gt;"""",VALUE(REGEXEXTRACT(SUBSTITUTE ($T187,L$1&amp;"" CE"",""""), L$1&amp;""[\w &amp;]*, (\d+\.\d+)"")),"""")
"),5950)</f>
        <v>5950</v>
      </c>
      <c r="M187" s="3" t="n">
        <f aca="false">IFERROR(__xludf.dummyfunction("if($T187&lt;&gt;"""",VALUE(REGEXEXTRACT($T187, M$1&amp;""[\w &amp;]*, (\d+\.\d+)"")),"""")
"),5920)</f>
        <v>5920</v>
      </c>
      <c r="N187" s="3" t="n">
        <f aca="false">IFERROR(__xludf.dummyfunction("if($T187&lt;&gt;"""",VALUE(REGEXEXTRACT(SUBSTITUTE ($T187,N$1&amp;"" CE"",""""), N$1&amp;""[\w &amp;]*, (\d+\.\d+)"")),"""")
"),6000)</f>
        <v>6000</v>
      </c>
      <c r="O187" s="3" t="n">
        <f aca="false">IFERROR(__xludf.dummyfunction("if($T187&lt;&gt;"""",VALUE(REGEXEXTRACT($T187, O$1&amp;""[\w &amp;]*, (\d+\.\d+)"")),"""")
"),5950)</f>
        <v>5950</v>
      </c>
      <c r="P187" s="2" t="n">
        <f aca="false">IFERROR(__xludf.dummyfunction("if($T187&lt;&gt;"""",VALUE(REGEXEXTRACT($T187, P$1&amp;""[\w &amp;]*, (\d+\.\d+)"")),"""")
"),5835.39)</f>
        <v>5835.39</v>
      </c>
      <c r="Q187" s="2" t="n">
        <f aca="false">IFERROR(__xludf.dummyfunction("if($T187&lt;&gt;"""",VALUE(REGEXEXTRACT($T187, Q$1&amp;""[\w &amp;]*, (\d+\.\d+)"")),"""")
"),5816.24)</f>
        <v>5816.24</v>
      </c>
      <c r="R187" s="2" t="n">
        <f aca="false">IFERROR(__xludf.dummyfunction("if($T187&lt;&gt;"""",VALUE(REGEXEXTRACT($T187, SUBSTITUTE(R$1, ""+"", ""\+"")&amp;""[\w &amp;]*, (\d+\.\d+)"")),"""")"),5927.87)</f>
        <v>5927.87</v>
      </c>
      <c r="S187" s="2" t="n">
        <f aca="false">IFERROR(__xludf.dummyfunction("if($T187&lt;&gt;"""",VALUE(REGEXEXTRACT($T187, SUBSTITUTE(S$1, ""+"", ""\+"")&amp;""[\w &amp;]*, (\d+\.\d+)"")),"""")"),5947.02)</f>
        <v>5947.02</v>
      </c>
      <c r="T187" s="7" t="s">
        <v>200</v>
      </c>
      <c r="U187" s="7"/>
    </row>
    <row r="188" customFormat="false" ht="15.75" hidden="false" customHeight="false" outlineLevel="0" collapsed="false">
      <c r="A188" s="4" t="n">
        <f aca="false">IFERROR(__xludf.dummyfunction("""COMPUTED_VALUE"""),45660.6666666667)</f>
        <v>45660.6666666667</v>
      </c>
      <c r="B188" s="2" t="n">
        <f aca="false">IFERROR(__xludf.dummyfunction("""COMPUTED_VALUE"""),5891.07)</f>
        <v>5891.07</v>
      </c>
      <c r="C188" s="2" t="n">
        <f aca="false">IFERROR(__xludf.dummyfunction("""COMPUTED_VALUE"""),5949.34)</f>
        <v>5949.34</v>
      </c>
      <c r="D188" s="2" t="n">
        <f aca="false">IFERROR(__xludf.dummyfunction("""COMPUTED_VALUE"""),5888.66)</f>
        <v>5888.66</v>
      </c>
      <c r="E188" s="2" t="n">
        <f aca="false">IFERROR(__xludf.dummyfunction("""COMPUTED_VALUE"""),5942.47)</f>
        <v>5942.47</v>
      </c>
      <c r="F188" s="3" t="n">
        <f aca="false">IFERROR(__xludf.dummyfunction("if($T188&lt;&gt;"""",VALUE(REGEXEXTRACT(SUBSTITUTE ($T188,F$1&amp;"" CE"",""""), F$1&amp;""[\w &amp;]*, (\d+\.\d+)"")),"""")
"),6000)</f>
        <v>6000</v>
      </c>
      <c r="G188" s="3" t="n">
        <f aca="false">IFERROR(__xludf.dummyfunction("if($T188&lt;&gt;"""",VALUE(REGEXEXTRACT($T188, G$1&amp;""[\w &amp;]*, (\d+\.\d+)"")),"""")
"),5915)</f>
        <v>5915</v>
      </c>
      <c r="H188" s="3" t="n">
        <f aca="false">IFERROR(__xludf.dummyfunction("if($T188&lt;&gt;"""",VALUE(REGEXEXTRACT($T188, H$1&amp;""[\w &amp;]*, (\d+\.\d+)"")),"""")"),6175)</f>
        <v>6175</v>
      </c>
      <c r="I188" s="3" t="n">
        <f aca="false">IFERROR(__xludf.dummyfunction("if($T188&lt;&gt;"""",VALUE(REGEXEXTRACT(SUBSTITUTE ($T188,I$1&amp;"" CE"",""""), I$1&amp;""[\w &amp;]*, (\d+\.\d+)"")),"""")
"),6000)</f>
        <v>6000</v>
      </c>
      <c r="J188" s="3" t="n">
        <f aca="false">IFERROR(__xludf.dummyfunction("if($T188&lt;&gt;"""",VALUE(REGEXEXTRACT($T188, J$1&amp;""[\w &amp;]*, (\d+\.\d+)"")),"""")
"),5820)</f>
        <v>5820</v>
      </c>
      <c r="K188" s="3" t="n">
        <f aca="false">IFERROR(__xludf.dummyfunction("if($T188&lt;&gt;"""",VALUE(REGEXEXTRACT($T188, K$1&amp;""[\w &amp;]*, (\d+\.\d+)"")),"""")
"),5790)</f>
        <v>5790</v>
      </c>
      <c r="L188" s="3" t="n">
        <f aca="false">IFERROR(__xludf.dummyfunction("if($T188&lt;&gt;"""",VALUE(REGEXEXTRACT(SUBSTITUTE ($T188,L$1&amp;"" CE"",""""), L$1&amp;""[\w &amp;]*, (\d+\.\d+)"")),"""")
"),5950)</f>
        <v>5950</v>
      </c>
      <c r="M188" s="3" t="n">
        <f aca="false">IFERROR(__xludf.dummyfunction("if($T188&lt;&gt;"""",VALUE(REGEXEXTRACT($T188, M$1&amp;""[\w &amp;]*, (\d+\.\d+)"")),"""")
"),5900)</f>
        <v>5900</v>
      </c>
      <c r="N188" s="3" t="n">
        <f aca="false">IFERROR(__xludf.dummyfunction("if($T188&lt;&gt;"""",VALUE(REGEXEXTRACT(SUBSTITUTE ($T188,N$1&amp;"" CE"",""""), N$1&amp;""[\w &amp;]*, (\d+\.\d+)"")),"""")
"),6000)</f>
        <v>6000</v>
      </c>
      <c r="O188" s="3" t="n">
        <f aca="false">IFERROR(__xludf.dummyfunction("if($T188&lt;&gt;"""",VALUE(REGEXEXTRACT($T188, O$1&amp;""[\w &amp;]*, (\d+\.\d+)"")),"""")
"),5900)</f>
        <v>5900</v>
      </c>
      <c r="P188" s="2" t="n">
        <f aca="false">IFERROR(__xludf.dummyfunction("if($T188&lt;&gt;"""",VALUE(REGEXEXTRACT($T188, P$1&amp;""[\w &amp;]*, (\d+\.\d+)"")),"""")
"),5822.78)</f>
        <v>5822.78</v>
      </c>
      <c r="Q188" s="2" t="n">
        <f aca="false">IFERROR(__xludf.dummyfunction("if($T188&lt;&gt;"""",VALUE(REGEXEXTRACT($T188, Q$1&amp;""[\w &amp;]*, (\d+\.\d+)"")),"""")
"),5777.02)</f>
        <v>5777.02</v>
      </c>
      <c r="R188" s="2" t="n">
        <f aca="false">IFERROR(__xludf.dummyfunction("if($T188&lt;&gt;"""",VALUE(REGEXEXTRACT($T188, SUBSTITUTE(R$1, ""+"", ""\+"")&amp;""[\w &amp;]*, (\d+\.\d+)"")),"""")"),5914.32)</f>
        <v>5914.32</v>
      </c>
      <c r="S188" s="2" t="n">
        <f aca="false">IFERROR(__xludf.dummyfunction("if($T188&lt;&gt;"""",VALUE(REGEXEXTRACT($T188, SUBSTITUTE(S$1, ""+"", ""\+"")&amp;""[\w &amp;]*, (\d+\.\d+)"")),"""")"),5960.08)</f>
        <v>5960.08</v>
      </c>
      <c r="T188" s="7" t="s">
        <v>201</v>
      </c>
      <c r="U188" s="7"/>
    </row>
    <row r="189" customFormat="false" ht="15.75" hidden="false" customHeight="false" outlineLevel="0" collapsed="false">
      <c r="A189" s="4" t="n">
        <f aca="false">IFERROR(__xludf.dummyfunction("""COMPUTED_VALUE"""),45663.6666666667)</f>
        <v>45663.6666666667</v>
      </c>
      <c r="B189" s="2" t="n">
        <f aca="false">IFERROR(__xludf.dummyfunction("""COMPUTED_VALUE"""),5982.81)</f>
        <v>5982.81</v>
      </c>
      <c r="C189" s="2" t="n">
        <f aca="false">IFERROR(__xludf.dummyfunction("""COMPUTED_VALUE"""),6021.04)</f>
        <v>6021.04</v>
      </c>
      <c r="D189" s="2" t="n">
        <f aca="false">IFERROR(__xludf.dummyfunction("""COMPUTED_VALUE"""),5960.01)</f>
        <v>5960.01</v>
      </c>
      <c r="E189" s="2" t="n">
        <f aca="false">IFERROR(__xludf.dummyfunction("""COMPUTED_VALUE"""),5975.38)</f>
        <v>5975.38</v>
      </c>
      <c r="F189" s="3" t="n">
        <f aca="false">IFERROR(__xludf.dummyfunction("if($T189&lt;&gt;"""",VALUE(REGEXEXTRACT(SUBSTITUTE ($T189,F$1&amp;"" CE"",""""), F$1&amp;""[\w &amp;]*, (\d+\.\d+)"")),"""")
"),6000)</f>
        <v>6000</v>
      </c>
      <c r="G189" s="3" t="n">
        <f aca="false">IFERROR(__xludf.dummyfunction("if($T189&lt;&gt;"""",VALUE(REGEXEXTRACT($T189, G$1&amp;""[\w &amp;]*, (\d+\.\d+)"")),"""")
"),6055)</f>
        <v>6055</v>
      </c>
      <c r="H189" s="3" t="n">
        <f aca="false">IFERROR(__xludf.dummyfunction("if($T189&lt;&gt;"""",VALUE(REGEXEXTRACT($T189, H$1&amp;""[\w &amp;]*, (\d+\.\d+)"")),"""")"),6075)</f>
        <v>6075</v>
      </c>
      <c r="I189" s="3" t="n">
        <f aca="false">IFERROR(__xludf.dummyfunction("if($T189&lt;&gt;"""",VALUE(REGEXEXTRACT(SUBSTITUTE ($T189,I$1&amp;"" CE"",""""), I$1&amp;""[\w &amp;]*, (\d+\.\d+)"")),"""")
"),6000)</f>
        <v>6000</v>
      </c>
      <c r="J189" s="3" t="n">
        <f aca="false">IFERROR(__xludf.dummyfunction("if($T189&lt;&gt;"""",VALUE(REGEXEXTRACT($T189, J$1&amp;""[\w &amp;]*, (\d+\.\d+)"")),"""")
"),5860)</f>
        <v>5860</v>
      </c>
      <c r="K189" s="3" t="n">
        <f aca="false">IFERROR(__xludf.dummyfunction("if($T189&lt;&gt;"""",VALUE(REGEXEXTRACT($T189, K$1&amp;""[\w &amp;]*, (\d+\.\d+)"")),"""")
"),5890)</f>
        <v>5890</v>
      </c>
      <c r="L189" s="3" t="n">
        <f aca="false">IFERROR(__xludf.dummyfunction("if($T189&lt;&gt;"""",VALUE(REGEXEXTRACT(SUBSTITUTE ($T189,L$1&amp;"" CE"",""""), L$1&amp;""[\w &amp;]*, (\d+\.\d+)"")),"""")
"),5945)</f>
        <v>5945</v>
      </c>
      <c r="M189" s="3" t="n">
        <f aca="false">IFERROR(__xludf.dummyfunction("if($T189&lt;&gt;"""",VALUE(REGEXEXTRACT($T189, M$1&amp;""[\w &amp;]*, (\d+\.\d+)"")),"""")
"),5945)</f>
        <v>5945</v>
      </c>
      <c r="N189" s="3" t="n">
        <f aca="false">IFERROR(__xludf.dummyfunction("if($T189&lt;&gt;"""",VALUE(REGEXEXTRACT(SUBSTITUTE ($T189,N$1&amp;"" CE"",""""), N$1&amp;""[\w &amp;]*, (\d+\.\d+)"")),"""")
"),6000)</f>
        <v>6000</v>
      </c>
      <c r="O189" s="3" t="n">
        <f aca="false">IFERROR(__xludf.dummyfunction("if($T189&lt;&gt;"""",VALUE(REGEXEXTRACT($T189, O$1&amp;""[\w &amp;]*, (\d+\.\d+)"")),"""")
"),5950)</f>
        <v>5950</v>
      </c>
      <c r="P189" s="2" t="n">
        <f aca="false">IFERROR(__xludf.dummyfunction("if($T189&lt;&gt;"""",VALUE(REGEXEXTRACT($T189, P$1&amp;""[\w &amp;]*, (\d+\.\d+)"")),"""")
"),5862.32)</f>
        <v>5862.32</v>
      </c>
      <c r="Q189" s="2" t="n">
        <f aca="false">IFERROR(__xludf.dummyfunction("if($T189&lt;&gt;"""",VALUE(REGEXEXTRACT($T189, Q$1&amp;""[\w &amp;]*, (\d+\.\d+)"")),"""")
"),5829.65)</f>
        <v>5829.65</v>
      </c>
      <c r="R189" s="2" t="n">
        <f aca="false">IFERROR(__xludf.dummyfunction("if($T189&lt;&gt;"""",VALUE(REGEXEXTRACT($T189, SUBSTITUTE(R$1, ""+"", ""\+"")&amp;""[\w &amp;]*, (\d+\.\d+)"")),"""")"),5951.56)</f>
        <v>5951.56</v>
      </c>
      <c r="S189" s="2" t="n">
        <f aca="false">IFERROR(__xludf.dummyfunction("if($T189&lt;&gt;"""",VALUE(REGEXEXTRACT($T189, SUBSTITUTE(S$1, ""+"", ""\+"")&amp;""[\w &amp;]*, (\d+\.\d+)"")),"""")"),5984.23)</f>
        <v>5984.23</v>
      </c>
      <c r="T189" s="7" t="s">
        <v>202</v>
      </c>
      <c r="U189" s="7"/>
    </row>
    <row r="190" customFormat="false" ht="15.75" hidden="false" customHeight="false" outlineLevel="0" collapsed="false">
      <c r="A190" s="4" t="n">
        <f aca="false">IFERROR(__xludf.dummyfunction("""COMPUTED_VALUE"""),45664.6666666667)</f>
        <v>45664.6666666667</v>
      </c>
      <c r="B190" s="2" t="n">
        <f aca="false">IFERROR(__xludf.dummyfunction("""COMPUTED_VALUE"""),5993.26)</f>
        <v>5993.26</v>
      </c>
      <c r="C190" s="2" t="n">
        <f aca="false">IFERROR(__xludf.dummyfunction("""COMPUTED_VALUE"""),6000.68)</f>
        <v>6000.68</v>
      </c>
      <c r="D190" s="2" t="n">
        <f aca="false">IFERROR(__xludf.dummyfunction("""COMPUTED_VALUE"""),5890.68)</f>
        <v>5890.68</v>
      </c>
      <c r="E190" s="2" t="n">
        <f aca="false">IFERROR(__xludf.dummyfunction("""COMPUTED_VALUE"""),5909.03)</f>
        <v>5909.03</v>
      </c>
      <c r="F190" s="3" t="n">
        <f aca="false">IFERROR(__xludf.dummyfunction("if($T190&lt;&gt;"""",VALUE(REGEXEXTRACT(SUBSTITUTE ($T190,F$1&amp;"" CE"",""""), F$1&amp;""[\w &amp;]*, (\d+\.\d+)"")),"""")
"),6000)</f>
        <v>6000</v>
      </c>
      <c r="G190" s="3" t="n">
        <f aca="false">IFERROR(__xludf.dummyfunction("if($T190&lt;&gt;"""",VALUE(REGEXEXTRACT($T190, G$1&amp;""[\w &amp;]*, (\d+\.\d+)"")),"""")
"),6005)</f>
        <v>6005</v>
      </c>
      <c r="H190" s="3" t="n">
        <f aca="false">IFERROR(__xludf.dummyfunction("if($T190&lt;&gt;"""",VALUE(REGEXEXTRACT($T190, H$1&amp;""[\w &amp;]*, (\d+\.\d+)"")),"""")"),6025)</f>
        <v>6025</v>
      </c>
      <c r="I190" s="3" t="n">
        <f aca="false">IFERROR(__xludf.dummyfunction("if($T190&lt;&gt;"""",VALUE(REGEXEXTRACT(SUBSTITUTE ($T190,I$1&amp;"" CE"",""""), I$1&amp;""[\w &amp;]*, (\d+\.\d+)"")),"""")
"),6000)</f>
        <v>6000</v>
      </c>
      <c r="J190" s="3" t="n">
        <f aca="false">IFERROR(__xludf.dummyfunction("if($T190&lt;&gt;"""",VALUE(REGEXEXTRACT($T190, J$1&amp;""[\w &amp;]*, (\d+\.\d+)"")),"""")
"),5945)</f>
        <v>5945</v>
      </c>
      <c r="K190" s="3" t="n">
        <f aca="false">IFERROR(__xludf.dummyfunction("if($T190&lt;&gt;"""",VALUE(REGEXEXTRACT($T190, K$1&amp;""[\w &amp;]*, (\d+\.\d+)"")),"""")
"),5890)</f>
        <v>5890</v>
      </c>
      <c r="L190" s="3" t="n">
        <f aca="false">IFERROR(__xludf.dummyfunction("if($T190&lt;&gt;"""",VALUE(REGEXEXTRACT(SUBSTITUTE ($T190,L$1&amp;"" CE"",""""), L$1&amp;""[\w &amp;]*, (\d+\.\d+)"")),"""")
"),5975)</f>
        <v>5975</v>
      </c>
      <c r="M190" s="3" t="n">
        <f aca="false">IFERROR(__xludf.dummyfunction("if($T190&lt;&gt;"""",VALUE(REGEXEXTRACT($T190, M$1&amp;""[\w &amp;]*, (\d+\.\d+)"")),"""")
"),5970)</f>
        <v>5970</v>
      </c>
      <c r="N190" s="3" t="n">
        <f aca="false">IFERROR(__xludf.dummyfunction("if($T190&lt;&gt;"""",VALUE(REGEXEXTRACT(SUBSTITUTE ($T190,N$1&amp;"" CE"",""""), N$1&amp;""[\w &amp;]*, (\d+\.\d+)"")),"""")
"),6000)</f>
        <v>6000</v>
      </c>
      <c r="O190" s="3" t="n">
        <f aca="false">IFERROR(__xludf.dummyfunction("if($T190&lt;&gt;"""",VALUE(REGEXEXTRACT($T190, O$1&amp;""[\w &amp;]*, (\d+\.\d+)"")),"""")
"),6005)</f>
        <v>6005</v>
      </c>
      <c r="P190" s="2" t="n">
        <f aca="false">IFERROR(__xludf.dummyfunction("if($T190&lt;&gt;"""",VALUE(REGEXEXTRACT($T190, P$1&amp;""[\w &amp;]*, (\d+\.\d+)"")),"""")
"),5933.47)</f>
        <v>5933.47</v>
      </c>
      <c r="Q190" s="2" t="n">
        <f aca="false">IFERROR(__xludf.dummyfunction("if($T190&lt;&gt;"""",VALUE(REGEXEXTRACT($T190, Q$1&amp;""[\w &amp;]*, (\d+\.\d+)"")),"""")
"),5916.11)</f>
        <v>5916.11</v>
      </c>
      <c r="R190" s="2" t="n">
        <f aca="false">IFERROR(__xludf.dummyfunction("if($T190&lt;&gt;"""",VALUE(REGEXEXTRACT($T190, SUBSTITUTE(R$1, ""+"", ""\+"")&amp;""[\w &amp;]*, (\d+\.\d+)"")),"""")"),6017.29)</f>
        <v>6017.29</v>
      </c>
      <c r="S190" s="2" t="n">
        <f aca="false">IFERROR(__xludf.dummyfunction("if($T190&lt;&gt;"""",VALUE(REGEXEXTRACT($T190, SUBSTITUTE(S$1, ""+"", ""\+"")&amp;""[\w &amp;]*, (\d+\.\d+)"")),"""")"),6034.65)</f>
        <v>6034.65</v>
      </c>
      <c r="T190" s="7" t="s">
        <v>203</v>
      </c>
      <c r="U190" s="7"/>
    </row>
    <row r="191" customFormat="false" ht="15.75" hidden="false" customHeight="false" outlineLevel="0" collapsed="false">
      <c r="A191" s="4" t="n">
        <f aca="false">IFERROR(__xludf.dummyfunction("""COMPUTED_VALUE"""),45665.6666666667)</f>
        <v>45665.6666666667</v>
      </c>
      <c r="B191" s="2" t="n">
        <f aca="false">IFERROR(__xludf.dummyfunction("""COMPUTED_VALUE"""),5910.66)</f>
        <v>5910.66</v>
      </c>
      <c r="C191" s="2" t="n">
        <f aca="false">IFERROR(__xludf.dummyfunction("""COMPUTED_VALUE"""),5927.89)</f>
        <v>5927.89</v>
      </c>
      <c r="D191" s="2" t="n">
        <f aca="false">IFERROR(__xludf.dummyfunction("""COMPUTED_VALUE"""),5874.78)</f>
        <v>5874.78</v>
      </c>
      <c r="E191" s="2" t="n">
        <f aca="false">IFERROR(__xludf.dummyfunction("""COMPUTED_VALUE"""),5918.25)</f>
        <v>5918.25</v>
      </c>
      <c r="F191" s="3" t="n">
        <f aca="false">IFERROR(__xludf.dummyfunction("if($T191&lt;&gt;"""",VALUE(REGEXEXTRACT(SUBSTITUTE ($T191,F$1&amp;"" CE"",""""), F$1&amp;""[\w &amp;]*, (\d+\.\d+)"")),"""")
"),6000)</f>
        <v>6000</v>
      </c>
      <c r="G191" s="3" t="n">
        <f aca="false">IFERROR(__xludf.dummyfunction("if($T191&lt;&gt;"""",VALUE(REGEXEXTRACT($T191, G$1&amp;""[\w &amp;]*, (\d+\.\d+)"")),"""")
"),5945)</f>
        <v>5945</v>
      </c>
      <c r="H191" s="3" t="n">
        <f aca="false">IFERROR(__xludf.dummyfunction("if($T191&lt;&gt;"""",VALUE(REGEXEXTRACT($T191, H$1&amp;""[\w &amp;]*, (\d+\.\d+)"")),"""")"),5970)</f>
        <v>5970</v>
      </c>
      <c r="I191" s="3" t="n">
        <f aca="false">IFERROR(__xludf.dummyfunction("if($T191&lt;&gt;"""",VALUE(REGEXEXTRACT(SUBSTITUTE ($T191,I$1&amp;"" CE"",""""), I$1&amp;""[\w &amp;]*, (\d+\.\d+)"")),"""")
"),5870)</f>
        <v>5870</v>
      </c>
      <c r="J191" s="3" t="n">
        <f aca="false">IFERROR(__xludf.dummyfunction("if($T191&lt;&gt;"""",VALUE(REGEXEXTRACT($T191, J$1&amp;""[\w &amp;]*, (\d+\.\d+)"")),"""")
"),5870)</f>
        <v>5870</v>
      </c>
      <c r="K191" s="3" t="n">
        <f aca="false">IFERROR(__xludf.dummyfunction("if($T191&lt;&gt;"""",VALUE(REGEXEXTRACT($T191, K$1&amp;""[\w &amp;]*, (\d+\.\d+)"")),"""")
"),5850)</f>
        <v>5850</v>
      </c>
      <c r="L191" s="3" t="n">
        <f aca="false">IFERROR(__xludf.dummyfunction("if($T191&lt;&gt;"""",VALUE(REGEXEXTRACT(SUBSTITUTE ($T191,L$1&amp;"" CE"",""""), L$1&amp;""[\w &amp;]*, (\d+\.\d+)"")),"""")
"),5940)</f>
        <v>5940</v>
      </c>
      <c r="M191" s="3" t="n">
        <f aca="false">IFERROR(__xludf.dummyfunction("if($T191&lt;&gt;"""",VALUE(REGEXEXTRACT($T191, M$1&amp;""[\w &amp;]*, (\d+\.\d+)"")),"""")
"),5940)</f>
        <v>5940</v>
      </c>
      <c r="N191" s="3" t="n">
        <f aca="false">IFERROR(__xludf.dummyfunction("if($T191&lt;&gt;"""",VALUE(REGEXEXTRACT(SUBSTITUTE ($T191,N$1&amp;"" CE"",""""), N$1&amp;""[\w &amp;]*, (\d+\.\d+)"")),"""")
"),6000)</f>
        <v>6000</v>
      </c>
      <c r="O191" s="3" t="n">
        <f aca="false">IFERROR(__xludf.dummyfunction("if($T191&lt;&gt;"""",VALUE(REGEXEXTRACT($T191, O$1&amp;""[\w &amp;]*, (\d+\.\d+)"")),"""")
"),5870)</f>
        <v>5870</v>
      </c>
      <c r="P191" s="2" t="n">
        <f aca="false">IFERROR(__xludf.dummyfunction("if($T191&lt;&gt;"""",VALUE(REGEXEXTRACT($T191, P$1&amp;""[\w &amp;]*, (\d+\.\d+)"")),"""")
"),5861.27)</f>
        <v>5861.27</v>
      </c>
      <c r="Q191" s="2" t="n">
        <f aca="false">IFERROR(__xludf.dummyfunction("if($T191&lt;&gt;"""",VALUE(REGEXEXTRACT($T191, Q$1&amp;""[\w &amp;]*, (\d+\.\d+)"")),"""")
"),5841.48)</f>
        <v>5841.48</v>
      </c>
      <c r="R191" s="2" t="n">
        <f aca="false">IFERROR(__xludf.dummyfunction("if($T191&lt;&gt;"""",VALUE(REGEXEXTRACT($T191, SUBSTITUTE(R$1, ""+"", ""\+"")&amp;""[\w &amp;]*, (\d+\.\d+)"")),"""")"),5956.79)</f>
        <v>5956.79</v>
      </c>
      <c r="S191" s="2" t="n">
        <f aca="false">IFERROR(__xludf.dummyfunction("if($T191&lt;&gt;"""",VALUE(REGEXEXTRACT($T191, SUBSTITUTE(S$1, ""+"", ""\+"")&amp;""[\w &amp;]*, (\d+\.\d+)"")),"""")"),5976.58)</f>
        <v>5976.58</v>
      </c>
      <c r="T191" s="7" t="s">
        <v>204</v>
      </c>
      <c r="U191" s="7"/>
    </row>
    <row r="192" customFormat="false" ht="15.75" hidden="false" customHeight="false" outlineLevel="0" collapsed="false">
      <c r="A192" s="4" t="n">
        <f aca="false">IFERROR(__xludf.dummyfunction("""COMPUTED_VALUE"""),45667.6666666667)</f>
        <v>45667.6666666667</v>
      </c>
      <c r="B192" s="2" t="n">
        <f aca="false">IFERROR(__xludf.dummyfunction("""COMPUTED_VALUE"""),5890.35)</f>
        <v>5890.35</v>
      </c>
      <c r="C192" s="2" t="n">
        <f aca="false">IFERROR(__xludf.dummyfunction("""COMPUTED_VALUE"""),5890.35)</f>
        <v>5890.35</v>
      </c>
      <c r="D192" s="2" t="n">
        <f aca="false">IFERROR(__xludf.dummyfunction("""COMPUTED_VALUE"""),5807.78)</f>
        <v>5807.78</v>
      </c>
      <c r="E192" s="2" t="n">
        <f aca="false">IFERROR(__xludf.dummyfunction("""COMPUTED_VALUE"""),5827.04)</f>
        <v>5827.04</v>
      </c>
      <c r="F192" s="3" t="n">
        <f aca="false">IFERROR(__xludf.dummyfunction("if($T192&lt;&gt;"""",VALUE(REGEXEXTRACT(SUBSTITUTE ($T192,F$1&amp;"" CE"",""""), F$1&amp;""[\w &amp;]*, (\d+\.\d+)"")),"""")
"),6000)</f>
        <v>6000</v>
      </c>
      <c r="G192" s="3" t="n">
        <f aca="false">IFERROR(__xludf.dummyfunction("if($T192&lt;&gt;"""",VALUE(REGEXEXTRACT($T192, G$1&amp;""[\w &amp;]*, (\d+\.\d+)"")),"""")
"),5920)</f>
        <v>5920</v>
      </c>
      <c r="H192" s="3" t="n">
        <f aca="false">IFERROR(__xludf.dummyfunction("if($T192&lt;&gt;"""",VALUE(REGEXEXTRACT($T192, H$1&amp;""[\w &amp;]*, (\d+\.\d+)"")),"""")"),6210)</f>
        <v>6210</v>
      </c>
      <c r="I192" s="3" t="n">
        <f aca="false">IFERROR(__xludf.dummyfunction("if($T192&lt;&gt;"""",VALUE(REGEXEXTRACT(SUBSTITUTE ($T192,I$1&amp;"" CE"",""""), I$1&amp;""[\w &amp;]*, (\d+\.\d+)"")),"""")
"),6000)</f>
        <v>6000</v>
      </c>
      <c r="J192" s="3" t="n">
        <f aca="false">IFERROR(__xludf.dummyfunction("if($T192&lt;&gt;"""",VALUE(REGEXEXTRACT($T192, J$1&amp;""[\w &amp;]*, (\d+\.\d+)"")),"""")
"),5900)</f>
        <v>5900</v>
      </c>
      <c r="K192" s="3" t="n">
        <f aca="false">IFERROR(__xludf.dummyfunction("if($T192&lt;&gt;"""",VALUE(REGEXEXTRACT($T192, K$1&amp;""[\w &amp;]*, (\d+\.\d+)"")),"""")
"),5890)</f>
        <v>5890</v>
      </c>
      <c r="L192" s="3" t="n">
        <f aca="false">IFERROR(__xludf.dummyfunction("if($T192&lt;&gt;"""",VALUE(REGEXEXTRACT(SUBSTITUTE ($T192,L$1&amp;"" CE"",""""), L$1&amp;""[\w &amp;]*, (\d+\.\d+)"")),"""")
"),5955)</f>
        <v>5955</v>
      </c>
      <c r="M192" s="3" t="n">
        <f aca="false">IFERROR(__xludf.dummyfunction("if($T192&lt;&gt;"""",VALUE(REGEXEXTRACT($T192, M$1&amp;""[\w &amp;]*, (\d+\.\d+)"")),"""")
"),5910)</f>
        <v>5910</v>
      </c>
      <c r="N192" s="3" t="n">
        <f aca="false">IFERROR(__xludf.dummyfunction("if($T192&lt;&gt;"""",VALUE(REGEXEXTRACT(SUBSTITUTE ($T192,N$1&amp;"" CE"",""""), N$1&amp;""[\w &amp;]*, (\d+\.\d+)"")),"""")
"),6000)</f>
        <v>6000</v>
      </c>
      <c r="O192" s="3" t="n">
        <f aca="false">IFERROR(__xludf.dummyfunction("if($T192&lt;&gt;"""",VALUE(REGEXEXTRACT($T192, O$1&amp;""[\w &amp;]*, (\d+\.\d+)"")),"""")
"),5900)</f>
        <v>5900</v>
      </c>
      <c r="P192" s="2" t="n">
        <f aca="false">IFERROR(__xludf.dummyfunction("if($T192&lt;&gt;"""",VALUE(REGEXEXTRACT($T192, P$1&amp;""[\w &amp;]*, (\d+\.\d+)"")),"""")
"),5875.72)</f>
        <v>5875.72</v>
      </c>
      <c r="Q192" s="2" t="n">
        <f aca="false">IFERROR(__xludf.dummyfunction("if($T192&lt;&gt;"""",VALUE(REGEXEXTRACT($T192, Q$1&amp;""[\w &amp;]*, (\d+\.\d+)"")),"""")
"),5858.11)</f>
        <v>5858.11</v>
      </c>
      <c r="R192" s="2" t="n">
        <f aca="false">IFERROR(__xludf.dummyfunction("if($T192&lt;&gt;"""",VALUE(REGEXEXTRACT($T192, SUBSTITUTE(R$1, ""+"", ""\+"")&amp;""[\w &amp;]*, (\d+\.\d+)"")),"""")"),5960.78)</f>
        <v>5960.78</v>
      </c>
      <c r="S192" s="2" t="n">
        <f aca="false">IFERROR(__xludf.dummyfunction("if($T192&lt;&gt;"""",VALUE(REGEXEXTRACT($T192, SUBSTITUTE(S$1, ""+"", ""\+"")&amp;""[\w &amp;]*, (\d+\.\d+)"")),"""")"),5978.39)</f>
        <v>5978.39</v>
      </c>
      <c r="T192" s="7" t="s">
        <v>205</v>
      </c>
      <c r="U192" s="7"/>
    </row>
    <row r="193" customFormat="false" ht="15.75" hidden="false" customHeight="false" outlineLevel="0" collapsed="false">
      <c r="A193" s="4" t="n">
        <f aca="false">IFERROR(__xludf.dummyfunction("""COMPUTED_VALUE"""),45670.6666666667)</f>
        <v>45670.6666666667</v>
      </c>
      <c r="B193" s="2" t="n">
        <f aca="false">IFERROR(__xludf.dummyfunction("""COMPUTED_VALUE"""),5782.02)</f>
        <v>5782.02</v>
      </c>
      <c r="C193" s="2" t="n">
        <f aca="false">IFERROR(__xludf.dummyfunction("""COMPUTED_VALUE"""),5838.61)</f>
        <v>5838.61</v>
      </c>
      <c r="D193" s="2" t="n">
        <f aca="false">IFERROR(__xludf.dummyfunction("""COMPUTED_VALUE"""),5773.31)</f>
        <v>5773.31</v>
      </c>
      <c r="E193" s="2" t="n">
        <f aca="false">IFERROR(__xludf.dummyfunction("""COMPUTED_VALUE"""),5836.22)</f>
        <v>5836.22</v>
      </c>
      <c r="F193" s="3" t="n">
        <f aca="false">IFERROR(__xludf.dummyfunction("if($T193&lt;&gt;"""",VALUE(REGEXEXTRACT(SUBSTITUTE ($T193,F$1&amp;"" CE"",""""), F$1&amp;""[\w &amp;]*, (\d+\.\d+)"")),"""")
"),6000)</f>
        <v>6000</v>
      </c>
      <c r="G193" s="3" t="n">
        <f aca="false">IFERROR(__xludf.dummyfunction("if($T193&lt;&gt;"""",VALUE(REGEXEXTRACT($T193, G$1&amp;""[\w &amp;]*, (\d+\.\d+)"")),"""")
"),5960)</f>
        <v>5960</v>
      </c>
      <c r="H193" s="3" t="n">
        <f aca="false">IFERROR(__xludf.dummyfunction("if($T193&lt;&gt;"""",VALUE(REGEXEXTRACT($T193, H$1&amp;""[\w &amp;]*, (\d+\.\d+)"")),"""")"),6210)</f>
        <v>6210</v>
      </c>
      <c r="I193" s="3" t="n">
        <f aca="false">IFERROR(__xludf.dummyfunction("if($T193&lt;&gt;"""",VALUE(REGEXEXTRACT(SUBSTITUTE ($T193,I$1&amp;"" CE"",""""), I$1&amp;""[\w &amp;]*, (\d+\.\d+)"")),"""")
"),6000)</f>
        <v>6000</v>
      </c>
      <c r="J193" s="3" t="n">
        <f aca="false">IFERROR(__xludf.dummyfunction("if($T193&lt;&gt;"""",VALUE(REGEXEXTRACT($T193, J$1&amp;""[\w &amp;]*, (\d+\.\d+)"")),"""")
"),5800)</f>
        <v>5800</v>
      </c>
      <c r="K193" s="3" t="n">
        <f aca="false">IFERROR(__xludf.dummyfunction("if($T193&lt;&gt;"""",VALUE(REGEXEXTRACT($T193, K$1&amp;""[\w &amp;]*, (\d+\.\d+)"")),"""")
"),5890)</f>
        <v>5890</v>
      </c>
      <c r="L193" s="3" t="n">
        <f aca="false">IFERROR(__xludf.dummyfunction("if($T193&lt;&gt;"""",VALUE(REGEXEXTRACT(SUBSTITUTE ($T193,L$1&amp;"" CE"",""""), L$1&amp;""[\w &amp;]*, (\d+\.\d+)"")),"""")
"),5955)</f>
        <v>5955</v>
      </c>
      <c r="M193" s="3" t="n">
        <f aca="false">IFERROR(__xludf.dummyfunction("if($T193&lt;&gt;"""",VALUE(REGEXEXTRACT($T193, M$1&amp;""[\w &amp;]*, (\d+\.\d+)"")),"""")
"),5935)</f>
        <v>5935</v>
      </c>
      <c r="N193" s="3" t="n">
        <f aca="false">IFERROR(__xludf.dummyfunction("if($T193&lt;&gt;"""",VALUE(REGEXEXTRACT(SUBSTITUTE ($T193,N$1&amp;"" CE"",""""), N$1&amp;""[\w &amp;]*, (\d+\.\d+)"")),"""")
"),6000)</f>
        <v>6000</v>
      </c>
      <c r="O193" s="3" t="n">
        <f aca="false">IFERROR(__xludf.dummyfunction("if($T193&lt;&gt;"""",VALUE(REGEXEXTRACT($T193, O$1&amp;""[\w &amp;]*, (\d+\.\d+)"")),"""")
"),5900)</f>
        <v>5900</v>
      </c>
      <c r="P193" s="2" t="n">
        <f aca="false">IFERROR(__xludf.dummyfunction("if($T193&lt;&gt;"""",VALUE(REGEXEXTRACT($T193, P$1&amp;""[\w &amp;]*, (\d+\.\d+)"")),"""")
"),5869.96)</f>
        <v>5869.96</v>
      </c>
      <c r="Q193" s="2" t="n">
        <f aca="false">IFERROR(__xludf.dummyfunction("if($T193&lt;&gt;"""",VALUE(REGEXEXTRACT($T193, Q$1&amp;""[\w &amp;]*, (\d+\.\d+)"")),"""")
"),5821.67)</f>
        <v>5821.67</v>
      </c>
      <c r="R193" s="2" t="n">
        <f aca="false">IFERROR(__xludf.dummyfunction("if($T193&lt;&gt;"""",VALUE(REGEXEXTRACT($T193, SUBSTITUTE(R$1, ""+"", ""\+"")&amp;""[\w &amp;]*, (\d+\.\d+)"")),"""")"),5966.54)</f>
        <v>5966.54</v>
      </c>
      <c r="S193" s="2" t="n">
        <f aca="false">IFERROR(__xludf.dummyfunction("if($T193&lt;&gt;"""",VALUE(REGEXEXTRACT($T193, SUBSTITUTE(S$1, ""+"", ""\+"")&amp;""[\w &amp;]*, (\d+\.\d+)"")),"""")"),6014.83)</f>
        <v>6014.83</v>
      </c>
      <c r="T193" s="7" t="s">
        <v>206</v>
      </c>
      <c r="U193" s="7"/>
    </row>
    <row r="194" customFormat="false" ht="15.75" hidden="false" customHeight="false" outlineLevel="0" collapsed="false">
      <c r="A194" s="4" t="n">
        <f aca="false">IFERROR(__xludf.dummyfunction("""COMPUTED_VALUE"""),45671.6666666667)</f>
        <v>45671.6666666667</v>
      </c>
      <c r="B194" s="2" t="n">
        <f aca="false">IFERROR(__xludf.dummyfunction("""COMPUTED_VALUE"""),5859.27)</f>
        <v>5859.27</v>
      </c>
      <c r="C194" s="2" t="n">
        <f aca="false">IFERROR(__xludf.dummyfunction("""COMPUTED_VALUE"""),5871.92)</f>
        <v>5871.92</v>
      </c>
      <c r="D194" s="2" t="n">
        <f aca="false">IFERROR(__xludf.dummyfunction("""COMPUTED_VALUE"""),5805.42)</f>
        <v>5805.42</v>
      </c>
      <c r="E194" s="2" t="n">
        <f aca="false">IFERROR(__xludf.dummyfunction("""COMPUTED_VALUE"""),5842.91)</f>
        <v>5842.91</v>
      </c>
      <c r="F194" s="3" t="n">
        <f aca="false">IFERROR(__xludf.dummyfunction("if($T194&lt;&gt;"""",VALUE(REGEXEXTRACT(SUBSTITUTE ($T194,F$1&amp;"" CE"",""""), F$1&amp;""[\w &amp;]*, (\d+\.\d+)"")),"""")
"),6000)</f>
        <v>6000</v>
      </c>
      <c r="G194" s="3" t="n">
        <f aca="false">IFERROR(__xludf.dummyfunction("if($T194&lt;&gt;"""",VALUE(REGEXEXTRACT($T194, G$1&amp;""[\w &amp;]*, (\d+\.\d+)"")),"""")
"),5840)</f>
        <v>5840</v>
      </c>
      <c r="H194" s="3" t="n">
        <f aca="false">IFERROR(__xludf.dummyfunction("if($T194&lt;&gt;"""",VALUE(REGEXEXTRACT($T194, H$1&amp;""[\w &amp;]*, (\d+\.\d+)"")),"""")"),6175)</f>
        <v>6175</v>
      </c>
      <c r="I194" s="3" t="n">
        <f aca="false">IFERROR(__xludf.dummyfunction("if($T194&lt;&gt;"""",VALUE(REGEXEXTRACT(SUBSTITUTE ($T194,I$1&amp;"" CE"",""""), I$1&amp;""[\w &amp;]*, (\d+\.\d+)"")),"""")
"),5900)</f>
        <v>5900</v>
      </c>
      <c r="J194" s="3" t="n">
        <f aca="false">IFERROR(__xludf.dummyfunction("if($T194&lt;&gt;"""",VALUE(REGEXEXTRACT($T194, J$1&amp;""[\w &amp;]*, (\d+\.\d+)"")),"""")
"),5800)</f>
        <v>5800</v>
      </c>
      <c r="K194" s="3" t="n">
        <f aca="false">IFERROR(__xludf.dummyfunction("if($T194&lt;&gt;"""",VALUE(REGEXEXTRACT($T194, K$1&amp;""[\w &amp;]*, (\d+\.\d+)"")),"""")
"),5790)</f>
        <v>5790</v>
      </c>
      <c r="L194" s="3" t="n">
        <f aca="false">IFERROR(__xludf.dummyfunction("if($T194&lt;&gt;"""",VALUE(REGEXEXTRACT(SUBSTITUTE ($T194,L$1&amp;"" CE"",""""), L$1&amp;""[\w &amp;]*, (\d+\.\d+)"")),"""")
"),5900)</f>
        <v>5900</v>
      </c>
      <c r="M194" s="3" t="n">
        <f aca="false">IFERROR(__xludf.dummyfunction("if($T194&lt;&gt;"""",VALUE(REGEXEXTRACT($T194, M$1&amp;""[\w &amp;]*, (\d+\.\d+)"")),"""")
"),5830)</f>
        <v>5830</v>
      </c>
      <c r="N194" s="3" t="n">
        <f aca="false">IFERROR(__xludf.dummyfunction("if($T194&lt;&gt;"""",VALUE(REGEXEXTRACT(SUBSTITUTE ($T194,N$1&amp;"" CE"",""""), N$1&amp;""[\w &amp;]*, (\d+\.\d+)"")),"""")
"),6000)</f>
        <v>6000</v>
      </c>
      <c r="O194" s="3" t="n">
        <f aca="false">IFERROR(__xludf.dummyfunction("if($T194&lt;&gt;"""",VALUE(REGEXEXTRACT($T194, O$1&amp;""[\w &amp;]*, (\d+\.\d+)"")),"""")
"),5900)</f>
        <v>5900</v>
      </c>
      <c r="P194" s="2" t="n">
        <f aca="false">IFERROR(__xludf.dummyfunction("if($T194&lt;&gt;"""",VALUE(REGEXEXTRACT($T194, P$1&amp;""[\w &amp;]*, (\d+\.\d+)"")),"""")
"),5783.56)</f>
        <v>5783.56</v>
      </c>
      <c r="Q194" s="2" t="n">
        <f aca="false">IFERROR(__xludf.dummyfunction("if($T194&lt;&gt;"""",VALUE(REGEXEXTRACT($T194, Q$1&amp;""[\w &amp;]*, (\d+\.\d+)"")),"""")
"),5761.74)</f>
        <v>5761.74</v>
      </c>
      <c r="R194" s="2" t="n">
        <f aca="false">IFERROR(__xludf.dummyfunction("if($T194&lt;&gt;"""",VALUE(REGEXEXTRACT($T194, SUBSTITUTE(R$1, ""+"", ""\+"")&amp;""[\w &amp;]*, (\d+\.\d+)"")),"""")"),5888.88)</f>
        <v>5888.88</v>
      </c>
      <c r="S194" s="2" t="n">
        <f aca="false">IFERROR(__xludf.dummyfunction("if($T194&lt;&gt;"""",VALUE(REGEXEXTRACT($T194, SUBSTITUTE(S$1, ""+"", ""\+"")&amp;""[\w &amp;]*, (\d+\.\d+)"")),"""")"),5910.7)</f>
        <v>5910.7</v>
      </c>
      <c r="T194" s="7" t="s">
        <v>207</v>
      </c>
      <c r="U194" s="7"/>
    </row>
    <row r="195" customFormat="false" ht="15.75" hidden="false" customHeight="false" outlineLevel="0" collapsed="false">
      <c r="A195" s="4" t="n">
        <f aca="false">IFERROR(__xludf.dummyfunction("""COMPUTED_VALUE"""),45672.6666666667)</f>
        <v>45672.6666666667</v>
      </c>
      <c r="B195" s="2" t="n">
        <f aca="false">IFERROR(__xludf.dummyfunction("""COMPUTED_VALUE"""),5905.21)</f>
        <v>5905.21</v>
      </c>
      <c r="C195" s="2" t="n">
        <f aca="false">IFERROR(__xludf.dummyfunction("""COMPUTED_VALUE"""),5960.61)</f>
        <v>5960.61</v>
      </c>
      <c r="D195" s="2" t="n">
        <f aca="false">IFERROR(__xludf.dummyfunction("""COMPUTED_VALUE"""),5905.21)</f>
        <v>5905.21</v>
      </c>
      <c r="E195" s="2" t="n">
        <f aca="false">IFERROR(__xludf.dummyfunction("""COMPUTED_VALUE"""),5949.91)</f>
        <v>5949.91</v>
      </c>
      <c r="F195" s="3" t="n">
        <f aca="false">IFERROR(__xludf.dummyfunction("if($T195&lt;&gt;"""",VALUE(REGEXEXTRACT(SUBSTITUTE ($T195,F$1&amp;"" CE"",""""), F$1&amp;""[\w &amp;]*, (\d+\.\d+)"")),"""")
"),6000)</f>
        <v>6000</v>
      </c>
      <c r="G195" s="3" t="n">
        <f aca="false">IFERROR(__xludf.dummyfunction("if($T195&lt;&gt;"""",VALUE(REGEXEXTRACT($T195, G$1&amp;""[\w &amp;]*, (\d+\.\d+)"")),"""")
"),5840)</f>
        <v>5840</v>
      </c>
      <c r="H195" s="3" t="n">
        <f aca="false">IFERROR(__xludf.dummyfunction("if($T195&lt;&gt;"""",VALUE(REGEXEXTRACT($T195, H$1&amp;""[\w &amp;]*, (\d+\.\d+)"")),"""")"),6175)</f>
        <v>6175</v>
      </c>
      <c r="I195" s="3" t="n">
        <f aca="false">IFERROR(__xludf.dummyfunction("if($T195&lt;&gt;"""",VALUE(REGEXEXTRACT(SUBSTITUTE ($T195,I$1&amp;"" CE"",""""), I$1&amp;""[\w &amp;]*, (\d+\.\d+)"")),"""")
"),5900)</f>
        <v>5900</v>
      </c>
      <c r="J195" s="3" t="n">
        <f aca="false">IFERROR(__xludf.dummyfunction("if($T195&lt;&gt;"""",VALUE(REGEXEXTRACT($T195, J$1&amp;""[\w &amp;]*, (\d+\.\d+)"")),"""")
"),5770)</f>
        <v>5770</v>
      </c>
      <c r="K195" s="3" t="n">
        <f aca="false">IFERROR(__xludf.dummyfunction("if($T195&lt;&gt;"""",VALUE(REGEXEXTRACT($T195, K$1&amp;""[\w &amp;]*, (\d+\.\d+)"")),"""")
"),5785)</f>
        <v>5785</v>
      </c>
      <c r="L195" s="3" t="n">
        <f aca="false">IFERROR(__xludf.dummyfunction("if($T195&lt;&gt;"""",VALUE(REGEXEXTRACT(SUBSTITUTE ($T195,L$1&amp;"" CE"",""""), L$1&amp;""[\w &amp;]*, (\d+\.\d+)"")),"""")
"),5925)</f>
        <v>5925</v>
      </c>
      <c r="M195" s="3" t="n">
        <f aca="false">IFERROR(__xludf.dummyfunction("if($T195&lt;&gt;"""",VALUE(REGEXEXTRACT($T195, M$1&amp;""[\w &amp;]*, (\d+\.\d+)"")),"""")
"),5835)</f>
        <v>5835</v>
      </c>
      <c r="N195" s="3" t="n">
        <f aca="false">IFERROR(__xludf.dummyfunction("if($T195&lt;&gt;"""",VALUE(REGEXEXTRACT(SUBSTITUTE ($T195,N$1&amp;"" CE"",""""), N$1&amp;""[\w &amp;]*, (\d+\.\d+)"")),"""")
"),6000)</f>
        <v>6000</v>
      </c>
      <c r="O195" s="3" t="n">
        <f aca="false">IFERROR(__xludf.dummyfunction("if($T195&lt;&gt;"""",VALUE(REGEXEXTRACT($T195, O$1&amp;""[\w &amp;]*, (\d+\.\d+)"")),"""")
"),5770)</f>
        <v>5770</v>
      </c>
      <c r="P195" s="2" t="n">
        <f aca="false">IFERROR(__xludf.dummyfunction("if($T195&lt;&gt;"""",VALUE(REGEXEXTRACT($T195, P$1&amp;""[\w &amp;]*, (\d+\.\d+)"")),"""")
"),5773.55)</f>
        <v>5773.55</v>
      </c>
      <c r="Q195" s="2" t="n">
        <f aca="false">IFERROR(__xludf.dummyfunction("if($T195&lt;&gt;"""",VALUE(REGEXEXTRACT($T195, Q$1&amp;""[\w &amp;]*, (\d+\.\d+)"")),"""")
"),5751.39)</f>
        <v>5751.39</v>
      </c>
      <c r="R195" s="2" t="n">
        <f aca="false">IFERROR(__xludf.dummyfunction("if($T195&lt;&gt;"""",VALUE(REGEXEXTRACT($T195, SUBSTITUTE(R$1, ""+"", ""\+"")&amp;""[\w &amp;]*, (\d+\.\d+)"")),"""")"),5880.53)</f>
        <v>5880.53</v>
      </c>
      <c r="S195" s="2" t="n">
        <f aca="false">IFERROR(__xludf.dummyfunction("if($T195&lt;&gt;"""",VALUE(REGEXEXTRACT($T195, SUBSTITUTE(S$1, ""+"", ""\+"")&amp;""[\w &amp;]*, (\d+\.\d+)"")),"""")"),5902.69)</f>
        <v>5902.69</v>
      </c>
      <c r="T195" s="7" t="s">
        <v>208</v>
      </c>
      <c r="U195" s="7"/>
    </row>
    <row r="196" customFormat="false" ht="15.75" hidden="false" customHeight="false" outlineLevel="0" collapsed="false">
      <c r="A196" s="4" t="n">
        <f aca="false">IFERROR(__xludf.dummyfunction("""COMPUTED_VALUE"""),45673.6666666667)</f>
        <v>45673.6666666667</v>
      </c>
      <c r="B196" s="2" t="n">
        <f aca="false">IFERROR(__xludf.dummyfunction("""COMPUTED_VALUE"""),5963.61)</f>
        <v>5963.61</v>
      </c>
      <c r="C196" s="2" t="n">
        <f aca="false">IFERROR(__xludf.dummyfunction("""COMPUTED_VALUE"""),5964.69)</f>
        <v>5964.69</v>
      </c>
      <c r="D196" s="2" t="n">
        <f aca="false">IFERROR(__xludf.dummyfunction("""COMPUTED_VALUE"""),5930.72)</f>
        <v>5930.72</v>
      </c>
      <c r="E196" s="2" t="n">
        <f aca="false">IFERROR(__xludf.dummyfunction("""COMPUTED_VALUE"""),5937.34)</f>
        <v>5937.34</v>
      </c>
      <c r="F196" s="3" t="n">
        <f aca="false">IFERROR(__xludf.dummyfunction("if($T196&lt;&gt;"""",VALUE(REGEXEXTRACT(SUBSTITUTE ($T196,F$1&amp;"" CE"",""""), F$1&amp;""[\w &amp;]*, (\d+\.\d+)"")),"""")
"),6000)</f>
        <v>6000</v>
      </c>
      <c r="G196" s="3" t="n">
        <f aca="false">IFERROR(__xludf.dummyfunction("if($T196&lt;&gt;"""",VALUE(REGEXEXTRACT($T196, G$1&amp;""[\w &amp;]*, (\d+\.\d+)"")),"""")
"),6000)</f>
        <v>6000</v>
      </c>
      <c r="H196" s="3" t="n">
        <f aca="false">IFERROR(__xludf.dummyfunction("if($T196&lt;&gt;"""",VALUE(REGEXEXTRACT($T196, H$1&amp;""[\w &amp;]*, (\d+\.\d+)"")),"""")"),6010)</f>
        <v>6010</v>
      </c>
      <c r="I196" s="3" t="n">
        <f aca="false">IFERROR(__xludf.dummyfunction("if($T196&lt;&gt;"""",VALUE(REGEXEXTRACT(SUBSTITUTE ($T196,I$1&amp;"" CE"",""""), I$1&amp;""[\w &amp;]*, (\d+\.\d+)"")),"""")
"),6000)</f>
        <v>6000</v>
      </c>
      <c r="J196" s="3" t="n">
        <f aca="false">IFERROR(__xludf.dummyfunction("if($T196&lt;&gt;"""",VALUE(REGEXEXTRACT($T196, J$1&amp;""[\w &amp;]*, (\d+\.\d+)"")),"""")
"),5900)</f>
        <v>5900</v>
      </c>
      <c r="K196" s="3" t="n">
        <f aca="false">IFERROR(__xludf.dummyfunction("if($T196&lt;&gt;"""",VALUE(REGEXEXTRACT($T196, K$1&amp;""[\w &amp;]*, (\d+\.\d+)"")),"""")
"),5890)</f>
        <v>5890</v>
      </c>
      <c r="L196" s="3" t="n">
        <f aca="false">IFERROR(__xludf.dummyfunction("if($T196&lt;&gt;"""",VALUE(REGEXEXTRACT(SUBSTITUTE ($T196,L$1&amp;"" CE"",""""), L$1&amp;""[\w &amp;]*, (\d+\.\d+)"")),"""")
"),5930)</f>
        <v>5930</v>
      </c>
      <c r="M196" s="3" t="n">
        <f aca="false">IFERROR(__xludf.dummyfunction("if($T196&lt;&gt;"""",VALUE(REGEXEXTRACT($T196, M$1&amp;""[\w &amp;]*, (\d+\.\d+)"")),"""")
"),5930)</f>
        <v>5930</v>
      </c>
      <c r="N196" s="3" t="n">
        <f aca="false">IFERROR(__xludf.dummyfunction("if($T196&lt;&gt;"""",VALUE(REGEXEXTRACT(SUBSTITUTE ($T196,N$1&amp;"" CE"",""""), N$1&amp;""[\w &amp;]*, (\d+\.\d+)"")),"""")
"),6000)</f>
        <v>6000</v>
      </c>
      <c r="O196" s="3" t="n">
        <f aca="false">IFERROR(__xludf.dummyfunction("if($T196&lt;&gt;"""",VALUE(REGEXEXTRACT($T196, O$1&amp;""[\w &amp;]*, (\d+\.\d+)"")),"""")
"),5900)</f>
        <v>5900</v>
      </c>
      <c r="P196" s="2" t="n">
        <f aca="false">IFERROR(__xludf.dummyfunction("if($T196&lt;&gt;"""",VALUE(REGEXEXTRACT($T196, P$1&amp;""[\w &amp;]*, (\d+\.\d+)"")),"""")
"),5907.35)</f>
        <v>5907.35</v>
      </c>
      <c r="Q196" s="2" t="n">
        <f aca="false">IFERROR(__xludf.dummyfunction("if($T196&lt;&gt;"""",VALUE(REGEXEXTRACT($T196, Q$1&amp;""[\w &amp;]*, (\d+\.\d+)"")),"""")
"),5889.65)</f>
        <v>5889.65</v>
      </c>
      <c r="R196" s="2" t="n">
        <f aca="false">IFERROR(__xludf.dummyfunction("if($T196&lt;&gt;"""",VALUE(REGEXEXTRACT($T196, SUBSTITUTE(R$1, ""+"", ""\+"")&amp;""[\w &amp;]*, (\d+\.\d+)"")),"""")"),5992.47)</f>
        <v>5992.47</v>
      </c>
      <c r="S196" s="2" t="n">
        <f aca="false">IFERROR(__xludf.dummyfunction("if($T196&lt;&gt;"""",VALUE(REGEXEXTRACT($T196, SUBSTITUTE(S$1, ""+"", ""\+"")&amp;""[\w &amp;]*, (\d+\.\d+)"")),"""")"),6010.17)</f>
        <v>6010.17</v>
      </c>
      <c r="T196" s="7" t="s">
        <v>209</v>
      </c>
      <c r="U196" s="7"/>
    </row>
    <row r="197" customFormat="false" ht="15.75" hidden="false" customHeight="false" outlineLevel="0" collapsed="false">
      <c r="A197" s="4" t="n">
        <f aca="false">IFERROR(__xludf.dummyfunction("""COMPUTED_VALUE"""),45674.6666666667)</f>
        <v>45674.6666666667</v>
      </c>
      <c r="B197" s="2" t="n">
        <f aca="false">IFERROR(__xludf.dummyfunction("""COMPUTED_VALUE"""),5995.4)</f>
        <v>5995.4</v>
      </c>
      <c r="C197" s="2" t="n">
        <f aca="false">IFERROR(__xludf.dummyfunction("""COMPUTED_VALUE"""),6014.96)</f>
        <v>6014.96</v>
      </c>
      <c r="D197" s="2" t="n">
        <f aca="false">IFERROR(__xludf.dummyfunction("""COMPUTED_VALUE"""),5978.44)</f>
        <v>5978.44</v>
      </c>
      <c r="E197" s="2" t="n">
        <f aca="false">IFERROR(__xludf.dummyfunction("""COMPUTED_VALUE"""),5996.66)</f>
        <v>5996.66</v>
      </c>
      <c r="F197" s="3" t="n">
        <f aca="false">IFERROR(__xludf.dummyfunction("if($T197&lt;&gt;"""",VALUE(REGEXEXTRACT(SUBSTITUTE ($T197,F$1&amp;"" CE"",""""), F$1&amp;""[\w &amp;]*, (\d+\.\d+)"")),"""")
"),5950)</f>
        <v>5950</v>
      </c>
      <c r="G197" s="3" t="n">
        <f aca="false">IFERROR(__xludf.dummyfunction("if($T197&lt;&gt;"""",VALUE(REGEXEXTRACT($T197, G$1&amp;""[\w &amp;]*, (\d+\.\d+)"")),"""")
"),6000)</f>
        <v>6000</v>
      </c>
      <c r="H197" s="3" t="n">
        <f aca="false">IFERROR(__xludf.dummyfunction("if($T197&lt;&gt;"""",VALUE(REGEXEXTRACT($T197, H$1&amp;""[\w &amp;]*, (\d+\.\d+)"")),"""")"),6010)</f>
        <v>6010</v>
      </c>
      <c r="I197" s="3" t="n">
        <f aca="false">IFERROR(__xludf.dummyfunction("if($T197&lt;&gt;"""",VALUE(REGEXEXTRACT(SUBSTITUTE ($T197,I$1&amp;"" CE"",""""), I$1&amp;""[\w &amp;]*, (\d+\.\d+)"")),"""")
"),5950)</f>
        <v>5950</v>
      </c>
      <c r="J197" s="3" t="n">
        <f aca="false">IFERROR(__xludf.dummyfunction("if($T197&lt;&gt;"""",VALUE(REGEXEXTRACT($T197, J$1&amp;""[\w &amp;]*, (\d+\.\d+)"")),"""")
"),5950)</f>
        <v>5950</v>
      </c>
      <c r="K197" s="3" t="n">
        <f aca="false">IFERROR(__xludf.dummyfunction("if($T197&lt;&gt;"""",VALUE(REGEXEXTRACT($T197, K$1&amp;""[\w &amp;]*, (\d+\.\d+)"")),"""")
"),5890)</f>
        <v>5890</v>
      </c>
      <c r="L197" s="3" t="n">
        <f aca="false">IFERROR(__xludf.dummyfunction("if($T197&lt;&gt;"""",VALUE(REGEXEXTRACT(SUBSTITUTE ($T197,L$1&amp;"" CE"",""""), L$1&amp;""[\w &amp;]*, (\d+\.\d+)"")),"""")
"),5930)</f>
        <v>5930</v>
      </c>
      <c r="M197" s="3" t="n">
        <f aca="false">IFERROR(__xludf.dummyfunction("if($T197&lt;&gt;"""",VALUE(REGEXEXTRACT($T197, M$1&amp;""[\w &amp;]*, (\d+\.\d+)"")),"""")
"),5950)</f>
        <v>5950</v>
      </c>
      <c r="N197" s="3" t="n">
        <f aca="false">IFERROR(__xludf.dummyfunction("if($T197&lt;&gt;"""",VALUE(REGEXEXTRACT(SUBSTITUTE ($T197,N$1&amp;"" CE"",""""), N$1&amp;""[\w &amp;]*, (\d+\.\d+)"")),"""")
"),5950)</f>
        <v>5950</v>
      </c>
      <c r="O197" s="3" t="n">
        <f aca="false">IFERROR(__xludf.dummyfunction("if($T197&lt;&gt;"""",VALUE(REGEXEXTRACT($T197, O$1&amp;""[\w &amp;]*, (\d+\.\d+)"")),"""")
"),5950)</f>
        <v>5950</v>
      </c>
      <c r="P197" s="2" t="n">
        <f aca="false">IFERROR(__xludf.dummyfunction("if($T197&lt;&gt;"""",VALUE(REGEXEXTRACT($T197, P$1&amp;""[\w &amp;]*, (\d+\.\d+)"")),"""")
"),5896.57)</f>
        <v>5896.57</v>
      </c>
      <c r="Q197" s="2" t="n">
        <f aca="false">IFERROR(__xludf.dummyfunction("if($T197&lt;&gt;"""",VALUE(REGEXEXTRACT($T197, Q$1&amp;""[\w &amp;]*, (\d+\.\d+)"")),"""")
"),5845.87)</f>
        <v>5845.87</v>
      </c>
      <c r="R197" s="2" t="n">
        <f aca="false">IFERROR(__xludf.dummyfunction("if($T197&lt;&gt;"""",VALUE(REGEXEXTRACT($T197, SUBSTITUTE(R$1, ""+"", ""\+"")&amp;""[\w &amp;]*, (\d+\.\d+)"")),"""")"),5978.11)</f>
        <v>5978.11</v>
      </c>
      <c r="S197" s="2" t="n">
        <f aca="false">IFERROR(__xludf.dummyfunction("if($T197&lt;&gt;"""",VALUE(REGEXEXTRACT($T197, SUBSTITUTE(S$1, ""+"", ""\+"")&amp;""[\w &amp;]*, (\d+\.\d+)"")),"""")"),6028.81)</f>
        <v>6028.81</v>
      </c>
      <c r="T197" s="7" t="s">
        <v>210</v>
      </c>
      <c r="U197" s="7"/>
    </row>
    <row r="198" customFormat="false" ht="15.75" hidden="false" customHeight="false" outlineLevel="0" collapsed="false">
      <c r="A198" s="4" t="n">
        <f aca="false">IFERROR(__xludf.dummyfunction("""COMPUTED_VALUE"""),45678.6666666667)</f>
        <v>45678.6666666667</v>
      </c>
      <c r="B198" s="2" t="n">
        <f aca="false">IFERROR(__xludf.dummyfunction("""COMPUTED_VALUE"""),6014.12)</f>
        <v>6014.12</v>
      </c>
      <c r="C198" s="2" t="n">
        <f aca="false">IFERROR(__xludf.dummyfunction("""COMPUTED_VALUE"""),6051.51)</f>
        <v>6051.51</v>
      </c>
      <c r="D198" s="2" t="n">
        <f aca="false">IFERROR(__xludf.dummyfunction("""COMPUTED_VALUE"""),6006.88)</f>
        <v>6006.88</v>
      </c>
      <c r="E198" s="2" t="n">
        <f aca="false">IFERROR(__xludf.dummyfunction("""COMPUTED_VALUE"""),6049.24)</f>
        <v>6049.24</v>
      </c>
      <c r="F198" s="3" t="n">
        <f aca="false">IFERROR(__xludf.dummyfunction("if($T198&lt;&gt;"""",VALUE(REGEXEXTRACT(SUBSTITUTE ($T198,F$1&amp;"" CE"",""""), F$1&amp;""[\w &amp;]*, (\d+\.\d+)"")),"""")
"),5950)</f>
        <v>5950</v>
      </c>
      <c r="G198" s="3" t="n">
        <f aca="false">IFERROR(__xludf.dummyfunction("if($T198&lt;&gt;"""",VALUE(REGEXEXTRACT($T198, G$1&amp;""[\w &amp;]*, (\d+\.\d+)"")),"""")
"),6000)</f>
        <v>6000</v>
      </c>
      <c r="H198" s="3" t="n">
        <f aca="false">IFERROR(__xludf.dummyfunction("if($T198&lt;&gt;"""",VALUE(REGEXEXTRACT($T198, H$1&amp;""[\w &amp;]*, (\d+\.\d+)"")),"""")"),6010)</f>
        <v>6010</v>
      </c>
      <c r="I198" s="3" t="n">
        <f aca="false">IFERROR(__xludf.dummyfunction("if($T198&lt;&gt;"""",VALUE(REGEXEXTRACT(SUBSTITUTE ($T198,I$1&amp;"" CE"",""""), I$1&amp;""[\w &amp;]*, (\d+\.\d+)"")),"""")
"),5950)</f>
        <v>5950</v>
      </c>
      <c r="J198" s="3" t="n">
        <f aca="false">IFERROR(__xludf.dummyfunction("if($T198&lt;&gt;"""",VALUE(REGEXEXTRACT($T198, J$1&amp;""[\w &amp;]*, (\d+\.\d+)"")),"""")
"),5950)</f>
        <v>5950</v>
      </c>
      <c r="K198" s="3" t="n">
        <f aca="false">IFERROR(__xludf.dummyfunction("if($T198&lt;&gt;"""",VALUE(REGEXEXTRACT($T198, K$1&amp;""[\w &amp;]*, (\d+\.\d+)"")),"""")
"),5890)</f>
        <v>5890</v>
      </c>
      <c r="L198" s="3" t="n">
        <f aca="false">IFERROR(__xludf.dummyfunction("if($T198&lt;&gt;"""",VALUE(REGEXEXTRACT(SUBSTITUTE ($T198,L$1&amp;"" CE"",""""), L$1&amp;""[\w &amp;]*, (\d+\.\d+)"")),"""")
"),5930)</f>
        <v>5930</v>
      </c>
      <c r="M198" s="3" t="n">
        <f aca="false">IFERROR(__xludf.dummyfunction("if($T198&lt;&gt;"""",VALUE(REGEXEXTRACT($T198, M$1&amp;""[\w &amp;]*, (\d+\.\d+)"")),"""")
"),5950)</f>
        <v>5950</v>
      </c>
      <c r="N198" s="3" t="n">
        <f aca="false">IFERROR(__xludf.dummyfunction("if($T198&lt;&gt;"""",VALUE(REGEXEXTRACT(SUBSTITUTE ($T198,N$1&amp;"" CE"",""""), N$1&amp;""[\w &amp;]*, (\d+\.\d+)"")),"""")
"),5950)</f>
        <v>5950</v>
      </c>
      <c r="O198" s="3" t="n">
        <f aca="false">IFERROR(__xludf.dummyfunction("if($T198&lt;&gt;"""",VALUE(REGEXEXTRACT($T198, O$1&amp;""[\w &amp;]*, (\d+\.\d+)"")),"""")
"),5950)</f>
        <v>5950</v>
      </c>
      <c r="P198" s="2" t="n">
        <f aca="false">IFERROR(__xludf.dummyfunction("if($T198&lt;&gt;"""",VALUE(REGEXEXTRACT($T198, P$1&amp;""[\w &amp;]*, (\d+\.\d+)"")),"""")
"),5896.56)</f>
        <v>5896.56</v>
      </c>
      <c r="Q198" s="2" t="n">
        <f aca="false">IFERROR(__xludf.dummyfunction("if($T198&lt;&gt;"""",VALUE(REGEXEXTRACT($T198, Q$1&amp;""[\w &amp;]*, (\d+\.\d+)"")),"""")
"),5845.85)</f>
        <v>5845.85</v>
      </c>
      <c r="R198" s="2" t="n">
        <f aca="false">IFERROR(__xludf.dummyfunction("if($T198&lt;&gt;"""",VALUE(REGEXEXTRACT($T198, SUBSTITUTE(R$1, ""+"", ""\+"")&amp;""[\w &amp;]*, (\d+\.\d+)"")),"""")"),5978.12)</f>
        <v>5978.12</v>
      </c>
      <c r="S198" s="2" t="n">
        <f aca="false">IFERROR(__xludf.dummyfunction("if($T198&lt;&gt;"""",VALUE(REGEXEXTRACT($T198, SUBSTITUTE(S$1, ""+"", ""\+"")&amp;""[\w &amp;]*, (\d+\.\d+)"")),"""")"),6028.82)</f>
        <v>6028.82</v>
      </c>
      <c r="T198" s="7" t="s">
        <v>211</v>
      </c>
      <c r="U198" s="7"/>
    </row>
    <row r="199" customFormat="false" ht="15.75" hidden="false" customHeight="false" outlineLevel="0" collapsed="false">
      <c r="A199" s="4" t="n">
        <f aca="false">IFERROR(__xludf.dummyfunction("""COMPUTED_VALUE"""),45679.6666666667)</f>
        <v>45679.6666666667</v>
      </c>
      <c r="B199" s="2" t="n">
        <f aca="false">IFERROR(__xludf.dummyfunction("""COMPUTED_VALUE"""),6081.39)</f>
        <v>6081.39</v>
      </c>
      <c r="C199" s="2" t="n">
        <f aca="false">IFERROR(__xludf.dummyfunction("""COMPUTED_VALUE"""),6100.81)</f>
        <v>6100.81</v>
      </c>
      <c r="D199" s="2" t="n">
        <f aca="false">IFERROR(__xludf.dummyfunction("""COMPUTED_VALUE"""),6076.13)</f>
        <v>6076.13</v>
      </c>
      <c r="E199" s="2" t="n">
        <f aca="false">IFERROR(__xludf.dummyfunction("""COMPUTED_VALUE"""),6086.37)</f>
        <v>6086.37</v>
      </c>
      <c r="F199" s="3" t="n">
        <f aca="false">IFERROR(__xludf.dummyfunction("if($T199&lt;&gt;"""",VALUE(REGEXEXTRACT(SUBSTITUTE ($T199,F$1&amp;"" CE"",""""), F$1&amp;""[\w &amp;]*, (\d+\.\d+)"")),"""")
"),6000)</f>
        <v>6000</v>
      </c>
      <c r="G199" s="3" t="n">
        <f aca="false">IFERROR(__xludf.dummyfunction("if($T199&lt;&gt;"""",VALUE(REGEXEXTRACT($T199, G$1&amp;""[\w &amp;]*, (\d+\.\d+)"")),"""")
"),6050)</f>
        <v>6050</v>
      </c>
      <c r="H199" s="3" t="n">
        <f aca="false">IFERROR(__xludf.dummyfunction("if($T199&lt;&gt;"""",VALUE(REGEXEXTRACT($T199, H$1&amp;""[\w &amp;]*, (\d+\.\d+)"")),"""")"),6110)</f>
        <v>6110</v>
      </c>
      <c r="I199" s="3" t="n">
        <f aca="false">IFERROR(__xludf.dummyfunction("if($T199&lt;&gt;"""",VALUE(REGEXEXTRACT(SUBSTITUTE ($T199,I$1&amp;"" CE"",""""), I$1&amp;""[\w &amp;]*, (\d+\.\d+)"")),"""")
"),6000)</f>
        <v>6000</v>
      </c>
      <c r="J199" s="3" t="n">
        <f aca="false">IFERROR(__xludf.dummyfunction("if($T199&lt;&gt;"""",VALUE(REGEXEXTRACT($T199, J$1&amp;""[\w &amp;]*, (\d+\.\d+)"")),"""")
"),5950)</f>
        <v>5950</v>
      </c>
      <c r="K199" s="3" t="n">
        <f aca="false">IFERROR(__xludf.dummyfunction("if($T199&lt;&gt;"""",VALUE(REGEXEXTRACT($T199, K$1&amp;""[\w &amp;]*, (\d+\.\d+)"")),"""")
"),5790)</f>
        <v>5790</v>
      </c>
      <c r="L199" s="3" t="n">
        <f aca="false">IFERROR(__xludf.dummyfunction("if($T199&lt;&gt;"""",VALUE(REGEXEXTRACT(SUBSTITUTE ($T199,L$1&amp;"" CE"",""""), L$1&amp;""[\w &amp;]*, (\d+\.\d+)"")),"""")
"),5975)</f>
        <v>5975</v>
      </c>
      <c r="M199" s="3" t="n">
        <f aca="false">IFERROR(__xludf.dummyfunction("if($T199&lt;&gt;"""",VALUE(REGEXEXTRACT($T199, M$1&amp;""[\w &amp;]*, (\d+\.\d+)"")),"""")
"),5970)</f>
        <v>5970</v>
      </c>
      <c r="N199" s="3" t="n">
        <f aca="false">IFERROR(__xludf.dummyfunction("if($T199&lt;&gt;"""",VALUE(REGEXEXTRACT(SUBSTITUTE ($T199,N$1&amp;"" CE"",""""), N$1&amp;""[\w &amp;]*, (\d+\.\d+)"")),"""")
"),6000)</f>
        <v>6000</v>
      </c>
      <c r="O199" s="3" t="n">
        <f aca="false">IFERROR(__xludf.dummyfunction("if($T199&lt;&gt;"""",VALUE(REGEXEXTRACT($T199, O$1&amp;""[\w &amp;]*, (\d+\.\d+)"")),"""")
"),6000)</f>
        <v>6000</v>
      </c>
      <c r="P199" s="2" t="n">
        <f aca="false">IFERROR(__xludf.dummyfunction("if($T199&lt;&gt;"""",VALUE(REGEXEXTRACT($T199, P$1&amp;""[\w &amp;]*, (\d+\.\d+)"")),"""")
"),5951.77)</f>
        <v>5951.77</v>
      </c>
      <c r="Q199" s="2" t="n">
        <f aca="false">IFERROR(__xludf.dummyfunction("if($T199&lt;&gt;"""",VALUE(REGEXEXTRACT($T199, Q$1&amp;""[\w &amp;]*, (\d+\.\d+)"")),"""")
"),5933.17)</f>
        <v>5933.17</v>
      </c>
      <c r="R199" s="2" t="n">
        <f aca="false">IFERROR(__xludf.dummyfunction("if($T199&lt;&gt;"""",VALUE(REGEXEXTRACT($T199, SUBSTITUTE(R$1, ""+"", ""\+"")&amp;""[\w &amp;]*, (\d+\.\d+)"")),"""")"),6041.55)</f>
        <v>6041.55</v>
      </c>
      <c r="S199" s="2" t="n">
        <f aca="false">IFERROR(__xludf.dummyfunction("if($T199&lt;&gt;"""",VALUE(REGEXEXTRACT($T199, SUBSTITUTE(S$1, ""+"", ""\+"")&amp;""[\w &amp;]*, (\d+\.\d+)"")),"""")"),6060.15)</f>
        <v>6060.15</v>
      </c>
      <c r="T199" s="7" t="s">
        <v>212</v>
      </c>
      <c r="U199" s="7"/>
    </row>
    <row r="200" customFormat="false" ht="15.75" hidden="false" customHeight="false" outlineLevel="0" collapsed="false">
      <c r="A200" s="4" t="n">
        <f aca="false">IFERROR(__xludf.dummyfunction("""COMPUTED_VALUE"""),45680.6666666667)</f>
        <v>45680.6666666667</v>
      </c>
      <c r="B200" s="2" t="n">
        <f aca="false">IFERROR(__xludf.dummyfunction("""COMPUTED_VALUE"""),6076.32)</f>
        <v>6076.32</v>
      </c>
      <c r="C200" s="2" t="n">
        <f aca="false">IFERROR(__xludf.dummyfunction("""COMPUTED_VALUE"""),6118.73)</f>
        <v>6118.73</v>
      </c>
      <c r="D200" s="2" t="n">
        <f aca="false">IFERROR(__xludf.dummyfunction("""COMPUTED_VALUE"""),6074.67)</f>
        <v>6074.67</v>
      </c>
      <c r="E200" s="2" t="n">
        <f aca="false">IFERROR(__xludf.dummyfunction("""COMPUTED_VALUE"""),6118.71)</f>
        <v>6118.71</v>
      </c>
      <c r="F200" s="3" t="n">
        <f aca="false">IFERROR(__xludf.dummyfunction("if($T200&lt;&gt;"""",VALUE(REGEXEXTRACT(SUBSTITUTE ($T200,F$1&amp;"" CE"",""""), F$1&amp;""[\w &amp;]*, (\d+\.\d+)"")),"""")
"),6075)</f>
        <v>6075</v>
      </c>
      <c r="G200" s="3" t="n">
        <f aca="false">IFERROR(__xludf.dummyfunction("if($T200&lt;&gt;"""",VALUE(REGEXEXTRACT($T200, G$1&amp;""[\w &amp;]*, (\d+\.\d+)"")),"""")
"),6075)</f>
        <v>6075</v>
      </c>
      <c r="H200" s="3" t="n">
        <f aca="false">IFERROR(__xludf.dummyfunction("if($T200&lt;&gt;"""",VALUE(REGEXEXTRACT($T200, H$1&amp;""[\w &amp;]*, (\d+\.\d+)"")),"""")"),6090)</f>
        <v>6090</v>
      </c>
      <c r="I200" s="3" t="n">
        <f aca="false">IFERROR(__xludf.dummyfunction("if($T200&lt;&gt;"""",VALUE(REGEXEXTRACT(SUBSTITUTE ($T200,I$1&amp;"" CE"",""""), I$1&amp;""[\w &amp;]*, (\d+\.\d+)"")),"""")
"),6000)</f>
        <v>6000</v>
      </c>
      <c r="J200" s="3" t="n">
        <f aca="false">IFERROR(__xludf.dummyfunction("if($T200&lt;&gt;"""",VALUE(REGEXEXTRACT($T200, J$1&amp;""[\w &amp;]*, (\d+\.\d+)"")),"""")
"),6020)</f>
        <v>6020</v>
      </c>
      <c r="K200" s="3" t="n">
        <f aca="false">IFERROR(__xludf.dummyfunction("if($T200&lt;&gt;"""",VALUE(REGEXEXTRACT($T200, K$1&amp;""[\w &amp;]*, (\d+\.\d+)"")),"""")
"),5790)</f>
        <v>5790</v>
      </c>
      <c r="L200" s="3" t="n">
        <f aca="false">IFERROR(__xludf.dummyfunction("if($T200&lt;&gt;"""",VALUE(REGEXEXTRACT(SUBSTITUTE ($T200,L$1&amp;"" CE"",""""), L$1&amp;""[\w &amp;]*, (\d+\.\d+)"")),"""")
"),6020)</f>
        <v>6020</v>
      </c>
      <c r="M200" s="3" t="n">
        <f aca="false">IFERROR(__xludf.dummyfunction("if($T200&lt;&gt;"""",VALUE(REGEXEXTRACT($T200, M$1&amp;""[\w &amp;]*, (\d+\.\d+)"")),"""")
"),6020)</f>
        <v>6020</v>
      </c>
      <c r="N200" s="3" t="n">
        <f aca="false">IFERROR(__xludf.dummyfunction("if($T200&lt;&gt;"""",VALUE(REGEXEXTRACT(SUBSTITUTE ($T200,N$1&amp;"" CE"",""""), N$1&amp;""[\w &amp;]*, (\d+\.\d+)"")),"""")
"),6000)</f>
        <v>6000</v>
      </c>
      <c r="O200" s="3" t="n">
        <f aca="false">IFERROR(__xludf.dummyfunction("if($T200&lt;&gt;"""",VALUE(REGEXEXTRACT($T200, O$1&amp;""[\w &amp;]*, (\d+\.\d+)"")),"""")
"),6075)</f>
        <v>6075</v>
      </c>
      <c r="P200" s="2" t="n">
        <f aca="false">IFERROR(__xludf.dummyfunction("if($T200&lt;&gt;"""",VALUE(REGEXEXTRACT($T200, P$1&amp;""[\w &amp;]*, (\d+\.\d+)"")),"""")
"),6009.12)</f>
        <v>6009.12</v>
      </c>
      <c r="Q200" s="2" t="n">
        <f aca="false">IFERROR(__xludf.dummyfunction("if($T200&lt;&gt;"""",VALUE(REGEXEXTRACT($T200, Q$1&amp;""[\w &amp;]*, (\d+\.\d+)"")),"""")
"),5992.51)</f>
        <v>5992.51</v>
      </c>
      <c r="R200" s="2" t="n">
        <f aca="false">IFERROR(__xludf.dummyfunction("if($T200&lt;&gt;"""",VALUE(REGEXEXTRACT($T200, SUBSTITUTE(R$1, ""+"", ""\+"")&amp;""[\w &amp;]*, (\d+\.\d+)"")),"""")"),6089.36)</f>
        <v>6089.36</v>
      </c>
      <c r="S200" s="2" t="n">
        <f aca="false">IFERROR(__xludf.dummyfunction("if($T200&lt;&gt;"""",VALUE(REGEXEXTRACT($T200, SUBSTITUTE(S$1, ""+"", ""\+"")&amp;""[\w &amp;]*, (\d+\.\d+)"")),"""")"),6105.97)</f>
        <v>6105.97</v>
      </c>
      <c r="T200" s="7" t="s">
        <v>213</v>
      </c>
      <c r="U200" s="7"/>
    </row>
    <row r="201" customFormat="false" ht="15.75" hidden="false" customHeight="false" outlineLevel="0" collapsed="false">
      <c r="A201" s="4" t="n">
        <f aca="false">IFERROR(__xludf.dummyfunction("""COMPUTED_VALUE"""),45681.6666666667)</f>
        <v>45681.6666666667</v>
      </c>
      <c r="B201" s="2" t="n">
        <f aca="false">IFERROR(__xludf.dummyfunction("""COMPUTED_VALUE"""),6121.43)</f>
        <v>6121.43</v>
      </c>
      <c r="C201" s="2" t="n">
        <f aca="false">IFERROR(__xludf.dummyfunction("""COMPUTED_VALUE"""),6128.18)</f>
        <v>6128.18</v>
      </c>
      <c r="D201" s="2" t="n">
        <f aca="false">IFERROR(__xludf.dummyfunction("""COMPUTED_VALUE"""),6088.74)</f>
        <v>6088.74</v>
      </c>
      <c r="E201" s="2" t="n">
        <f aca="false">IFERROR(__xludf.dummyfunction("""COMPUTED_VALUE"""),6101.24)</f>
        <v>6101.24</v>
      </c>
      <c r="F201" s="3" t="n">
        <f aca="false">IFERROR(__xludf.dummyfunction("if($T201&lt;&gt;"""",VALUE(REGEXEXTRACT(SUBSTITUTE ($T201,F$1&amp;"" CE"",""""), F$1&amp;""[\w &amp;]*, (\d+\.\d+)"")),"""")
"),6110)</f>
        <v>6110</v>
      </c>
      <c r="G201" s="3" t="n">
        <f aca="false">IFERROR(__xludf.dummyfunction("if($T201&lt;&gt;"""",VALUE(REGEXEXTRACT($T201, G$1&amp;""[\w &amp;]*, (\d+\.\d+)"")),"""")
"),6110)</f>
        <v>6110</v>
      </c>
      <c r="H201" s="3" t="n">
        <f aca="false">IFERROR(__xludf.dummyfunction("if($T201&lt;&gt;"""",VALUE(REGEXEXTRACT($T201, H$1&amp;""[\w &amp;]*, (\d+\.\d+)"")),"""")"),6125)</f>
        <v>6125</v>
      </c>
      <c r="I201" s="3" t="n">
        <f aca="false">IFERROR(__xludf.dummyfunction("if($T201&lt;&gt;"""",VALUE(REGEXEXTRACT(SUBSTITUTE ($T201,I$1&amp;"" CE"",""""), I$1&amp;""[\w &amp;]*, (\d+\.\d+)"")),"""")
"),6060)</f>
        <v>6060</v>
      </c>
      <c r="J201" s="3" t="n">
        <f aca="false">IFERROR(__xludf.dummyfunction("if($T201&lt;&gt;"""",VALUE(REGEXEXTRACT($T201, J$1&amp;""[\w &amp;]*, (\d+\.\d+)"")),"""")
"),6060)</f>
        <v>6060</v>
      </c>
      <c r="K201" s="3" t="n">
        <f aca="false">IFERROR(__xludf.dummyfunction("if($T201&lt;&gt;"""",VALUE(REGEXEXTRACT($T201, K$1&amp;""[\w &amp;]*, (\d+\.\d+)"")),"""")
"),6045)</f>
        <v>6045</v>
      </c>
      <c r="L201" s="3" t="n">
        <f aca="false">IFERROR(__xludf.dummyfunction("if($T201&lt;&gt;"""",VALUE(REGEXEXTRACT(SUBSTITUTE ($T201,L$1&amp;"" CE"",""""), L$1&amp;""[\w &amp;]*, (\d+\.\d+)"")),"""")
"),6065)</f>
        <v>6065</v>
      </c>
      <c r="M201" s="3" t="n">
        <f aca="false">IFERROR(__xludf.dummyfunction("if($T201&lt;&gt;"""",VALUE(REGEXEXTRACT($T201, M$1&amp;""[\w &amp;]*, (\d+\.\d+)"")),"""")
"),6080)</f>
        <v>6080</v>
      </c>
      <c r="N201" s="3" t="n">
        <f aca="false">IFERROR(__xludf.dummyfunction("if($T201&lt;&gt;"""",VALUE(REGEXEXTRACT(SUBSTITUTE ($T201,N$1&amp;"" CE"",""""), N$1&amp;""[\w &amp;]*, (\d+\.\d+)"")),"""")
"),6000)</f>
        <v>6000</v>
      </c>
      <c r="O201" s="3" t="n">
        <f aca="false">IFERROR(__xludf.dummyfunction("if($T201&lt;&gt;"""",VALUE(REGEXEXTRACT($T201, O$1&amp;""[\w &amp;]*, (\d+\.\d+)"")),"""")
"),6060)</f>
        <v>6060</v>
      </c>
      <c r="P201" s="2" t="n">
        <f aca="false">IFERROR(__xludf.dummyfunction("if($T201&lt;&gt;"""",VALUE(REGEXEXTRACT($T201, P$1&amp;""[\w &amp;]*, (\d+\.\d+)"")),"""")
"),6048.7)</f>
        <v>6048.7</v>
      </c>
      <c r="Q201" s="2" t="n">
        <f aca="false">IFERROR(__xludf.dummyfunction("if($T201&lt;&gt;"""",VALUE(REGEXEXTRACT($T201, Q$1&amp;""[\w &amp;]*, (\d+\.\d+)"")),"""")
"),6033.09)</f>
        <v>6033.09</v>
      </c>
      <c r="R201" s="2" t="n">
        <f aca="false">IFERROR(__xludf.dummyfunction("if($T201&lt;&gt;"""",VALUE(REGEXEXTRACT($T201, SUBSTITUTE(R$1, ""+"", ""\+"")&amp;""[\w &amp;]*, (\d+\.\d+)"")),"""")"),6124.04)</f>
        <v>6124.04</v>
      </c>
      <c r="S201" s="2" t="n">
        <f aca="false">IFERROR(__xludf.dummyfunction("if($T201&lt;&gt;"""",VALUE(REGEXEXTRACT($T201, SUBSTITUTE(S$1, ""+"", ""\+"")&amp;""[\w &amp;]*, (\d+\.\d+)"")),"""")"),6139.65)</f>
        <v>6139.65</v>
      </c>
      <c r="T201" s="7" t="s">
        <v>214</v>
      </c>
      <c r="U201" s="7"/>
    </row>
    <row r="202" customFormat="false" ht="15.75" hidden="false" customHeight="false" outlineLevel="0" collapsed="false">
      <c r="A202" s="4" t="n">
        <f aca="false">IFERROR(__xludf.dummyfunction("""COMPUTED_VALUE"""),45684.6666666667)</f>
        <v>45684.6666666667</v>
      </c>
      <c r="B202" s="2" t="n">
        <f aca="false">IFERROR(__xludf.dummyfunction("""COMPUTED_VALUE"""),5969.04)</f>
        <v>5969.04</v>
      </c>
      <c r="C202" s="2" t="n">
        <f aca="false">IFERROR(__xludf.dummyfunction("""COMPUTED_VALUE"""),6017.17)</f>
        <v>6017.17</v>
      </c>
      <c r="D202" s="2" t="n">
        <f aca="false">IFERROR(__xludf.dummyfunction("""COMPUTED_VALUE"""),5962.92)</f>
        <v>5962.92</v>
      </c>
      <c r="E202" s="2" t="n">
        <f aca="false">IFERROR(__xludf.dummyfunction("""COMPUTED_VALUE"""),6012.28)</f>
        <v>6012.28</v>
      </c>
      <c r="F202" s="3" t="n">
        <f aca="false">IFERROR(__xludf.dummyfunction("if($T202&lt;&gt;"""",VALUE(REGEXEXTRACT(SUBSTITUTE ($T202,F$1&amp;"" CE"",""""), F$1&amp;""[\w &amp;]*, (\d+\.\d+)"")),"""")
"),6000)</f>
        <v>6000</v>
      </c>
      <c r="G202" s="3" t="n">
        <f aca="false">IFERROR(__xludf.dummyfunction("if($T202&lt;&gt;"""",VALUE(REGEXEXTRACT($T202, G$1&amp;""[\w &amp;]*, (\d+\.\d+)"")),"""")
"),6185)</f>
        <v>6185</v>
      </c>
      <c r="H202" s="3" t="n">
        <f aca="false">IFERROR(__xludf.dummyfunction("if($T202&lt;&gt;"""",VALUE(REGEXEXTRACT($T202, H$1&amp;""[\w &amp;]*, (\d+\.\d+)"")),"""")"),6215)</f>
        <v>6215</v>
      </c>
      <c r="I202" s="3" t="n">
        <f aca="false">IFERROR(__xludf.dummyfunction("if($T202&lt;&gt;"""",VALUE(REGEXEXTRACT(SUBSTITUTE ($T202,I$1&amp;"" CE"",""""), I$1&amp;""[\w &amp;]*, (\d+\.\d+)"")),"""")
"),6000)</f>
        <v>6000</v>
      </c>
      <c r="J202" s="3" t="n">
        <f aca="false">IFERROR(__xludf.dummyfunction("if($T202&lt;&gt;"""",VALUE(REGEXEXTRACT($T202, J$1&amp;""[\w &amp;]*, (\d+\.\d+)"")),"""")
"),5960)</f>
        <v>5960</v>
      </c>
      <c r="K202" s="3" t="n">
        <f aca="false">IFERROR(__xludf.dummyfunction("if($T202&lt;&gt;"""",VALUE(REGEXEXTRACT($T202, K$1&amp;""[\w &amp;]*, (\d+\.\d+)"")),"""")
"),5890)</f>
        <v>5890</v>
      </c>
      <c r="L202" s="3" t="n">
        <f aca="false">IFERROR(__xludf.dummyfunction("if($T202&lt;&gt;"""",VALUE(REGEXEXTRACT(SUBSTITUTE ($T202,L$1&amp;"" CE"",""""), L$1&amp;""[\w &amp;]*, (\d+\.\d+)"")),"""")
"),6065)</f>
        <v>6065</v>
      </c>
      <c r="M202" s="3" t="n">
        <f aca="false">IFERROR(__xludf.dummyfunction("if($T202&lt;&gt;"""",VALUE(REGEXEXTRACT($T202, M$1&amp;""[\w &amp;]*, (\d+\.\d+)"")),"""")
"),6105)</f>
        <v>6105</v>
      </c>
      <c r="N202" s="3" t="n">
        <f aca="false">IFERROR(__xludf.dummyfunction("if($T202&lt;&gt;"""",VALUE(REGEXEXTRACT(SUBSTITUTE ($T202,N$1&amp;"" CE"",""""), N$1&amp;""[\w &amp;]*, (\d+\.\d+)"")),"""")
"),6000)</f>
        <v>6000</v>
      </c>
      <c r="O202" s="3" t="n">
        <f aca="false">IFERROR(__xludf.dummyfunction("if($T202&lt;&gt;"""",VALUE(REGEXEXTRACT($T202, O$1&amp;""[\w &amp;]*, (\d+\.\d+)"")),"""")
"),5960)</f>
        <v>5960</v>
      </c>
      <c r="P202" s="2" t="n">
        <f aca="false">IFERROR(__xludf.dummyfunction("if($T202&lt;&gt;"""",VALUE(REGEXEXTRACT($T202, P$1&amp;""[\w &amp;]*, (\d+\.\d+)"")),"""")
"),6053.02)</f>
        <v>6053.02</v>
      </c>
      <c r="Q202" s="2" t="n">
        <f aca="false">IFERROR(__xludf.dummyfunction("if($T202&lt;&gt;"""",VALUE(REGEXEXTRACT($T202, Q$1&amp;""[\w &amp;]*, (\d+\.\d+)"")),"""")
"),6033.05)</f>
        <v>6033.05</v>
      </c>
      <c r="R202" s="2" t="n">
        <f aca="false">IFERROR(__xludf.dummyfunction("if($T202&lt;&gt;"""",VALUE(REGEXEXTRACT($T202, SUBSTITUTE(R$1, ""+"", ""\+"")&amp;""[\w &amp;]*, (\d+\.\d+)"")),"""")"),6149.46)</f>
        <v>6149.46</v>
      </c>
      <c r="S202" s="2" t="n">
        <f aca="false">IFERROR(__xludf.dummyfunction("if($T202&lt;&gt;"""",VALUE(REGEXEXTRACT($T202, SUBSTITUTE(S$1, ""+"", ""\+"")&amp;""[\w &amp;]*, (\d+\.\d+)"")),"""")"),6169.43)</f>
        <v>6169.43</v>
      </c>
      <c r="T202" s="7" t="s">
        <v>215</v>
      </c>
      <c r="U202" s="7"/>
    </row>
    <row r="203" customFormat="false" ht="15.75" hidden="false" customHeight="false" outlineLevel="0" collapsed="false">
      <c r="A203" s="4" t="n">
        <f aca="false">IFERROR(__xludf.dummyfunction("""COMPUTED_VALUE"""),45685.6666666667)</f>
        <v>45685.6666666667</v>
      </c>
      <c r="B203" s="2" t="n">
        <f aca="false">IFERROR(__xludf.dummyfunction("""COMPUTED_VALUE"""),6026.97)</f>
        <v>6026.97</v>
      </c>
      <c r="C203" s="2" t="n">
        <f aca="false">IFERROR(__xludf.dummyfunction("""COMPUTED_VALUE"""),6074.54)</f>
        <v>6074.54</v>
      </c>
      <c r="D203" s="2" t="n">
        <f aca="false">IFERROR(__xludf.dummyfunction("""COMPUTED_VALUE"""),5994.63)</f>
        <v>5994.63</v>
      </c>
      <c r="E203" s="2" t="n">
        <f aca="false">IFERROR(__xludf.dummyfunction("""COMPUTED_VALUE"""),6067.7)</f>
        <v>6067.7</v>
      </c>
      <c r="F203" s="3" t="n">
        <f aca="false">IFERROR(__xludf.dummyfunction("if($T203&lt;&gt;"""",VALUE(REGEXEXTRACT(SUBSTITUTE ($T203,F$1&amp;"" CE"",""""), F$1&amp;""[\w &amp;]*, (\d+\.\d+)"")),"""")
"),6140)</f>
        <v>6140</v>
      </c>
      <c r="G203" s="3" t="n">
        <f aca="false">IFERROR(__xludf.dummyfunction("if($T203&lt;&gt;"""",VALUE(REGEXEXTRACT($T203, G$1&amp;""[\w &amp;]*, (\d+\.\d+)"")),"""")
"),6140)</f>
        <v>6140</v>
      </c>
      <c r="H203" s="3" t="n">
        <f aca="false">IFERROR(__xludf.dummyfunction("if($T203&lt;&gt;"""",VALUE(REGEXEXTRACT($T203, H$1&amp;""[\w &amp;]*, (\d+\.\d+)"")),"""")"),6165)</f>
        <v>6165</v>
      </c>
      <c r="I203" s="3" t="n">
        <f aca="false">IFERROR(__xludf.dummyfunction("if($T203&lt;&gt;"""",VALUE(REGEXEXTRACT(SUBSTITUTE ($T203,I$1&amp;"" CE"",""""), I$1&amp;""[\w &amp;]*, (\d+\.\d+)"")),"""")
"),6090)</f>
        <v>6090</v>
      </c>
      <c r="J203" s="3" t="n">
        <f aca="false">IFERROR(__xludf.dummyfunction("if($T203&lt;&gt;"""",VALUE(REGEXEXTRACT($T203, J$1&amp;""[\w &amp;]*, (\d+\.\d+)"")),"""")
"),6090)</f>
        <v>6090</v>
      </c>
      <c r="K203" s="3" t="n">
        <f aca="false">IFERROR(__xludf.dummyfunction("if($T203&lt;&gt;"""",VALUE(REGEXEXTRACT($T203, K$1&amp;""[\w &amp;]*, (\d+\.\d+)"")),"""")
"),6055)</f>
        <v>6055</v>
      </c>
      <c r="L203" s="3" t="n">
        <f aca="false">IFERROR(__xludf.dummyfunction("if($T203&lt;&gt;"""",VALUE(REGEXEXTRACT(SUBSTITUTE ($T203,L$1&amp;"" CE"",""""), L$1&amp;""[\w &amp;]*, (\d+\.\d+)"")),"""")
"),6095)</f>
        <v>6095</v>
      </c>
      <c r="M203" s="3" t="n">
        <f aca="false">IFERROR(__xludf.dummyfunction("if($T203&lt;&gt;"""",VALUE(REGEXEXTRACT($T203, M$1&amp;""[\w &amp;]*, (\d+\.\d+)"")),"""")
"),6095)</f>
        <v>6095</v>
      </c>
      <c r="N203" s="3" t="n">
        <f aca="false">IFERROR(__xludf.dummyfunction("if($T203&lt;&gt;"""",VALUE(REGEXEXTRACT(SUBSTITUTE ($T203,N$1&amp;"" CE"",""""), N$1&amp;""[\w &amp;]*, (\d+\.\d+)"")),"""")
"),6100)</f>
        <v>6100</v>
      </c>
      <c r="O203" s="3" t="n">
        <f aca="false">IFERROR(__xludf.dummyfunction("if($T203&lt;&gt;"""",VALUE(REGEXEXTRACT($T203, O$1&amp;""[\w &amp;]*, (\d+\.\d+)"")),"""")
"),6090)</f>
        <v>6090</v>
      </c>
      <c r="P203" s="2" t="n">
        <f aca="false">IFERROR(__xludf.dummyfunction("if($T203&lt;&gt;"""",VALUE(REGEXEXTRACT($T203, P$1&amp;""[\w &amp;]*, (\d+\.\d+)"")),"""")
"),6081.85)</f>
        <v>6081.85</v>
      </c>
      <c r="Q203" s="2" t="n">
        <f aca="false">IFERROR(__xludf.dummyfunction("if($T203&lt;&gt;"""",VALUE(REGEXEXTRACT($T203, Q$1&amp;""[\w &amp;]*, (\d+\.\d+)"")),"""")
"),6044.98)</f>
        <v>6044.98</v>
      </c>
      <c r="R203" s="2" t="n">
        <f aca="false">IFERROR(__xludf.dummyfunction("if($T203&lt;&gt;"""",VALUE(REGEXEXTRACT($T203, SUBSTITUTE(R$1, ""+"", ""\+"")&amp;""[\w &amp;]*, (\d+\.\d+)"")),"""")"),6155.57)</f>
        <v>6155.57</v>
      </c>
      <c r="S203" s="2" t="n">
        <f aca="false">IFERROR(__xludf.dummyfunction("if($T203&lt;&gt;"""",VALUE(REGEXEXTRACT($T203, SUBSTITUTE(S$1, ""+"", ""\+"")&amp;""[\w &amp;]*, (\d+\.\d+)"")),"""")"),6192.44)</f>
        <v>6192.44</v>
      </c>
      <c r="T203" s="7" t="s">
        <v>216</v>
      </c>
      <c r="U203" s="7"/>
    </row>
    <row r="204" customFormat="false" ht="15.75" hidden="false" customHeight="false" outlineLevel="0" collapsed="false">
      <c r="A204" s="4" t="n">
        <f aca="false">IFERROR(__xludf.dummyfunction("""COMPUTED_VALUE"""),45686.6666666667)</f>
        <v>45686.6666666667</v>
      </c>
      <c r="B204" s="2" t="n">
        <f aca="false">IFERROR(__xludf.dummyfunction("""COMPUTED_VALUE"""),6057.7)</f>
        <v>6057.7</v>
      </c>
      <c r="C204" s="2" t="n">
        <f aca="false">IFERROR(__xludf.dummyfunction("""COMPUTED_VALUE"""),6062.83)</f>
        <v>6062.83</v>
      </c>
      <c r="D204" s="2" t="n">
        <f aca="false">IFERROR(__xludf.dummyfunction("""COMPUTED_VALUE"""),6012.96)</f>
        <v>6012.96</v>
      </c>
      <c r="E204" s="2" t="n">
        <f aca="false">IFERROR(__xludf.dummyfunction("""COMPUTED_VALUE"""),6039.31)</f>
        <v>6039.31</v>
      </c>
      <c r="F204" s="3" t="n">
        <f aca="false">IFERROR(__xludf.dummyfunction("if($T204&lt;&gt;"""",VALUE(REGEXEXTRACT(SUBSTITUTE ($T204,F$1&amp;"" CE"",""""), F$1&amp;""[\w &amp;]*, (\d+\.\d+)"")),"""")
"),6000)</f>
        <v>6000</v>
      </c>
      <c r="G204" s="3" t="n">
        <f aca="false">IFERROR(__xludf.dummyfunction("if($T204&lt;&gt;"""",VALUE(REGEXEXTRACT($T204, G$1&amp;""[\w &amp;]*, (\d+\.\d+)"")),"""")
"),6050)</f>
        <v>6050</v>
      </c>
      <c r="H204" s="3" t="n">
        <f aca="false">IFERROR(__xludf.dummyfunction("if($T204&lt;&gt;"""",VALUE(REGEXEXTRACT($T204, H$1&amp;""[\w &amp;]*, (\d+\.\d+)"")),"""")"),6110)</f>
        <v>6110</v>
      </c>
      <c r="I204" s="3" t="n">
        <f aca="false">IFERROR(__xludf.dummyfunction("if($T204&lt;&gt;"""",VALUE(REGEXEXTRACT(SUBSTITUTE ($T204,I$1&amp;"" CE"",""""), I$1&amp;""[\w &amp;]*, (\d+\.\d+)"")),"""")
"),6000)</f>
        <v>6000</v>
      </c>
      <c r="J204" s="3" t="n">
        <f aca="false">IFERROR(__xludf.dummyfunction("if($T204&lt;&gt;"""",VALUE(REGEXEXTRACT($T204, J$1&amp;""[\w &amp;]*, (\d+\.\d+)"")),"""")
"),5940)</f>
        <v>5940</v>
      </c>
      <c r="K204" s="3" t="n">
        <f aca="false">IFERROR(__xludf.dummyfunction("if($T204&lt;&gt;"""",VALUE(REGEXEXTRACT($T204, K$1&amp;""[\w &amp;]*, (\d+\.\d+)"")),"""")
"),5790)</f>
        <v>5790</v>
      </c>
      <c r="L204" s="3" t="n">
        <f aca="false">IFERROR(__xludf.dummyfunction("if($T204&lt;&gt;"""",VALUE(REGEXEXTRACT(SUBSTITUTE ($T204,L$1&amp;"" CE"",""""), L$1&amp;""[\w &amp;]*, (\d+\.\d+)"")),"""")
"),5975)</f>
        <v>5975</v>
      </c>
      <c r="M204" s="3" t="n">
        <f aca="false">IFERROR(__xludf.dummyfunction("if($T204&lt;&gt;"""",VALUE(REGEXEXTRACT($T204, M$1&amp;""[\w &amp;]*, (\d+\.\d+)"")),"""")
"),5970)</f>
        <v>5970</v>
      </c>
      <c r="N204" s="3" t="n">
        <f aca="false">IFERROR(__xludf.dummyfunction("if($T204&lt;&gt;"""",VALUE(REGEXEXTRACT(SUBSTITUTE ($T204,N$1&amp;"" CE"",""""), N$1&amp;""[\w &amp;]*, (\d+\.\d+)"")),"""")
"),6000)</f>
        <v>6000</v>
      </c>
      <c r="O204" s="3" t="n">
        <f aca="false">IFERROR(__xludf.dummyfunction("if($T204&lt;&gt;"""",VALUE(REGEXEXTRACT($T204, O$1&amp;""[\w &amp;]*, (\d+\.\d+)"")),"""")
"),6000)</f>
        <v>6000</v>
      </c>
      <c r="P204" s="2" t="n">
        <f aca="false">IFERROR(__xludf.dummyfunction("if($T204&lt;&gt;"""",VALUE(REGEXEXTRACT($T204, P$1&amp;""[\w &amp;]*, (\d+\.\d+)"")),"""")
"),5935.72)</f>
        <v>5935.72</v>
      </c>
      <c r="Q204" s="2" t="n">
        <f aca="false">IFERROR(__xludf.dummyfunction("if($T204&lt;&gt;"""",VALUE(REGEXEXTRACT($T204, Q$1&amp;""[\w &amp;]*, (\d+\.\d+)"")),"""")
"),5922.02)</f>
        <v>5922.02</v>
      </c>
      <c r="R204" s="2" t="n">
        <f aca="false">IFERROR(__xludf.dummyfunction("if($T204&lt;&gt;"""",VALUE(REGEXEXTRACT($T204, SUBSTITUTE(R$1, ""+"", ""\+"")&amp;""[\w &amp;]*, (\d+\.\d+)"")),"""")"),6057.6)</f>
        <v>6057.6</v>
      </c>
      <c r="S204" s="2" t="n">
        <f aca="false">IFERROR(__xludf.dummyfunction("if($T204&lt;&gt;"""",VALUE(REGEXEXTRACT($T204, SUBSTITUTE(S$1, ""+"", ""\+"")&amp;""[\w &amp;]*, (\d+\.\d+)"")),"""")"),6071.3)</f>
        <v>6071.3</v>
      </c>
      <c r="T204" s="7" t="s">
        <v>217</v>
      </c>
      <c r="U204" s="7"/>
    </row>
    <row r="205" customFormat="false" ht="15.75" hidden="false" customHeight="false" outlineLevel="0" collapsed="false">
      <c r="A205" s="4" t="n">
        <f aca="false">IFERROR(__xludf.dummyfunction("""COMPUTED_VALUE"""),45687.6666666667)</f>
        <v>45687.6666666667</v>
      </c>
      <c r="B205" s="2" t="n">
        <f aca="false">IFERROR(__xludf.dummyfunction("""COMPUTED_VALUE"""),6050.75)</f>
        <v>6050.75</v>
      </c>
      <c r="C205" s="2" t="n">
        <f aca="false">IFERROR(__xludf.dummyfunction("""COMPUTED_VALUE"""),6086.64)</f>
        <v>6086.64</v>
      </c>
      <c r="D205" s="2" t="n">
        <f aca="false">IFERROR(__xludf.dummyfunction("""COMPUTED_VALUE"""),6027.46)</f>
        <v>6027.46</v>
      </c>
      <c r="E205" s="2" t="n">
        <f aca="false">IFERROR(__xludf.dummyfunction("""COMPUTED_VALUE"""),6071.17)</f>
        <v>6071.17</v>
      </c>
      <c r="F205" s="3" t="n">
        <f aca="false">IFERROR(__xludf.dummyfunction("if($T205&lt;&gt;"""",VALUE(REGEXEXTRACT(SUBSTITUTE ($T205,F$1&amp;"" CE"",""""), F$1&amp;""[\w &amp;]*, (\d+\.\d+)"")),"""")
"),6000)</f>
        <v>6000</v>
      </c>
      <c r="G205" s="3" t="n">
        <f aca="false">IFERROR(__xludf.dummyfunction("if($T205&lt;&gt;"""",VALUE(REGEXEXTRACT($T205, G$1&amp;""[\w &amp;]*, (\d+\.\d+)"")),"""")
"),6100)</f>
        <v>6100</v>
      </c>
      <c r="H205" s="3" t="n">
        <f aca="false">IFERROR(__xludf.dummyfunction("if($T205&lt;&gt;"""",VALUE(REGEXEXTRACT($T205, H$1&amp;""[\w &amp;]*, (\d+\.\d+)"")),"""")"),6215)</f>
        <v>6215</v>
      </c>
      <c r="I205" s="3" t="n">
        <f aca="false">IFERROR(__xludf.dummyfunction("if($T205&lt;&gt;"""",VALUE(REGEXEXTRACT(SUBSTITUTE ($T205,I$1&amp;"" CE"",""""), I$1&amp;""[\w &amp;]*, (\d+\.\d+)"")),"""")
"),6000)</f>
        <v>6000</v>
      </c>
      <c r="J205" s="3" t="n">
        <f aca="false">IFERROR(__xludf.dummyfunction("if($T205&lt;&gt;"""",VALUE(REGEXEXTRACT($T205, J$1&amp;""[\w &amp;]*, (\d+\.\d+)"")),"""")
"),6000)</f>
        <v>6000</v>
      </c>
      <c r="K205" s="3" t="n">
        <f aca="false">IFERROR(__xludf.dummyfunction("if($T205&lt;&gt;"""",VALUE(REGEXEXTRACT($T205, K$1&amp;""[\w &amp;]*, (\d+\.\d+)"")),"""")
"),5890)</f>
        <v>5890</v>
      </c>
      <c r="L205" s="3" t="n">
        <f aca="false">IFERROR(__xludf.dummyfunction("if($T205&lt;&gt;"""",VALUE(REGEXEXTRACT(SUBSTITUTE ($T205,L$1&amp;"" CE"",""""), L$1&amp;""[\w &amp;]*, (\d+\.\d+)"")),"""")
"),6015)</f>
        <v>6015</v>
      </c>
      <c r="M205" s="3" t="n">
        <f aca="false">IFERROR(__xludf.dummyfunction("if($T205&lt;&gt;"""",VALUE(REGEXEXTRACT($T205, M$1&amp;""[\w &amp;]*, (\d+\.\d+)"")),"""")
"),6045)</f>
        <v>6045</v>
      </c>
      <c r="N205" s="3" t="n">
        <f aca="false">IFERROR(__xludf.dummyfunction("if($T205&lt;&gt;"""",VALUE(REGEXEXTRACT(SUBSTITUTE ($T205,N$1&amp;"" CE"",""""), N$1&amp;""[\w &amp;]*, (\d+\.\d+)"")),"""")
"),6000)</f>
        <v>6000</v>
      </c>
      <c r="O205" s="3" t="n">
        <f aca="false">IFERROR(__xludf.dummyfunction("if($T205&lt;&gt;"""",VALUE(REGEXEXTRACT($T205, O$1&amp;""[\w &amp;]*, (\d+\.\d+)"")),"""")
"),6100)</f>
        <v>6100</v>
      </c>
      <c r="P205" s="2" t="n">
        <f aca="false">IFERROR(__xludf.dummyfunction("if($T205&lt;&gt;"""",VALUE(REGEXEXTRACT($T205, P$1&amp;""[\w &amp;]*, (\d+\.\d+)"")),"""")
"),5995.49)</f>
        <v>5995.49</v>
      </c>
      <c r="Q205" s="2" t="n">
        <f aca="false">IFERROR(__xludf.dummyfunction("if($T205&lt;&gt;"""",VALUE(REGEXEXTRACT($T205, Q$1&amp;""[\w &amp;]*, (\d+\.\d+)"")),"""")
"),5977.33)</f>
        <v>5977.33</v>
      </c>
      <c r="R205" s="2" t="n">
        <f aca="false">IFERROR(__xludf.dummyfunction("if($T205&lt;&gt;"""",VALUE(REGEXEXTRACT($T205, SUBSTITUTE(R$1, ""+"", ""\+"")&amp;""[\w &amp;]*, (\d+\.\d+)"")),"""")"),6083.14)</f>
        <v>6083.14</v>
      </c>
      <c r="S205" s="2" t="n">
        <f aca="false">IFERROR(__xludf.dummyfunction("if($T205&lt;&gt;"""",VALUE(REGEXEXTRACT($T205, SUBSTITUTE(S$1, ""+"", ""\+"")&amp;""[\w &amp;]*, (\d+\.\d+)"")),"""")"),6101.29)</f>
        <v>6101.29</v>
      </c>
      <c r="T205" s="7" t="s">
        <v>218</v>
      </c>
      <c r="U205" s="7"/>
    </row>
    <row r="206" customFormat="false" ht="15.75" hidden="false" customHeight="false" outlineLevel="0" collapsed="false">
      <c r="A206" s="4" t="n">
        <f aca="false">IFERROR(__xludf.dummyfunction("""COMPUTED_VALUE"""),45688.6666666667)</f>
        <v>45688.6666666667</v>
      </c>
      <c r="B206" s="2" t="n">
        <f aca="false">IFERROR(__xludf.dummyfunction("""COMPUTED_VALUE"""),6096.79)</f>
        <v>6096.79</v>
      </c>
      <c r="C206" s="2" t="n">
        <f aca="false">IFERROR(__xludf.dummyfunction("""COMPUTED_VALUE"""),6120.91)</f>
        <v>6120.91</v>
      </c>
      <c r="D206" s="2" t="n">
        <f aca="false">IFERROR(__xludf.dummyfunction("""COMPUTED_VALUE"""),6030.93)</f>
        <v>6030.93</v>
      </c>
      <c r="E206" s="2" t="n">
        <f aca="false">IFERROR(__xludf.dummyfunction("""COMPUTED_VALUE"""),6040.53)</f>
        <v>6040.53</v>
      </c>
      <c r="F206" s="3" t="n">
        <f aca="false">IFERROR(__xludf.dummyfunction("if($T206&lt;&gt;"""",VALUE(REGEXEXTRACT(SUBSTITUTE ($T206,F$1&amp;"" CE"",""""), F$1&amp;""[\w &amp;]*, (\d+\.\d+)"")),"""")
"),6100)</f>
        <v>6100</v>
      </c>
      <c r="G206" s="3" t="n">
        <f aca="false">IFERROR(__xludf.dummyfunction("if($T206&lt;&gt;"""",VALUE(REGEXEXTRACT($T206, G$1&amp;""[\w &amp;]*, (\d+\.\d+)"")),"""")
"),6100)</f>
        <v>6100</v>
      </c>
      <c r="H206" s="3" t="n">
        <f aca="false">IFERROR(__xludf.dummyfunction("if($T206&lt;&gt;"""",VALUE(REGEXEXTRACT($T206, H$1&amp;""[\w &amp;]*, (\d+\.\d+)"")),"""")"),6165)</f>
        <v>6165</v>
      </c>
      <c r="I206" s="3" t="n">
        <f aca="false">IFERROR(__xludf.dummyfunction("if($T206&lt;&gt;"""",VALUE(REGEXEXTRACT(SUBSTITUTE ($T206,I$1&amp;"" CE"",""""), I$1&amp;""[\w &amp;]*, (\d+\.\d+)"")),"""")
"),6000)</f>
        <v>6000</v>
      </c>
      <c r="J206" s="3" t="n">
        <f aca="false">IFERROR(__xludf.dummyfunction("if($T206&lt;&gt;"""",VALUE(REGEXEXTRACT($T206, J$1&amp;""[\w &amp;]*, (\d+\.\d+)"")),"""")
"),6000)</f>
        <v>6000</v>
      </c>
      <c r="K206" s="3" t="n">
        <f aca="false">IFERROR(__xludf.dummyfunction("if($T206&lt;&gt;"""",VALUE(REGEXEXTRACT($T206, K$1&amp;""[\w &amp;]*, (\d+\.\d+)"")),"""")
"),5990)</f>
        <v>5990</v>
      </c>
      <c r="L206" s="3" t="n">
        <f aca="false">IFERROR(__xludf.dummyfunction("if($T206&lt;&gt;"""",VALUE(REGEXEXTRACT(SUBSTITUTE ($T206,L$1&amp;"" CE"",""""), L$1&amp;""[\w &amp;]*, (\d+\.\d+)"")),"""")
"),6060)</f>
        <v>6060</v>
      </c>
      <c r="M206" s="3" t="n">
        <f aca="false">IFERROR(__xludf.dummyfunction("if($T206&lt;&gt;"""",VALUE(REGEXEXTRACT($T206, M$1&amp;""[\w &amp;]*, (\d+\.\d+)"")),"""")
"),6010)</f>
        <v>6010</v>
      </c>
      <c r="N206" s="3" t="n">
        <f aca="false">IFERROR(__xludf.dummyfunction("if($T206&lt;&gt;"""",VALUE(REGEXEXTRACT(SUBSTITUTE ($T206,N$1&amp;"" CE"",""""), N$1&amp;""[\w &amp;]*, (\d+\.\d+)"")),"""")
"),6100)</f>
        <v>6100</v>
      </c>
      <c r="O206" s="3" t="n">
        <f aca="false">IFERROR(__xludf.dummyfunction("if($T206&lt;&gt;"""",VALUE(REGEXEXTRACT($T206, O$1&amp;""[\w &amp;]*, (\d+\.\d+)"")),"""")
"),6100)</f>
        <v>6100</v>
      </c>
      <c r="P206" s="2" t="n">
        <f aca="false">IFERROR(__xludf.dummyfunction("if($T206&lt;&gt;"""",VALUE(REGEXEXTRACT($T206, P$1&amp;""[\w &amp;]*, (\d+\.\d+)"")),"""")
"),6029.74)</f>
        <v>6029.74</v>
      </c>
      <c r="Q206" s="2" t="n">
        <f aca="false">IFERROR(__xludf.dummyfunction("if($T206&lt;&gt;"""",VALUE(REGEXEXTRACT($T206, Q$1&amp;""[\w &amp;]*, (\d+\.\d+)"")),"""")
"),5988.32)</f>
        <v>5988.32</v>
      </c>
      <c r="R206" s="2" t="n">
        <f aca="false">IFERROR(__xludf.dummyfunction("if($T206&lt;&gt;"""",VALUE(REGEXEXTRACT($T206, SUBSTITUTE(R$1, ""+"", ""\+"")&amp;""[\w &amp;]*, (\d+\.\d+)"")),"""")"),6112.6)</f>
        <v>6112.6</v>
      </c>
      <c r="S206" s="2" t="n">
        <f aca="false">IFERROR(__xludf.dummyfunction("if($T206&lt;&gt;"""",VALUE(REGEXEXTRACT($T206, SUBSTITUTE(S$1, ""+"", ""\+"")&amp;""[\w &amp;]*, (\d+\.\d+)"")),"""")"),6154.02)</f>
        <v>6154.02</v>
      </c>
      <c r="T206" s="7" t="s">
        <v>219</v>
      </c>
      <c r="U206" s="7"/>
    </row>
    <row r="207" customFormat="false" ht="15.75" hidden="false" customHeight="false" outlineLevel="0" collapsed="false">
      <c r="A207" s="4" t="n">
        <f aca="false">IFERROR(__xludf.dummyfunction("""COMPUTED_VALUE"""),45691.6666666667)</f>
        <v>45691.6666666667</v>
      </c>
      <c r="B207" s="2" t="n">
        <f aca="false">IFERROR(__xludf.dummyfunction("""COMPUTED_VALUE"""),5969.65)</f>
        <v>5969.65</v>
      </c>
      <c r="C207" s="2" t="n">
        <f aca="false">IFERROR(__xludf.dummyfunction("""COMPUTED_VALUE"""),6022.13)</f>
        <v>6022.13</v>
      </c>
      <c r="D207" s="2" t="n">
        <f aca="false">IFERROR(__xludf.dummyfunction("""COMPUTED_VALUE"""),5923.93)</f>
        <v>5923.93</v>
      </c>
      <c r="E207" s="2" t="n">
        <f aca="false">IFERROR(__xludf.dummyfunction("""COMPUTED_VALUE"""),5994.57)</f>
        <v>5994.57</v>
      </c>
      <c r="F207" s="3" t="n">
        <f aca="false">IFERROR(__xludf.dummyfunction("if($T207&lt;&gt;"""",VALUE(REGEXEXTRACT(SUBSTITUTE ($T207,F$1&amp;"" CE"",""""), F$1&amp;""[\w &amp;]*, (\d+\.\d+)"")),"""")
"),6000)</f>
        <v>6000</v>
      </c>
      <c r="G207" s="3" t="n">
        <f aca="false">IFERROR(__xludf.dummyfunction("if($T207&lt;&gt;"""",VALUE(REGEXEXTRACT($T207, G$1&amp;""[\w &amp;]*, (\d+\.\d+)"")),"""")
"),6100)</f>
        <v>6100</v>
      </c>
      <c r="H207" s="3" t="n">
        <f aca="false">IFERROR(__xludf.dummyfunction("if($T207&lt;&gt;"""",VALUE(REGEXEXTRACT($T207, H$1&amp;""[\w &amp;]*, (\d+\.\d+)"")),"""")"),6210)</f>
        <v>6210</v>
      </c>
      <c r="I207" s="3" t="n">
        <f aca="false">IFERROR(__xludf.dummyfunction("if($T207&lt;&gt;"""",VALUE(REGEXEXTRACT(SUBSTITUTE ($T207,I$1&amp;"" CE"",""""), I$1&amp;""[\w &amp;]*, (\d+\.\d+)"")),"""")
"),6000)</f>
        <v>6000</v>
      </c>
      <c r="J207" s="3" t="n">
        <f aca="false">IFERROR(__xludf.dummyfunction("if($T207&lt;&gt;"""",VALUE(REGEXEXTRACT($T207, J$1&amp;""[\w &amp;]*, (\d+\.\d+)"")),"""")
"),6025)</f>
        <v>6025</v>
      </c>
      <c r="K207" s="3" t="n">
        <f aca="false">IFERROR(__xludf.dummyfunction("if($T207&lt;&gt;"""",VALUE(REGEXEXTRACT($T207, K$1&amp;""[\w &amp;]*, (\d+\.\d+)"")),"""")
"),5975)</f>
        <v>5975</v>
      </c>
      <c r="L207" s="3" t="n">
        <f aca="false">IFERROR(__xludf.dummyfunction("if($T207&lt;&gt;"""",VALUE(REGEXEXTRACT(SUBSTITUTE ($T207,L$1&amp;"" CE"",""""), L$1&amp;""[\w &amp;]*, (\d+\.\d+)"")),"""")
"),6025)</f>
        <v>6025</v>
      </c>
      <c r="M207" s="3" t="n">
        <f aca="false">IFERROR(__xludf.dummyfunction("if($T207&lt;&gt;"""",VALUE(REGEXEXTRACT($T207, M$1&amp;""[\w &amp;]*, (\d+\.\d+)"")),"""")
"),6045)</f>
        <v>6045</v>
      </c>
      <c r="N207" s="3" t="n">
        <f aca="false">IFERROR(__xludf.dummyfunction("if($T207&lt;&gt;"""",VALUE(REGEXEXTRACT(SUBSTITUTE ($T207,N$1&amp;"" CE"",""""), N$1&amp;""[\w &amp;]*, (\d+\.\d+)"")),"""")
"),6000)</f>
        <v>6000</v>
      </c>
      <c r="O207" s="3" t="n">
        <f aca="false">IFERROR(__xludf.dummyfunction("if($T207&lt;&gt;"""",VALUE(REGEXEXTRACT($T207, O$1&amp;""[\w &amp;]*, (\d+\.\d+)"")),"""")
"),6100)</f>
        <v>6100</v>
      </c>
      <c r="P207" s="2" t="n">
        <f aca="false">IFERROR(__xludf.dummyfunction("if($T207&lt;&gt;"""",VALUE(REGEXEXTRACT($T207, P$1&amp;""[\w &amp;]*, (\d+\.\d+)"")),"""")
"),6022.36)</f>
        <v>6022.36</v>
      </c>
      <c r="Q207" s="2" t="n">
        <f aca="false">IFERROR(__xludf.dummyfunction("if($T207&lt;&gt;"""",VALUE(REGEXEXTRACT($T207, Q$1&amp;""[\w &amp;]*, (\d+\.\d+)"")),"""")
"),6003.58)</f>
        <v>6003.58</v>
      </c>
      <c r="R207" s="2" t="n">
        <f aca="false">IFERROR(__xludf.dummyfunction("if($T207&lt;&gt;"""",VALUE(REGEXEXTRACT($T207, SUBSTITUTE(R$1, ""+"", ""\+"")&amp;""[\w &amp;]*, (\d+\.\d+)"")),"""")"),6113.04)</f>
        <v>6113.04</v>
      </c>
      <c r="S207" s="2" t="n">
        <f aca="false">IFERROR(__xludf.dummyfunction("if($T207&lt;&gt;"""",VALUE(REGEXEXTRACT($T207, SUBSTITUTE(S$1, ""+"", ""\+"")&amp;""[\w &amp;]*, (\d+\.\d+)"")),"""")"),6131.82)</f>
        <v>6131.82</v>
      </c>
      <c r="T207" s="7" t="s">
        <v>220</v>
      </c>
      <c r="U207" s="7"/>
    </row>
    <row r="208" customFormat="false" ht="15.75" hidden="false" customHeight="false" outlineLevel="0" collapsed="false">
      <c r="A208" s="4" t="n">
        <f aca="false">IFERROR(__xludf.dummyfunction("""COMPUTED_VALUE"""),45692.6666666667)</f>
        <v>45692.6666666667</v>
      </c>
      <c r="B208" s="2" t="n">
        <f aca="false">IFERROR(__xludf.dummyfunction("""COMPUTED_VALUE"""),5998.14)</f>
        <v>5998.14</v>
      </c>
      <c r="C208" s="2" t="n">
        <f aca="false">IFERROR(__xludf.dummyfunction("""COMPUTED_VALUE"""),6042.48)</f>
        <v>6042.48</v>
      </c>
      <c r="D208" s="2" t="n">
        <f aca="false">IFERROR(__xludf.dummyfunction("""COMPUTED_VALUE"""),5990.87)</f>
        <v>5990.87</v>
      </c>
      <c r="E208" s="2" t="n">
        <f aca="false">IFERROR(__xludf.dummyfunction("""COMPUTED_VALUE"""),6037.88)</f>
        <v>6037.88</v>
      </c>
      <c r="F208" s="3" t="n">
        <f aca="false">IFERROR(__xludf.dummyfunction("if($T208&lt;&gt;"""",VALUE(REGEXEXTRACT(SUBSTITUTE ($T208,F$1&amp;"" CE"",""""), F$1&amp;""[\w &amp;]*, (\d+\.\d+)"")),"""")
"),6000)</f>
        <v>6000</v>
      </c>
      <c r="G208" s="3" t="n">
        <f aca="false">IFERROR(__xludf.dummyfunction("if($T208&lt;&gt;"""",VALUE(REGEXEXTRACT($T208, G$1&amp;""[\w &amp;]*, (\d+\.\d+)"")),"""")
"),6035)</f>
        <v>6035</v>
      </c>
      <c r="H208" s="3" t="n">
        <f aca="false">IFERROR(__xludf.dummyfunction("if($T208&lt;&gt;"""",VALUE(REGEXEXTRACT($T208, H$1&amp;""[\w &amp;]*, (\d+\.\d+)"")),"""")"),6210)</f>
        <v>6210</v>
      </c>
      <c r="I208" s="3" t="n">
        <f aca="false">IFERROR(__xludf.dummyfunction("if($T208&lt;&gt;"""",VALUE(REGEXEXTRACT(SUBSTITUTE ($T208,I$1&amp;"" CE"",""""), I$1&amp;""[\w &amp;]*, (\d+\.\d+)"")),"""")
"),6000)</f>
        <v>6000</v>
      </c>
      <c r="J208" s="3" t="n">
        <f aca="false">IFERROR(__xludf.dummyfunction("if($T208&lt;&gt;"""",VALUE(REGEXEXTRACT($T208, J$1&amp;""[\w &amp;]*, (\d+\.\d+)"")),"""")
"),5950)</f>
        <v>5950</v>
      </c>
      <c r="K208" s="3" t="n">
        <f aca="false">IFERROR(__xludf.dummyfunction("if($T208&lt;&gt;"""",VALUE(REGEXEXTRACT($T208, K$1&amp;""[\w &amp;]*, (\d+\.\d+)"")),"""")
"),5890)</f>
        <v>5890</v>
      </c>
      <c r="L208" s="3" t="n">
        <f aca="false">IFERROR(__xludf.dummyfunction("if($T208&lt;&gt;"""",VALUE(REGEXEXTRACT(SUBSTITUTE ($T208,L$1&amp;"" CE"",""""), L$1&amp;""[\w &amp;]*, (\d+\.\d+)"")),"""")
"),6025)</f>
        <v>6025</v>
      </c>
      <c r="M208" s="3" t="n">
        <f aca="false">IFERROR(__xludf.dummyfunction("if($T208&lt;&gt;"""",VALUE(REGEXEXTRACT($T208, M$1&amp;""[\w &amp;]*, (\d+\.\d+)"")),"""")
"),5990)</f>
        <v>5990</v>
      </c>
      <c r="N208" s="3" t="n">
        <f aca="false">IFERROR(__xludf.dummyfunction("if($T208&lt;&gt;"""",VALUE(REGEXEXTRACT(SUBSTITUTE ($T208,N$1&amp;"" CE"",""""), N$1&amp;""[\w &amp;]*, (\d+\.\d+)"")),"""")
"),6000)</f>
        <v>6000</v>
      </c>
      <c r="O208" s="3" t="n">
        <f aca="false">IFERROR(__xludf.dummyfunction("if($T208&lt;&gt;"""",VALUE(REGEXEXTRACT($T208, O$1&amp;""[\w &amp;]*, (\d+\.\d+)"")),"""")
"),6030)</f>
        <v>6030</v>
      </c>
      <c r="P208" s="2" t="n">
        <f aca="false">IFERROR(__xludf.dummyfunction("if($T208&lt;&gt;"""",VALUE(REGEXEXTRACT($T208, P$1&amp;""[\w &amp;]*, (\d+\.\d+)"")),"""")
"),5944.34)</f>
        <v>5944.34</v>
      </c>
      <c r="Q208" s="2" t="n">
        <f aca="false">IFERROR(__xludf.dummyfunction("if($T208&lt;&gt;"""",VALUE(REGEXEXTRACT($T208, Q$1&amp;""[\w &amp;]*, (\d+\.\d+)"")),"""")
"),5923.53)</f>
        <v>5923.53</v>
      </c>
      <c r="R208" s="2" t="n">
        <f aca="false">IFERROR(__xludf.dummyfunction("if($T208&lt;&gt;"""",VALUE(REGEXEXTRACT($T208, SUBSTITUTE(R$1, ""+"", ""\+"")&amp;""[\w &amp;]*, (\d+\.\d+)"")),"""")"),6044.8)</f>
        <v>6044.8</v>
      </c>
      <c r="S208" s="2" t="n">
        <f aca="false">IFERROR(__xludf.dummyfunction("if($T208&lt;&gt;"""",VALUE(REGEXEXTRACT($T208, SUBSTITUTE(S$1, ""+"", ""\+"")&amp;""[\w &amp;]*, (\d+\.\d+)"")),"""")"),6065.61)</f>
        <v>6065.61</v>
      </c>
      <c r="T208" s="7" t="s">
        <v>221</v>
      </c>
      <c r="U208" s="7"/>
    </row>
    <row r="209" customFormat="false" ht="15.75" hidden="false" customHeight="false" outlineLevel="0" collapsed="false">
      <c r="A209" s="4" t="n">
        <f aca="false">IFERROR(__xludf.dummyfunction("""COMPUTED_VALUE"""),45693.6666666667)</f>
        <v>45693.6666666667</v>
      </c>
      <c r="B209" s="2" t="n">
        <f aca="false">IFERROR(__xludf.dummyfunction("""COMPUTED_VALUE"""),6020.45)</f>
        <v>6020.45</v>
      </c>
      <c r="C209" s="2" t="n">
        <f aca="false">IFERROR(__xludf.dummyfunction("""COMPUTED_VALUE"""),6062.86)</f>
        <v>6062.86</v>
      </c>
      <c r="D209" s="2" t="n">
        <f aca="false">IFERROR(__xludf.dummyfunction("""COMPUTED_VALUE"""),6007.06)</f>
        <v>6007.06</v>
      </c>
      <c r="E209" s="2" t="n">
        <f aca="false">IFERROR(__xludf.dummyfunction("""COMPUTED_VALUE"""),6061.48)</f>
        <v>6061.48</v>
      </c>
      <c r="F209" s="3" t="n">
        <f aca="false">IFERROR(__xludf.dummyfunction("if($T209&lt;&gt;"""",VALUE(REGEXEXTRACT(SUBSTITUTE ($T209,F$1&amp;"" CE"",""""), F$1&amp;""[\w &amp;]*, (\d+\.\d+)"")),"""")
"),6000)</f>
        <v>6000</v>
      </c>
      <c r="G209" s="3" t="n">
        <f aca="false">IFERROR(__xludf.dummyfunction("if($T209&lt;&gt;"""",VALUE(REGEXEXTRACT($T209, G$1&amp;""[\w &amp;]*, (\d+\.\d+)"")),"""")
"),6075)</f>
        <v>6075</v>
      </c>
      <c r="H209" s="3" t="n">
        <f aca="false">IFERROR(__xludf.dummyfunction("if($T209&lt;&gt;"""",VALUE(REGEXEXTRACT($T209, H$1&amp;""[\w &amp;]*, (\d+\.\d+)"")),"""")"),6210)</f>
        <v>6210</v>
      </c>
      <c r="I209" s="3" t="n">
        <f aca="false">IFERROR(__xludf.dummyfunction("if($T209&lt;&gt;"""",VALUE(REGEXEXTRACT(SUBSTITUTE ($T209,I$1&amp;"" CE"",""""), I$1&amp;""[\w &amp;]*, (\d+\.\d+)"")),"""")
"),6000)</f>
        <v>6000</v>
      </c>
      <c r="J209" s="3" t="n">
        <f aca="false">IFERROR(__xludf.dummyfunction("if($T209&lt;&gt;"""",VALUE(REGEXEXTRACT($T209, J$1&amp;""[\w &amp;]*, (\d+\.\d+)"")),"""")
"),5950)</f>
        <v>5950</v>
      </c>
      <c r="K209" s="3" t="n">
        <f aca="false">IFERROR(__xludf.dummyfunction("if($T209&lt;&gt;"""",VALUE(REGEXEXTRACT($T209, K$1&amp;""[\w &amp;]*, (\d+\.\d+)"")),"""")
"),5925)</f>
        <v>5925</v>
      </c>
      <c r="L209" s="3" t="n">
        <f aca="false">IFERROR(__xludf.dummyfunction("if($T209&lt;&gt;"""",VALUE(REGEXEXTRACT(SUBSTITUTE ($T209,L$1&amp;"" CE"",""""), L$1&amp;""[\w &amp;]*, (\d+\.\d+)"")),"""")
"),6060)</f>
        <v>6060</v>
      </c>
      <c r="M209" s="3" t="n">
        <f aca="false">IFERROR(__xludf.dummyfunction("if($T209&lt;&gt;"""",VALUE(REGEXEXTRACT($T209, M$1&amp;""[\w &amp;]*, (\d+\.\d+)"")),"""")
"),6060)</f>
        <v>6060</v>
      </c>
      <c r="N209" s="3" t="n">
        <f aca="false">IFERROR(__xludf.dummyfunction("if($T209&lt;&gt;"""",VALUE(REGEXEXTRACT(SUBSTITUTE ($T209,N$1&amp;"" CE"",""""), N$1&amp;""[\w &amp;]*, (\d+\.\d+)"")),"""")
"),6000)</f>
        <v>6000</v>
      </c>
      <c r="O209" s="3" t="n">
        <f aca="false">IFERROR(__xludf.dummyfunction("if($T209&lt;&gt;"""",VALUE(REGEXEXTRACT($T209, O$1&amp;""[\w &amp;]*, (\d+\.\d+)"")),"""")
"),5950)</f>
        <v>5950</v>
      </c>
      <c r="P209" s="2" t="n">
        <f aca="false">IFERROR(__xludf.dummyfunction("if($T209&lt;&gt;"""",VALUE(REGEXEXTRACT($T209, P$1&amp;""[\w &amp;]*, (\d+\.\d+)"")),"""")
"),5991.32)</f>
        <v>5991.32</v>
      </c>
      <c r="Q209" s="2" t="n">
        <f aca="false">IFERROR(__xludf.dummyfunction("if($T209&lt;&gt;"""",VALUE(REGEXEXTRACT($T209, Q$1&amp;""[\w &amp;]*, (\d+\.\d+)"")),"""")
"),5970.94)</f>
        <v>5970.94</v>
      </c>
      <c r="R209" s="2" t="n">
        <f aca="false">IFERROR(__xludf.dummyfunction("if($T209&lt;&gt;"""",VALUE(REGEXEXTRACT($T209, SUBSTITUTE(R$1, ""+"", ""\+"")&amp;""[\w &amp;]*, (\d+\.\d+)"")),"""")"),6089.74)</f>
        <v>6089.74</v>
      </c>
      <c r="S209" s="2" t="n">
        <f aca="false">IFERROR(__xludf.dummyfunction("if($T209&lt;&gt;"""",VALUE(REGEXEXTRACT($T209, SUBSTITUTE(S$1, ""+"", ""\+"")&amp;""[\w &amp;]*, (\d+\.\d+)"")),"""")"),6110.12)</f>
        <v>6110.12</v>
      </c>
      <c r="T209" s="7" t="s">
        <v>222</v>
      </c>
      <c r="U209" s="7"/>
    </row>
    <row r="210" customFormat="false" ht="15.75" hidden="false" customHeight="false" outlineLevel="0" collapsed="false">
      <c r="A210" s="4" t="n">
        <f aca="false">IFERROR(__xludf.dummyfunction("""COMPUTED_VALUE"""),45694.6666666667)</f>
        <v>45694.6666666667</v>
      </c>
      <c r="B210" s="2" t="n">
        <f aca="false">IFERROR(__xludf.dummyfunction("""COMPUTED_VALUE"""),6072.22)</f>
        <v>6072.22</v>
      </c>
      <c r="C210" s="2" t="n">
        <f aca="false">IFERROR(__xludf.dummyfunction("""COMPUTED_VALUE"""),6084.03)</f>
        <v>6084.03</v>
      </c>
      <c r="D210" s="2" t="n">
        <f aca="false">IFERROR(__xludf.dummyfunction("""COMPUTED_VALUE"""),6046.83)</f>
        <v>6046.83</v>
      </c>
      <c r="E210" s="2" t="n">
        <f aca="false">IFERROR(__xludf.dummyfunction("""COMPUTED_VALUE"""),6083.57)</f>
        <v>6083.57</v>
      </c>
      <c r="F210" s="3" t="n">
        <f aca="false">IFERROR(__xludf.dummyfunction("if($T210&lt;&gt;"""",VALUE(REGEXEXTRACT(SUBSTITUTE ($T210,F$1&amp;"" CE"",""""), F$1&amp;""[\w &amp;]*, (\d+\.\d+)"")),"""")
"),6000)</f>
        <v>6000</v>
      </c>
      <c r="G210" s="3" t="n">
        <f aca="false">IFERROR(__xludf.dummyfunction("if($T210&lt;&gt;"""",VALUE(REGEXEXTRACT($T210, G$1&amp;""[\w &amp;]*, (\d+\.\d+)"")),"""")
"),6080)</f>
        <v>6080</v>
      </c>
      <c r="H210" s="3" t="n">
        <f aca="false">IFERROR(__xludf.dummyfunction("if($T210&lt;&gt;"""",VALUE(REGEXEXTRACT($T210, H$1&amp;""[\w &amp;]*, (\d+\.\d+)"")),"""")"),6110)</f>
        <v>6110</v>
      </c>
      <c r="I210" s="3" t="n">
        <f aca="false">IFERROR(__xludf.dummyfunction("if($T210&lt;&gt;"""",VALUE(REGEXEXTRACT(SUBSTITUTE ($T210,I$1&amp;"" CE"",""""), I$1&amp;""[\w &amp;]*, (\d+\.\d+)"")),"""")
"),6000)</f>
        <v>6000</v>
      </c>
      <c r="J210" s="3" t="n">
        <f aca="false">IFERROR(__xludf.dummyfunction("if($T210&lt;&gt;"""",VALUE(REGEXEXTRACT($T210, J$1&amp;""[\w &amp;]*, (\d+\.\d+)"")),"""")
"),6035)</f>
        <v>6035</v>
      </c>
      <c r="K210" s="3" t="n">
        <f aca="false">IFERROR(__xludf.dummyfunction("if($T210&lt;&gt;"""",VALUE(REGEXEXTRACT($T210, K$1&amp;""[\w &amp;]*, (\d+\.\d+)"")),"""")
"),5975)</f>
        <v>5975</v>
      </c>
      <c r="L210" s="3" t="n">
        <f aca="false">IFERROR(__xludf.dummyfunction("if($T210&lt;&gt;"""",VALUE(REGEXEXTRACT(SUBSTITUTE ($T210,L$1&amp;"" CE"",""""), L$1&amp;""[\w &amp;]*, (\d+\.\d+)"")),"""")
"),6045)</f>
        <v>6045</v>
      </c>
      <c r="M210" s="3" t="n">
        <f aca="false">IFERROR(__xludf.dummyfunction("if($T210&lt;&gt;"""",VALUE(REGEXEXTRACT($T210, M$1&amp;""[\w &amp;]*, (\d+\.\d+)"")),"""")
"),6045)</f>
        <v>6045</v>
      </c>
      <c r="N210" s="3" t="n">
        <f aca="false">IFERROR(__xludf.dummyfunction("if($T210&lt;&gt;"""",VALUE(REGEXEXTRACT(SUBSTITUTE ($T210,N$1&amp;"" CE"",""""), N$1&amp;""[\w &amp;]*, (\d+\.\d+)"")),"""")
"),6000)</f>
        <v>6000</v>
      </c>
      <c r="O210" s="3" t="n">
        <f aca="false">IFERROR(__xludf.dummyfunction("if($T210&lt;&gt;"""",VALUE(REGEXEXTRACT($T210, O$1&amp;""[\w &amp;]*, (\d+\.\d+)"")),"""")
"),6080)</f>
        <v>6080</v>
      </c>
      <c r="P210" s="2" t="n">
        <f aca="false">IFERROR(__xludf.dummyfunction("if($T210&lt;&gt;"""",VALUE(REGEXEXTRACT($T210, P$1&amp;""[\w &amp;]*, (\d+\.\d+)"")),"""")
"),6018.84)</f>
        <v>6018.84</v>
      </c>
      <c r="Q210" s="2" t="n">
        <f aca="false">IFERROR(__xludf.dummyfunction("if($T210&lt;&gt;"""",VALUE(REGEXEXTRACT($T210, Q$1&amp;""[\w &amp;]*, (\d+\.\d+)"")),"""")
"),6001.18)</f>
        <v>6001.18</v>
      </c>
      <c r="R210" s="2" t="n">
        <f aca="false">IFERROR(__xludf.dummyfunction("if($T210&lt;&gt;"""",VALUE(REGEXEXTRACT($T210, SUBSTITUTE(R$1, ""+"", ""\+"")&amp;""[\w &amp;]*, (\d+\.\d+)"")),"""")"),6104.12)</f>
        <v>6104.12</v>
      </c>
      <c r="S210" s="2" t="n">
        <f aca="false">IFERROR(__xludf.dummyfunction("if($T210&lt;&gt;"""",VALUE(REGEXEXTRACT($T210, SUBSTITUTE(S$1, ""+"", ""\+"")&amp;""[\w &amp;]*, (\d+\.\d+)"")),"""")"),6121.78)</f>
        <v>6121.78</v>
      </c>
      <c r="T210" s="7" t="s">
        <v>223</v>
      </c>
      <c r="U210" s="7"/>
    </row>
    <row r="211" customFormat="false" ht="15.75" hidden="false" customHeight="false" outlineLevel="0" collapsed="false">
      <c r="A211" s="4"/>
      <c r="B211" s="2"/>
      <c r="C211" s="2"/>
      <c r="D211" s="2"/>
      <c r="E211" s="2"/>
      <c r="F211" s="3" t="n">
        <f aca="false">IFERROR(__xludf.dummyfunction("if($T211&lt;&gt;"""",VALUE(REGEXEXTRACT(SUBSTITUTE ($T211,F$1&amp;"" CE"",""""), F$1&amp;""[\w &amp;]*, (\d+\.\d+)"")),"""")
"),6000)</f>
        <v>6000</v>
      </c>
      <c r="G211" s="3" t="n">
        <f aca="false">IFERROR(__xludf.dummyfunction("if($T211&lt;&gt;"""",VALUE(REGEXEXTRACT($T211, G$1&amp;""[\w &amp;]*, (\d+\.\d+)"")),"""")
"),6055)</f>
        <v>6055</v>
      </c>
      <c r="H211" s="3" t="n">
        <f aca="false">IFERROR(__xludf.dummyfunction("if($T211&lt;&gt;"""",VALUE(REGEXEXTRACT($T211, H$1&amp;""[\w &amp;]*, (\d+\.\d+)"")),"""")"),6210)</f>
        <v>6210</v>
      </c>
      <c r="I211" s="3" t="n">
        <f aca="false">IFERROR(__xludf.dummyfunction("if($T211&lt;&gt;"""",VALUE(REGEXEXTRACT(SUBSTITUTE ($T211,I$1&amp;"" CE"",""""), I$1&amp;""[\w &amp;]*, (\d+\.\d+)"")),"""")
"),6000)</f>
        <v>6000</v>
      </c>
      <c r="J211" s="3" t="n">
        <f aca="false">IFERROR(__xludf.dummyfunction("if($T211&lt;&gt;"""",VALUE(REGEXEXTRACT($T211, J$1&amp;""[\w &amp;]*, (\d+\.\d+)"")),"""")
"),6000)</f>
        <v>6000</v>
      </c>
      <c r="K211" s="3" t="n">
        <f aca="false">IFERROR(__xludf.dummyfunction("if($T211&lt;&gt;"""",VALUE(REGEXEXTRACT($T211, K$1&amp;""[\w &amp;]*, (\d+\.\d+)"")),"""")
"),5975)</f>
        <v>5975</v>
      </c>
      <c r="L211" s="3" t="n">
        <f aca="false">IFERROR(__xludf.dummyfunction("if($T211&lt;&gt;"""",VALUE(REGEXEXTRACT(SUBSTITUTE ($T211,L$1&amp;"" CE"",""""), L$1&amp;""[\w &amp;]*, (\d+\.\d+)"")),"""")
"),6035)</f>
        <v>6035</v>
      </c>
      <c r="M211" s="3" t="n">
        <f aca="false">IFERROR(__xludf.dummyfunction("if($T211&lt;&gt;"""",VALUE(REGEXEXTRACT($T211, M$1&amp;""[\w &amp;]*, (\d+\.\d+)"")),"""")
"),6035)</f>
        <v>6035</v>
      </c>
      <c r="N211" s="3" t="n">
        <f aca="false">IFERROR(__xludf.dummyfunction("if($T211&lt;&gt;"""",VALUE(REGEXEXTRACT(SUBSTITUTE ($T211,N$1&amp;"" CE"",""""), N$1&amp;""[\w &amp;]*, (\d+\.\d+)"")),"""")
"),6000)</f>
        <v>6000</v>
      </c>
      <c r="O211" s="3" t="n">
        <f aca="false">IFERROR(__xludf.dummyfunction("if($T211&lt;&gt;"""",VALUE(REGEXEXTRACT($T211, O$1&amp;""[\w &amp;]*, (\d+\.\d+)"")),"""")
"),6000)</f>
        <v>6000</v>
      </c>
      <c r="P211" s="2" t="n">
        <f aca="false">IFERROR(__xludf.dummyfunction("if($T211&lt;&gt;"""",VALUE(REGEXEXTRACT($T211, P$1&amp;""[\w &amp;]*, (\d+\.\d+)"")),"""")
"),5992.32)</f>
        <v>5992.32</v>
      </c>
      <c r="Q211" s="2" t="n">
        <f aca="false">IFERROR(__xludf.dummyfunction("if($T211&lt;&gt;"""",VALUE(REGEXEXTRACT($T211, Q$1&amp;""[\w &amp;]*, (\d+\.\d+)"")),"""")
"),5973.45)</f>
        <v>5973.45</v>
      </c>
      <c r="R211" s="2" t="n">
        <f aca="false">IFERROR(__xludf.dummyfunction("if($T211&lt;&gt;"""",VALUE(REGEXEXTRACT($T211, SUBSTITUTE(R$1, ""+"", ""\+"")&amp;""[\w &amp;]*, (\d+\.\d+)"")),"""")"),6083.44)</f>
        <v>6083.44</v>
      </c>
      <c r="S211" s="2" t="n">
        <f aca="false">IFERROR(__xludf.dummyfunction("if($T211&lt;&gt;"""",VALUE(REGEXEXTRACT($T211, SUBSTITUTE(S$1, ""+"", ""\+"")&amp;""[\w &amp;]*, (\d+\.\d+)"")),"""")"),6102.31)</f>
        <v>6102.31</v>
      </c>
      <c r="T211" s="7" t="s">
        <v>224</v>
      </c>
      <c r="U211" s="7"/>
    </row>
    <row r="212" customFormat="false" ht="15.75" hidden="false" customHeight="false" outlineLevel="0" collapsed="false">
      <c r="A212" s="4"/>
      <c r="B212" s="2"/>
      <c r="C212" s="2"/>
      <c r="D212" s="2"/>
      <c r="E212" s="2"/>
      <c r="F212" s="3" t="n">
        <f aca="false">IFERROR(__xludf.dummyfunction("if($T212&lt;&gt;"""",VALUE(REGEXEXTRACT(SUBSTITUTE ($T212,F$1&amp;"" CE"",""""), F$1&amp;""[\w &amp;]*, (\d+\.\d+)"")),"""")
"),6000)</f>
        <v>6000</v>
      </c>
      <c r="G212" s="3" t="n">
        <f aca="false">IFERROR(__xludf.dummyfunction("if($T212&lt;&gt;"""",VALUE(REGEXEXTRACT($T212, G$1&amp;""[\w &amp;]*, (\d+\.\d+)"")),"""")
"),6100)</f>
        <v>6100</v>
      </c>
      <c r="H212" s="3" t="n">
        <f aca="false">IFERROR(__xludf.dummyfunction("if($T212&lt;&gt;"""",VALUE(REGEXEXTRACT($T212, H$1&amp;""[\w &amp;]*, (\d+\.\d+)"")),"""")"),6210)</f>
        <v>6210</v>
      </c>
      <c r="I212" s="3" t="n">
        <f aca="false">IFERROR(__xludf.dummyfunction("if($T212&lt;&gt;"""",VALUE(REGEXEXTRACT(SUBSTITUTE ($T212,I$1&amp;"" CE"",""""), I$1&amp;""[\w &amp;]*, (\d+\.\d+)"")),"""")
"),6000)</f>
        <v>6000</v>
      </c>
      <c r="J212" s="3" t="n">
        <f aca="false">IFERROR(__xludf.dummyfunction("if($T212&lt;&gt;"""",VALUE(REGEXEXTRACT($T212, J$1&amp;""[\w &amp;]*, (\d+\.\d+)"")),"""")
"),6000)</f>
        <v>6000</v>
      </c>
      <c r="K212" s="3" t="n">
        <f aca="false">IFERROR(__xludf.dummyfunction("if($T212&lt;&gt;"""",VALUE(REGEXEXTRACT($T212, K$1&amp;""[\w &amp;]*, (\d+\.\d+)"")),"""")
"),5990)</f>
        <v>5990</v>
      </c>
      <c r="L212" s="3" t="n">
        <f aca="false">IFERROR(__xludf.dummyfunction("if($T212&lt;&gt;"""",VALUE(REGEXEXTRACT(SUBSTITUTE ($T212,L$1&amp;"" CE"",""""), L$1&amp;""[\w &amp;]*, (\d+\.\d+)"")),"""")
"),6050)</f>
        <v>6050</v>
      </c>
      <c r="M212" s="3" t="n">
        <f aca="false">IFERROR(__xludf.dummyfunction("if($T212&lt;&gt;"""",VALUE(REGEXEXTRACT($T212, M$1&amp;""[\w &amp;]*, (\d+\.\d+)"")),"""")
"),6045)</f>
        <v>6045</v>
      </c>
      <c r="N212" s="3" t="n">
        <f aca="false">IFERROR(__xludf.dummyfunction("if($T212&lt;&gt;"""",VALUE(REGEXEXTRACT(SUBSTITUTE ($T212,N$1&amp;"" CE"",""""), N$1&amp;""[\w &amp;]*, (\d+\.\d+)"")),"""")
"),6000)</f>
        <v>6000</v>
      </c>
      <c r="O212" s="3" t="n">
        <f aca="false">IFERROR(__xludf.dummyfunction("if($T212&lt;&gt;"""",VALUE(REGEXEXTRACT($T212, O$1&amp;""[\w &amp;]*, (\d+\.\d+)"")),"""")
"),6100)</f>
        <v>6100</v>
      </c>
      <c r="P212" s="2" t="n">
        <f aca="false">IFERROR(__xludf.dummyfunction("if($T212&lt;&gt;"""",VALUE(REGEXEXTRACT($T212, P$1&amp;""[\w &amp;]*, (\d+\.\d+)"")),"""")
"),6043.98)</f>
        <v>6043.98</v>
      </c>
      <c r="Q212" s="2" t="n">
        <f aca="false">IFERROR(__xludf.dummyfunction("if($T212&lt;&gt;"""",VALUE(REGEXEXTRACT($T212, Q$1&amp;""[\w &amp;]*, (\d+\.\d+)"")),"""")
"),6004.39)</f>
        <v>6004.39</v>
      </c>
      <c r="R212" s="2" t="n">
        <f aca="false">IFERROR(__xludf.dummyfunction("if($T212&lt;&gt;"""",VALUE(REGEXEXTRACT($T212, SUBSTITUTE(R$1, ""+"", ""\+"")&amp;""[\w &amp;]*, (\d+\.\d+)"")),"""")"),6123.16)</f>
        <v>6123.16</v>
      </c>
      <c r="S212" s="2" t="n">
        <f aca="false">IFERROR(__xludf.dummyfunction("if($T212&lt;&gt;"""",VALUE(REGEXEXTRACT($T212, SUBSTITUTE(S$1, ""+"", ""\+"")&amp;""[\w &amp;]*, (\d+\.\d+)"")),"""")"),6162.75)</f>
        <v>6162.75</v>
      </c>
      <c r="T212" s="7" t="s">
        <v>225</v>
      </c>
      <c r="U212" s="7"/>
    </row>
    <row r="213" customFormat="false" ht="15.75" hidden="false" customHeight="false" outlineLevel="0" collapsed="false">
      <c r="A213" s="4"/>
      <c r="B213" s="2"/>
      <c r="C213" s="2"/>
      <c r="D213" s="2"/>
      <c r="E213" s="2"/>
      <c r="F213" s="3" t="n">
        <f aca="false">IFERROR(__xludf.dummyfunction("if($T213&lt;&gt;"""",VALUE(REGEXEXTRACT(SUBSTITUTE ($T213,F$1&amp;"" CE"",""""), F$1&amp;""[\w &amp;]*, (\d+\.\d+)"")),"""")
"),6000)</f>
        <v>6000</v>
      </c>
      <c r="G213" s="3" t="n">
        <f aca="false">IFERROR(__xludf.dummyfunction("if($T213&lt;&gt;"""",VALUE(REGEXEXTRACT($T213, G$1&amp;""[\w &amp;]*, (\d+\.\d+)"")),"""")
"),5925)</f>
        <v>5925</v>
      </c>
      <c r="H213" s="3" t="n">
        <f aca="false">IFERROR(__xludf.dummyfunction("if($T213&lt;&gt;"""",VALUE(REGEXEXTRACT($T213, H$1&amp;""[\w &amp;]*, (\d+\.\d+)"")),"""")"),6175)</f>
        <v>6175</v>
      </c>
      <c r="I213" s="3" t="n">
        <f aca="false">IFERROR(__xludf.dummyfunction("if($T213&lt;&gt;"""",VALUE(REGEXEXTRACT(SUBSTITUTE ($T213,I$1&amp;"" CE"",""""), I$1&amp;""[\w &amp;]*, (\d+\.\d+)"")),"""")
"),6000)</f>
        <v>6000</v>
      </c>
      <c r="J213" s="3" t="n">
        <f aca="false">IFERROR(__xludf.dummyfunction("if($T213&lt;&gt;"""",VALUE(REGEXEXTRACT($T213, J$1&amp;""[\w &amp;]*, (\d+\.\d+)"")),"""")
"),5835)</f>
        <v>5835</v>
      </c>
      <c r="K213" s="3" t="n">
        <f aca="false">IFERROR(__xludf.dummyfunction("if($T213&lt;&gt;"""",VALUE(REGEXEXTRACT($T213, K$1&amp;""[\w &amp;]*, (\d+\.\d+)"")),"""")
"),5790)</f>
        <v>5790</v>
      </c>
      <c r="L213" s="3" t="n">
        <f aca="false">IFERROR(__xludf.dummyfunction("if($T213&lt;&gt;"""",VALUE(REGEXEXTRACT(SUBSTITUTE ($T213,L$1&amp;"" CE"",""""), L$1&amp;""[\w &amp;]*, (\d+\.\d+)"")),"""")
"),5975)</f>
        <v>5975</v>
      </c>
      <c r="M213" s="3" t="n">
        <f aca="false">IFERROR(__xludf.dummyfunction("if($T213&lt;&gt;"""",VALUE(REGEXEXTRACT($T213, M$1&amp;""[\w &amp;]*, (\d+\.\d+)"")),"""")
"),5920)</f>
        <v>5920</v>
      </c>
      <c r="N213" s="3" t="n">
        <f aca="false">IFERROR(__xludf.dummyfunction("if($T213&lt;&gt;"""",VALUE(REGEXEXTRACT(SUBSTITUTE ($T213,N$1&amp;"" CE"",""""), N$1&amp;""[\w &amp;]*, (\d+\.\d+)"")),"""")
"),6000)</f>
        <v>6000</v>
      </c>
      <c r="O213" s="3" t="n">
        <f aca="false">IFERROR(__xludf.dummyfunction("if($T213&lt;&gt;"""",VALUE(REGEXEXTRACT($T213, O$1&amp;""[\w &amp;]*, (\d+\.\d+)"")),"""")
"),5900)</f>
        <v>5900</v>
      </c>
      <c r="P213" s="2" t="n">
        <f aca="false">IFERROR(__xludf.dummyfunction("if($T213&lt;&gt;"""",VALUE(REGEXEXTRACT($T213, P$1&amp;""[\w &amp;]*, (\d+\.\d+)"")),"""")
"),5824.69)</f>
        <v>5824.69</v>
      </c>
      <c r="Q213" s="2" t="n">
        <f aca="false">IFERROR(__xludf.dummyfunction("if($T213&lt;&gt;"""",VALUE(REGEXEXTRACT($T213, Q$1&amp;""[\w &amp;]*, (\d+\.\d+)"")),"""")
"),5811.9)</f>
        <v>5811.9</v>
      </c>
      <c r="R213" s="2" t="n">
        <f aca="false">IFERROR(__xludf.dummyfunction("if($T213&lt;&gt;"""",VALUE(REGEXEXTRACT($T213, SUBSTITUTE(R$1, ""+"", ""\+"")&amp;""[\w &amp;]*, (\d+\.\d+)"")),"""")"),5938.57)</f>
        <v>5938.57</v>
      </c>
      <c r="S213" s="2" t="n">
        <f aca="false">IFERROR(__xludf.dummyfunction("if($T213&lt;&gt;"""",VALUE(REGEXEXTRACT($T213, SUBSTITUTE(S$1, ""+"", ""\+"")&amp;""[\w &amp;]*, (\d+\.\d+)"")),"""")"),5951.36)</f>
        <v>5951.36</v>
      </c>
      <c r="T213" s="7" t="s">
        <v>226</v>
      </c>
      <c r="U213" s="7"/>
    </row>
    <row r="214" customFormat="false" ht="15.75" hidden="false" customHeight="false" outlineLevel="0" collapsed="false">
      <c r="A214" s="4"/>
      <c r="B214" s="2"/>
      <c r="C214" s="2"/>
      <c r="D214" s="2"/>
      <c r="E214" s="2"/>
      <c r="F214" s="3" t="str">
        <f aca="false">IFERROR(__xludf.dummyfunction("if($T214&lt;&gt;"""",VALUE(REGEXEXTRACT(SUBSTITUTE ($T214,F$1&amp;"" CE"",""""), F$1&amp;""[\w &amp;]*, (\d+\.\d+)"")),"""")
"),"")</f>
        <v/>
      </c>
      <c r="G214" s="3" t="str">
        <f aca="false">IFERROR(__xludf.dummyfunction("if($T214&lt;&gt;"""",VALUE(REGEXEXTRACT($T214, G$1&amp;""[\w &amp;]*, (\d+\.\d+)"")),"""")
"),"")</f>
        <v/>
      </c>
      <c r="H214" s="3" t="str">
        <f aca="false">IFERROR(__xludf.dummyfunction("if($T214&lt;&gt;"""",VALUE(REGEXEXTRACT($T214, H$1&amp;""[\w &amp;]*, (\d+\.\d+)"")),"""")"),"")</f>
        <v/>
      </c>
      <c r="I214" s="3" t="str">
        <f aca="false">IFERROR(__xludf.dummyfunction("if($T214&lt;&gt;"""",VALUE(REGEXEXTRACT(SUBSTITUTE ($T214,I$1&amp;"" CE"",""""), I$1&amp;""[\w &amp;]*, (\d+\.\d+)"")),"""")
"),"")</f>
        <v/>
      </c>
      <c r="J214" s="3" t="str">
        <f aca="false">IFERROR(__xludf.dummyfunction("if($T214&lt;&gt;"""",VALUE(REGEXEXTRACT($T214, J$1&amp;""[\w &amp;]*, (\d+\.\d+)"")),"""")
"),"")</f>
        <v/>
      </c>
      <c r="K214" s="3" t="str">
        <f aca="false">IFERROR(__xludf.dummyfunction("if($T214&lt;&gt;"""",VALUE(REGEXEXTRACT($T214, K$1&amp;""[\w &amp;]*, (\d+\.\d+)"")),"""")
"),"")</f>
        <v/>
      </c>
      <c r="L214" s="3" t="str">
        <f aca="false">IFERROR(__xludf.dummyfunction("if($T214&lt;&gt;"""",VALUE(REGEXEXTRACT(SUBSTITUTE ($T214,L$1&amp;"" CE"",""""), L$1&amp;""[\w &amp;]*, (\d+\.\d+)"")),"""")
"),"")</f>
        <v/>
      </c>
      <c r="M214" s="3" t="str">
        <f aca="false">IFERROR(__xludf.dummyfunction("if($T214&lt;&gt;"""",VALUE(REGEXEXTRACT($T214, M$1&amp;""[\w &amp;]*, (\d+\.\d+)"")),"""")
"),"")</f>
        <v/>
      </c>
      <c r="N214" s="3" t="str">
        <f aca="false">IFERROR(__xludf.dummyfunction("if($T214&lt;&gt;"""",VALUE(REGEXEXTRACT(SUBSTITUTE ($T214,N$1&amp;"" CE"",""""), N$1&amp;""[\w &amp;]*, (\d+\.\d+)"")),"""")
"),"")</f>
        <v/>
      </c>
      <c r="O214" s="3" t="str">
        <f aca="false">IFERROR(__xludf.dummyfunction("if($T214&lt;&gt;"""",VALUE(REGEXEXTRACT($T214, O$1&amp;""[\w &amp;]*, (\d+\.\d+)"")),"""")
"),"")</f>
        <v/>
      </c>
      <c r="P214" s="2" t="str">
        <f aca="false">IFERROR(__xludf.dummyfunction("if($T214&lt;&gt;"""",VALUE(REGEXEXTRACT($T214, P$1&amp;""[\w &amp;]*, (\d+\.\d+)"")),"""")
"),"")</f>
        <v/>
      </c>
      <c r="Q214" s="2" t="str">
        <f aca="false">IFERROR(__xludf.dummyfunction("if($T214&lt;&gt;"""",VALUE(REGEXEXTRACT($T214, Q$1&amp;""[\w &amp;]*, (\d+\.\d+)"")),"""")
"),"")</f>
        <v/>
      </c>
      <c r="R214" s="2" t="str">
        <f aca="false">IFERROR(__xludf.dummyfunction("if($T214&lt;&gt;"""",VALUE(REGEXEXTRACT($T214, SUBSTITUTE(R$1, ""+"", ""\+"")&amp;""[\w &amp;]*, (\d+\.\d+)"")),"""")"),"")</f>
        <v/>
      </c>
      <c r="S214" s="2" t="str">
        <f aca="false">IFERROR(__xludf.dummyfunction("if($T214&lt;&gt;"""",VALUE(REGEXEXTRACT($T214, SUBSTITUTE(S$1, ""+"", ""\+"")&amp;""[\w &amp;]*, (\d+\.\d+)"")),"""")"),"")</f>
        <v/>
      </c>
      <c r="T214" s="7"/>
      <c r="U214" s="7"/>
    </row>
    <row r="215" customFormat="false" ht="15.75" hidden="false" customHeight="false" outlineLevel="0" collapsed="false">
      <c r="A215" s="4"/>
      <c r="B215" s="2"/>
      <c r="C215" s="2"/>
      <c r="D215" s="2"/>
      <c r="E215" s="2"/>
      <c r="F215" s="3" t="str">
        <f aca="false">IFERROR(__xludf.dummyfunction("if($T215&lt;&gt;"""",VALUE(REGEXEXTRACT(SUBSTITUTE ($T215,F$1&amp;"" CE"",""""), F$1&amp;""[\w &amp;]*, (\d+\.\d+)"")),"""")
"),"")</f>
        <v/>
      </c>
      <c r="G215" s="3" t="str">
        <f aca="false">IFERROR(__xludf.dummyfunction("if($T215&lt;&gt;"""",VALUE(REGEXEXTRACT($T215, G$1&amp;""[\w &amp;]*, (\d+\.\d+)"")),"""")
"),"")</f>
        <v/>
      </c>
      <c r="H215" s="3" t="str">
        <f aca="false">IFERROR(__xludf.dummyfunction("if($T215&lt;&gt;"""",VALUE(REGEXEXTRACT($T215, H$1&amp;""[\w &amp;]*, (\d+\.\d+)"")),"""")"),"")</f>
        <v/>
      </c>
      <c r="I215" s="3" t="str">
        <f aca="false">IFERROR(__xludf.dummyfunction("if($T215&lt;&gt;"""",VALUE(REGEXEXTRACT(SUBSTITUTE ($T215,I$1&amp;"" CE"",""""), I$1&amp;""[\w &amp;]*, (\d+\.\d+)"")),"""")
"),"")</f>
        <v/>
      </c>
      <c r="J215" s="3" t="str">
        <f aca="false">IFERROR(__xludf.dummyfunction("if($T215&lt;&gt;"""",VALUE(REGEXEXTRACT($T215, J$1&amp;""[\w &amp;]*, (\d+\.\d+)"")),"""")
"),"")</f>
        <v/>
      </c>
      <c r="K215" s="3" t="str">
        <f aca="false">IFERROR(__xludf.dummyfunction("if($T215&lt;&gt;"""",VALUE(REGEXEXTRACT($T215, K$1&amp;""[\w &amp;]*, (\d+\.\d+)"")),"""")
"),"")</f>
        <v/>
      </c>
      <c r="L215" s="3" t="str">
        <f aca="false">IFERROR(__xludf.dummyfunction("if($T215&lt;&gt;"""",VALUE(REGEXEXTRACT(SUBSTITUTE ($T215,L$1&amp;"" CE"",""""), L$1&amp;""[\w &amp;]*, (\d+\.\d+)"")),"""")
"),"")</f>
        <v/>
      </c>
      <c r="M215" s="3" t="str">
        <f aca="false">IFERROR(__xludf.dummyfunction("if($T215&lt;&gt;"""",VALUE(REGEXEXTRACT($T215, M$1&amp;""[\w &amp;]*, (\d+\.\d+)"")),"""")
"),"")</f>
        <v/>
      </c>
      <c r="N215" s="3" t="str">
        <f aca="false">IFERROR(__xludf.dummyfunction("if($T215&lt;&gt;"""",VALUE(REGEXEXTRACT(SUBSTITUTE ($T215,N$1&amp;"" CE"",""""), N$1&amp;""[\w &amp;]*, (\d+\.\d+)"")),"""")
"),"")</f>
        <v/>
      </c>
      <c r="O215" s="3" t="str">
        <f aca="false">IFERROR(__xludf.dummyfunction("if($T215&lt;&gt;"""",VALUE(REGEXEXTRACT($T215, O$1&amp;""[\w &amp;]*, (\d+\.\d+)"")),"""")
"),"")</f>
        <v/>
      </c>
      <c r="P215" s="2" t="str">
        <f aca="false">IFERROR(__xludf.dummyfunction("if($T215&lt;&gt;"""",VALUE(REGEXEXTRACT($T215, P$1&amp;""[\w &amp;]*, (\d+\.\d+)"")),"""")
"),"")</f>
        <v/>
      </c>
      <c r="Q215" s="2" t="str">
        <f aca="false">IFERROR(__xludf.dummyfunction("if($T215&lt;&gt;"""",VALUE(REGEXEXTRACT($T215, Q$1&amp;""[\w &amp;]*, (\d+\.\d+)"")),"""")
"),"")</f>
        <v/>
      </c>
      <c r="R215" s="2" t="str">
        <f aca="false">IFERROR(__xludf.dummyfunction("if($T215&lt;&gt;"""",VALUE(REGEXEXTRACT($T215, SUBSTITUTE(R$1, ""+"", ""\+"")&amp;""[\w &amp;]*, (\d+\.\d+)"")),"""")"),"")</f>
        <v/>
      </c>
      <c r="S215" s="2" t="str">
        <f aca="false">IFERROR(__xludf.dummyfunction("if($T215&lt;&gt;"""",VALUE(REGEXEXTRACT($T215, SUBSTITUTE(S$1, ""+"", ""\+"")&amp;""[\w &amp;]*, (\d+\.\d+)"")),"""")"),"")</f>
        <v/>
      </c>
      <c r="T215" s="5"/>
      <c r="U215" s="5"/>
    </row>
    <row r="216" customFormat="false" ht="15.75" hidden="false" customHeight="false" outlineLevel="0" collapsed="false">
      <c r="A216" s="4"/>
      <c r="B216" s="2"/>
      <c r="C216" s="2"/>
      <c r="D216" s="2"/>
      <c r="E216" s="2"/>
      <c r="F216" s="3" t="str">
        <f aca="false">IFERROR(__xludf.dummyfunction("if($T216&lt;&gt;"""",VALUE(REGEXEXTRACT(SUBSTITUTE ($T216,F$1&amp;"" CE"",""""), F$1&amp;""[\w &amp;]*, (\d+\.\d+)"")),"""")
"),"")</f>
        <v/>
      </c>
      <c r="G216" s="3" t="str">
        <f aca="false">IFERROR(__xludf.dummyfunction("if($T216&lt;&gt;"""",VALUE(REGEXEXTRACT($T216, G$1&amp;""[\w &amp;]*, (\d+\.\d+)"")),"""")
"),"")</f>
        <v/>
      </c>
      <c r="H216" s="3" t="str">
        <f aca="false">IFERROR(__xludf.dummyfunction("if($T216&lt;&gt;"""",VALUE(REGEXEXTRACT($T216, H$1&amp;""[\w &amp;]*, (\d+\.\d+)"")),"""")"),"")</f>
        <v/>
      </c>
      <c r="I216" s="3" t="str">
        <f aca="false">IFERROR(__xludf.dummyfunction("if($T216&lt;&gt;"""",VALUE(REGEXEXTRACT(SUBSTITUTE ($T216,I$1&amp;"" CE"",""""), I$1&amp;""[\w &amp;]*, (\d+\.\d+)"")),"""")
"),"")</f>
        <v/>
      </c>
      <c r="J216" s="3" t="str">
        <f aca="false">IFERROR(__xludf.dummyfunction("if($T216&lt;&gt;"""",VALUE(REGEXEXTRACT($T216, J$1&amp;""[\w &amp;]*, (\d+\.\d+)"")),"""")
"),"")</f>
        <v/>
      </c>
      <c r="K216" s="3" t="str">
        <f aca="false">IFERROR(__xludf.dummyfunction("if($T216&lt;&gt;"""",VALUE(REGEXEXTRACT($T216, K$1&amp;""[\w &amp;]*, (\d+\.\d+)"")),"""")
"),"")</f>
        <v/>
      </c>
      <c r="L216" s="3" t="str">
        <f aca="false">IFERROR(__xludf.dummyfunction("if($T216&lt;&gt;"""",VALUE(REGEXEXTRACT(SUBSTITUTE ($T216,L$1&amp;"" CE"",""""), L$1&amp;""[\w &amp;]*, (\d+\.\d+)"")),"""")
"),"")</f>
        <v/>
      </c>
      <c r="M216" s="3" t="str">
        <f aca="false">IFERROR(__xludf.dummyfunction("if($T216&lt;&gt;"""",VALUE(REGEXEXTRACT($T216, M$1&amp;""[\w &amp;]*, (\d+\.\d+)"")),"""")
"),"")</f>
        <v/>
      </c>
      <c r="N216" s="3" t="str">
        <f aca="false">IFERROR(__xludf.dummyfunction("if($T216&lt;&gt;"""",VALUE(REGEXEXTRACT(SUBSTITUTE ($T216,N$1&amp;"" CE"",""""), N$1&amp;""[\w &amp;]*, (\d+\.\d+)"")),"""")
"),"")</f>
        <v/>
      </c>
      <c r="O216" s="3" t="str">
        <f aca="false">IFERROR(__xludf.dummyfunction("if($T216&lt;&gt;"""",VALUE(REGEXEXTRACT($T216, O$1&amp;""[\w &amp;]*, (\d+\.\d+)"")),"""")
"),"")</f>
        <v/>
      </c>
      <c r="P216" s="2" t="str">
        <f aca="false">IFERROR(__xludf.dummyfunction("if($T216&lt;&gt;"""",VALUE(REGEXEXTRACT($T216, P$1&amp;""[\w &amp;]*, (\d+\.\d+)"")),"""")
"),"")</f>
        <v/>
      </c>
      <c r="Q216" s="2" t="str">
        <f aca="false">IFERROR(__xludf.dummyfunction("if($T216&lt;&gt;"""",VALUE(REGEXEXTRACT($T216, Q$1&amp;""[\w &amp;]*, (\d+\.\d+)"")),"""")
"),"")</f>
        <v/>
      </c>
      <c r="R216" s="2" t="str">
        <f aca="false">IFERROR(__xludf.dummyfunction("if($T216&lt;&gt;"""",VALUE(REGEXEXTRACT($T216, SUBSTITUTE(R$1, ""+"", ""\+"")&amp;""[\w &amp;]*, (\d+\.\d+)"")),"""")"),"")</f>
        <v/>
      </c>
      <c r="S216" s="2" t="str">
        <f aca="false">IFERROR(__xludf.dummyfunction("if($T216&lt;&gt;"""",VALUE(REGEXEXTRACT($T216, SUBSTITUTE(S$1, ""+"", ""\+"")&amp;""[\w &amp;]*, (\d+\.\d+)"")),"""")"),"")</f>
        <v/>
      </c>
      <c r="T216" s="5"/>
      <c r="U216" s="5"/>
    </row>
    <row r="217" customFormat="false" ht="15.75" hidden="false" customHeight="false" outlineLevel="0" collapsed="false">
      <c r="A217" s="4"/>
      <c r="B217" s="2"/>
      <c r="C217" s="2"/>
      <c r="D217" s="2"/>
      <c r="E217" s="2"/>
      <c r="F217" s="3" t="str">
        <f aca="false">IFERROR(__xludf.dummyfunction("if($T217&lt;&gt;"""",VALUE(REGEXEXTRACT(SUBSTITUTE ($T217,F$1&amp;"" CE"",""""), F$1&amp;""[\w &amp;]*, (\d+\.\d+)"")),"""")
"),"")</f>
        <v/>
      </c>
      <c r="G217" s="3" t="str">
        <f aca="false">IFERROR(__xludf.dummyfunction("if($T217&lt;&gt;"""",VALUE(REGEXEXTRACT($T217, G$1&amp;""[\w &amp;]*, (\d+\.\d+)"")),"""")
"),"")</f>
        <v/>
      </c>
      <c r="H217" s="3" t="str">
        <f aca="false">IFERROR(__xludf.dummyfunction("if($T217&lt;&gt;"""",VALUE(REGEXEXTRACT($T217, H$1&amp;""[\w &amp;]*, (\d+\.\d+)"")),"""")"),"")</f>
        <v/>
      </c>
      <c r="I217" s="3" t="str">
        <f aca="false">IFERROR(__xludf.dummyfunction("if($T217&lt;&gt;"""",VALUE(REGEXEXTRACT(SUBSTITUTE ($T217,I$1&amp;"" CE"",""""), I$1&amp;""[\w &amp;]*, (\d+\.\d+)"")),"""")
"),"")</f>
        <v/>
      </c>
      <c r="J217" s="3" t="str">
        <f aca="false">IFERROR(__xludf.dummyfunction("if($T217&lt;&gt;"""",VALUE(REGEXEXTRACT($T217, J$1&amp;""[\w &amp;]*, (\d+\.\d+)"")),"""")
"),"")</f>
        <v/>
      </c>
      <c r="K217" s="3" t="str">
        <f aca="false">IFERROR(__xludf.dummyfunction("if($T217&lt;&gt;"""",VALUE(REGEXEXTRACT($T217, K$1&amp;""[\w &amp;]*, (\d+\.\d+)"")),"""")
"),"")</f>
        <v/>
      </c>
      <c r="L217" s="3" t="str">
        <f aca="false">IFERROR(__xludf.dummyfunction("if($T217&lt;&gt;"""",VALUE(REGEXEXTRACT(SUBSTITUTE ($T217,L$1&amp;"" CE"",""""), L$1&amp;""[\w &amp;]*, (\d+\.\d+)"")),"""")
"),"")</f>
        <v/>
      </c>
      <c r="M217" s="3" t="str">
        <f aca="false">IFERROR(__xludf.dummyfunction("if($T217&lt;&gt;"""",VALUE(REGEXEXTRACT($T217, M$1&amp;""[\w &amp;]*, (\d+\.\d+)"")),"""")
"),"")</f>
        <v/>
      </c>
      <c r="N217" s="3" t="str">
        <f aca="false">IFERROR(__xludf.dummyfunction("if($T217&lt;&gt;"""",VALUE(REGEXEXTRACT(SUBSTITUTE ($T217,N$1&amp;"" CE"",""""), N$1&amp;""[\w &amp;]*, (\d+\.\d+)"")),"""")
"),"")</f>
        <v/>
      </c>
      <c r="O217" s="3" t="str">
        <f aca="false">IFERROR(__xludf.dummyfunction("if($T217&lt;&gt;"""",VALUE(REGEXEXTRACT($T217, O$1&amp;""[\w &amp;]*, (\d+\.\d+)"")),"""")
"),"")</f>
        <v/>
      </c>
      <c r="P217" s="2" t="str">
        <f aca="false">IFERROR(__xludf.dummyfunction("if($T217&lt;&gt;"""",VALUE(REGEXEXTRACT($T217, P$1&amp;""[\w &amp;]*, (\d+\.\d+)"")),"""")
"),"")</f>
        <v/>
      </c>
      <c r="Q217" s="2" t="str">
        <f aca="false">IFERROR(__xludf.dummyfunction("if($T217&lt;&gt;"""",VALUE(REGEXEXTRACT($T217, Q$1&amp;""[\w &amp;]*, (\d+\.\d+)"")),"""")
"),"")</f>
        <v/>
      </c>
      <c r="R217" s="2" t="str">
        <f aca="false">IFERROR(__xludf.dummyfunction("if($T217&lt;&gt;"""",VALUE(REGEXEXTRACT($T217, SUBSTITUTE(R$1, ""+"", ""\+"")&amp;""[\w &amp;]*, (\d+\.\d+)"")),"""")"),"")</f>
        <v/>
      </c>
      <c r="S217" s="2" t="str">
        <f aca="false">IFERROR(__xludf.dummyfunction("if($T217&lt;&gt;"""",VALUE(REGEXEXTRACT($T217, SUBSTITUTE(S$1, ""+"", ""\+"")&amp;""[\w &amp;]*, (\d+\.\d+)"")),"""")"),"")</f>
        <v/>
      </c>
      <c r="T217" s="5"/>
      <c r="U217" s="5"/>
    </row>
    <row r="218" customFormat="false" ht="15.75" hidden="false" customHeight="false" outlineLevel="0" collapsed="false">
      <c r="A218" s="4"/>
      <c r="B218" s="2"/>
      <c r="C218" s="2"/>
      <c r="D218" s="2"/>
      <c r="E218" s="2"/>
      <c r="F218" s="3" t="str">
        <f aca="false">IFERROR(__xludf.dummyfunction("if($T218&lt;&gt;"""",VALUE(REGEXEXTRACT(SUBSTITUTE ($T218,F$1&amp;"" CE"",""""), F$1&amp;""[\w &amp;]*, (\d+\.\d+)"")),"""")
"),"")</f>
        <v/>
      </c>
      <c r="G218" s="3" t="str">
        <f aca="false">IFERROR(__xludf.dummyfunction("if($T218&lt;&gt;"""",VALUE(REGEXEXTRACT($T218, G$1&amp;""[\w &amp;]*, (\d+\.\d+)"")),"""")
"),"")</f>
        <v/>
      </c>
      <c r="H218" s="3" t="str">
        <f aca="false">IFERROR(__xludf.dummyfunction("if($T218&lt;&gt;"""",VALUE(REGEXEXTRACT($T218, H$1&amp;""[\w &amp;]*, (\d+\.\d+)"")),"""")"),"")</f>
        <v/>
      </c>
      <c r="I218" s="3" t="str">
        <f aca="false">IFERROR(__xludf.dummyfunction("if($T218&lt;&gt;"""",VALUE(REGEXEXTRACT(SUBSTITUTE ($T218,I$1&amp;"" CE"",""""), I$1&amp;""[\w &amp;]*, (\d+\.\d+)"")),"""")
"),"")</f>
        <v/>
      </c>
      <c r="J218" s="3" t="str">
        <f aca="false">IFERROR(__xludf.dummyfunction("if($T218&lt;&gt;"""",VALUE(REGEXEXTRACT($T218, J$1&amp;""[\w &amp;]*, (\d+\.\d+)"")),"""")
"),"")</f>
        <v/>
      </c>
      <c r="K218" s="3" t="str">
        <f aca="false">IFERROR(__xludf.dummyfunction("if($T218&lt;&gt;"""",VALUE(REGEXEXTRACT($T218, K$1&amp;""[\w &amp;]*, (\d+\.\d+)"")),"""")
"),"")</f>
        <v/>
      </c>
      <c r="L218" s="3" t="str">
        <f aca="false">IFERROR(__xludf.dummyfunction("if($T218&lt;&gt;"""",VALUE(REGEXEXTRACT(SUBSTITUTE ($T218,L$1&amp;"" CE"",""""), L$1&amp;""[\w &amp;]*, (\d+\.\d+)"")),"""")
"),"")</f>
        <v/>
      </c>
      <c r="M218" s="3" t="str">
        <f aca="false">IFERROR(__xludf.dummyfunction("if($T218&lt;&gt;"""",VALUE(REGEXEXTRACT($T218, M$1&amp;""[\w &amp;]*, (\d+\.\d+)"")),"""")
"),"")</f>
        <v/>
      </c>
      <c r="N218" s="3" t="str">
        <f aca="false">IFERROR(__xludf.dummyfunction("if($T218&lt;&gt;"""",VALUE(REGEXEXTRACT(SUBSTITUTE ($T218,N$1&amp;"" CE"",""""), N$1&amp;""[\w &amp;]*, (\d+\.\d+)"")),"""")
"),"")</f>
        <v/>
      </c>
      <c r="O218" s="3" t="str">
        <f aca="false">IFERROR(__xludf.dummyfunction("if($T218&lt;&gt;"""",VALUE(REGEXEXTRACT($T218, O$1&amp;""[\w &amp;]*, (\d+\.\d+)"")),"""")
"),"")</f>
        <v/>
      </c>
      <c r="P218" s="2" t="str">
        <f aca="false">IFERROR(__xludf.dummyfunction("if($T218&lt;&gt;"""",VALUE(REGEXEXTRACT($T218, P$1&amp;""[\w &amp;]*, (\d+\.\d+)"")),"""")
"),"")</f>
        <v/>
      </c>
      <c r="Q218" s="2" t="str">
        <f aca="false">IFERROR(__xludf.dummyfunction("if($T218&lt;&gt;"""",VALUE(REGEXEXTRACT($T218, Q$1&amp;""[\w &amp;]*, (\d+\.\d+)"")),"""")
"),"")</f>
        <v/>
      </c>
      <c r="R218" s="2" t="str">
        <f aca="false">IFERROR(__xludf.dummyfunction("if($T218&lt;&gt;"""",VALUE(REGEXEXTRACT($T218, SUBSTITUTE(R$1, ""+"", ""\+"")&amp;""[\w &amp;]*, (\d+\.\d+)"")),"""")"),"")</f>
        <v/>
      </c>
      <c r="S218" s="2" t="str">
        <f aca="false">IFERROR(__xludf.dummyfunction("if($T218&lt;&gt;"""",VALUE(REGEXEXTRACT($T218, SUBSTITUTE(S$1, ""+"", ""\+"")&amp;""[\w &amp;]*, (\d+\.\d+)"")),"""")"),"")</f>
        <v/>
      </c>
      <c r="T218" s="5"/>
      <c r="U218" s="5"/>
    </row>
    <row r="219" customFormat="false" ht="15.75" hidden="false" customHeight="false" outlineLevel="0" collapsed="false">
      <c r="A219" s="4"/>
      <c r="B219" s="2"/>
      <c r="C219" s="2"/>
      <c r="D219" s="2"/>
      <c r="E219" s="2"/>
      <c r="F219" s="3" t="str">
        <f aca="false">IFERROR(__xludf.dummyfunction("if($T219&lt;&gt;"""",VALUE(REGEXEXTRACT(SUBSTITUTE ($T219,F$1&amp;"" CE"",""""), F$1&amp;""[\w &amp;]*, (\d+\.\d+)"")),"""")
"),"")</f>
        <v/>
      </c>
      <c r="G219" s="3" t="str">
        <f aca="false">IFERROR(__xludf.dummyfunction("if($T219&lt;&gt;"""",VALUE(REGEXEXTRACT($T219, G$1&amp;""[\w &amp;]*, (\d+\.\d+)"")),"""")
"),"")</f>
        <v/>
      </c>
      <c r="H219" s="3" t="str">
        <f aca="false">IFERROR(__xludf.dummyfunction("if($T219&lt;&gt;"""",VALUE(REGEXEXTRACT($T219, H$1&amp;""[\w &amp;]*, (\d+\.\d+)"")),"""")"),"")</f>
        <v/>
      </c>
      <c r="I219" s="3" t="str">
        <f aca="false">IFERROR(__xludf.dummyfunction("if($T219&lt;&gt;"""",VALUE(REGEXEXTRACT(SUBSTITUTE ($T219,I$1&amp;"" CE"",""""), I$1&amp;""[\w &amp;]*, (\d+\.\d+)"")),"""")
"),"")</f>
        <v/>
      </c>
      <c r="J219" s="3" t="str">
        <f aca="false">IFERROR(__xludf.dummyfunction("if($T219&lt;&gt;"""",VALUE(REGEXEXTRACT($T219, J$1&amp;""[\w &amp;]*, (\d+\.\d+)"")),"""")
"),"")</f>
        <v/>
      </c>
      <c r="K219" s="3" t="str">
        <f aca="false">IFERROR(__xludf.dummyfunction("if($T219&lt;&gt;"""",VALUE(REGEXEXTRACT($T219, K$1&amp;""[\w &amp;]*, (\d+\.\d+)"")),"""")
"),"")</f>
        <v/>
      </c>
      <c r="L219" s="3" t="str">
        <f aca="false">IFERROR(__xludf.dummyfunction("if($T219&lt;&gt;"""",VALUE(REGEXEXTRACT(SUBSTITUTE ($T219,L$1&amp;"" CE"",""""), L$1&amp;""[\w &amp;]*, (\d+\.\d+)"")),"""")
"),"")</f>
        <v/>
      </c>
      <c r="M219" s="3" t="str">
        <f aca="false">IFERROR(__xludf.dummyfunction("if($T219&lt;&gt;"""",VALUE(REGEXEXTRACT($T219, M$1&amp;""[\w &amp;]*, (\d+\.\d+)"")),"""")
"),"")</f>
        <v/>
      </c>
      <c r="N219" s="3" t="str">
        <f aca="false">IFERROR(__xludf.dummyfunction("if($T219&lt;&gt;"""",VALUE(REGEXEXTRACT(SUBSTITUTE ($T219,N$1&amp;"" CE"",""""), N$1&amp;""[\w &amp;]*, (\d+\.\d+)"")),"""")
"),"")</f>
        <v/>
      </c>
      <c r="O219" s="3" t="str">
        <f aca="false">IFERROR(__xludf.dummyfunction("if($T219&lt;&gt;"""",VALUE(REGEXEXTRACT($T219, O$1&amp;""[\w &amp;]*, (\d+\.\d+)"")),"""")
"),"")</f>
        <v/>
      </c>
      <c r="P219" s="2" t="str">
        <f aca="false">IFERROR(__xludf.dummyfunction("if($T219&lt;&gt;"""",VALUE(REGEXEXTRACT($T219, P$1&amp;""[\w &amp;]*, (\d+\.\d+)"")),"""")
"),"")</f>
        <v/>
      </c>
      <c r="Q219" s="2" t="str">
        <f aca="false">IFERROR(__xludf.dummyfunction("if($T219&lt;&gt;"""",VALUE(REGEXEXTRACT($T219, Q$1&amp;""[\w &amp;]*, (\d+\.\d+)"")),"""")
"),"")</f>
        <v/>
      </c>
      <c r="R219" s="2" t="str">
        <f aca="false">IFERROR(__xludf.dummyfunction("if($T219&lt;&gt;"""",VALUE(REGEXEXTRACT($T219, SUBSTITUTE(R$1, ""+"", ""\+"")&amp;""[\w &amp;]*, (\d+\.\d+)"")),"""")"),"")</f>
        <v/>
      </c>
      <c r="S219" s="2" t="str">
        <f aca="false">IFERROR(__xludf.dummyfunction("if($T219&lt;&gt;"""",VALUE(REGEXEXTRACT($T219, SUBSTITUTE(S$1, ""+"", ""\+"")&amp;""[\w &amp;]*, (\d+\.\d+)"")),"""")"),"")</f>
        <v/>
      </c>
      <c r="T219" s="5"/>
      <c r="U219" s="5"/>
    </row>
    <row r="220" customFormat="false" ht="15.75" hidden="false" customHeight="false" outlineLevel="0" collapsed="false">
      <c r="A220" s="4"/>
      <c r="B220" s="2"/>
      <c r="C220" s="2"/>
      <c r="D220" s="2"/>
      <c r="E220" s="2"/>
      <c r="F220" s="3" t="str">
        <f aca="false">IFERROR(__xludf.dummyfunction("if($T220&lt;&gt;"""",VALUE(REGEXEXTRACT(SUBSTITUTE ($T220,F$1&amp;"" CE"",""""), F$1&amp;""[\w &amp;]*, (\d+\.\d+)"")),"""")
"),"")</f>
        <v/>
      </c>
      <c r="G220" s="3" t="str">
        <f aca="false">IFERROR(__xludf.dummyfunction("if($T220&lt;&gt;"""",VALUE(REGEXEXTRACT($T220, G$1&amp;""[\w &amp;]*, (\d+\.\d+)"")),"""")
"),"")</f>
        <v/>
      </c>
      <c r="H220" s="3" t="str">
        <f aca="false">IFERROR(__xludf.dummyfunction("if($T220&lt;&gt;"""",VALUE(REGEXEXTRACT($T220, H$1&amp;""[\w &amp;]*, (\d+\.\d+)"")),"""")"),"")</f>
        <v/>
      </c>
      <c r="I220" s="3" t="str">
        <f aca="false">IFERROR(__xludf.dummyfunction("if($T220&lt;&gt;"""",VALUE(REGEXEXTRACT(SUBSTITUTE ($T220,I$1&amp;"" CE"",""""), I$1&amp;""[\w &amp;]*, (\d+\.\d+)"")),"""")
"),"")</f>
        <v/>
      </c>
      <c r="J220" s="3" t="str">
        <f aca="false">IFERROR(__xludf.dummyfunction("if($T220&lt;&gt;"""",VALUE(REGEXEXTRACT($T220, J$1&amp;""[\w &amp;]*, (\d+\.\d+)"")),"""")
"),"")</f>
        <v/>
      </c>
      <c r="K220" s="3" t="str">
        <f aca="false">IFERROR(__xludf.dummyfunction("if($T220&lt;&gt;"""",VALUE(REGEXEXTRACT($T220, K$1&amp;""[\w &amp;]*, (\d+\.\d+)"")),"""")
"),"")</f>
        <v/>
      </c>
      <c r="L220" s="3" t="str">
        <f aca="false">IFERROR(__xludf.dummyfunction("if($T220&lt;&gt;"""",VALUE(REGEXEXTRACT(SUBSTITUTE ($T220,L$1&amp;"" CE"",""""), L$1&amp;""[\w &amp;]*, (\d+\.\d+)"")),"""")
"),"")</f>
        <v/>
      </c>
      <c r="M220" s="3" t="str">
        <f aca="false">IFERROR(__xludf.dummyfunction("if($T220&lt;&gt;"""",VALUE(REGEXEXTRACT($T220, M$1&amp;""[\w &amp;]*, (\d+\.\d+)"")),"""")
"),"")</f>
        <v/>
      </c>
      <c r="N220" s="3" t="str">
        <f aca="false">IFERROR(__xludf.dummyfunction("if($T220&lt;&gt;"""",VALUE(REGEXEXTRACT(SUBSTITUTE ($T220,N$1&amp;"" CE"",""""), N$1&amp;""[\w &amp;]*, (\d+\.\d+)"")),"""")
"),"")</f>
        <v/>
      </c>
      <c r="O220" s="3" t="str">
        <f aca="false">IFERROR(__xludf.dummyfunction("if($T220&lt;&gt;"""",VALUE(REGEXEXTRACT($T220, O$1&amp;""[\w &amp;]*, (\d+\.\d+)"")),"""")
"),"")</f>
        <v/>
      </c>
      <c r="P220" s="2" t="str">
        <f aca="false">IFERROR(__xludf.dummyfunction("if($T220&lt;&gt;"""",VALUE(REGEXEXTRACT($T220, P$1&amp;""[\w &amp;]*, (\d+\.\d+)"")),"""")
"),"")</f>
        <v/>
      </c>
      <c r="Q220" s="2" t="str">
        <f aca="false">IFERROR(__xludf.dummyfunction("if($T220&lt;&gt;"""",VALUE(REGEXEXTRACT($T220, Q$1&amp;""[\w &amp;]*, (\d+\.\d+)"")),"""")
"),"")</f>
        <v/>
      </c>
      <c r="R220" s="2" t="str">
        <f aca="false">IFERROR(__xludf.dummyfunction("if($T220&lt;&gt;"""",VALUE(REGEXEXTRACT($T220, SUBSTITUTE(R$1, ""+"", ""\+"")&amp;""[\w &amp;]*, (\d+\.\d+)"")),"""")"),"")</f>
        <v/>
      </c>
      <c r="S220" s="2" t="str">
        <f aca="false">IFERROR(__xludf.dummyfunction("if($T220&lt;&gt;"""",VALUE(REGEXEXTRACT($T220, SUBSTITUTE(S$1, ""+"", ""\+"")&amp;""[\w &amp;]*, (\d+\.\d+)"")),"""")"),"")</f>
        <v/>
      </c>
      <c r="T220" s="5"/>
      <c r="U220" s="5"/>
    </row>
    <row r="221" customFormat="false" ht="15.75" hidden="false" customHeight="false" outlineLevel="0" collapsed="false">
      <c r="A221" s="4"/>
      <c r="B221" s="2"/>
      <c r="C221" s="2"/>
      <c r="D221" s="2"/>
      <c r="E221" s="2"/>
      <c r="F221" s="3" t="str">
        <f aca="false">IFERROR(__xludf.dummyfunction("if($T221&lt;&gt;"""",VALUE(REGEXEXTRACT(SUBSTITUTE ($T221,F$1&amp;"" CE"",""""), F$1&amp;""[\w &amp;]*, (\d+\.\d+)"")),"""")
"),"")</f>
        <v/>
      </c>
      <c r="G221" s="3" t="str">
        <f aca="false">IFERROR(__xludf.dummyfunction("if($T221&lt;&gt;"""",VALUE(REGEXEXTRACT($T221, G$1&amp;""[\w &amp;]*, (\d+\.\d+)"")),"""")
"),"")</f>
        <v/>
      </c>
      <c r="H221" s="3"/>
      <c r="I221" s="3" t="str">
        <f aca="false">IFERROR(__xludf.dummyfunction("if($T221&lt;&gt;"""",VALUE(REGEXEXTRACT(SUBSTITUTE ($T221,I$1&amp;"" CE"",""""), I$1&amp;""[\w &amp;]*, (\d+\.\d+)"")),"""")
"),"")</f>
        <v/>
      </c>
      <c r="J221" s="3" t="str">
        <f aca="false">IFERROR(__xludf.dummyfunction("if($T221&lt;&gt;"""",VALUE(REGEXEXTRACT($T221, J$1&amp;""[\w &amp;]*, (\d+\.\d+)"")),"""")
"),"")</f>
        <v/>
      </c>
      <c r="K221" s="3"/>
      <c r="L221" s="3" t="str">
        <f aca="false">IFERROR(__xludf.dummyfunction("if($T221&lt;&gt;"""",VALUE(REGEXEXTRACT(SUBSTITUTE ($T221,L$1&amp;"" CE"",""""), L$1&amp;""[\w &amp;]*, (\d+\.\d+)"")),"""")
"),"")</f>
        <v/>
      </c>
      <c r="M221" s="3" t="str">
        <f aca="false">IFERROR(__xludf.dummyfunction("if($T221&lt;&gt;"""",VALUE(REGEXEXTRACT($T221, M$1&amp;""[\w &amp;]*, (\d+\.\d+)"")),"""")
"),"")</f>
        <v/>
      </c>
      <c r="N221" s="3" t="str">
        <f aca="false">IFERROR(__xludf.dummyfunction("if($T221&lt;&gt;"""",VALUE(REGEXEXTRACT(SUBSTITUTE ($T221,N$1&amp;"" CE"",""""), N$1&amp;""[\w &amp;]*, (\d+\.\d+)"")),"""")
"),"")</f>
        <v/>
      </c>
      <c r="O221" s="3" t="str">
        <f aca="false">IFERROR(__xludf.dummyfunction("if($T221&lt;&gt;"""",VALUE(REGEXEXTRACT($T221, O$1&amp;""[\w &amp;]*, (\d+\.\d+)"")),"""")
"),"")</f>
        <v/>
      </c>
      <c r="P221" s="2"/>
      <c r="Q221" s="2"/>
      <c r="R221" s="2"/>
      <c r="S221" s="2"/>
      <c r="T221" s="5"/>
      <c r="U221" s="5"/>
    </row>
    <row r="222" customFormat="false" ht="15.75" hidden="false" customHeight="false" outlineLevel="0" collapsed="false">
      <c r="A222" s="4"/>
      <c r="B222" s="2"/>
      <c r="C222" s="2"/>
      <c r="D222" s="2"/>
      <c r="E222" s="2"/>
      <c r="F222" s="3" t="str">
        <f aca="false">IFERROR(__xludf.dummyfunction("if($T222&lt;&gt;"""",VALUE(REGEXEXTRACT(SUBSTITUTE ($T222,F$1&amp;"" CE"",""""), F$1&amp;""[\w &amp;]*, (\d+\.\d+)"")),"""")
"),"")</f>
        <v/>
      </c>
      <c r="G222" s="3" t="str">
        <f aca="false">IFERROR(__xludf.dummyfunction("if($T222&lt;&gt;"""",VALUE(REGEXEXTRACT($T222, G$1&amp;""[\w &amp;]*, (\d+\.\d+)"")),"""")
"),"")</f>
        <v/>
      </c>
      <c r="H222" s="3"/>
      <c r="I222" s="3" t="str">
        <f aca="false">IFERROR(__xludf.dummyfunction("if($T222&lt;&gt;"""",VALUE(REGEXEXTRACT(SUBSTITUTE ($T222,I$1&amp;"" CE"",""""), I$1&amp;""[\w &amp;]*, (\d+\.\d+)"")),"""")
"),"")</f>
        <v/>
      </c>
      <c r="J222" s="3" t="str">
        <f aca="false">IFERROR(__xludf.dummyfunction("if($T222&lt;&gt;"""",VALUE(REGEXEXTRACT($T222, J$1&amp;""[\w &amp;]*, (\d+\.\d+)"")),"""")
"),"")</f>
        <v/>
      </c>
      <c r="K222" s="3"/>
      <c r="L222" s="3" t="str">
        <f aca="false">IFERROR(__xludf.dummyfunction("if($T222&lt;&gt;"""",VALUE(REGEXEXTRACT(SUBSTITUTE ($T222,L$1&amp;"" CE"",""""), L$1&amp;""[\w &amp;]*, (\d+\.\d+)"")),"""")
"),"")</f>
        <v/>
      </c>
      <c r="M222" s="3" t="str">
        <f aca="false">IFERROR(__xludf.dummyfunction("if($T222&lt;&gt;"""",VALUE(REGEXEXTRACT($T222, M$1&amp;""[\w &amp;]*, (\d+\.\d+)"")),"""")
"),"")</f>
        <v/>
      </c>
      <c r="N222" s="3" t="str">
        <f aca="false">IFERROR(__xludf.dummyfunction("if($T222&lt;&gt;"""",VALUE(REGEXEXTRACT(SUBSTITUTE ($T222,N$1&amp;"" CE"",""""), N$1&amp;""[\w &amp;]*, (\d+\.\d+)"")),"""")
"),"")</f>
        <v/>
      </c>
      <c r="O222" s="3" t="str">
        <f aca="false">IFERROR(__xludf.dummyfunction("if($T222&lt;&gt;"""",VALUE(REGEXEXTRACT($T222, O$1&amp;""[\w &amp;]*, (\d+\.\d+)"")),"""")
"),"")</f>
        <v/>
      </c>
      <c r="P222" s="2"/>
      <c r="Q222" s="2"/>
      <c r="R222" s="2"/>
      <c r="S222" s="2"/>
      <c r="T222" s="5"/>
      <c r="U222" s="5"/>
    </row>
    <row r="223" customFormat="false" ht="15.75" hidden="false" customHeight="false" outlineLevel="0" collapsed="false">
      <c r="A223" s="4"/>
      <c r="B223" s="2"/>
      <c r="C223" s="2"/>
      <c r="D223" s="2"/>
      <c r="E223" s="2"/>
      <c r="F223" s="3" t="str">
        <f aca="false">IFERROR(__xludf.dummyfunction("if($T223&lt;&gt;"""",VALUE(REGEXEXTRACT(SUBSTITUTE ($T223,F$1&amp;"" CE"",""""), F$1&amp;""[\w &amp;]*, (\d+\.\d+)"")),"""")
"),"")</f>
        <v/>
      </c>
      <c r="G223" s="3" t="str">
        <f aca="false">IFERROR(__xludf.dummyfunction("if($T223&lt;&gt;"""",VALUE(REGEXEXTRACT($T223, G$1&amp;""[\w &amp;]*, (\d+\.\d+)"")),"""")
"),"")</f>
        <v/>
      </c>
      <c r="H223" s="3"/>
      <c r="I223" s="3" t="str">
        <f aca="false">IFERROR(__xludf.dummyfunction("if($T223&lt;&gt;"""",VALUE(REGEXEXTRACT(SUBSTITUTE ($T223,I$1&amp;"" CE"",""""), I$1&amp;""[\w &amp;]*, (\d+\.\d+)"")),"""")
"),"")</f>
        <v/>
      </c>
      <c r="J223" s="3" t="str">
        <f aca="false">IFERROR(__xludf.dummyfunction("if($T223&lt;&gt;"""",VALUE(REGEXEXTRACT($T223, J$1&amp;""[\w &amp;]*, (\d+\.\d+)"")),"""")
"),"")</f>
        <v/>
      </c>
      <c r="K223" s="3"/>
      <c r="L223" s="3" t="str">
        <f aca="false">IFERROR(__xludf.dummyfunction("if($T223&lt;&gt;"""",VALUE(REGEXEXTRACT(SUBSTITUTE ($T223,L$1&amp;"" CE"",""""), L$1&amp;""[\w &amp;]*, (\d+\.\d+)"")),"""")
"),"")</f>
        <v/>
      </c>
      <c r="M223" s="3" t="str">
        <f aca="false">IFERROR(__xludf.dummyfunction("if($T223&lt;&gt;"""",VALUE(REGEXEXTRACT($T223, M$1&amp;""[\w &amp;]*, (\d+\.\d+)"")),"""")
"),"")</f>
        <v/>
      </c>
      <c r="N223" s="3" t="str">
        <f aca="false">IFERROR(__xludf.dummyfunction("if($T223&lt;&gt;"""",VALUE(REGEXEXTRACT(SUBSTITUTE ($T223,N$1&amp;"" CE"",""""), N$1&amp;""[\w &amp;]*, (\d+\.\d+)"")),"""")
"),"")</f>
        <v/>
      </c>
      <c r="O223" s="3" t="str">
        <f aca="false">IFERROR(__xludf.dummyfunction("if($T223&lt;&gt;"""",VALUE(REGEXEXTRACT($T223, O$1&amp;""[\w &amp;]*, (\d+\.\d+)"")),"""")
"),"")</f>
        <v/>
      </c>
      <c r="P223" s="2"/>
      <c r="Q223" s="2"/>
      <c r="R223" s="2"/>
      <c r="S223" s="2"/>
      <c r="T223" s="5"/>
      <c r="U223" s="5"/>
    </row>
    <row r="224" customFormat="false" ht="15.75" hidden="false" customHeight="false" outlineLevel="0" collapsed="false">
      <c r="A224" s="4"/>
      <c r="B224" s="2"/>
      <c r="C224" s="2"/>
      <c r="D224" s="2"/>
      <c r="E224" s="2"/>
      <c r="F224" s="3" t="str">
        <f aca="false">IFERROR(__xludf.dummyfunction("if($T224&lt;&gt;"""",VALUE(REGEXEXTRACT(SUBSTITUTE ($T224,F$1&amp;"" CE"",""""), F$1&amp;""[\w &amp;]*, (\d+\.\d+)"")),"""")
"),"")</f>
        <v/>
      </c>
      <c r="G224" s="3" t="str">
        <f aca="false">IFERROR(__xludf.dummyfunction("if($T224&lt;&gt;"""",VALUE(REGEXEXTRACT($T224, G$1&amp;""[\w &amp;]*, (\d+\.\d+)"")),"""")
"),"")</f>
        <v/>
      </c>
      <c r="H224" s="3"/>
      <c r="I224" s="3" t="str">
        <f aca="false">IFERROR(__xludf.dummyfunction("if($T224&lt;&gt;"""",VALUE(REGEXEXTRACT(SUBSTITUTE ($T224,I$1&amp;"" CE"",""""), I$1&amp;""[\w &amp;]*, (\d+\.\d+)"")),"""")
"),"")</f>
        <v/>
      </c>
      <c r="J224" s="3" t="str">
        <f aca="false">IFERROR(__xludf.dummyfunction("if($T224&lt;&gt;"""",VALUE(REGEXEXTRACT($T224, J$1&amp;""[\w &amp;]*, (\d+\.\d+)"")),"""")
"),"")</f>
        <v/>
      </c>
      <c r="K224" s="3"/>
      <c r="L224" s="3" t="str">
        <f aca="false">IFERROR(__xludf.dummyfunction("if($T224&lt;&gt;"""",VALUE(REGEXEXTRACT(SUBSTITUTE ($T224,L$1&amp;"" CE"",""""), L$1&amp;""[\w &amp;]*, (\d+\.\d+)"")),"""")
"),"")</f>
        <v/>
      </c>
      <c r="M224" s="3" t="str">
        <f aca="false">IFERROR(__xludf.dummyfunction("if($T224&lt;&gt;"""",VALUE(REGEXEXTRACT($T224, M$1&amp;""[\w &amp;]*, (\d+\.\d+)"")),"""")
"),"")</f>
        <v/>
      </c>
      <c r="N224" s="3" t="str">
        <f aca="false">IFERROR(__xludf.dummyfunction("if($T224&lt;&gt;"""",VALUE(REGEXEXTRACT(SUBSTITUTE ($T224,N$1&amp;"" CE"",""""), N$1&amp;""[\w &amp;]*, (\d+\.\d+)"")),"""")
"),"")</f>
        <v/>
      </c>
      <c r="O224" s="3" t="str">
        <f aca="false">IFERROR(__xludf.dummyfunction("if($T224&lt;&gt;"""",VALUE(REGEXEXTRACT($T224, O$1&amp;""[\w &amp;]*, (\d+\.\d+)"")),"""")
"),"")</f>
        <v/>
      </c>
      <c r="P224" s="2"/>
      <c r="Q224" s="2"/>
      <c r="R224" s="2"/>
      <c r="S224" s="2"/>
      <c r="T224" s="5"/>
      <c r="U224" s="5"/>
    </row>
    <row r="225" customFormat="false" ht="15.75" hidden="false" customHeight="false" outlineLevel="0" collapsed="false">
      <c r="A225" s="4"/>
      <c r="B225" s="2"/>
      <c r="C225" s="2"/>
      <c r="D225" s="2"/>
      <c r="E225" s="2"/>
      <c r="F225" s="3" t="str">
        <f aca="false">IFERROR(__xludf.dummyfunction("if($T225&lt;&gt;"""",VALUE(REGEXEXTRACT(SUBSTITUTE ($T225,F$1&amp;"" CE"",""""), F$1&amp;""[\w &amp;]*, (\d+\.\d+)"")),"""")
"),"")</f>
        <v/>
      </c>
      <c r="G225" s="3" t="str">
        <f aca="false">IFERROR(__xludf.dummyfunction("if($T225&lt;&gt;"""",VALUE(REGEXEXTRACT($T225, G$1&amp;""[\w &amp;]*, (\d+\.\d+)"")),"""")
"),"")</f>
        <v/>
      </c>
      <c r="H225" s="3"/>
      <c r="I225" s="3" t="str">
        <f aca="false">IFERROR(__xludf.dummyfunction("if($T225&lt;&gt;"""",VALUE(REGEXEXTRACT(SUBSTITUTE ($T225,I$1&amp;"" CE"",""""), I$1&amp;""[\w &amp;]*, (\d+\.\d+)"")),"""")
"),"")</f>
        <v/>
      </c>
      <c r="J225" s="3" t="str">
        <f aca="false">IFERROR(__xludf.dummyfunction("if($T225&lt;&gt;"""",VALUE(REGEXEXTRACT($T225, J$1&amp;""[\w &amp;]*, (\d+\.\d+)"")),"""")
"),"")</f>
        <v/>
      </c>
      <c r="K225" s="3"/>
      <c r="L225" s="3" t="str">
        <f aca="false">IFERROR(__xludf.dummyfunction("if($T225&lt;&gt;"""",VALUE(REGEXEXTRACT(SUBSTITUTE ($T225,L$1&amp;"" CE"",""""), L$1&amp;""[\w &amp;]*, (\d+\.\d+)"")),"""")
"),"")</f>
        <v/>
      </c>
      <c r="M225" s="3" t="str">
        <f aca="false">IFERROR(__xludf.dummyfunction("if($T225&lt;&gt;"""",VALUE(REGEXEXTRACT($T225, M$1&amp;""[\w &amp;]*, (\d+\.\d+)"")),"""")
"),"")</f>
        <v/>
      </c>
      <c r="N225" s="3" t="str">
        <f aca="false">IFERROR(__xludf.dummyfunction("if($T225&lt;&gt;"""",VALUE(REGEXEXTRACT(SUBSTITUTE ($T225,N$1&amp;"" CE"",""""), N$1&amp;""[\w &amp;]*, (\d+\.\d+)"")),"""")
"),"")</f>
        <v/>
      </c>
      <c r="O225" s="3" t="str">
        <f aca="false">IFERROR(__xludf.dummyfunction("if($T225&lt;&gt;"""",VALUE(REGEXEXTRACT($T225, O$1&amp;""[\w &amp;]*, (\d+\.\d+)"")),"""")
"),"")</f>
        <v/>
      </c>
      <c r="P225" s="2"/>
      <c r="Q225" s="2"/>
      <c r="R225" s="2"/>
      <c r="S225" s="2"/>
      <c r="T225" s="5"/>
      <c r="U225" s="5"/>
    </row>
    <row r="226" customFormat="false" ht="15.75" hidden="false" customHeight="false" outlineLevel="0" collapsed="false">
      <c r="A226" s="4"/>
      <c r="B226" s="2"/>
      <c r="C226" s="2"/>
      <c r="D226" s="2"/>
      <c r="E226" s="2"/>
      <c r="F226" s="3" t="str">
        <f aca="false">IFERROR(__xludf.dummyfunction("if($T226&lt;&gt;"""",VALUE(REGEXEXTRACT(SUBSTITUTE ($T226,F$1&amp;"" CE"",""""), F$1&amp;""[\w &amp;]*, (\d+\.\d+)"")),"""")
"),"")</f>
        <v/>
      </c>
      <c r="G226" s="3" t="str">
        <f aca="false">IFERROR(__xludf.dummyfunction("if($T226&lt;&gt;"""",VALUE(REGEXEXTRACT($T226, G$1&amp;""[\w &amp;]*, (\d+\.\d+)"")),"""")
"),"")</f>
        <v/>
      </c>
      <c r="H226" s="3"/>
      <c r="I226" s="3" t="str">
        <f aca="false">IFERROR(__xludf.dummyfunction("if($T226&lt;&gt;"""",VALUE(REGEXEXTRACT(SUBSTITUTE ($T226,I$1&amp;"" CE"",""""), I$1&amp;""[\w &amp;]*, (\d+\.\d+)"")),"""")
"),"")</f>
        <v/>
      </c>
      <c r="J226" s="3" t="str">
        <f aca="false">IFERROR(__xludf.dummyfunction("if($T226&lt;&gt;"""",VALUE(REGEXEXTRACT($T226, J$1&amp;""[\w &amp;]*, (\d+\.\d+)"")),"""")
"),"")</f>
        <v/>
      </c>
      <c r="K226" s="3"/>
      <c r="L226" s="3" t="str">
        <f aca="false">IFERROR(__xludf.dummyfunction("if($T226&lt;&gt;"""",VALUE(REGEXEXTRACT(SUBSTITUTE ($T226,L$1&amp;"" CE"",""""), L$1&amp;""[\w &amp;]*, (\d+\.\d+)"")),"""")
"),"")</f>
        <v/>
      </c>
      <c r="M226" s="3" t="str">
        <f aca="false">IFERROR(__xludf.dummyfunction("if($T226&lt;&gt;"""",VALUE(REGEXEXTRACT($T226, M$1&amp;""[\w &amp;]*, (\d+\.\d+)"")),"""")
"),"")</f>
        <v/>
      </c>
      <c r="N226" s="3" t="str">
        <f aca="false">IFERROR(__xludf.dummyfunction("if($T226&lt;&gt;"""",VALUE(REGEXEXTRACT(SUBSTITUTE ($T226,N$1&amp;"" CE"",""""), N$1&amp;""[\w &amp;]*, (\d+\.\d+)"")),"""")
"),"")</f>
        <v/>
      </c>
      <c r="O226" s="3" t="str">
        <f aca="false">IFERROR(__xludf.dummyfunction("if($T226&lt;&gt;"""",VALUE(REGEXEXTRACT($T226, O$1&amp;""[\w &amp;]*, (\d+\.\d+)"")),"""")
"),"")</f>
        <v/>
      </c>
      <c r="P226" s="2"/>
      <c r="Q226" s="2"/>
      <c r="R226" s="2"/>
      <c r="S226" s="2"/>
      <c r="T226" s="5"/>
      <c r="U226" s="5"/>
    </row>
    <row r="227" customFormat="false" ht="15.75" hidden="false" customHeight="false" outlineLevel="0" collapsed="false">
      <c r="A227" s="4"/>
      <c r="B227" s="2"/>
      <c r="C227" s="2"/>
      <c r="D227" s="2"/>
      <c r="E227" s="2"/>
      <c r="F227" s="3" t="str">
        <f aca="false">IFERROR(__xludf.dummyfunction("if($T227&lt;&gt;"""",VALUE(REGEXEXTRACT(SUBSTITUTE ($T227,F$1&amp;"" CE"",""""), F$1&amp;""[\w &amp;]*, (\d+\.\d+)"")),"""")
"),"")</f>
        <v/>
      </c>
      <c r="G227" s="3" t="str">
        <f aca="false">IFERROR(__xludf.dummyfunction("if($T227&lt;&gt;"""",VALUE(REGEXEXTRACT($T227, G$1&amp;""[\w &amp;]*, (\d+\.\d+)"")),"""")
"),"")</f>
        <v/>
      </c>
      <c r="H227" s="3"/>
      <c r="I227" s="3" t="str">
        <f aca="false">IFERROR(__xludf.dummyfunction("if($T227&lt;&gt;"""",VALUE(REGEXEXTRACT(SUBSTITUTE ($T227,I$1&amp;"" CE"",""""), I$1&amp;""[\w &amp;]*, (\d+\.\d+)"")),"""")
"),"")</f>
        <v/>
      </c>
      <c r="J227" s="3" t="str">
        <f aca="false">IFERROR(__xludf.dummyfunction("if($T227&lt;&gt;"""",VALUE(REGEXEXTRACT($T227, J$1&amp;""[\w &amp;]*, (\d+\.\d+)"")),"""")
"),"")</f>
        <v/>
      </c>
      <c r="K227" s="3"/>
      <c r="L227" s="3" t="str">
        <f aca="false">IFERROR(__xludf.dummyfunction("if($T227&lt;&gt;"""",VALUE(REGEXEXTRACT(SUBSTITUTE ($T227,L$1&amp;"" CE"",""""), L$1&amp;""[\w &amp;]*, (\d+\.\d+)"")),"""")
"),"")</f>
        <v/>
      </c>
      <c r="M227" s="3" t="str">
        <f aca="false">IFERROR(__xludf.dummyfunction("if($T227&lt;&gt;"""",VALUE(REGEXEXTRACT($T227, M$1&amp;""[\w &amp;]*, (\d+\.\d+)"")),"""")
"),"")</f>
        <v/>
      </c>
      <c r="N227" s="3" t="str">
        <f aca="false">IFERROR(__xludf.dummyfunction("if($T227&lt;&gt;"""",VALUE(REGEXEXTRACT(SUBSTITUTE ($T227,N$1&amp;"" CE"",""""), N$1&amp;""[\w &amp;]*, (\d+\.\d+)"")),"""")
"),"")</f>
        <v/>
      </c>
      <c r="O227" s="3" t="str">
        <f aca="false">IFERROR(__xludf.dummyfunction("if($T227&lt;&gt;"""",VALUE(REGEXEXTRACT($T227, O$1&amp;""[\w &amp;]*, (\d+\.\d+)"")),"""")
"),"")</f>
        <v/>
      </c>
      <c r="P227" s="2"/>
      <c r="Q227" s="2"/>
      <c r="R227" s="2"/>
      <c r="S227" s="2"/>
      <c r="T227" s="5"/>
      <c r="U227" s="5"/>
    </row>
    <row r="228" customFormat="false" ht="15.75" hidden="false" customHeight="false" outlineLevel="0" collapsed="false">
      <c r="A228" s="4"/>
      <c r="B228" s="2"/>
      <c r="C228" s="2"/>
      <c r="D228" s="2"/>
      <c r="E228" s="2"/>
      <c r="F228" s="3" t="str">
        <f aca="false">IFERROR(__xludf.dummyfunction("if($T228&lt;&gt;"""",VALUE(REGEXEXTRACT(SUBSTITUTE ($T228,F$1&amp;"" CE"",""""), F$1&amp;""[\w &amp;]*, (\d+\.\d+)"")),"""")
"),"")</f>
        <v/>
      </c>
      <c r="G228" s="3" t="str">
        <f aca="false">IFERROR(__xludf.dummyfunction("if($T228&lt;&gt;"""",VALUE(REGEXEXTRACT($T228, G$1&amp;""[\w &amp;]*, (\d+\.\d+)"")),"""")
"),"")</f>
        <v/>
      </c>
      <c r="H228" s="3"/>
      <c r="I228" s="3" t="str">
        <f aca="false">IFERROR(__xludf.dummyfunction("if($T228&lt;&gt;"""",VALUE(REGEXEXTRACT(SUBSTITUTE ($T228,I$1&amp;"" CE"",""""), I$1&amp;""[\w &amp;]*, (\d+\.\d+)"")),"""")
"),"")</f>
        <v/>
      </c>
      <c r="J228" s="3" t="str">
        <f aca="false">IFERROR(__xludf.dummyfunction("if($T228&lt;&gt;"""",VALUE(REGEXEXTRACT($T228, J$1&amp;""[\w &amp;]*, (\d+\.\d+)"")),"""")
"),"")</f>
        <v/>
      </c>
      <c r="K228" s="3"/>
      <c r="L228" s="3" t="str">
        <f aca="false">IFERROR(__xludf.dummyfunction("if($T228&lt;&gt;"""",VALUE(REGEXEXTRACT(SUBSTITUTE ($T228,L$1&amp;"" CE"",""""), L$1&amp;""[\w &amp;]*, (\d+\.\d+)"")),"""")
"),"")</f>
        <v/>
      </c>
      <c r="M228" s="3" t="str">
        <f aca="false">IFERROR(__xludf.dummyfunction("if($T228&lt;&gt;"""",VALUE(REGEXEXTRACT($T228, M$1&amp;""[\w &amp;]*, (\d+\.\d+)"")),"""")
"),"")</f>
        <v/>
      </c>
      <c r="N228" s="3" t="str">
        <f aca="false">IFERROR(__xludf.dummyfunction("if($T228&lt;&gt;"""",VALUE(REGEXEXTRACT(SUBSTITUTE ($T228,N$1&amp;"" CE"",""""), N$1&amp;""[\w &amp;]*, (\d+\.\d+)"")),"""")
"),"")</f>
        <v/>
      </c>
      <c r="O228" s="3" t="str">
        <f aca="false">IFERROR(__xludf.dummyfunction("if($T228&lt;&gt;"""",VALUE(REGEXEXTRACT($T228, O$1&amp;""[\w &amp;]*, (\d+\.\d+)"")),"""")
"),"")</f>
        <v/>
      </c>
      <c r="P228" s="2"/>
      <c r="Q228" s="2"/>
      <c r="R228" s="2"/>
      <c r="S228" s="2"/>
      <c r="T228" s="5"/>
      <c r="U228" s="5"/>
    </row>
    <row r="229" customFormat="false" ht="15.75" hidden="false" customHeight="false" outlineLevel="0" collapsed="false">
      <c r="A229" s="4"/>
      <c r="B229" s="2"/>
      <c r="C229" s="2"/>
      <c r="D229" s="2"/>
      <c r="E229" s="2"/>
      <c r="F229" s="3" t="str">
        <f aca="false">IFERROR(__xludf.dummyfunction("if($T229&lt;&gt;"""",VALUE(REGEXEXTRACT(SUBSTITUTE ($T229,F$1&amp;"" CE"",""""), F$1&amp;""[\w &amp;]*, (\d+\.\d+)"")),"""")
"),"")</f>
        <v/>
      </c>
      <c r="G229" s="3" t="str">
        <f aca="false">IFERROR(__xludf.dummyfunction("if($T229&lt;&gt;"""",VALUE(REGEXEXTRACT($T229, G$1&amp;""[\w &amp;]*, (\d+\.\d+)"")),"""")
"),"")</f>
        <v/>
      </c>
      <c r="H229" s="3"/>
      <c r="I229" s="3" t="str">
        <f aca="false">IFERROR(__xludf.dummyfunction("if($T229&lt;&gt;"""",VALUE(REGEXEXTRACT(SUBSTITUTE ($T229,I$1&amp;"" CE"",""""), I$1&amp;""[\w &amp;]*, (\d+\.\d+)"")),"""")
"),"")</f>
        <v/>
      </c>
      <c r="J229" s="3" t="str">
        <f aca="false">IFERROR(__xludf.dummyfunction("if($T229&lt;&gt;"""",VALUE(REGEXEXTRACT($T229, J$1&amp;""[\w &amp;]*, (\d+\.\d+)"")),"""")
"),"")</f>
        <v/>
      </c>
      <c r="K229" s="3"/>
      <c r="L229" s="3" t="str">
        <f aca="false">IFERROR(__xludf.dummyfunction("if($T229&lt;&gt;"""",VALUE(REGEXEXTRACT(SUBSTITUTE ($T229,L$1&amp;"" CE"",""""), L$1&amp;""[\w &amp;]*, (\d+\.\d+)"")),"""")
"),"")</f>
        <v/>
      </c>
      <c r="M229" s="3" t="str">
        <f aca="false">IFERROR(__xludf.dummyfunction("if($T229&lt;&gt;"""",VALUE(REGEXEXTRACT($T229, M$1&amp;""[\w &amp;]*, (\d+\.\d+)"")),"""")
"),"")</f>
        <v/>
      </c>
      <c r="N229" s="3" t="str">
        <f aca="false">IFERROR(__xludf.dummyfunction("if($T229&lt;&gt;"""",VALUE(REGEXEXTRACT(SUBSTITUTE ($T229,N$1&amp;"" CE"",""""), N$1&amp;""[\w &amp;]*, (\d+\.\d+)"")),"""")
"),"")</f>
        <v/>
      </c>
      <c r="O229" s="3" t="str">
        <f aca="false">IFERROR(__xludf.dummyfunction("if($T229&lt;&gt;"""",VALUE(REGEXEXTRACT($T229, O$1&amp;""[\w &amp;]*, (\d+\.\d+)"")),"""")
"),"")</f>
        <v/>
      </c>
      <c r="P229" s="2"/>
      <c r="Q229" s="2"/>
      <c r="R229" s="2"/>
      <c r="S229" s="2"/>
      <c r="T229" s="5"/>
      <c r="U229" s="5"/>
    </row>
    <row r="230" customFormat="false" ht="15.75" hidden="false" customHeight="false" outlineLevel="0" collapsed="false">
      <c r="A230" s="4"/>
      <c r="B230" s="2"/>
      <c r="C230" s="2"/>
      <c r="D230" s="2"/>
      <c r="E230" s="2"/>
      <c r="F230" s="3" t="str">
        <f aca="false">IFERROR(__xludf.dummyfunction("if($T230&lt;&gt;"""",VALUE(REGEXEXTRACT(SUBSTITUTE ($T230,F$1&amp;"" CE"",""""), F$1&amp;""[\w &amp;]*, (\d+\.\d+)"")),"""")
"),"")</f>
        <v/>
      </c>
      <c r="G230" s="3" t="str">
        <f aca="false">IFERROR(__xludf.dummyfunction("if($T230&lt;&gt;"""",VALUE(REGEXEXTRACT($T230, G$1&amp;""[\w &amp;]*, (\d+\.\d+)"")),"""")
"),"")</f>
        <v/>
      </c>
      <c r="H230" s="3"/>
      <c r="I230" s="3" t="str">
        <f aca="false">IFERROR(__xludf.dummyfunction("if($T230&lt;&gt;"""",VALUE(REGEXEXTRACT(SUBSTITUTE ($T230,I$1&amp;"" CE"",""""), I$1&amp;""[\w &amp;]*, (\d+\.\d+)"")),"""")
"),"")</f>
        <v/>
      </c>
      <c r="J230" s="3" t="str">
        <f aca="false">IFERROR(__xludf.dummyfunction("if($T230&lt;&gt;"""",VALUE(REGEXEXTRACT($T230, J$1&amp;""[\w &amp;]*, (\d+\.\d+)"")),"""")
"),"")</f>
        <v/>
      </c>
      <c r="K230" s="3"/>
      <c r="L230" s="3" t="str">
        <f aca="false">IFERROR(__xludf.dummyfunction("if($T230&lt;&gt;"""",VALUE(REGEXEXTRACT(SUBSTITUTE ($T230,L$1&amp;"" CE"",""""), L$1&amp;""[\w &amp;]*, (\d+\.\d+)"")),"""")
"),"")</f>
        <v/>
      </c>
      <c r="M230" s="3" t="str">
        <f aca="false">IFERROR(__xludf.dummyfunction("if($T230&lt;&gt;"""",VALUE(REGEXEXTRACT($T230, M$1&amp;""[\w &amp;]*, (\d+\.\d+)"")),"""")
"),"")</f>
        <v/>
      </c>
      <c r="N230" s="3" t="str">
        <f aca="false">IFERROR(__xludf.dummyfunction("if($T230&lt;&gt;"""",VALUE(REGEXEXTRACT(SUBSTITUTE ($T230,N$1&amp;"" CE"",""""), N$1&amp;""[\w &amp;]*, (\d+\.\d+)"")),"""")
"),"")</f>
        <v/>
      </c>
      <c r="O230" s="3" t="str">
        <f aca="false">IFERROR(__xludf.dummyfunction("if($T230&lt;&gt;"""",VALUE(REGEXEXTRACT($T230, O$1&amp;""[\w &amp;]*, (\d+\.\d+)"")),"""")
"),"")</f>
        <v/>
      </c>
      <c r="P230" s="2"/>
      <c r="Q230" s="2"/>
      <c r="R230" s="2"/>
      <c r="S230" s="2"/>
      <c r="T230" s="5"/>
      <c r="U230" s="5"/>
    </row>
    <row r="231" customFormat="false" ht="15.75" hidden="false" customHeight="false" outlineLevel="0" collapsed="false">
      <c r="A231" s="4"/>
      <c r="B231" s="2"/>
      <c r="C231" s="2"/>
      <c r="D231" s="2"/>
      <c r="E231" s="2"/>
      <c r="F231" s="3" t="str">
        <f aca="false">IFERROR(__xludf.dummyfunction("if($T231&lt;&gt;"""",VALUE(REGEXEXTRACT(SUBSTITUTE ($T231,F$1&amp;"" CE"",""""), F$1&amp;""[\w &amp;]*, (\d+\.\d+)"")),"""")
"),"")</f>
        <v/>
      </c>
      <c r="G231" s="3" t="str">
        <f aca="false">IFERROR(__xludf.dummyfunction("if($T231&lt;&gt;"""",VALUE(REGEXEXTRACT($T231, G$1&amp;""[\w &amp;]*, (\d+\.\d+)"")),"""")
"),"")</f>
        <v/>
      </c>
      <c r="H231" s="3"/>
      <c r="I231" s="3" t="str">
        <f aca="false">IFERROR(__xludf.dummyfunction("if($T231&lt;&gt;"""",VALUE(REGEXEXTRACT(SUBSTITUTE ($T231,I$1&amp;"" CE"",""""), I$1&amp;""[\w &amp;]*, (\d+\.\d+)"")),"""")
"),"")</f>
        <v/>
      </c>
      <c r="J231" s="3" t="str">
        <f aca="false">IFERROR(__xludf.dummyfunction("if($T231&lt;&gt;"""",VALUE(REGEXEXTRACT($T231, J$1&amp;""[\w &amp;]*, (\d+\.\d+)"")),"""")
"),"")</f>
        <v/>
      </c>
      <c r="K231" s="3"/>
      <c r="L231" s="3" t="str">
        <f aca="false">IFERROR(__xludf.dummyfunction("if($T231&lt;&gt;"""",VALUE(REGEXEXTRACT(SUBSTITUTE ($T231,L$1&amp;"" CE"",""""), L$1&amp;""[\w &amp;]*, (\d+\.\d+)"")),"""")
"),"")</f>
        <v/>
      </c>
      <c r="M231" s="3" t="str">
        <f aca="false">IFERROR(__xludf.dummyfunction("if($T231&lt;&gt;"""",VALUE(REGEXEXTRACT($T231, M$1&amp;""[\w &amp;]*, (\d+\.\d+)"")),"""")
"),"")</f>
        <v/>
      </c>
      <c r="N231" s="3" t="str">
        <f aca="false">IFERROR(__xludf.dummyfunction("if($T231&lt;&gt;"""",VALUE(REGEXEXTRACT(SUBSTITUTE ($T231,N$1&amp;"" CE"",""""), N$1&amp;""[\w &amp;]*, (\d+\.\d+)"")),"""")
"),"")</f>
        <v/>
      </c>
      <c r="O231" s="3" t="str">
        <f aca="false">IFERROR(__xludf.dummyfunction("if($T231&lt;&gt;"""",VALUE(REGEXEXTRACT($T231, O$1&amp;""[\w &amp;]*, (\d+\.\d+)"")),"""")
"),"")</f>
        <v/>
      </c>
      <c r="P231" s="2"/>
      <c r="Q231" s="2"/>
      <c r="R231" s="2"/>
      <c r="S231" s="2"/>
      <c r="T231" s="5"/>
      <c r="U231" s="5"/>
    </row>
    <row r="232" customFormat="false" ht="15.75" hidden="false" customHeight="false" outlineLevel="0" collapsed="false">
      <c r="A232" s="4"/>
      <c r="B232" s="2"/>
      <c r="C232" s="2"/>
      <c r="D232" s="2"/>
      <c r="E232" s="2"/>
      <c r="F232" s="3" t="str">
        <f aca="false">IFERROR(__xludf.dummyfunction("if($T232&lt;&gt;"""",VALUE(REGEXEXTRACT(SUBSTITUTE ($T232,F$1&amp;"" CE"",""""), F$1&amp;""[\w &amp;]*, (\d+\.\d+)"")),"""")
"),"")</f>
        <v/>
      </c>
      <c r="G232" s="3" t="str">
        <f aca="false">IFERROR(__xludf.dummyfunction("if($T232&lt;&gt;"""",VALUE(REGEXEXTRACT($T232, G$1&amp;""[\w &amp;]*, (\d+\.\d+)"")),"""")
"),"")</f>
        <v/>
      </c>
      <c r="H232" s="3"/>
      <c r="I232" s="3" t="str">
        <f aca="false">IFERROR(__xludf.dummyfunction("if($T232&lt;&gt;"""",VALUE(REGEXEXTRACT(SUBSTITUTE ($T232,I$1&amp;"" CE"",""""), I$1&amp;""[\w &amp;]*, (\d+\.\d+)"")),"""")
"),"")</f>
        <v/>
      </c>
      <c r="J232" s="3" t="str">
        <f aca="false">IFERROR(__xludf.dummyfunction("if($T232&lt;&gt;"""",VALUE(REGEXEXTRACT($T232, J$1&amp;""[\w &amp;]*, (\d+\.\d+)"")),"""")
"),"")</f>
        <v/>
      </c>
      <c r="K232" s="3"/>
      <c r="L232" s="3" t="str">
        <f aca="false">IFERROR(__xludf.dummyfunction("if($T232&lt;&gt;"""",VALUE(REGEXEXTRACT(SUBSTITUTE ($T232,L$1&amp;"" CE"",""""), L$1&amp;""[\w &amp;]*, (\d+\.\d+)"")),"""")
"),"")</f>
        <v/>
      </c>
      <c r="M232" s="3" t="str">
        <f aca="false">IFERROR(__xludf.dummyfunction("if($T232&lt;&gt;"""",VALUE(REGEXEXTRACT($T232, M$1&amp;""[\w &amp;]*, (\d+\.\d+)"")),"""")
"),"")</f>
        <v/>
      </c>
      <c r="N232" s="3" t="str">
        <f aca="false">IFERROR(__xludf.dummyfunction("if($T232&lt;&gt;"""",VALUE(REGEXEXTRACT(SUBSTITUTE ($T232,N$1&amp;"" CE"",""""), N$1&amp;""[\w &amp;]*, (\d+\.\d+)"")),"""")
"),"")</f>
        <v/>
      </c>
      <c r="O232" s="3" t="str">
        <f aca="false">IFERROR(__xludf.dummyfunction("if($T232&lt;&gt;"""",VALUE(REGEXEXTRACT($T232, O$1&amp;""[\w &amp;]*, (\d+\.\d+)"")),"""")
"),"")</f>
        <v/>
      </c>
      <c r="P232" s="2"/>
      <c r="Q232" s="2"/>
      <c r="R232" s="2"/>
      <c r="S232" s="2"/>
      <c r="T232" s="5"/>
      <c r="U232" s="5"/>
    </row>
    <row r="233" customFormat="false" ht="15.75" hidden="false" customHeight="false" outlineLevel="0" collapsed="false">
      <c r="A233" s="4"/>
      <c r="B233" s="2"/>
      <c r="C233" s="2"/>
      <c r="D233" s="2"/>
      <c r="E233" s="2"/>
      <c r="F233" s="3" t="str">
        <f aca="false">IFERROR(__xludf.dummyfunction("if($T233&lt;&gt;"""",VALUE(REGEXEXTRACT(SUBSTITUTE ($T233,F$1&amp;"" CE"",""""), F$1&amp;""[\w &amp;]*, (\d+\.\d+)"")),"""")
"),"")</f>
        <v/>
      </c>
      <c r="G233" s="3" t="str">
        <f aca="false">IFERROR(__xludf.dummyfunction("if($T233&lt;&gt;"""",VALUE(REGEXEXTRACT($T233, G$1&amp;""[\w &amp;]*, (\d+\.\d+)"")),"""")
"),"")</f>
        <v/>
      </c>
      <c r="H233" s="3"/>
      <c r="I233" s="3" t="str">
        <f aca="false">IFERROR(__xludf.dummyfunction("if($T233&lt;&gt;"""",VALUE(REGEXEXTRACT(SUBSTITUTE ($T233,I$1&amp;"" CE"",""""), I$1&amp;""[\w &amp;]*, (\d+\.\d+)"")),"""")
"),"")</f>
        <v/>
      </c>
      <c r="J233" s="3" t="str">
        <f aca="false">IFERROR(__xludf.dummyfunction("if($T233&lt;&gt;"""",VALUE(REGEXEXTRACT($T233, J$1&amp;""[\w &amp;]*, (\d+\.\d+)"")),"""")
"),"")</f>
        <v/>
      </c>
      <c r="K233" s="3"/>
      <c r="L233" s="3" t="str">
        <f aca="false">IFERROR(__xludf.dummyfunction("if($T233&lt;&gt;"""",VALUE(REGEXEXTRACT(SUBSTITUTE ($T233,L$1&amp;"" CE"",""""), L$1&amp;""[\w &amp;]*, (\d+\.\d+)"")),"""")
"),"")</f>
        <v/>
      </c>
      <c r="M233" s="3" t="str">
        <f aca="false">IFERROR(__xludf.dummyfunction("if($T233&lt;&gt;"""",VALUE(REGEXEXTRACT($T233, M$1&amp;""[\w &amp;]*, (\d+\.\d+)"")),"""")
"),"")</f>
        <v/>
      </c>
      <c r="N233" s="3" t="str">
        <f aca="false">IFERROR(__xludf.dummyfunction("if($T233&lt;&gt;"""",VALUE(REGEXEXTRACT(SUBSTITUTE ($T233,N$1&amp;"" CE"",""""), N$1&amp;""[\w &amp;]*, (\d+\.\d+)"")),"""")
"),"")</f>
        <v/>
      </c>
      <c r="O233" s="3" t="str">
        <f aca="false">IFERROR(__xludf.dummyfunction("if($T233&lt;&gt;"""",VALUE(REGEXEXTRACT($T233, O$1&amp;""[\w &amp;]*, (\d+\.\d+)"")),"""")
"),"")</f>
        <v/>
      </c>
      <c r="P233" s="2"/>
      <c r="Q233" s="2"/>
      <c r="R233" s="2"/>
      <c r="S233" s="2"/>
      <c r="T233" s="5"/>
      <c r="U233" s="5"/>
    </row>
    <row r="234" customFormat="false" ht="15.75" hidden="false" customHeight="false" outlineLevel="0" collapsed="false">
      <c r="A234" s="4"/>
      <c r="B234" s="2"/>
      <c r="C234" s="2"/>
      <c r="D234" s="2"/>
      <c r="E234" s="2"/>
      <c r="F234" s="3" t="str">
        <f aca="false">IFERROR(__xludf.dummyfunction("if($T234&lt;&gt;"""",VALUE(REGEXEXTRACT(SUBSTITUTE ($T234,F$1&amp;"" CE"",""""), F$1&amp;""[\w &amp;]*, (\d+\.\d+)"")),"""")
"),"")</f>
        <v/>
      </c>
      <c r="G234" s="3" t="str">
        <f aca="false">IFERROR(__xludf.dummyfunction("if($T234&lt;&gt;"""",VALUE(REGEXEXTRACT($T234, G$1&amp;""[\w &amp;]*, (\d+\.\d+)"")),"""")
"),"")</f>
        <v/>
      </c>
      <c r="H234" s="3"/>
      <c r="I234" s="3" t="str">
        <f aca="false">IFERROR(__xludf.dummyfunction("if($T234&lt;&gt;"""",VALUE(REGEXEXTRACT(SUBSTITUTE ($T234,I$1&amp;"" CE"",""""), I$1&amp;""[\w &amp;]*, (\d+\.\d+)"")),"""")
"),"")</f>
        <v/>
      </c>
      <c r="J234" s="3" t="str">
        <f aca="false">IFERROR(__xludf.dummyfunction("if($T234&lt;&gt;"""",VALUE(REGEXEXTRACT($T234, J$1&amp;""[\w &amp;]*, (\d+\.\d+)"")),"""")
"),"")</f>
        <v/>
      </c>
      <c r="K234" s="3"/>
      <c r="L234" s="3" t="str">
        <f aca="false">IFERROR(__xludf.dummyfunction("if($T234&lt;&gt;"""",VALUE(REGEXEXTRACT(SUBSTITUTE ($T234,L$1&amp;"" CE"",""""), L$1&amp;""[\w &amp;]*, (\d+\.\d+)"")),"""")
"),"")</f>
        <v/>
      </c>
      <c r="M234" s="3" t="str">
        <f aca="false">IFERROR(__xludf.dummyfunction("if($T234&lt;&gt;"""",VALUE(REGEXEXTRACT($T234, M$1&amp;""[\w &amp;]*, (\d+\.\d+)"")),"""")
"),"")</f>
        <v/>
      </c>
      <c r="N234" s="3" t="str">
        <f aca="false">IFERROR(__xludf.dummyfunction("if($T234&lt;&gt;"""",VALUE(REGEXEXTRACT(SUBSTITUTE ($T234,N$1&amp;"" CE"",""""), N$1&amp;""[\w &amp;]*, (\d+\.\d+)"")),"""")
"),"")</f>
        <v/>
      </c>
      <c r="O234" s="3" t="str">
        <f aca="false">IFERROR(__xludf.dummyfunction("if($T234&lt;&gt;"""",VALUE(REGEXEXTRACT($T234, O$1&amp;""[\w &amp;]*, (\d+\.\d+)"")),"""")
"),"")</f>
        <v/>
      </c>
      <c r="P234" s="2"/>
      <c r="Q234" s="2"/>
      <c r="R234" s="2"/>
      <c r="S234" s="2"/>
      <c r="T234" s="5"/>
      <c r="U234" s="5"/>
    </row>
    <row r="235" customFormat="false" ht="15.75" hidden="false" customHeight="false" outlineLevel="0" collapsed="false">
      <c r="A235" s="4"/>
      <c r="B235" s="2"/>
      <c r="C235" s="2"/>
      <c r="D235" s="2"/>
      <c r="E235" s="2"/>
      <c r="F235" s="3" t="str">
        <f aca="false">IFERROR(__xludf.dummyfunction("if($T235&lt;&gt;"""",VALUE(REGEXEXTRACT(SUBSTITUTE ($T235,F$1&amp;"" CE"",""""), F$1&amp;""[\w &amp;]*, (\d+\.\d+)"")),"""")
"),"")</f>
        <v/>
      </c>
      <c r="G235" s="3" t="str">
        <f aca="false">IFERROR(__xludf.dummyfunction("if($T235&lt;&gt;"""",VALUE(REGEXEXTRACT($T235, G$1&amp;""[\w &amp;]*, (\d+\.\d+)"")),"""")
"),"")</f>
        <v/>
      </c>
      <c r="H235" s="3"/>
      <c r="I235" s="3" t="str">
        <f aca="false">IFERROR(__xludf.dummyfunction("if($T235&lt;&gt;"""",VALUE(REGEXEXTRACT(SUBSTITUTE ($T235,I$1&amp;"" CE"",""""), I$1&amp;""[\w &amp;]*, (\d+\.\d+)"")),"""")
"),"")</f>
        <v/>
      </c>
      <c r="J235" s="3" t="str">
        <f aca="false">IFERROR(__xludf.dummyfunction("if($T235&lt;&gt;"""",VALUE(REGEXEXTRACT($T235, J$1&amp;""[\w &amp;]*, (\d+\.\d+)"")),"""")
"),"")</f>
        <v/>
      </c>
      <c r="K235" s="3"/>
      <c r="L235" s="3" t="str">
        <f aca="false">IFERROR(__xludf.dummyfunction("if($T235&lt;&gt;"""",VALUE(REGEXEXTRACT(SUBSTITUTE ($T235,L$1&amp;"" CE"",""""), L$1&amp;""[\w &amp;]*, (\d+\.\d+)"")),"""")
"),"")</f>
        <v/>
      </c>
      <c r="M235" s="3" t="str">
        <f aca="false">IFERROR(__xludf.dummyfunction("if($T235&lt;&gt;"""",VALUE(REGEXEXTRACT($T235, M$1&amp;""[\w &amp;]*, (\d+\.\d+)"")),"""")
"),"")</f>
        <v/>
      </c>
      <c r="N235" s="3" t="str">
        <f aca="false">IFERROR(__xludf.dummyfunction("if($T235&lt;&gt;"""",VALUE(REGEXEXTRACT(SUBSTITUTE ($T235,N$1&amp;"" CE"",""""), N$1&amp;""[\w &amp;]*, (\d+\.\d+)"")),"""")
"),"")</f>
        <v/>
      </c>
      <c r="O235" s="3" t="str">
        <f aca="false">IFERROR(__xludf.dummyfunction("if($T235&lt;&gt;"""",VALUE(REGEXEXTRACT($T235, O$1&amp;""[\w &amp;]*, (\d+\.\d+)"")),"""")
"),"")</f>
        <v/>
      </c>
      <c r="P235" s="2"/>
      <c r="Q235" s="2"/>
      <c r="R235" s="2"/>
      <c r="S235" s="2"/>
      <c r="T235" s="5"/>
      <c r="U235" s="5"/>
    </row>
    <row r="236" customFormat="false" ht="15.75" hidden="false" customHeight="false" outlineLevel="0" collapsed="false">
      <c r="A236" s="4"/>
      <c r="B236" s="2"/>
      <c r="C236" s="2"/>
      <c r="D236" s="2"/>
      <c r="E236" s="2"/>
      <c r="F236" s="3" t="str">
        <f aca="false">IFERROR(__xludf.dummyfunction("if($T236&lt;&gt;"""",VALUE(REGEXEXTRACT(SUBSTITUTE ($T236,F$1&amp;"" CE"",""""), F$1&amp;""[\w &amp;]*, (\d+\.\d+)"")),"""")
"),"")</f>
        <v/>
      </c>
      <c r="G236" s="3" t="str">
        <f aca="false">IFERROR(__xludf.dummyfunction("if($T236&lt;&gt;"""",VALUE(REGEXEXTRACT($T236, G$1&amp;""[\w &amp;]*, (\d+\.\d+)"")),"""")
"),"")</f>
        <v/>
      </c>
      <c r="H236" s="3"/>
      <c r="I236" s="3" t="str">
        <f aca="false">IFERROR(__xludf.dummyfunction("if($T236&lt;&gt;"""",VALUE(REGEXEXTRACT(SUBSTITUTE ($T236,I$1&amp;"" CE"",""""), I$1&amp;""[\w &amp;]*, (\d+\.\d+)"")),"""")
"),"")</f>
        <v/>
      </c>
      <c r="J236" s="3" t="str">
        <f aca="false">IFERROR(__xludf.dummyfunction("if($T236&lt;&gt;"""",VALUE(REGEXEXTRACT($T236, J$1&amp;""[\w &amp;]*, (\d+\.\d+)"")),"""")
"),"")</f>
        <v/>
      </c>
      <c r="K236" s="3"/>
      <c r="L236" s="3" t="str">
        <f aca="false">IFERROR(__xludf.dummyfunction("if($T236&lt;&gt;"""",VALUE(REGEXEXTRACT(SUBSTITUTE ($T236,L$1&amp;"" CE"",""""), L$1&amp;""[\w &amp;]*, (\d+\.\d+)"")),"""")
"),"")</f>
        <v/>
      </c>
      <c r="M236" s="3" t="str">
        <f aca="false">IFERROR(__xludf.dummyfunction("if($T236&lt;&gt;"""",VALUE(REGEXEXTRACT($T236, M$1&amp;""[\w &amp;]*, (\d+\.\d+)"")),"""")
"),"")</f>
        <v/>
      </c>
      <c r="N236" s="3" t="str">
        <f aca="false">IFERROR(__xludf.dummyfunction("if($T236&lt;&gt;"""",VALUE(REGEXEXTRACT(SUBSTITUTE ($T236,N$1&amp;"" CE"",""""), N$1&amp;""[\w &amp;]*, (\d+\.\d+)"")),"""")
"),"")</f>
        <v/>
      </c>
      <c r="O236" s="3" t="str">
        <f aca="false">IFERROR(__xludf.dummyfunction("if($T236&lt;&gt;"""",VALUE(REGEXEXTRACT($T236, O$1&amp;""[\w &amp;]*, (\d+\.\d+)"")),"""")
"),"")</f>
        <v/>
      </c>
      <c r="P236" s="2"/>
      <c r="Q236" s="2"/>
      <c r="R236" s="2"/>
      <c r="S236" s="2"/>
      <c r="T236" s="5"/>
      <c r="U236" s="5"/>
    </row>
    <row r="237" customFormat="false" ht="15.75" hidden="false" customHeight="false" outlineLevel="0" collapsed="false">
      <c r="A237" s="4"/>
      <c r="B237" s="2"/>
      <c r="C237" s="2"/>
      <c r="D237" s="2"/>
      <c r="E237" s="2"/>
      <c r="F237" s="3" t="str">
        <f aca="false">IFERROR(__xludf.dummyfunction("if($T237&lt;&gt;"""",VALUE(REGEXEXTRACT(SUBSTITUTE ($T237,F$1&amp;"" CE"",""""), F$1&amp;""[\w &amp;]*, (\d+\.\d+)"")),"""")
"),"")</f>
        <v/>
      </c>
      <c r="G237" s="3" t="str">
        <f aca="false">IFERROR(__xludf.dummyfunction("if($T237&lt;&gt;"""",VALUE(REGEXEXTRACT($T237, G$1&amp;""[\w &amp;]*, (\d+\.\d+)"")),"""")
"),"")</f>
        <v/>
      </c>
      <c r="H237" s="3"/>
      <c r="I237" s="3" t="str">
        <f aca="false">IFERROR(__xludf.dummyfunction("if($T237&lt;&gt;"""",VALUE(REGEXEXTRACT(SUBSTITUTE ($T237,I$1&amp;"" CE"",""""), I$1&amp;""[\w &amp;]*, (\d+\.\d+)"")),"""")
"),"")</f>
        <v/>
      </c>
      <c r="J237" s="3" t="str">
        <f aca="false">IFERROR(__xludf.dummyfunction("if($T237&lt;&gt;"""",VALUE(REGEXEXTRACT($T237, J$1&amp;""[\w &amp;]*, (\d+\.\d+)"")),"""")
"),"")</f>
        <v/>
      </c>
      <c r="K237" s="3"/>
      <c r="L237" s="3" t="str">
        <f aca="false">IFERROR(__xludf.dummyfunction("if($T237&lt;&gt;"""",VALUE(REGEXEXTRACT(SUBSTITUTE ($T237,L$1&amp;"" CE"",""""), L$1&amp;""[\w &amp;]*, (\d+\.\d+)"")),"""")
"),"")</f>
        <v/>
      </c>
      <c r="M237" s="3" t="str">
        <f aca="false">IFERROR(__xludf.dummyfunction("if($T237&lt;&gt;"""",VALUE(REGEXEXTRACT($T237, M$1&amp;""[\w &amp;]*, (\d+\.\d+)"")),"""")
"),"")</f>
        <v/>
      </c>
      <c r="N237" s="3" t="str">
        <f aca="false">IFERROR(__xludf.dummyfunction("if($T237&lt;&gt;"""",VALUE(REGEXEXTRACT(SUBSTITUTE ($T237,N$1&amp;"" CE"",""""), N$1&amp;""[\w &amp;]*, (\d+\.\d+)"")),"""")
"),"")</f>
        <v/>
      </c>
      <c r="O237" s="3" t="str">
        <f aca="false">IFERROR(__xludf.dummyfunction("if($T237&lt;&gt;"""",VALUE(REGEXEXTRACT($T237, O$1&amp;""[\w &amp;]*, (\d+\.\d+)"")),"""")
"),"")</f>
        <v/>
      </c>
      <c r="P237" s="2"/>
      <c r="Q237" s="2"/>
      <c r="R237" s="2"/>
      <c r="S237" s="2"/>
      <c r="T237" s="5"/>
      <c r="U237" s="5"/>
    </row>
    <row r="238" customFormat="false" ht="15.75" hidden="false" customHeight="false" outlineLevel="0" collapsed="false">
      <c r="A238" s="4"/>
      <c r="B238" s="2"/>
      <c r="C238" s="2"/>
      <c r="D238" s="2"/>
      <c r="E238" s="2"/>
      <c r="F238" s="3" t="str">
        <f aca="false">IFERROR(__xludf.dummyfunction("if($T238&lt;&gt;"""",VALUE(REGEXEXTRACT(SUBSTITUTE ($T238,F$1&amp;"" CE"",""""), F$1&amp;""[\w &amp;]*, (\d+\.\d+)"")),"""")
"),"")</f>
        <v/>
      </c>
      <c r="G238" s="3" t="str">
        <f aca="false">IFERROR(__xludf.dummyfunction("if($T238&lt;&gt;"""",VALUE(REGEXEXTRACT($T238, G$1&amp;""[\w &amp;]*, (\d+\.\d+)"")),"""")
"),"")</f>
        <v/>
      </c>
      <c r="H238" s="3"/>
      <c r="I238" s="3" t="str">
        <f aca="false">IFERROR(__xludf.dummyfunction("if($T238&lt;&gt;"""",VALUE(REGEXEXTRACT(SUBSTITUTE ($T238,I$1&amp;"" CE"",""""), I$1&amp;""[\w &amp;]*, (\d+\.\d+)"")),"""")
"),"")</f>
        <v/>
      </c>
      <c r="J238" s="3" t="str">
        <f aca="false">IFERROR(__xludf.dummyfunction("if($T238&lt;&gt;"""",VALUE(REGEXEXTRACT($T238, J$1&amp;""[\w &amp;]*, (\d+\.\d+)"")),"""")
"),"")</f>
        <v/>
      </c>
      <c r="K238" s="3"/>
      <c r="L238" s="3" t="str">
        <f aca="false">IFERROR(__xludf.dummyfunction("if($T238&lt;&gt;"""",VALUE(REGEXEXTRACT(SUBSTITUTE ($T238,L$1&amp;"" CE"",""""), L$1&amp;""[\w &amp;]*, (\d+\.\d+)"")),"""")
"),"")</f>
        <v/>
      </c>
      <c r="M238" s="3" t="str">
        <f aca="false">IFERROR(__xludf.dummyfunction("if($T238&lt;&gt;"""",VALUE(REGEXEXTRACT($T238, M$1&amp;""[\w &amp;]*, (\d+\.\d+)"")),"""")
"),"")</f>
        <v/>
      </c>
      <c r="N238" s="3" t="str">
        <f aca="false">IFERROR(__xludf.dummyfunction("if($T238&lt;&gt;"""",VALUE(REGEXEXTRACT(SUBSTITUTE ($T238,N$1&amp;"" CE"",""""), N$1&amp;""[\w &amp;]*, (\d+\.\d+)"")),"""")
"),"")</f>
        <v/>
      </c>
      <c r="O238" s="3" t="str">
        <f aca="false">IFERROR(__xludf.dummyfunction("if($T238&lt;&gt;"""",VALUE(REGEXEXTRACT($T238, O$1&amp;""[\w &amp;]*, (\d+\.\d+)"")),"""")
"),"")</f>
        <v/>
      </c>
      <c r="P238" s="2"/>
      <c r="Q238" s="2"/>
      <c r="R238" s="2"/>
      <c r="S238" s="2"/>
      <c r="T238" s="5"/>
      <c r="U238" s="5"/>
    </row>
    <row r="239" customFormat="false" ht="15.75" hidden="false" customHeight="false" outlineLevel="0" collapsed="false">
      <c r="A239" s="4"/>
      <c r="B239" s="2"/>
      <c r="C239" s="2"/>
      <c r="D239" s="2"/>
      <c r="E239" s="2"/>
      <c r="F239" s="3" t="str">
        <f aca="false">IFERROR(__xludf.dummyfunction("if($T239&lt;&gt;"""",VALUE(REGEXEXTRACT(SUBSTITUTE ($T239,F$1&amp;"" CE"",""""), F$1&amp;""[\w &amp;]*, (\d+\.\d+)"")),"""")
"),"")</f>
        <v/>
      </c>
      <c r="G239" s="3" t="str">
        <f aca="false">IFERROR(__xludf.dummyfunction("if($T239&lt;&gt;"""",VALUE(REGEXEXTRACT($T239, G$1&amp;""[\w &amp;]*, (\d+\.\d+)"")),"""")
"),"")</f>
        <v/>
      </c>
      <c r="H239" s="3"/>
      <c r="I239" s="3" t="str">
        <f aca="false">IFERROR(__xludf.dummyfunction("if($T239&lt;&gt;"""",VALUE(REGEXEXTRACT(SUBSTITUTE ($T239,I$1&amp;"" CE"",""""), I$1&amp;""[\w &amp;]*, (\d+\.\d+)"")),"""")
"),"")</f>
        <v/>
      </c>
      <c r="J239" s="3" t="str">
        <f aca="false">IFERROR(__xludf.dummyfunction("if($T239&lt;&gt;"""",VALUE(REGEXEXTRACT($T239, J$1&amp;""[\w &amp;]*, (\d+\.\d+)"")),"""")
"),"")</f>
        <v/>
      </c>
      <c r="K239" s="3"/>
      <c r="L239" s="3" t="str">
        <f aca="false">IFERROR(__xludf.dummyfunction("if($T239&lt;&gt;"""",VALUE(REGEXEXTRACT(SUBSTITUTE ($T239,L$1&amp;"" CE"",""""), L$1&amp;""[\w &amp;]*, (\d+\.\d+)"")),"""")
"),"")</f>
        <v/>
      </c>
      <c r="M239" s="3" t="str">
        <f aca="false">IFERROR(__xludf.dummyfunction("if($T239&lt;&gt;"""",VALUE(REGEXEXTRACT($T239, M$1&amp;""[\w &amp;]*, (\d+\.\d+)"")),"""")
"),"")</f>
        <v/>
      </c>
      <c r="N239" s="3" t="str">
        <f aca="false">IFERROR(__xludf.dummyfunction("if($T239&lt;&gt;"""",VALUE(REGEXEXTRACT(SUBSTITUTE ($T239,N$1&amp;"" CE"",""""), N$1&amp;""[\w &amp;]*, (\d+\.\d+)"")),"""")
"),"")</f>
        <v/>
      </c>
      <c r="O239" s="3" t="str">
        <f aca="false">IFERROR(__xludf.dummyfunction("if($T239&lt;&gt;"""",VALUE(REGEXEXTRACT($T239, O$1&amp;""[\w &amp;]*, (\d+\.\d+)"")),"""")
"),"")</f>
        <v/>
      </c>
      <c r="P239" s="2"/>
      <c r="Q239" s="2"/>
      <c r="R239" s="2"/>
      <c r="S239" s="2"/>
      <c r="T239" s="5"/>
      <c r="U239" s="5"/>
    </row>
    <row r="240" customFormat="false" ht="15.75" hidden="false" customHeight="false" outlineLevel="0" collapsed="false">
      <c r="A240" s="4"/>
      <c r="B240" s="2"/>
      <c r="C240" s="2"/>
      <c r="D240" s="2"/>
      <c r="E240" s="2"/>
      <c r="F240" s="3" t="str">
        <f aca="false">IFERROR(__xludf.dummyfunction("if($T240&lt;&gt;"""",VALUE(REGEXEXTRACT(SUBSTITUTE ($T240,F$1&amp;"" CE"",""""), F$1&amp;""[\w &amp;]*, (\d+\.\d+)"")),"""")
"),"")</f>
        <v/>
      </c>
      <c r="G240" s="3" t="str">
        <f aca="false">IFERROR(__xludf.dummyfunction("if($T240&lt;&gt;"""",VALUE(REGEXEXTRACT($T240, G$1&amp;""[\w &amp;]*, (\d+\.\d+)"")),"""")
"),"")</f>
        <v/>
      </c>
      <c r="H240" s="3"/>
      <c r="I240" s="3" t="str">
        <f aca="false">IFERROR(__xludf.dummyfunction("if($T240&lt;&gt;"""",VALUE(REGEXEXTRACT(SUBSTITUTE ($T240,I$1&amp;"" CE"",""""), I$1&amp;""[\w &amp;]*, (\d+\.\d+)"")),"""")
"),"")</f>
        <v/>
      </c>
      <c r="J240" s="3" t="str">
        <f aca="false">IFERROR(__xludf.dummyfunction("if($T240&lt;&gt;"""",VALUE(REGEXEXTRACT($T240, J$1&amp;""[\w &amp;]*, (\d+\.\d+)"")),"""")
"),"")</f>
        <v/>
      </c>
      <c r="K240" s="3"/>
      <c r="L240" s="3" t="str">
        <f aca="false">IFERROR(__xludf.dummyfunction("if($T240&lt;&gt;"""",VALUE(REGEXEXTRACT(SUBSTITUTE ($T240,L$1&amp;"" CE"",""""), L$1&amp;""[\w &amp;]*, (\d+\.\d+)"")),"""")
"),"")</f>
        <v/>
      </c>
      <c r="M240" s="3" t="str">
        <f aca="false">IFERROR(__xludf.dummyfunction("if($T240&lt;&gt;"""",VALUE(REGEXEXTRACT($T240, M$1&amp;""[\w &amp;]*, (\d+\.\d+)"")),"""")
"),"")</f>
        <v/>
      </c>
      <c r="N240" s="3" t="str">
        <f aca="false">IFERROR(__xludf.dummyfunction("if($T240&lt;&gt;"""",VALUE(REGEXEXTRACT(SUBSTITUTE ($T240,N$1&amp;"" CE"",""""), N$1&amp;""[\w &amp;]*, (\d+\.\d+)"")),"""")
"),"")</f>
        <v/>
      </c>
      <c r="O240" s="3" t="str">
        <f aca="false">IFERROR(__xludf.dummyfunction("if($T240&lt;&gt;"""",VALUE(REGEXEXTRACT($T240, O$1&amp;""[\w &amp;]*, (\d+\.\d+)"")),"""")
"),"")</f>
        <v/>
      </c>
      <c r="P240" s="2"/>
      <c r="Q240" s="2"/>
      <c r="R240" s="2"/>
      <c r="S240" s="2"/>
      <c r="T240" s="5"/>
      <c r="U240" s="5"/>
    </row>
    <row r="241" customFormat="false" ht="15.75" hidden="false" customHeight="false" outlineLevel="0" collapsed="false">
      <c r="A241" s="4"/>
      <c r="B241" s="2"/>
      <c r="C241" s="2"/>
      <c r="D241" s="2"/>
      <c r="E241" s="2"/>
      <c r="F241" s="3" t="str">
        <f aca="false">IFERROR(__xludf.dummyfunction("if($T241&lt;&gt;"""",VALUE(REGEXEXTRACT(SUBSTITUTE ($T241,F$1&amp;"" CE"",""""), F$1&amp;""[\w &amp;]*, (\d+\.\d+)"")),"""")
"),"")</f>
        <v/>
      </c>
      <c r="G241" s="3" t="str">
        <f aca="false">IFERROR(__xludf.dummyfunction("if($T241&lt;&gt;"""",VALUE(REGEXEXTRACT($T241, G$1&amp;""[\w &amp;]*, (\d+\.\d+)"")),"""")
"),"")</f>
        <v/>
      </c>
      <c r="H241" s="3"/>
      <c r="I241" s="3" t="str">
        <f aca="false">IFERROR(__xludf.dummyfunction("if($T241&lt;&gt;"""",VALUE(REGEXEXTRACT(SUBSTITUTE ($T241,I$1&amp;"" CE"",""""), I$1&amp;""[\w &amp;]*, (\d+\.\d+)"")),"""")
"),"")</f>
        <v/>
      </c>
      <c r="J241" s="3" t="str">
        <f aca="false">IFERROR(__xludf.dummyfunction("if($T241&lt;&gt;"""",VALUE(REGEXEXTRACT($T241, J$1&amp;""[\w &amp;]*, (\d+\.\d+)"")),"""")
"),"")</f>
        <v/>
      </c>
      <c r="K241" s="3"/>
      <c r="L241" s="3" t="str">
        <f aca="false">IFERROR(__xludf.dummyfunction("if($T241&lt;&gt;"""",VALUE(REGEXEXTRACT(SUBSTITUTE ($T241,L$1&amp;"" CE"",""""), L$1&amp;""[\w &amp;]*, (\d+\.\d+)"")),"""")
"),"")</f>
        <v/>
      </c>
      <c r="M241" s="3" t="str">
        <f aca="false">IFERROR(__xludf.dummyfunction("if($T241&lt;&gt;"""",VALUE(REGEXEXTRACT($T241, M$1&amp;""[\w &amp;]*, (\d+\.\d+)"")),"""")
"),"")</f>
        <v/>
      </c>
      <c r="N241" s="3" t="str">
        <f aca="false">IFERROR(__xludf.dummyfunction("if($T241&lt;&gt;"""",VALUE(REGEXEXTRACT(SUBSTITUTE ($T241,N$1&amp;"" CE"",""""), N$1&amp;""[\w &amp;]*, (\d+\.\d+)"")),"""")
"),"")</f>
        <v/>
      </c>
      <c r="O241" s="3" t="str">
        <f aca="false">IFERROR(__xludf.dummyfunction("if($T241&lt;&gt;"""",VALUE(REGEXEXTRACT($T241, O$1&amp;""[\w &amp;]*, (\d+\.\d+)"")),"""")
"),"")</f>
        <v/>
      </c>
      <c r="P241" s="2"/>
      <c r="Q241" s="2"/>
      <c r="R241" s="2"/>
      <c r="S241" s="2"/>
      <c r="T241" s="5"/>
      <c r="U241" s="5"/>
    </row>
    <row r="242" customFormat="false" ht="15.75" hidden="false" customHeight="false" outlineLevel="0" collapsed="false">
      <c r="A242" s="4"/>
      <c r="B242" s="2"/>
      <c r="C242" s="2"/>
      <c r="D242" s="2"/>
      <c r="E242" s="2"/>
      <c r="F242" s="3" t="str">
        <f aca="false">IFERROR(__xludf.dummyfunction("if($T242&lt;&gt;"""",VALUE(REGEXEXTRACT(SUBSTITUTE ($T242,F$1&amp;"" CE"",""""), F$1&amp;""[\w &amp;]*, (\d+\.\d+)"")),"""")
"),"")</f>
        <v/>
      </c>
      <c r="G242" s="3" t="str">
        <f aca="false">IFERROR(__xludf.dummyfunction("if($T242&lt;&gt;"""",VALUE(REGEXEXTRACT($T242, G$1&amp;""[\w &amp;]*, (\d+\.\d+)"")),"""")
"),"")</f>
        <v/>
      </c>
      <c r="H242" s="3"/>
      <c r="I242" s="3" t="str">
        <f aca="false">IFERROR(__xludf.dummyfunction("if($T242&lt;&gt;"""",VALUE(REGEXEXTRACT(SUBSTITUTE ($T242,I$1&amp;"" CE"",""""), I$1&amp;""[\w &amp;]*, (\d+\.\d+)"")),"""")
"),"")</f>
        <v/>
      </c>
      <c r="J242" s="3" t="str">
        <f aca="false">IFERROR(__xludf.dummyfunction("if($T242&lt;&gt;"""",VALUE(REGEXEXTRACT($T242, J$1&amp;""[\w &amp;]*, (\d+\.\d+)"")),"""")
"),"")</f>
        <v/>
      </c>
      <c r="K242" s="3"/>
      <c r="L242" s="3" t="str">
        <f aca="false">IFERROR(__xludf.dummyfunction("if($T242&lt;&gt;"""",VALUE(REGEXEXTRACT(SUBSTITUTE ($T242,L$1&amp;"" CE"",""""), L$1&amp;""[\w &amp;]*, (\d+\.\d+)"")),"""")
"),"")</f>
        <v/>
      </c>
      <c r="M242" s="3" t="str">
        <f aca="false">IFERROR(__xludf.dummyfunction("if($T242&lt;&gt;"""",VALUE(REGEXEXTRACT($T242, M$1&amp;""[\w &amp;]*, (\d+\.\d+)"")),"""")
"),"")</f>
        <v/>
      </c>
      <c r="N242" s="3" t="str">
        <f aca="false">IFERROR(__xludf.dummyfunction("if($T242&lt;&gt;"""",VALUE(REGEXEXTRACT(SUBSTITUTE ($T242,N$1&amp;"" CE"",""""), N$1&amp;""[\w &amp;]*, (\d+\.\d+)"")),"""")
"),"")</f>
        <v/>
      </c>
      <c r="O242" s="3" t="str">
        <f aca="false">IFERROR(__xludf.dummyfunction("if($T242&lt;&gt;"""",VALUE(REGEXEXTRACT($T242, O$1&amp;""[\w &amp;]*, (\d+\.\d+)"")),"""")
"),"")</f>
        <v/>
      </c>
      <c r="P242" s="2"/>
      <c r="Q242" s="2"/>
      <c r="R242" s="2"/>
      <c r="S242" s="2"/>
      <c r="T242" s="5"/>
      <c r="U242" s="5"/>
    </row>
    <row r="243" customFormat="false" ht="15.75" hidden="false" customHeight="false" outlineLevel="0" collapsed="false">
      <c r="A243" s="4"/>
      <c r="B243" s="2"/>
      <c r="C243" s="2"/>
      <c r="D243" s="2"/>
      <c r="E243" s="2"/>
      <c r="F243" s="3" t="str">
        <f aca="false">IFERROR(__xludf.dummyfunction("if($T243&lt;&gt;"""",VALUE(REGEXEXTRACT(SUBSTITUTE ($T243,F$1&amp;"" CE"",""""), F$1&amp;""[\w &amp;]*, (\d+\.\d+)"")),"""")
"),"")</f>
        <v/>
      </c>
      <c r="G243" s="3" t="str">
        <f aca="false">IFERROR(__xludf.dummyfunction("if($T243&lt;&gt;"""",VALUE(REGEXEXTRACT($T243, G$1&amp;""[\w &amp;]*, (\d+\.\d+)"")),"""")
"),"")</f>
        <v/>
      </c>
      <c r="H243" s="3"/>
      <c r="I243" s="3" t="str">
        <f aca="false">IFERROR(__xludf.dummyfunction("if($T243&lt;&gt;"""",VALUE(REGEXEXTRACT(SUBSTITUTE ($T243,I$1&amp;"" CE"",""""), I$1&amp;""[\w &amp;]*, (\d+\.\d+)"")),"""")
"),"")</f>
        <v/>
      </c>
      <c r="J243" s="3" t="str">
        <f aca="false">IFERROR(__xludf.dummyfunction("if($T243&lt;&gt;"""",VALUE(REGEXEXTRACT($T243, J$1&amp;""[\w &amp;]*, (\d+\.\d+)"")),"""")
"),"")</f>
        <v/>
      </c>
      <c r="K243" s="3"/>
      <c r="L243" s="3" t="str">
        <f aca="false">IFERROR(__xludf.dummyfunction("if($T243&lt;&gt;"""",VALUE(REGEXEXTRACT(SUBSTITUTE ($T243,L$1&amp;"" CE"",""""), L$1&amp;""[\w &amp;]*, (\d+\.\d+)"")),"""")
"),"")</f>
        <v/>
      </c>
      <c r="M243" s="3" t="str">
        <f aca="false">IFERROR(__xludf.dummyfunction("if($T243&lt;&gt;"""",VALUE(REGEXEXTRACT($T243, M$1&amp;""[\w &amp;]*, (\d+\.\d+)"")),"""")
"),"")</f>
        <v/>
      </c>
      <c r="N243" s="3" t="str">
        <f aca="false">IFERROR(__xludf.dummyfunction("if($T243&lt;&gt;"""",VALUE(REGEXEXTRACT(SUBSTITUTE ($T243,N$1&amp;"" CE"",""""), N$1&amp;""[\w &amp;]*, (\d+\.\d+)"")),"""")
"),"")</f>
        <v/>
      </c>
      <c r="O243" s="3" t="str">
        <f aca="false">IFERROR(__xludf.dummyfunction("if($T243&lt;&gt;"""",VALUE(REGEXEXTRACT($T243, O$1&amp;""[\w &amp;]*, (\d+\.\d+)"")),"""")
"),"")</f>
        <v/>
      </c>
      <c r="P243" s="2"/>
      <c r="Q243" s="2"/>
      <c r="R243" s="2"/>
      <c r="S243" s="2"/>
      <c r="T243" s="5"/>
      <c r="U243" s="5"/>
    </row>
    <row r="244" customFormat="false" ht="15.75" hidden="false" customHeight="false" outlineLevel="0" collapsed="false">
      <c r="A244" s="4"/>
      <c r="B244" s="2"/>
      <c r="C244" s="2"/>
      <c r="D244" s="2"/>
      <c r="E244" s="2"/>
      <c r="F244" s="3" t="str">
        <f aca="false">IFERROR(__xludf.dummyfunction("if($T244&lt;&gt;"""",VALUE(REGEXEXTRACT(SUBSTITUTE ($T244,F$1&amp;"" CE"",""""), F$1&amp;""[\w &amp;]*, (\d+\.\d+)"")),"""")
"),"")</f>
        <v/>
      </c>
      <c r="G244" s="3" t="str">
        <f aca="false">IFERROR(__xludf.dummyfunction("if($T244&lt;&gt;"""",VALUE(REGEXEXTRACT($T244, G$1&amp;""[\w &amp;]*, (\d+\.\d+)"")),"""")
"),"")</f>
        <v/>
      </c>
      <c r="H244" s="3"/>
      <c r="I244" s="3" t="str">
        <f aca="false">IFERROR(__xludf.dummyfunction("if($T244&lt;&gt;"""",VALUE(REGEXEXTRACT(SUBSTITUTE ($T244,I$1&amp;"" CE"",""""), I$1&amp;""[\w &amp;]*, (\d+\.\d+)"")),"""")
"),"")</f>
        <v/>
      </c>
      <c r="J244" s="3" t="str">
        <f aca="false">IFERROR(__xludf.dummyfunction("if($T244&lt;&gt;"""",VALUE(REGEXEXTRACT($T244, J$1&amp;""[\w &amp;]*, (\d+\.\d+)"")),"""")
"),"")</f>
        <v/>
      </c>
      <c r="K244" s="3"/>
      <c r="L244" s="3" t="str">
        <f aca="false">IFERROR(__xludf.dummyfunction("if($T244&lt;&gt;"""",VALUE(REGEXEXTRACT(SUBSTITUTE ($T244,L$1&amp;"" CE"",""""), L$1&amp;""[\w &amp;]*, (\d+\.\d+)"")),"""")
"),"")</f>
        <v/>
      </c>
      <c r="M244" s="3" t="str">
        <f aca="false">IFERROR(__xludf.dummyfunction("if($T244&lt;&gt;"""",VALUE(REGEXEXTRACT($T244, M$1&amp;""[\w &amp;]*, (\d+\.\d+)"")),"""")
"),"")</f>
        <v/>
      </c>
      <c r="N244" s="3" t="str">
        <f aca="false">IFERROR(__xludf.dummyfunction("if($T244&lt;&gt;"""",VALUE(REGEXEXTRACT(SUBSTITUTE ($T244,N$1&amp;"" CE"",""""), N$1&amp;""[\w &amp;]*, (\d+\.\d+)"")),"""")
"),"")</f>
        <v/>
      </c>
      <c r="O244" s="3" t="str">
        <f aca="false">IFERROR(__xludf.dummyfunction("if($T244&lt;&gt;"""",VALUE(REGEXEXTRACT($T244, O$1&amp;""[\w &amp;]*, (\d+\.\d+)"")),"""")
"),"")</f>
        <v/>
      </c>
      <c r="P244" s="2"/>
      <c r="Q244" s="2"/>
      <c r="R244" s="2"/>
      <c r="S244" s="2"/>
      <c r="T244" s="5"/>
      <c r="U244" s="5"/>
    </row>
    <row r="245" customFormat="false" ht="15.75" hidden="false" customHeight="false" outlineLevel="0" collapsed="false">
      <c r="A245" s="4"/>
      <c r="B245" s="2"/>
      <c r="C245" s="2"/>
      <c r="D245" s="2"/>
      <c r="E245" s="2"/>
      <c r="F245" s="3" t="str">
        <f aca="false">IFERROR(__xludf.dummyfunction("if($T245&lt;&gt;"""",VALUE(REGEXEXTRACT(SUBSTITUTE ($T245,F$1&amp;"" CE"",""""), F$1&amp;""[\w &amp;]*, (\d+\.\d+)"")),"""")
"),"")</f>
        <v/>
      </c>
      <c r="G245" s="3" t="str">
        <f aca="false">IFERROR(__xludf.dummyfunction("if($T245&lt;&gt;"""",VALUE(REGEXEXTRACT($T245, G$1&amp;""[\w &amp;]*, (\d+\.\d+)"")),"""")
"),"")</f>
        <v/>
      </c>
      <c r="H245" s="3"/>
      <c r="I245" s="3" t="str">
        <f aca="false">IFERROR(__xludf.dummyfunction("if($T245&lt;&gt;"""",VALUE(REGEXEXTRACT(SUBSTITUTE ($T245,I$1&amp;"" CE"",""""), I$1&amp;""[\w &amp;]*, (\d+\.\d+)"")),"""")
"),"")</f>
        <v/>
      </c>
      <c r="J245" s="3" t="str">
        <f aca="false">IFERROR(__xludf.dummyfunction("if($T245&lt;&gt;"""",VALUE(REGEXEXTRACT($T245, J$1&amp;""[\w &amp;]*, (\d+\.\d+)"")),"""")
"),"")</f>
        <v/>
      </c>
      <c r="K245" s="3"/>
      <c r="L245" s="3" t="str">
        <f aca="false">IFERROR(__xludf.dummyfunction("if($T245&lt;&gt;"""",VALUE(REGEXEXTRACT(SUBSTITUTE ($T245,L$1&amp;"" CE"",""""), L$1&amp;""[\w &amp;]*, (\d+\.\d+)"")),"""")
"),"")</f>
        <v/>
      </c>
      <c r="M245" s="3" t="str">
        <f aca="false">IFERROR(__xludf.dummyfunction("if($T245&lt;&gt;"""",VALUE(REGEXEXTRACT($T245, M$1&amp;""[\w &amp;]*, (\d+\.\d+)"")),"""")
"),"")</f>
        <v/>
      </c>
      <c r="N245" s="3" t="str">
        <f aca="false">IFERROR(__xludf.dummyfunction("if($T245&lt;&gt;"""",VALUE(REGEXEXTRACT(SUBSTITUTE ($T245,N$1&amp;"" CE"",""""), N$1&amp;""[\w &amp;]*, (\d+\.\d+)"")),"""")
"),"")</f>
        <v/>
      </c>
      <c r="O245" s="3" t="str">
        <f aca="false">IFERROR(__xludf.dummyfunction("if($T245&lt;&gt;"""",VALUE(REGEXEXTRACT($T245, O$1&amp;""[\w &amp;]*, (\d+\.\d+)"")),"""")
"),"")</f>
        <v/>
      </c>
      <c r="P245" s="2"/>
      <c r="Q245" s="2"/>
      <c r="R245" s="2"/>
      <c r="S245" s="2"/>
      <c r="T245" s="5"/>
      <c r="U245" s="5"/>
    </row>
    <row r="246" customFormat="false" ht="15.75" hidden="false" customHeight="false" outlineLevel="0" collapsed="false">
      <c r="A246" s="4"/>
      <c r="B246" s="2"/>
      <c r="C246" s="2"/>
      <c r="D246" s="2"/>
      <c r="E246" s="2"/>
      <c r="F246" s="3" t="str">
        <f aca="false">IFERROR(__xludf.dummyfunction("if($T246&lt;&gt;"""",VALUE(REGEXEXTRACT(SUBSTITUTE ($T246,F$1&amp;"" CE"",""""), F$1&amp;""[\w &amp;]*, (\d+\.\d+)"")),"""")
"),"")</f>
        <v/>
      </c>
      <c r="G246" s="3" t="str">
        <f aca="false">IFERROR(__xludf.dummyfunction("if($T246&lt;&gt;"""",VALUE(REGEXEXTRACT($T246, G$1&amp;""[\w &amp;]*, (\d+\.\d+)"")),"""")
"),"")</f>
        <v/>
      </c>
      <c r="H246" s="3"/>
      <c r="I246" s="3" t="str">
        <f aca="false">IFERROR(__xludf.dummyfunction("if($T246&lt;&gt;"""",VALUE(REGEXEXTRACT(SUBSTITUTE ($T246,I$1&amp;"" CE"",""""), I$1&amp;""[\w &amp;]*, (\d+\.\d+)"")),"""")
"),"")</f>
        <v/>
      </c>
      <c r="J246" s="3" t="str">
        <f aca="false">IFERROR(__xludf.dummyfunction("if($T246&lt;&gt;"""",VALUE(REGEXEXTRACT($T246, J$1&amp;""[\w &amp;]*, (\d+\.\d+)"")),"""")
"),"")</f>
        <v/>
      </c>
      <c r="K246" s="3"/>
      <c r="L246" s="3" t="str">
        <f aca="false">IFERROR(__xludf.dummyfunction("if($T246&lt;&gt;"""",VALUE(REGEXEXTRACT(SUBSTITUTE ($T246,L$1&amp;"" CE"",""""), L$1&amp;""[\w &amp;]*, (\d+\.\d+)"")),"""")
"),"")</f>
        <v/>
      </c>
      <c r="M246" s="3" t="str">
        <f aca="false">IFERROR(__xludf.dummyfunction("if($T246&lt;&gt;"""",VALUE(REGEXEXTRACT($T246, M$1&amp;""[\w &amp;]*, (\d+\.\d+)"")),"""")
"),"")</f>
        <v/>
      </c>
      <c r="N246" s="3" t="str">
        <f aca="false">IFERROR(__xludf.dummyfunction("if($T246&lt;&gt;"""",VALUE(REGEXEXTRACT(SUBSTITUTE ($T246,N$1&amp;"" CE"",""""), N$1&amp;""[\w &amp;]*, (\d+\.\d+)"")),"""")
"),"")</f>
        <v/>
      </c>
      <c r="O246" s="3" t="str">
        <f aca="false">IFERROR(__xludf.dummyfunction("if($T246&lt;&gt;"""",VALUE(REGEXEXTRACT($T246, O$1&amp;""[\w &amp;]*, (\d+\.\d+)"")),"""")
"),"")</f>
        <v/>
      </c>
      <c r="P246" s="2"/>
      <c r="Q246" s="2"/>
      <c r="R246" s="2"/>
      <c r="S246" s="2"/>
      <c r="T246" s="5"/>
      <c r="U246" s="5"/>
    </row>
    <row r="247" customFormat="false" ht="15.75" hidden="false" customHeight="false" outlineLevel="0" collapsed="false">
      <c r="A247" s="4"/>
      <c r="B247" s="2"/>
      <c r="C247" s="2"/>
      <c r="D247" s="2"/>
      <c r="E247" s="2"/>
      <c r="F247" s="3" t="str">
        <f aca="false">IFERROR(__xludf.dummyfunction("if($T247&lt;&gt;"""",VALUE(REGEXEXTRACT(SUBSTITUTE ($T247,F$1&amp;"" CE"",""""), F$1&amp;""[\w &amp;]*, (\d+\.\d+)"")),"""")
"),"")</f>
        <v/>
      </c>
      <c r="G247" s="3" t="str">
        <f aca="false">IFERROR(__xludf.dummyfunction("if($T247&lt;&gt;"""",VALUE(REGEXEXTRACT($T247, G$1&amp;""[\w &amp;]*, (\d+\.\d+)"")),"""")
"),"")</f>
        <v/>
      </c>
      <c r="H247" s="3"/>
      <c r="I247" s="3" t="str">
        <f aca="false">IFERROR(__xludf.dummyfunction("if($T247&lt;&gt;"""",VALUE(REGEXEXTRACT(SUBSTITUTE ($T247,I$1&amp;"" CE"",""""), I$1&amp;""[\w &amp;]*, (\d+\.\d+)"")),"""")
"),"")</f>
        <v/>
      </c>
      <c r="J247" s="3" t="str">
        <f aca="false">IFERROR(__xludf.dummyfunction("if($T247&lt;&gt;"""",VALUE(REGEXEXTRACT($T247, J$1&amp;""[\w &amp;]*, (\d+\.\d+)"")),"""")
"),"")</f>
        <v/>
      </c>
      <c r="K247" s="3"/>
      <c r="L247" s="3" t="str">
        <f aca="false">IFERROR(__xludf.dummyfunction("if($T247&lt;&gt;"""",VALUE(REGEXEXTRACT(SUBSTITUTE ($T247,L$1&amp;"" CE"",""""), L$1&amp;""[\w &amp;]*, (\d+\.\d+)"")),"""")
"),"")</f>
        <v/>
      </c>
      <c r="M247" s="3" t="str">
        <f aca="false">IFERROR(__xludf.dummyfunction("if($T247&lt;&gt;"""",VALUE(REGEXEXTRACT($T247, M$1&amp;""[\w &amp;]*, (\d+\.\d+)"")),"""")
"),"")</f>
        <v/>
      </c>
      <c r="N247" s="3" t="str">
        <f aca="false">IFERROR(__xludf.dummyfunction("if($T247&lt;&gt;"""",VALUE(REGEXEXTRACT(SUBSTITUTE ($T247,N$1&amp;"" CE"",""""), N$1&amp;""[\w &amp;]*, (\d+\.\d+)"")),"""")
"),"")</f>
        <v/>
      </c>
      <c r="O247" s="3" t="str">
        <f aca="false">IFERROR(__xludf.dummyfunction("if($T247&lt;&gt;"""",VALUE(REGEXEXTRACT($T247, O$1&amp;""[\w &amp;]*, (\d+\.\d+)"")),"""")
"),"")</f>
        <v/>
      </c>
      <c r="P247" s="2"/>
      <c r="Q247" s="2"/>
      <c r="R247" s="2"/>
      <c r="S247" s="2"/>
      <c r="T247" s="5"/>
      <c r="U247" s="5"/>
    </row>
    <row r="248" customFormat="false" ht="15.75" hidden="false" customHeight="false" outlineLevel="0" collapsed="false">
      <c r="A248" s="4"/>
      <c r="B248" s="2"/>
      <c r="C248" s="2"/>
      <c r="D248" s="2"/>
      <c r="E248" s="2"/>
      <c r="F248" s="3" t="str">
        <f aca="false">IFERROR(__xludf.dummyfunction("if($T248&lt;&gt;"""",VALUE(REGEXEXTRACT(SUBSTITUTE ($T248,F$1&amp;"" CE"",""""), F$1&amp;""[\w &amp;]*, (\d+\.\d+)"")),"""")
"),"")</f>
        <v/>
      </c>
      <c r="G248" s="3" t="str">
        <f aca="false">IFERROR(__xludf.dummyfunction("if($T248&lt;&gt;"""",VALUE(REGEXEXTRACT($T248, G$1&amp;""[\w &amp;]*, (\d+\.\d+)"")),"""")
"),"")</f>
        <v/>
      </c>
      <c r="H248" s="3"/>
      <c r="I248" s="3" t="str">
        <f aca="false">IFERROR(__xludf.dummyfunction("if($T248&lt;&gt;"""",VALUE(REGEXEXTRACT(SUBSTITUTE ($T248,I$1&amp;"" CE"",""""), I$1&amp;""[\w &amp;]*, (\d+\.\d+)"")),"""")
"),"")</f>
        <v/>
      </c>
      <c r="J248" s="3" t="str">
        <f aca="false">IFERROR(__xludf.dummyfunction("if($T248&lt;&gt;"""",VALUE(REGEXEXTRACT($T248, J$1&amp;""[\w &amp;]*, (\d+\.\d+)"")),"""")
"),"")</f>
        <v/>
      </c>
      <c r="K248" s="3"/>
      <c r="L248" s="3" t="str">
        <f aca="false">IFERROR(__xludf.dummyfunction("if($T248&lt;&gt;"""",VALUE(REGEXEXTRACT(SUBSTITUTE ($T248,L$1&amp;"" CE"",""""), L$1&amp;""[\w &amp;]*, (\d+\.\d+)"")),"""")
"),"")</f>
        <v/>
      </c>
      <c r="M248" s="3" t="str">
        <f aca="false">IFERROR(__xludf.dummyfunction("if($T248&lt;&gt;"""",VALUE(REGEXEXTRACT($T248, M$1&amp;""[\w &amp;]*, (\d+\.\d+)"")),"""")
"),"")</f>
        <v/>
      </c>
      <c r="N248" s="3" t="str">
        <f aca="false">IFERROR(__xludf.dummyfunction("if($T248&lt;&gt;"""",VALUE(REGEXEXTRACT(SUBSTITUTE ($T248,N$1&amp;"" CE"",""""), N$1&amp;""[\w &amp;]*, (\d+\.\d+)"")),"""")
"),"")</f>
        <v/>
      </c>
      <c r="O248" s="3" t="str">
        <f aca="false">IFERROR(__xludf.dummyfunction("if($T248&lt;&gt;"""",VALUE(REGEXEXTRACT($T248, O$1&amp;""[\w &amp;]*, (\d+\.\d+)"")),"""")
"),"")</f>
        <v/>
      </c>
      <c r="P248" s="2"/>
      <c r="Q248" s="2"/>
      <c r="R248" s="2"/>
      <c r="S248" s="2"/>
      <c r="T248" s="5"/>
      <c r="U248" s="5"/>
    </row>
    <row r="249" customFormat="false" ht="15.75" hidden="false" customHeight="false" outlineLevel="0" collapsed="false">
      <c r="A249" s="4"/>
      <c r="B249" s="2"/>
      <c r="C249" s="2"/>
      <c r="D249" s="2"/>
      <c r="E249" s="2"/>
      <c r="F249" s="3" t="str">
        <f aca="false">IFERROR(__xludf.dummyfunction("if($T249&lt;&gt;"""",VALUE(REGEXEXTRACT(SUBSTITUTE ($T249,F$1&amp;"" CE"",""""), F$1&amp;""[\w &amp;]*, (\d+\.\d+)"")),"""")
"),"")</f>
        <v/>
      </c>
      <c r="G249" s="3" t="str">
        <f aca="false">IFERROR(__xludf.dummyfunction("if($T249&lt;&gt;"""",VALUE(REGEXEXTRACT($T249, G$1&amp;""[\w &amp;]*, (\d+\.\d+)"")),"""")
"),"")</f>
        <v/>
      </c>
      <c r="H249" s="3"/>
      <c r="I249" s="3" t="str">
        <f aca="false">IFERROR(__xludf.dummyfunction("if($T249&lt;&gt;"""",VALUE(REGEXEXTRACT(SUBSTITUTE ($T249,I$1&amp;"" CE"",""""), I$1&amp;""[\w &amp;]*, (\d+\.\d+)"")),"""")
"),"")</f>
        <v/>
      </c>
      <c r="J249" s="3" t="str">
        <f aca="false">IFERROR(__xludf.dummyfunction("if($T249&lt;&gt;"""",VALUE(REGEXEXTRACT($T249, J$1&amp;""[\w &amp;]*, (\d+\.\d+)"")),"""")
"),"")</f>
        <v/>
      </c>
      <c r="K249" s="3"/>
      <c r="L249" s="3" t="str">
        <f aca="false">IFERROR(__xludf.dummyfunction("if($T249&lt;&gt;"""",VALUE(REGEXEXTRACT(SUBSTITUTE ($T249,L$1&amp;"" CE"",""""), L$1&amp;""[\w &amp;]*, (\d+\.\d+)"")),"""")
"),"")</f>
        <v/>
      </c>
      <c r="M249" s="3" t="str">
        <f aca="false">IFERROR(__xludf.dummyfunction("if($T249&lt;&gt;"""",VALUE(REGEXEXTRACT($T249, M$1&amp;""[\w &amp;]*, (\d+\.\d+)"")),"""")
"),"")</f>
        <v/>
      </c>
      <c r="N249" s="3" t="str">
        <f aca="false">IFERROR(__xludf.dummyfunction("if($T249&lt;&gt;"""",VALUE(REGEXEXTRACT(SUBSTITUTE ($T249,N$1&amp;"" CE"",""""), N$1&amp;""[\w &amp;]*, (\d+\.\d+)"")),"""")
"),"")</f>
        <v/>
      </c>
      <c r="O249" s="3" t="str">
        <f aca="false">IFERROR(__xludf.dummyfunction("if($T249&lt;&gt;"""",VALUE(REGEXEXTRACT($T249, O$1&amp;""[\w &amp;]*, (\d+\.\d+)"")),"""")
"),"")</f>
        <v/>
      </c>
      <c r="P249" s="2"/>
      <c r="Q249" s="2"/>
      <c r="R249" s="2"/>
      <c r="S249" s="2"/>
      <c r="T249" s="5"/>
      <c r="U249" s="5"/>
    </row>
    <row r="250" customFormat="false" ht="15.75" hidden="false" customHeight="false" outlineLevel="0" collapsed="false">
      <c r="A250" s="4"/>
      <c r="B250" s="2"/>
      <c r="C250" s="2"/>
      <c r="D250" s="2"/>
      <c r="E250" s="2"/>
      <c r="F250" s="3" t="str">
        <f aca="false">IFERROR(__xludf.dummyfunction("if($T250&lt;&gt;"""",VALUE(REGEXEXTRACT(SUBSTITUTE ($T250,F$1&amp;"" CE"",""""), F$1&amp;""[\w &amp;]*, (\d+\.\d+)"")),"""")
"),"")</f>
        <v/>
      </c>
      <c r="G250" s="3" t="str">
        <f aca="false">IFERROR(__xludf.dummyfunction("if($T250&lt;&gt;"""",VALUE(REGEXEXTRACT($T250, G$1&amp;""[\w &amp;]*, (\d+\.\d+)"")),"""")
"),"")</f>
        <v/>
      </c>
      <c r="H250" s="3"/>
      <c r="I250" s="3" t="str">
        <f aca="false">IFERROR(__xludf.dummyfunction("if($T250&lt;&gt;"""",VALUE(REGEXEXTRACT(SUBSTITUTE ($T250,I$1&amp;"" CE"",""""), I$1&amp;""[\w &amp;]*, (\d+\.\d+)"")),"""")
"),"")</f>
        <v/>
      </c>
      <c r="J250" s="3" t="str">
        <f aca="false">IFERROR(__xludf.dummyfunction("if($T250&lt;&gt;"""",VALUE(REGEXEXTRACT($T250, J$1&amp;""[\w &amp;]*, (\d+\.\d+)"")),"""")
"),"")</f>
        <v/>
      </c>
      <c r="K250" s="3"/>
      <c r="L250" s="3" t="str">
        <f aca="false">IFERROR(__xludf.dummyfunction("if($T250&lt;&gt;"""",VALUE(REGEXEXTRACT(SUBSTITUTE ($T250,L$1&amp;"" CE"",""""), L$1&amp;""[\w &amp;]*, (\d+\.\d+)"")),"""")
"),"")</f>
        <v/>
      </c>
      <c r="M250" s="3" t="str">
        <f aca="false">IFERROR(__xludf.dummyfunction("if($T250&lt;&gt;"""",VALUE(REGEXEXTRACT($T250, M$1&amp;""[\w &amp;]*, (\d+\.\d+)"")),"""")
"),"")</f>
        <v/>
      </c>
      <c r="N250" s="3" t="str">
        <f aca="false">IFERROR(__xludf.dummyfunction("if($T250&lt;&gt;"""",VALUE(REGEXEXTRACT(SUBSTITUTE ($T250,N$1&amp;"" CE"",""""), N$1&amp;""[\w &amp;]*, (\d+\.\d+)"")),"""")
"),"")</f>
        <v/>
      </c>
      <c r="O250" s="3" t="str">
        <f aca="false">IFERROR(__xludf.dummyfunction("if($T250&lt;&gt;"""",VALUE(REGEXEXTRACT($T250, O$1&amp;""[\w &amp;]*, (\d+\.\d+)"")),"""")
"),"")</f>
        <v/>
      </c>
      <c r="P250" s="2"/>
      <c r="Q250" s="2"/>
      <c r="R250" s="2"/>
      <c r="S250" s="2"/>
      <c r="T250" s="5"/>
      <c r="U250" s="5"/>
    </row>
    <row r="251" customFormat="false" ht="15.75" hidden="false" customHeight="false" outlineLevel="0" collapsed="false">
      <c r="A251" s="4"/>
      <c r="B251" s="2"/>
      <c r="C251" s="2"/>
      <c r="D251" s="2"/>
      <c r="E251" s="2"/>
      <c r="F251" s="3" t="str">
        <f aca="false">IFERROR(__xludf.dummyfunction("if($T251&lt;&gt;"""",VALUE(REGEXEXTRACT(SUBSTITUTE ($T251,F$1&amp;"" CE"",""""), F$1&amp;""[\w &amp;]*, (\d+\.\d+)"")),"""")
"),"")</f>
        <v/>
      </c>
      <c r="G251" s="3" t="str">
        <f aca="false">IFERROR(__xludf.dummyfunction("if($T251&lt;&gt;"""",VALUE(REGEXEXTRACT($T251, G$1&amp;""[\w &amp;]*, (\d+\.\d+)"")),"""")
"),"")</f>
        <v/>
      </c>
      <c r="H251" s="3"/>
      <c r="I251" s="3" t="str">
        <f aca="false">IFERROR(__xludf.dummyfunction("if($T251&lt;&gt;"""",VALUE(REGEXEXTRACT(SUBSTITUTE ($T251,I$1&amp;"" CE"",""""), I$1&amp;""[\w &amp;]*, (\d+\.\d+)"")),"""")
"),"")</f>
        <v/>
      </c>
      <c r="J251" s="3" t="str">
        <f aca="false">IFERROR(__xludf.dummyfunction("if($T251&lt;&gt;"""",VALUE(REGEXEXTRACT($T251, J$1&amp;""[\w &amp;]*, (\d+\.\d+)"")),"""")
"),"")</f>
        <v/>
      </c>
      <c r="K251" s="3"/>
      <c r="L251" s="3" t="str">
        <f aca="false">IFERROR(__xludf.dummyfunction("if($T251&lt;&gt;"""",VALUE(REGEXEXTRACT(SUBSTITUTE ($T251,L$1&amp;"" CE"",""""), L$1&amp;""[\w &amp;]*, (\d+\.\d+)"")),"""")
"),"")</f>
        <v/>
      </c>
      <c r="M251" s="3" t="str">
        <f aca="false">IFERROR(__xludf.dummyfunction("if($T251&lt;&gt;"""",VALUE(REGEXEXTRACT($T251, M$1&amp;""[\w &amp;]*, (\d+\.\d+)"")),"""")
"),"")</f>
        <v/>
      </c>
      <c r="N251" s="3" t="str">
        <f aca="false">IFERROR(__xludf.dummyfunction("if($T251&lt;&gt;"""",VALUE(REGEXEXTRACT(SUBSTITUTE ($T251,N$1&amp;"" CE"",""""), N$1&amp;""[\w &amp;]*, (\d+\.\d+)"")),"""")
"),"")</f>
        <v/>
      </c>
      <c r="O251" s="3" t="str">
        <f aca="false">IFERROR(__xludf.dummyfunction("if($T251&lt;&gt;"""",VALUE(REGEXEXTRACT($T251, O$1&amp;""[\w &amp;]*, (\d+\.\d+)"")),"""")
"),"")</f>
        <v/>
      </c>
      <c r="P251" s="2"/>
      <c r="Q251" s="2"/>
      <c r="R251" s="2"/>
      <c r="S251" s="2"/>
      <c r="T251" s="5"/>
      <c r="U251" s="5"/>
    </row>
    <row r="252" customFormat="false" ht="15.75" hidden="false" customHeight="false" outlineLevel="0" collapsed="false">
      <c r="A252" s="4"/>
      <c r="B252" s="2"/>
      <c r="C252" s="2"/>
      <c r="D252" s="2"/>
      <c r="E252" s="2"/>
      <c r="F252" s="3" t="str">
        <f aca="false">IFERROR(__xludf.dummyfunction("if($T252&lt;&gt;"""",VALUE(REGEXEXTRACT(SUBSTITUTE ($T252,F$1&amp;"" CE"",""""), F$1&amp;""[\w &amp;]*, (\d+\.\d+)"")),"""")
"),"")</f>
        <v/>
      </c>
      <c r="G252" s="3" t="str">
        <f aca="false">IFERROR(__xludf.dummyfunction("if($T252&lt;&gt;"""",VALUE(REGEXEXTRACT($T252, G$1&amp;""[\w &amp;]*, (\d+\.\d+)"")),"""")
"),"")</f>
        <v/>
      </c>
      <c r="H252" s="3"/>
      <c r="I252" s="3" t="str">
        <f aca="false">IFERROR(__xludf.dummyfunction("if($T252&lt;&gt;"""",VALUE(REGEXEXTRACT(SUBSTITUTE ($T252,I$1&amp;"" CE"",""""), I$1&amp;""[\w &amp;]*, (\d+\.\d+)"")),"""")
"),"")</f>
        <v/>
      </c>
      <c r="J252" s="3" t="str">
        <f aca="false">IFERROR(__xludf.dummyfunction("if($T252&lt;&gt;"""",VALUE(REGEXEXTRACT($T252, J$1&amp;""[\w &amp;]*, (\d+\.\d+)"")),"""")
"),"")</f>
        <v/>
      </c>
      <c r="K252" s="3"/>
      <c r="L252" s="3" t="str">
        <f aca="false">IFERROR(__xludf.dummyfunction("if($T252&lt;&gt;"""",VALUE(REGEXEXTRACT(SUBSTITUTE ($T252,L$1&amp;"" CE"",""""), L$1&amp;""[\w &amp;]*, (\d+\.\d+)"")),"""")
"),"")</f>
        <v/>
      </c>
      <c r="M252" s="3" t="str">
        <f aca="false">IFERROR(__xludf.dummyfunction("if($T252&lt;&gt;"""",VALUE(REGEXEXTRACT($T252, M$1&amp;""[\w &amp;]*, (\d+\.\d+)"")),"""")
"),"")</f>
        <v/>
      </c>
      <c r="N252" s="3" t="str">
        <f aca="false">IFERROR(__xludf.dummyfunction("if($T252&lt;&gt;"""",VALUE(REGEXEXTRACT(SUBSTITUTE ($T252,N$1&amp;"" CE"",""""), N$1&amp;""[\w &amp;]*, (\d+\.\d+)"")),"""")
"),"")</f>
        <v/>
      </c>
      <c r="O252" s="3" t="str">
        <f aca="false">IFERROR(__xludf.dummyfunction("if($T252&lt;&gt;"""",VALUE(REGEXEXTRACT($T252, O$1&amp;""[\w &amp;]*, (\d+\.\d+)"")),"""")
"),"")</f>
        <v/>
      </c>
      <c r="P252" s="2"/>
      <c r="Q252" s="2"/>
      <c r="R252" s="2"/>
      <c r="S252" s="2"/>
      <c r="T252" s="5"/>
      <c r="U252" s="5"/>
    </row>
    <row r="253" customFormat="false" ht="15.75" hidden="false" customHeight="false" outlineLevel="0" collapsed="false">
      <c r="A253" s="4"/>
      <c r="B253" s="2"/>
      <c r="C253" s="2"/>
      <c r="D253" s="2"/>
      <c r="E253" s="2"/>
      <c r="F253" s="3" t="str">
        <f aca="false">IFERROR(__xludf.dummyfunction("if($T253&lt;&gt;"""",VALUE(REGEXEXTRACT(SUBSTITUTE ($T253,F$1&amp;"" CE"",""""), F$1&amp;""[\w &amp;]*, (\d+\.\d+)"")),"""")
"),"")</f>
        <v/>
      </c>
      <c r="G253" s="3" t="str">
        <f aca="false">IFERROR(__xludf.dummyfunction("if($T253&lt;&gt;"""",VALUE(REGEXEXTRACT($T253, G$1&amp;""[\w &amp;]*, (\d+\.\d+)"")),"""")
"),"")</f>
        <v/>
      </c>
      <c r="H253" s="3"/>
      <c r="I253" s="3" t="str">
        <f aca="false">IFERROR(__xludf.dummyfunction("if($T253&lt;&gt;"""",VALUE(REGEXEXTRACT(SUBSTITUTE ($T253,I$1&amp;"" CE"",""""), I$1&amp;""[\w &amp;]*, (\d+\.\d+)"")),"""")
"),"")</f>
        <v/>
      </c>
      <c r="J253" s="3" t="str">
        <f aca="false">IFERROR(__xludf.dummyfunction("if($T253&lt;&gt;"""",VALUE(REGEXEXTRACT($T253, J$1&amp;""[\w &amp;]*, (\d+\.\d+)"")),"""")
"),"")</f>
        <v/>
      </c>
      <c r="K253" s="3"/>
      <c r="L253" s="3" t="str">
        <f aca="false">IFERROR(__xludf.dummyfunction("if($T253&lt;&gt;"""",VALUE(REGEXEXTRACT(SUBSTITUTE ($T253,L$1&amp;"" CE"",""""), L$1&amp;""[\w &amp;]*, (\d+\.\d+)"")),"""")
"),"")</f>
        <v/>
      </c>
      <c r="M253" s="3" t="str">
        <f aca="false">IFERROR(__xludf.dummyfunction("if($T253&lt;&gt;"""",VALUE(REGEXEXTRACT($T253, M$1&amp;""[\w &amp;]*, (\d+\.\d+)"")),"""")
"),"")</f>
        <v/>
      </c>
      <c r="N253" s="3" t="str">
        <f aca="false">IFERROR(__xludf.dummyfunction("if($T253&lt;&gt;"""",VALUE(REGEXEXTRACT(SUBSTITUTE ($T253,N$1&amp;"" CE"",""""), N$1&amp;""[\w &amp;]*, (\d+\.\d+)"")),"""")
"),"")</f>
        <v/>
      </c>
      <c r="O253" s="3" t="str">
        <f aca="false">IFERROR(__xludf.dummyfunction("if($T253&lt;&gt;"""",VALUE(REGEXEXTRACT($T253, O$1&amp;""[\w &amp;]*, (\d+\.\d+)"")),"""")
"),"")</f>
        <v/>
      </c>
      <c r="P253" s="2"/>
      <c r="Q253" s="2"/>
      <c r="R253" s="2"/>
      <c r="S253" s="2"/>
      <c r="T253" s="5"/>
      <c r="U253" s="5"/>
    </row>
    <row r="254" customFormat="false" ht="15.75" hidden="false" customHeight="false" outlineLevel="0" collapsed="false">
      <c r="A254" s="4"/>
      <c r="B254" s="2"/>
      <c r="C254" s="2"/>
      <c r="D254" s="2"/>
      <c r="E254" s="2"/>
      <c r="F254" s="3" t="str">
        <f aca="false">IFERROR(__xludf.dummyfunction("if($T254&lt;&gt;"""",VALUE(REGEXEXTRACT(SUBSTITUTE ($T254,F$1&amp;"" CE"",""""), F$1&amp;""[\w &amp;]*, (\d+\.\d+)"")),"""")
"),"")</f>
        <v/>
      </c>
      <c r="G254" s="3" t="str">
        <f aca="false">IFERROR(__xludf.dummyfunction("if($T254&lt;&gt;"""",VALUE(REGEXEXTRACT($T254, G$1&amp;""[\w &amp;]*, (\d+\.\d+)"")),"""")
"),"")</f>
        <v/>
      </c>
      <c r="H254" s="3"/>
      <c r="I254" s="3" t="str">
        <f aca="false">IFERROR(__xludf.dummyfunction("if($T254&lt;&gt;"""",VALUE(REGEXEXTRACT(SUBSTITUTE ($T254,I$1&amp;"" CE"",""""), I$1&amp;""[\w &amp;]*, (\d+\.\d+)"")),"""")
"),"")</f>
        <v/>
      </c>
      <c r="J254" s="3" t="str">
        <f aca="false">IFERROR(__xludf.dummyfunction("if($T254&lt;&gt;"""",VALUE(REGEXEXTRACT($T254, J$1&amp;""[\w &amp;]*, (\d+\.\d+)"")),"""")
"),"")</f>
        <v/>
      </c>
      <c r="K254" s="3"/>
      <c r="L254" s="3" t="str">
        <f aca="false">IFERROR(__xludf.dummyfunction("if($T254&lt;&gt;"""",VALUE(REGEXEXTRACT(SUBSTITUTE ($T254,L$1&amp;"" CE"",""""), L$1&amp;""[\w &amp;]*, (\d+\.\d+)"")),"""")
"),"")</f>
        <v/>
      </c>
      <c r="M254" s="3" t="str">
        <f aca="false">IFERROR(__xludf.dummyfunction("if($T254&lt;&gt;"""",VALUE(REGEXEXTRACT($T254, M$1&amp;""[\w &amp;]*, (\d+\.\d+)"")),"""")
"),"")</f>
        <v/>
      </c>
      <c r="N254" s="3" t="str">
        <f aca="false">IFERROR(__xludf.dummyfunction("if($T254&lt;&gt;"""",VALUE(REGEXEXTRACT(SUBSTITUTE ($T254,N$1&amp;"" CE"",""""), N$1&amp;""[\w &amp;]*, (\d+\.\d+)"")),"""")
"),"")</f>
        <v/>
      </c>
      <c r="O254" s="3" t="str">
        <f aca="false">IFERROR(__xludf.dummyfunction("if($T254&lt;&gt;"""",VALUE(REGEXEXTRACT($T254, O$1&amp;""[\w &amp;]*, (\d+\.\d+)"")),"""")
"),"")</f>
        <v/>
      </c>
      <c r="P254" s="2"/>
      <c r="Q254" s="2"/>
      <c r="R254" s="2"/>
      <c r="S254" s="2"/>
      <c r="T254" s="5"/>
      <c r="U254" s="5"/>
    </row>
    <row r="255" customFormat="false" ht="15.75" hidden="false" customHeight="false" outlineLevel="0" collapsed="false">
      <c r="A255" s="4"/>
      <c r="B255" s="2"/>
      <c r="C255" s="2"/>
      <c r="D255" s="2"/>
      <c r="E255" s="2"/>
      <c r="F255" s="3" t="str">
        <f aca="false">IFERROR(__xludf.dummyfunction("if($T255&lt;&gt;"""",VALUE(REGEXEXTRACT(SUBSTITUTE ($T255,F$1&amp;"" CE"",""""), F$1&amp;""[\w &amp;]*, (\d+\.\d+)"")),"""")
"),"")</f>
        <v/>
      </c>
      <c r="G255" s="3" t="str">
        <f aca="false">IFERROR(__xludf.dummyfunction("if($T255&lt;&gt;"""",VALUE(REGEXEXTRACT($T255, G$1&amp;""[\w &amp;]*, (\d+\.\d+)"")),"""")
"),"")</f>
        <v/>
      </c>
      <c r="H255" s="3"/>
      <c r="I255" s="3" t="str">
        <f aca="false">IFERROR(__xludf.dummyfunction("if($T255&lt;&gt;"""",VALUE(REGEXEXTRACT(SUBSTITUTE ($T255,I$1&amp;"" CE"",""""), I$1&amp;""[\w &amp;]*, (\d+\.\d+)"")),"""")
"),"")</f>
        <v/>
      </c>
      <c r="J255" s="3" t="str">
        <f aca="false">IFERROR(__xludf.dummyfunction("if($T255&lt;&gt;"""",VALUE(REGEXEXTRACT($T255, J$1&amp;""[\w &amp;]*, (\d+\.\d+)"")),"""")
"),"")</f>
        <v/>
      </c>
      <c r="K255" s="3"/>
      <c r="L255" s="3" t="str">
        <f aca="false">IFERROR(__xludf.dummyfunction("if($T255&lt;&gt;"""",VALUE(REGEXEXTRACT(SUBSTITUTE ($T255,L$1&amp;"" CE"",""""), L$1&amp;""[\w &amp;]*, (\d+\.\d+)"")),"""")
"),"")</f>
        <v/>
      </c>
      <c r="M255" s="3" t="str">
        <f aca="false">IFERROR(__xludf.dummyfunction("if($T255&lt;&gt;"""",VALUE(REGEXEXTRACT($T255, M$1&amp;""[\w &amp;]*, (\d+\.\d+)"")),"""")
"),"")</f>
        <v/>
      </c>
      <c r="N255" s="3" t="str">
        <f aca="false">IFERROR(__xludf.dummyfunction("if($T255&lt;&gt;"""",VALUE(REGEXEXTRACT(SUBSTITUTE ($T255,N$1&amp;"" CE"",""""), N$1&amp;""[\w &amp;]*, (\d+\.\d+)"")),"""")
"),"")</f>
        <v/>
      </c>
      <c r="O255" s="3" t="str">
        <f aca="false">IFERROR(__xludf.dummyfunction("if($T255&lt;&gt;"""",VALUE(REGEXEXTRACT($T255, O$1&amp;""[\w &amp;]*, (\d+\.\d+)"")),"""")
"),"")</f>
        <v/>
      </c>
      <c r="P255" s="2"/>
      <c r="Q255" s="2"/>
      <c r="R255" s="2"/>
      <c r="S255" s="2"/>
      <c r="T255" s="5"/>
      <c r="U255" s="5"/>
    </row>
    <row r="256" customFormat="false" ht="15.75" hidden="false" customHeight="false" outlineLevel="0" collapsed="false">
      <c r="A256" s="4"/>
      <c r="B256" s="2"/>
      <c r="C256" s="2"/>
      <c r="D256" s="2"/>
      <c r="E256" s="2"/>
      <c r="F256" s="3" t="str">
        <f aca="false">IFERROR(__xludf.dummyfunction("if($T256&lt;&gt;"""",VALUE(REGEXEXTRACT(SUBSTITUTE ($T256,F$1&amp;"" CE"",""""), F$1&amp;""[\w &amp;]*, (\d+\.\d+)"")),"""")
"),"")</f>
        <v/>
      </c>
      <c r="G256" s="3" t="str">
        <f aca="false">IFERROR(__xludf.dummyfunction("if($T256&lt;&gt;"""",VALUE(REGEXEXTRACT($T256, G$1&amp;""[\w &amp;]*, (\d+\.\d+)"")),"""")
"),"")</f>
        <v/>
      </c>
      <c r="H256" s="3"/>
      <c r="I256" s="3" t="str">
        <f aca="false">IFERROR(__xludf.dummyfunction("if($T256&lt;&gt;"""",VALUE(REGEXEXTRACT(SUBSTITUTE ($T256,I$1&amp;"" CE"",""""), I$1&amp;""[\w &amp;]*, (\d+\.\d+)"")),"""")
"),"")</f>
        <v/>
      </c>
      <c r="J256" s="3" t="str">
        <f aca="false">IFERROR(__xludf.dummyfunction("if($T256&lt;&gt;"""",VALUE(REGEXEXTRACT($T256, J$1&amp;""[\w &amp;]*, (\d+\.\d+)"")),"""")
"),"")</f>
        <v/>
      </c>
      <c r="K256" s="3"/>
      <c r="L256" s="3" t="str">
        <f aca="false">IFERROR(__xludf.dummyfunction("if($T256&lt;&gt;"""",VALUE(REGEXEXTRACT(SUBSTITUTE ($T256,L$1&amp;"" CE"",""""), L$1&amp;""[\w &amp;]*, (\d+\.\d+)"")),"""")
"),"")</f>
        <v/>
      </c>
      <c r="M256" s="3" t="str">
        <f aca="false">IFERROR(__xludf.dummyfunction("if($T256&lt;&gt;"""",VALUE(REGEXEXTRACT($T256, M$1&amp;""[\w &amp;]*, (\d+\.\d+)"")),"""")
"),"")</f>
        <v/>
      </c>
      <c r="N256" s="3" t="str">
        <f aca="false">IFERROR(__xludf.dummyfunction("if($T256&lt;&gt;"""",VALUE(REGEXEXTRACT(SUBSTITUTE ($T256,N$1&amp;"" CE"",""""), N$1&amp;""[\w &amp;]*, (\d+\.\d+)"")),"""")
"),"")</f>
        <v/>
      </c>
      <c r="O256" s="3" t="str">
        <f aca="false">IFERROR(__xludf.dummyfunction("if($T256&lt;&gt;"""",VALUE(REGEXEXTRACT($T256, O$1&amp;""[\w &amp;]*, (\d+\.\d+)"")),"""")
"),"")</f>
        <v/>
      </c>
      <c r="P256" s="2"/>
      <c r="Q256" s="2"/>
      <c r="R256" s="2"/>
      <c r="S256" s="2"/>
      <c r="T256" s="5"/>
      <c r="U256" s="5"/>
    </row>
    <row r="257" customFormat="false" ht="15.75" hidden="false" customHeight="false" outlineLevel="0" collapsed="false">
      <c r="A257" s="4"/>
      <c r="B257" s="2"/>
      <c r="C257" s="2"/>
      <c r="D257" s="2"/>
      <c r="E257" s="2"/>
      <c r="F257" s="3" t="str">
        <f aca="false">IFERROR(__xludf.dummyfunction("if($T257&lt;&gt;"""",VALUE(REGEXEXTRACT(SUBSTITUTE ($T257,F$1&amp;"" CE"",""""), F$1&amp;""[\w &amp;]*, (\d+\.\d+)"")),"""")
"),"")</f>
        <v/>
      </c>
      <c r="G257" s="3" t="str">
        <f aca="false">IFERROR(__xludf.dummyfunction("if($T257&lt;&gt;"""",VALUE(REGEXEXTRACT($T257, G$1&amp;""[\w &amp;]*, (\d+\.\d+)"")),"""")
"),"")</f>
        <v/>
      </c>
      <c r="H257" s="3"/>
      <c r="I257" s="3" t="str">
        <f aca="false">IFERROR(__xludf.dummyfunction("if($T257&lt;&gt;"""",VALUE(REGEXEXTRACT(SUBSTITUTE ($T257,I$1&amp;"" CE"",""""), I$1&amp;""[\w &amp;]*, (\d+\.\d+)"")),"""")
"),"")</f>
        <v/>
      </c>
      <c r="J257" s="3" t="str">
        <f aca="false">IFERROR(__xludf.dummyfunction("if($T257&lt;&gt;"""",VALUE(REGEXEXTRACT($T257, J$1&amp;""[\w &amp;]*, (\d+\.\d+)"")),"""")
"),"")</f>
        <v/>
      </c>
      <c r="K257" s="3"/>
      <c r="L257" s="3" t="str">
        <f aca="false">IFERROR(__xludf.dummyfunction("if($T257&lt;&gt;"""",VALUE(REGEXEXTRACT(SUBSTITUTE ($T257,L$1&amp;"" CE"",""""), L$1&amp;""[\w &amp;]*, (\d+\.\d+)"")),"""")
"),"")</f>
        <v/>
      </c>
      <c r="M257" s="3" t="str">
        <f aca="false">IFERROR(__xludf.dummyfunction("if($T257&lt;&gt;"""",VALUE(REGEXEXTRACT($T257, M$1&amp;""[\w &amp;]*, (\d+\.\d+)"")),"""")
"),"")</f>
        <v/>
      </c>
      <c r="N257" s="3" t="str">
        <f aca="false">IFERROR(__xludf.dummyfunction("if($T257&lt;&gt;"""",VALUE(REGEXEXTRACT(SUBSTITUTE ($T257,N$1&amp;"" CE"",""""), N$1&amp;""[\w &amp;]*, (\d+\.\d+)"")),"""")
"),"")</f>
        <v/>
      </c>
      <c r="O257" s="3" t="str">
        <f aca="false">IFERROR(__xludf.dummyfunction("if($T257&lt;&gt;"""",VALUE(REGEXEXTRACT($T257, O$1&amp;""[\w &amp;]*, (\d+\.\d+)"")),"""")
"),"")</f>
        <v/>
      </c>
      <c r="P257" s="2"/>
      <c r="Q257" s="2"/>
      <c r="R257" s="2"/>
      <c r="S257" s="2"/>
      <c r="T257" s="5"/>
      <c r="U257" s="5"/>
    </row>
    <row r="258" customFormat="false" ht="15.75" hidden="false" customHeight="false" outlineLevel="0" collapsed="false">
      <c r="A258" s="4"/>
      <c r="B258" s="2"/>
      <c r="C258" s="2"/>
      <c r="D258" s="2"/>
      <c r="E258" s="2"/>
      <c r="F258" s="3" t="str">
        <f aca="false">IFERROR(__xludf.dummyfunction("if($T258&lt;&gt;"""",VALUE(REGEXEXTRACT(SUBSTITUTE ($T258,F$1&amp;"" CE"",""""), F$1&amp;""[\w &amp;]*, (\d+\.\d+)"")),"""")
"),"")</f>
        <v/>
      </c>
      <c r="G258" s="3" t="str">
        <f aca="false">IFERROR(__xludf.dummyfunction("if($T258&lt;&gt;"""",VALUE(REGEXEXTRACT($T258, G$1&amp;""[\w &amp;]*, (\d+\.\d+)"")),"""")
"),"")</f>
        <v/>
      </c>
      <c r="H258" s="3"/>
      <c r="I258" s="3" t="str">
        <f aca="false">IFERROR(__xludf.dummyfunction("if($T258&lt;&gt;"""",VALUE(REGEXEXTRACT(SUBSTITUTE ($T258,I$1&amp;"" CE"",""""), I$1&amp;""[\w &amp;]*, (\d+\.\d+)"")),"""")
"),"")</f>
        <v/>
      </c>
      <c r="J258" s="3" t="str">
        <f aca="false">IFERROR(__xludf.dummyfunction("if($T258&lt;&gt;"""",VALUE(REGEXEXTRACT($T258, J$1&amp;""[\w &amp;]*, (\d+\.\d+)"")),"""")
"),"")</f>
        <v/>
      </c>
      <c r="K258" s="3"/>
      <c r="L258" s="3" t="str">
        <f aca="false">IFERROR(__xludf.dummyfunction("if($T258&lt;&gt;"""",VALUE(REGEXEXTRACT(SUBSTITUTE ($T258,L$1&amp;"" CE"",""""), L$1&amp;""[\w &amp;]*, (\d+\.\d+)"")),"""")
"),"")</f>
        <v/>
      </c>
      <c r="M258" s="3" t="str">
        <f aca="false">IFERROR(__xludf.dummyfunction("if($T258&lt;&gt;"""",VALUE(REGEXEXTRACT($T258, M$1&amp;""[\w &amp;]*, (\d+\.\d+)"")),"""")
"),"")</f>
        <v/>
      </c>
      <c r="N258" s="3" t="str">
        <f aca="false">IFERROR(__xludf.dummyfunction("if($T258&lt;&gt;"""",VALUE(REGEXEXTRACT(SUBSTITUTE ($T258,N$1&amp;"" CE"",""""), N$1&amp;""[\w &amp;]*, (\d+\.\d+)"")),"""")
"),"")</f>
        <v/>
      </c>
      <c r="O258" s="3" t="str">
        <f aca="false">IFERROR(__xludf.dummyfunction("if($T258&lt;&gt;"""",VALUE(REGEXEXTRACT($T258, O$1&amp;""[\w &amp;]*, (\d+\.\d+)"")),"""")
"),"")</f>
        <v/>
      </c>
      <c r="P258" s="2"/>
      <c r="Q258" s="2"/>
      <c r="R258" s="2"/>
      <c r="S258" s="2"/>
      <c r="T258" s="5"/>
      <c r="U258" s="5"/>
    </row>
    <row r="259" customFormat="false" ht="15.75" hidden="false" customHeight="false" outlineLevel="0" collapsed="false">
      <c r="A259" s="4"/>
      <c r="B259" s="2"/>
      <c r="C259" s="2"/>
      <c r="D259" s="2"/>
      <c r="E259" s="2"/>
      <c r="F259" s="3" t="str">
        <f aca="false">IFERROR(__xludf.dummyfunction("if($T259&lt;&gt;"""",VALUE(REGEXEXTRACT(SUBSTITUTE ($T259,F$1&amp;"" CE"",""""), F$1&amp;""[\w &amp;]*, (\d+\.\d+)"")),"""")
"),"")</f>
        <v/>
      </c>
      <c r="G259" s="3" t="str">
        <f aca="false">IFERROR(__xludf.dummyfunction("if($T259&lt;&gt;"""",VALUE(REGEXEXTRACT($T259, G$1&amp;""[\w &amp;]*, (\d+\.\d+)"")),"""")
"),"")</f>
        <v/>
      </c>
      <c r="H259" s="3"/>
      <c r="I259" s="3" t="str">
        <f aca="false">IFERROR(__xludf.dummyfunction("if($T259&lt;&gt;"""",VALUE(REGEXEXTRACT(SUBSTITUTE ($T259,I$1&amp;"" CE"",""""), I$1&amp;""[\w &amp;]*, (\d+\.\d+)"")),"""")
"),"")</f>
        <v/>
      </c>
      <c r="J259" s="3" t="str">
        <f aca="false">IFERROR(__xludf.dummyfunction("if($T259&lt;&gt;"""",VALUE(REGEXEXTRACT($T259, J$1&amp;""[\w &amp;]*, (\d+\.\d+)"")),"""")
"),"")</f>
        <v/>
      </c>
      <c r="K259" s="3"/>
      <c r="L259" s="3" t="str">
        <f aca="false">IFERROR(__xludf.dummyfunction("if($T259&lt;&gt;"""",VALUE(REGEXEXTRACT(SUBSTITUTE ($T259,L$1&amp;"" CE"",""""), L$1&amp;""[\w &amp;]*, (\d+\.\d+)"")),"""")
"),"")</f>
        <v/>
      </c>
      <c r="M259" s="3" t="str">
        <f aca="false">IFERROR(__xludf.dummyfunction("if($T259&lt;&gt;"""",VALUE(REGEXEXTRACT($T259, M$1&amp;""[\w &amp;]*, (\d+\.\d+)"")),"""")
"),"")</f>
        <v/>
      </c>
      <c r="N259" s="3" t="str">
        <f aca="false">IFERROR(__xludf.dummyfunction("if($T259&lt;&gt;"""",VALUE(REGEXEXTRACT(SUBSTITUTE ($T259,N$1&amp;"" CE"",""""), N$1&amp;""[\w &amp;]*, (\d+\.\d+)"")),"""")
"),"")</f>
        <v/>
      </c>
      <c r="O259" s="3" t="str">
        <f aca="false">IFERROR(__xludf.dummyfunction("if($T259&lt;&gt;"""",VALUE(REGEXEXTRACT($T259, O$1&amp;""[\w &amp;]*, (\d+\.\d+)"")),"""")
"),"")</f>
        <v/>
      </c>
      <c r="P259" s="2"/>
      <c r="Q259" s="2"/>
      <c r="R259" s="2"/>
      <c r="S259" s="2"/>
      <c r="T259" s="5"/>
      <c r="U259" s="5"/>
    </row>
    <row r="260" customFormat="false" ht="15.75" hidden="false" customHeight="false" outlineLevel="0" collapsed="false">
      <c r="A260" s="4"/>
      <c r="B260" s="2"/>
      <c r="C260" s="2"/>
      <c r="D260" s="2"/>
      <c r="E260" s="2"/>
      <c r="F260" s="3" t="str">
        <f aca="false">IFERROR(__xludf.dummyfunction("if($T260&lt;&gt;"""",VALUE(REGEXEXTRACT(SUBSTITUTE ($T260,F$1&amp;"" CE"",""""), F$1&amp;""[\w &amp;]*, (\d+\.\d+)"")),"""")
"),"")</f>
        <v/>
      </c>
      <c r="G260" s="3" t="str">
        <f aca="false">IFERROR(__xludf.dummyfunction("if($T260&lt;&gt;"""",VALUE(REGEXEXTRACT($T260, G$1&amp;""[\w &amp;]*, (\d+\.\d+)"")),"""")
"),"")</f>
        <v/>
      </c>
      <c r="H260" s="3"/>
      <c r="I260" s="3" t="str">
        <f aca="false">IFERROR(__xludf.dummyfunction("if($T260&lt;&gt;"""",VALUE(REGEXEXTRACT(SUBSTITUTE ($T260,I$1&amp;"" CE"",""""), I$1&amp;""[\w &amp;]*, (\d+\.\d+)"")),"""")
"),"")</f>
        <v/>
      </c>
      <c r="J260" s="3" t="str">
        <f aca="false">IFERROR(__xludf.dummyfunction("if($T260&lt;&gt;"""",VALUE(REGEXEXTRACT($T260, J$1&amp;""[\w &amp;]*, (\d+\.\d+)"")),"""")
"),"")</f>
        <v/>
      </c>
      <c r="K260" s="3"/>
      <c r="L260" s="3" t="str">
        <f aca="false">IFERROR(__xludf.dummyfunction("if($T260&lt;&gt;"""",VALUE(REGEXEXTRACT(SUBSTITUTE ($T260,L$1&amp;"" CE"",""""), L$1&amp;""[\w &amp;]*, (\d+\.\d+)"")),"""")
"),"")</f>
        <v/>
      </c>
      <c r="M260" s="3" t="str">
        <f aca="false">IFERROR(__xludf.dummyfunction("if($T260&lt;&gt;"""",VALUE(REGEXEXTRACT($T260, M$1&amp;""[\w &amp;]*, (\d+\.\d+)"")),"""")
"),"")</f>
        <v/>
      </c>
      <c r="N260" s="3" t="str">
        <f aca="false">IFERROR(__xludf.dummyfunction("if($T260&lt;&gt;"""",VALUE(REGEXEXTRACT(SUBSTITUTE ($T260,N$1&amp;"" CE"",""""), N$1&amp;""[\w &amp;]*, (\d+\.\d+)"")),"""")
"),"")</f>
        <v/>
      </c>
      <c r="O260" s="3" t="str">
        <f aca="false">IFERROR(__xludf.dummyfunction("if($T260&lt;&gt;"""",VALUE(REGEXEXTRACT($T260, O$1&amp;""[\w &amp;]*, (\d+\.\d+)"")),"""")
"),"")</f>
        <v/>
      </c>
      <c r="P260" s="2"/>
      <c r="Q260" s="2"/>
      <c r="R260" s="2"/>
      <c r="S260" s="2"/>
      <c r="T260" s="5"/>
      <c r="U260" s="5"/>
    </row>
    <row r="261" customFormat="false" ht="15.75" hidden="false" customHeight="false" outlineLevel="0" collapsed="false">
      <c r="A261" s="4"/>
      <c r="B261" s="2"/>
      <c r="C261" s="2"/>
      <c r="D261" s="2"/>
      <c r="E261" s="2"/>
      <c r="F261" s="3" t="str">
        <f aca="false">IFERROR(__xludf.dummyfunction("if($T261&lt;&gt;"""",VALUE(REGEXEXTRACT(SUBSTITUTE ($T261,F$1&amp;"" CE"",""""), F$1&amp;""[\w &amp;]*, (\d+\.\d+)"")),"""")
"),"")</f>
        <v/>
      </c>
      <c r="G261" s="3" t="str">
        <f aca="false">IFERROR(__xludf.dummyfunction("if($T261&lt;&gt;"""",VALUE(REGEXEXTRACT($T261, G$1&amp;""[\w &amp;]*, (\d+\.\d+)"")),"""")
"),"")</f>
        <v/>
      </c>
      <c r="H261" s="3"/>
      <c r="I261" s="3" t="str">
        <f aca="false">IFERROR(__xludf.dummyfunction("if($T261&lt;&gt;"""",VALUE(REGEXEXTRACT(SUBSTITUTE ($T261,I$1&amp;"" CE"",""""), I$1&amp;""[\w &amp;]*, (\d+\.\d+)"")),"""")
"),"")</f>
        <v/>
      </c>
      <c r="J261" s="3" t="str">
        <f aca="false">IFERROR(__xludf.dummyfunction("if($T261&lt;&gt;"""",VALUE(REGEXEXTRACT($T261, J$1&amp;""[\w &amp;]*, (\d+\.\d+)"")),"""")
"),"")</f>
        <v/>
      </c>
      <c r="K261" s="3"/>
      <c r="L261" s="3" t="str">
        <f aca="false">IFERROR(__xludf.dummyfunction("if($T261&lt;&gt;"""",VALUE(REGEXEXTRACT(SUBSTITUTE ($T261,L$1&amp;"" CE"",""""), L$1&amp;""[\w &amp;]*, (\d+\.\d+)"")),"""")
"),"")</f>
        <v/>
      </c>
      <c r="M261" s="3" t="str">
        <f aca="false">IFERROR(__xludf.dummyfunction("if($T261&lt;&gt;"""",VALUE(REGEXEXTRACT($T261, M$1&amp;""[\w &amp;]*, (\d+\.\d+)"")),"""")
"),"")</f>
        <v/>
      </c>
      <c r="N261" s="3" t="str">
        <f aca="false">IFERROR(__xludf.dummyfunction("if($T261&lt;&gt;"""",VALUE(REGEXEXTRACT(SUBSTITUTE ($T261,N$1&amp;"" CE"",""""), N$1&amp;""[\w &amp;]*, (\d+\.\d+)"")),"""")
"),"")</f>
        <v/>
      </c>
      <c r="O261" s="3" t="str">
        <f aca="false">IFERROR(__xludf.dummyfunction("if($T261&lt;&gt;"""",VALUE(REGEXEXTRACT($T261, O$1&amp;""[\w &amp;]*, (\d+\.\d+)"")),"""")
"),"")</f>
        <v/>
      </c>
      <c r="P261" s="2"/>
      <c r="Q261" s="2"/>
      <c r="R261" s="2"/>
      <c r="S261" s="2"/>
      <c r="T261" s="5"/>
      <c r="U261" s="5"/>
    </row>
    <row r="262" customFormat="false" ht="15.75" hidden="false" customHeight="false" outlineLevel="0" collapsed="false">
      <c r="A262" s="4"/>
      <c r="B262" s="2"/>
      <c r="C262" s="2"/>
      <c r="D262" s="2"/>
      <c r="E262" s="2"/>
      <c r="F262" s="3" t="str">
        <f aca="false">IFERROR(__xludf.dummyfunction("if($T262&lt;&gt;"""",VALUE(REGEXEXTRACT(SUBSTITUTE ($T262,F$1&amp;"" CE"",""""), F$1&amp;""[\w &amp;]*, (\d+\.\d+)"")),"""")
"),"")</f>
        <v/>
      </c>
      <c r="G262" s="3" t="str">
        <f aca="false">IFERROR(__xludf.dummyfunction("if($T262&lt;&gt;"""",VALUE(REGEXEXTRACT($T262, G$1&amp;""[\w &amp;]*, (\d+\.\d+)"")),"""")
"),"")</f>
        <v/>
      </c>
      <c r="H262" s="3"/>
      <c r="I262" s="3" t="str">
        <f aca="false">IFERROR(__xludf.dummyfunction("if($T262&lt;&gt;"""",VALUE(REGEXEXTRACT(SUBSTITUTE ($T262,I$1&amp;"" CE"",""""), I$1&amp;""[\w &amp;]*, (\d+\.\d+)"")),"""")
"),"")</f>
        <v/>
      </c>
      <c r="J262" s="3" t="str">
        <f aca="false">IFERROR(__xludf.dummyfunction("if($T262&lt;&gt;"""",VALUE(REGEXEXTRACT($T262, J$1&amp;""[\w &amp;]*, (\d+\.\d+)"")),"""")
"),"")</f>
        <v/>
      </c>
      <c r="K262" s="3"/>
      <c r="L262" s="3" t="str">
        <f aca="false">IFERROR(__xludf.dummyfunction("if($T262&lt;&gt;"""",VALUE(REGEXEXTRACT(SUBSTITUTE ($T262,L$1&amp;"" CE"",""""), L$1&amp;""[\w &amp;]*, (\d+\.\d+)"")),"""")
"),"")</f>
        <v/>
      </c>
      <c r="M262" s="3" t="str">
        <f aca="false">IFERROR(__xludf.dummyfunction("if($T262&lt;&gt;"""",VALUE(REGEXEXTRACT($T262, M$1&amp;""[\w &amp;]*, (\d+\.\d+)"")),"""")
"),"")</f>
        <v/>
      </c>
      <c r="N262" s="3" t="str">
        <f aca="false">IFERROR(__xludf.dummyfunction("if($T262&lt;&gt;"""",VALUE(REGEXEXTRACT(SUBSTITUTE ($T262,N$1&amp;"" CE"",""""), N$1&amp;""[\w &amp;]*, (\d+\.\d+)"")),"""")
"),"")</f>
        <v/>
      </c>
      <c r="O262" s="3" t="str">
        <f aca="false">IFERROR(__xludf.dummyfunction("if($T262&lt;&gt;"""",VALUE(REGEXEXTRACT($T262, O$1&amp;""[\w &amp;]*, (\d+\.\d+)"")),"""")
"),"")</f>
        <v/>
      </c>
      <c r="P262" s="2"/>
      <c r="Q262" s="2"/>
      <c r="R262" s="2"/>
      <c r="S262" s="2"/>
      <c r="T262" s="5"/>
      <c r="U262" s="5"/>
    </row>
    <row r="263" customFormat="false" ht="15.75" hidden="false" customHeight="false" outlineLevel="0" collapsed="false">
      <c r="A263" s="4"/>
      <c r="B263" s="2"/>
      <c r="C263" s="2"/>
      <c r="D263" s="2"/>
      <c r="E263" s="2"/>
      <c r="F263" s="3" t="str">
        <f aca="false">IFERROR(__xludf.dummyfunction("if($T263&lt;&gt;"""",VALUE(REGEXEXTRACT(SUBSTITUTE ($T263,F$1&amp;"" CE"",""""), F$1&amp;""[\w &amp;]*, (\d+\.\d+)"")),"""")
"),"")</f>
        <v/>
      </c>
      <c r="G263" s="3" t="str">
        <f aca="false">IFERROR(__xludf.dummyfunction("if($T263&lt;&gt;"""",VALUE(REGEXEXTRACT($T263, G$1&amp;""[\w &amp;]*, (\d+\.\d+)"")),"""")
"),"")</f>
        <v/>
      </c>
      <c r="H263" s="3"/>
      <c r="I263" s="3" t="str">
        <f aca="false">IFERROR(__xludf.dummyfunction("if($T263&lt;&gt;"""",VALUE(REGEXEXTRACT(SUBSTITUTE ($T263,I$1&amp;"" CE"",""""), I$1&amp;""[\w &amp;]*, (\d+\.\d+)"")),"""")
"),"")</f>
        <v/>
      </c>
      <c r="J263" s="3" t="str">
        <f aca="false">IFERROR(__xludf.dummyfunction("if($T263&lt;&gt;"""",VALUE(REGEXEXTRACT($T263, J$1&amp;""[\w &amp;]*, (\d+\.\d+)"")),"""")
"),"")</f>
        <v/>
      </c>
      <c r="K263" s="3"/>
      <c r="L263" s="3" t="str">
        <f aca="false">IFERROR(__xludf.dummyfunction("if($T263&lt;&gt;"""",VALUE(REGEXEXTRACT(SUBSTITUTE ($T263,L$1&amp;"" CE"",""""), L$1&amp;""[\w &amp;]*, (\d+\.\d+)"")),"""")
"),"")</f>
        <v/>
      </c>
      <c r="M263" s="3" t="str">
        <f aca="false">IFERROR(__xludf.dummyfunction("if($T263&lt;&gt;"""",VALUE(REGEXEXTRACT($T263, M$1&amp;""[\w &amp;]*, (\d+\.\d+)"")),"""")
"),"")</f>
        <v/>
      </c>
      <c r="N263" s="3" t="str">
        <f aca="false">IFERROR(__xludf.dummyfunction("if($T263&lt;&gt;"""",VALUE(REGEXEXTRACT(SUBSTITUTE ($T263,N$1&amp;"" CE"",""""), N$1&amp;""[\w &amp;]*, (\d+\.\d+)"")),"""")
"),"")</f>
        <v/>
      </c>
      <c r="O263" s="3" t="str">
        <f aca="false">IFERROR(__xludf.dummyfunction("if($T263&lt;&gt;"""",VALUE(REGEXEXTRACT($T263, O$1&amp;""[\w &amp;]*, (\d+\.\d+)"")),"""")
"),"")</f>
        <v/>
      </c>
      <c r="P263" s="2"/>
      <c r="Q263" s="2"/>
      <c r="R263" s="2"/>
      <c r="S263" s="2"/>
      <c r="T263" s="5"/>
      <c r="U263" s="5"/>
    </row>
    <row r="264" customFormat="false" ht="15.75" hidden="false" customHeight="false" outlineLevel="0" collapsed="false">
      <c r="A264" s="4"/>
      <c r="B264" s="2"/>
      <c r="C264" s="2"/>
      <c r="D264" s="2"/>
      <c r="E264" s="2"/>
      <c r="F264" s="3" t="str">
        <f aca="false">IFERROR(__xludf.dummyfunction("if($T264&lt;&gt;"""",REGEXEXTRACT(SUBSTITUTE ($T264,F$1&amp;"" CE"",""""), F$1&amp;""[\w &amp;]*, (\d+\.\d+)""),"""")
"),"")</f>
        <v/>
      </c>
      <c r="G264" s="3" t="str">
        <f aca="false">IFERROR(__xludf.dummyfunction("if($T264&lt;&gt;"""",REGEXEXTRACT($T264, G$1&amp;""[\w &amp;]*, (\d+\.\d+)""),"""")
"),"")</f>
        <v/>
      </c>
      <c r="H264" s="3"/>
      <c r="I264" s="3" t="str">
        <f aca="false">IFERROR(__xludf.dummyfunction("if($T264&lt;&gt;"""",REGEXEXTRACT(SUBSTITUTE ($T264,I$1&amp;"" CE"",""""), I$1&amp;""[\w &amp;]*, (\d+\.\d+)""),"""")
"),"")</f>
        <v/>
      </c>
      <c r="J264" s="3" t="str">
        <f aca="false">IFERROR(__xludf.dummyfunction("if($T264&lt;&gt;"""",REGEXEXTRACT($T264, J$1&amp;""[\w &amp;]*, (\d+\.\d+)""),"""")
"),"")</f>
        <v/>
      </c>
      <c r="K264" s="3"/>
      <c r="L264" s="3" t="str">
        <f aca="false">IFERROR(__xludf.dummyfunction("if($T264&lt;&gt;"""",REGEXEXTRACT(SUBSTITUTE ($T264,L$1&amp;"" CE"",""""), L$1&amp;""[\w &amp;]*, (\d+\.\d+)""),"""")
"),"")</f>
        <v/>
      </c>
      <c r="M264" s="3" t="str">
        <f aca="false">IFERROR(__xludf.dummyfunction("if($T264&lt;&gt;"""",REGEXEXTRACT($T264, M$1&amp;""[\w &amp;]*, (\d+\.\d+)""),"""")
"),"")</f>
        <v/>
      </c>
      <c r="N264" s="3" t="str">
        <f aca="false">IFERROR(__xludf.dummyfunction("if($T264&lt;&gt;"""",REGEXEXTRACT(SUBSTITUTE ($T264,N$1&amp;"" CE"",""""), N$1&amp;""[\w &amp;]*, (\d+\.\d+)""),"""")
"),"")</f>
        <v/>
      </c>
      <c r="O264" s="3" t="str">
        <f aca="false">IFERROR(__xludf.dummyfunction("if($T264&lt;&gt;"""",REGEXEXTRACT($T264, O$1&amp;""[\w &amp;]*, (\d+\.\d+)""),"""")
"),"")</f>
        <v/>
      </c>
      <c r="P264" s="2"/>
      <c r="Q264" s="2"/>
      <c r="R264" s="2"/>
      <c r="S264" s="2"/>
      <c r="T264" s="5"/>
      <c r="U264" s="5"/>
    </row>
    <row r="265" customFormat="false" ht="15.75" hidden="false" customHeight="false" outlineLevel="0" collapsed="false">
      <c r="A265" s="4"/>
      <c r="B265" s="2"/>
      <c r="C265" s="2"/>
      <c r="D265" s="2"/>
      <c r="E265" s="2"/>
      <c r="F265" s="3" t="str">
        <f aca="false">IFERROR(__xludf.dummyfunction("if($T265&lt;&gt;"""",REGEXEXTRACT(SUBSTITUTE ($T265,F$1&amp;"" CE"",""""), F$1&amp;""[\w &amp;]*, (\d+\.\d+)""),"""")
"),"")</f>
        <v/>
      </c>
      <c r="G265" s="3" t="str">
        <f aca="false">IFERROR(__xludf.dummyfunction("if($T265&lt;&gt;"""",REGEXEXTRACT($T265, G$1&amp;""[\w &amp;]*, (\d+\.\d+)""),"""")
"),"")</f>
        <v/>
      </c>
      <c r="H265" s="3"/>
      <c r="I265" s="3" t="str">
        <f aca="false">IFERROR(__xludf.dummyfunction("if($T265&lt;&gt;"""",REGEXEXTRACT(SUBSTITUTE ($T265,I$1&amp;"" CE"",""""), I$1&amp;""[\w &amp;]*, (\d+\.\d+)""),"""")
"),"")</f>
        <v/>
      </c>
      <c r="J265" s="3" t="str">
        <f aca="false">IFERROR(__xludf.dummyfunction("if($T265&lt;&gt;"""",REGEXEXTRACT($T265, J$1&amp;""[\w &amp;]*, (\d+\.\d+)""),"""")
"),"")</f>
        <v/>
      </c>
      <c r="K265" s="3"/>
      <c r="L265" s="3" t="str">
        <f aca="false">IFERROR(__xludf.dummyfunction("if($T265&lt;&gt;"""",REGEXEXTRACT(SUBSTITUTE ($T265,L$1&amp;"" CE"",""""), L$1&amp;""[\w &amp;]*, (\d+\.\d+)""),"""")
"),"")</f>
        <v/>
      </c>
      <c r="M265" s="3" t="str">
        <f aca="false">IFERROR(__xludf.dummyfunction("if($T265&lt;&gt;"""",REGEXEXTRACT($T265, M$1&amp;""[\w &amp;]*, (\d+\.\d+)""),"""")
"),"")</f>
        <v/>
      </c>
      <c r="N265" s="3" t="str">
        <f aca="false">IFERROR(__xludf.dummyfunction("if($T265&lt;&gt;"""",REGEXEXTRACT(SUBSTITUTE ($T265,N$1&amp;"" CE"",""""), N$1&amp;""[\w &amp;]*, (\d+\.\d+)""),"""")
"),"")</f>
        <v/>
      </c>
      <c r="O265" s="3" t="str">
        <f aca="false">IFERROR(__xludf.dummyfunction("if($T265&lt;&gt;"""",REGEXEXTRACT($T265, O$1&amp;""[\w &amp;]*, (\d+\.\d+)""),"""")
"),"")</f>
        <v/>
      </c>
      <c r="P265" s="2"/>
      <c r="Q265" s="2"/>
      <c r="R265" s="2"/>
      <c r="S265" s="2"/>
      <c r="T265" s="5"/>
      <c r="U265" s="5"/>
    </row>
    <row r="266" customFormat="false" ht="15.75" hidden="false" customHeight="false" outlineLevel="0" collapsed="false">
      <c r="A266" s="4"/>
      <c r="B266" s="2"/>
      <c r="C266" s="2"/>
      <c r="D266" s="2"/>
      <c r="E266" s="2"/>
      <c r="F266" s="3" t="str">
        <f aca="false">IFERROR(__xludf.dummyfunction("if($T266&lt;&gt;"""",REGEXEXTRACT(SUBSTITUTE ($T266,F$1&amp;"" CE"",""""), F$1&amp;""[\w &amp;]*, (\d+\.\d+)""),"""")
"),"")</f>
        <v/>
      </c>
      <c r="G266" s="3" t="str">
        <f aca="false">IFERROR(__xludf.dummyfunction("if($T266&lt;&gt;"""",REGEXEXTRACT($T266, G$1&amp;""[\w &amp;]*, (\d+\.\d+)""),"""")
"),"")</f>
        <v/>
      </c>
      <c r="H266" s="3"/>
      <c r="I266" s="3" t="str">
        <f aca="false">IFERROR(__xludf.dummyfunction("if($T266&lt;&gt;"""",REGEXEXTRACT(SUBSTITUTE ($T266,I$1&amp;"" CE"",""""), I$1&amp;""[\w &amp;]*, (\d+\.\d+)""),"""")
"),"")</f>
        <v/>
      </c>
      <c r="J266" s="3" t="str">
        <f aca="false">IFERROR(__xludf.dummyfunction("if($T266&lt;&gt;"""",REGEXEXTRACT($T266, J$1&amp;""[\w &amp;]*, (\d+\.\d+)""),"""")
"),"")</f>
        <v/>
      </c>
      <c r="K266" s="3"/>
      <c r="L266" s="3" t="str">
        <f aca="false">IFERROR(__xludf.dummyfunction("if($T266&lt;&gt;"""",REGEXEXTRACT(SUBSTITUTE ($T266,L$1&amp;"" CE"",""""), L$1&amp;""[\w &amp;]*, (\d+\.\d+)""),"""")
"),"")</f>
        <v/>
      </c>
      <c r="M266" s="3" t="str">
        <f aca="false">IFERROR(__xludf.dummyfunction("if($T266&lt;&gt;"""",REGEXEXTRACT($T266, M$1&amp;""[\w &amp;]*, (\d+\.\d+)""),"""")
"),"")</f>
        <v/>
      </c>
      <c r="N266" s="3" t="str">
        <f aca="false">IFERROR(__xludf.dummyfunction("if($T266&lt;&gt;"""",REGEXEXTRACT(SUBSTITUTE ($T266,N$1&amp;"" CE"",""""), N$1&amp;""[\w &amp;]*, (\d+\.\d+)""),"""")
"),"")</f>
        <v/>
      </c>
      <c r="O266" s="3" t="str">
        <f aca="false">IFERROR(__xludf.dummyfunction("if($T266&lt;&gt;"""",REGEXEXTRACT($T266, O$1&amp;""[\w &amp;]*, (\d+\.\d+)""),"""")
"),"")</f>
        <v/>
      </c>
      <c r="P266" s="2"/>
      <c r="Q266" s="2"/>
      <c r="R266" s="2"/>
      <c r="S266" s="2"/>
      <c r="T266" s="5"/>
      <c r="U266" s="5"/>
    </row>
    <row r="267" customFormat="false" ht="15.75" hidden="false" customHeight="false" outlineLevel="0" collapsed="false">
      <c r="A267" s="4"/>
      <c r="B267" s="2"/>
      <c r="C267" s="2"/>
      <c r="D267" s="2"/>
      <c r="E267" s="2"/>
      <c r="F267" s="3" t="str">
        <f aca="false">IFERROR(__xludf.dummyfunction("if($T267&lt;&gt;"""",REGEXEXTRACT(SUBSTITUTE ($T267,F$1&amp;"" CE"",""""), F$1&amp;""[\w &amp;]*, (\d+\.\d+)""),"""")
"),"")</f>
        <v/>
      </c>
      <c r="G267" s="3" t="str">
        <f aca="false">IFERROR(__xludf.dummyfunction("if($T267&lt;&gt;"""",REGEXEXTRACT($T267, G$1&amp;""[\w &amp;]*, (\d+\.\d+)""),"""")
"),"")</f>
        <v/>
      </c>
      <c r="H267" s="3"/>
      <c r="I267" s="3" t="str">
        <f aca="false">IFERROR(__xludf.dummyfunction("if($T267&lt;&gt;"""",REGEXEXTRACT(SUBSTITUTE ($T267,I$1&amp;"" CE"",""""), I$1&amp;""[\w &amp;]*, (\d+\.\d+)""),"""")
"),"")</f>
        <v/>
      </c>
      <c r="J267" s="3" t="str">
        <f aca="false">IFERROR(__xludf.dummyfunction("if($T267&lt;&gt;"""",REGEXEXTRACT($T267, J$1&amp;""[\w &amp;]*, (\d+\.\d+)""),"""")
"),"")</f>
        <v/>
      </c>
      <c r="K267" s="3"/>
      <c r="L267" s="3" t="str">
        <f aca="false">IFERROR(__xludf.dummyfunction("if($T267&lt;&gt;"""",REGEXEXTRACT(SUBSTITUTE ($T267,L$1&amp;"" CE"",""""), L$1&amp;""[\w &amp;]*, (\d+\.\d+)""),"""")
"),"")</f>
        <v/>
      </c>
      <c r="M267" s="3" t="str">
        <f aca="false">IFERROR(__xludf.dummyfunction("if($T267&lt;&gt;"""",REGEXEXTRACT($T267, M$1&amp;""[\w &amp;]*, (\d+\.\d+)""),"""")
"),"")</f>
        <v/>
      </c>
      <c r="N267" s="3" t="str">
        <f aca="false">IFERROR(__xludf.dummyfunction("if($T267&lt;&gt;"""",REGEXEXTRACT(SUBSTITUTE ($T267,N$1&amp;"" CE"",""""), N$1&amp;""[\w &amp;]*, (\d+\.\d+)""),"""")
"),"")</f>
        <v/>
      </c>
      <c r="O267" s="3" t="str">
        <f aca="false">IFERROR(__xludf.dummyfunction("if($T267&lt;&gt;"""",REGEXEXTRACT($T267, O$1&amp;""[\w &amp;]*, (\d+\.\d+)""),"""")
"),"")</f>
        <v/>
      </c>
      <c r="P267" s="2"/>
      <c r="Q267" s="2"/>
      <c r="R267" s="2"/>
      <c r="S267" s="2"/>
      <c r="T267" s="5"/>
      <c r="U267" s="5"/>
    </row>
    <row r="268" customFormat="false" ht="15.75" hidden="false" customHeight="false" outlineLevel="0" collapsed="false">
      <c r="A268" s="4"/>
      <c r="B268" s="2"/>
      <c r="C268" s="2"/>
      <c r="D268" s="2"/>
      <c r="E268" s="2"/>
      <c r="F268" s="3" t="str">
        <f aca="false">IFERROR(__xludf.dummyfunction("if($T268&lt;&gt;"""",REGEXEXTRACT(SUBSTITUTE ($T268,F$1&amp;"" CE"",""""), F$1&amp;""[\w &amp;]*, (\d+\.\d+)""),"""")
"),"")</f>
        <v/>
      </c>
      <c r="G268" s="3" t="str">
        <f aca="false">IFERROR(__xludf.dummyfunction("if($T268&lt;&gt;"""",REGEXEXTRACT($T268, G$1&amp;""[\w &amp;]*, (\d+\.\d+)""),"""")
"),"")</f>
        <v/>
      </c>
      <c r="H268" s="3"/>
      <c r="I268" s="3" t="str">
        <f aca="false">IFERROR(__xludf.dummyfunction("if($T268&lt;&gt;"""",REGEXEXTRACT(SUBSTITUTE ($T268,I$1&amp;"" CE"",""""), I$1&amp;""[\w &amp;]*, (\d+\.\d+)""),"""")
"),"")</f>
        <v/>
      </c>
      <c r="J268" s="3" t="str">
        <f aca="false">IFERROR(__xludf.dummyfunction("if($T268&lt;&gt;"""",REGEXEXTRACT($T268, J$1&amp;""[\w &amp;]*, (\d+\.\d+)""),"""")
"),"")</f>
        <v/>
      </c>
      <c r="K268" s="3"/>
      <c r="L268" s="3" t="str">
        <f aca="false">IFERROR(__xludf.dummyfunction("if($T268&lt;&gt;"""",REGEXEXTRACT(SUBSTITUTE ($T268,L$1&amp;"" CE"",""""), L$1&amp;""[\w &amp;]*, (\d+\.\d+)""),"""")
"),"")</f>
        <v/>
      </c>
      <c r="M268" s="3" t="str">
        <f aca="false">IFERROR(__xludf.dummyfunction("if($T268&lt;&gt;"""",REGEXEXTRACT($T268, M$1&amp;""[\w &amp;]*, (\d+\.\d+)""),"""")
"),"")</f>
        <v/>
      </c>
      <c r="N268" s="3" t="str">
        <f aca="false">IFERROR(__xludf.dummyfunction("if($T268&lt;&gt;"""",REGEXEXTRACT(SUBSTITUTE ($T268,N$1&amp;"" CE"",""""), N$1&amp;""[\w &amp;]*, (\d+\.\d+)""),"""")
"),"")</f>
        <v/>
      </c>
      <c r="O268" s="3" t="str">
        <f aca="false">IFERROR(__xludf.dummyfunction("if($T268&lt;&gt;"""",REGEXEXTRACT($T268, O$1&amp;""[\w &amp;]*, (\d+\.\d+)""),"""")
"),"")</f>
        <v/>
      </c>
      <c r="P268" s="2"/>
      <c r="Q268" s="2"/>
      <c r="R268" s="2"/>
      <c r="S268" s="2"/>
      <c r="T268" s="5"/>
      <c r="U268" s="5"/>
    </row>
    <row r="269" customFormat="false" ht="15.75" hidden="false" customHeight="false" outlineLevel="0" collapsed="false">
      <c r="A269" s="4"/>
      <c r="B269" s="2"/>
      <c r="C269" s="2"/>
      <c r="D269" s="2"/>
      <c r="E269" s="2"/>
      <c r="F269" s="3" t="str">
        <f aca="false">IFERROR(__xludf.dummyfunction("if($T269&lt;&gt;"""",REGEXEXTRACT(SUBSTITUTE ($T269,F$1&amp;"" CE"",""""), F$1&amp;""[\w &amp;]*, (\d+\.\d+)""),"""")
"),"")</f>
        <v/>
      </c>
      <c r="G269" s="3" t="str">
        <f aca="false">IFERROR(__xludf.dummyfunction("if($T269&lt;&gt;"""",REGEXEXTRACT($T269, G$1&amp;""[\w &amp;]*, (\d+\.\d+)""),"""")
"),"")</f>
        <v/>
      </c>
      <c r="H269" s="3"/>
      <c r="I269" s="3" t="str">
        <f aca="false">IFERROR(__xludf.dummyfunction("if($T269&lt;&gt;"""",REGEXEXTRACT(SUBSTITUTE ($T269,I$1&amp;"" CE"",""""), I$1&amp;""[\w &amp;]*, (\d+\.\d+)""),"""")
"),"")</f>
        <v/>
      </c>
      <c r="J269" s="3" t="str">
        <f aca="false">IFERROR(__xludf.dummyfunction("if($T269&lt;&gt;"""",REGEXEXTRACT($T269, J$1&amp;""[\w &amp;]*, (\d+\.\d+)""),"""")
"),"")</f>
        <v/>
      </c>
      <c r="K269" s="3"/>
      <c r="L269" s="3" t="str">
        <f aca="false">IFERROR(__xludf.dummyfunction("if($T269&lt;&gt;"""",REGEXEXTRACT(SUBSTITUTE ($T269,L$1&amp;"" CE"",""""), L$1&amp;""[\w &amp;]*, (\d+\.\d+)""),"""")
"),"")</f>
        <v/>
      </c>
      <c r="M269" s="3" t="str">
        <f aca="false">IFERROR(__xludf.dummyfunction("if($T269&lt;&gt;"""",REGEXEXTRACT($T269, M$1&amp;""[\w &amp;]*, (\d+\.\d+)""),"""")
"),"")</f>
        <v/>
      </c>
      <c r="N269" s="3" t="str">
        <f aca="false">IFERROR(__xludf.dummyfunction("if($T269&lt;&gt;"""",REGEXEXTRACT(SUBSTITUTE ($T269,N$1&amp;"" CE"",""""), N$1&amp;""[\w &amp;]*, (\d+\.\d+)""),"""")
"),"")</f>
        <v/>
      </c>
      <c r="O269" s="3" t="str">
        <f aca="false">IFERROR(__xludf.dummyfunction("if($T269&lt;&gt;"""",REGEXEXTRACT($T269, O$1&amp;""[\w &amp;]*, (\d+\.\d+)""),"""")
"),"")</f>
        <v/>
      </c>
      <c r="P269" s="2"/>
      <c r="Q269" s="2"/>
      <c r="R269" s="2"/>
      <c r="S269" s="2"/>
      <c r="T269" s="5"/>
      <c r="U269" s="5"/>
    </row>
    <row r="270" customFormat="false" ht="15.75" hidden="false" customHeight="false" outlineLevel="0" collapsed="false">
      <c r="A270" s="4"/>
      <c r="B270" s="2"/>
      <c r="C270" s="2"/>
      <c r="D270" s="2"/>
      <c r="E270" s="2"/>
      <c r="F270" s="3" t="str">
        <f aca="false">IFERROR(__xludf.dummyfunction("if($T270&lt;&gt;"""",REGEXEXTRACT(SUBSTITUTE ($T270,F$1&amp;"" CE"",""""), F$1&amp;""[\w &amp;]*, (\d+\.\d+)""),"""")
"),"")</f>
        <v/>
      </c>
      <c r="G270" s="3" t="str">
        <f aca="false">IFERROR(__xludf.dummyfunction("if($T270&lt;&gt;"""",REGEXEXTRACT($T270, G$1&amp;""[\w &amp;]*, (\d+\.\d+)""),"""")
"),"")</f>
        <v/>
      </c>
      <c r="H270" s="3"/>
      <c r="I270" s="3" t="str">
        <f aca="false">IFERROR(__xludf.dummyfunction("if($T270&lt;&gt;"""",REGEXEXTRACT(SUBSTITUTE ($T270,I$1&amp;"" CE"",""""), I$1&amp;""[\w &amp;]*, (\d+\.\d+)""),"""")
"),"")</f>
        <v/>
      </c>
      <c r="J270" s="3" t="str">
        <f aca="false">IFERROR(__xludf.dummyfunction("if($T270&lt;&gt;"""",REGEXEXTRACT($T270, J$1&amp;""[\w &amp;]*, (\d+\.\d+)""),"""")
"),"")</f>
        <v/>
      </c>
      <c r="K270" s="3"/>
      <c r="L270" s="3" t="str">
        <f aca="false">IFERROR(__xludf.dummyfunction("if($T270&lt;&gt;"""",REGEXEXTRACT(SUBSTITUTE ($T270,L$1&amp;"" CE"",""""), L$1&amp;""[\w &amp;]*, (\d+\.\d+)""),"""")
"),"")</f>
        <v/>
      </c>
      <c r="M270" s="3" t="str">
        <f aca="false">IFERROR(__xludf.dummyfunction("if($T270&lt;&gt;"""",REGEXEXTRACT($T270, M$1&amp;""[\w &amp;]*, (\d+\.\d+)""),"""")
"),"")</f>
        <v/>
      </c>
      <c r="N270" s="3" t="str">
        <f aca="false">IFERROR(__xludf.dummyfunction("if($T270&lt;&gt;"""",REGEXEXTRACT(SUBSTITUTE ($T270,N$1&amp;"" CE"",""""), N$1&amp;""[\w &amp;]*, (\d+\.\d+)""),"""")
"),"")</f>
        <v/>
      </c>
      <c r="O270" s="3" t="str">
        <f aca="false">IFERROR(__xludf.dummyfunction("if($T270&lt;&gt;"""",REGEXEXTRACT($T270, O$1&amp;""[\w &amp;]*, (\d+\.\d+)""),"""")
"),"")</f>
        <v/>
      </c>
      <c r="P270" s="2"/>
      <c r="Q270" s="2"/>
      <c r="R270" s="2"/>
      <c r="S270" s="2"/>
      <c r="T270" s="5"/>
      <c r="U270" s="5"/>
    </row>
    <row r="271" customFormat="false" ht="15.75" hidden="false" customHeight="false" outlineLevel="0" collapsed="false">
      <c r="A271" s="4"/>
      <c r="B271" s="2"/>
      <c r="C271" s="2"/>
      <c r="D271" s="2"/>
      <c r="E271" s="2"/>
      <c r="F271" s="3" t="str">
        <f aca="false">IFERROR(__xludf.dummyfunction("if($T271&lt;&gt;"""",REGEXEXTRACT(SUBSTITUTE ($T271,F$1&amp;"" CE"",""""), F$1&amp;""[\w &amp;]*, (\d+\.\d+)""),"""")
"),"")</f>
        <v/>
      </c>
      <c r="G271" s="3" t="str">
        <f aca="false">IFERROR(__xludf.dummyfunction("if($T271&lt;&gt;"""",REGEXEXTRACT($T271, G$1&amp;""[\w &amp;]*, (\d+\.\d+)""),"""")
"),"")</f>
        <v/>
      </c>
      <c r="H271" s="3"/>
      <c r="I271" s="3" t="str">
        <f aca="false">IFERROR(__xludf.dummyfunction("if($T271&lt;&gt;"""",REGEXEXTRACT(SUBSTITUTE ($T271,I$1&amp;"" CE"",""""), I$1&amp;""[\w &amp;]*, (\d+\.\d+)""),"""")
"),"")</f>
        <v/>
      </c>
      <c r="J271" s="3" t="str">
        <f aca="false">IFERROR(__xludf.dummyfunction("if($T271&lt;&gt;"""",REGEXEXTRACT($T271, J$1&amp;""[\w &amp;]*, (\d+\.\d+)""),"""")
"),"")</f>
        <v/>
      </c>
      <c r="K271" s="3"/>
      <c r="L271" s="3" t="str">
        <f aca="false">IFERROR(__xludf.dummyfunction("if($T271&lt;&gt;"""",REGEXEXTRACT(SUBSTITUTE ($T271,L$1&amp;"" CE"",""""), L$1&amp;""[\w &amp;]*, (\d+\.\d+)""),"""")
"),"")</f>
        <v/>
      </c>
      <c r="M271" s="3" t="str">
        <f aca="false">IFERROR(__xludf.dummyfunction("if($T271&lt;&gt;"""",REGEXEXTRACT($T271, M$1&amp;""[\w &amp;]*, (\d+\.\d+)""),"""")
"),"")</f>
        <v/>
      </c>
      <c r="N271" s="3" t="str">
        <f aca="false">IFERROR(__xludf.dummyfunction("if($T271&lt;&gt;"""",REGEXEXTRACT(SUBSTITUTE ($T271,N$1&amp;"" CE"",""""), N$1&amp;""[\w &amp;]*, (\d+\.\d+)""),"""")
"),"")</f>
        <v/>
      </c>
      <c r="O271" s="3" t="str">
        <f aca="false">IFERROR(__xludf.dummyfunction("if($T271&lt;&gt;"""",REGEXEXTRACT($T271, O$1&amp;""[\w &amp;]*, (\d+\.\d+)""),"""")
"),"")</f>
        <v/>
      </c>
      <c r="P271" s="2"/>
      <c r="Q271" s="2"/>
      <c r="R271" s="2"/>
      <c r="S271" s="2"/>
      <c r="T271" s="5"/>
      <c r="U271" s="5"/>
    </row>
    <row r="272" customFormat="false" ht="15.75" hidden="false" customHeight="false" outlineLevel="0" collapsed="false">
      <c r="A272" s="4"/>
      <c r="B272" s="2"/>
      <c r="C272" s="2"/>
      <c r="D272" s="2"/>
      <c r="E272" s="2"/>
      <c r="F272" s="3" t="str">
        <f aca="false">IFERROR(__xludf.dummyfunction("if($T272&lt;&gt;"""",REGEXEXTRACT(SUBSTITUTE ($T272,F$1&amp;"" CE"",""""), F$1&amp;""[\w &amp;]*, (\d+\.\d+)""),"""")
"),"")</f>
        <v/>
      </c>
      <c r="G272" s="3" t="str">
        <f aca="false">IFERROR(__xludf.dummyfunction("if($T272&lt;&gt;"""",REGEXEXTRACT($T272, G$1&amp;""[\w &amp;]*, (\d+\.\d+)""),"""")
"),"")</f>
        <v/>
      </c>
      <c r="H272" s="3"/>
      <c r="I272" s="3" t="str">
        <f aca="false">IFERROR(__xludf.dummyfunction("if($T272&lt;&gt;"""",REGEXEXTRACT(SUBSTITUTE ($T272,I$1&amp;"" CE"",""""), I$1&amp;""[\w &amp;]*, (\d+\.\d+)""),"""")
"),"")</f>
        <v/>
      </c>
      <c r="J272" s="3" t="str">
        <f aca="false">IFERROR(__xludf.dummyfunction("if($T272&lt;&gt;"""",REGEXEXTRACT($T272, J$1&amp;""[\w &amp;]*, (\d+\.\d+)""),"""")
"),"")</f>
        <v/>
      </c>
      <c r="K272" s="3"/>
      <c r="L272" s="3" t="str">
        <f aca="false">IFERROR(__xludf.dummyfunction("if($T272&lt;&gt;"""",REGEXEXTRACT(SUBSTITUTE ($T272,L$1&amp;"" CE"",""""), L$1&amp;""[\w &amp;]*, (\d+\.\d+)""),"""")
"),"")</f>
        <v/>
      </c>
      <c r="M272" s="3" t="str">
        <f aca="false">IFERROR(__xludf.dummyfunction("if($T272&lt;&gt;"""",REGEXEXTRACT($T272, M$1&amp;""[\w &amp;]*, (\d+\.\d+)""),"""")
"),"")</f>
        <v/>
      </c>
      <c r="N272" s="3" t="str">
        <f aca="false">IFERROR(__xludf.dummyfunction("if($T272&lt;&gt;"""",REGEXEXTRACT(SUBSTITUTE ($T272,N$1&amp;"" CE"",""""), N$1&amp;""[\w &amp;]*, (\d+\.\d+)""),"""")
"),"")</f>
        <v/>
      </c>
      <c r="O272" s="3" t="str">
        <f aca="false">IFERROR(__xludf.dummyfunction("if($T272&lt;&gt;"""",REGEXEXTRACT($T272, O$1&amp;""[\w &amp;]*, (\d+\.\d+)""),"""")
"),"")</f>
        <v/>
      </c>
      <c r="P272" s="2"/>
      <c r="Q272" s="2"/>
      <c r="R272" s="2"/>
      <c r="S272" s="2"/>
      <c r="T272" s="5"/>
      <c r="U272" s="5"/>
    </row>
    <row r="273" customFormat="false" ht="15.75" hidden="false" customHeight="false" outlineLevel="0" collapsed="false">
      <c r="A273" s="4"/>
      <c r="B273" s="2"/>
      <c r="C273" s="2"/>
      <c r="D273" s="2"/>
      <c r="E273" s="2"/>
      <c r="F273" s="3" t="str">
        <f aca="false">IFERROR(__xludf.dummyfunction("if($T273&lt;&gt;"""",REGEXEXTRACT(SUBSTITUTE ($T273,F$1&amp;"" CE"",""""), F$1&amp;""[\w &amp;]*, (\d+\.\d+)""),"""")
"),"")</f>
        <v/>
      </c>
      <c r="G273" s="3" t="str">
        <f aca="false">IFERROR(__xludf.dummyfunction("if($T273&lt;&gt;"""",REGEXEXTRACT($T273, G$1&amp;""[\w &amp;]*, (\d+\.\d+)""),"""")
"),"")</f>
        <v/>
      </c>
      <c r="H273" s="3"/>
      <c r="I273" s="3" t="str">
        <f aca="false">IFERROR(__xludf.dummyfunction("if($T273&lt;&gt;"""",REGEXEXTRACT(SUBSTITUTE ($T273,I$1&amp;"" CE"",""""), I$1&amp;""[\w &amp;]*, (\d+\.\d+)""),"""")
"),"")</f>
        <v/>
      </c>
      <c r="J273" s="3" t="str">
        <f aca="false">IFERROR(__xludf.dummyfunction("if($T273&lt;&gt;"""",REGEXEXTRACT($T273, J$1&amp;""[\w &amp;]*, (\d+\.\d+)""),"""")
"),"")</f>
        <v/>
      </c>
      <c r="K273" s="3"/>
      <c r="L273" s="3" t="str">
        <f aca="false">IFERROR(__xludf.dummyfunction("if($T273&lt;&gt;"""",REGEXEXTRACT(SUBSTITUTE ($T273,L$1&amp;"" CE"",""""), L$1&amp;""[\w &amp;]*, (\d+\.\d+)""),"""")
"),"")</f>
        <v/>
      </c>
      <c r="M273" s="3" t="str">
        <f aca="false">IFERROR(__xludf.dummyfunction("if($T273&lt;&gt;"""",REGEXEXTRACT($T273, M$1&amp;""[\w &amp;]*, (\d+\.\d+)""),"""")
"),"")</f>
        <v/>
      </c>
      <c r="N273" s="3" t="str">
        <f aca="false">IFERROR(__xludf.dummyfunction("if($T273&lt;&gt;"""",REGEXEXTRACT(SUBSTITUTE ($T273,N$1&amp;"" CE"",""""), N$1&amp;""[\w &amp;]*, (\d+\.\d+)""),"""")
"),"")</f>
        <v/>
      </c>
      <c r="O273" s="3" t="str">
        <f aca="false">IFERROR(__xludf.dummyfunction("if($T273&lt;&gt;"""",REGEXEXTRACT($T273, O$1&amp;""[\w &amp;]*, (\d+\.\d+)""),"""")
"),"")</f>
        <v/>
      </c>
      <c r="P273" s="2"/>
      <c r="Q273" s="2"/>
      <c r="R273" s="2"/>
      <c r="S273" s="2"/>
      <c r="T273" s="5"/>
      <c r="U273" s="5"/>
    </row>
    <row r="274" customFormat="false" ht="15.75" hidden="false" customHeight="false" outlineLevel="0" collapsed="false">
      <c r="A274" s="4"/>
      <c r="B274" s="2"/>
      <c r="C274" s="2"/>
      <c r="D274" s="2"/>
      <c r="E274" s="2"/>
      <c r="F274" s="3" t="str">
        <f aca="false">IFERROR(__xludf.dummyfunction("if($T274&lt;&gt;"""",REGEXEXTRACT(SUBSTITUTE ($T274,F$1&amp;"" CE"",""""), F$1&amp;""[\w &amp;]*, (\d+\.\d+)""),"""")
"),"")</f>
        <v/>
      </c>
      <c r="G274" s="3" t="str">
        <f aca="false">IFERROR(__xludf.dummyfunction("if($T274&lt;&gt;"""",REGEXEXTRACT($T274, G$1&amp;""[\w &amp;]*, (\d+\.\d+)""),"""")
"),"")</f>
        <v/>
      </c>
      <c r="H274" s="3"/>
      <c r="I274" s="3" t="str">
        <f aca="false">IFERROR(__xludf.dummyfunction("if($T274&lt;&gt;"""",REGEXEXTRACT(SUBSTITUTE ($T274,I$1&amp;"" CE"",""""), I$1&amp;""[\w &amp;]*, (\d+\.\d+)""),"""")
"),"")</f>
        <v/>
      </c>
      <c r="J274" s="3" t="str">
        <f aca="false">IFERROR(__xludf.dummyfunction("if($T274&lt;&gt;"""",REGEXEXTRACT($T274, J$1&amp;""[\w &amp;]*, (\d+\.\d+)""),"""")
"),"")</f>
        <v/>
      </c>
      <c r="K274" s="3"/>
      <c r="L274" s="3" t="str">
        <f aca="false">IFERROR(__xludf.dummyfunction("if($T274&lt;&gt;"""",REGEXEXTRACT(SUBSTITUTE ($T274,L$1&amp;"" CE"",""""), L$1&amp;""[\w &amp;]*, (\d+\.\d+)""),"""")
"),"")</f>
        <v/>
      </c>
      <c r="M274" s="3" t="str">
        <f aca="false">IFERROR(__xludf.dummyfunction("if($T274&lt;&gt;"""",REGEXEXTRACT($T274, M$1&amp;""[\w &amp;]*, (\d+\.\d+)""),"""")
"),"")</f>
        <v/>
      </c>
      <c r="N274" s="3" t="str">
        <f aca="false">IFERROR(__xludf.dummyfunction("if($T274&lt;&gt;"""",REGEXEXTRACT(SUBSTITUTE ($T274,N$1&amp;"" CE"",""""), N$1&amp;""[\w &amp;]*, (\d+\.\d+)""),"""")
"),"")</f>
        <v/>
      </c>
      <c r="O274" s="3" t="str">
        <f aca="false">IFERROR(__xludf.dummyfunction("if($T274&lt;&gt;"""",REGEXEXTRACT($T274, O$1&amp;""[\w &amp;]*, (\d+\.\d+)""),"""")
"),"")</f>
        <v/>
      </c>
      <c r="P274" s="2"/>
      <c r="Q274" s="2"/>
      <c r="R274" s="2"/>
      <c r="S274" s="2"/>
      <c r="T274" s="5"/>
      <c r="U274" s="5"/>
    </row>
    <row r="275" customFormat="false" ht="15.75" hidden="false" customHeight="false" outlineLevel="0" collapsed="false">
      <c r="A275" s="4"/>
      <c r="B275" s="2"/>
      <c r="C275" s="2"/>
      <c r="D275" s="2"/>
      <c r="E275" s="2"/>
      <c r="F275" s="3" t="str">
        <f aca="false">IFERROR(__xludf.dummyfunction("if($T275&lt;&gt;"""",REGEXEXTRACT(SUBSTITUTE ($T275,F$1&amp;"" CE"",""""), F$1&amp;""[\w &amp;]*, (\d+\.\d+)""),"""")
"),"")</f>
        <v/>
      </c>
      <c r="G275" s="3" t="str">
        <f aca="false">IFERROR(__xludf.dummyfunction("if($T275&lt;&gt;"""",REGEXEXTRACT($T275, G$1&amp;""[\w &amp;]*, (\d+\.\d+)""),"""")
"),"")</f>
        <v/>
      </c>
      <c r="H275" s="3"/>
      <c r="I275" s="3" t="str">
        <f aca="false">IFERROR(__xludf.dummyfunction("if($T275&lt;&gt;"""",REGEXEXTRACT(SUBSTITUTE ($T275,I$1&amp;"" CE"",""""), I$1&amp;""[\w &amp;]*, (\d+\.\d+)""),"""")
"),"")</f>
        <v/>
      </c>
      <c r="J275" s="3" t="str">
        <f aca="false">IFERROR(__xludf.dummyfunction("if($T275&lt;&gt;"""",REGEXEXTRACT($T275, J$1&amp;""[\w &amp;]*, (\d+\.\d+)""),"""")
"),"")</f>
        <v/>
      </c>
      <c r="K275" s="3"/>
      <c r="L275" s="3" t="str">
        <f aca="false">IFERROR(__xludf.dummyfunction("if($T275&lt;&gt;"""",REGEXEXTRACT(SUBSTITUTE ($T275,L$1&amp;"" CE"",""""), L$1&amp;""[\w &amp;]*, (\d+\.\d+)""),"""")
"),"")</f>
        <v/>
      </c>
      <c r="M275" s="3" t="str">
        <f aca="false">IFERROR(__xludf.dummyfunction("if($T275&lt;&gt;"""",REGEXEXTRACT($T275, M$1&amp;""[\w &amp;]*, (\d+\.\d+)""),"""")
"),"")</f>
        <v/>
      </c>
      <c r="N275" s="3" t="str">
        <f aca="false">IFERROR(__xludf.dummyfunction("if($T275&lt;&gt;"""",REGEXEXTRACT(SUBSTITUTE ($T275,N$1&amp;"" CE"",""""), N$1&amp;""[\w &amp;]*, (\d+\.\d+)""),"""")
"),"")</f>
        <v/>
      </c>
      <c r="O275" s="3" t="str">
        <f aca="false">IFERROR(__xludf.dummyfunction("if($T275&lt;&gt;"""",REGEXEXTRACT($T275, O$1&amp;""[\w &amp;]*, (\d+\.\d+)""),"""")
"),"")</f>
        <v/>
      </c>
      <c r="P275" s="2"/>
      <c r="Q275" s="2"/>
      <c r="R275" s="2"/>
      <c r="S275" s="2"/>
      <c r="T275" s="5"/>
      <c r="U275" s="5"/>
    </row>
    <row r="276" customFormat="false" ht="15.75" hidden="false" customHeight="false" outlineLevel="0" collapsed="false">
      <c r="A276" s="4"/>
      <c r="B276" s="2"/>
      <c r="C276" s="2"/>
      <c r="D276" s="2"/>
      <c r="E276" s="2"/>
      <c r="F276" s="3" t="str">
        <f aca="false">IFERROR(__xludf.dummyfunction("if($T276&lt;&gt;"""",REGEXEXTRACT(SUBSTITUTE ($T276,F$1&amp;"" CE"",""""), F$1&amp;""[\w &amp;]*, (\d+\.\d+)""),"""")
"),"")</f>
        <v/>
      </c>
      <c r="G276" s="3" t="str">
        <f aca="false">IFERROR(__xludf.dummyfunction("if($T276&lt;&gt;"""",REGEXEXTRACT($T276, G$1&amp;""[\w &amp;]*, (\d+\.\d+)""),"""")
"),"")</f>
        <v/>
      </c>
      <c r="H276" s="3"/>
      <c r="I276" s="3" t="str">
        <f aca="false">IFERROR(__xludf.dummyfunction("if($T276&lt;&gt;"""",REGEXEXTRACT(SUBSTITUTE ($T276,I$1&amp;"" CE"",""""), I$1&amp;""[\w &amp;]*, (\d+\.\d+)""),"""")
"),"")</f>
        <v/>
      </c>
      <c r="J276" s="3" t="str">
        <f aca="false">IFERROR(__xludf.dummyfunction("if($T276&lt;&gt;"""",REGEXEXTRACT($T276, J$1&amp;""[\w &amp;]*, (\d+\.\d+)""),"""")
"),"")</f>
        <v/>
      </c>
      <c r="K276" s="3"/>
      <c r="L276" s="3" t="str">
        <f aca="false">IFERROR(__xludf.dummyfunction("if($T276&lt;&gt;"""",REGEXEXTRACT(SUBSTITUTE ($T276,L$1&amp;"" CE"",""""), L$1&amp;""[\w &amp;]*, (\d+\.\d+)""),"""")
"),"")</f>
        <v/>
      </c>
      <c r="M276" s="3" t="str">
        <f aca="false">IFERROR(__xludf.dummyfunction("if($T276&lt;&gt;"""",REGEXEXTRACT($T276, M$1&amp;""[\w &amp;]*, (\d+\.\d+)""),"""")
"),"")</f>
        <v/>
      </c>
      <c r="N276" s="3" t="str">
        <f aca="false">IFERROR(__xludf.dummyfunction("if($T276&lt;&gt;"""",REGEXEXTRACT(SUBSTITUTE ($T276,N$1&amp;"" CE"",""""), N$1&amp;""[\w &amp;]*, (\d+\.\d+)""),"""")
"),"")</f>
        <v/>
      </c>
      <c r="O276" s="3" t="str">
        <f aca="false">IFERROR(__xludf.dummyfunction("if($T276&lt;&gt;"""",REGEXEXTRACT($T276, O$1&amp;""[\w &amp;]*, (\d+\.\d+)""),"""")
"),"")</f>
        <v/>
      </c>
      <c r="P276" s="2"/>
      <c r="Q276" s="2"/>
      <c r="R276" s="2"/>
      <c r="S276" s="2"/>
      <c r="T276" s="5"/>
      <c r="U276" s="5"/>
    </row>
    <row r="277" customFormat="false" ht="15.75" hidden="false" customHeight="false" outlineLevel="0" collapsed="false">
      <c r="A277" s="4"/>
      <c r="B277" s="2"/>
      <c r="C277" s="2"/>
      <c r="D277" s="2"/>
      <c r="E277" s="2"/>
      <c r="F277" s="3" t="str">
        <f aca="false">IFERROR(__xludf.dummyfunction("if($T277&lt;&gt;"""",REGEXEXTRACT(SUBSTITUTE ($T277,F$1&amp;"" CE"",""""), F$1&amp;""[\w &amp;]*, (\d+\.\d+)""),"""")
"),"")</f>
        <v/>
      </c>
      <c r="G277" s="3" t="str">
        <f aca="false">IFERROR(__xludf.dummyfunction("if($T277&lt;&gt;"""",REGEXEXTRACT($T277, G$1&amp;""[\w &amp;]*, (\d+\.\d+)""),"""")
"),"")</f>
        <v/>
      </c>
      <c r="H277" s="3"/>
      <c r="I277" s="3" t="str">
        <f aca="false">IFERROR(__xludf.dummyfunction("if($T277&lt;&gt;"""",REGEXEXTRACT(SUBSTITUTE ($T277,I$1&amp;"" CE"",""""), I$1&amp;""[\w &amp;]*, (\d+\.\d+)""),"""")
"),"")</f>
        <v/>
      </c>
      <c r="J277" s="3" t="str">
        <f aca="false">IFERROR(__xludf.dummyfunction("if($T277&lt;&gt;"""",REGEXEXTRACT($T277, J$1&amp;""[\w &amp;]*, (\d+\.\d+)""),"""")
"),"")</f>
        <v/>
      </c>
      <c r="K277" s="3"/>
      <c r="L277" s="3" t="str">
        <f aca="false">IFERROR(__xludf.dummyfunction("if($T277&lt;&gt;"""",REGEXEXTRACT(SUBSTITUTE ($T277,L$1&amp;"" CE"",""""), L$1&amp;""[\w &amp;]*, (\d+\.\d+)""),"""")
"),"")</f>
        <v/>
      </c>
      <c r="M277" s="3" t="str">
        <f aca="false">IFERROR(__xludf.dummyfunction("if($T277&lt;&gt;"""",REGEXEXTRACT($T277, M$1&amp;""[\w &amp;]*, (\d+\.\d+)""),"""")
"),"")</f>
        <v/>
      </c>
      <c r="N277" s="3" t="str">
        <f aca="false">IFERROR(__xludf.dummyfunction("if($T277&lt;&gt;"""",REGEXEXTRACT(SUBSTITUTE ($T277,N$1&amp;"" CE"",""""), N$1&amp;""[\w &amp;]*, (\d+\.\d+)""),"""")
"),"")</f>
        <v/>
      </c>
      <c r="O277" s="3" t="str">
        <f aca="false">IFERROR(__xludf.dummyfunction("if($T277&lt;&gt;"""",REGEXEXTRACT($T277, O$1&amp;""[\w &amp;]*, (\d+\.\d+)""),"""")
"),"")</f>
        <v/>
      </c>
      <c r="P277" s="2"/>
      <c r="Q277" s="2"/>
      <c r="R277" s="2"/>
      <c r="S277" s="2"/>
      <c r="T277" s="5"/>
      <c r="U277" s="5"/>
    </row>
    <row r="278" customFormat="false" ht="15.75" hidden="false" customHeight="false" outlineLevel="0" collapsed="false">
      <c r="A278" s="4"/>
      <c r="B278" s="2"/>
      <c r="C278" s="2"/>
      <c r="D278" s="2"/>
      <c r="E278" s="2"/>
      <c r="F278" s="3" t="str">
        <f aca="false">IFERROR(__xludf.dummyfunction("if($T278&lt;&gt;"""",REGEXEXTRACT(SUBSTITUTE ($T278,F$1&amp;"" CE"",""""), F$1&amp;""[\w &amp;]*, (\d+\.\d+)""),"""")
"),"")</f>
        <v/>
      </c>
      <c r="G278" s="3" t="str">
        <f aca="false">IFERROR(__xludf.dummyfunction("if($T278&lt;&gt;"""",REGEXEXTRACT($T278, G$1&amp;""[\w &amp;]*, (\d+\.\d+)""),"""")
"),"")</f>
        <v/>
      </c>
      <c r="H278" s="3"/>
      <c r="I278" s="3" t="str">
        <f aca="false">IFERROR(__xludf.dummyfunction("if($T278&lt;&gt;"""",REGEXEXTRACT(SUBSTITUTE ($T278,I$1&amp;"" CE"",""""), I$1&amp;""[\w &amp;]*, (\d+\.\d+)""),"""")
"),"")</f>
        <v/>
      </c>
      <c r="J278" s="3" t="str">
        <f aca="false">IFERROR(__xludf.dummyfunction("if($T278&lt;&gt;"""",REGEXEXTRACT($T278, J$1&amp;""[\w &amp;]*, (\d+\.\d+)""),"""")
"),"")</f>
        <v/>
      </c>
      <c r="K278" s="3"/>
      <c r="L278" s="3" t="str">
        <f aca="false">IFERROR(__xludf.dummyfunction("if($T278&lt;&gt;"""",REGEXEXTRACT(SUBSTITUTE ($T278,L$1&amp;"" CE"",""""), L$1&amp;""[\w &amp;]*, (\d+\.\d+)""),"""")
"),"")</f>
        <v/>
      </c>
      <c r="M278" s="3" t="str">
        <f aca="false">IFERROR(__xludf.dummyfunction("if($T278&lt;&gt;"""",REGEXEXTRACT($T278, M$1&amp;""[\w &amp;]*, (\d+\.\d+)""),"""")
"),"")</f>
        <v/>
      </c>
      <c r="N278" s="3" t="str">
        <f aca="false">IFERROR(__xludf.dummyfunction("if($T278&lt;&gt;"""",REGEXEXTRACT(SUBSTITUTE ($T278,N$1&amp;"" CE"",""""), N$1&amp;""[\w &amp;]*, (\d+\.\d+)""),"""")
"),"")</f>
        <v/>
      </c>
      <c r="O278" s="3" t="str">
        <f aca="false">IFERROR(__xludf.dummyfunction("if($T278&lt;&gt;"""",REGEXEXTRACT($T278, O$1&amp;""[\w &amp;]*, (\d+\.\d+)""),"""")
"),"")</f>
        <v/>
      </c>
      <c r="P278" s="2"/>
      <c r="Q278" s="2"/>
      <c r="R278" s="2"/>
      <c r="S278" s="2"/>
      <c r="T278" s="5"/>
      <c r="U278" s="5"/>
    </row>
    <row r="279" customFormat="false" ht="15.75" hidden="false" customHeight="false" outlineLevel="0" collapsed="false">
      <c r="A279" s="4"/>
      <c r="B279" s="2"/>
      <c r="C279" s="2"/>
      <c r="D279" s="2"/>
      <c r="E279" s="2"/>
      <c r="F279" s="3" t="str">
        <f aca="false">IFERROR(__xludf.dummyfunction("if($T279&lt;&gt;"""",REGEXEXTRACT(SUBSTITUTE ($T279,F$1&amp;"" CE"",""""), F$1&amp;""[\w &amp;]*, (\d+\.\d+)""),"""")
"),"")</f>
        <v/>
      </c>
      <c r="G279" s="3" t="str">
        <f aca="false">IFERROR(__xludf.dummyfunction("if($T279&lt;&gt;"""",REGEXEXTRACT($T279, G$1&amp;""[\w &amp;]*, (\d+\.\d+)""),"""")
"),"")</f>
        <v/>
      </c>
      <c r="H279" s="3"/>
      <c r="I279" s="3" t="str">
        <f aca="false">IFERROR(__xludf.dummyfunction("if($T279&lt;&gt;"""",REGEXEXTRACT(SUBSTITUTE ($T279,I$1&amp;"" CE"",""""), I$1&amp;""[\w &amp;]*, (\d+\.\d+)""),"""")
"),"")</f>
        <v/>
      </c>
      <c r="J279" s="3" t="str">
        <f aca="false">IFERROR(__xludf.dummyfunction("if($T279&lt;&gt;"""",REGEXEXTRACT($T279, J$1&amp;""[\w &amp;]*, (\d+\.\d+)""),"""")
"),"")</f>
        <v/>
      </c>
      <c r="K279" s="3"/>
      <c r="L279" s="3" t="str">
        <f aca="false">IFERROR(__xludf.dummyfunction("if($T279&lt;&gt;"""",REGEXEXTRACT(SUBSTITUTE ($T279,L$1&amp;"" CE"",""""), L$1&amp;""[\w &amp;]*, (\d+\.\d+)""),"""")
"),"")</f>
        <v/>
      </c>
      <c r="M279" s="3" t="str">
        <f aca="false">IFERROR(__xludf.dummyfunction("if($T279&lt;&gt;"""",REGEXEXTRACT($T279, M$1&amp;""[\w &amp;]*, (\d+\.\d+)""),"""")
"),"")</f>
        <v/>
      </c>
      <c r="N279" s="3" t="str">
        <f aca="false">IFERROR(__xludf.dummyfunction("if($T279&lt;&gt;"""",REGEXEXTRACT(SUBSTITUTE ($T279,N$1&amp;"" CE"",""""), N$1&amp;""[\w &amp;]*, (\d+\.\d+)""),"""")
"),"")</f>
        <v/>
      </c>
      <c r="O279" s="3" t="str">
        <f aca="false">IFERROR(__xludf.dummyfunction("if($T279&lt;&gt;"""",REGEXEXTRACT($T279, O$1&amp;""[\w &amp;]*, (\d+\.\d+)""),"""")
"),"")</f>
        <v/>
      </c>
      <c r="P279" s="2"/>
      <c r="Q279" s="2"/>
      <c r="R279" s="2"/>
      <c r="S279" s="2"/>
      <c r="T279" s="5"/>
      <c r="U279" s="5"/>
    </row>
    <row r="280" customFormat="false" ht="15.75" hidden="false" customHeight="false" outlineLevel="0" collapsed="false">
      <c r="A280" s="4"/>
      <c r="B280" s="2"/>
      <c r="C280" s="2"/>
      <c r="D280" s="2"/>
      <c r="E280" s="2"/>
      <c r="F280" s="3" t="str">
        <f aca="false">IFERROR(__xludf.dummyfunction("if($T280&lt;&gt;"""",REGEXEXTRACT(SUBSTITUTE ($T280,F$1&amp;"" CE"",""""), F$1&amp;""[\w &amp;]*, (\d+\.\d+)""),"""")
"),"")</f>
        <v/>
      </c>
      <c r="G280" s="3" t="str">
        <f aca="false">IFERROR(__xludf.dummyfunction("if($T280&lt;&gt;"""",REGEXEXTRACT($T280, G$1&amp;""[\w &amp;]*, (\d+\.\d+)""),"""")
"),"")</f>
        <v/>
      </c>
      <c r="H280" s="3"/>
      <c r="I280" s="3" t="str">
        <f aca="false">IFERROR(__xludf.dummyfunction("if($T280&lt;&gt;"""",REGEXEXTRACT(SUBSTITUTE ($T280,I$1&amp;"" CE"",""""), I$1&amp;""[\w &amp;]*, (\d+\.\d+)""),"""")
"),"")</f>
        <v/>
      </c>
      <c r="J280" s="3" t="str">
        <f aca="false">IFERROR(__xludf.dummyfunction("if($T280&lt;&gt;"""",REGEXEXTRACT($T280, J$1&amp;""[\w &amp;]*, (\d+\.\d+)""),"""")
"),"")</f>
        <v/>
      </c>
      <c r="K280" s="3"/>
      <c r="L280" s="3" t="str">
        <f aca="false">IFERROR(__xludf.dummyfunction("if($T280&lt;&gt;"""",REGEXEXTRACT(SUBSTITUTE ($T280,L$1&amp;"" CE"",""""), L$1&amp;""[\w &amp;]*, (\d+\.\d+)""),"""")
"),"")</f>
        <v/>
      </c>
      <c r="M280" s="3" t="str">
        <f aca="false">IFERROR(__xludf.dummyfunction("if($T280&lt;&gt;"""",REGEXEXTRACT($T280, M$1&amp;""[\w &amp;]*, (\d+\.\d+)""),"""")
"),"")</f>
        <v/>
      </c>
      <c r="N280" s="3" t="str">
        <f aca="false">IFERROR(__xludf.dummyfunction("if($T280&lt;&gt;"""",REGEXEXTRACT(SUBSTITUTE ($T280,N$1&amp;"" CE"",""""), N$1&amp;""[\w &amp;]*, (\d+\.\d+)""),"""")
"),"")</f>
        <v/>
      </c>
      <c r="O280" s="3" t="str">
        <f aca="false">IFERROR(__xludf.dummyfunction("if($T280&lt;&gt;"""",REGEXEXTRACT($T280, O$1&amp;""[\w &amp;]*, (\d+\.\d+)""),"""")
"),"")</f>
        <v/>
      </c>
      <c r="P280" s="2"/>
      <c r="Q280" s="2"/>
      <c r="R280" s="2"/>
      <c r="S280" s="2"/>
      <c r="T280" s="5"/>
      <c r="U280" s="5"/>
    </row>
    <row r="281" customFormat="false" ht="15.75" hidden="false" customHeight="false" outlineLevel="0" collapsed="false">
      <c r="A281" s="4"/>
      <c r="B281" s="2"/>
      <c r="C281" s="2"/>
      <c r="D281" s="2"/>
      <c r="E281" s="2"/>
      <c r="F281" s="3" t="str">
        <f aca="false">IFERROR(__xludf.dummyfunction("if($T281&lt;&gt;"""",REGEXEXTRACT(SUBSTITUTE ($T281,F$1&amp;"" CE"",""""), F$1&amp;""[\w &amp;]*, (\d+\.\d+)""),"""")
"),"")</f>
        <v/>
      </c>
      <c r="G281" s="3" t="str">
        <f aca="false">IFERROR(__xludf.dummyfunction("if($T281&lt;&gt;"""",REGEXEXTRACT($T281, G$1&amp;""[\w &amp;]*, (\d+\.\d+)""),"""")
"),"")</f>
        <v/>
      </c>
      <c r="H281" s="3"/>
      <c r="I281" s="3" t="str">
        <f aca="false">IFERROR(__xludf.dummyfunction("if($T281&lt;&gt;"""",REGEXEXTRACT(SUBSTITUTE ($T281,I$1&amp;"" CE"",""""), I$1&amp;""[\w &amp;]*, (\d+\.\d+)""),"""")
"),"")</f>
        <v/>
      </c>
      <c r="J281" s="3" t="str">
        <f aca="false">IFERROR(__xludf.dummyfunction("if($T281&lt;&gt;"""",REGEXEXTRACT($T281, J$1&amp;""[\w &amp;]*, (\d+\.\d+)""),"""")
"),"")</f>
        <v/>
      </c>
      <c r="K281" s="3"/>
      <c r="L281" s="3" t="str">
        <f aca="false">IFERROR(__xludf.dummyfunction("if($T281&lt;&gt;"""",REGEXEXTRACT(SUBSTITUTE ($T281,L$1&amp;"" CE"",""""), L$1&amp;""[\w &amp;]*, (\d+\.\d+)""),"""")
"),"")</f>
        <v/>
      </c>
      <c r="M281" s="3" t="str">
        <f aca="false">IFERROR(__xludf.dummyfunction("if($T281&lt;&gt;"""",REGEXEXTRACT($T281, M$1&amp;""[\w &amp;]*, (\d+\.\d+)""),"""")
"),"")</f>
        <v/>
      </c>
      <c r="N281" s="3" t="str">
        <f aca="false">IFERROR(__xludf.dummyfunction("if($T281&lt;&gt;"""",REGEXEXTRACT(SUBSTITUTE ($T281,N$1&amp;"" CE"",""""), N$1&amp;""[\w &amp;]*, (\d+\.\d+)""),"""")
"),"")</f>
        <v/>
      </c>
      <c r="O281" s="3" t="str">
        <f aca="false">IFERROR(__xludf.dummyfunction("if($T281&lt;&gt;"""",REGEXEXTRACT($T281, O$1&amp;""[\w &amp;]*, (\d+\.\d+)""),"""")
"),"")</f>
        <v/>
      </c>
      <c r="P281" s="2"/>
      <c r="Q281" s="2"/>
      <c r="R281" s="2"/>
      <c r="S281" s="2"/>
      <c r="T281" s="5"/>
      <c r="U281" s="5"/>
    </row>
    <row r="282" customFormat="false" ht="15.75" hidden="false" customHeight="false" outlineLevel="0" collapsed="false">
      <c r="A282" s="4"/>
      <c r="B282" s="2"/>
      <c r="C282" s="2"/>
      <c r="D282" s="2"/>
      <c r="E282" s="2"/>
      <c r="F282" s="3" t="str">
        <f aca="false">IFERROR(__xludf.dummyfunction("if($T282&lt;&gt;"""",REGEXEXTRACT(SUBSTITUTE ($T282,F$1&amp;"" CE"",""""), F$1&amp;""[\w &amp;]*, (\d+\.\d+)""),"""")
"),"")</f>
        <v/>
      </c>
      <c r="G282" s="3" t="str">
        <f aca="false">IFERROR(__xludf.dummyfunction("if($T282&lt;&gt;"""",REGEXEXTRACT($T282, G$1&amp;""[\w &amp;]*, (\d+\.\d+)""),"""")
"),"")</f>
        <v/>
      </c>
      <c r="H282" s="3"/>
      <c r="I282" s="3" t="str">
        <f aca="false">IFERROR(__xludf.dummyfunction("if($T282&lt;&gt;"""",REGEXEXTRACT(SUBSTITUTE ($T282,I$1&amp;"" CE"",""""), I$1&amp;""[\w &amp;]*, (\d+\.\d+)""),"""")
"),"")</f>
        <v/>
      </c>
      <c r="J282" s="3" t="str">
        <f aca="false">IFERROR(__xludf.dummyfunction("if($T282&lt;&gt;"""",REGEXEXTRACT($T282, J$1&amp;""[\w &amp;]*, (\d+\.\d+)""),"""")
"),"")</f>
        <v/>
      </c>
      <c r="K282" s="3"/>
      <c r="L282" s="3" t="str">
        <f aca="false">IFERROR(__xludf.dummyfunction("if($T282&lt;&gt;"""",REGEXEXTRACT(SUBSTITUTE ($T282,L$1&amp;"" CE"",""""), L$1&amp;""[\w &amp;]*, (\d+\.\d+)""),"""")
"),"")</f>
        <v/>
      </c>
      <c r="M282" s="3" t="str">
        <f aca="false">IFERROR(__xludf.dummyfunction("if($T282&lt;&gt;"""",REGEXEXTRACT($T282, M$1&amp;""[\w &amp;]*, (\d+\.\d+)""),"""")
"),"")</f>
        <v/>
      </c>
      <c r="N282" s="3" t="str">
        <f aca="false">IFERROR(__xludf.dummyfunction("if($T282&lt;&gt;"""",REGEXEXTRACT(SUBSTITUTE ($T282,N$1&amp;"" CE"",""""), N$1&amp;""[\w &amp;]*, (\d+\.\d+)""),"""")
"),"")</f>
        <v/>
      </c>
      <c r="O282" s="3" t="str">
        <f aca="false">IFERROR(__xludf.dummyfunction("if($T282&lt;&gt;"""",REGEXEXTRACT($T282, O$1&amp;""[\w &amp;]*, (\d+\.\d+)""),"""")
"),"")</f>
        <v/>
      </c>
      <c r="P282" s="2"/>
      <c r="Q282" s="2"/>
      <c r="R282" s="2"/>
      <c r="S282" s="2"/>
      <c r="T282" s="5"/>
      <c r="U282" s="5"/>
    </row>
    <row r="283" customFormat="false" ht="15.75" hidden="false" customHeight="false" outlineLevel="0" collapsed="false">
      <c r="A283" s="4"/>
      <c r="B283" s="2"/>
      <c r="C283" s="2"/>
      <c r="D283" s="2"/>
      <c r="E283" s="2"/>
      <c r="F283" s="3" t="str">
        <f aca="false">IFERROR(__xludf.dummyfunction("if($T283&lt;&gt;"""",REGEXEXTRACT(SUBSTITUTE ($T283,F$1&amp;"" CE"",""""), F$1&amp;""[\w &amp;]*, (\d+\.\d+)""),"""")
"),"")</f>
        <v/>
      </c>
      <c r="G283" s="3" t="str">
        <f aca="false">IFERROR(__xludf.dummyfunction("if($T283&lt;&gt;"""",REGEXEXTRACT($T283, G$1&amp;""[\w &amp;]*, (\d+\.\d+)""),"""")
"),"")</f>
        <v/>
      </c>
      <c r="H283" s="3"/>
      <c r="I283" s="3" t="str">
        <f aca="false">IFERROR(__xludf.dummyfunction("if($T283&lt;&gt;"""",REGEXEXTRACT(SUBSTITUTE ($T283,I$1&amp;"" CE"",""""), I$1&amp;""[\w &amp;]*, (\d+\.\d+)""),"""")
"),"")</f>
        <v/>
      </c>
      <c r="J283" s="3" t="str">
        <f aca="false">IFERROR(__xludf.dummyfunction("if($T283&lt;&gt;"""",REGEXEXTRACT($T283, J$1&amp;""[\w &amp;]*, (\d+\.\d+)""),"""")
"),"")</f>
        <v/>
      </c>
      <c r="K283" s="3"/>
      <c r="L283" s="3" t="str">
        <f aca="false">IFERROR(__xludf.dummyfunction("if($T283&lt;&gt;"""",REGEXEXTRACT(SUBSTITUTE ($T283,L$1&amp;"" CE"",""""), L$1&amp;""[\w &amp;]*, (\d+\.\d+)""),"""")
"),"")</f>
        <v/>
      </c>
      <c r="M283" s="3" t="str">
        <f aca="false">IFERROR(__xludf.dummyfunction("if($T283&lt;&gt;"""",REGEXEXTRACT($T283, M$1&amp;""[\w &amp;]*, (\d+\.\d+)""),"""")
"),"")</f>
        <v/>
      </c>
      <c r="N283" s="3" t="str">
        <f aca="false">IFERROR(__xludf.dummyfunction("if($T283&lt;&gt;"""",REGEXEXTRACT(SUBSTITUTE ($T283,N$1&amp;"" CE"",""""), N$1&amp;""[\w &amp;]*, (\d+\.\d+)""),"""")
"),"")</f>
        <v/>
      </c>
      <c r="O283" s="3" t="str">
        <f aca="false">IFERROR(__xludf.dummyfunction("if($T283&lt;&gt;"""",REGEXEXTRACT($T283, O$1&amp;""[\w &amp;]*, (\d+\.\d+)""),"""")
"),"")</f>
        <v/>
      </c>
      <c r="P283" s="2"/>
      <c r="Q283" s="2"/>
      <c r="R283" s="2"/>
      <c r="S283" s="2"/>
      <c r="T283" s="5"/>
      <c r="U283" s="5"/>
    </row>
    <row r="284" customFormat="false" ht="15.75" hidden="false" customHeight="false" outlineLevel="0" collapsed="false">
      <c r="A284" s="4"/>
      <c r="B284" s="2"/>
      <c r="C284" s="2"/>
      <c r="D284" s="2"/>
      <c r="E284" s="2"/>
      <c r="F284" s="3" t="str">
        <f aca="false">IFERROR(__xludf.dummyfunction("if($T284&lt;&gt;"""",REGEXEXTRACT(SUBSTITUTE ($T284,F$1&amp;"" CE"",""""), F$1&amp;""[\w &amp;]*, (\d+\.\d+)""),"""")
"),"")</f>
        <v/>
      </c>
      <c r="G284" s="3" t="str">
        <f aca="false">IFERROR(__xludf.dummyfunction("if($T284&lt;&gt;"""",REGEXEXTRACT($T284, G$1&amp;""[\w &amp;]*, (\d+\.\d+)""),"""")
"),"")</f>
        <v/>
      </c>
      <c r="H284" s="3"/>
      <c r="I284" s="3" t="str">
        <f aca="false">IFERROR(__xludf.dummyfunction("if($T284&lt;&gt;"""",REGEXEXTRACT(SUBSTITUTE ($T284,I$1&amp;"" CE"",""""), I$1&amp;""[\w &amp;]*, (\d+\.\d+)""),"""")
"),"")</f>
        <v/>
      </c>
      <c r="J284" s="3" t="str">
        <f aca="false">IFERROR(__xludf.dummyfunction("if($T284&lt;&gt;"""",REGEXEXTRACT($T284, J$1&amp;""[\w &amp;]*, (\d+\.\d+)""),"""")
"),"")</f>
        <v/>
      </c>
      <c r="K284" s="3"/>
      <c r="L284" s="3" t="str">
        <f aca="false">IFERROR(__xludf.dummyfunction("if($T284&lt;&gt;"""",REGEXEXTRACT(SUBSTITUTE ($T284,L$1&amp;"" CE"",""""), L$1&amp;""[\w &amp;]*, (\d+\.\d+)""),"""")
"),"")</f>
        <v/>
      </c>
      <c r="M284" s="3" t="str">
        <f aca="false">IFERROR(__xludf.dummyfunction("if($T284&lt;&gt;"""",REGEXEXTRACT($T284, M$1&amp;""[\w &amp;]*, (\d+\.\d+)""),"""")
"),"")</f>
        <v/>
      </c>
      <c r="N284" s="3" t="str">
        <f aca="false">IFERROR(__xludf.dummyfunction("if($T284&lt;&gt;"""",REGEXEXTRACT(SUBSTITUTE ($T284,N$1&amp;"" CE"",""""), N$1&amp;""[\w &amp;]*, (\d+\.\d+)""),"""")
"),"")</f>
        <v/>
      </c>
      <c r="O284" s="3" t="str">
        <f aca="false">IFERROR(__xludf.dummyfunction("if($T284&lt;&gt;"""",REGEXEXTRACT($T284, O$1&amp;""[\w &amp;]*, (\d+\.\d+)""),"""")
"),"")</f>
        <v/>
      </c>
      <c r="P284" s="2"/>
      <c r="Q284" s="2"/>
      <c r="R284" s="2"/>
      <c r="S284" s="2"/>
      <c r="T284" s="5"/>
      <c r="U284" s="5"/>
    </row>
    <row r="285" customFormat="false" ht="15.75" hidden="false" customHeight="false" outlineLevel="0" collapsed="false">
      <c r="A285" s="4"/>
      <c r="B285" s="2"/>
      <c r="C285" s="2"/>
      <c r="D285" s="2"/>
      <c r="E285" s="2"/>
      <c r="F285" s="3" t="str">
        <f aca="false">IFERROR(__xludf.dummyfunction("if($T285&lt;&gt;"""",REGEXEXTRACT(SUBSTITUTE ($T285,F$1&amp;"" CE"",""""), F$1&amp;""[\w &amp;]*, (\d+\.\d+)""),"""")
"),"")</f>
        <v/>
      </c>
      <c r="G285" s="3" t="str">
        <f aca="false">IFERROR(__xludf.dummyfunction("if($T285&lt;&gt;"""",REGEXEXTRACT($T285, G$1&amp;""[\w &amp;]*, (\d+\.\d+)""),"""")
"),"")</f>
        <v/>
      </c>
      <c r="H285" s="3"/>
      <c r="I285" s="3" t="str">
        <f aca="false">IFERROR(__xludf.dummyfunction("if($T285&lt;&gt;"""",REGEXEXTRACT(SUBSTITUTE ($T285,I$1&amp;"" CE"",""""), I$1&amp;""[\w &amp;]*, (\d+\.\d+)""),"""")
"),"")</f>
        <v/>
      </c>
      <c r="J285" s="3" t="str">
        <f aca="false">IFERROR(__xludf.dummyfunction("if($T285&lt;&gt;"""",REGEXEXTRACT($T285, J$1&amp;""[\w &amp;]*, (\d+\.\d+)""),"""")
"),"")</f>
        <v/>
      </c>
      <c r="K285" s="3"/>
      <c r="L285" s="3" t="str">
        <f aca="false">IFERROR(__xludf.dummyfunction("if($T285&lt;&gt;"""",REGEXEXTRACT(SUBSTITUTE ($T285,L$1&amp;"" CE"",""""), L$1&amp;""[\w &amp;]*, (\d+\.\d+)""),"""")
"),"")</f>
        <v/>
      </c>
      <c r="M285" s="3" t="str">
        <f aca="false">IFERROR(__xludf.dummyfunction("if($T285&lt;&gt;"""",REGEXEXTRACT($T285, M$1&amp;""[\w &amp;]*, (\d+\.\d+)""),"""")
"),"")</f>
        <v/>
      </c>
      <c r="N285" s="3" t="str">
        <f aca="false">IFERROR(__xludf.dummyfunction("if($T285&lt;&gt;"""",REGEXEXTRACT(SUBSTITUTE ($T285,N$1&amp;"" CE"",""""), N$1&amp;""[\w &amp;]*, (\d+\.\d+)""),"""")
"),"")</f>
        <v/>
      </c>
      <c r="O285" s="3" t="str">
        <f aca="false">IFERROR(__xludf.dummyfunction("if($T285&lt;&gt;"""",REGEXEXTRACT($T285, O$1&amp;""[\w &amp;]*, (\d+\.\d+)""),"""")
"),"")</f>
        <v/>
      </c>
      <c r="P285" s="2"/>
      <c r="Q285" s="2"/>
      <c r="R285" s="2"/>
      <c r="S285" s="2"/>
      <c r="T285" s="5"/>
      <c r="U285" s="5"/>
    </row>
    <row r="286" customFormat="false" ht="15.75" hidden="false" customHeight="false" outlineLevel="0" collapsed="false">
      <c r="A286" s="4"/>
      <c r="B286" s="2"/>
      <c r="C286" s="2"/>
      <c r="D286" s="2"/>
      <c r="E286" s="2"/>
      <c r="F286" s="3" t="str">
        <f aca="false">IFERROR(__xludf.dummyfunction("if($T286&lt;&gt;"""",REGEXEXTRACT(SUBSTITUTE ($T286,F$1&amp;"" CE"",""""), F$1&amp;""[\w &amp;]*, (\d+\.\d+)""),"""")
"),"")</f>
        <v/>
      </c>
      <c r="G286" s="3" t="str">
        <f aca="false">IFERROR(__xludf.dummyfunction("if($T286&lt;&gt;"""",REGEXEXTRACT($T286, G$1&amp;""[\w &amp;]*, (\d+\.\d+)""),"""")
"),"")</f>
        <v/>
      </c>
      <c r="H286" s="3"/>
      <c r="I286" s="3" t="str">
        <f aca="false">IFERROR(__xludf.dummyfunction("if($T286&lt;&gt;"""",REGEXEXTRACT(SUBSTITUTE ($T286,I$1&amp;"" CE"",""""), I$1&amp;""[\w &amp;]*, (\d+\.\d+)""),"""")
"),"")</f>
        <v/>
      </c>
      <c r="J286" s="3" t="str">
        <f aca="false">IFERROR(__xludf.dummyfunction("if($T286&lt;&gt;"""",REGEXEXTRACT($T286, J$1&amp;""[\w &amp;]*, (\d+\.\d+)""),"""")
"),"")</f>
        <v/>
      </c>
      <c r="K286" s="3"/>
      <c r="L286" s="3" t="str">
        <f aca="false">IFERROR(__xludf.dummyfunction("if($T286&lt;&gt;"""",REGEXEXTRACT(SUBSTITUTE ($T286,L$1&amp;"" CE"",""""), L$1&amp;""[\w &amp;]*, (\d+\.\d+)""),"""")
"),"")</f>
        <v/>
      </c>
      <c r="M286" s="3" t="str">
        <f aca="false">IFERROR(__xludf.dummyfunction("if($T286&lt;&gt;"""",REGEXEXTRACT($T286, M$1&amp;""[\w &amp;]*, (\d+\.\d+)""),"""")
"),"")</f>
        <v/>
      </c>
      <c r="N286" s="3" t="str">
        <f aca="false">IFERROR(__xludf.dummyfunction("if($T286&lt;&gt;"""",REGEXEXTRACT(SUBSTITUTE ($T286,N$1&amp;"" CE"",""""), N$1&amp;""[\w &amp;]*, (\d+\.\d+)""),"""")
"),"")</f>
        <v/>
      </c>
      <c r="O286" s="3" t="str">
        <f aca="false">IFERROR(__xludf.dummyfunction("if($T286&lt;&gt;"""",REGEXEXTRACT($T286, O$1&amp;""[\w &amp;]*, (\d+\.\d+)""),"""")
"),"")</f>
        <v/>
      </c>
      <c r="P286" s="2"/>
      <c r="Q286" s="2"/>
      <c r="R286" s="2"/>
      <c r="S286" s="2"/>
      <c r="T286" s="5"/>
      <c r="U286" s="5"/>
    </row>
    <row r="287" customFormat="false" ht="15.75" hidden="false" customHeight="false" outlineLevel="0" collapsed="false">
      <c r="A287" s="4"/>
      <c r="B287" s="2"/>
      <c r="C287" s="2"/>
      <c r="D287" s="2"/>
      <c r="E287" s="2"/>
      <c r="F287" s="3" t="str">
        <f aca="false">IFERROR(__xludf.dummyfunction("if($T287&lt;&gt;"""",REGEXEXTRACT(SUBSTITUTE ($T287,F$1&amp;"" CE"",""""), F$1&amp;""[\w &amp;]*, (\d+\.\d+)""),"""")
"),"")</f>
        <v/>
      </c>
      <c r="G287" s="3" t="str">
        <f aca="false">IFERROR(__xludf.dummyfunction("if($T287&lt;&gt;"""",REGEXEXTRACT($T287, G$1&amp;""[\w &amp;]*, (\d+\.\d+)""),"""")
"),"")</f>
        <v/>
      </c>
      <c r="H287" s="3"/>
      <c r="I287" s="3" t="str">
        <f aca="false">IFERROR(__xludf.dummyfunction("if($T287&lt;&gt;"""",REGEXEXTRACT(SUBSTITUTE ($T287,I$1&amp;"" CE"",""""), I$1&amp;""[\w &amp;]*, (\d+\.\d+)""),"""")
"),"")</f>
        <v/>
      </c>
      <c r="J287" s="3" t="str">
        <f aca="false">IFERROR(__xludf.dummyfunction("if($T287&lt;&gt;"""",REGEXEXTRACT($T287, J$1&amp;""[\w &amp;]*, (\d+\.\d+)""),"""")
"),"")</f>
        <v/>
      </c>
      <c r="K287" s="3"/>
      <c r="L287" s="3" t="str">
        <f aca="false">IFERROR(__xludf.dummyfunction("if($T287&lt;&gt;"""",REGEXEXTRACT(SUBSTITUTE ($T287,L$1&amp;"" CE"",""""), L$1&amp;""[\w &amp;]*, (\d+\.\d+)""),"""")
"),"")</f>
        <v/>
      </c>
      <c r="M287" s="3" t="str">
        <f aca="false">IFERROR(__xludf.dummyfunction("if($T287&lt;&gt;"""",REGEXEXTRACT($T287, M$1&amp;""[\w &amp;]*, (\d+\.\d+)""),"""")
"),"")</f>
        <v/>
      </c>
      <c r="N287" s="3" t="str">
        <f aca="false">IFERROR(__xludf.dummyfunction("if($T287&lt;&gt;"""",REGEXEXTRACT(SUBSTITUTE ($T287,N$1&amp;"" CE"",""""), N$1&amp;""[\w &amp;]*, (\d+\.\d+)""),"""")
"),"")</f>
        <v/>
      </c>
      <c r="O287" s="3" t="str">
        <f aca="false">IFERROR(__xludf.dummyfunction("if($T287&lt;&gt;"""",REGEXEXTRACT($T287, O$1&amp;""[\w &amp;]*, (\d+\.\d+)""),"""")
"),"")</f>
        <v/>
      </c>
      <c r="P287" s="2"/>
      <c r="Q287" s="2"/>
      <c r="R287" s="2"/>
      <c r="S287" s="2"/>
      <c r="T287" s="5"/>
      <c r="U287" s="5"/>
    </row>
    <row r="288" customFormat="false" ht="15.75" hidden="false" customHeight="false" outlineLevel="0" collapsed="false">
      <c r="A288" s="4"/>
      <c r="B288" s="2"/>
      <c r="C288" s="2"/>
      <c r="D288" s="2"/>
      <c r="E288" s="2"/>
      <c r="F288" s="3" t="str">
        <f aca="false">IFERROR(__xludf.dummyfunction("if($T288&lt;&gt;"""",REGEXEXTRACT(SUBSTITUTE ($T288,F$1&amp;"" CE"",""""), F$1&amp;""[\w &amp;]*, (\d+\.\d+)""),"""")
"),"")</f>
        <v/>
      </c>
      <c r="G288" s="3" t="str">
        <f aca="false">IFERROR(__xludf.dummyfunction("if($T288&lt;&gt;"""",REGEXEXTRACT($T288, G$1&amp;""[\w &amp;]*, (\d+\.\d+)""),"""")
"),"")</f>
        <v/>
      </c>
      <c r="H288" s="3"/>
      <c r="I288" s="3" t="str">
        <f aca="false">IFERROR(__xludf.dummyfunction("if($T288&lt;&gt;"""",REGEXEXTRACT(SUBSTITUTE ($T288,I$1&amp;"" CE"",""""), I$1&amp;""[\w &amp;]*, (\d+\.\d+)""),"""")
"),"")</f>
        <v/>
      </c>
      <c r="J288" s="3" t="str">
        <f aca="false">IFERROR(__xludf.dummyfunction("if($T288&lt;&gt;"""",REGEXEXTRACT($T288, J$1&amp;""[\w &amp;]*, (\d+\.\d+)""),"""")
"),"")</f>
        <v/>
      </c>
      <c r="K288" s="3"/>
      <c r="L288" s="3" t="str">
        <f aca="false">IFERROR(__xludf.dummyfunction("if($T288&lt;&gt;"""",REGEXEXTRACT(SUBSTITUTE ($T288,L$1&amp;"" CE"",""""), L$1&amp;""[\w &amp;]*, (\d+\.\d+)""),"""")
"),"")</f>
        <v/>
      </c>
      <c r="M288" s="3" t="str">
        <f aca="false">IFERROR(__xludf.dummyfunction("if($T288&lt;&gt;"""",REGEXEXTRACT($T288, M$1&amp;""[\w &amp;]*, (\d+\.\d+)""),"""")
"),"")</f>
        <v/>
      </c>
      <c r="N288" s="3" t="str">
        <f aca="false">IFERROR(__xludf.dummyfunction("if($T288&lt;&gt;"""",REGEXEXTRACT(SUBSTITUTE ($T288,N$1&amp;"" CE"",""""), N$1&amp;""[\w &amp;]*, (\d+\.\d+)""),"""")
"),"")</f>
        <v/>
      </c>
      <c r="O288" s="3" t="str">
        <f aca="false">IFERROR(__xludf.dummyfunction("if($T288&lt;&gt;"""",REGEXEXTRACT($T288, O$1&amp;""[\w &amp;]*, (\d+\.\d+)""),"""")
"),"")</f>
        <v/>
      </c>
      <c r="P288" s="2"/>
      <c r="Q288" s="2"/>
      <c r="R288" s="2"/>
      <c r="S288" s="2"/>
      <c r="T288" s="5"/>
      <c r="U288" s="5"/>
    </row>
    <row r="289" customFormat="false" ht="15.75" hidden="false" customHeight="false" outlineLevel="0" collapsed="false">
      <c r="A289" s="4"/>
      <c r="B289" s="2"/>
      <c r="C289" s="2"/>
      <c r="D289" s="2"/>
      <c r="E289" s="2"/>
      <c r="F289" s="3" t="str">
        <f aca="false">IFERROR(__xludf.dummyfunction("if($T289&lt;&gt;"""",REGEXEXTRACT(SUBSTITUTE ($T289,F$1&amp;"" CE"",""""), F$1&amp;""[\w &amp;]*, (\d+\.\d+)""),"""")
"),"")</f>
        <v/>
      </c>
      <c r="G289" s="3" t="str">
        <f aca="false">IFERROR(__xludf.dummyfunction("if($T289&lt;&gt;"""",REGEXEXTRACT($T289, G$1&amp;""[\w &amp;]*, (\d+\.\d+)""),"""")
"),"")</f>
        <v/>
      </c>
      <c r="H289" s="3"/>
      <c r="I289" s="3" t="str">
        <f aca="false">IFERROR(__xludf.dummyfunction("if($T289&lt;&gt;"""",REGEXEXTRACT(SUBSTITUTE ($T289,I$1&amp;"" CE"",""""), I$1&amp;""[\w &amp;]*, (\d+\.\d+)""),"""")
"),"")</f>
        <v/>
      </c>
      <c r="J289" s="3" t="str">
        <f aca="false">IFERROR(__xludf.dummyfunction("if($T289&lt;&gt;"""",REGEXEXTRACT($T289, J$1&amp;""[\w &amp;]*, (\d+\.\d+)""),"""")
"),"")</f>
        <v/>
      </c>
      <c r="K289" s="3"/>
      <c r="L289" s="3" t="str">
        <f aca="false">IFERROR(__xludf.dummyfunction("if($T289&lt;&gt;"""",REGEXEXTRACT(SUBSTITUTE ($T289,L$1&amp;"" CE"",""""), L$1&amp;""[\w &amp;]*, (\d+\.\d+)""),"""")
"),"")</f>
        <v/>
      </c>
      <c r="M289" s="3" t="str">
        <f aca="false">IFERROR(__xludf.dummyfunction("if($T289&lt;&gt;"""",REGEXEXTRACT($T289, M$1&amp;""[\w &amp;]*, (\d+\.\d+)""),"""")
"),"")</f>
        <v/>
      </c>
      <c r="N289" s="3" t="str">
        <f aca="false">IFERROR(__xludf.dummyfunction("if($T289&lt;&gt;"""",REGEXEXTRACT(SUBSTITUTE ($T289,N$1&amp;"" CE"",""""), N$1&amp;""[\w &amp;]*, (\d+\.\d+)""),"""")
"),"")</f>
        <v/>
      </c>
      <c r="O289" s="3" t="str">
        <f aca="false">IFERROR(__xludf.dummyfunction("if($T289&lt;&gt;"""",REGEXEXTRACT($T289, O$1&amp;""[\w &amp;]*, (\d+\.\d+)""),"""")
"),"")</f>
        <v/>
      </c>
      <c r="P289" s="2"/>
      <c r="Q289" s="2"/>
      <c r="R289" s="2"/>
      <c r="S289" s="2"/>
      <c r="T289" s="5"/>
      <c r="U289" s="5"/>
    </row>
    <row r="290" customFormat="false" ht="15.75" hidden="false" customHeight="false" outlineLevel="0" collapsed="false">
      <c r="A290" s="4"/>
      <c r="B290" s="2"/>
      <c r="C290" s="2"/>
      <c r="D290" s="2"/>
      <c r="E290" s="2"/>
      <c r="F290" s="3" t="str">
        <f aca="false">IFERROR(__xludf.dummyfunction("if($T290&lt;&gt;"""",REGEXEXTRACT(SUBSTITUTE ($T290,F$1&amp;"" CE"",""""), F$1&amp;""[\w &amp;]*, (\d+\.\d+)""),"""")
"),"")</f>
        <v/>
      </c>
      <c r="G290" s="3" t="str">
        <f aca="false">IFERROR(__xludf.dummyfunction("if($T290&lt;&gt;"""",REGEXEXTRACT($T290, G$1&amp;""[\w &amp;]*, (\d+\.\d+)""),"""")
"),"")</f>
        <v/>
      </c>
      <c r="H290" s="3"/>
      <c r="I290" s="3" t="str">
        <f aca="false">IFERROR(__xludf.dummyfunction("if($T290&lt;&gt;"""",REGEXEXTRACT(SUBSTITUTE ($T290,I$1&amp;"" CE"",""""), I$1&amp;""[\w &amp;]*, (\d+\.\d+)""),"""")
"),"")</f>
        <v/>
      </c>
      <c r="J290" s="3" t="str">
        <f aca="false">IFERROR(__xludf.dummyfunction("if($T290&lt;&gt;"""",REGEXEXTRACT($T290, J$1&amp;""[\w &amp;]*, (\d+\.\d+)""),"""")
"),"")</f>
        <v/>
      </c>
      <c r="K290" s="3"/>
      <c r="L290" s="3" t="str">
        <f aca="false">IFERROR(__xludf.dummyfunction("if($T290&lt;&gt;"""",REGEXEXTRACT(SUBSTITUTE ($T290,L$1&amp;"" CE"",""""), L$1&amp;""[\w &amp;]*, (\d+\.\d+)""),"""")
"),"")</f>
        <v/>
      </c>
      <c r="M290" s="3" t="str">
        <f aca="false">IFERROR(__xludf.dummyfunction("if($T290&lt;&gt;"""",REGEXEXTRACT($T290, M$1&amp;""[\w &amp;]*, (\d+\.\d+)""),"""")
"),"")</f>
        <v/>
      </c>
      <c r="N290" s="3" t="str">
        <f aca="false">IFERROR(__xludf.dummyfunction("if($T290&lt;&gt;"""",REGEXEXTRACT(SUBSTITUTE ($T290,N$1&amp;"" CE"",""""), N$1&amp;""[\w &amp;]*, (\d+\.\d+)""),"""")
"),"")</f>
        <v/>
      </c>
      <c r="O290" s="3" t="str">
        <f aca="false">IFERROR(__xludf.dummyfunction("if($T290&lt;&gt;"""",REGEXEXTRACT($T290, O$1&amp;""[\w &amp;]*, (\d+\.\d+)""),"""")
"),"")</f>
        <v/>
      </c>
      <c r="P290" s="2"/>
      <c r="Q290" s="2"/>
      <c r="R290" s="2"/>
      <c r="S290" s="2"/>
      <c r="T290" s="5"/>
      <c r="U290" s="5"/>
    </row>
    <row r="291" customFormat="false" ht="15.75" hidden="false" customHeight="false" outlineLevel="0" collapsed="false">
      <c r="A291" s="4"/>
      <c r="B291" s="2"/>
      <c r="C291" s="2"/>
      <c r="D291" s="2"/>
      <c r="E291" s="2"/>
      <c r="F291" s="3" t="str">
        <f aca="false">IFERROR(__xludf.dummyfunction("if($T291&lt;&gt;"""",REGEXEXTRACT(SUBSTITUTE ($T291,F$1&amp;"" CE"",""""), F$1&amp;""[\w &amp;]*, (\d+\.\d+)""),"""")
"),"")</f>
        <v/>
      </c>
      <c r="G291" s="3" t="str">
        <f aca="false">IFERROR(__xludf.dummyfunction("if($T291&lt;&gt;"""",REGEXEXTRACT($T291, G$1&amp;""[\w &amp;]*, (\d+\.\d+)""),"""")
"),"")</f>
        <v/>
      </c>
      <c r="H291" s="3"/>
      <c r="I291" s="3" t="str">
        <f aca="false">IFERROR(__xludf.dummyfunction("if($T291&lt;&gt;"""",REGEXEXTRACT(SUBSTITUTE ($T291,I$1&amp;"" CE"",""""), I$1&amp;""[\w &amp;]*, (\d+\.\d+)""),"""")
"),"")</f>
        <v/>
      </c>
      <c r="J291" s="3" t="str">
        <f aca="false">IFERROR(__xludf.dummyfunction("if($T291&lt;&gt;"""",REGEXEXTRACT($T291, J$1&amp;""[\w &amp;]*, (\d+\.\d+)""),"""")
"),"")</f>
        <v/>
      </c>
      <c r="K291" s="3"/>
      <c r="L291" s="3" t="str">
        <f aca="false">IFERROR(__xludf.dummyfunction("if($T291&lt;&gt;"""",REGEXEXTRACT(SUBSTITUTE ($T291,L$1&amp;"" CE"",""""), L$1&amp;""[\w &amp;]*, (\d+\.\d+)""),"""")
"),"")</f>
        <v/>
      </c>
      <c r="M291" s="3" t="str">
        <f aca="false">IFERROR(__xludf.dummyfunction("if($T291&lt;&gt;"""",REGEXEXTRACT($T291, M$1&amp;""[\w &amp;]*, (\d+\.\d+)""),"""")
"),"")</f>
        <v/>
      </c>
      <c r="N291" s="3" t="str">
        <f aca="false">IFERROR(__xludf.dummyfunction("if($T291&lt;&gt;"""",REGEXEXTRACT(SUBSTITUTE ($T291,N$1&amp;"" CE"",""""), N$1&amp;""[\w &amp;]*, (\d+\.\d+)""),"""")
"),"")</f>
        <v/>
      </c>
      <c r="O291" s="3" t="str">
        <f aca="false">IFERROR(__xludf.dummyfunction("if($T291&lt;&gt;"""",REGEXEXTRACT($T291, O$1&amp;""[\w &amp;]*, (\d+\.\d+)""),"""")
"),"")</f>
        <v/>
      </c>
      <c r="P291" s="2"/>
      <c r="Q291" s="2"/>
      <c r="R291" s="2"/>
      <c r="S291" s="2"/>
      <c r="T291" s="5"/>
      <c r="U291" s="5"/>
    </row>
    <row r="292" customFormat="false" ht="15.75" hidden="false" customHeight="false" outlineLevel="0" collapsed="false">
      <c r="A292" s="4"/>
      <c r="B292" s="2"/>
      <c r="C292" s="2"/>
      <c r="D292" s="2"/>
      <c r="E292" s="2"/>
      <c r="F292" s="3" t="str">
        <f aca="false">IFERROR(__xludf.dummyfunction("if($T292&lt;&gt;"""",REGEXEXTRACT(SUBSTITUTE ($T292,F$1&amp;"" CE"",""""), F$1&amp;""[\w &amp;]*, (\d+\.\d+)""),"""")
"),"")</f>
        <v/>
      </c>
      <c r="G292" s="3" t="str">
        <f aca="false">IFERROR(__xludf.dummyfunction("if($T292&lt;&gt;"""",REGEXEXTRACT($T292, G$1&amp;""[\w &amp;]*, (\d+\.\d+)""),"""")
"),"")</f>
        <v/>
      </c>
      <c r="H292" s="3"/>
      <c r="I292" s="3" t="str">
        <f aca="false">IFERROR(__xludf.dummyfunction("if($T292&lt;&gt;"""",REGEXEXTRACT(SUBSTITUTE ($T292,I$1&amp;"" CE"",""""), I$1&amp;""[\w &amp;]*, (\d+\.\d+)""),"""")
"),"")</f>
        <v/>
      </c>
      <c r="J292" s="3" t="str">
        <f aca="false">IFERROR(__xludf.dummyfunction("if($T292&lt;&gt;"""",REGEXEXTRACT($T292, J$1&amp;""[\w &amp;]*, (\d+\.\d+)""),"""")
"),"")</f>
        <v/>
      </c>
      <c r="K292" s="3"/>
      <c r="L292" s="3" t="str">
        <f aca="false">IFERROR(__xludf.dummyfunction("if($T292&lt;&gt;"""",REGEXEXTRACT(SUBSTITUTE ($T292,L$1&amp;"" CE"",""""), L$1&amp;""[\w &amp;]*, (\d+\.\d+)""),"""")
"),"")</f>
        <v/>
      </c>
      <c r="M292" s="3" t="str">
        <f aca="false">IFERROR(__xludf.dummyfunction("if($T292&lt;&gt;"""",REGEXEXTRACT($T292, M$1&amp;""[\w &amp;]*, (\d+\.\d+)""),"""")
"),"")</f>
        <v/>
      </c>
      <c r="N292" s="3" t="str">
        <f aca="false">IFERROR(__xludf.dummyfunction("if($T292&lt;&gt;"""",REGEXEXTRACT(SUBSTITUTE ($T292,N$1&amp;"" CE"",""""), N$1&amp;""[\w &amp;]*, (\d+\.\d+)""),"""")
"),"")</f>
        <v/>
      </c>
      <c r="O292" s="3" t="str">
        <f aca="false">IFERROR(__xludf.dummyfunction("if($T292&lt;&gt;"""",REGEXEXTRACT($T292, O$1&amp;""[\w &amp;]*, (\d+\.\d+)""),"""")
"),"")</f>
        <v/>
      </c>
      <c r="P292" s="2"/>
      <c r="Q292" s="2"/>
      <c r="R292" s="2"/>
      <c r="S292" s="2"/>
      <c r="T292" s="5"/>
      <c r="U292" s="5"/>
    </row>
    <row r="293" customFormat="false" ht="15.75" hidden="false" customHeight="false" outlineLevel="0" collapsed="false">
      <c r="A293" s="4"/>
      <c r="B293" s="2"/>
      <c r="C293" s="2"/>
      <c r="D293" s="2"/>
      <c r="E293" s="2"/>
      <c r="F293" s="3" t="str">
        <f aca="false">IFERROR(__xludf.dummyfunction("if($T293&lt;&gt;"""",REGEXEXTRACT(SUBSTITUTE ($T293,F$1&amp;"" CE"",""""), F$1&amp;""[\w &amp;]*, (\d+\.\d+)""),"""")
"),"")</f>
        <v/>
      </c>
      <c r="G293" s="3" t="str">
        <f aca="false">IFERROR(__xludf.dummyfunction("if($T293&lt;&gt;"""",REGEXEXTRACT($T293, G$1&amp;""[\w &amp;]*, (\d+\.\d+)""),"""")
"),"")</f>
        <v/>
      </c>
      <c r="H293" s="3"/>
      <c r="I293" s="3" t="str">
        <f aca="false">IFERROR(__xludf.dummyfunction("if($T293&lt;&gt;"""",REGEXEXTRACT(SUBSTITUTE ($T293,I$1&amp;"" CE"",""""), I$1&amp;""[\w &amp;]*, (\d+\.\d+)""),"""")
"),"")</f>
        <v/>
      </c>
      <c r="J293" s="3" t="str">
        <f aca="false">IFERROR(__xludf.dummyfunction("if($T293&lt;&gt;"""",REGEXEXTRACT($T293, J$1&amp;""[\w &amp;]*, (\d+\.\d+)""),"""")
"),"")</f>
        <v/>
      </c>
      <c r="K293" s="3"/>
      <c r="L293" s="3" t="str">
        <f aca="false">IFERROR(__xludf.dummyfunction("if($T293&lt;&gt;"""",REGEXEXTRACT(SUBSTITUTE ($T293,L$1&amp;"" CE"",""""), L$1&amp;""[\w &amp;]*, (\d+\.\d+)""),"""")
"),"")</f>
        <v/>
      </c>
      <c r="M293" s="3" t="str">
        <f aca="false">IFERROR(__xludf.dummyfunction("if($T293&lt;&gt;"""",REGEXEXTRACT($T293, M$1&amp;""[\w &amp;]*, (\d+\.\d+)""),"""")
"),"")</f>
        <v/>
      </c>
      <c r="N293" s="3" t="str">
        <f aca="false">IFERROR(__xludf.dummyfunction("if($T293&lt;&gt;"""",REGEXEXTRACT(SUBSTITUTE ($T293,N$1&amp;"" CE"",""""), N$1&amp;""[\w &amp;]*, (\d+\.\d+)""),"""")
"),"")</f>
        <v/>
      </c>
      <c r="O293" s="3" t="str">
        <f aca="false">IFERROR(__xludf.dummyfunction("if($T293&lt;&gt;"""",REGEXEXTRACT($T293, O$1&amp;""[\w &amp;]*, (\d+\.\d+)""),"""")
"),"")</f>
        <v/>
      </c>
      <c r="P293" s="2"/>
      <c r="Q293" s="2"/>
      <c r="R293" s="2"/>
      <c r="S293" s="2"/>
      <c r="T293" s="5"/>
      <c r="U293" s="5"/>
    </row>
    <row r="294" customFormat="false" ht="15.75" hidden="false" customHeight="false" outlineLevel="0" collapsed="false">
      <c r="A294" s="4"/>
      <c r="B294" s="2"/>
      <c r="C294" s="2"/>
      <c r="D294" s="2"/>
      <c r="E294" s="2"/>
      <c r="F294" s="3" t="str">
        <f aca="false">IFERROR(__xludf.dummyfunction("if($T294&lt;&gt;"""",REGEXEXTRACT(SUBSTITUTE ($T294,F$1&amp;"" CE"",""""), F$1&amp;""[\w &amp;]*, (\d+\.\d+)""),"""")
"),"")</f>
        <v/>
      </c>
      <c r="G294" s="3" t="str">
        <f aca="false">IFERROR(__xludf.dummyfunction("if($T294&lt;&gt;"""",REGEXEXTRACT($T294, G$1&amp;""[\w &amp;]*, (\d+\.\d+)""),"""")
"),"")</f>
        <v/>
      </c>
      <c r="H294" s="3"/>
      <c r="I294" s="3" t="str">
        <f aca="false">IFERROR(__xludf.dummyfunction("if($T294&lt;&gt;"""",REGEXEXTRACT(SUBSTITUTE ($T294,I$1&amp;"" CE"",""""), I$1&amp;""[\w &amp;]*, (\d+\.\d+)""),"""")
"),"")</f>
        <v/>
      </c>
      <c r="J294" s="3" t="str">
        <f aca="false">IFERROR(__xludf.dummyfunction("if($T294&lt;&gt;"""",REGEXEXTRACT($T294, J$1&amp;""[\w &amp;]*, (\d+\.\d+)""),"""")
"),"")</f>
        <v/>
      </c>
      <c r="K294" s="3"/>
      <c r="L294" s="3" t="str">
        <f aca="false">IFERROR(__xludf.dummyfunction("if($T294&lt;&gt;"""",REGEXEXTRACT(SUBSTITUTE ($T294,L$1&amp;"" CE"",""""), L$1&amp;""[\w &amp;]*, (\d+\.\d+)""),"""")
"),"")</f>
        <v/>
      </c>
      <c r="M294" s="3" t="str">
        <f aca="false">IFERROR(__xludf.dummyfunction("if($T294&lt;&gt;"""",REGEXEXTRACT($T294, M$1&amp;""[\w &amp;]*, (\d+\.\d+)""),"""")
"),"")</f>
        <v/>
      </c>
      <c r="N294" s="3" t="str">
        <f aca="false">IFERROR(__xludf.dummyfunction("if($T294&lt;&gt;"""",REGEXEXTRACT(SUBSTITUTE ($T294,N$1&amp;"" CE"",""""), N$1&amp;""[\w &amp;]*, (\d+\.\d+)""),"""")
"),"")</f>
        <v/>
      </c>
      <c r="O294" s="3" t="str">
        <f aca="false">IFERROR(__xludf.dummyfunction("if($T294&lt;&gt;"""",REGEXEXTRACT($T294, O$1&amp;""[\w &amp;]*, (\d+\.\d+)""),"""")
"),"")</f>
        <v/>
      </c>
      <c r="P294" s="2"/>
      <c r="Q294" s="2"/>
      <c r="R294" s="2"/>
      <c r="S294" s="2"/>
      <c r="T294" s="5"/>
      <c r="U294" s="5"/>
    </row>
    <row r="295" customFormat="false" ht="15.75" hidden="false" customHeight="false" outlineLevel="0" collapsed="false">
      <c r="A295" s="4"/>
      <c r="B295" s="2"/>
      <c r="C295" s="2"/>
      <c r="D295" s="2"/>
      <c r="E295" s="2"/>
      <c r="F295" s="3" t="str">
        <f aca="false">IFERROR(__xludf.dummyfunction("if($T295&lt;&gt;"""",REGEXEXTRACT(SUBSTITUTE ($T295,F$1&amp;"" CE"",""""), F$1&amp;""[\w &amp;]*, (\d+\.\d+)""),"""")
"),"")</f>
        <v/>
      </c>
      <c r="G295" s="3" t="str">
        <f aca="false">IFERROR(__xludf.dummyfunction("if($T295&lt;&gt;"""",REGEXEXTRACT($T295, G$1&amp;""[\w &amp;]*, (\d+\.\d+)""),"""")
"),"")</f>
        <v/>
      </c>
      <c r="H295" s="3"/>
      <c r="I295" s="3" t="str">
        <f aca="false">IFERROR(__xludf.dummyfunction("if($T295&lt;&gt;"""",REGEXEXTRACT(SUBSTITUTE ($T295,I$1&amp;"" CE"",""""), I$1&amp;""[\w &amp;]*, (\d+\.\d+)""),"""")
"),"")</f>
        <v/>
      </c>
      <c r="J295" s="3" t="str">
        <f aca="false">IFERROR(__xludf.dummyfunction("if($T295&lt;&gt;"""",REGEXEXTRACT($T295, J$1&amp;""[\w &amp;]*, (\d+\.\d+)""),"""")
"),"")</f>
        <v/>
      </c>
      <c r="K295" s="3"/>
      <c r="L295" s="3" t="str">
        <f aca="false">IFERROR(__xludf.dummyfunction("if($T295&lt;&gt;"""",REGEXEXTRACT(SUBSTITUTE ($T295,L$1&amp;"" CE"",""""), L$1&amp;""[\w &amp;]*, (\d+\.\d+)""),"""")
"),"")</f>
        <v/>
      </c>
      <c r="M295" s="3" t="str">
        <f aca="false">IFERROR(__xludf.dummyfunction("if($T295&lt;&gt;"""",REGEXEXTRACT($T295, M$1&amp;""[\w &amp;]*, (\d+\.\d+)""),"""")
"),"")</f>
        <v/>
      </c>
      <c r="N295" s="3" t="str">
        <f aca="false">IFERROR(__xludf.dummyfunction("if($T295&lt;&gt;"""",REGEXEXTRACT(SUBSTITUTE ($T295,N$1&amp;"" CE"",""""), N$1&amp;""[\w &amp;]*, (\d+\.\d+)""),"""")
"),"")</f>
        <v/>
      </c>
      <c r="O295" s="3" t="str">
        <f aca="false">IFERROR(__xludf.dummyfunction("if($T295&lt;&gt;"""",REGEXEXTRACT($T295, O$1&amp;""[\w &amp;]*, (\d+\.\d+)""),"""")
"),"")</f>
        <v/>
      </c>
      <c r="P295" s="2"/>
      <c r="Q295" s="2"/>
      <c r="R295" s="2"/>
      <c r="S295" s="2"/>
      <c r="T295" s="5"/>
      <c r="U295" s="5"/>
    </row>
    <row r="296" customFormat="false" ht="15.75" hidden="false" customHeight="false" outlineLevel="0" collapsed="false">
      <c r="A296" s="4"/>
      <c r="B296" s="2"/>
      <c r="C296" s="2"/>
      <c r="D296" s="2"/>
      <c r="E296" s="2"/>
      <c r="F296" s="3" t="str">
        <f aca="false">IFERROR(__xludf.dummyfunction("if($T296&lt;&gt;"""",REGEXEXTRACT(SUBSTITUTE ($T296,F$1&amp;"" CE"",""""), F$1&amp;""[\w &amp;]*, (\d+\.\d+)""),"""")
"),"")</f>
        <v/>
      </c>
      <c r="G296" s="3" t="str">
        <f aca="false">IFERROR(__xludf.dummyfunction("if($T296&lt;&gt;"""",REGEXEXTRACT($T296, G$1&amp;""[\w &amp;]*, (\d+\.\d+)""),"""")
"),"")</f>
        <v/>
      </c>
      <c r="H296" s="3"/>
      <c r="I296" s="3" t="str">
        <f aca="false">IFERROR(__xludf.dummyfunction("if($T296&lt;&gt;"""",REGEXEXTRACT(SUBSTITUTE ($T296,I$1&amp;"" CE"",""""), I$1&amp;""[\w &amp;]*, (\d+\.\d+)""),"""")
"),"")</f>
        <v/>
      </c>
      <c r="J296" s="3" t="str">
        <f aca="false">IFERROR(__xludf.dummyfunction("if($T296&lt;&gt;"""",REGEXEXTRACT($T296, J$1&amp;""[\w &amp;]*, (\d+\.\d+)""),"""")
"),"")</f>
        <v/>
      </c>
      <c r="K296" s="3"/>
      <c r="L296" s="3" t="str">
        <f aca="false">IFERROR(__xludf.dummyfunction("if($T296&lt;&gt;"""",REGEXEXTRACT(SUBSTITUTE ($T296,L$1&amp;"" CE"",""""), L$1&amp;""[\w &amp;]*, (\d+\.\d+)""),"""")
"),"")</f>
        <v/>
      </c>
      <c r="M296" s="3" t="str">
        <f aca="false">IFERROR(__xludf.dummyfunction("if($T296&lt;&gt;"""",REGEXEXTRACT($T296, M$1&amp;""[\w &amp;]*, (\d+\.\d+)""),"""")
"),"")</f>
        <v/>
      </c>
      <c r="N296" s="3" t="str">
        <f aca="false">IFERROR(__xludf.dummyfunction("if($T296&lt;&gt;"""",REGEXEXTRACT(SUBSTITUTE ($T296,N$1&amp;"" CE"",""""), N$1&amp;""[\w &amp;]*, (\d+\.\d+)""),"""")
"),"")</f>
        <v/>
      </c>
      <c r="O296" s="3" t="str">
        <f aca="false">IFERROR(__xludf.dummyfunction("if($T296&lt;&gt;"""",REGEXEXTRACT($T296, O$1&amp;""[\w &amp;]*, (\d+\.\d+)""),"""")
"),"")</f>
        <v/>
      </c>
      <c r="P296" s="2"/>
      <c r="Q296" s="2"/>
      <c r="R296" s="2"/>
      <c r="S296" s="2"/>
      <c r="T296" s="5"/>
      <c r="U296" s="5"/>
    </row>
    <row r="297" customFormat="false" ht="15.75" hidden="false" customHeight="false" outlineLevel="0" collapsed="false">
      <c r="A297" s="4"/>
      <c r="B297" s="2"/>
      <c r="C297" s="2"/>
      <c r="D297" s="2"/>
      <c r="E297" s="2"/>
      <c r="F297" s="3" t="str">
        <f aca="false">IFERROR(__xludf.dummyfunction("if($T297&lt;&gt;"""",REGEXEXTRACT(SUBSTITUTE ($T297,F$1&amp;"" CE"",""""), F$1&amp;""[\w &amp;]*, (\d+\.\d+)""),"""")
"),"")</f>
        <v/>
      </c>
      <c r="G297" s="3" t="str">
        <f aca="false">IFERROR(__xludf.dummyfunction("if($T297&lt;&gt;"""",REGEXEXTRACT($T297, G$1&amp;""[\w &amp;]*, (\d+\.\d+)""),"""")
"),"")</f>
        <v/>
      </c>
      <c r="H297" s="3"/>
      <c r="I297" s="3" t="str">
        <f aca="false">IFERROR(__xludf.dummyfunction("if($T297&lt;&gt;"""",REGEXEXTRACT(SUBSTITUTE ($T297,I$1&amp;"" CE"",""""), I$1&amp;""[\w &amp;]*, (\d+\.\d+)""),"""")
"),"")</f>
        <v/>
      </c>
      <c r="J297" s="3" t="str">
        <f aca="false">IFERROR(__xludf.dummyfunction("if($T297&lt;&gt;"""",REGEXEXTRACT($T297, J$1&amp;""[\w &amp;]*, (\d+\.\d+)""),"""")
"),"")</f>
        <v/>
      </c>
      <c r="K297" s="3"/>
      <c r="L297" s="3" t="str">
        <f aca="false">IFERROR(__xludf.dummyfunction("if($T297&lt;&gt;"""",REGEXEXTRACT(SUBSTITUTE ($T297,L$1&amp;"" CE"",""""), L$1&amp;""[\w &amp;]*, (\d+\.\d+)""),"""")
"),"")</f>
        <v/>
      </c>
      <c r="M297" s="3" t="str">
        <f aca="false">IFERROR(__xludf.dummyfunction("if($T297&lt;&gt;"""",REGEXEXTRACT($T297, M$1&amp;""[\w &amp;]*, (\d+\.\d+)""),"""")
"),"")</f>
        <v/>
      </c>
      <c r="N297" s="3" t="str">
        <f aca="false">IFERROR(__xludf.dummyfunction("if($T297&lt;&gt;"""",REGEXEXTRACT(SUBSTITUTE ($T297,N$1&amp;"" CE"",""""), N$1&amp;""[\w &amp;]*, (\d+\.\d+)""),"""")
"),"")</f>
        <v/>
      </c>
      <c r="O297" s="3" t="str">
        <f aca="false">IFERROR(__xludf.dummyfunction("if($T297&lt;&gt;"""",REGEXEXTRACT($T297, O$1&amp;""[\w &amp;]*, (\d+\.\d+)""),"""")
"),"")</f>
        <v/>
      </c>
      <c r="P297" s="2"/>
      <c r="Q297" s="2"/>
      <c r="R297" s="2"/>
      <c r="S297" s="2"/>
      <c r="T297" s="5"/>
      <c r="U297" s="5"/>
    </row>
    <row r="298" customFormat="false" ht="15.75" hidden="false" customHeight="false" outlineLevel="0" collapsed="false">
      <c r="A298" s="4"/>
      <c r="B298" s="2"/>
      <c r="C298" s="2"/>
      <c r="D298" s="2"/>
      <c r="E298" s="2"/>
      <c r="F298" s="3" t="str">
        <f aca="false">IFERROR(__xludf.dummyfunction("if($T298&lt;&gt;"""",REGEXEXTRACT(SUBSTITUTE ($T298,F$1&amp;"" CE"",""""), F$1&amp;""[\w &amp;]*, (\d+\.\d+)""),"""")
"),"")</f>
        <v/>
      </c>
      <c r="G298" s="3" t="str">
        <f aca="false">IFERROR(__xludf.dummyfunction("if($T298&lt;&gt;"""",REGEXEXTRACT($T298, G$1&amp;""[\w &amp;]*, (\d+\.\d+)""),"""")
"),"")</f>
        <v/>
      </c>
      <c r="H298" s="3"/>
      <c r="I298" s="3" t="str">
        <f aca="false">IFERROR(__xludf.dummyfunction("if($T298&lt;&gt;"""",REGEXEXTRACT(SUBSTITUTE ($T298,I$1&amp;"" CE"",""""), I$1&amp;""[\w &amp;]*, (\d+\.\d+)""),"""")
"),"")</f>
        <v/>
      </c>
      <c r="J298" s="3" t="str">
        <f aca="false">IFERROR(__xludf.dummyfunction("if($T298&lt;&gt;"""",REGEXEXTRACT($T298, J$1&amp;""[\w &amp;]*, (\d+\.\d+)""),"""")
"),"")</f>
        <v/>
      </c>
      <c r="K298" s="3"/>
      <c r="L298" s="3" t="str">
        <f aca="false">IFERROR(__xludf.dummyfunction("if($T298&lt;&gt;"""",REGEXEXTRACT(SUBSTITUTE ($T298,L$1&amp;"" CE"",""""), L$1&amp;""[\w &amp;]*, (\d+\.\d+)""),"""")
"),"")</f>
        <v/>
      </c>
      <c r="M298" s="3" t="str">
        <f aca="false">IFERROR(__xludf.dummyfunction("if($T298&lt;&gt;"""",REGEXEXTRACT($T298, M$1&amp;""[\w &amp;]*, (\d+\.\d+)""),"""")
"),"")</f>
        <v/>
      </c>
      <c r="N298" s="3" t="str">
        <f aca="false">IFERROR(__xludf.dummyfunction("if($T298&lt;&gt;"""",REGEXEXTRACT(SUBSTITUTE ($T298,N$1&amp;"" CE"",""""), N$1&amp;""[\w &amp;]*, (\d+\.\d+)""),"""")
"),"")</f>
        <v/>
      </c>
      <c r="O298" s="3" t="str">
        <f aca="false">IFERROR(__xludf.dummyfunction("if($T298&lt;&gt;"""",REGEXEXTRACT($T298, O$1&amp;""[\w &amp;]*, (\d+\.\d+)""),"""")
"),"")</f>
        <v/>
      </c>
      <c r="P298" s="2"/>
      <c r="Q298" s="2"/>
      <c r="R298" s="2"/>
      <c r="S298" s="2"/>
      <c r="T298" s="5"/>
      <c r="U298" s="5"/>
    </row>
    <row r="299" customFormat="false" ht="15.75" hidden="false" customHeight="false" outlineLevel="0" collapsed="false">
      <c r="A299" s="4"/>
      <c r="B299" s="2"/>
      <c r="C299" s="2"/>
      <c r="D299" s="2"/>
      <c r="E299" s="2"/>
      <c r="F299" s="3" t="str">
        <f aca="false">IFERROR(__xludf.dummyfunction("if($T299&lt;&gt;"""",REGEXEXTRACT(SUBSTITUTE ($T299,F$1&amp;"" CE"",""""), F$1&amp;""[\w &amp;]*, (\d+\.\d+)""),"""")
"),"")</f>
        <v/>
      </c>
      <c r="G299" s="3" t="str">
        <f aca="false">IFERROR(__xludf.dummyfunction("if($T299&lt;&gt;"""",REGEXEXTRACT($T299, G$1&amp;""[\w &amp;]*, (\d+\.\d+)""),"""")
"),"")</f>
        <v/>
      </c>
      <c r="H299" s="3"/>
      <c r="I299" s="3" t="str">
        <f aca="false">IFERROR(__xludf.dummyfunction("if($T299&lt;&gt;"""",REGEXEXTRACT(SUBSTITUTE ($T299,I$1&amp;"" CE"",""""), I$1&amp;""[\w &amp;]*, (\d+\.\d+)""),"""")
"),"")</f>
        <v/>
      </c>
      <c r="J299" s="3" t="str">
        <f aca="false">IFERROR(__xludf.dummyfunction("if($T299&lt;&gt;"""",REGEXEXTRACT($T299, J$1&amp;""[\w &amp;]*, (\d+\.\d+)""),"""")
"),"")</f>
        <v/>
      </c>
      <c r="K299" s="3"/>
      <c r="L299" s="3" t="str">
        <f aca="false">IFERROR(__xludf.dummyfunction("if($T299&lt;&gt;"""",REGEXEXTRACT(SUBSTITUTE ($T299,L$1&amp;"" CE"",""""), L$1&amp;""[\w &amp;]*, (\d+\.\d+)""),"""")
"),"")</f>
        <v/>
      </c>
      <c r="M299" s="3" t="str">
        <f aca="false">IFERROR(__xludf.dummyfunction("if($T299&lt;&gt;"""",REGEXEXTRACT($T299, M$1&amp;""[\w &amp;]*, (\d+\.\d+)""),"""")
"),"")</f>
        <v/>
      </c>
      <c r="N299" s="3" t="str">
        <f aca="false">IFERROR(__xludf.dummyfunction("if($T299&lt;&gt;"""",REGEXEXTRACT(SUBSTITUTE ($T299,N$1&amp;"" CE"",""""), N$1&amp;""[\w &amp;]*, (\d+\.\d+)""),"""")
"),"")</f>
        <v/>
      </c>
      <c r="O299" s="3" t="str">
        <f aca="false">IFERROR(__xludf.dummyfunction("if($T299&lt;&gt;"""",REGEXEXTRACT($T299, O$1&amp;""[\w &amp;]*, (\d+\.\d+)""),"""")
"),"")</f>
        <v/>
      </c>
      <c r="P299" s="2"/>
      <c r="Q299" s="2"/>
      <c r="R299" s="2"/>
      <c r="S299" s="2"/>
      <c r="T299" s="5"/>
      <c r="U299" s="5"/>
    </row>
    <row r="300" customFormat="false" ht="15.75" hidden="false" customHeight="false" outlineLevel="0" collapsed="false">
      <c r="A300" s="4"/>
      <c r="B300" s="2"/>
      <c r="C300" s="2"/>
      <c r="D300" s="2"/>
      <c r="E300" s="2"/>
      <c r="F300" s="3" t="str">
        <f aca="false">IFERROR(__xludf.dummyfunction("if($T300&lt;&gt;"""",REGEXEXTRACT(SUBSTITUTE ($T300,F$1&amp;"" CE"",""""), F$1&amp;""[\w &amp;]*, (\d+\.\d+)""),"""")
"),"")</f>
        <v/>
      </c>
      <c r="G300" s="3" t="str">
        <f aca="false">IFERROR(__xludf.dummyfunction("if($T300&lt;&gt;"""",REGEXEXTRACT($T300, G$1&amp;""[\w &amp;]*, (\d+\.\d+)""),"""")
"),"")</f>
        <v/>
      </c>
      <c r="H300" s="3"/>
      <c r="I300" s="3" t="str">
        <f aca="false">IFERROR(__xludf.dummyfunction("if($T300&lt;&gt;"""",REGEXEXTRACT(SUBSTITUTE ($T300,I$1&amp;"" CE"",""""), I$1&amp;""[\w &amp;]*, (\d+\.\d+)""),"""")
"),"")</f>
        <v/>
      </c>
      <c r="J300" s="3" t="str">
        <f aca="false">IFERROR(__xludf.dummyfunction("if($T300&lt;&gt;"""",REGEXEXTRACT($T300, J$1&amp;""[\w &amp;]*, (\d+\.\d+)""),"""")
"),"")</f>
        <v/>
      </c>
      <c r="K300" s="3"/>
      <c r="L300" s="3" t="str">
        <f aca="false">IFERROR(__xludf.dummyfunction("if($T300&lt;&gt;"""",REGEXEXTRACT(SUBSTITUTE ($T300,L$1&amp;"" CE"",""""), L$1&amp;""[\w &amp;]*, (\d+\.\d+)""),"""")
"),"")</f>
        <v/>
      </c>
      <c r="M300" s="3" t="str">
        <f aca="false">IFERROR(__xludf.dummyfunction("if($T300&lt;&gt;"""",REGEXEXTRACT($T300, M$1&amp;""[\w &amp;]*, (\d+\.\d+)""),"""")
"),"")</f>
        <v/>
      </c>
      <c r="N300" s="3" t="str">
        <f aca="false">IFERROR(__xludf.dummyfunction("if($T300&lt;&gt;"""",REGEXEXTRACT(SUBSTITUTE ($T300,N$1&amp;"" CE"",""""), N$1&amp;""[\w &amp;]*, (\d+\.\d+)""),"""")
"),"")</f>
        <v/>
      </c>
      <c r="O300" s="3" t="str">
        <f aca="false">IFERROR(__xludf.dummyfunction("if($T300&lt;&gt;"""",REGEXEXTRACT($T300, O$1&amp;""[\w &amp;]*, (\d+\.\d+)""),"""")
"),"")</f>
        <v/>
      </c>
      <c r="P300" s="2"/>
      <c r="Q300" s="2"/>
      <c r="R300" s="2"/>
      <c r="S300" s="2"/>
      <c r="T300" s="5"/>
      <c r="U300" s="5"/>
    </row>
    <row r="301" customFormat="false" ht="15.75" hidden="false" customHeight="false" outlineLevel="0" collapsed="false">
      <c r="A301" s="4"/>
      <c r="B301" s="2"/>
      <c r="C301" s="2"/>
      <c r="D301" s="2"/>
      <c r="E301" s="2"/>
      <c r="F301" s="3" t="str">
        <f aca="false">IFERROR(__xludf.dummyfunction("if($T301&lt;&gt;"""",REGEXEXTRACT(SUBSTITUTE ($T301,F$1&amp;"" CE"",""""), F$1&amp;""[\w &amp;]*, (\d+\.\d+)""),"""")
"),"")</f>
        <v/>
      </c>
      <c r="G301" s="3" t="str">
        <f aca="false">IFERROR(__xludf.dummyfunction("if($T301&lt;&gt;"""",REGEXEXTRACT($T301, G$1&amp;""[\w &amp;]*, (\d+\.\d+)""),"""")
"),"")</f>
        <v/>
      </c>
      <c r="H301" s="3"/>
      <c r="I301" s="3" t="str">
        <f aca="false">IFERROR(__xludf.dummyfunction("if($T301&lt;&gt;"""",REGEXEXTRACT(SUBSTITUTE ($T301,I$1&amp;"" CE"",""""), I$1&amp;""[\w &amp;]*, (\d+\.\d+)""),"""")
"),"")</f>
        <v/>
      </c>
      <c r="J301" s="3" t="str">
        <f aca="false">IFERROR(__xludf.dummyfunction("if($T301&lt;&gt;"""",REGEXEXTRACT($T301, J$1&amp;""[\w &amp;]*, (\d+\.\d+)""),"""")
"),"")</f>
        <v/>
      </c>
      <c r="K301" s="3"/>
      <c r="L301" s="3" t="str">
        <f aca="false">IFERROR(__xludf.dummyfunction("if($T301&lt;&gt;"""",REGEXEXTRACT(SUBSTITUTE ($T301,L$1&amp;"" CE"",""""), L$1&amp;""[\w &amp;]*, (\d+\.\d+)""),"""")
"),"")</f>
        <v/>
      </c>
      <c r="M301" s="3" t="str">
        <f aca="false">IFERROR(__xludf.dummyfunction("if($T301&lt;&gt;"""",REGEXEXTRACT($T301, M$1&amp;""[\w &amp;]*, (\d+\.\d+)""),"""")
"),"")</f>
        <v/>
      </c>
      <c r="N301" s="3" t="str">
        <f aca="false">IFERROR(__xludf.dummyfunction("if($T301&lt;&gt;"""",REGEXEXTRACT(SUBSTITUTE ($T301,N$1&amp;"" CE"",""""), N$1&amp;""[\w &amp;]*, (\d+\.\d+)""),"""")
"),"")</f>
        <v/>
      </c>
      <c r="O301" s="3" t="str">
        <f aca="false">IFERROR(__xludf.dummyfunction("if($T301&lt;&gt;"""",REGEXEXTRACT($T301, O$1&amp;""[\w &amp;]*, (\d+\.\d+)""),"""")
"),"")</f>
        <v/>
      </c>
      <c r="P301" s="2"/>
      <c r="Q301" s="2"/>
      <c r="R301" s="2"/>
      <c r="S301" s="2"/>
      <c r="T301" s="5"/>
      <c r="U301" s="5"/>
    </row>
    <row r="302" customFormat="false" ht="15.75" hidden="false" customHeight="false" outlineLevel="0" collapsed="false">
      <c r="A302" s="4"/>
      <c r="B302" s="2"/>
      <c r="C302" s="2"/>
      <c r="D302" s="2"/>
      <c r="E302" s="2"/>
      <c r="F302" s="3" t="str">
        <f aca="false">IFERROR(__xludf.dummyfunction("if($T302&lt;&gt;"""",REGEXEXTRACT(SUBSTITUTE ($T302,F$1&amp;"" CE"",""""), F$1&amp;""[\w &amp;]*, (\d+\.\d+)""),"""")
"),"")</f>
        <v/>
      </c>
      <c r="G302" s="3" t="str">
        <f aca="false">IFERROR(__xludf.dummyfunction("if($T302&lt;&gt;"""",REGEXEXTRACT($T302, G$1&amp;""[\w &amp;]*, (\d+\.\d+)""),"""")
"),"")</f>
        <v/>
      </c>
      <c r="H302" s="3"/>
      <c r="I302" s="3" t="str">
        <f aca="false">IFERROR(__xludf.dummyfunction("if($T302&lt;&gt;"""",REGEXEXTRACT(SUBSTITUTE ($T302,I$1&amp;"" CE"",""""), I$1&amp;""[\w &amp;]*, (\d+\.\d+)""),"""")
"),"")</f>
        <v/>
      </c>
      <c r="J302" s="3" t="str">
        <f aca="false">IFERROR(__xludf.dummyfunction("if($T302&lt;&gt;"""",REGEXEXTRACT($T302, J$1&amp;""[\w &amp;]*, (\d+\.\d+)""),"""")
"),"")</f>
        <v/>
      </c>
      <c r="K302" s="3"/>
      <c r="L302" s="3" t="str">
        <f aca="false">IFERROR(__xludf.dummyfunction("if($T302&lt;&gt;"""",REGEXEXTRACT(SUBSTITUTE ($T302,L$1&amp;"" CE"",""""), L$1&amp;""[\w &amp;]*, (\d+\.\d+)""),"""")
"),"")</f>
        <v/>
      </c>
      <c r="M302" s="3" t="str">
        <f aca="false">IFERROR(__xludf.dummyfunction("if($T302&lt;&gt;"""",REGEXEXTRACT($T302, M$1&amp;""[\w &amp;]*, (\d+\.\d+)""),"""")
"),"")</f>
        <v/>
      </c>
      <c r="N302" s="3" t="str">
        <f aca="false">IFERROR(__xludf.dummyfunction("if($T302&lt;&gt;"""",REGEXEXTRACT(SUBSTITUTE ($T302,N$1&amp;"" CE"",""""), N$1&amp;""[\w &amp;]*, (\d+\.\d+)""),"""")
"),"")</f>
        <v/>
      </c>
      <c r="O302" s="3" t="str">
        <f aca="false">IFERROR(__xludf.dummyfunction("if($T302&lt;&gt;"""",REGEXEXTRACT($T302, O$1&amp;""[\w &amp;]*, (\d+\.\d+)""),"""")
"),"")</f>
        <v/>
      </c>
      <c r="P302" s="2"/>
      <c r="Q302" s="2"/>
      <c r="R302" s="2"/>
      <c r="S302" s="2"/>
      <c r="T302" s="5"/>
      <c r="U302" s="5"/>
    </row>
    <row r="303" customFormat="false" ht="15.75" hidden="false" customHeight="false" outlineLevel="0" collapsed="false">
      <c r="A303" s="4"/>
      <c r="B303" s="2"/>
      <c r="C303" s="2"/>
      <c r="D303" s="2"/>
      <c r="E303" s="2"/>
      <c r="F303" s="3" t="str">
        <f aca="false">IFERROR(__xludf.dummyfunction("if($T303&lt;&gt;"""",REGEXEXTRACT(SUBSTITUTE ($T303,F$1&amp;"" CE"",""""), F$1&amp;""[\w &amp;]*, (\d+\.\d+)""),"""")
"),"")</f>
        <v/>
      </c>
      <c r="G303" s="3" t="str">
        <f aca="false">IFERROR(__xludf.dummyfunction("if($T303&lt;&gt;"""",REGEXEXTRACT($T303, G$1&amp;""[\w &amp;]*, (\d+\.\d+)""),"""")
"),"")</f>
        <v/>
      </c>
      <c r="H303" s="3"/>
      <c r="I303" s="3" t="str">
        <f aca="false">IFERROR(__xludf.dummyfunction("if($T303&lt;&gt;"""",REGEXEXTRACT(SUBSTITUTE ($T303,I$1&amp;"" CE"",""""), I$1&amp;""[\w &amp;]*, (\d+\.\d+)""),"""")
"),"")</f>
        <v/>
      </c>
      <c r="J303" s="3" t="str">
        <f aca="false">IFERROR(__xludf.dummyfunction("if($T303&lt;&gt;"""",REGEXEXTRACT($T303, J$1&amp;""[\w &amp;]*, (\d+\.\d+)""),"""")
"),"")</f>
        <v/>
      </c>
      <c r="K303" s="3"/>
      <c r="L303" s="3" t="str">
        <f aca="false">IFERROR(__xludf.dummyfunction("if($T303&lt;&gt;"""",REGEXEXTRACT(SUBSTITUTE ($T303,L$1&amp;"" CE"",""""), L$1&amp;""[\w &amp;]*, (\d+\.\d+)""),"""")
"),"")</f>
        <v/>
      </c>
      <c r="M303" s="3" t="str">
        <f aca="false">IFERROR(__xludf.dummyfunction("if($T303&lt;&gt;"""",REGEXEXTRACT($T303, M$1&amp;""[\w &amp;]*, (\d+\.\d+)""),"""")
"),"")</f>
        <v/>
      </c>
      <c r="N303" s="3" t="str">
        <f aca="false">IFERROR(__xludf.dummyfunction("if($T303&lt;&gt;"""",REGEXEXTRACT(SUBSTITUTE ($T303,N$1&amp;"" CE"",""""), N$1&amp;""[\w &amp;]*, (\d+\.\d+)""),"""")
"),"")</f>
        <v/>
      </c>
      <c r="O303" s="3" t="str">
        <f aca="false">IFERROR(__xludf.dummyfunction("if($T303&lt;&gt;"""",REGEXEXTRACT($T303, O$1&amp;""[\w &amp;]*, (\d+\.\d+)""),"""")
"),"")</f>
        <v/>
      </c>
      <c r="P303" s="2"/>
      <c r="Q303" s="2"/>
      <c r="R303" s="2"/>
      <c r="S303" s="2"/>
      <c r="T303" s="5"/>
      <c r="U303" s="5"/>
    </row>
    <row r="304" customFormat="false" ht="15.75" hidden="false" customHeight="false" outlineLevel="0" collapsed="false">
      <c r="A304" s="4"/>
      <c r="B304" s="2"/>
      <c r="C304" s="2"/>
      <c r="D304" s="2"/>
      <c r="E304" s="2"/>
      <c r="F304" s="3" t="str">
        <f aca="false">IFERROR(__xludf.dummyfunction("if($T304&lt;&gt;"""",REGEXEXTRACT(SUBSTITUTE ($T304,F$1&amp;"" CE"",""""), F$1&amp;""[\w &amp;]*, (\d+\.\d+)""),"""")
"),"")</f>
        <v/>
      </c>
      <c r="G304" s="3" t="str">
        <f aca="false">IFERROR(__xludf.dummyfunction("if($T304&lt;&gt;"""",REGEXEXTRACT($T304, G$1&amp;""[\w &amp;]*, (\d+\.\d+)""),"""")
"),"")</f>
        <v/>
      </c>
      <c r="H304" s="3"/>
      <c r="I304" s="3" t="str">
        <f aca="false">IFERROR(__xludf.dummyfunction("if($T304&lt;&gt;"""",REGEXEXTRACT(SUBSTITUTE ($T304,I$1&amp;"" CE"",""""), I$1&amp;""[\w &amp;]*, (\d+\.\d+)""),"""")
"),"")</f>
        <v/>
      </c>
      <c r="J304" s="3" t="str">
        <f aca="false">IFERROR(__xludf.dummyfunction("if($T304&lt;&gt;"""",REGEXEXTRACT($T304, J$1&amp;""[\w &amp;]*, (\d+\.\d+)""),"""")
"),"")</f>
        <v/>
      </c>
      <c r="K304" s="3"/>
      <c r="L304" s="3" t="str">
        <f aca="false">IFERROR(__xludf.dummyfunction("if($T304&lt;&gt;"""",REGEXEXTRACT(SUBSTITUTE ($T304,L$1&amp;"" CE"",""""), L$1&amp;""[\w &amp;]*, (\d+\.\d+)""),"""")
"),"")</f>
        <v/>
      </c>
      <c r="M304" s="3" t="str">
        <f aca="false">IFERROR(__xludf.dummyfunction("if($T304&lt;&gt;"""",REGEXEXTRACT($T304, M$1&amp;""[\w &amp;]*, (\d+\.\d+)""),"""")
"),"")</f>
        <v/>
      </c>
      <c r="N304" s="3" t="str">
        <f aca="false">IFERROR(__xludf.dummyfunction("if($T304&lt;&gt;"""",REGEXEXTRACT(SUBSTITUTE ($T304,N$1&amp;"" CE"",""""), N$1&amp;""[\w &amp;]*, (\d+\.\d+)""),"""")
"),"")</f>
        <v/>
      </c>
      <c r="O304" s="3" t="str">
        <f aca="false">IFERROR(__xludf.dummyfunction("if($T304&lt;&gt;"""",REGEXEXTRACT($T304, O$1&amp;""[\w &amp;]*, (\d+\.\d+)""),"""")
"),"")</f>
        <v/>
      </c>
      <c r="P304" s="2"/>
      <c r="Q304" s="2"/>
      <c r="R304" s="2"/>
      <c r="S304" s="2"/>
      <c r="T304" s="5"/>
      <c r="U304" s="5"/>
    </row>
    <row r="305" customFormat="false" ht="15.75" hidden="false" customHeight="false" outlineLevel="0" collapsed="false">
      <c r="A305" s="4"/>
      <c r="B305" s="2"/>
      <c r="C305" s="2"/>
      <c r="D305" s="2"/>
      <c r="E305" s="2"/>
      <c r="F305" s="3" t="str">
        <f aca="false">IFERROR(__xludf.dummyfunction("if($T305&lt;&gt;"""",REGEXEXTRACT(SUBSTITUTE ($T305,F$1&amp;"" CE"",""""), F$1&amp;""[\w &amp;]*, (\d+\.\d+)""),"""")
"),"")</f>
        <v/>
      </c>
      <c r="G305" s="3" t="str">
        <f aca="false">IFERROR(__xludf.dummyfunction("if($T305&lt;&gt;"""",REGEXEXTRACT($T305, G$1&amp;""[\w &amp;]*, (\d+\.\d+)""),"""")
"),"")</f>
        <v/>
      </c>
      <c r="H305" s="3"/>
      <c r="I305" s="3" t="str">
        <f aca="false">IFERROR(__xludf.dummyfunction("if($T305&lt;&gt;"""",REGEXEXTRACT(SUBSTITUTE ($T305,I$1&amp;"" CE"",""""), I$1&amp;""[\w &amp;]*, (\d+\.\d+)""),"""")
"),"")</f>
        <v/>
      </c>
      <c r="J305" s="3" t="str">
        <f aca="false">IFERROR(__xludf.dummyfunction("if($T305&lt;&gt;"""",REGEXEXTRACT($T305, J$1&amp;""[\w &amp;]*, (\d+\.\d+)""),"""")
"),"")</f>
        <v/>
      </c>
      <c r="K305" s="3"/>
      <c r="L305" s="3" t="str">
        <f aca="false">IFERROR(__xludf.dummyfunction("if($T305&lt;&gt;"""",REGEXEXTRACT(SUBSTITUTE ($T305,L$1&amp;"" CE"",""""), L$1&amp;""[\w &amp;]*, (\d+\.\d+)""),"""")
"),"")</f>
        <v/>
      </c>
      <c r="M305" s="3" t="str">
        <f aca="false">IFERROR(__xludf.dummyfunction("if($T305&lt;&gt;"""",REGEXEXTRACT($T305, M$1&amp;""[\w &amp;]*, (\d+\.\d+)""),"""")
"),"")</f>
        <v/>
      </c>
      <c r="N305" s="3" t="str">
        <f aca="false">IFERROR(__xludf.dummyfunction("if($T305&lt;&gt;"""",REGEXEXTRACT(SUBSTITUTE ($T305,N$1&amp;"" CE"",""""), N$1&amp;""[\w &amp;]*, (\d+\.\d+)""),"""")
"),"")</f>
        <v/>
      </c>
      <c r="O305" s="3" t="str">
        <f aca="false">IFERROR(__xludf.dummyfunction("if($T305&lt;&gt;"""",REGEXEXTRACT($T305, O$1&amp;""[\w &amp;]*, (\d+\.\d+)""),"""")
"),"")</f>
        <v/>
      </c>
      <c r="P305" s="2"/>
      <c r="Q305" s="2"/>
      <c r="R305" s="2"/>
      <c r="S305" s="2"/>
      <c r="T305" s="5"/>
      <c r="U305" s="5"/>
    </row>
    <row r="306" customFormat="false" ht="15.75" hidden="false" customHeight="false" outlineLevel="0" collapsed="false">
      <c r="A306" s="4"/>
      <c r="B306" s="2"/>
      <c r="C306" s="2"/>
      <c r="D306" s="2"/>
      <c r="E306" s="2"/>
      <c r="F306" s="3" t="str">
        <f aca="false">IFERROR(__xludf.dummyfunction("if($T306&lt;&gt;"""",REGEXEXTRACT(SUBSTITUTE ($T306,F$1&amp;"" CE"",""""), F$1&amp;""[\w &amp;]*, (\d+\.\d+)""),"""")
"),"")</f>
        <v/>
      </c>
      <c r="G306" s="3" t="str">
        <f aca="false">IFERROR(__xludf.dummyfunction("if($T306&lt;&gt;"""",REGEXEXTRACT($T306, G$1&amp;""[\w &amp;]*, (\d+\.\d+)""),"""")
"),"")</f>
        <v/>
      </c>
      <c r="H306" s="3"/>
      <c r="I306" s="3" t="str">
        <f aca="false">IFERROR(__xludf.dummyfunction("if($T306&lt;&gt;"""",REGEXEXTRACT(SUBSTITUTE ($T306,I$1&amp;"" CE"",""""), I$1&amp;""[\w &amp;]*, (\d+\.\d+)""),"""")
"),"")</f>
        <v/>
      </c>
      <c r="J306" s="3" t="str">
        <f aca="false">IFERROR(__xludf.dummyfunction("if($T306&lt;&gt;"""",REGEXEXTRACT($T306, J$1&amp;""[\w &amp;]*, (\d+\.\d+)""),"""")
"),"")</f>
        <v/>
      </c>
      <c r="K306" s="3"/>
      <c r="L306" s="3" t="str">
        <f aca="false">IFERROR(__xludf.dummyfunction("if($T306&lt;&gt;"""",REGEXEXTRACT(SUBSTITUTE ($T306,L$1&amp;"" CE"",""""), L$1&amp;""[\w &amp;]*, (\d+\.\d+)""),"""")
"),"")</f>
        <v/>
      </c>
      <c r="M306" s="3" t="str">
        <f aca="false">IFERROR(__xludf.dummyfunction("if($T306&lt;&gt;"""",REGEXEXTRACT($T306, M$1&amp;""[\w &amp;]*, (\d+\.\d+)""),"""")
"),"")</f>
        <v/>
      </c>
      <c r="N306" s="3" t="str">
        <f aca="false">IFERROR(__xludf.dummyfunction("if($T306&lt;&gt;"""",REGEXEXTRACT(SUBSTITUTE ($T306,N$1&amp;"" CE"",""""), N$1&amp;""[\w &amp;]*, (\d+\.\d+)""),"""")
"),"")</f>
        <v/>
      </c>
      <c r="O306" s="3" t="str">
        <f aca="false">IFERROR(__xludf.dummyfunction("if($T306&lt;&gt;"""",REGEXEXTRACT($T306, O$1&amp;""[\w &amp;]*, (\d+\.\d+)""),"""")
"),"")</f>
        <v/>
      </c>
      <c r="P306" s="2"/>
      <c r="Q306" s="2"/>
      <c r="R306" s="2"/>
      <c r="S306" s="2"/>
      <c r="T306" s="5"/>
      <c r="U306" s="5"/>
    </row>
    <row r="307" customFormat="false" ht="15.75" hidden="false" customHeight="false" outlineLevel="0" collapsed="false">
      <c r="A307" s="4"/>
      <c r="B307" s="2"/>
      <c r="C307" s="2"/>
      <c r="D307" s="2"/>
      <c r="E307" s="2"/>
      <c r="F307" s="3" t="str">
        <f aca="false">IFERROR(__xludf.dummyfunction("if($T307&lt;&gt;"""",REGEXEXTRACT(SUBSTITUTE ($T307,F$1&amp;"" CE"",""""), F$1&amp;""[\w &amp;]*, (\d+\.\d+)""),"""")
"),"")</f>
        <v/>
      </c>
      <c r="G307" s="3" t="str">
        <f aca="false">IFERROR(__xludf.dummyfunction("if($T307&lt;&gt;"""",REGEXEXTRACT($T307, G$1&amp;""[\w &amp;]*, (\d+\.\d+)""),"""")
"),"")</f>
        <v/>
      </c>
      <c r="H307" s="3"/>
      <c r="I307" s="3" t="str">
        <f aca="false">IFERROR(__xludf.dummyfunction("if($T307&lt;&gt;"""",REGEXEXTRACT(SUBSTITUTE ($T307,I$1&amp;"" CE"",""""), I$1&amp;""[\w &amp;]*, (\d+\.\d+)""),"""")
"),"")</f>
        <v/>
      </c>
      <c r="J307" s="3" t="str">
        <f aca="false">IFERROR(__xludf.dummyfunction("if($T307&lt;&gt;"""",REGEXEXTRACT($T307, J$1&amp;""[\w &amp;]*, (\d+\.\d+)""),"""")
"),"")</f>
        <v/>
      </c>
      <c r="K307" s="3"/>
      <c r="L307" s="3" t="str">
        <f aca="false">IFERROR(__xludf.dummyfunction("if($T307&lt;&gt;"""",REGEXEXTRACT(SUBSTITUTE ($T307,L$1&amp;"" CE"",""""), L$1&amp;""[\w &amp;]*, (\d+\.\d+)""),"""")
"),"")</f>
        <v/>
      </c>
      <c r="M307" s="3" t="str">
        <f aca="false">IFERROR(__xludf.dummyfunction("if($T307&lt;&gt;"""",REGEXEXTRACT($T307, M$1&amp;""[\w &amp;]*, (\d+\.\d+)""),"""")
"),"")</f>
        <v/>
      </c>
      <c r="N307" s="3" t="str">
        <f aca="false">IFERROR(__xludf.dummyfunction("if($T307&lt;&gt;"""",REGEXEXTRACT(SUBSTITUTE ($T307,N$1&amp;"" CE"",""""), N$1&amp;""[\w &amp;]*, (\d+\.\d+)""),"""")
"),"")</f>
        <v/>
      </c>
      <c r="O307" s="3" t="str">
        <f aca="false">IFERROR(__xludf.dummyfunction("if($T307&lt;&gt;"""",REGEXEXTRACT($T307, O$1&amp;""[\w &amp;]*, (\d+\.\d+)""),"""")
"),"")</f>
        <v/>
      </c>
      <c r="P307" s="2"/>
      <c r="Q307" s="2"/>
      <c r="R307" s="2"/>
      <c r="S307" s="2"/>
      <c r="T307" s="5"/>
      <c r="U307" s="5"/>
    </row>
    <row r="308" customFormat="false" ht="15.75" hidden="false" customHeight="false" outlineLevel="0" collapsed="false">
      <c r="A308" s="4"/>
      <c r="B308" s="2"/>
      <c r="C308" s="2"/>
      <c r="D308" s="2"/>
      <c r="E308" s="2"/>
      <c r="F308" s="3" t="str">
        <f aca="false">IFERROR(__xludf.dummyfunction("if($T308&lt;&gt;"""",REGEXEXTRACT(SUBSTITUTE ($T308,F$1&amp;"" CE"",""""), F$1&amp;""[\w &amp;]*, (\d+\.\d+)""),"""")
"),"")</f>
        <v/>
      </c>
      <c r="G308" s="3" t="str">
        <f aca="false">IFERROR(__xludf.dummyfunction("if($T308&lt;&gt;"""",REGEXEXTRACT($T308, G$1&amp;""[\w &amp;]*, (\d+\.\d+)""),"""")
"),"")</f>
        <v/>
      </c>
      <c r="H308" s="3"/>
      <c r="I308" s="3" t="str">
        <f aca="false">IFERROR(__xludf.dummyfunction("if($T308&lt;&gt;"""",REGEXEXTRACT(SUBSTITUTE ($T308,I$1&amp;"" CE"",""""), I$1&amp;""[\w &amp;]*, (\d+\.\d+)""),"""")
"),"")</f>
        <v/>
      </c>
      <c r="J308" s="3" t="str">
        <f aca="false">IFERROR(__xludf.dummyfunction("if($T308&lt;&gt;"""",REGEXEXTRACT($T308, J$1&amp;""[\w &amp;]*, (\d+\.\d+)""),"""")
"),"")</f>
        <v/>
      </c>
      <c r="K308" s="3"/>
      <c r="L308" s="3" t="str">
        <f aca="false">IFERROR(__xludf.dummyfunction("if($T308&lt;&gt;"""",REGEXEXTRACT(SUBSTITUTE ($T308,L$1&amp;"" CE"",""""), L$1&amp;""[\w &amp;]*, (\d+\.\d+)""),"""")
"),"")</f>
        <v/>
      </c>
      <c r="M308" s="3" t="str">
        <f aca="false">IFERROR(__xludf.dummyfunction("if($T308&lt;&gt;"""",REGEXEXTRACT($T308, M$1&amp;""[\w &amp;]*, (\d+\.\d+)""),"""")
"),"")</f>
        <v/>
      </c>
      <c r="N308" s="3" t="str">
        <f aca="false">IFERROR(__xludf.dummyfunction("if($T308&lt;&gt;"""",REGEXEXTRACT(SUBSTITUTE ($T308,N$1&amp;"" CE"",""""), N$1&amp;""[\w &amp;]*, (\d+\.\d+)""),"""")
"),"")</f>
        <v/>
      </c>
      <c r="O308" s="3" t="str">
        <f aca="false">IFERROR(__xludf.dummyfunction("if($T308&lt;&gt;"""",REGEXEXTRACT($T308, O$1&amp;""[\w &amp;]*, (\d+\.\d+)""),"""")
"),"")</f>
        <v/>
      </c>
      <c r="P308" s="2"/>
      <c r="Q308" s="2"/>
      <c r="R308" s="2"/>
      <c r="S308" s="2"/>
      <c r="T308" s="5"/>
      <c r="U308" s="5"/>
    </row>
    <row r="309" customFormat="false" ht="15.75" hidden="false" customHeight="false" outlineLevel="0" collapsed="false">
      <c r="A309" s="4"/>
      <c r="B309" s="2"/>
      <c r="C309" s="2"/>
      <c r="D309" s="2"/>
      <c r="E309" s="2"/>
      <c r="F309" s="3" t="str">
        <f aca="false">IFERROR(__xludf.dummyfunction("if($T309&lt;&gt;"""",REGEXEXTRACT(SUBSTITUTE ($T309,F$1&amp;"" CE"",""""), F$1&amp;""[\w &amp;]*, (\d+\.\d+)""),"""")
"),"")</f>
        <v/>
      </c>
      <c r="G309" s="3" t="str">
        <f aca="false">IFERROR(__xludf.dummyfunction("if($T309&lt;&gt;"""",REGEXEXTRACT($T309, G$1&amp;""[\w &amp;]*, (\d+\.\d+)""),"""")
"),"")</f>
        <v/>
      </c>
      <c r="H309" s="3"/>
      <c r="I309" s="3" t="str">
        <f aca="false">IFERROR(__xludf.dummyfunction("if($T309&lt;&gt;"""",REGEXEXTRACT(SUBSTITUTE ($T309,I$1&amp;"" CE"",""""), I$1&amp;""[\w &amp;]*, (\d+\.\d+)""),"""")
"),"")</f>
        <v/>
      </c>
      <c r="J309" s="3" t="str">
        <f aca="false">IFERROR(__xludf.dummyfunction("if($T309&lt;&gt;"""",REGEXEXTRACT($T309, J$1&amp;""[\w &amp;]*, (\d+\.\d+)""),"""")
"),"")</f>
        <v/>
      </c>
      <c r="K309" s="3"/>
      <c r="L309" s="3" t="str">
        <f aca="false">IFERROR(__xludf.dummyfunction("if($T309&lt;&gt;"""",REGEXEXTRACT(SUBSTITUTE ($T309,L$1&amp;"" CE"",""""), L$1&amp;""[\w &amp;]*, (\d+\.\d+)""),"""")
"),"")</f>
        <v/>
      </c>
      <c r="M309" s="3" t="str">
        <f aca="false">IFERROR(__xludf.dummyfunction("if($T309&lt;&gt;"""",REGEXEXTRACT($T309, M$1&amp;""[\w &amp;]*, (\d+\.\d+)""),"""")
"),"")</f>
        <v/>
      </c>
      <c r="N309" s="3" t="str">
        <f aca="false">IFERROR(__xludf.dummyfunction("if($T309&lt;&gt;"""",REGEXEXTRACT(SUBSTITUTE ($T309,N$1&amp;"" CE"",""""), N$1&amp;""[\w &amp;]*, (\d+\.\d+)""),"""")
"),"")</f>
        <v/>
      </c>
      <c r="O309" s="3" t="str">
        <f aca="false">IFERROR(__xludf.dummyfunction("if($T309&lt;&gt;"""",REGEXEXTRACT($T309, O$1&amp;""[\w &amp;]*, (\d+\.\d+)""),"""")
"),"")</f>
        <v/>
      </c>
      <c r="P309" s="2"/>
      <c r="Q309" s="2"/>
      <c r="R309" s="2"/>
      <c r="S309" s="2"/>
      <c r="T309" s="5"/>
      <c r="U309" s="5"/>
    </row>
    <row r="310" customFormat="false" ht="15.75" hidden="false" customHeight="false" outlineLevel="0" collapsed="false">
      <c r="A310" s="4"/>
      <c r="B310" s="2"/>
      <c r="C310" s="2"/>
      <c r="D310" s="2"/>
      <c r="E310" s="2"/>
      <c r="F310" s="3" t="str">
        <f aca="false">IFERROR(__xludf.dummyfunction("if($T310&lt;&gt;"""",REGEXEXTRACT(SUBSTITUTE ($T310,F$1&amp;"" CE"",""""), F$1&amp;""[\w &amp;]*, (\d+\.\d+)""),"""")
"),"")</f>
        <v/>
      </c>
      <c r="G310" s="3" t="str">
        <f aca="false">IFERROR(__xludf.dummyfunction("if($T310&lt;&gt;"""",REGEXEXTRACT($T310, G$1&amp;""[\w &amp;]*, (\d+\.\d+)""),"""")
"),"")</f>
        <v/>
      </c>
      <c r="H310" s="3"/>
      <c r="I310" s="3" t="str">
        <f aca="false">IFERROR(__xludf.dummyfunction("if($T310&lt;&gt;"""",REGEXEXTRACT(SUBSTITUTE ($T310,I$1&amp;"" CE"",""""), I$1&amp;""[\w &amp;]*, (\d+\.\d+)""),"""")
"),"")</f>
        <v/>
      </c>
      <c r="J310" s="3" t="str">
        <f aca="false">IFERROR(__xludf.dummyfunction("if($T310&lt;&gt;"""",REGEXEXTRACT($T310, J$1&amp;""[\w &amp;]*, (\d+\.\d+)""),"""")
"),"")</f>
        <v/>
      </c>
      <c r="K310" s="3"/>
      <c r="L310" s="3" t="str">
        <f aca="false">IFERROR(__xludf.dummyfunction("if($T310&lt;&gt;"""",REGEXEXTRACT(SUBSTITUTE ($T310,L$1&amp;"" CE"",""""), L$1&amp;""[\w &amp;]*, (\d+\.\d+)""),"""")
"),"")</f>
        <v/>
      </c>
      <c r="M310" s="3" t="str">
        <f aca="false">IFERROR(__xludf.dummyfunction("if($T310&lt;&gt;"""",REGEXEXTRACT($T310, M$1&amp;""[\w &amp;]*, (\d+\.\d+)""),"""")
"),"")</f>
        <v/>
      </c>
      <c r="N310" s="3" t="str">
        <f aca="false">IFERROR(__xludf.dummyfunction("if($T310&lt;&gt;"""",REGEXEXTRACT(SUBSTITUTE ($T310,N$1&amp;"" CE"",""""), N$1&amp;""[\w &amp;]*, (\d+\.\d+)""),"""")
"),"")</f>
        <v/>
      </c>
      <c r="O310" s="3" t="str">
        <f aca="false">IFERROR(__xludf.dummyfunction("if($T310&lt;&gt;"""",REGEXEXTRACT($T310, O$1&amp;""[\w &amp;]*, (\d+\.\d+)""),"""")
"),"")</f>
        <v/>
      </c>
      <c r="P310" s="2"/>
      <c r="Q310" s="2"/>
      <c r="R310" s="2"/>
      <c r="S310" s="2"/>
      <c r="T310" s="5"/>
      <c r="U310" s="5"/>
    </row>
    <row r="311" customFormat="false" ht="15.75" hidden="false" customHeight="false" outlineLevel="0" collapsed="false">
      <c r="A311" s="4"/>
      <c r="B311" s="2"/>
      <c r="C311" s="2"/>
      <c r="D311" s="2"/>
      <c r="E311" s="2"/>
      <c r="F311" s="3" t="str">
        <f aca="false">IFERROR(__xludf.dummyfunction("if($T311&lt;&gt;"""",REGEXEXTRACT(SUBSTITUTE ($T311,F$1&amp;"" CE"",""""), F$1&amp;""[\w &amp;]*, (\d+\.\d+)""),"""")
"),"")</f>
        <v/>
      </c>
      <c r="G311" s="3" t="str">
        <f aca="false">IFERROR(__xludf.dummyfunction("if($T311&lt;&gt;"""",REGEXEXTRACT($T311, G$1&amp;""[\w &amp;]*, (\d+\.\d+)""),"""")
"),"")</f>
        <v/>
      </c>
      <c r="H311" s="3"/>
      <c r="I311" s="3" t="str">
        <f aca="false">IFERROR(__xludf.dummyfunction("if($T311&lt;&gt;"""",REGEXEXTRACT(SUBSTITUTE ($T311,I$1&amp;"" CE"",""""), I$1&amp;""[\w &amp;]*, (\d+\.\d+)""),"""")
"),"")</f>
        <v/>
      </c>
      <c r="J311" s="3" t="str">
        <f aca="false">IFERROR(__xludf.dummyfunction("if($T311&lt;&gt;"""",REGEXEXTRACT($T311, J$1&amp;""[\w &amp;]*, (\d+\.\d+)""),"""")
"),"")</f>
        <v/>
      </c>
      <c r="K311" s="3"/>
      <c r="L311" s="3" t="str">
        <f aca="false">IFERROR(__xludf.dummyfunction("if($T311&lt;&gt;"""",REGEXEXTRACT(SUBSTITUTE ($T311,L$1&amp;"" CE"",""""), L$1&amp;""[\w &amp;]*, (\d+\.\d+)""),"""")
"),"")</f>
        <v/>
      </c>
      <c r="M311" s="3" t="str">
        <f aca="false">IFERROR(__xludf.dummyfunction("if($T311&lt;&gt;"""",REGEXEXTRACT($T311, M$1&amp;""[\w &amp;]*, (\d+\.\d+)""),"""")
"),"")</f>
        <v/>
      </c>
      <c r="N311" s="3" t="str">
        <f aca="false">IFERROR(__xludf.dummyfunction("if($T311&lt;&gt;"""",REGEXEXTRACT(SUBSTITUTE ($T311,N$1&amp;"" CE"",""""), N$1&amp;""[\w &amp;]*, (\d+\.\d+)""),"""")
"),"")</f>
        <v/>
      </c>
      <c r="O311" s="3" t="str">
        <f aca="false">IFERROR(__xludf.dummyfunction("if($T311&lt;&gt;"""",REGEXEXTRACT($T311, O$1&amp;""[\w &amp;]*, (\d+\.\d+)""),"""")
"),"")</f>
        <v/>
      </c>
      <c r="P311" s="2"/>
      <c r="Q311" s="2"/>
      <c r="R311" s="2"/>
      <c r="S311" s="2"/>
      <c r="T311" s="5"/>
      <c r="U311" s="5"/>
    </row>
    <row r="312" customFormat="false" ht="15.75" hidden="false" customHeight="false" outlineLevel="0" collapsed="false">
      <c r="A312" s="4"/>
      <c r="B312" s="2"/>
      <c r="C312" s="2"/>
      <c r="D312" s="2"/>
      <c r="E312" s="2"/>
      <c r="F312" s="3" t="str">
        <f aca="false">IFERROR(__xludf.dummyfunction("if($T312&lt;&gt;"""",REGEXEXTRACT(SUBSTITUTE ($T312,F$1&amp;"" CE"",""""), F$1&amp;""[\w &amp;]*, (\d+\.\d+)""),"""")
"),"")</f>
        <v/>
      </c>
      <c r="G312" s="3" t="str">
        <f aca="false">IFERROR(__xludf.dummyfunction("if($T312&lt;&gt;"""",REGEXEXTRACT($T312, G$1&amp;""[\w &amp;]*, (\d+\.\d+)""),"""")
"),"")</f>
        <v/>
      </c>
      <c r="H312" s="3"/>
      <c r="I312" s="3" t="str">
        <f aca="false">IFERROR(__xludf.dummyfunction("if($T312&lt;&gt;"""",REGEXEXTRACT(SUBSTITUTE ($T312,I$1&amp;"" CE"",""""), I$1&amp;""[\w &amp;]*, (\d+\.\d+)""),"""")
"),"")</f>
        <v/>
      </c>
      <c r="J312" s="3" t="str">
        <f aca="false">IFERROR(__xludf.dummyfunction("if($T312&lt;&gt;"""",REGEXEXTRACT($T312, J$1&amp;""[\w &amp;]*, (\d+\.\d+)""),"""")
"),"")</f>
        <v/>
      </c>
      <c r="K312" s="3"/>
      <c r="L312" s="3" t="str">
        <f aca="false">IFERROR(__xludf.dummyfunction("if($T312&lt;&gt;"""",REGEXEXTRACT(SUBSTITUTE ($T312,L$1&amp;"" CE"",""""), L$1&amp;""[\w &amp;]*, (\d+\.\d+)""),"""")
"),"")</f>
        <v/>
      </c>
      <c r="M312" s="3" t="str">
        <f aca="false">IFERROR(__xludf.dummyfunction("if($T312&lt;&gt;"""",REGEXEXTRACT($T312, M$1&amp;""[\w &amp;]*, (\d+\.\d+)""),"""")
"),"")</f>
        <v/>
      </c>
      <c r="N312" s="3" t="str">
        <f aca="false">IFERROR(__xludf.dummyfunction("if($T312&lt;&gt;"""",REGEXEXTRACT(SUBSTITUTE ($T312,N$1&amp;"" CE"",""""), N$1&amp;""[\w &amp;]*, (\d+\.\d+)""),"""")
"),"")</f>
        <v/>
      </c>
      <c r="O312" s="3" t="str">
        <f aca="false">IFERROR(__xludf.dummyfunction("if($T312&lt;&gt;"""",REGEXEXTRACT($T312, O$1&amp;""[\w &amp;]*, (\d+\.\d+)""),"""")
"),"")</f>
        <v/>
      </c>
      <c r="P312" s="2"/>
      <c r="Q312" s="2"/>
      <c r="R312" s="2"/>
      <c r="S312" s="2"/>
      <c r="T312" s="5"/>
      <c r="U312" s="5"/>
    </row>
    <row r="313" customFormat="false" ht="15.75" hidden="false" customHeight="false" outlineLevel="0" collapsed="false">
      <c r="A313" s="4"/>
      <c r="B313" s="2"/>
      <c r="C313" s="2"/>
      <c r="D313" s="2"/>
      <c r="E313" s="2"/>
      <c r="F313" s="3" t="str">
        <f aca="false">IFERROR(__xludf.dummyfunction("if($T313&lt;&gt;"""",REGEXEXTRACT(SUBSTITUTE ($T313,F$1&amp;"" CE"",""""), F$1&amp;""[\w &amp;]*, (\d+\.\d+)""),"""")
"),"")</f>
        <v/>
      </c>
      <c r="G313" s="3" t="str">
        <f aca="false">IFERROR(__xludf.dummyfunction("if($T313&lt;&gt;"""",REGEXEXTRACT($T313, G$1&amp;""[\w &amp;]*, (\d+\.\d+)""),"""")
"),"")</f>
        <v/>
      </c>
      <c r="H313" s="3"/>
      <c r="I313" s="3" t="str">
        <f aca="false">IFERROR(__xludf.dummyfunction("if($T313&lt;&gt;"""",REGEXEXTRACT(SUBSTITUTE ($T313,I$1&amp;"" CE"",""""), I$1&amp;""[\w &amp;]*, (\d+\.\d+)""),"""")
"),"")</f>
        <v/>
      </c>
      <c r="J313" s="3" t="str">
        <f aca="false">IFERROR(__xludf.dummyfunction("if($T313&lt;&gt;"""",REGEXEXTRACT($T313, J$1&amp;""[\w &amp;]*, (\d+\.\d+)""),"""")
"),"")</f>
        <v/>
      </c>
      <c r="K313" s="3"/>
      <c r="L313" s="3" t="str">
        <f aca="false">IFERROR(__xludf.dummyfunction("if($T313&lt;&gt;"""",REGEXEXTRACT(SUBSTITUTE ($T313,L$1&amp;"" CE"",""""), L$1&amp;""[\w &amp;]*, (\d+\.\d+)""),"""")
"),"")</f>
        <v/>
      </c>
      <c r="M313" s="3" t="str">
        <f aca="false">IFERROR(__xludf.dummyfunction("if($T313&lt;&gt;"""",REGEXEXTRACT($T313, M$1&amp;""[\w &amp;]*, (\d+\.\d+)""),"""")
"),"")</f>
        <v/>
      </c>
      <c r="N313" s="3" t="str">
        <f aca="false">IFERROR(__xludf.dummyfunction("if($T313&lt;&gt;"""",REGEXEXTRACT(SUBSTITUTE ($T313,N$1&amp;"" CE"",""""), N$1&amp;""[\w &amp;]*, (\d+\.\d+)""),"""")
"),"")</f>
        <v/>
      </c>
      <c r="O313" s="3" t="str">
        <f aca="false">IFERROR(__xludf.dummyfunction("if($T313&lt;&gt;"""",REGEXEXTRACT($T313, O$1&amp;""[\w &amp;]*, (\d+\.\d+)""),"""")
"),"")</f>
        <v/>
      </c>
      <c r="P313" s="2"/>
      <c r="Q313" s="2"/>
      <c r="R313" s="2"/>
      <c r="S313" s="2"/>
      <c r="T313" s="5"/>
      <c r="U313" s="5"/>
    </row>
    <row r="314" customFormat="false" ht="15.75" hidden="false" customHeight="false" outlineLevel="0" collapsed="false">
      <c r="A314" s="4"/>
      <c r="B314" s="2"/>
      <c r="C314" s="2"/>
      <c r="D314" s="2"/>
      <c r="E314" s="2"/>
      <c r="F314" s="3" t="str">
        <f aca="false">IFERROR(__xludf.dummyfunction("if($T314&lt;&gt;"""",REGEXEXTRACT(SUBSTITUTE ($T314,F$1&amp;"" CE"",""""), F$1&amp;""[\w &amp;]*, (\d+\.\d+)""),"""")
"),"")</f>
        <v/>
      </c>
      <c r="G314" s="3" t="str">
        <f aca="false">IFERROR(__xludf.dummyfunction("if($T314&lt;&gt;"""",REGEXEXTRACT($T314, G$1&amp;""[\w &amp;]*, (\d+\.\d+)""),"""")
"),"")</f>
        <v/>
      </c>
      <c r="H314" s="3"/>
      <c r="I314" s="3" t="str">
        <f aca="false">IFERROR(__xludf.dummyfunction("if($T314&lt;&gt;"""",REGEXEXTRACT(SUBSTITUTE ($T314,I$1&amp;"" CE"",""""), I$1&amp;""[\w &amp;]*, (\d+\.\d+)""),"""")
"),"")</f>
        <v/>
      </c>
      <c r="J314" s="3" t="str">
        <f aca="false">IFERROR(__xludf.dummyfunction("if($T314&lt;&gt;"""",REGEXEXTRACT($T314, J$1&amp;""[\w &amp;]*, (\d+\.\d+)""),"""")
"),"")</f>
        <v/>
      </c>
      <c r="K314" s="3"/>
      <c r="L314" s="3" t="str">
        <f aca="false">IFERROR(__xludf.dummyfunction("if($T314&lt;&gt;"""",REGEXEXTRACT(SUBSTITUTE ($T314,L$1&amp;"" CE"",""""), L$1&amp;""[\w &amp;]*, (\d+\.\d+)""),"""")
"),"")</f>
        <v/>
      </c>
      <c r="M314" s="3" t="str">
        <f aca="false">IFERROR(__xludf.dummyfunction("if($T314&lt;&gt;"""",REGEXEXTRACT($T314, M$1&amp;""[\w &amp;]*, (\d+\.\d+)""),"""")
"),"")</f>
        <v/>
      </c>
      <c r="N314" s="3" t="str">
        <f aca="false">IFERROR(__xludf.dummyfunction("if($T314&lt;&gt;"""",REGEXEXTRACT(SUBSTITUTE ($T314,N$1&amp;"" CE"",""""), N$1&amp;""[\w &amp;]*, (\d+\.\d+)""),"""")
"),"")</f>
        <v/>
      </c>
      <c r="O314" s="3" t="str">
        <f aca="false">IFERROR(__xludf.dummyfunction("if($T314&lt;&gt;"""",REGEXEXTRACT($T314, O$1&amp;""[\w &amp;]*, (\d+\.\d+)""),"""")
"),"")</f>
        <v/>
      </c>
      <c r="P314" s="2"/>
      <c r="Q314" s="2"/>
      <c r="R314" s="2"/>
      <c r="S314" s="2"/>
      <c r="T314" s="5"/>
      <c r="U314" s="5"/>
    </row>
    <row r="315" customFormat="false" ht="15.75" hidden="false" customHeight="false" outlineLevel="0" collapsed="false">
      <c r="A315" s="4"/>
      <c r="B315" s="2"/>
      <c r="C315" s="2"/>
      <c r="D315" s="2"/>
      <c r="E315" s="2"/>
      <c r="F315" s="3" t="str">
        <f aca="false">IFERROR(__xludf.dummyfunction("if($T315&lt;&gt;"""",REGEXEXTRACT(SUBSTITUTE ($T315,F$1&amp;"" CE"",""""), F$1&amp;""[\w &amp;]*, (\d+\.\d+)""),"""")
"),"")</f>
        <v/>
      </c>
      <c r="G315" s="3" t="str">
        <f aca="false">IFERROR(__xludf.dummyfunction("if($T315&lt;&gt;"""",REGEXEXTRACT($T315, G$1&amp;""[\w &amp;]*, (\d+\.\d+)""),"""")
"),"")</f>
        <v/>
      </c>
      <c r="H315" s="3"/>
      <c r="I315" s="3" t="str">
        <f aca="false">IFERROR(__xludf.dummyfunction("if($T315&lt;&gt;"""",REGEXEXTRACT(SUBSTITUTE ($T315,I$1&amp;"" CE"",""""), I$1&amp;""[\w &amp;]*, (\d+\.\d+)""),"""")
"),"")</f>
        <v/>
      </c>
      <c r="J315" s="3" t="str">
        <f aca="false">IFERROR(__xludf.dummyfunction("if($T315&lt;&gt;"""",REGEXEXTRACT($T315, J$1&amp;""[\w &amp;]*, (\d+\.\d+)""),"""")
"),"")</f>
        <v/>
      </c>
      <c r="K315" s="3"/>
      <c r="L315" s="3" t="str">
        <f aca="false">IFERROR(__xludf.dummyfunction("if($T315&lt;&gt;"""",REGEXEXTRACT(SUBSTITUTE ($T315,L$1&amp;"" CE"",""""), L$1&amp;""[\w &amp;]*, (\d+\.\d+)""),"""")
"),"")</f>
        <v/>
      </c>
      <c r="M315" s="3" t="str">
        <f aca="false">IFERROR(__xludf.dummyfunction("if($T315&lt;&gt;"""",REGEXEXTRACT($T315, M$1&amp;""[\w &amp;]*, (\d+\.\d+)""),"""")
"),"")</f>
        <v/>
      </c>
      <c r="N315" s="3" t="str">
        <f aca="false">IFERROR(__xludf.dummyfunction("if($T315&lt;&gt;"""",REGEXEXTRACT(SUBSTITUTE ($T315,N$1&amp;"" CE"",""""), N$1&amp;""[\w &amp;]*, (\d+\.\d+)""),"""")
"),"")</f>
        <v/>
      </c>
      <c r="O315" s="3" t="str">
        <f aca="false">IFERROR(__xludf.dummyfunction("if($T315&lt;&gt;"""",REGEXEXTRACT($T315, O$1&amp;""[\w &amp;]*, (\d+\.\d+)""),"""")
"),"")</f>
        <v/>
      </c>
      <c r="P315" s="2"/>
      <c r="Q315" s="2"/>
      <c r="R315" s="2"/>
      <c r="S315" s="2"/>
      <c r="T315" s="5"/>
      <c r="U315" s="5"/>
    </row>
    <row r="316" customFormat="false" ht="15.75" hidden="false" customHeight="false" outlineLevel="0" collapsed="false">
      <c r="A316" s="4"/>
      <c r="B316" s="2"/>
      <c r="C316" s="2"/>
      <c r="D316" s="2"/>
      <c r="E316" s="2"/>
      <c r="F316" s="3" t="str">
        <f aca="false">IFERROR(__xludf.dummyfunction("if($T316&lt;&gt;"""",REGEXEXTRACT(SUBSTITUTE ($T316,F$1&amp;"" CE"",""""), F$1&amp;""[\w &amp;]*, (\d+\.\d+)""),"""")
"),"")</f>
        <v/>
      </c>
      <c r="G316" s="3" t="str">
        <f aca="false">IFERROR(__xludf.dummyfunction("if($T316&lt;&gt;"""",REGEXEXTRACT($T316, G$1&amp;""[\w &amp;]*, (\d+\.\d+)""),"""")
"),"")</f>
        <v/>
      </c>
      <c r="H316" s="3"/>
      <c r="I316" s="3" t="str">
        <f aca="false">IFERROR(__xludf.dummyfunction("if($T316&lt;&gt;"""",REGEXEXTRACT(SUBSTITUTE ($T316,I$1&amp;"" CE"",""""), I$1&amp;""[\w &amp;]*, (\d+\.\d+)""),"""")
"),"")</f>
        <v/>
      </c>
      <c r="J316" s="3" t="str">
        <f aca="false">IFERROR(__xludf.dummyfunction("if($T316&lt;&gt;"""",REGEXEXTRACT($T316, J$1&amp;""[\w &amp;]*, (\d+\.\d+)""),"""")
"),"")</f>
        <v/>
      </c>
      <c r="K316" s="3"/>
      <c r="L316" s="3" t="str">
        <f aca="false">IFERROR(__xludf.dummyfunction("if($T316&lt;&gt;"""",REGEXEXTRACT(SUBSTITUTE ($T316,L$1&amp;"" CE"",""""), L$1&amp;""[\w &amp;]*, (\d+\.\d+)""),"""")
"),"")</f>
        <v/>
      </c>
      <c r="M316" s="3" t="str">
        <f aca="false">IFERROR(__xludf.dummyfunction("if($T316&lt;&gt;"""",REGEXEXTRACT($T316, M$1&amp;""[\w &amp;]*, (\d+\.\d+)""),"""")
"),"")</f>
        <v/>
      </c>
      <c r="N316" s="3" t="str">
        <f aca="false">IFERROR(__xludf.dummyfunction("if($T316&lt;&gt;"""",REGEXEXTRACT(SUBSTITUTE ($T316,N$1&amp;"" CE"",""""), N$1&amp;""[\w &amp;]*, (\d+\.\d+)""),"""")
"),"")</f>
        <v/>
      </c>
      <c r="O316" s="3" t="str">
        <f aca="false">IFERROR(__xludf.dummyfunction("if($T316&lt;&gt;"""",REGEXEXTRACT($T316, O$1&amp;""[\w &amp;]*, (\d+\.\d+)""),"""")
"),"")</f>
        <v/>
      </c>
      <c r="P316" s="2"/>
      <c r="Q316" s="2"/>
      <c r="R316" s="2"/>
      <c r="S316" s="2"/>
      <c r="T316" s="5"/>
      <c r="U316" s="5"/>
    </row>
    <row r="317" customFormat="false" ht="15.75" hidden="false" customHeight="false" outlineLevel="0" collapsed="false">
      <c r="A317" s="4"/>
      <c r="B317" s="2"/>
      <c r="C317" s="2"/>
      <c r="D317" s="2"/>
      <c r="E317" s="2"/>
      <c r="F317" s="3" t="str">
        <f aca="false">IFERROR(__xludf.dummyfunction("if($T317&lt;&gt;"""",REGEXEXTRACT(SUBSTITUTE ($T317,F$1&amp;"" CE"",""""), F$1&amp;""[\w &amp;]*, (\d+\.\d+)""),"""")
"),"")</f>
        <v/>
      </c>
      <c r="G317" s="3" t="str">
        <f aca="false">IFERROR(__xludf.dummyfunction("if($T317&lt;&gt;"""",REGEXEXTRACT($T317, G$1&amp;""[\w &amp;]*, (\d+\.\d+)""),"""")
"),"")</f>
        <v/>
      </c>
      <c r="H317" s="3"/>
      <c r="I317" s="3" t="str">
        <f aca="false">IFERROR(__xludf.dummyfunction("if($T317&lt;&gt;"""",REGEXEXTRACT(SUBSTITUTE ($T317,I$1&amp;"" CE"",""""), I$1&amp;""[\w &amp;]*, (\d+\.\d+)""),"""")
"),"")</f>
        <v/>
      </c>
      <c r="J317" s="3" t="str">
        <f aca="false">IFERROR(__xludf.dummyfunction("if($T317&lt;&gt;"""",REGEXEXTRACT($T317, J$1&amp;""[\w &amp;]*, (\d+\.\d+)""),"""")
"),"")</f>
        <v/>
      </c>
      <c r="K317" s="3"/>
      <c r="L317" s="3" t="str">
        <f aca="false">IFERROR(__xludf.dummyfunction("if($T317&lt;&gt;"""",REGEXEXTRACT(SUBSTITUTE ($T317,L$1&amp;"" CE"",""""), L$1&amp;""[\w &amp;]*, (\d+\.\d+)""),"""")
"),"")</f>
        <v/>
      </c>
      <c r="M317" s="3" t="str">
        <f aca="false">IFERROR(__xludf.dummyfunction("if($T317&lt;&gt;"""",REGEXEXTRACT($T317, M$1&amp;""[\w &amp;]*, (\d+\.\d+)""),"""")
"),"")</f>
        <v/>
      </c>
      <c r="N317" s="3" t="str">
        <f aca="false">IFERROR(__xludf.dummyfunction("if($T317&lt;&gt;"""",REGEXEXTRACT(SUBSTITUTE ($T317,N$1&amp;"" CE"",""""), N$1&amp;""[\w &amp;]*, (\d+\.\d+)""),"""")
"),"")</f>
        <v/>
      </c>
      <c r="O317" s="3" t="str">
        <f aca="false">IFERROR(__xludf.dummyfunction("if($T317&lt;&gt;"""",REGEXEXTRACT($T317, O$1&amp;""[\w &amp;]*, (\d+\.\d+)""),"""")
"),"")</f>
        <v/>
      </c>
      <c r="P317" s="2"/>
      <c r="Q317" s="2"/>
      <c r="R317" s="2"/>
      <c r="S317" s="2"/>
      <c r="T317" s="5"/>
      <c r="U317" s="5"/>
    </row>
    <row r="318" customFormat="false" ht="15.75" hidden="false" customHeight="false" outlineLevel="0" collapsed="false">
      <c r="A318" s="4"/>
      <c r="B318" s="2"/>
      <c r="C318" s="2"/>
      <c r="D318" s="2"/>
      <c r="E318" s="2"/>
      <c r="F318" s="3" t="str">
        <f aca="false">IFERROR(__xludf.dummyfunction("if($T318&lt;&gt;"""",REGEXEXTRACT(SUBSTITUTE ($T318,F$1&amp;"" CE"",""""), F$1&amp;""[\w &amp;]*, (\d+\.\d+)""),"""")
"),"")</f>
        <v/>
      </c>
      <c r="G318" s="3" t="str">
        <f aca="false">IFERROR(__xludf.dummyfunction("if($T318&lt;&gt;"""",REGEXEXTRACT($T318, G$1&amp;""[\w &amp;]*, (\d+\.\d+)""),"""")
"),"")</f>
        <v/>
      </c>
      <c r="H318" s="3"/>
      <c r="I318" s="3" t="str">
        <f aca="false">IFERROR(__xludf.dummyfunction("if($T318&lt;&gt;"""",REGEXEXTRACT(SUBSTITUTE ($T318,I$1&amp;"" CE"",""""), I$1&amp;""[\w &amp;]*, (\d+\.\d+)""),"""")
"),"")</f>
        <v/>
      </c>
      <c r="J318" s="3" t="str">
        <f aca="false">IFERROR(__xludf.dummyfunction("if($T318&lt;&gt;"""",REGEXEXTRACT($T318, J$1&amp;""[\w &amp;]*, (\d+\.\d+)""),"""")
"),"")</f>
        <v/>
      </c>
      <c r="K318" s="3"/>
      <c r="L318" s="3" t="str">
        <f aca="false">IFERROR(__xludf.dummyfunction("if($T318&lt;&gt;"""",REGEXEXTRACT(SUBSTITUTE ($T318,L$1&amp;"" CE"",""""), L$1&amp;""[\w &amp;]*, (\d+\.\d+)""),"""")
"),"")</f>
        <v/>
      </c>
      <c r="M318" s="3" t="str">
        <f aca="false">IFERROR(__xludf.dummyfunction("if($T318&lt;&gt;"""",REGEXEXTRACT($T318, M$1&amp;""[\w &amp;]*, (\d+\.\d+)""),"""")
"),"")</f>
        <v/>
      </c>
      <c r="N318" s="3" t="str">
        <f aca="false">IFERROR(__xludf.dummyfunction("if($T318&lt;&gt;"""",REGEXEXTRACT(SUBSTITUTE ($T318,N$1&amp;"" CE"",""""), N$1&amp;""[\w &amp;]*, (\d+\.\d+)""),"""")
"),"")</f>
        <v/>
      </c>
      <c r="O318" s="3" t="str">
        <f aca="false">IFERROR(__xludf.dummyfunction("if($T318&lt;&gt;"""",REGEXEXTRACT($T318, O$1&amp;""[\w &amp;]*, (\d+\.\d+)""),"""")
"),"")</f>
        <v/>
      </c>
      <c r="P318" s="2"/>
      <c r="Q318" s="2"/>
      <c r="R318" s="2"/>
      <c r="S318" s="2"/>
      <c r="T318" s="5"/>
      <c r="U318" s="5"/>
    </row>
    <row r="319" customFormat="false" ht="15.75" hidden="false" customHeight="false" outlineLevel="0" collapsed="false">
      <c r="A319" s="4"/>
      <c r="B319" s="2"/>
      <c r="C319" s="2"/>
      <c r="D319" s="2"/>
      <c r="E319" s="2"/>
      <c r="F319" s="3" t="str">
        <f aca="false">IFERROR(__xludf.dummyfunction("if($T319&lt;&gt;"""",REGEXEXTRACT(SUBSTITUTE ($T319,F$1&amp;"" CE"",""""), F$1&amp;""[\w &amp;]*, (\d+\.\d+)""),"""")
"),"")</f>
        <v/>
      </c>
      <c r="G319" s="3" t="str">
        <f aca="false">IFERROR(__xludf.dummyfunction("if($T319&lt;&gt;"""",REGEXEXTRACT($T319, G$1&amp;""[\w &amp;]*, (\d+\.\d+)""),"""")
"),"")</f>
        <v/>
      </c>
      <c r="H319" s="3"/>
      <c r="I319" s="3" t="str">
        <f aca="false">IFERROR(__xludf.dummyfunction("if($T319&lt;&gt;"""",REGEXEXTRACT(SUBSTITUTE ($T319,I$1&amp;"" CE"",""""), I$1&amp;""[\w &amp;]*, (\d+\.\d+)""),"""")
"),"")</f>
        <v/>
      </c>
      <c r="J319" s="3" t="str">
        <f aca="false">IFERROR(__xludf.dummyfunction("if($T319&lt;&gt;"""",REGEXEXTRACT($T319, J$1&amp;""[\w &amp;]*, (\d+\.\d+)""),"""")
"),"")</f>
        <v/>
      </c>
      <c r="K319" s="3"/>
      <c r="L319" s="3" t="str">
        <f aca="false">IFERROR(__xludf.dummyfunction("if($T319&lt;&gt;"""",REGEXEXTRACT(SUBSTITUTE ($T319,L$1&amp;"" CE"",""""), L$1&amp;""[\w &amp;]*, (\d+\.\d+)""),"""")
"),"")</f>
        <v/>
      </c>
      <c r="M319" s="3" t="str">
        <f aca="false">IFERROR(__xludf.dummyfunction("if($T319&lt;&gt;"""",REGEXEXTRACT($T319, M$1&amp;""[\w &amp;]*, (\d+\.\d+)""),"""")
"),"")</f>
        <v/>
      </c>
      <c r="N319" s="3" t="str">
        <f aca="false">IFERROR(__xludf.dummyfunction("if($T319&lt;&gt;"""",REGEXEXTRACT(SUBSTITUTE ($T319,N$1&amp;"" CE"",""""), N$1&amp;""[\w &amp;]*, (\d+\.\d+)""),"""")
"),"")</f>
        <v/>
      </c>
      <c r="O319" s="3" t="str">
        <f aca="false">IFERROR(__xludf.dummyfunction("if($T319&lt;&gt;"""",REGEXEXTRACT($T319, O$1&amp;""[\w &amp;]*, (\d+\.\d+)""),"""")
"),"")</f>
        <v/>
      </c>
      <c r="P319" s="2"/>
      <c r="Q319" s="2"/>
      <c r="R319" s="2"/>
      <c r="S319" s="2"/>
      <c r="T319" s="5"/>
      <c r="U319" s="5"/>
    </row>
    <row r="320" customFormat="false" ht="15.75" hidden="false" customHeight="false" outlineLevel="0" collapsed="false">
      <c r="A320" s="4"/>
      <c r="B320" s="2"/>
      <c r="C320" s="2"/>
      <c r="D320" s="2"/>
      <c r="E320" s="2"/>
      <c r="F320" s="3" t="str">
        <f aca="false">IFERROR(__xludf.dummyfunction("if($T320&lt;&gt;"""",REGEXEXTRACT(SUBSTITUTE ($T320,F$1&amp;"" CE"",""""), F$1&amp;""[\w &amp;]*, (\d+\.\d+)""),"""")
"),"")</f>
        <v/>
      </c>
      <c r="G320" s="3" t="str">
        <f aca="false">IFERROR(__xludf.dummyfunction("if($T320&lt;&gt;"""",REGEXEXTRACT($T320, G$1&amp;""[\w &amp;]*, (\d+\.\d+)""),"""")
"),"")</f>
        <v/>
      </c>
      <c r="H320" s="3"/>
      <c r="I320" s="3" t="str">
        <f aca="false">IFERROR(__xludf.dummyfunction("if($T320&lt;&gt;"""",REGEXEXTRACT(SUBSTITUTE ($T320,I$1&amp;"" CE"",""""), I$1&amp;""[\w &amp;]*, (\d+\.\d+)""),"""")
"),"")</f>
        <v/>
      </c>
      <c r="J320" s="3" t="str">
        <f aca="false">IFERROR(__xludf.dummyfunction("if($T320&lt;&gt;"""",REGEXEXTRACT($T320, J$1&amp;""[\w &amp;]*, (\d+\.\d+)""),"""")
"),"")</f>
        <v/>
      </c>
      <c r="K320" s="3"/>
      <c r="L320" s="3" t="str">
        <f aca="false">IFERROR(__xludf.dummyfunction("if($T320&lt;&gt;"""",REGEXEXTRACT(SUBSTITUTE ($T320,L$1&amp;"" CE"",""""), L$1&amp;""[\w &amp;]*, (\d+\.\d+)""),"""")
"),"")</f>
        <v/>
      </c>
      <c r="M320" s="3" t="str">
        <f aca="false">IFERROR(__xludf.dummyfunction("if($T320&lt;&gt;"""",REGEXEXTRACT($T320, M$1&amp;""[\w &amp;]*, (\d+\.\d+)""),"""")
"),"")</f>
        <v/>
      </c>
      <c r="N320" s="3" t="str">
        <f aca="false">IFERROR(__xludf.dummyfunction("if($T320&lt;&gt;"""",REGEXEXTRACT(SUBSTITUTE ($T320,N$1&amp;"" CE"",""""), N$1&amp;""[\w &amp;]*, (\d+\.\d+)""),"""")
"),"")</f>
        <v/>
      </c>
      <c r="O320" s="3" t="str">
        <f aca="false">IFERROR(__xludf.dummyfunction("if($T320&lt;&gt;"""",REGEXEXTRACT($T320, O$1&amp;""[\w &amp;]*, (\d+\.\d+)""),"""")
"),"")</f>
        <v/>
      </c>
      <c r="P320" s="2"/>
      <c r="Q320" s="2"/>
      <c r="R320" s="2"/>
      <c r="S320" s="2"/>
      <c r="T320" s="5"/>
      <c r="U320" s="5"/>
    </row>
    <row r="321" customFormat="false" ht="15.75" hidden="false" customHeight="false" outlineLevel="0" collapsed="false">
      <c r="A321" s="4"/>
      <c r="B321" s="2"/>
      <c r="C321" s="2"/>
      <c r="D321" s="2"/>
      <c r="E321" s="2"/>
      <c r="F321" s="3" t="str">
        <f aca="false">IFERROR(__xludf.dummyfunction("if($T321&lt;&gt;"""",REGEXEXTRACT(SUBSTITUTE ($T321,F$1&amp;"" CE"",""""), F$1&amp;""[\w &amp;]*, (\d+\.\d+)""),"""")
"),"")</f>
        <v/>
      </c>
      <c r="G321" s="3" t="str">
        <f aca="false">IFERROR(__xludf.dummyfunction("if($T321&lt;&gt;"""",REGEXEXTRACT($T321, G$1&amp;""[\w &amp;]*, (\d+\.\d+)""),"""")
"),"")</f>
        <v/>
      </c>
      <c r="H321" s="3"/>
      <c r="I321" s="3" t="str">
        <f aca="false">IFERROR(__xludf.dummyfunction("if($T321&lt;&gt;"""",REGEXEXTRACT(SUBSTITUTE ($T321,I$1&amp;"" CE"",""""), I$1&amp;""[\w &amp;]*, (\d+\.\d+)""),"""")
"),"")</f>
        <v/>
      </c>
      <c r="J321" s="3" t="str">
        <f aca="false">IFERROR(__xludf.dummyfunction("if($T321&lt;&gt;"""",REGEXEXTRACT($T321, J$1&amp;""[\w &amp;]*, (\d+\.\d+)""),"""")
"),"")</f>
        <v/>
      </c>
      <c r="K321" s="3"/>
      <c r="L321" s="3" t="str">
        <f aca="false">IFERROR(__xludf.dummyfunction("if($T321&lt;&gt;"""",REGEXEXTRACT(SUBSTITUTE ($T321,L$1&amp;"" CE"",""""), L$1&amp;""[\w &amp;]*, (\d+\.\d+)""),"""")
"),"")</f>
        <v/>
      </c>
      <c r="M321" s="3" t="str">
        <f aca="false">IFERROR(__xludf.dummyfunction("if($T321&lt;&gt;"""",REGEXEXTRACT($T321, M$1&amp;""[\w &amp;]*, (\d+\.\d+)""),"""")
"),"")</f>
        <v/>
      </c>
      <c r="N321" s="3" t="str">
        <f aca="false">IFERROR(__xludf.dummyfunction("if($T321&lt;&gt;"""",REGEXEXTRACT(SUBSTITUTE ($T321,N$1&amp;"" CE"",""""), N$1&amp;""[\w &amp;]*, (\d+\.\d+)""),"""")
"),"")</f>
        <v/>
      </c>
      <c r="O321" s="3" t="str">
        <f aca="false">IFERROR(__xludf.dummyfunction("if($T321&lt;&gt;"""",REGEXEXTRACT($T321, O$1&amp;""[\w &amp;]*, (\d+\.\d+)""),"""")
"),"")</f>
        <v/>
      </c>
      <c r="P321" s="2"/>
      <c r="Q321" s="2"/>
      <c r="R321" s="2"/>
      <c r="S321" s="2"/>
      <c r="T321" s="5"/>
      <c r="U321" s="5"/>
    </row>
    <row r="322" customFormat="false" ht="15.75" hidden="false" customHeight="false" outlineLevel="0" collapsed="false">
      <c r="A322" s="4"/>
      <c r="B322" s="2"/>
      <c r="C322" s="2"/>
      <c r="D322" s="2"/>
      <c r="E322" s="2"/>
      <c r="F322" s="3" t="str">
        <f aca="false">IFERROR(__xludf.dummyfunction("if($T322&lt;&gt;"""",REGEXEXTRACT(SUBSTITUTE ($T322,F$1&amp;"" CE"",""""), F$1&amp;""[\w &amp;]*, (\d+\.\d+)""),"""")
"),"")</f>
        <v/>
      </c>
      <c r="G322" s="3" t="str">
        <f aca="false">IFERROR(__xludf.dummyfunction("if($T322&lt;&gt;"""",REGEXEXTRACT($T322, G$1&amp;""[\w &amp;]*, (\d+\.\d+)""),"""")
"),"")</f>
        <v/>
      </c>
      <c r="H322" s="3"/>
      <c r="I322" s="3" t="str">
        <f aca="false">IFERROR(__xludf.dummyfunction("if($T322&lt;&gt;"""",REGEXEXTRACT(SUBSTITUTE ($T322,I$1&amp;"" CE"",""""), I$1&amp;""[\w &amp;]*, (\d+\.\d+)""),"""")
"),"")</f>
        <v/>
      </c>
      <c r="J322" s="3" t="str">
        <f aca="false">IFERROR(__xludf.dummyfunction("if($T322&lt;&gt;"""",REGEXEXTRACT($T322, J$1&amp;""[\w &amp;]*, (\d+\.\d+)""),"""")
"),"")</f>
        <v/>
      </c>
      <c r="K322" s="3"/>
      <c r="L322" s="3" t="str">
        <f aca="false">IFERROR(__xludf.dummyfunction("if($T322&lt;&gt;"""",REGEXEXTRACT(SUBSTITUTE ($T322,L$1&amp;"" CE"",""""), L$1&amp;""[\w &amp;]*, (\d+\.\d+)""),"""")
"),"")</f>
        <v/>
      </c>
      <c r="M322" s="3" t="str">
        <f aca="false">IFERROR(__xludf.dummyfunction("if($T322&lt;&gt;"""",REGEXEXTRACT($T322, M$1&amp;""[\w &amp;]*, (\d+\.\d+)""),"""")
"),"")</f>
        <v/>
      </c>
      <c r="N322" s="3" t="str">
        <f aca="false">IFERROR(__xludf.dummyfunction("if($T322&lt;&gt;"""",REGEXEXTRACT(SUBSTITUTE ($T322,N$1&amp;"" CE"",""""), N$1&amp;""[\w &amp;]*, (\d+\.\d+)""),"""")
"),"")</f>
        <v/>
      </c>
      <c r="O322" s="3" t="str">
        <f aca="false">IFERROR(__xludf.dummyfunction("if($T322&lt;&gt;"""",REGEXEXTRACT($T322, O$1&amp;""[\w &amp;]*, (\d+\.\d+)""),"""")
"),"")</f>
        <v/>
      </c>
      <c r="P322" s="2"/>
      <c r="Q322" s="2"/>
      <c r="R322" s="2"/>
      <c r="S322" s="2"/>
      <c r="T322" s="5"/>
      <c r="U322" s="5"/>
    </row>
    <row r="323" customFormat="false" ht="15.75" hidden="false" customHeight="false" outlineLevel="0" collapsed="false">
      <c r="A323" s="4"/>
      <c r="B323" s="2"/>
      <c r="C323" s="2"/>
      <c r="D323" s="2"/>
      <c r="E323" s="2"/>
      <c r="F323" s="3" t="str">
        <f aca="false">IFERROR(__xludf.dummyfunction("if($T323&lt;&gt;"""",REGEXEXTRACT(SUBSTITUTE ($T323,F$1&amp;"" CE"",""""), F$1&amp;""[\w &amp;]*, (\d+\.\d+)""),"""")
"),"")</f>
        <v/>
      </c>
      <c r="G323" s="3" t="str">
        <f aca="false">IFERROR(__xludf.dummyfunction("if($T323&lt;&gt;"""",REGEXEXTRACT($T323, G$1&amp;""[\w &amp;]*, (\d+\.\d+)""),"""")
"),"")</f>
        <v/>
      </c>
      <c r="H323" s="3"/>
      <c r="I323" s="3" t="str">
        <f aca="false">IFERROR(__xludf.dummyfunction("if($T323&lt;&gt;"""",REGEXEXTRACT(SUBSTITUTE ($T323,I$1&amp;"" CE"",""""), I$1&amp;""[\w &amp;]*, (\d+\.\d+)""),"""")
"),"")</f>
        <v/>
      </c>
      <c r="J323" s="3" t="str">
        <f aca="false">IFERROR(__xludf.dummyfunction("if($T323&lt;&gt;"""",REGEXEXTRACT($T323, J$1&amp;""[\w &amp;]*, (\d+\.\d+)""),"""")
"),"")</f>
        <v/>
      </c>
      <c r="K323" s="3"/>
      <c r="L323" s="3" t="str">
        <f aca="false">IFERROR(__xludf.dummyfunction("if($T323&lt;&gt;"""",REGEXEXTRACT(SUBSTITUTE ($T323,L$1&amp;"" CE"",""""), L$1&amp;""[\w &amp;]*, (\d+\.\d+)""),"""")
"),"")</f>
        <v/>
      </c>
      <c r="M323" s="3" t="str">
        <f aca="false">IFERROR(__xludf.dummyfunction("if($T323&lt;&gt;"""",REGEXEXTRACT($T323, M$1&amp;""[\w &amp;]*, (\d+\.\d+)""),"""")
"),"")</f>
        <v/>
      </c>
      <c r="N323" s="3" t="str">
        <f aca="false">IFERROR(__xludf.dummyfunction("if($T323&lt;&gt;"""",REGEXEXTRACT(SUBSTITUTE ($T323,N$1&amp;"" CE"",""""), N$1&amp;""[\w &amp;]*, (\d+\.\d+)""),"""")
"),"")</f>
        <v/>
      </c>
      <c r="O323" s="3" t="str">
        <f aca="false">IFERROR(__xludf.dummyfunction("if($T323&lt;&gt;"""",REGEXEXTRACT($T323, O$1&amp;""[\w &amp;]*, (\d+\.\d+)""),"""")
"),"")</f>
        <v/>
      </c>
      <c r="P323" s="2"/>
      <c r="Q323" s="2"/>
      <c r="R323" s="2"/>
      <c r="S323" s="2"/>
      <c r="T323" s="5"/>
      <c r="U323" s="5"/>
    </row>
    <row r="324" customFormat="false" ht="15.75" hidden="false" customHeight="false" outlineLevel="0" collapsed="false">
      <c r="A324" s="4"/>
      <c r="B324" s="2"/>
      <c r="C324" s="2"/>
      <c r="D324" s="2"/>
      <c r="E324" s="2"/>
      <c r="F324" s="3" t="str">
        <f aca="false">IFERROR(__xludf.dummyfunction("if($T324&lt;&gt;"""",REGEXEXTRACT(SUBSTITUTE ($T324,F$1&amp;"" CE"",""""), F$1&amp;""[\w &amp;]*, (\d+\.\d+)""),"""")
"),"")</f>
        <v/>
      </c>
      <c r="G324" s="3" t="str">
        <f aca="false">IFERROR(__xludf.dummyfunction("if($T324&lt;&gt;"""",REGEXEXTRACT($T324, G$1&amp;""[\w &amp;]*, (\d+\.\d+)""),"""")
"),"")</f>
        <v/>
      </c>
      <c r="H324" s="3"/>
      <c r="I324" s="3" t="str">
        <f aca="false">IFERROR(__xludf.dummyfunction("if($T324&lt;&gt;"""",REGEXEXTRACT(SUBSTITUTE ($T324,I$1&amp;"" CE"",""""), I$1&amp;""[\w &amp;]*, (\d+\.\d+)""),"""")
"),"")</f>
        <v/>
      </c>
      <c r="J324" s="3" t="str">
        <f aca="false">IFERROR(__xludf.dummyfunction("if($T324&lt;&gt;"""",REGEXEXTRACT($T324, J$1&amp;""[\w &amp;]*, (\d+\.\d+)""),"""")
"),"")</f>
        <v/>
      </c>
      <c r="K324" s="3"/>
      <c r="L324" s="3" t="str">
        <f aca="false">IFERROR(__xludf.dummyfunction("if($T324&lt;&gt;"""",REGEXEXTRACT(SUBSTITUTE ($T324,L$1&amp;"" CE"",""""), L$1&amp;""[\w &amp;]*, (\d+\.\d+)""),"""")
"),"")</f>
        <v/>
      </c>
      <c r="M324" s="3" t="str">
        <f aca="false">IFERROR(__xludf.dummyfunction("if($T324&lt;&gt;"""",REGEXEXTRACT($T324, M$1&amp;""[\w &amp;]*, (\d+\.\d+)""),"""")
"),"")</f>
        <v/>
      </c>
      <c r="N324" s="3" t="str">
        <f aca="false">IFERROR(__xludf.dummyfunction("if($T324&lt;&gt;"""",REGEXEXTRACT(SUBSTITUTE ($T324,N$1&amp;"" CE"",""""), N$1&amp;""[\w &amp;]*, (\d+\.\d+)""),"""")
"),"")</f>
        <v/>
      </c>
      <c r="O324" s="3" t="str">
        <f aca="false">IFERROR(__xludf.dummyfunction("if($T324&lt;&gt;"""",REGEXEXTRACT($T324, O$1&amp;""[\w &amp;]*, (\d+\.\d+)""),"""")
"),"")</f>
        <v/>
      </c>
      <c r="P324" s="2"/>
      <c r="Q324" s="2"/>
      <c r="R324" s="2"/>
      <c r="S324" s="2"/>
      <c r="T324" s="5"/>
      <c r="U324" s="5"/>
    </row>
    <row r="325" customFormat="false" ht="15.75" hidden="false" customHeight="false" outlineLevel="0" collapsed="false">
      <c r="A325" s="4"/>
      <c r="B325" s="2"/>
      <c r="C325" s="2"/>
      <c r="D325" s="2"/>
      <c r="E325" s="2"/>
      <c r="F325" s="3" t="str">
        <f aca="false">IFERROR(__xludf.dummyfunction("if($T325&lt;&gt;"""",REGEXEXTRACT(SUBSTITUTE ($T325,F$1&amp;"" CE"",""""), F$1&amp;""[\w &amp;]*, (\d+\.\d+)""),"""")
"),"")</f>
        <v/>
      </c>
      <c r="G325" s="3" t="str">
        <f aca="false">IFERROR(__xludf.dummyfunction("if($T325&lt;&gt;"""",REGEXEXTRACT($T325, G$1&amp;""[\w &amp;]*, (\d+\.\d+)""),"""")
"),"")</f>
        <v/>
      </c>
      <c r="H325" s="3"/>
      <c r="I325" s="3" t="str">
        <f aca="false">IFERROR(__xludf.dummyfunction("if($T325&lt;&gt;"""",REGEXEXTRACT(SUBSTITUTE ($T325,I$1&amp;"" CE"",""""), I$1&amp;""[\w &amp;]*, (\d+\.\d+)""),"""")
"),"")</f>
        <v/>
      </c>
      <c r="J325" s="3" t="str">
        <f aca="false">IFERROR(__xludf.dummyfunction("if($T325&lt;&gt;"""",REGEXEXTRACT($T325, J$1&amp;""[\w &amp;]*, (\d+\.\d+)""),"""")
"),"")</f>
        <v/>
      </c>
      <c r="K325" s="3"/>
      <c r="L325" s="3" t="str">
        <f aca="false">IFERROR(__xludf.dummyfunction("if($T325&lt;&gt;"""",REGEXEXTRACT(SUBSTITUTE ($T325,L$1&amp;"" CE"",""""), L$1&amp;""[\w &amp;]*, (\d+\.\d+)""),"""")
"),"")</f>
        <v/>
      </c>
      <c r="M325" s="3" t="str">
        <f aca="false">IFERROR(__xludf.dummyfunction("if($T325&lt;&gt;"""",REGEXEXTRACT($T325, M$1&amp;""[\w &amp;]*, (\d+\.\d+)""),"""")
"),"")</f>
        <v/>
      </c>
      <c r="N325" s="3" t="str">
        <f aca="false">IFERROR(__xludf.dummyfunction("if($T325&lt;&gt;"""",REGEXEXTRACT(SUBSTITUTE ($T325,N$1&amp;"" CE"",""""), N$1&amp;""[\w &amp;]*, (\d+\.\d+)""),"""")
"),"")</f>
        <v/>
      </c>
      <c r="O325" s="3" t="str">
        <f aca="false">IFERROR(__xludf.dummyfunction("if($T325&lt;&gt;"""",REGEXEXTRACT($T325, O$1&amp;""[\w &amp;]*, (\d+\.\d+)""),"""")
"),"")</f>
        <v/>
      </c>
      <c r="P325" s="2"/>
      <c r="Q325" s="2"/>
      <c r="R325" s="2"/>
      <c r="S325" s="2"/>
      <c r="T325" s="5"/>
      <c r="U325" s="5"/>
    </row>
    <row r="326" customFormat="false" ht="15.75" hidden="false" customHeight="false" outlineLevel="0" collapsed="false">
      <c r="A326" s="4"/>
      <c r="B326" s="2"/>
      <c r="C326" s="2"/>
      <c r="D326" s="2"/>
      <c r="E326" s="2"/>
      <c r="F326" s="3" t="str">
        <f aca="false">IFERROR(__xludf.dummyfunction("if($T326&lt;&gt;"""",REGEXEXTRACT(SUBSTITUTE ($T326,F$1&amp;"" CE"",""""), F$1&amp;""[\w &amp;]*, (\d+\.\d+)""),"""")
"),"")</f>
        <v/>
      </c>
      <c r="G326" s="3" t="str">
        <f aca="false">IFERROR(__xludf.dummyfunction("if($T326&lt;&gt;"""",REGEXEXTRACT($T326, G$1&amp;""[\w &amp;]*, (\d+\.\d+)""),"""")
"),"")</f>
        <v/>
      </c>
      <c r="H326" s="3"/>
      <c r="I326" s="3" t="str">
        <f aca="false">IFERROR(__xludf.dummyfunction("if($T326&lt;&gt;"""",REGEXEXTRACT(SUBSTITUTE ($T326,I$1&amp;"" CE"",""""), I$1&amp;""[\w &amp;]*, (\d+\.\d+)""),"""")
"),"")</f>
        <v/>
      </c>
      <c r="J326" s="3" t="str">
        <f aca="false">IFERROR(__xludf.dummyfunction("if($T326&lt;&gt;"""",REGEXEXTRACT($T326, J$1&amp;""[\w &amp;]*, (\d+\.\d+)""),"""")
"),"")</f>
        <v/>
      </c>
      <c r="K326" s="3"/>
      <c r="L326" s="3" t="str">
        <f aca="false">IFERROR(__xludf.dummyfunction("if($T326&lt;&gt;"""",REGEXEXTRACT(SUBSTITUTE ($T326,L$1&amp;"" CE"",""""), L$1&amp;""[\w &amp;]*, (\d+\.\d+)""),"""")
"),"")</f>
        <v/>
      </c>
      <c r="M326" s="3" t="str">
        <f aca="false">IFERROR(__xludf.dummyfunction("if($T326&lt;&gt;"""",REGEXEXTRACT($T326, M$1&amp;""[\w &amp;]*, (\d+\.\d+)""),"""")
"),"")</f>
        <v/>
      </c>
      <c r="N326" s="3" t="str">
        <f aca="false">IFERROR(__xludf.dummyfunction("if($T326&lt;&gt;"""",REGEXEXTRACT(SUBSTITUTE ($T326,N$1&amp;"" CE"",""""), N$1&amp;""[\w &amp;]*, (\d+\.\d+)""),"""")
"),"")</f>
        <v/>
      </c>
      <c r="O326" s="3" t="str">
        <f aca="false">IFERROR(__xludf.dummyfunction("if($T326&lt;&gt;"""",REGEXEXTRACT($T326, O$1&amp;""[\w &amp;]*, (\d+\.\d+)""),"""")
"),"")</f>
        <v/>
      </c>
      <c r="P326" s="2"/>
      <c r="Q326" s="2"/>
      <c r="R326" s="2"/>
      <c r="S326" s="2"/>
      <c r="T326" s="5"/>
      <c r="U326" s="5"/>
    </row>
    <row r="327" customFormat="false" ht="15.75" hidden="false" customHeight="false" outlineLevel="0" collapsed="false">
      <c r="A327" s="4"/>
      <c r="B327" s="2"/>
      <c r="C327" s="2"/>
      <c r="D327" s="2"/>
      <c r="E327" s="2"/>
      <c r="F327" s="3" t="str">
        <f aca="false">IFERROR(__xludf.dummyfunction("if($T327&lt;&gt;"""",REGEXEXTRACT(SUBSTITUTE ($T327,F$1&amp;"" CE"",""""), F$1&amp;""[\w &amp;]*, (\d+\.\d+)""),"""")
"),"")</f>
        <v/>
      </c>
      <c r="G327" s="3" t="str">
        <f aca="false">IFERROR(__xludf.dummyfunction("if($T327&lt;&gt;"""",REGEXEXTRACT($T327, G$1&amp;""[\w &amp;]*, (\d+\.\d+)""),"""")
"),"")</f>
        <v/>
      </c>
      <c r="H327" s="3"/>
      <c r="I327" s="3" t="str">
        <f aca="false">IFERROR(__xludf.dummyfunction("if($T327&lt;&gt;"""",REGEXEXTRACT(SUBSTITUTE ($T327,I$1&amp;"" CE"",""""), I$1&amp;""[\w &amp;]*, (\d+\.\d+)""),"""")
"),"")</f>
        <v/>
      </c>
      <c r="J327" s="3" t="str">
        <f aca="false">IFERROR(__xludf.dummyfunction("if($T327&lt;&gt;"""",REGEXEXTRACT($T327, J$1&amp;""[\w &amp;]*, (\d+\.\d+)""),"""")
"),"")</f>
        <v/>
      </c>
      <c r="K327" s="3"/>
      <c r="L327" s="3" t="str">
        <f aca="false">IFERROR(__xludf.dummyfunction("if($T327&lt;&gt;"""",REGEXEXTRACT(SUBSTITUTE ($T327,L$1&amp;"" CE"",""""), L$1&amp;""[\w &amp;]*, (\d+\.\d+)""),"""")
"),"")</f>
        <v/>
      </c>
      <c r="M327" s="3" t="str">
        <f aca="false">IFERROR(__xludf.dummyfunction("if($T327&lt;&gt;"""",REGEXEXTRACT($T327, M$1&amp;""[\w &amp;]*, (\d+\.\d+)""),"""")
"),"")</f>
        <v/>
      </c>
      <c r="N327" s="3" t="str">
        <f aca="false">IFERROR(__xludf.dummyfunction("if($T327&lt;&gt;"""",REGEXEXTRACT(SUBSTITUTE ($T327,N$1&amp;"" CE"",""""), N$1&amp;""[\w &amp;]*, (\d+\.\d+)""),"""")
"),"")</f>
        <v/>
      </c>
      <c r="O327" s="3" t="str">
        <f aca="false">IFERROR(__xludf.dummyfunction("if($T327&lt;&gt;"""",REGEXEXTRACT($T327, O$1&amp;""[\w &amp;]*, (\d+\.\d+)""),"""")
"),"")</f>
        <v/>
      </c>
      <c r="P327" s="2"/>
      <c r="Q327" s="2"/>
      <c r="R327" s="2"/>
      <c r="S327" s="2"/>
      <c r="T327" s="5"/>
      <c r="U327" s="5"/>
    </row>
    <row r="328" customFormat="false" ht="15.75" hidden="false" customHeight="false" outlineLevel="0" collapsed="false">
      <c r="A328" s="4"/>
      <c r="B328" s="2"/>
      <c r="C328" s="2"/>
      <c r="D328" s="2"/>
      <c r="E328" s="2"/>
      <c r="F328" s="3" t="str">
        <f aca="false">IFERROR(__xludf.dummyfunction("if($T328&lt;&gt;"""",REGEXEXTRACT(SUBSTITUTE ($T328,F$1&amp;"" CE"",""""), F$1&amp;""[\w &amp;]*, (\d+\.\d+)""),"""")
"),"")</f>
        <v/>
      </c>
      <c r="G328" s="3" t="str">
        <f aca="false">IFERROR(__xludf.dummyfunction("if($T328&lt;&gt;"""",REGEXEXTRACT($T328, G$1&amp;""[\w &amp;]*, (\d+\.\d+)""),"""")
"),"")</f>
        <v/>
      </c>
      <c r="H328" s="3"/>
      <c r="I328" s="3" t="str">
        <f aca="false">IFERROR(__xludf.dummyfunction("if($T328&lt;&gt;"""",REGEXEXTRACT(SUBSTITUTE ($T328,I$1&amp;"" CE"",""""), I$1&amp;""[\w &amp;]*, (\d+\.\d+)""),"""")
"),"")</f>
        <v/>
      </c>
      <c r="J328" s="3" t="str">
        <f aca="false">IFERROR(__xludf.dummyfunction("if($T328&lt;&gt;"""",REGEXEXTRACT($T328, J$1&amp;""[\w &amp;]*, (\d+\.\d+)""),"""")
"),"")</f>
        <v/>
      </c>
      <c r="K328" s="3"/>
      <c r="L328" s="3" t="str">
        <f aca="false">IFERROR(__xludf.dummyfunction("if($T328&lt;&gt;"""",REGEXEXTRACT(SUBSTITUTE ($T328,L$1&amp;"" CE"",""""), L$1&amp;""[\w &amp;]*, (\d+\.\d+)""),"""")
"),"")</f>
        <v/>
      </c>
      <c r="M328" s="3" t="str">
        <f aca="false">IFERROR(__xludf.dummyfunction("if($T328&lt;&gt;"""",REGEXEXTRACT($T328, M$1&amp;""[\w &amp;]*, (\d+\.\d+)""),"""")
"),"")</f>
        <v/>
      </c>
      <c r="N328" s="3" t="str">
        <f aca="false">IFERROR(__xludf.dummyfunction("if($T328&lt;&gt;"""",REGEXEXTRACT(SUBSTITUTE ($T328,N$1&amp;"" CE"",""""), N$1&amp;""[\w &amp;]*, (\d+\.\d+)""),"""")
"),"")</f>
        <v/>
      </c>
      <c r="O328" s="3" t="str">
        <f aca="false">IFERROR(__xludf.dummyfunction("if($T328&lt;&gt;"""",REGEXEXTRACT($T328, O$1&amp;""[\w &amp;]*, (\d+\.\d+)""),"""")
"),"")</f>
        <v/>
      </c>
      <c r="P328" s="2"/>
      <c r="Q328" s="2"/>
      <c r="R328" s="2"/>
      <c r="S328" s="2"/>
      <c r="T328" s="5"/>
      <c r="U328" s="5"/>
    </row>
    <row r="329" customFormat="false" ht="15.75" hidden="false" customHeight="false" outlineLevel="0" collapsed="false">
      <c r="A329" s="4"/>
      <c r="B329" s="2"/>
      <c r="C329" s="2"/>
      <c r="D329" s="2"/>
      <c r="E329" s="2"/>
      <c r="F329" s="3" t="str">
        <f aca="false">IFERROR(__xludf.dummyfunction("if($T329&lt;&gt;"""",REGEXEXTRACT(SUBSTITUTE ($T329,F$1&amp;"" CE"",""""), F$1&amp;""[\w &amp;]*, (\d+\.\d+)""),"""")
"),"")</f>
        <v/>
      </c>
      <c r="G329" s="3" t="str">
        <f aca="false">IFERROR(__xludf.dummyfunction("if($T329&lt;&gt;"""",REGEXEXTRACT($T329, G$1&amp;""[\w &amp;]*, (\d+\.\d+)""),"""")
"),"")</f>
        <v/>
      </c>
      <c r="H329" s="3"/>
      <c r="I329" s="3" t="str">
        <f aca="false">IFERROR(__xludf.dummyfunction("if($T329&lt;&gt;"""",REGEXEXTRACT(SUBSTITUTE ($T329,I$1&amp;"" CE"",""""), I$1&amp;""[\w &amp;]*, (\d+\.\d+)""),"""")
"),"")</f>
        <v/>
      </c>
      <c r="J329" s="3" t="str">
        <f aca="false">IFERROR(__xludf.dummyfunction("if($T329&lt;&gt;"""",REGEXEXTRACT($T329, J$1&amp;""[\w &amp;]*, (\d+\.\d+)""),"""")
"),"")</f>
        <v/>
      </c>
      <c r="K329" s="3"/>
      <c r="L329" s="3" t="str">
        <f aca="false">IFERROR(__xludf.dummyfunction("if($T329&lt;&gt;"""",REGEXEXTRACT(SUBSTITUTE ($T329,L$1&amp;"" CE"",""""), L$1&amp;""[\w &amp;]*, (\d+\.\d+)""),"""")
"),"")</f>
        <v/>
      </c>
      <c r="M329" s="3" t="str">
        <f aca="false">IFERROR(__xludf.dummyfunction("if($T329&lt;&gt;"""",REGEXEXTRACT($T329, M$1&amp;""[\w &amp;]*, (\d+\.\d+)""),"""")
"),"")</f>
        <v/>
      </c>
      <c r="N329" s="3" t="str">
        <f aca="false">IFERROR(__xludf.dummyfunction("if($T329&lt;&gt;"""",REGEXEXTRACT(SUBSTITUTE ($T329,N$1&amp;"" CE"",""""), N$1&amp;""[\w &amp;]*, (\d+\.\d+)""),"""")
"),"")</f>
        <v/>
      </c>
      <c r="O329" s="3" t="str">
        <f aca="false">IFERROR(__xludf.dummyfunction("if($T329&lt;&gt;"""",REGEXEXTRACT($T329, O$1&amp;""[\w &amp;]*, (\d+\.\d+)""),"""")
"),"")</f>
        <v/>
      </c>
      <c r="P329" s="2"/>
      <c r="Q329" s="2"/>
      <c r="R329" s="2"/>
      <c r="S329" s="2"/>
      <c r="T329" s="5"/>
      <c r="U329" s="5"/>
    </row>
    <row r="330" customFormat="false" ht="15.75" hidden="false" customHeight="false" outlineLevel="0" collapsed="false">
      <c r="A330" s="4"/>
      <c r="B330" s="2"/>
      <c r="C330" s="2"/>
      <c r="D330" s="2"/>
      <c r="E330" s="2"/>
      <c r="F330" s="3" t="str">
        <f aca="false">IFERROR(__xludf.dummyfunction("if($T330&lt;&gt;"""",REGEXEXTRACT(SUBSTITUTE ($T330,F$1&amp;"" CE"",""""), F$1&amp;""[\w &amp;]*, (\d+\.\d+)""),"""")
"),"")</f>
        <v/>
      </c>
      <c r="G330" s="3" t="str">
        <f aca="false">IFERROR(__xludf.dummyfunction("if($T330&lt;&gt;"""",REGEXEXTRACT($T330, G$1&amp;""[\w &amp;]*, (\d+\.\d+)""),"""")
"),"")</f>
        <v/>
      </c>
      <c r="H330" s="3"/>
      <c r="I330" s="3" t="str">
        <f aca="false">IFERROR(__xludf.dummyfunction("if($T330&lt;&gt;"""",REGEXEXTRACT(SUBSTITUTE ($T330,I$1&amp;"" CE"",""""), I$1&amp;""[\w &amp;]*, (\d+\.\d+)""),"""")
"),"")</f>
        <v/>
      </c>
      <c r="J330" s="3" t="str">
        <f aca="false">IFERROR(__xludf.dummyfunction("if($T330&lt;&gt;"""",REGEXEXTRACT($T330, J$1&amp;""[\w &amp;]*, (\d+\.\d+)""),"""")
"),"")</f>
        <v/>
      </c>
      <c r="K330" s="3"/>
      <c r="L330" s="3" t="str">
        <f aca="false">IFERROR(__xludf.dummyfunction("if($T330&lt;&gt;"""",REGEXEXTRACT(SUBSTITUTE ($T330,L$1&amp;"" CE"",""""), L$1&amp;""[\w &amp;]*, (\d+\.\d+)""),"""")
"),"")</f>
        <v/>
      </c>
      <c r="M330" s="3" t="str">
        <f aca="false">IFERROR(__xludf.dummyfunction("if($T330&lt;&gt;"""",REGEXEXTRACT($T330, M$1&amp;""[\w &amp;]*, (\d+\.\d+)""),"""")
"),"")</f>
        <v/>
      </c>
      <c r="N330" s="3" t="str">
        <f aca="false">IFERROR(__xludf.dummyfunction("if($T330&lt;&gt;"""",REGEXEXTRACT(SUBSTITUTE ($T330,N$1&amp;"" CE"",""""), N$1&amp;""[\w &amp;]*, (\d+\.\d+)""),"""")
"),"")</f>
        <v/>
      </c>
      <c r="O330" s="3" t="str">
        <f aca="false">IFERROR(__xludf.dummyfunction("if($T330&lt;&gt;"""",REGEXEXTRACT($T330, O$1&amp;""[\w &amp;]*, (\d+\.\d+)""),"""")
"),"")</f>
        <v/>
      </c>
      <c r="P330" s="2"/>
      <c r="Q330" s="2"/>
      <c r="R330" s="2"/>
      <c r="S330" s="2"/>
      <c r="T330" s="5"/>
      <c r="U330" s="5"/>
    </row>
    <row r="331" customFormat="false" ht="15.75" hidden="false" customHeight="false" outlineLevel="0" collapsed="false">
      <c r="A331" s="4"/>
      <c r="B331" s="2"/>
      <c r="C331" s="2"/>
      <c r="D331" s="2"/>
      <c r="E331" s="2"/>
      <c r="F331" s="3" t="str">
        <f aca="false">IFERROR(__xludf.dummyfunction("if($T331&lt;&gt;"""",REGEXEXTRACT(SUBSTITUTE ($T331,F$1&amp;"" CE"",""""), F$1&amp;""[\w &amp;]*, (\d+\.\d+)""),"""")
"),"")</f>
        <v/>
      </c>
      <c r="G331" s="3" t="str">
        <f aca="false">IFERROR(__xludf.dummyfunction("if($T331&lt;&gt;"""",REGEXEXTRACT($T331, G$1&amp;""[\w &amp;]*, (\d+\.\d+)""),"""")
"),"")</f>
        <v/>
      </c>
      <c r="H331" s="3"/>
      <c r="I331" s="3" t="str">
        <f aca="false">IFERROR(__xludf.dummyfunction("if($T331&lt;&gt;"""",REGEXEXTRACT(SUBSTITUTE ($T331,I$1&amp;"" CE"",""""), I$1&amp;""[\w &amp;]*, (\d+\.\d+)""),"""")
"),"")</f>
        <v/>
      </c>
      <c r="J331" s="3" t="str">
        <f aca="false">IFERROR(__xludf.dummyfunction("if($T331&lt;&gt;"""",REGEXEXTRACT($T331, J$1&amp;""[\w &amp;]*, (\d+\.\d+)""),"""")
"),"")</f>
        <v/>
      </c>
      <c r="K331" s="3"/>
      <c r="L331" s="3" t="str">
        <f aca="false">IFERROR(__xludf.dummyfunction("if($T331&lt;&gt;"""",REGEXEXTRACT(SUBSTITUTE ($T331,L$1&amp;"" CE"",""""), L$1&amp;""[\w &amp;]*, (\d+\.\d+)""),"""")
"),"")</f>
        <v/>
      </c>
      <c r="M331" s="3" t="str">
        <f aca="false">IFERROR(__xludf.dummyfunction("if($T331&lt;&gt;"""",REGEXEXTRACT($T331, M$1&amp;""[\w &amp;]*, (\d+\.\d+)""),"""")
"),"")</f>
        <v/>
      </c>
      <c r="N331" s="3" t="str">
        <f aca="false">IFERROR(__xludf.dummyfunction("if($T331&lt;&gt;"""",REGEXEXTRACT(SUBSTITUTE ($T331,N$1&amp;"" CE"",""""), N$1&amp;""[\w &amp;]*, (\d+\.\d+)""),"""")
"),"")</f>
        <v/>
      </c>
      <c r="O331" s="3" t="str">
        <f aca="false">IFERROR(__xludf.dummyfunction("if($T331&lt;&gt;"""",REGEXEXTRACT($T331, O$1&amp;""[\w &amp;]*, (\d+\.\d+)""),"""")
"),"")</f>
        <v/>
      </c>
      <c r="P331" s="2"/>
      <c r="Q331" s="2"/>
      <c r="R331" s="2"/>
      <c r="S331" s="2"/>
      <c r="T331" s="5"/>
      <c r="U331" s="5"/>
    </row>
    <row r="332" customFormat="false" ht="15.75" hidden="false" customHeight="false" outlineLevel="0" collapsed="false">
      <c r="A332" s="4"/>
      <c r="B332" s="2"/>
      <c r="C332" s="2"/>
      <c r="D332" s="2"/>
      <c r="E332" s="2"/>
      <c r="F332" s="3" t="str">
        <f aca="false">IFERROR(__xludf.dummyfunction("if($T332&lt;&gt;"""",REGEXEXTRACT(SUBSTITUTE ($T332,F$1&amp;"" CE"",""""), F$1&amp;""[\w &amp;]*, (\d+\.\d+)""),"""")
"),"")</f>
        <v/>
      </c>
      <c r="G332" s="3" t="str">
        <f aca="false">IFERROR(__xludf.dummyfunction("if($T332&lt;&gt;"""",REGEXEXTRACT($T332, G$1&amp;""[\w &amp;]*, (\d+\.\d+)""),"""")
"),"")</f>
        <v/>
      </c>
      <c r="H332" s="3"/>
      <c r="I332" s="3" t="str">
        <f aca="false">IFERROR(__xludf.dummyfunction("if($T332&lt;&gt;"""",REGEXEXTRACT(SUBSTITUTE ($T332,I$1&amp;"" CE"",""""), I$1&amp;""[\w &amp;]*, (\d+\.\d+)""),"""")
"),"")</f>
        <v/>
      </c>
      <c r="J332" s="3" t="str">
        <f aca="false">IFERROR(__xludf.dummyfunction("if($T332&lt;&gt;"""",REGEXEXTRACT($T332, J$1&amp;""[\w &amp;]*, (\d+\.\d+)""),"""")
"),"")</f>
        <v/>
      </c>
      <c r="K332" s="3"/>
      <c r="L332" s="3" t="str">
        <f aca="false">IFERROR(__xludf.dummyfunction("if($T332&lt;&gt;"""",REGEXEXTRACT(SUBSTITUTE ($T332,L$1&amp;"" CE"",""""), L$1&amp;""[\w &amp;]*, (\d+\.\d+)""),"""")
"),"")</f>
        <v/>
      </c>
      <c r="M332" s="3" t="str">
        <f aca="false">IFERROR(__xludf.dummyfunction("if($T332&lt;&gt;"""",REGEXEXTRACT($T332, M$1&amp;""[\w &amp;]*, (\d+\.\d+)""),"""")
"),"")</f>
        <v/>
      </c>
      <c r="N332" s="3" t="str">
        <f aca="false">IFERROR(__xludf.dummyfunction("if($T332&lt;&gt;"""",REGEXEXTRACT(SUBSTITUTE ($T332,N$1&amp;"" CE"",""""), N$1&amp;""[\w &amp;]*, (\d+\.\d+)""),"""")
"),"")</f>
        <v/>
      </c>
      <c r="O332" s="3" t="str">
        <f aca="false">IFERROR(__xludf.dummyfunction("if($T332&lt;&gt;"""",REGEXEXTRACT($T332, O$1&amp;""[\w &amp;]*, (\d+\.\d+)""),"""")
"),"")</f>
        <v/>
      </c>
      <c r="P332" s="2"/>
      <c r="Q332" s="2"/>
      <c r="R332" s="2"/>
      <c r="S332" s="2"/>
      <c r="T332" s="5"/>
      <c r="U332" s="5"/>
    </row>
    <row r="333" customFormat="false" ht="15.75" hidden="false" customHeight="false" outlineLevel="0" collapsed="false">
      <c r="A333" s="4"/>
      <c r="B333" s="2"/>
      <c r="C333" s="2"/>
      <c r="D333" s="2"/>
      <c r="E333" s="2"/>
      <c r="F333" s="3" t="str">
        <f aca="false">IFERROR(__xludf.dummyfunction("if($T333&lt;&gt;"""",REGEXEXTRACT(SUBSTITUTE ($T333,F$1&amp;"" CE"",""""), F$1&amp;""[\w &amp;]*, (\d+\.\d+)""),"""")
"),"")</f>
        <v/>
      </c>
      <c r="G333" s="3" t="str">
        <f aca="false">IFERROR(__xludf.dummyfunction("if($T333&lt;&gt;"""",REGEXEXTRACT($T333, G$1&amp;""[\w &amp;]*, (\d+\.\d+)""),"""")
"),"")</f>
        <v/>
      </c>
      <c r="H333" s="3"/>
      <c r="I333" s="3" t="str">
        <f aca="false">IFERROR(__xludf.dummyfunction("if($T333&lt;&gt;"""",REGEXEXTRACT(SUBSTITUTE ($T333,I$1&amp;"" CE"",""""), I$1&amp;""[\w &amp;]*, (\d+\.\d+)""),"""")
"),"")</f>
        <v/>
      </c>
      <c r="J333" s="3" t="str">
        <f aca="false">IFERROR(__xludf.dummyfunction("if($T333&lt;&gt;"""",REGEXEXTRACT($T333, J$1&amp;""[\w &amp;]*, (\d+\.\d+)""),"""")
"),"")</f>
        <v/>
      </c>
      <c r="K333" s="3"/>
      <c r="L333" s="3" t="str">
        <f aca="false">IFERROR(__xludf.dummyfunction("if($T333&lt;&gt;"""",REGEXEXTRACT(SUBSTITUTE ($T333,L$1&amp;"" CE"",""""), L$1&amp;""[\w &amp;]*, (\d+\.\d+)""),"""")
"),"")</f>
        <v/>
      </c>
      <c r="M333" s="3" t="str">
        <f aca="false">IFERROR(__xludf.dummyfunction("if($T333&lt;&gt;"""",REGEXEXTRACT($T333, M$1&amp;""[\w &amp;]*, (\d+\.\d+)""),"""")
"),"")</f>
        <v/>
      </c>
      <c r="N333" s="3" t="str">
        <f aca="false">IFERROR(__xludf.dummyfunction("if($T333&lt;&gt;"""",REGEXEXTRACT(SUBSTITUTE ($T333,N$1&amp;"" CE"",""""), N$1&amp;""[\w &amp;]*, (\d+\.\d+)""),"""")
"),"")</f>
        <v/>
      </c>
      <c r="O333" s="3" t="str">
        <f aca="false">IFERROR(__xludf.dummyfunction("if($T333&lt;&gt;"""",REGEXEXTRACT($T333, O$1&amp;""[\w &amp;]*, (\d+\.\d+)""),"""")
"),"")</f>
        <v/>
      </c>
      <c r="P333" s="2"/>
      <c r="Q333" s="2"/>
      <c r="R333" s="2"/>
      <c r="S333" s="2"/>
      <c r="T333" s="5"/>
      <c r="U333" s="5"/>
    </row>
    <row r="334" customFormat="false" ht="15.75" hidden="false" customHeight="false" outlineLevel="0" collapsed="false">
      <c r="A334" s="4"/>
      <c r="B334" s="2"/>
      <c r="C334" s="2"/>
      <c r="D334" s="2"/>
      <c r="E334" s="2"/>
      <c r="F334" s="3" t="str">
        <f aca="false">IFERROR(__xludf.dummyfunction("if($T334&lt;&gt;"""",REGEXEXTRACT(SUBSTITUTE ($T334,F$1&amp;"" CE"",""""), F$1&amp;""[\w &amp;]*, (\d+\.\d+)""),"""")
"),"")</f>
        <v/>
      </c>
      <c r="G334" s="3" t="str">
        <f aca="false">IFERROR(__xludf.dummyfunction("if($T334&lt;&gt;"""",REGEXEXTRACT($T334, G$1&amp;""[\w &amp;]*, (\d+\.\d+)""),"""")
"),"")</f>
        <v/>
      </c>
      <c r="H334" s="3"/>
      <c r="I334" s="3" t="str">
        <f aca="false">IFERROR(__xludf.dummyfunction("if($T334&lt;&gt;"""",REGEXEXTRACT(SUBSTITUTE ($T334,I$1&amp;"" CE"",""""), I$1&amp;""[\w &amp;]*, (\d+\.\d+)""),"""")
"),"")</f>
        <v/>
      </c>
      <c r="J334" s="3" t="str">
        <f aca="false">IFERROR(__xludf.dummyfunction("if($T334&lt;&gt;"""",REGEXEXTRACT($T334, J$1&amp;""[\w &amp;]*, (\d+\.\d+)""),"""")
"),"")</f>
        <v/>
      </c>
      <c r="K334" s="3"/>
      <c r="L334" s="3" t="str">
        <f aca="false">IFERROR(__xludf.dummyfunction("if($T334&lt;&gt;"""",REGEXEXTRACT(SUBSTITUTE ($T334,L$1&amp;"" CE"",""""), L$1&amp;""[\w &amp;]*, (\d+\.\d+)""),"""")
"),"")</f>
        <v/>
      </c>
      <c r="M334" s="3" t="str">
        <f aca="false">IFERROR(__xludf.dummyfunction("if($T334&lt;&gt;"""",REGEXEXTRACT($T334, M$1&amp;""[\w &amp;]*, (\d+\.\d+)""),"""")
"),"")</f>
        <v/>
      </c>
      <c r="N334" s="3" t="str">
        <f aca="false">IFERROR(__xludf.dummyfunction("if($T334&lt;&gt;"""",REGEXEXTRACT(SUBSTITUTE ($T334,N$1&amp;"" CE"",""""), N$1&amp;""[\w &amp;]*, (\d+\.\d+)""),"""")
"),"")</f>
        <v/>
      </c>
      <c r="O334" s="3" t="str">
        <f aca="false">IFERROR(__xludf.dummyfunction("if($T334&lt;&gt;"""",REGEXEXTRACT($T334, O$1&amp;""[\w &amp;]*, (\d+\.\d+)""),"""")
"),"")</f>
        <v/>
      </c>
      <c r="P334" s="2"/>
      <c r="Q334" s="2"/>
      <c r="R334" s="2"/>
      <c r="S334" s="2"/>
      <c r="T334" s="5"/>
      <c r="U334" s="5"/>
    </row>
    <row r="335" customFormat="false" ht="15.75" hidden="false" customHeight="false" outlineLevel="0" collapsed="false">
      <c r="A335" s="4"/>
      <c r="B335" s="2"/>
      <c r="C335" s="2"/>
      <c r="D335" s="2"/>
      <c r="E335" s="2"/>
      <c r="F335" s="3" t="str">
        <f aca="false">IFERROR(__xludf.dummyfunction("if($T335&lt;&gt;"""",REGEXEXTRACT(SUBSTITUTE ($T335,F$1&amp;"" CE"",""""), F$1&amp;""[\w &amp;]*, (\d+\.\d+)""),"""")
"),"")</f>
        <v/>
      </c>
      <c r="G335" s="3" t="str">
        <f aca="false">IFERROR(__xludf.dummyfunction("if($T335&lt;&gt;"""",REGEXEXTRACT($T335, G$1&amp;""[\w &amp;]*, (\d+\.\d+)""),"""")
"),"")</f>
        <v/>
      </c>
      <c r="H335" s="3"/>
      <c r="I335" s="3" t="str">
        <f aca="false">IFERROR(__xludf.dummyfunction("if($T335&lt;&gt;"""",REGEXEXTRACT(SUBSTITUTE ($T335,I$1&amp;"" CE"",""""), I$1&amp;""[\w &amp;]*, (\d+\.\d+)""),"""")
"),"")</f>
        <v/>
      </c>
      <c r="J335" s="3" t="str">
        <f aca="false">IFERROR(__xludf.dummyfunction("if($T335&lt;&gt;"""",REGEXEXTRACT($T335, J$1&amp;""[\w &amp;]*, (\d+\.\d+)""),"""")
"),"")</f>
        <v/>
      </c>
      <c r="K335" s="3"/>
      <c r="L335" s="3" t="str">
        <f aca="false">IFERROR(__xludf.dummyfunction("if($T335&lt;&gt;"""",REGEXEXTRACT(SUBSTITUTE ($T335,L$1&amp;"" CE"",""""), L$1&amp;""[\w &amp;]*, (\d+\.\d+)""),"""")
"),"")</f>
        <v/>
      </c>
      <c r="M335" s="3" t="str">
        <f aca="false">IFERROR(__xludf.dummyfunction("if($T335&lt;&gt;"""",REGEXEXTRACT($T335, M$1&amp;""[\w &amp;]*, (\d+\.\d+)""),"""")
"),"")</f>
        <v/>
      </c>
      <c r="N335" s="3" t="str">
        <f aca="false">IFERROR(__xludf.dummyfunction("if($T335&lt;&gt;"""",REGEXEXTRACT(SUBSTITUTE ($T335,N$1&amp;"" CE"",""""), N$1&amp;""[\w &amp;]*, (\d+\.\d+)""),"""")
"),"")</f>
        <v/>
      </c>
      <c r="O335" s="3" t="str">
        <f aca="false">IFERROR(__xludf.dummyfunction("if($T335&lt;&gt;"""",REGEXEXTRACT($T335, O$1&amp;""[\w &amp;]*, (\d+\.\d+)""),"""")
"),"")</f>
        <v/>
      </c>
      <c r="P335" s="2"/>
      <c r="Q335" s="2"/>
      <c r="R335" s="2"/>
      <c r="S335" s="2"/>
      <c r="T335" s="5"/>
      <c r="U335" s="5"/>
    </row>
    <row r="336" customFormat="false" ht="15.75" hidden="false" customHeight="false" outlineLevel="0" collapsed="false">
      <c r="A336" s="4"/>
      <c r="B336" s="2"/>
      <c r="C336" s="2"/>
      <c r="D336" s="2"/>
      <c r="E336" s="2"/>
      <c r="F336" s="3" t="str">
        <f aca="false">IFERROR(__xludf.dummyfunction("if($T336&lt;&gt;"""",REGEXEXTRACT(SUBSTITUTE ($T336,F$1&amp;"" CE"",""""), F$1&amp;""[\w &amp;]*, (\d+\.\d+)""),"""")
"),"")</f>
        <v/>
      </c>
      <c r="G336" s="3" t="str">
        <f aca="false">IFERROR(__xludf.dummyfunction("if($T336&lt;&gt;"""",REGEXEXTRACT($T336, G$1&amp;""[\w &amp;]*, (\d+\.\d+)""),"""")
"),"")</f>
        <v/>
      </c>
      <c r="H336" s="3"/>
      <c r="I336" s="3" t="str">
        <f aca="false">IFERROR(__xludf.dummyfunction("if($T336&lt;&gt;"""",REGEXEXTRACT(SUBSTITUTE ($T336,I$1&amp;"" CE"",""""), I$1&amp;""[\w &amp;]*, (\d+\.\d+)""),"""")
"),"")</f>
        <v/>
      </c>
      <c r="J336" s="3" t="str">
        <f aca="false">IFERROR(__xludf.dummyfunction("if($T336&lt;&gt;"""",REGEXEXTRACT($T336, J$1&amp;""[\w &amp;]*, (\d+\.\d+)""),"""")
"),"")</f>
        <v/>
      </c>
      <c r="K336" s="3"/>
      <c r="L336" s="3" t="str">
        <f aca="false">IFERROR(__xludf.dummyfunction("if($T336&lt;&gt;"""",REGEXEXTRACT(SUBSTITUTE ($T336,L$1&amp;"" CE"",""""), L$1&amp;""[\w &amp;]*, (\d+\.\d+)""),"""")
"),"")</f>
        <v/>
      </c>
      <c r="M336" s="3" t="str">
        <f aca="false">IFERROR(__xludf.dummyfunction("if($T336&lt;&gt;"""",REGEXEXTRACT($T336, M$1&amp;""[\w &amp;]*, (\d+\.\d+)""),"""")
"),"")</f>
        <v/>
      </c>
      <c r="N336" s="3" t="str">
        <f aca="false">IFERROR(__xludf.dummyfunction("if($T336&lt;&gt;"""",REGEXEXTRACT(SUBSTITUTE ($T336,N$1&amp;"" CE"",""""), N$1&amp;""[\w &amp;]*, (\d+\.\d+)""),"""")
"),"")</f>
        <v/>
      </c>
      <c r="O336" s="3" t="str">
        <f aca="false">IFERROR(__xludf.dummyfunction("if($T336&lt;&gt;"""",REGEXEXTRACT($T336, O$1&amp;""[\w &amp;]*, (\d+\.\d+)""),"""")
"),"")</f>
        <v/>
      </c>
      <c r="P336" s="2"/>
      <c r="Q336" s="2"/>
      <c r="R336" s="2"/>
      <c r="S336" s="2"/>
      <c r="T336" s="5"/>
      <c r="U336" s="5"/>
    </row>
    <row r="337" customFormat="false" ht="15.75" hidden="false" customHeight="false" outlineLevel="0" collapsed="false">
      <c r="A337" s="4"/>
      <c r="B337" s="2"/>
      <c r="C337" s="2"/>
      <c r="D337" s="2"/>
      <c r="E337" s="2"/>
      <c r="F337" s="3" t="str">
        <f aca="false">IFERROR(__xludf.dummyfunction("if($T337&lt;&gt;"""",REGEXEXTRACT(SUBSTITUTE ($T337,F$1&amp;"" CE"",""""), F$1&amp;""[\w &amp;]*, (\d+\.\d+)""),"""")
"),"")</f>
        <v/>
      </c>
      <c r="G337" s="3" t="str">
        <f aca="false">IFERROR(__xludf.dummyfunction("if($T337&lt;&gt;"""",REGEXEXTRACT($T337, G$1&amp;""[\w &amp;]*, (\d+\.\d+)""),"""")
"),"")</f>
        <v/>
      </c>
      <c r="H337" s="3"/>
      <c r="I337" s="3" t="str">
        <f aca="false">IFERROR(__xludf.dummyfunction("if($T337&lt;&gt;"""",REGEXEXTRACT(SUBSTITUTE ($T337,I$1&amp;"" CE"",""""), I$1&amp;""[\w &amp;]*, (\d+\.\d+)""),"""")
"),"")</f>
        <v/>
      </c>
      <c r="J337" s="3" t="str">
        <f aca="false">IFERROR(__xludf.dummyfunction("if($T337&lt;&gt;"""",REGEXEXTRACT($T337, J$1&amp;""[\w &amp;]*, (\d+\.\d+)""),"""")
"),"")</f>
        <v/>
      </c>
      <c r="K337" s="3"/>
      <c r="L337" s="3" t="str">
        <f aca="false">IFERROR(__xludf.dummyfunction("if($T337&lt;&gt;"""",REGEXEXTRACT(SUBSTITUTE ($T337,L$1&amp;"" CE"",""""), L$1&amp;""[\w &amp;]*, (\d+\.\d+)""),"""")
"),"")</f>
        <v/>
      </c>
      <c r="M337" s="3" t="str">
        <f aca="false">IFERROR(__xludf.dummyfunction("if($T337&lt;&gt;"""",REGEXEXTRACT($T337, M$1&amp;""[\w &amp;]*, (\d+\.\d+)""),"""")
"),"")</f>
        <v/>
      </c>
      <c r="N337" s="3" t="str">
        <f aca="false">IFERROR(__xludf.dummyfunction("if($T337&lt;&gt;"""",REGEXEXTRACT(SUBSTITUTE ($T337,N$1&amp;"" CE"",""""), N$1&amp;""[\w &amp;]*, (\d+\.\d+)""),"""")
"),"")</f>
        <v/>
      </c>
      <c r="O337" s="3" t="str">
        <f aca="false">IFERROR(__xludf.dummyfunction("if($T337&lt;&gt;"""",REGEXEXTRACT($T337, O$1&amp;""[\w &amp;]*, (\d+\.\d+)""),"""")
"),"")</f>
        <v/>
      </c>
      <c r="P337" s="2"/>
      <c r="Q337" s="2"/>
      <c r="R337" s="2"/>
      <c r="S337" s="2"/>
      <c r="T337" s="5"/>
      <c r="U337" s="5"/>
    </row>
    <row r="338" customFormat="false" ht="15.75" hidden="false" customHeight="false" outlineLevel="0" collapsed="false">
      <c r="A338" s="4"/>
      <c r="B338" s="2"/>
      <c r="C338" s="2"/>
      <c r="D338" s="2"/>
      <c r="E338" s="2"/>
      <c r="F338" s="3" t="str">
        <f aca="false">IFERROR(__xludf.dummyfunction("if($T338&lt;&gt;"""",REGEXEXTRACT(SUBSTITUTE ($T338,F$1&amp;"" CE"",""""), F$1&amp;""[\w &amp;]*, (\d+\.\d+)""),"""")
"),"")</f>
        <v/>
      </c>
      <c r="G338" s="3" t="str">
        <f aca="false">IFERROR(__xludf.dummyfunction("if($T338&lt;&gt;"""",REGEXEXTRACT($T338, G$1&amp;""[\w &amp;]*, (\d+\.\d+)""),"""")
"),"")</f>
        <v/>
      </c>
      <c r="H338" s="3"/>
      <c r="I338" s="3" t="str">
        <f aca="false">IFERROR(__xludf.dummyfunction("if($T338&lt;&gt;"""",REGEXEXTRACT(SUBSTITUTE ($T338,I$1&amp;"" CE"",""""), I$1&amp;""[\w &amp;]*, (\d+\.\d+)""),"""")
"),"")</f>
        <v/>
      </c>
      <c r="J338" s="3" t="str">
        <f aca="false">IFERROR(__xludf.dummyfunction("if($T338&lt;&gt;"""",REGEXEXTRACT($T338, J$1&amp;""[\w &amp;]*, (\d+\.\d+)""),"""")
"),"")</f>
        <v/>
      </c>
      <c r="K338" s="3"/>
      <c r="L338" s="3" t="str">
        <f aca="false">IFERROR(__xludf.dummyfunction("if($T338&lt;&gt;"""",REGEXEXTRACT(SUBSTITUTE ($T338,L$1&amp;"" CE"",""""), L$1&amp;""[\w &amp;]*, (\d+\.\d+)""),"""")
"),"")</f>
        <v/>
      </c>
      <c r="M338" s="3" t="str">
        <f aca="false">IFERROR(__xludf.dummyfunction("if($T338&lt;&gt;"""",REGEXEXTRACT($T338, M$1&amp;""[\w &amp;]*, (\d+\.\d+)""),"""")
"),"")</f>
        <v/>
      </c>
      <c r="N338" s="3" t="str">
        <f aca="false">IFERROR(__xludf.dummyfunction("if($T338&lt;&gt;"""",REGEXEXTRACT(SUBSTITUTE ($T338,N$1&amp;"" CE"",""""), N$1&amp;""[\w &amp;]*, (\d+\.\d+)""),"""")
"),"")</f>
        <v/>
      </c>
      <c r="O338" s="3" t="str">
        <f aca="false">IFERROR(__xludf.dummyfunction("if($T338&lt;&gt;"""",REGEXEXTRACT($T338, O$1&amp;""[\w &amp;]*, (\d+\.\d+)""),"""")
"),"")</f>
        <v/>
      </c>
      <c r="P338" s="2"/>
      <c r="Q338" s="2"/>
      <c r="R338" s="2"/>
      <c r="S338" s="2"/>
      <c r="T338" s="5"/>
      <c r="U338" s="5"/>
    </row>
    <row r="339" customFormat="false" ht="15.75" hidden="false" customHeight="false" outlineLevel="0" collapsed="false">
      <c r="A339" s="4"/>
      <c r="B339" s="2"/>
      <c r="C339" s="2"/>
      <c r="D339" s="2"/>
      <c r="E339" s="2"/>
      <c r="F339" s="3" t="str">
        <f aca="false">IFERROR(__xludf.dummyfunction("if($T339&lt;&gt;"""",REGEXEXTRACT(SUBSTITUTE ($T339,F$1&amp;"" CE"",""""), F$1&amp;""[\w &amp;]*, (\d+\.\d+)""),"""")
"),"")</f>
        <v/>
      </c>
      <c r="G339" s="3" t="str">
        <f aca="false">IFERROR(__xludf.dummyfunction("if($T339&lt;&gt;"""",REGEXEXTRACT($T339, G$1&amp;""[\w &amp;]*, (\d+\.\d+)""),"""")
"),"")</f>
        <v/>
      </c>
      <c r="H339" s="3"/>
      <c r="I339" s="3" t="str">
        <f aca="false">IFERROR(__xludf.dummyfunction("if($T339&lt;&gt;"""",REGEXEXTRACT(SUBSTITUTE ($T339,I$1&amp;"" CE"",""""), I$1&amp;""[\w &amp;]*, (\d+\.\d+)""),"""")
"),"")</f>
        <v/>
      </c>
      <c r="J339" s="3" t="str">
        <f aca="false">IFERROR(__xludf.dummyfunction("if($T339&lt;&gt;"""",REGEXEXTRACT($T339, J$1&amp;""[\w &amp;]*, (\d+\.\d+)""),"""")
"),"")</f>
        <v/>
      </c>
      <c r="K339" s="3"/>
      <c r="L339" s="3" t="str">
        <f aca="false">IFERROR(__xludf.dummyfunction("if($T339&lt;&gt;"""",REGEXEXTRACT(SUBSTITUTE ($T339,L$1&amp;"" CE"",""""), L$1&amp;""[\w &amp;]*, (\d+\.\d+)""),"""")
"),"")</f>
        <v/>
      </c>
      <c r="M339" s="3" t="str">
        <f aca="false">IFERROR(__xludf.dummyfunction("if($T339&lt;&gt;"""",REGEXEXTRACT($T339, M$1&amp;""[\w &amp;]*, (\d+\.\d+)""),"""")
"),"")</f>
        <v/>
      </c>
      <c r="N339" s="3" t="str">
        <f aca="false">IFERROR(__xludf.dummyfunction("if($T339&lt;&gt;"""",REGEXEXTRACT(SUBSTITUTE ($T339,N$1&amp;"" CE"",""""), N$1&amp;""[\w &amp;]*, (\d+\.\d+)""),"""")
"),"")</f>
        <v/>
      </c>
      <c r="O339" s="3" t="str">
        <f aca="false">IFERROR(__xludf.dummyfunction("if($T339&lt;&gt;"""",REGEXEXTRACT($T339, O$1&amp;""[\w &amp;]*, (\d+\.\d+)""),"""")
"),"")</f>
        <v/>
      </c>
      <c r="P339" s="2"/>
      <c r="Q339" s="2"/>
      <c r="R339" s="2"/>
      <c r="S339" s="2"/>
      <c r="T339" s="5"/>
      <c r="U339" s="5"/>
    </row>
    <row r="340" customFormat="false" ht="15.75" hidden="false" customHeight="false" outlineLevel="0" collapsed="false">
      <c r="A340" s="4"/>
      <c r="B340" s="2"/>
      <c r="C340" s="2"/>
      <c r="D340" s="2"/>
      <c r="E340" s="2"/>
      <c r="F340" s="3" t="str">
        <f aca="false">IFERROR(__xludf.dummyfunction("if($T340&lt;&gt;"""",REGEXEXTRACT(SUBSTITUTE ($T340,F$1&amp;"" CE"",""""), F$1&amp;""[\w &amp;]*, (\d+\.\d+)""),"""")
"),"")</f>
        <v/>
      </c>
      <c r="G340" s="3" t="str">
        <f aca="false">IFERROR(__xludf.dummyfunction("if($T340&lt;&gt;"""",REGEXEXTRACT($T340, G$1&amp;""[\w &amp;]*, (\d+\.\d+)""),"""")
"),"")</f>
        <v/>
      </c>
      <c r="H340" s="3"/>
      <c r="I340" s="3" t="str">
        <f aca="false">IFERROR(__xludf.dummyfunction("if($T340&lt;&gt;"""",REGEXEXTRACT(SUBSTITUTE ($T340,I$1&amp;"" CE"",""""), I$1&amp;""[\w &amp;]*, (\d+\.\d+)""),"""")
"),"")</f>
        <v/>
      </c>
      <c r="J340" s="3" t="str">
        <f aca="false">IFERROR(__xludf.dummyfunction("if($T340&lt;&gt;"""",REGEXEXTRACT($T340, J$1&amp;""[\w &amp;]*, (\d+\.\d+)""),"""")
"),"")</f>
        <v/>
      </c>
      <c r="K340" s="3"/>
      <c r="L340" s="3" t="str">
        <f aca="false">IFERROR(__xludf.dummyfunction("if($T340&lt;&gt;"""",REGEXEXTRACT(SUBSTITUTE ($T340,L$1&amp;"" CE"",""""), L$1&amp;""[\w &amp;]*, (\d+\.\d+)""),"""")
"),"")</f>
        <v/>
      </c>
      <c r="M340" s="3" t="str">
        <f aca="false">IFERROR(__xludf.dummyfunction("if($T340&lt;&gt;"""",REGEXEXTRACT($T340, M$1&amp;""[\w &amp;]*, (\d+\.\d+)""),"""")
"),"")</f>
        <v/>
      </c>
      <c r="N340" s="3" t="str">
        <f aca="false">IFERROR(__xludf.dummyfunction("if($T340&lt;&gt;"""",REGEXEXTRACT(SUBSTITUTE ($T340,N$1&amp;"" CE"",""""), N$1&amp;""[\w &amp;]*, (\d+\.\d+)""),"""")
"),"")</f>
        <v/>
      </c>
      <c r="O340" s="3" t="str">
        <f aca="false">IFERROR(__xludf.dummyfunction("if($T340&lt;&gt;"""",REGEXEXTRACT($T340, O$1&amp;""[\w &amp;]*, (\d+\.\d+)""),"""")
"),"")</f>
        <v/>
      </c>
      <c r="P340" s="2"/>
      <c r="Q340" s="2"/>
      <c r="R340" s="2"/>
      <c r="S340" s="2"/>
      <c r="T340" s="5"/>
      <c r="U340" s="5"/>
    </row>
    <row r="341" customFormat="false" ht="15.75" hidden="false" customHeight="false" outlineLevel="0" collapsed="false">
      <c r="A341" s="4"/>
      <c r="B341" s="2"/>
      <c r="C341" s="2"/>
      <c r="D341" s="2"/>
      <c r="E341" s="2"/>
      <c r="F341" s="3" t="str">
        <f aca="false">IFERROR(__xludf.dummyfunction("if($T341&lt;&gt;"""",REGEXEXTRACT(SUBSTITUTE ($T341,F$1&amp;"" CE"",""""), F$1&amp;""[\w &amp;]*, (\d+\.\d+)""),"""")
"),"")</f>
        <v/>
      </c>
      <c r="G341" s="3" t="str">
        <f aca="false">IFERROR(__xludf.dummyfunction("if($T341&lt;&gt;"""",REGEXEXTRACT($T341, G$1&amp;""[\w &amp;]*, (\d+\.\d+)""),"""")
"),"")</f>
        <v/>
      </c>
      <c r="H341" s="3"/>
      <c r="I341" s="3" t="str">
        <f aca="false">IFERROR(__xludf.dummyfunction("if($T341&lt;&gt;"""",REGEXEXTRACT(SUBSTITUTE ($T341,I$1&amp;"" CE"",""""), I$1&amp;""[\w &amp;]*, (\d+\.\d+)""),"""")
"),"")</f>
        <v/>
      </c>
      <c r="J341" s="3" t="str">
        <f aca="false">IFERROR(__xludf.dummyfunction("if($T341&lt;&gt;"""",REGEXEXTRACT($T341, J$1&amp;""[\w &amp;]*, (\d+\.\d+)""),"""")
"),"")</f>
        <v/>
      </c>
      <c r="K341" s="3"/>
      <c r="L341" s="3" t="str">
        <f aca="false">IFERROR(__xludf.dummyfunction("if($T341&lt;&gt;"""",REGEXEXTRACT(SUBSTITUTE ($T341,L$1&amp;"" CE"",""""), L$1&amp;""[\w &amp;]*, (\d+\.\d+)""),"""")
"),"")</f>
        <v/>
      </c>
      <c r="M341" s="3" t="str">
        <f aca="false">IFERROR(__xludf.dummyfunction("if($T341&lt;&gt;"""",REGEXEXTRACT($T341, M$1&amp;""[\w &amp;]*, (\d+\.\d+)""),"""")
"),"")</f>
        <v/>
      </c>
      <c r="N341" s="3" t="str">
        <f aca="false">IFERROR(__xludf.dummyfunction("if($T341&lt;&gt;"""",REGEXEXTRACT(SUBSTITUTE ($T341,N$1&amp;"" CE"",""""), N$1&amp;""[\w &amp;]*, (\d+\.\d+)""),"""")
"),"")</f>
        <v/>
      </c>
      <c r="O341" s="3" t="str">
        <f aca="false">IFERROR(__xludf.dummyfunction("if($T341&lt;&gt;"""",REGEXEXTRACT($T341, O$1&amp;""[\w &amp;]*, (\d+\.\d+)""),"""")
"),"")</f>
        <v/>
      </c>
      <c r="P341" s="2"/>
      <c r="Q341" s="2"/>
      <c r="R341" s="2"/>
      <c r="S341" s="2"/>
      <c r="T341" s="5"/>
      <c r="U341" s="5"/>
    </row>
    <row r="342" customFormat="false" ht="15.75" hidden="false" customHeight="false" outlineLevel="0" collapsed="false">
      <c r="A342" s="4"/>
      <c r="B342" s="2"/>
      <c r="C342" s="2"/>
      <c r="D342" s="2"/>
      <c r="E342" s="2"/>
      <c r="F342" s="3" t="str">
        <f aca="false">IFERROR(__xludf.dummyfunction("if($T342&lt;&gt;"""",REGEXEXTRACT(SUBSTITUTE ($T342,F$1&amp;"" CE"",""""), F$1&amp;""[\w &amp;]*, (\d+\.\d+)""),"""")
"),"")</f>
        <v/>
      </c>
      <c r="G342" s="3" t="str">
        <f aca="false">IFERROR(__xludf.dummyfunction("if($T342&lt;&gt;"""",REGEXEXTRACT($T342, G$1&amp;""[\w &amp;]*, (\d+\.\d+)""),"""")
"),"")</f>
        <v/>
      </c>
      <c r="H342" s="3"/>
      <c r="I342" s="3" t="str">
        <f aca="false">IFERROR(__xludf.dummyfunction("if($T342&lt;&gt;"""",REGEXEXTRACT(SUBSTITUTE ($T342,I$1&amp;"" CE"",""""), I$1&amp;""[\w &amp;]*, (\d+\.\d+)""),"""")
"),"")</f>
        <v/>
      </c>
      <c r="J342" s="3" t="str">
        <f aca="false">IFERROR(__xludf.dummyfunction("if($T342&lt;&gt;"""",REGEXEXTRACT($T342, J$1&amp;""[\w &amp;]*, (\d+\.\d+)""),"""")
"),"")</f>
        <v/>
      </c>
      <c r="K342" s="3"/>
      <c r="L342" s="3" t="str">
        <f aca="false">IFERROR(__xludf.dummyfunction("if($T342&lt;&gt;"""",REGEXEXTRACT(SUBSTITUTE ($T342,L$1&amp;"" CE"",""""), L$1&amp;""[\w &amp;]*, (\d+\.\d+)""),"""")
"),"")</f>
        <v/>
      </c>
      <c r="M342" s="3" t="str">
        <f aca="false">IFERROR(__xludf.dummyfunction("if($T342&lt;&gt;"""",REGEXEXTRACT($T342, M$1&amp;""[\w &amp;]*, (\d+\.\d+)""),"""")
"),"")</f>
        <v/>
      </c>
      <c r="N342" s="3" t="str">
        <f aca="false">IFERROR(__xludf.dummyfunction("if($T342&lt;&gt;"""",REGEXEXTRACT(SUBSTITUTE ($T342,N$1&amp;"" CE"",""""), N$1&amp;""[\w &amp;]*, (\d+\.\d+)""),"""")
"),"")</f>
        <v/>
      </c>
      <c r="O342" s="3" t="str">
        <f aca="false">IFERROR(__xludf.dummyfunction("if($T342&lt;&gt;"""",REGEXEXTRACT($T342, O$1&amp;""[\w &amp;]*, (\d+\.\d+)""),"""")
"),"")</f>
        <v/>
      </c>
      <c r="P342" s="2"/>
      <c r="Q342" s="2"/>
      <c r="R342" s="2"/>
      <c r="S342" s="2"/>
      <c r="T342" s="5"/>
      <c r="U342" s="5"/>
    </row>
    <row r="343" customFormat="false" ht="15.75" hidden="false" customHeight="false" outlineLevel="0" collapsed="false">
      <c r="A343" s="4"/>
      <c r="B343" s="2"/>
      <c r="C343" s="2"/>
      <c r="D343" s="2"/>
      <c r="E343" s="2"/>
      <c r="F343" s="3" t="str">
        <f aca="false">IFERROR(__xludf.dummyfunction("if($T343&lt;&gt;"""",REGEXEXTRACT(SUBSTITUTE ($T343,F$1&amp;"" CE"",""""), F$1&amp;""[\w &amp;]*, (\d+\.\d+)""),"""")
"),"")</f>
        <v/>
      </c>
      <c r="G343" s="3" t="str">
        <f aca="false">IFERROR(__xludf.dummyfunction("if($T343&lt;&gt;"""",REGEXEXTRACT($T343, G$1&amp;""[\w &amp;]*, (\d+\.\d+)""),"""")
"),"")</f>
        <v/>
      </c>
      <c r="H343" s="3"/>
      <c r="I343" s="3" t="str">
        <f aca="false">IFERROR(__xludf.dummyfunction("if($T343&lt;&gt;"""",REGEXEXTRACT(SUBSTITUTE ($T343,I$1&amp;"" CE"",""""), I$1&amp;""[\w &amp;]*, (\d+\.\d+)""),"""")
"),"")</f>
        <v/>
      </c>
      <c r="J343" s="3" t="str">
        <f aca="false">IFERROR(__xludf.dummyfunction("if($T343&lt;&gt;"""",REGEXEXTRACT($T343, J$1&amp;""[\w &amp;]*, (\d+\.\d+)""),"""")
"),"")</f>
        <v/>
      </c>
      <c r="K343" s="3"/>
      <c r="L343" s="3" t="str">
        <f aca="false">IFERROR(__xludf.dummyfunction("if($T343&lt;&gt;"""",REGEXEXTRACT(SUBSTITUTE ($T343,L$1&amp;"" CE"",""""), L$1&amp;""[\w &amp;]*, (\d+\.\d+)""),"""")
"),"")</f>
        <v/>
      </c>
      <c r="M343" s="3" t="str">
        <f aca="false">IFERROR(__xludf.dummyfunction("if($T343&lt;&gt;"""",REGEXEXTRACT($T343, M$1&amp;""[\w &amp;]*, (\d+\.\d+)""),"""")
"),"")</f>
        <v/>
      </c>
      <c r="N343" s="3" t="str">
        <f aca="false">IFERROR(__xludf.dummyfunction("if($T343&lt;&gt;"""",REGEXEXTRACT(SUBSTITUTE ($T343,N$1&amp;"" CE"",""""), N$1&amp;""[\w &amp;]*, (\d+\.\d+)""),"""")
"),"")</f>
        <v/>
      </c>
      <c r="O343" s="3" t="str">
        <f aca="false">IFERROR(__xludf.dummyfunction("if($T343&lt;&gt;"""",REGEXEXTRACT($T343, O$1&amp;""[\w &amp;]*, (\d+\.\d+)""),"""")
"),"")</f>
        <v/>
      </c>
      <c r="P343" s="2"/>
      <c r="Q343" s="2"/>
      <c r="R343" s="2"/>
      <c r="S343" s="2"/>
      <c r="T343" s="5"/>
      <c r="U343" s="5"/>
    </row>
    <row r="344" customFormat="false" ht="15.75" hidden="false" customHeight="false" outlineLevel="0" collapsed="false">
      <c r="A344" s="4"/>
      <c r="B344" s="2"/>
      <c r="C344" s="2"/>
      <c r="D344" s="2"/>
      <c r="E344" s="2"/>
      <c r="F344" s="3" t="str">
        <f aca="false">IFERROR(__xludf.dummyfunction("if($T344&lt;&gt;"""",REGEXEXTRACT(SUBSTITUTE ($T344,F$1&amp;"" CE"",""""), F$1&amp;""[\w &amp;]*, (\d+\.\d+)""),"""")
"),"")</f>
        <v/>
      </c>
      <c r="G344" s="3" t="str">
        <f aca="false">IFERROR(__xludf.dummyfunction("if($T344&lt;&gt;"""",REGEXEXTRACT($T344, G$1&amp;""[\w &amp;]*, (\d+\.\d+)""),"""")
"),"")</f>
        <v/>
      </c>
      <c r="H344" s="3"/>
      <c r="I344" s="3" t="str">
        <f aca="false">IFERROR(__xludf.dummyfunction("if($T344&lt;&gt;"""",REGEXEXTRACT(SUBSTITUTE ($T344,I$1&amp;"" CE"",""""), I$1&amp;""[\w &amp;]*, (\d+\.\d+)""),"""")
"),"")</f>
        <v/>
      </c>
      <c r="J344" s="3" t="str">
        <f aca="false">IFERROR(__xludf.dummyfunction("if($T344&lt;&gt;"""",REGEXEXTRACT($T344, J$1&amp;""[\w &amp;]*, (\d+\.\d+)""),"""")
"),"")</f>
        <v/>
      </c>
      <c r="K344" s="3"/>
      <c r="L344" s="3" t="str">
        <f aca="false">IFERROR(__xludf.dummyfunction("if($T344&lt;&gt;"""",REGEXEXTRACT(SUBSTITUTE ($T344,L$1&amp;"" CE"",""""), L$1&amp;""[\w &amp;]*, (\d+\.\d+)""),"""")
"),"")</f>
        <v/>
      </c>
      <c r="M344" s="3" t="str">
        <f aca="false">IFERROR(__xludf.dummyfunction("if($T344&lt;&gt;"""",REGEXEXTRACT($T344, M$1&amp;""[\w &amp;]*, (\d+\.\d+)""),"""")
"),"")</f>
        <v/>
      </c>
      <c r="N344" s="3" t="str">
        <f aca="false">IFERROR(__xludf.dummyfunction("if($T344&lt;&gt;"""",REGEXEXTRACT(SUBSTITUTE ($T344,N$1&amp;"" CE"",""""), N$1&amp;""[\w &amp;]*, (\d+\.\d+)""),"""")
"),"")</f>
        <v/>
      </c>
      <c r="O344" s="3" t="str">
        <f aca="false">IFERROR(__xludf.dummyfunction("if($T344&lt;&gt;"""",REGEXEXTRACT($T344, O$1&amp;""[\w &amp;]*, (\d+\.\d+)""),"""")
"),"")</f>
        <v/>
      </c>
      <c r="P344" s="2"/>
      <c r="Q344" s="2"/>
      <c r="R344" s="2"/>
      <c r="S344" s="2"/>
      <c r="T344" s="5"/>
      <c r="U344" s="5"/>
    </row>
    <row r="345" customFormat="false" ht="15.75" hidden="false" customHeight="false" outlineLevel="0" collapsed="false">
      <c r="A345" s="4"/>
      <c r="B345" s="2"/>
      <c r="C345" s="2"/>
      <c r="D345" s="2"/>
      <c r="E345" s="2"/>
      <c r="F345" s="3" t="str">
        <f aca="false">IFERROR(__xludf.dummyfunction("if($T345&lt;&gt;"""",REGEXEXTRACT(SUBSTITUTE ($T345,F$1&amp;"" CE"",""""), F$1&amp;""[\w &amp;]*, (\d+\.\d+)""),"""")
"),"")</f>
        <v/>
      </c>
      <c r="G345" s="3" t="str">
        <f aca="false">IFERROR(__xludf.dummyfunction("if($T345&lt;&gt;"""",REGEXEXTRACT($T345, G$1&amp;""[\w &amp;]*, (\d+\.\d+)""),"""")
"),"")</f>
        <v/>
      </c>
      <c r="H345" s="3"/>
      <c r="I345" s="3" t="str">
        <f aca="false">IFERROR(__xludf.dummyfunction("if($T345&lt;&gt;"""",REGEXEXTRACT(SUBSTITUTE ($T345,I$1&amp;"" CE"",""""), I$1&amp;""[\w &amp;]*, (\d+\.\d+)""),"""")
"),"")</f>
        <v/>
      </c>
      <c r="J345" s="3" t="str">
        <f aca="false">IFERROR(__xludf.dummyfunction("if($T345&lt;&gt;"""",REGEXEXTRACT($T345, J$1&amp;""[\w &amp;]*, (\d+\.\d+)""),"""")
"),"")</f>
        <v/>
      </c>
      <c r="K345" s="3"/>
      <c r="L345" s="3" t="str">
        <f aca="false">IFERROR(__xludf.dummyfunction("if($T345&lt;&gt;"""",REGEXEXTRACT(SUBSTITUTE ($T345,L$1&amp;"" CE"",""""), L$1&amp;""[\w &amp;]*, (\d+\.\d+)""),"""")
"),"")</f>
        <v/>
      </c>
      <c r="M345" s="3" t="str">
        <f aca="false">IFERROR(__xludf.dummyfunction("if($T345&lt;&gt;"""",REGEXEXTRACT($T345, M$1&amp;""[\w &amp;]*, (\d+\.\d+)""),"""")
"),"")</f>
        <v/>
      </c>
      <c r="N345" s="3" t="str">
        <f aca="false">IFERROR(__xludf.dummyfunction("if($T345&lt;&gt;"""",REGEXEXTRACT(SUBSTITUTE ($T345,N$1&amp;"" CE"",""""), N$1&amp;""[\w &amp;]*, (\d+\.\d+)""),"""")
"),"")</f>
        <v/>
      </c>
      <c r="O345" s="3" t="str">
        <f aca="false">IFERROR(__xludf.dummyfunction("if($T345&lt;&gt;"""",REGEXEXTRACT($T345, O$1&amp;""[\w &amp;]*, (\d+\.\d+)""),"""")
"),"")</f>
        <v/>
      </c>
      <c r="P345" s="2"/>
      <c r="Q345" s="2"/>
      <c r="R345" s="2"/>
      <c r="S345" s="2"/>
      <c r="T345" s="5"/>
      <c r="U345" s="5"/>
    </row>
    <row r="346" customFormat="false" ht="15.75" hidden="false" customHeight="false" outlineLevel="0" collapsed="false">
      <c r="A346" s="4"/>
      <c r="B346" s="2"/>
      <c r="C346" s="2"/>
      <c r="D346" s="2"/>
      <c r="E346" s="2"/>
      <c r="F346" s="3" t="str">
        <f aca="false">IFERROR(__xludf.dummyfunction("if($T346&lt;&gt;"""",REGEXEXTRACT(SUBSTITUTE ($T346,F$1&amp;"" CE"",""""), F$1&amp;""[\w &amp;]*, (\d+\.\d+)""),"""")
"),"")</f>
        <v/>
      </c>
      <c r="G346" s="3" t="str">
        <f aca="false">IFERROR(__xludf.dummyfunction("if($T346&lt;&gt;"""",REGEXEXTRACT($T346, G$1&amp;""[\w &amp;]*, (\d+\.\d+)""),"""")
"),"")</f>
        <v/>
      </c>
      <c r="H346" s="3"/>
      <c r="I346" s="3" t="str">
        <f aca="false">IFERROR(__xludf.dummyfunction("if($T346&lt;&gt;"""",REGEXEXTRACT(SUBSTITUTE ($T346,I$1&amp;"" CE"",""""), I$1&amp;""[\w &amp;]*, (\d+\.\d+)""),"""")
"),"")</f>
        <v/>
      </c>
      <c r="J346" s="3" t="str">
        <f aca="false">IFERROR(__xludf.dummyfunction("if($T346&lt;&gt;"""",REGEXEXTRACT($T346, J$1&amp;""[\w &amp;]*, (\d+\.\d+)""),"""")
"),"")</f>
        <v/>
      </c>
      <c r="K346" s="3"/>
      <c r="L346" s="3" t="str">
        <f aca="false">IFERROR(__xludf.dummyfunction("if($T346&lt;&gt;"""",REGEXEXTRACT(SUBSTITUTE ($T346,L$1&amp;"" CE"",""""), L$1&amp;""[\w &amp;]*, (\d+\.\d+)""),"""")
"),"")</f>
        <v/>
      </c>
      <c r="M346" s="3" t="str">
        <f aca="false">IFERROR(__xludf.dummyfunction("if($T346&lt;&gt;"""",REGEXEXTRACT($T346, M$1&amp;""[\w &amp;]*, (\d+\.\d+)""),"""")
"),"")</f>
        <v/>
      </c>
      <c r="N346" s="3" t="str">
        <f aca="false">IFERROR(__xludf.dummyfunction("if($T346&lt;&gt;"""",REGEXEXTRACT(SUBSTITUTE ($T346,N$1&amp;"" CE"",""""), N$1&amp;""[\w &amp;]*, (\d+\.\d+)""),"""")
"),"")</f>
        <v/>
      </c>
      <c r="O346" s="3" t="str">
        <f aca="false">IFERROR(__xludf.dummyfunction("if($T346&lt;&gt;"""",REGEXEXTRACT($T346, O$1&amp;""[\w &amp;]*, (\d+\.\d+)""),"""")
"),"")</f>
        <v/>
      </c>
      <c r="P346" s="2"/>
      <c r="Q346" s="2"/>
      <c r="R346" s="2"/>
      <c r="S346" s="2"/>
      <c r="T346" s="5"/>
      <c r="U346" s="5"/>
    </row>
    <row r="347" customFormat="false" ht="15.75" hidden="false" customHeight="false" outlineLevel="0" collapsed="false">
      <c r="A347" s="4"/>
      <c r="B347" s="2"/>
      <c r="C347" s="2"/>
      <c r="D347" s="2"/>
      <c r="E347" s="2"/>
      <c r="F347" s="3" t="str">
        <f aca="false">IFERROR(__xludf.dummyfunction("if($T347&lt;&gt;"""",REGEXEXTRACT(SUBSTITUTE ($T347,F$1&amp;"" CE"",""""), F$1&amp;""[\w &amp;]*, (\d+\.\d+)""),"""")
"),"")</f>
        <v/>
      </c>
      <c r="G347" s="3" t="str">
        <f aca="false">IFERROR(__xludf.dummyfunction("if($T347&lt;&gt;"""",REGEXEXTRACT($T347, G$1&amp;""[\w &amp;]*, (\d+\.\d+)""),"""")
"),"")</f>
        <v/>
      </c>
      <c r="H347" s="3"/>
      <c r="I347" s="3" t="str">
        <f aca="false">IFERROR(__xludf.dummyfunction("if($T347&lt;&gt;"""",REGEXEXTRACT(SUBSTITUTE ($T347,I$1&amp;"" CE"",""""), I$1&amp;""[\w &amp;]*, (\d+\.\d+)""),"""")
"),"")</f>
        <v/>
      </c>
      <c r="J347" s="3" t="str">
        <f aca="false">IFERROR(__xludf.dummyfunction("if($T347&lt;&gt;"""",REGEXEXTRACT($T347, J$1&amp;""[\w &amp;]*, (\d+\.\d+)""),"""")
"),"")</f>
        <v/>
      </c>
      <c r="K347" s="3"/>
      <c r="L347" s="3" t="str">
        <f aca="false">IFERROR(__xludf.dummyfunction("if($T347&lt;&gt;"""",REGEXEXTRACT(SUBSTITUTE ($T347,L$1&amp;"" CE"",""""), L$1&amp;""[\w &amp;]*, (\d+\.\d+)""),"""")
"),"")</f>
        <v/>
      </c>
      <c r="M347" s="3" t="str">
        <f aca="false">IFERROR(__xludf.dummyfunction("if($T347&lt;&gt;"""",REGEXEXTRACT($T347, M$1&amp;""[\w &amp;]*, (\d+\.\d+)""),"""")
"),"")</f>
        <v/>
      </c>
      <c r="N347" s="3" t="str">
        <f aca="false">IFERROR(__xludf.dummyfunction("if($T347&lt;&gt;"""",REGEXEXTRACT(SUBSTITUTE ($T347,N$1&amp;"" CE"",""""), N$1&amp;""[\w &amp;]*, (\d+\.\d+)""),"""")
"),"")</f>
        <v/>
      </c>
      <c r="O347" s="3" t="str">
        <f aca="false">IFERROR(__xludf.dummyfunction("if($T347&lt;&gt;"""",REGEXEXTRACT($T347, O$1&amp;""[\w &amp;]*, (\d+\.\d+)""),"""")
"),"")</f>
        <v/>
      </c>
      <c r="P347" s="2"/>
      <c r="Q347" s="2"/>
      <c r="R347" s="2"/>
      <c r="S347" s="2"/>
      <c r="T347" s="5"/>
      <c r="U347" s="5"/>
    </row>
    <row r="348" customFormat="false" ht="15.75" hidden="false" customHeight="false" outlineLevel="0" collapsed="false">
      <c r="A348" s="4"/>
      <c r="B348" s="2"/>
      <c r="C348" s="2"/>
      <c r="D348" s="2"/>
      <c r="E348" s="2"/>
      <c r="F348" s="3" t="str">
        <f aca="false">IFERROR(__xludf.dummyfunction("if($T348&lt;&gt;"""",REGEXEXTRACT(SUBSTITUTE ($T348,F$1&amp;"" CE"",""""), F$1&amp;""[\w &amp;]*, (\d+\.\d+)""),"""")
"),"")</f>
        <v/>
      </c>
      <c r="G348" s="3" t="str">
        <f aca="false">IFERROR(__xludf.dummyfunction("if($T348&lt;&gt;"""",REGEXEXTRACT($T348, G$1&amp;""[\w &amp;]*, (\d+\.\d+)""),"""")
"),"")</f>
        <v/>
      </c>
      <c r="H348" s="3"/>
      <c r="I348" s="3" t="str">
        <f aca="false">IFERROR(__xludf.dummyfunction("if($T348&lt;&gt;"""",REGEXEXTRACT(SUBSTITUTE ($T348,I$1&amp;"" CE"",""""), I$1&amp;""[\w &amp;]*, (\d+\.\d+)""),"""")
"),"")</f>
        <v/>
      </c>
      <c r="J348" s="3" t="str">
        <f aca="false">IFERROR(__xludf.dummyfunction("if($T348&lt;&gt;"""",REGEXEXTRACT($T348, J$1&amp;""[\w &amp;]*, (\d+\.\d+)""),"""")
"),"")</f>
        <v/>
      </c>
      <c r="K348" s="3"/>
      <c r="L348" s="3" t="str">
        <f aca="false">IFERROR(__xludf.dummyfunction("if($T348&lt;&gt;"""",REGEXEXTRACT(SUBSTITUTE ($T348,L$1&amp;"" CE"",""""), L$1&amp;""[\w &amp;]*, (\d+\.\d+)""),"""")
"),"")</f>
        <v/>
      </c>
      <c r="M348" s="3" t="str">
        <f aca="false">IFERROR(__xludf.dummyfunction("if($T348&lt;&gt;"""",REGEXEXTRACT($T348, M$1&amp;""[\w &amp;]*, (\d+\.\d+)""),"""")
"),"")</f>
        <v/>
      </c>
      <c r="N348" s="3" t="str">
        <f aca="false">IFERROR(__xludf.dummyfunction("if($T348&lt;&gt;"""",REGEXEXTRACT(SUBSTITUTE ($T348,N$1&amp;"" CE"",""""), N$1&amp;""[\w &amp;]*, (\d+\.\d+)""),"""")
"),"")</f>
        <v/>
      </c>
      <c r="O348" s="3" t="str">
        <f aca="false">IFERROR(__xludf.dummyfunction("if($T348&lt;&gt;"""",REGEXEXTRACT($T348, O$1&amp;""[\w &amp;]*, (\d+\.\d+)""),"""")
"),"")</f>
        <v/>
      </c>
      <c r="P348" s="2"/>
      <c r="Q348" s="2"/>
      <c r="R348" s="2"/>
      <c r="S348" s="2"/>
      <c r="T348" s="5"/>
      <c r="U348" s="5"/>
    </row>
    <row r="349" customFormat="false" ht="15.75" hidden="false" customHeight="false" outlineLevel="0" collapsed="false">
      <c r="A349" s="4"/>
      <c r="B349" s="2"/>
      <c r="C349" s="2"/>
      <c r="D349" s="2"/>
      <c r="E349" s="2"/>
      <c r="F349" s="3" t="str">
        <f aca="false">IFERROR(__xludf.dummyfunction("if($T349&lt;&gt;"""",REGEXEXTRACT(SUBSTITUTE ($T349,F$1&amp;"" CE"",""""), F$1&amp;""[\w &amp;]*, (\d+\.\d+)""),"""")
"),"")</f>
        <v/>
      </c>
      <c r="G349" s="3" t="str">
        <f aca="false">IFERROR(__xludf.dummyfunction("if($T349&lt;&gt;"""",REGEXEXTRACT($T349, G$1&amp;""[\w &amp;]*, (\d+\.\d+)""),"""")
"),"")</f>
        <v/>
      </c>
      <c r="H349" s="3"/>
      <c r="I349" s="3" t="str">
        <f aca="false">IFERROR(__xludf.dummyfunction("if($T349&lt;&gt;"""",REGEXEXTRACT(SUBSTITUTE ($T349,I$1&amp;"" CE"",""""), I$1&amp;""[\w &amp;]*, (\d+\.\d+)""),"""")
"),"")</f>
        <v/>
      </c>
      <c r="J349" s="3" t="str">
        <f aca="false">IFERROR(__xludf.dummyfunction("if($T349&lt;&gt;"""",REGEXEXTRACT($T349, J$1&amp;""[\w &amp;]*, (\d+\.\d+)""),"""")
"),"")</f>
        <v/>
      </c>
      <c r="K349" s="3"/>
      <c r="L349" s="3" t="str">
        <f aca="false">IFERROR(__xludf.dummyfunction("if($T349&lt;&gt;"""",REGEXEXTRACT(SUBSTITUTE ($T349,L$1&amp;"" CE"",""""), L$1&amp;""[\w &amp;]*, (\d+\.\d+)""),"""")
"),"")</f>
        <v/>
      </c>
      <c r="M349" s="3" t="str">
        <f aca="false">IFERROR(__xludf.dummyfunction("if($T349&lt;&gt;"""",REGEXEXTRACT($T349, M$1&amp;""[\w &amp;]*, (\d+\.\d+)""),"""")
"),"")</f>
        <v/>
      </c>
      <c r="N349" s="3" t="str">
        <f aca="false">IFERROR(__xludf.dummyfunction("if($T349&lt;&gt;"""",REGEXEXTRACT(SUBSTITUTE ($T349,N$1&amp;"" CE"",""""), N$1&amp;""[\w &amp;]*, (\d+\.\d+)""),"""")
"),"")</f>
        <v/>
      </c>
      <c r="O349" s="3" t="str">
        <f aca="false">IFERROR(__xludf.dummyfunction("if($T349&lt;&gt;"""",REGEXEXTRACT($T349, O$1&amp;""[\w &amp;]*, (\d+\.\d+)""),"""")
"),"")</f>
        <v/>
      </c>
      <c r="P349" s="2"/>
      <c r="Q349" s="2"/>
      <c r="R349" s="2"/>
      <c r="S349" s="2"/>
      <c r="T349" s="5"/>
      <c r="U349" s="5"/>
    </row>
    <row r="350" customFormat="false" ht="15.75" hidden="false" customHeight="false" outlineLevel="0" collapsed="false">
      <c r="A350" s="4"/>
      <c r="B350" s="2"/>
      <c r="C350" s="2"/>
      <c r="D350" s="2"/>
      <c r="E350" s="2"/>
      <c r="F350" s="3" t="str">
        <f aca="false">IFERROR(__xludf.dummyfunction("if($T350&lt;&gt;"""",REGEXEXTRACT(SUBSTITUTE ($T350,F$1&amp;"" CE"",""""), F$1&amp;""[\w &amp;]*, (\d+\.\d+)""),"""")
"),"")</f>
        <v/>
      </c>
      <c r="G350" s="3" t="str">
        <f aca="false">IFERROR(__xludf.dummyfunction("if($T350&lt;&gt;"""",REGEXEXTRACT($T350, G$1&amp;""[\w &amp;]*, (\d+\.\d+)""),"""")
"),"")</f>
        <v/>
      </c>
      <c r="H350" s="3"/>
      <c r="I350" s="3" t="str">
        <f aca="false">IFERROR(__xludf.dummyfunction("if($T350&lt;&gt;"""",REGEXEXTRACT(SUBSTITUTE ($T350,I$1&amp;"" CE"",""""), I$1&amp;""[\w &amp;]*, (\d+\.\d+)""),"""")
"),"")</f>
        <v/>
      </c>
      <c r="J350" s="3" t="str">
        <f aca="false">IFERROR(__xludf.dummyfunction("if($T350&lt;&gt;"""",REGEXEXTRACT($T350, J$1&amp;""[\w &amp;]*, (\d+\.\d+)""),"""")
"),"")</f>
        <v/>
      </c>
      <c r="K350" s="3"/>
      <c r="L350" s="3" t="str">
        <f aca="false">IFERROR(__xludf.dummyfunction("if($T350&lt;&gt;"""",REGEXEXTRACT(SUBSTITUTE ($T350,L$1&amp;"" CE"",""""), L$1&amp;""[\w &amp;]*, (\d+\.\d+)""),"""")
"),"")</f>
        <v/>
      </c>
      <c r="M350" s="3" t="str">
        <f aca="false">IFERROR(__xludf.dummyfunction("if($T350&lt;&gt;"""",REGEXEXTRACT($T350, M$1&amp;""[\w &amp;]*, (\d+\.\d+)""),"""")
"),"")</f>
        <v/>
      </c>
      <c r="N350" s="3" t="str">
        <f aca="false">IFERROR(__xludf.dummyfunction("if($T350&lt;&gt;"""",REGEXEXTRACT(SUBSTITUTE ($T350,N$1&amp;"" CE"",""""), N$1&amp;""[\w &amp;]*, (\d+\.\d+)""),"""")
"),"")</f>
        <v/>
      </c>
      <c r="O350" s="3" t="str">
        <f aca="false">IFERROR(__xludf.dummyfunction("if($T350&lt;&gt;"""",REGEXEXTRACT($T350, O$1&amp;""[\w &amp;]*, (\d+\.\d+)""),"""")
"),"")</f>
        <v/>
      </c>
      <c r="P350" s="2"/>
      <c r="Q350" s="2"/>
      <c r="R350" s="2"/>
      <c r="S350" s="2"/>
      <c r="T350" s="5"/>
      <c r="U350" s="5"/>
    </row>
    <row r="351" customFormat="false" ht="15.75" hidden="false" customHeight="false" outlineLevel="0" collapsed="false">
      <c r="A351" s="4"/>
      <c r="B351" s="2"/>
      <c r="C351" s="2"/>
      <c r="D351" s="2"/>
      <c r="E351" s="2"/>
      <c r="F351" s="3" t="str">
        <f aca="false">IFERROR(__xludf.dummyfunction("if($T351&lt;&gt;"""",REGEXEXTRACT(SUBSTITUTE ($T351,F$1&amp;"" CE"",""""), F$1&amp;""[\w &amp;]*, (\d+\.\d+)""),"""")
"),"")</f>
        <v/>
      </c>
      <c r="G351" s="3" t="str">
        <f aca="false">IFERROR(__xludf.dummyfunction("if($T351&lt;&gt;"""",REGEXEXTRACT($T351, G$1&amp;""[\w &amp;]*, (\d+\.\d+)""),"""")
"),"")</f>
        <v/>
      </c>
      <c r="H351" s="3"/>
      <c r="I351" s="3" t="str">
        <f aca="false">IFERROR(__xludf.dummyfunction("if($T351&lt;&gt;"""",REGEXEXTRACT(SUBSTITUTE ($T351,I$1&amp;"" CE"",""""), I$1&amp;""[\w &amp;]*, (\d+\.\d+)""),"""")
"),"")</f>
        <v/>
      </c>
      <c r="J351" s="3" t="str">
        <f aca="false">IFERROR(__xludf.dummyfunction("if($T351&lt;&gt;"""",REGEXEXTRACT($T351, J$1&amp;""[\w &amp;]*, (\d+\.\d+)""),"""")
"),"")</f>
        <v/>
      </c>
      <c r="K351" s="3"/>
      <c r="L351" s="3" t="str">
        <f aca="false">IFERROR(__xludf.dummyfunction("if($T351&lt;&gt;"""",REGEXEXTRACT(SUBSTITUTE ($T351,L$1&amp;"" CE"",""""), L$1&amp;""[\w &amp;]*, (\d+\.\d+)""),"""")
"),"")</f>
        <v/>
      </c>
      <c r="M351" s="3" t="str">
        <f aca="false">IFERROR(__xludf.dummyfunction("if($T351&lt;&gt;"""",REGEXEXTRACT($T351, M$1&amp;""[\w &amp;]*, (\d+\.\d+)""),"""")
"),"")</f>
        <v/>
      </c>
      <c r="N351" s="3" t="str">
        <f aca="false">IFERROR(__xludf.dummyfunction("if($T351&lt;&gt;"""",REGEXEXTRACT(SUBSTITUTE ($T351,N$1&amp;"" CE"",""""), N$1&amp;""[\w &amp;]*, (\d+\.\d+)""),"""")
"),"")</f>
        <v/>
      </c>
      <c r="O351" s="3" t="str">
        <f aca="false">IFERROR(__xludf.dummyfunction("if($T351&lt;&gt;"""",REGEXEXTRACT($T351, O$1&amp;""[\w &amp;]*, (\d+\.\d+)""),"""")
"),"")</f>
        <v/>
      </c>
      <c r="P351" s="2"/>
      <c r="Q351" s="2"/>
      <c r="R351" s="2"/>
      <c r="S351" s="2"/>
      <c r="T351" s="5"/>
      <c r="U351" s="5"/>
    </row>
    <row r="352" customFormat="false" ht="15.75" hidden="false" customHeight="false" outlineLevel="0" collapsed="false">
      <c r="A352" s="4"/>
      <c r="B352" s="2"/>
      <c r="C352" s="2"/>
      <c r="D352" s="2"/>
      <c r="E352" s="2"/>
      <c r="F352" s="3" t="str">
        <f aca="false">IFERROR(__xludf.dummyfunction("if($T352&lt;&gt;"""",REGEXEXTRACT(SUBSTITUTE ($T352,F$1&amp;"" CE"",""""), F$1&amp;""[\w &amp;]*, (\d+\.\d+)""),"""")
"),"")</f>
        <v/>
      </c>
      <c r="G352" s="3" t="str">
        <f aca="false">IFERROR(__xludf.dummyfunction("if($T352&lt;&gt;"""",REGEXEXTRACT($T352, G$1&amp;""[\w &amp;]*, (\d+\.\d+)""),"""")
"),"")</f>
        <v/>
      </c>
      <c r="H352" s="3"/>
      <c r="I352" s="3" t="str">
        <f aca="false">IFERROR(__xludf.dummyfunction("if($T352&lt;&gt;"""",REGEXEXTRACT(SUBSTITUTE ($T352,I$1&amp;"" CE"",""""), I$1&amp;""[\w &amp;]*, (\d+\.\d+)""),"""")
"),"")</f>
        <v/>
      </c>
      <c r="J352" s="3" t="str">
        <f aca="false">IFERROR(__xludf.dummyfunction("if($T352&lt;&gt;"""",REGEXEXTRACT($T352, J$1&amp;""[\w &amp;]*, (\d+\.\d+)""),"""")
"),"")</f>
        <v/>
      </c>
      <c r="K352" s="3"/>
      <c r="L352" s="3" t="str">
        <f aca="false">IFERROR(__xludf.dummyfunction("if($T352&lt;&gt;"""",REGEXEXTRACT(SUBSTITUTE ($T352,L$1&amp;"" CE"",""""), L$1&amp;""[\w &amp;]*, (\d+\.\d+)""),"""")
"),"")</f>
        <v/>
      </c>
      <c r="M352" s="3" t="str">
        <f aca="false">IFERROR(__xludf.dummyfunction("if($T352&lt;&gt;"""",REGEXEXTRACT($T352, M$1&amp;""[\w &amp;]*, (\d+\.\d+)""),"""")
"),"")</f>
        <v/>
      </c>
      <c r="N352" s="3" t="str">
        <f aca="false">IFERROR(__xludf.dummyfunction("if($T352&lt;&gt;"""",REGEXEXTRACT(SUBSTITUTE ($T352,N$1&amp;"" CE"",""""), N$1&amp;""[\w &amp;]*, (\d+\.\d+)""),"""")
"),"")</f>
        <v/>
      </c>
      <c r="O352" s="3" t="str">
        <f aca="false">IFERROR(__xludf.dummyfunction("if($T352&lt;&gt;"""",REGEXEXTRACT($T352, O$1&amp;""[\w &amp;]*, (\d+\.\d+)""),"""")
"),"")</f>
        <v/>
      </c>
      <c r="P352" s="2"/>
      <c r="Q352" s="2"/>
      <c r="R352" s="2"/>
      <c r="S352" s="2"/>
      <c r="T352" s="5"/>
      <c r="U352" s="5"/>
    </row>
    <row r="353" customFormat="false" ht="15.75" hidden="false" customHeight="false" outlineLevel="0" collapsed="false">
      <c r="A353" s="4"/>
      <c r="B353" s="2"/>
      <c r="C353" s="2"/>
      <c r="D353" s="2"/>
      <c r="E353" s="2"/>
      <c r="F353" s="3" t="str">
        <f aca="false">IFERROR(__xludf.dummyfunction("if($T353&lt;&gt;"""",REGEXEXTRACT(SUBSTITUTE ($T353,F$1&amp;"" CE"",""""), F$1&amp;""[\w &amp;]*, (\d+\.\d+)""),"""")
"),"")</f>
        <v/>
      </c>
      <c r="G353" s="3" t="str">
        <f aca="false">IFERROR(__xludf.dummyfunction("if($T353&lt;&gt;"""",REGEXEXTRACT($T353, G$1&amp;""[\w &amp;]*, (\d+\.\d+)""),"""")
"),"")</f>
        <v/>
      </c>
      <c r="H353" s="3"/>
      <c r="I353" s="3" t="str">
        <f aca="false">IFERROR(__xludf.dummyfunction("if($T353&lt;&gt;"""",REGEXEXTRACT(SUBSTITUTE ($T353,I$1&amp;"" CE"",""""), I$1&amp;""[\w &amp;]*, (\d+\.\d+)""),"""")
"),"")</f>
        <v/>
      </c>
      <c r="J353" s="3" t="str">
        <f aca="false">IFERROR(__xludf.dummyfunction("if($T353&lt;&gt;"""",REGEXEXTRACT($T353, J$1&amp;""[\w &amp;]*, (\d+\.\d+)""),"""")
"),"")</f>
        <v/>
      </c>
      <c r="K353" s="3"/>
      <c r="L353" s="3" t="str">
        <f aca="false">IFERROR(__xludf.dummyfunction("if($T353&lt;&gt;"""",REGEXEXTRACT(SUBSTITUTE ($T353,L$1&amp;"" CE"",""""), L$1&amp;""[\w &amp;]*, (\d+\.\d+)""),"""")
"),"")</f>
        <v/>
      </c>
      <c r="M353" s="3" t="str">
        <f aca="false">IFERROR(__xludf.dummyfunction("if($T353&lt;&gt;"""",REGEXEXTRACT($T353, M$1&amp;""[\w &amp;]*, (\d+\.\d+)""),"""")
"),"")</f>
        <v/>
      </c>
      <c r="N353" s="3" t="str">
        <f aca="false">IFERROR(__xludf.dummyfunction("if($T353&lt;&gt;"""",REGEXEXTRACT(SUBSTITUTE ($T353,N$1&amp;"" CE"",""""), N$1&amp;""[\w &amp;]*, (\d+\.\d+)""),"""")
"),"")</f>
        <v/>
      </c>
      <c r="O353" s="3" t="str">
        <f aca="false">IFERROR(__xludf.dummyfunction("if($T353&lt;&gt;"""",REGEXEXTRACT($T353, O$1&amp;""[\w &amp;]*, (\d+\.\d+)""),"""")
"),"")</f>
        <v/>
      </c>
      <c r="P353" s="2"/>
      <c r="Q353" s="2"/>
      <c r="R353" s="2"/>
      <c r="S353" s="2"/>
      <c r="T353" s="5"/>
      <c r="U353" s="5"/>
    </row>
    <row r="354" customFormat="false" ht="15.75" hidden="false" customHeight="false" outlineLevel="0" collapsed="false">
      <c r="A354" s="4"/>
      <c r="B354" s="2"/>
      <c r="C354" s="2"/>
      <c r="D354" s="2"/>
      <c r="E354" s="2"/>
      <c r="F354" s="3" t="str">
        <f aca="false">IFERROR(__xludf.dummyfunction("if($T354&lt;&gt;"""",REGEXEXTRACT(SUBSTITUTE ($T354,F$1&amp;"" CE"",""""), F$1&amp;""[\w &amp;]*, (\d+\.\d+)""),"""")
"),"")</f>
        <v/>
      </c>
      <c r="G354" s="3" t="str">
        <f aca="false">IFERROR(__xludf.dummyfunction("if($T354&lt;&gt;"""",REGEXEXTRACT($T354, G$1&amp;""[\w &amp;]*, (\d+\.\d+)""),"""")
"),"")</f>
        <v/>
      </c>
      <c r="H354" s="3"/>
      <c r="I354" s="3" t="str">
        <f aca="false">IFERROR(__xludf.dummyfunction("if($T354&lt;&gt;"""",REGEXEXTRACT(SUBSTITUTE ($T354,I$1&amp;"" CE"",""""), I$1&amp;""[\w &amp;]*, (\d+\.\d+)""),"""")
"),"")</f>
        <v/>
      </c>
      <c r="J354" s="3" t="str">
        <f aca="false">IFERROR(__xludf.dummyfunction("if($T354&lt;&gt;"""",REGEXEXTRACT($T354, J$1&amp;""[\w &amp;]*, (\d+\.\d+)""),"""")
"),"")</f>
        <v/>
      </c>
      <c r="K354" s="3"/>
      <c r="L354" s="3" t="str">
        <f aca="false">IFERROR(__xludf.dummyfunction("if($T354&lt;&gt;"""",REGEXEXTRACT(SUBSTITUTE ($T354,L$1&amp;"" CE"",""""), L$1&amp;""[\w &amp;]*, (\d+\.\d+)""),"""")
"),"")</f>
        <v/>
      </c>
      <c r="M354" s="3" t="str">
        <f aca="false">IFERROR(__xludf.dummyfunction("if($T354&lt;&gt;"""",REGEXEXTRACT($T354, M$1&amp;""[\w &amp;]*, (\d+\.\d+)""),"""")
"),"")</f>
        <v/>
      </c>
      <c r="N354" s="3" t="str">
        <f aca="false">IFERROR(__xludf.dummyfunction("if($T354&lt;&gt;"""",REGEXEXTRACT(SUBSTITUTE ($T354,N$1&amp;"" CE"",""""), N$1&amp;""[\w &amp;]*, (\d+\.\d+)""),"""")
"),"")</f>
        <v/>
      </c>
      <c r="O354" s="3" t="str">
        <f aca="false">IFERROR(__xludf.dummyfunction("if($T354&lt;&gt;"""",REGEXEXTRACT($T354, O$1&amp;""[\w &amp;]*, (\d+\.\d+)""),"""")
"),"")</f>
        <v/>
      </c>
      <c r="P354" s="2"/>
      <c r="Q354" s="2"/>
      <c r="R354" s="2"/>
      <c r="S354" s="2"/>
      <c r="T354" s="5"/>
      <c r="U354" s="5"/>
    </row>
    <row r="355" customFormat="false" ht="15.75" hidden="false" customHeight="false" outlineLevel="0" collapsed="false">
      <c r="A355" s="4"/>
      <c r="B355" s="2"/>
      <c r="C355" s="2"/>
      <c r="D355" s="2"/>
      <c r="E355" s="2"/>
      <c r="F355" s="3" t="str">
        <f aca="false">IFERROR(__xludf.dummyfunction("if($T355&lt;&gt;"""",REGEXEXTRACT(SUBSTITUTE ($T355,F$1&amp;"" CE"",""""), F$1&amp;""[\w &amp;]*, (\d+\.\d+)""),"""")
"),"")</f>
        <v/>
      </c>
      <c r="G355" s="3" t="str">
        <f aca="false">IFERROR(__xludf.dummyfunction("if($T355&lt;&gt;"""",REGEXEXTRACT($T355, G$1&amp;""[\w &amp;]*, (\d+\.\d+)""),"""")
"),"")</f>
        <v/>
      </c>
      <c r="H355" s="3"/>
      <c r="I355" s="3" t="str">
        <f aca="false">IFERROR(__xludf.dummyfunction("if($T355&lt;&gt;"""",REGEXEXTRACT(SUBSTITUTE ($T355,I$1&amp;"" CE"",""""), I$1&amp;""[\w &amp;]*, (\d+\.\d+)""),"""")
"),"")</f>
        <v/>
      </c>
      <c r="J355" s="3" t="str">
        <f aca="false">IFERROR(__xludf.dummyfunction("if($T355&lt;&gt;"""",REGEXEXTRACT($T355, J$1&amp;""[\w &amp;]*, (\d+\.\d+)""),"""")
"),"")</f>
        <v/>
      </c>
      <c r="K355" s="3"/>
      <c r="L355" s="3" t="str">
        <f aca="false">IFERROR(__xludf.dummyfunction("if($T355&lt;&gt;"""",REGEXEXTRACT(SUBSTITUTE ($T355,L$1&amp;"" CE"",""""), L$1&amp;""[\w &amp;]*, (\d+\.\d+)""),"""")
"),"")</f>
        <v/>
      </c>
      <c r="M355" s="3" t="str">
        <f aca="false">IFERROR(__xludf.dummyfunction("if($T355&lt;&gt;"""",REGEXEXTRACT($T355, M$1&amp;""[\w &amp;]*, (\d+\.\d+)""),"""")
"),"")</f>
        <v/>
      </c>
      <c r="N355" s="3" t="str">
        <f aca="false">IFERROR(__xludf.dummyfunction("if($T355&lt;&gt;"""",REGEXEXTRACT(SUBSTITUTE ($T355,N$1&amp;"" CE"",""""), N$1&amp;""[\w &amp;]*, (\d+\.\d+)""),"""")
"),"")</f>
        <v/>
      </c>
      <c r="O355" s="3" t="str">
        <f aca="false">IFERROR(__xludf.dummyfunction("if($T355&lt;&gt;"""",REGEXEXTRACT($T355, O$1&amp;""[\w &amp;]*, (\d+\.\d+)""),"""")
"),"")</f>
        <v/>
      </c>
      <c r="P355" s="2"/>
      <c r="Q355" s="2"/>
      <c r="R355" s="2"/>
      <c r="S355" s="2"/>
      <c r="T355" s="5"/>
      <c r="U355" s="5"/>
    </row>
    <row r="356" customFormat="false" ht="15.75" hidden="false" customHeight="false" outlineLevel="0" collapsed="false">
      <c r="A356" s="4"/>
      <c r="B356" s="2"/>
      <c r="C356" s="2"/>
      <c r="D356" s="2"/>
      <c r="E356" s="2"/>
      <c r="F356" s="3" t="str">
        <f aca="false">IFERROR(__xludf.dummyfunction("if($T356&lt;&gt;"""",REGEXEXTRACT(SUBSTITUTE ($T356,F$1&amp;"" CE"",""""), F$1&amp;""[\w &amp;]*, (\d+\.\d+)""),"""")
"),"")</f>
        <v/>
      </c>
      <c r="G356" s="3" t="str">
        <f aca="false">IFERROR(__xludf.dummyfunction("if($T356&lt;&gt;"""",REGEXEXTRACT($T356, G$1&amp;""[\w &amp;]*, (\d+\.\d+)""),"""")
"),"")</f>
        <v/>
      </c>
      <c r="H356" s="3"/>
      <c r="I356" s="3" t="str">
        <f aca="false">IFERROR(__xludf.dummyfunction("if($T356&lt;&gt;"""",REGEXEXTRACT(SUBSTITUTE ($T356,I$1&amp;"" CE"",""""), I$1&amp;""[\w &amp;]*, (\d+\.\d+)""),"""")
"),"")</f>
        <v/>
      </c>
      <c r="J356" s="3" t="str">
        <f aca="false">IFERROR(__xludf.dummyfunction("if($T356&lt;&gt;"""",REGEXEXTRACT($T356, J$1&amp;""[\w &amp;]*, (\d+\.\d+)""),"""")
"),"")</f>
        <v/>
      </c>
      <c r="K356" s="3"/>
      <c r="L356" s="3" t="str">
        <f aca="false">IFERROR(__xludf.dummyfunction("if($T356&lt;&gt;"""",REGEXEXTRACT(SUBSTITUTE ($T356,L$1&amp;"" CE"",""""), L$1&amp;""[\w &amp;]*, (\d+\.\d+)""),"""")
"),"")</f>
        <v/>
      </c>
      <c r="M356" s="3" t="str">
        <f aca="false">IFERROR(__xludf.dummyfunction("if($T356&lt;&gt;"""",REGEXEXTRACT($T356, M$1&amp;""[\w &amp;]*, (\d+\.\d+)""),"""")
"),"")</f>
        <v/>
      </c>
      <c r="N356" s="3" t="str">
        <f aca="false">IFERROR(__xludf.dummyfunction("if($T356&lt;&gt;"""",REGEXEXTRACT(SUBSTITUTE ($T356,N$1&amp;"" CE"",""""), N$1&amp;""[\w &amp;]*, (\d+\.\d+)""),"""")
"),"")</f>
        <v/>
      </c>
      <c r="O356" s="3" t="str">
        <f aca="false">IFERROR(__xludf.dummyfunction("if($T356&lt;&gt;"""",REGEXEXTRACT($T356, O$1&amp;""[\w &amp;]*, (\d+\.\d+)""),"""")
"),"")</f>
        <v/>
      </c>
      <c r="P356" s="2"/>
      <c r="Q356" s="2"/>
      <c r="R356" s="2"/>
      <c r="S356" s="2"/>
      <c r="T356" s="5"/>
      <c r="U356" s="5"/>
    </row>
    <row r="357" customFormat="false" ht="15.75" hidden="false" customHeight="false" outlineLevel="0" collapsed="false">
      <c r="A357" s="4"/>
      <c r="B357" s="2"/>
      <c r="C357" s="2"/>
      <c r="D357" s="2"/>
      <c r="E357" s="2"/>
      <c r="F357" s="3" t="str">
        <f aca="false">IFERROR(__xludf.dummyfunction("if($T357&lt;&gt;"""",REGEXEXTRACT(SUBSTITUTE ($T357,F$1&amp;"" CE"",""""), F$1&amp;""[\w &amp;]*, (\d+\.\d+)""),"""")
"),"")</f>
        <v/>
      </c>
      <c r="G357" s="3" t="str">
        <f aca="false">IFERROR(__xludf.dummyfunction("if($T357&lt;&gt;"""",REGEXEXTRACT($T357, G$1&amp;""[\w &amp;]*, (\d+\.\d+)""),"""")
"),"")</f>
        <v/>
      </c>
      <c r="H357" s="3"/>
      <c r="I357" s="3" t="str">
        <f aca="false">IFERROR(__xludf.dummyfunction("if($T357&lt;&gt;"""",REGEXEXTRACT(SUBSTITUTE ($T357,I$1&amp;"" CE"",""""), I$1&amp;""[\w &amp;]*, (\d+\.\d+)""),"""")
"),"")</f>
        <v/>
      </c>
      <c r="J357" s="3" t="str">
        <f aca="false">IFERROR(__xludf.dummyfunction("if($T357&lt;&gt;"""",REGEXEXTRACT($T357, J$1&amp;""[\w &amp;]*, (\d+\.\d+)""),"""")
"),"")</f>
        <v/>
      </c>
      <c r="K357" s="3"/>
      <c r="L357" s="3" t="str">
        <f aca="false">IFERROR(__xludf.dummyfunction("if($T357&lt;&gt;"""",REGEXEXTRACT(SUBSTITUTE ($T357,L$1&amp;"" CE"",""""), L$1&amp;""[\w &amp;]*, (\d+\.\d+)""),"""")
"),"")</f>
        <v/>
      </c>
      <c r="M357" s="3" t="str">
        <f aca="false">IFERROR(__xludf.dummyfunction("if($T357&lt;&gt;"""",REGEXEXTRACT($T357, M$1&amp;""[\w &amp;]*, (\d+\.\d+)""),"""")
"),"")</f>
        <v/>
      </c>
      <c r="N357" s="3" t="str">
        <f aca="false">IFERROR(__xludf.dummyfunction("if($T357&lt;&gt;"""",REGEXEXTRACT(SUBSTITUTE ($T357,N$1&amp;"" CE"",""""), N$1&amp;""[\w &amp;]*, (\d+\.\d+)""),"""")
"),"")</f>
        <v/>
      </c>
      <c r="O357" s="3" t="str">
        <f aca="false">IFERROR(__xludf.dummyfunction("if($T357&lt;&gt;"""",REGEXEXTRACT($T357, O$1&amp;""[\w &amp;]*, (\d+\.\d+)""),"""")
"),"")</f>
        <v/>
      </c>
      <c r="P357" s="2"/>
      <c r="Q357" s="2"/>
      <c r="R357" s="2"/>
      <c r="S357" s="2"/>
      <c r="T357" s="5"/>
      <c r="U357" s="5"/>
    </row>
    <row r="358" customFormat="false" ht="15.75" hidden="false" customHeight="false" outlineLevel="0" collapsed="false">
      <c r="A358" s="4"/>
      <c r="B358" s="2"/>
      <c r="C358" s="2"/>
      <c r="D358" s="2"/>
      <c r="E358" s="2"/>
      <c r="F358" s="3" t="str">
        <f aca="false">IFERROR(__xludf.dummyfunction("if($T358&lt;&gt;"""",REGEXEXTRACT(SUBSTITUTE ($T358,F$1&amp;"" CE"",""""), F$1&amp;""[\w &amp;]*, (\d+\.\d+)""),"""")
"),"")</f>
        <v/>
      </c>
      <c r="G358" s="3" t="str">
        <f aca="false">IFERROR(__xludf.dummyfunction("if($T358&lt;&gt;"""",REGEXEXTRACT($T358, G$1&amp;""[\w &amp;]*, (\d+\.\d+)""),"""")
"),"")</f>
        <v/>
      </c>
      <c r="H358" s="3"/>
      <c r="I358" s="3" t="str">
        <f aca="false">IFERROR(__xludf.dummyfunction("if($T358&lt;&gt;"""",REGEXEXTRACT(SUBSTITUTE ($T358,I$1&amp;"" CE"",""""), I$1&amp;""[\w &amp;]*, (\d+\.\d+)""),"""")
"),"")</f>
        <v/>
      </c>
      <c r="J358" s="3" t="str">
        <f aca="false">IFERROR(__xludf.dummyfunction("if($T358&lt;&gt;"""",REGEXEXTRACT($T358, J$1&amp;""[\w &amp;]*, (\d+\.\d+)""),"""")
"),"")</f>
        <v/>
      </c>
      <c r="K358" s="3"/>
      <c r="L358" s="3" t="str">
        <f aca="false">IFERROR(__xludf.dummyfunction("if($T358&lt;&gt;"""",REGEXEXTRACT(SUBSTITUTE ($T358,L$1&amp;"" CE"",""""), L$1&amp;""[\w &amp;]*, (\d+\.\d+)""),"""")
"),"")</f>
        <v/>
      </c>
      <c r="M358" s="3" t="str">
        <f aca="false">IFERROR(__xludf.dummyfunction("if($T358&lt;&gt;"""",REGEXEXTRACT($T358, M$1&amp;""[\w &amp;]*, (\d+\.\d+)""),"""")
"),"")</f>
        <v/>
      </c>
      <c r="N358" s="3" t="str">
        <f aca="false">IFERROR(__xludf.dummyfunction("if($T358&lt;&gt;"""",REGEXEXTRACT(SUBSTITUTE ($T358,N$1&amp;"" CE"",""""), N$1&amp;""[\w &amp;]*, (\d+\.\d+)""),"""")
"),"")</f>
        <v/>
      </c>
      <c r="O358" s="3" t="str">
        <f aca="false">IFERROR(__xludf.dummyfunction("if($T358&lt;&gt;"""",REGEXEXTRACT($T358, O$1&amp;""[\w &amp;]*, (\d+\.\d+)""),"""")
"),"")</f>
        <v/>
      </c>
      <c r="P358" s="2"/>
      <c r="Q358" s="2"/>
      <c r="R358" s="2"/>
      <c r="S358" s="2"/>
      <c r="T358" s="5"/>
      <c r="U358" s="5"/>
    </row>
    <row r="359" customFormat="false" ht="15.75" hidden="false" customHeight="false" outlineLevel="0" collapsed="false">
      <c r="A359" s="4"/>
      <c r="B359" s="2"/>
      <c r="C359" s="2"/>
      <c r="D359" s="2"/>
      <c r="E359" s="2"/>
      <c r="F359" s="3" t="str">
        <f aca="false">IFERROR(__xludf.dummyfunction("if($T359&lt;&gt;"""",REGEXEXTRACT(SUBSTITUTE ($T359,F$1&amp;"" CE"",""""), F$1&amp;""[\w &amp;]*, (\d+\.\d+)""),"""")
"),"")</f>
        <v/>
      </c>
      <c r="G359" s="3" t="str">
        <f aca="false">IFERROR(__xludf.dummyfunction("if($T359&lt;&gt;"""",REGEXEXTRACT($T359, G$1&amp;""[\w &amp;]*, (\d+\.\d+)""),"""")
"),"")</f>
        <v/>
      </c>
      <c r="H359" s="3"/>
      <c r="I359" s="3" t="str">
        <f aca="false">IFERROR(__xludf.dummyfunction("if($T359&lt;&gt;"""",REGEXEXTRACT(SUBSTITUTE ($T359,I$1&amp;"" CE"",""""), I$1&amp;""[\w &amp;]*, (\d+\.\d+)""),"""")
"),"")</f>
        <v/>
      </c>
      <c r="J359" s="3" t="str">
        <f aca="false">IFERROR(__xludf.dummyfunction("if($T359&lt;&gt;"""",REGEXEXTRACT($T359, J$1&amp;""[\w &amp;]*, (\d+\.\d+)""),"""")
"),"")</f>
        <v/>
      </c>
      <c r="K359" s="3"/>
      <c r="L359" s="3" t="str">
        <f aca="false">IFERROR(__xludf.dummyfunction("if($T359&lt;&gt;"""",REGEXEXTRACT(SUBSTITUTE ($T359,L$1&amp;"" CE"",""""), L$1&amp;""[\w &amp;]*, (\d+\.\d+)""),"""")
"),"")</f>
        <v/>
      </c>
      <c r="M359" s="3" t="str">
        <f aca="false">IFERROR(__xludf.dummyfunction("if($T359&lt;&gt;"""",REGEXEXTRACT($T359, M$1&amp;""[\w &amp;]*, (\d+\.\d+)""),"""")
"),"")</f>
        <v/>
      </c>
      <c r="N359" s="3" t="str">
        <f aca="false">IFERROR(__xludf.dummyfunction("if($T359&lt;&gt;"""",REGEXEXTRACT(SUBSTITUTE ($T359,N$1&amp;"" CE"",""""), N$1&amp;""[\w &amp;]*, (\d+\.\d+)""),"""")
"),"")</f>
        <v/>
      </c>
      <c r="O359" s="3" t="str">
        <f aca="false">IFERROR(__xludf.dummyfunction("if($T359&lt;&gt;"""",REGEXEXTRACT($T359, O$1&amp;""[\w &amp;]*, (\d+\.\d+)""),"""")
"),"")</f>
        <v/>
      </c>
      <c r="P359" s="2"/>
      <c r="Q359" s="2"/>
      <c r="R359" s="2"/>
      <c r="S359" s="2"/>
      <c r="T359" s="5"/>
      <c r="U359" s="5"/>
    </row>
    <row r="360" customFormat="false" ht="15.75" hidden="false" customHeight="false" outlineLevel="0" collapsed="false">
      <c r="A360" s="4"/>
      <c r="B360" s="2"/>
      <c r="C360" s="2"/>
      <c r="D360" s="2"/>
      <c r="E360" s="2"/>
      <c r="F360" s="3" t="str">
        <f aca="false">IFERROR(__xludf.dummyfunction("if($T360&lt;&gt;"""",REGEXEXTRACT(SUBSTITUTE ($T360,F$1&amp;"" CE"",""""), F$1&amp;""[\w &amp;]*, (\d+\.\d+)""),"""")
"),"")</f>
        <v/>
      </c>
      <c r="G360" s="3" t="str">
        <f aca="false">IFERROR(__xludf.dummyfunction("if($T360&lt;&gt;"""",REGEXEXTRACT($T360, G$1&amp;""[\w &amp;]*, (\d+\.\d+)""),"""")
"),"")</f>
        <v/>
      </c>
      <c r="H360" s="3"/>
      <c r="I360" s="3" t="str">
        <f aca="false">IFERROR(__xludf.dummyfunction("if($T360&lt;&gt;"""",REGEXEXTRACT(SUBSTITUTE ($T360,I$1&amp;"" CE"",""""), I$1&amp;""[\w &amp;]*, (\d+\.\d+)""),"""")
"),"")</f>
        <v/>
      </c>
      <c r="J360" s="3" t="str">
        <f aca="false">IFERROR(__xludf.dummyfunction("if($T360&lt;&gt;"""",REGEXEXTRACT($T360, J$1&amp;""[\w &amp;]*, (\d+\.\d+)""),"""")
"),"")</f>
        <v/>
      </c>
      <c r="K360" s="3"/>
      <c r="L360" s="3" t="str">
        <f aca="false">IFERROR(__xludf.dummyfunction("if($T360&lt;&gt;"""",REGEXEXTRACT(SUBSTITUTE ($T360,L$1&amp;"" CE"",""""), L$1&amp;""[\w &amp;]*, (\d+\.\d+)""),"""")
"),"")</f>
        <v/>
      </c>
      <c r="M360" s="3" t="str">
        <f aca="false">IFERROR(__xludf.dummyfunction("if($T360&lt;&gt;"""",REGEXEXTRACT($T360, M$1&amp;""[\w &amp;]*, (\d+\.\d+)""),"""")
"),"")</f>
        <v/>
      </c>
      <c r="N360" s="3" t="str">
        <f aca="false">IFERROR(__xludf.dummyfunction("if($T360&lt;&gt;"""",REGEXEXTRACT(SUBSTITUTE ($T360,N$1&amp;"" CE"",""""), N$1&amp;""[\w &amp;]*, (\d+\.\d+)""),"""")
"),"")</f>
        <v/>
      </c>
      <c r="O360" s="3" t="str">
        <f aca="false">IFERROR(__xludf.dummyfunction("if($T360&lt;&gt;"""",REGEXEXTRACT($T360, O$1&amp;""[\w &amp;]*, (\d+\.\d+)""),"""")
"),"")</f>
        <v/>
      </c>
      <c r="P360" s="2"/>
      <c r="Q360" s="2"/>
      <c r="R360" s="2"/>
      <c r="S360" s="2"/>
      <c r="T360" s="5"/>
      <c r="U360" s="5"/>
    </row>
    <row r="361" customFormat="false" ht="15.75" hidden="false" customHeight="false" outlineLevel="0" collapsed="false">
      <c r="A361" s="4"/>
      <c r="B361" s="2"/>
      <c r="C361" s="2"/>
      <c r="D361" s="2"/>
      <c r="E361" s="2"/>
      <c r="F361" s="3" t="str">
        <f aca="false">IFERROR(__xludf.dummyfunction("if($T361&lt;&gt;"""",REGEXEXTRACT(SUBSTITUTE ($T361,F$1&amp;"" CE"",""""), F$1&amp;""[\w &amp;]*, (\d+\.\d+)""),"""")
"),"")</f>
        <v/>
      </c>
      <c r="G361" s="3" t="str">
        <f aca="false">IFERROR(__xludf.dummyfunction("if($T361&lt;&gt;"""",REGEXEXTRACT($T361, G$1&amp;""[\w &amp;]*, (\d+\.\d+)""),"""")
"),"")</f>
        <v/>
      </c>
      <c r="H361" s="3"/>
      <c r="I361" s="3" t="str">
        <f aca="false">IFERROR(__xludf.dummyfunction("if($T361&lt;&gt;"""",REGEXEXTRACT(SUBSTITUTE ($T361,I$1&amp;"" CE"",""""), I$1&amp;""[\w &amp;]*, (\d+\.\d+)""),"""")
"),"")</f>
        <v/>
      </c>
      <c r="J361" s="3" t="str">
        <f aca="false">IFERROR(__xludf.dummyfunction("if($T361&lt;&gt;"""",REGEXEXTRACT($T361, J$1&amp;""[\w &amp;]*, (\d+\.\d+)""),"""")
"),"")</f>
        <v/>
      </c>
      <c r="K361" s="3"/>
      <c r="L361" s="3" t="str">
        <f aca="false">IFERROR(__xludf.dummyfunction("if($T361&lt;&gt;"""",REGEXEXTRACT(SUBSTITUTE ($T361,L$1&amp;"" CE"",""""), L$1&amp;""[\w &amp;]*, (\d+\.\d+)""),"""")
"),"")</f>
        <v/>
      </c>
      <c r="M361" s="3" t="str">
        <f aca="false">IFERROR(__xludf.dummyfunction("if($T361&lt;&gt;"""",REGEXEXTRACT($T361, M$1&amp;""[\w &amp;]*, (\d+\.\d+)""),"""")
"),"")</f>
        <v/>
      </c>
      <c r="N361" s="3" t="str">
        <f aca="false">IFERROR(__xludf.dummyfunction("if($T361&lt;&gt;"""",REGEXEXTRACT(SUBSTITUTE ($T361,N$1&amp;"" CE"",""""), N$1&amp;""[\w &amp;]*, (\d+\.\d+)""),"""")
"),"")</f>
        <v/>
      </c>
      <c r="O361" s="3" t="str">
        <f aca="false">IFERROR(__xludf.dummyfunction("if($T361&lt;&gt;"""",REGEXEXTRACT($T361, O$1&amp;""[\w &amp;]*, (\d+\.\d+)""),"""")
"),"")</f>
        <v/>
      </c>
      <c r="P361" s="2"/>
      <c r="Q361" s="2"/>
      <c r="R361" s="2"/>
      <c r="S361" s="2"/>
      <c r="T361" s="5"/>
      <c r="U361" s="5"/>
    </row>
    <row r="362" customFormat="false" ht="15.75" hidden="false" customHeight="false" outlineLevel="0" collapsed="false">
      <c r="A362" s="4"/>
      <c r="B362" s="2"/>
      <c r="C362" s="2"/>
      <c r="D362" s="2"/>
      <c r="E362" s="2"/>
      <c r="F362" s="3" t="str">
        <f aca="false">IFERROR(__xludf.dummyfunction("if($T362&lt;&gt;"""",REGEXEXTRACT(SUBSTITUTE ($T362,F$1&amp;"" CE"",""""), F$1&amp;""[\w &amp;]*, (\d+\.\d+)""),"""")
"),"")</f>
        <v/>
      </c>
      <c r="G362" s="3" t="str">
        <f aca="false">IFERROR(__xludf.dummyfunction("if($T362&lt;&gt;"""",REGEXEXTRACT($T362, G$1&amp;""[\w &amp;]*, (\d+\.\d+)""),"""")
"),"")</f>
        <v/>
      </c>
      <c r="H362" s="3"/>
      <c r="I362" s="3" t="str">
        <f aca="false">IFERROR(__xludf.dummyfunction("if($T362&lt;&gt;"""",REGEXEXTRACT(SUBSTITUTE ($T362,I$1&amp;"" CE"",""""), I$1&amp;""[\w &amp;]*, (\d+\.\d+)""),"""")
"),"")</f>
        <v/>
      </c>
      <c r="J362" s="3" t="str">
        <f aca="false">IFERROR(__xludf.dummyfunction("if($T362&lt;&gt;"""",REGEXEXTRACT($T362, J$1&amp;""[\w &amp;]*, (\d+\.\d+)""),"""")
"),"")</f>
        <v/>
      </c>
      <c r="K362" s="3"/>
      <c r="L362" s="3" t="str">
        <f aca="false">IFERROR(__xludf.dummyfunction("if($T362&lt;&gt;"""",REGEXEXTRACT(SUBSTITUTE ($T362,L$1&amp;"" CE"",""""), L$1&amp;""[\w &amp;]*, (\d+\.\d+)""),"""")
"),"")</f>
        <v/>
      </c>
      <c r="M362" s="3" t="str">
        <f aca="false">IFERROR(__xludf.dummyfunction("if($T362&lt;&gt;"""",REGEXEXTRACT($T362, M$1&amp;""[\w &amp;]*, (\d+\.\d+)""),"""")
"),"")</f>
        <v/>
      </c>
      <c r="N362" s="3" t="str">
        <f aca="false">IFERROR(__xludf.dummyfunction("if($T362&lt;&gt;"""",REGEXEXTRACT(SUBSTITUTE ($T362,N$1&amp;"" CE"",""""), N$1&amp;""[\w &amp;]*, (\d+\.\d+)""),"""")
"),"")</f>
        <v/>
      </c>
      <c r="O362" s="3" t="str">
        <f aca="false">IFERROR(__xludf.dummyfunction("if($T362&lt;&gt;"""",REGEXEXTRACT($T362, O$1&amp;""[\w &amp;]*, (\d+\.\d+)""),"""")
"),"")</f>
        <v/>
      </c>
      <c r="P362" s="2"/>
      <c r="Q362" s="2"/>
      <c r="R362" s="2"/>
      <c r="S362" s="2"/>
      <c r="T362" s="5"/>
      <c r="U362" s="5"/>
    </row>
    <row r="363" customFormat="false" ht="15.75" hidden="false" customHeight="false" outlineLevel="0" collapsed="false">
      <c r="A363" s="4"/>
      <c r="B363" s="2"/>
      <c r="C363" s="2"/>
      <c r="D363" s="2"/>
      <c r="E363" s="2"/>
      <c r="F363" s="3" t="str">
        <f aca="false">IFERROR(__xludf.dummyfunction("if($T363&lt;&gt;"""",REGEXEXTRACT(SUBSTITUTE ($T363,F$1&amp;"" CE"",""""), F$1&amp;""[\w &amp;]*, (\d+\.\d+)""),"""")
"),"")</f>
        <v/>
      </c>
      <c r="G363" s="3" t="str">
        <f aca="false">IFERROR(__xludf.dummyfunction("if($T363&lt;&gt;"""",REGEXEXTRACT($T363, G$1&amp;""[\w &amp;]*, (\d+\.\d+)""),"""")
"),"")</f>
        <v/>
      </c>
      <c r="H363" s="3"/>
      <c r="I363" s="3" t="str">
        <f aca="false">IFERROR(__xludf.dummyfunction("if($T363&lt;&gt;"""",REGEXEXTRACT(SUBSTITUTE ($T363,I$1&amp;"" CE"",""""), I$1&amp;""[\w &amp;]*, (\d+\.\d+)""),"""")
"),"")</f>
        <v/>
      </c>
      <c r="J363" s="3" t="str">
        <f aca="false">IFERROR(__xludf.dummyfunction("if($T363&lt;&gt;"""",REGEXEXTRACT($T363, J$1&amp;""[\w &amp;]*, (\d+\.\d+)""),"""")
"),"")</f>
        <v/>
      </c>
      <c r="K363" s="3"/>
      <c r="L363" s="3" t="str">
        <f aca="false">IFERROR(__xludf.dummyfunction("if($T363&lt;&gt;"""",REGEXEXTRACT(SUBSTITUTE ($T363,L$1&amp;"" CE"",""""), L$1&amp;""[\w &amp;]*, (\d+\.\d+)""),"""")
"),"")</f>
        <v/>
      </c>
      <c r="M363" s="3" t="str">
        <f aca="false">IFERROR(__xludf.dummyfunction("if($T363&lt;&gt;"""",REGEXEXTRACT($T363, M$1&amp;""[\w &amp;]*, (\d+\.\d+)""),"""")
"),"")</f>
        <v/>
      </c>
      <c r="N363" s="3" t="str">
        <f aca="false">IFERROR(__xludf.dummyfunction("if($T363&lt;&gt;"""",REGEXEXTRACT(SUBSTITUTE ($T363,N$1&amp;"" CE"",""""), N$1&amp;""[\w &amp;]*, (\d+\.\d+)""),"""")
"),"")</f>
        <v/>
      </c>
      <c r="O363" s="3" t="str">
        <f aca="false">IFERROR(__xludf.dummyfunction("if($T363&lt;&gt;"""",REGEXEXTRACT($T363, O$1&amp;""[\w &amp;]*, (\d+\.\d+)""),"""")
"),"")</f>
        <v/>
      </c>
      <c r="P363" s="2"/>
      <c r="Q363" s="2"/>
      <c r="R363" s="2"/>
      <c r="S363" s="2"/>
      <c r="T363" s="5"/>
      <c r="U363" s="5"/>
    </row>
    <row r="364" customFormat="false" ht="15.75" hidden="false" customHeight="false" outlineLevel="0" collapsed="false">
      <c r="A364" s="4"/>
      <c r="B364" s="2"/>
      <c r="C364" s="2"/>
      <c r="D364" s="2"/>
      <c r="E364" s="2"/>
      <c r="F364" s="3" t="str">
        <f aca="false">IFERROR(__xludf.dummyfunction("if($T364&lt;&gt;"""",REGEXEXTRACT(SUBSTITUTE ($T364,F$1&amp;"" CE"",""""), F$1&amp;""[\w &amp;]*, (\d+\.\d+)""),"""")
"),"")</f>
        <v/>
      </c>
      <c r="G364" s="3" t="str">
        <f aca="false">IFERROR(__xludf.dummyfunction("if($T364&lt;&gt;"""",REGEXEXTRACT($T364, G$1&amp;""[\w &amp;]*, (\d+\.\d+)""),"""")
"),"")</f>
        <v/>
      </c>
      <c r="H364" s="3"/>
      <c r="I364" s="3" t="str">
        <f aca="false">IFERROR(__xludf.dummyfunction("if($T364&lt;&gt;"""",REGEXEXTRACT(SUBSTITUTE ($T364,I$1&amp;"" CE"",""""), I$1&amp;""[\w &amp;]*, (\d+\.\d+)""),"""")
"),"")</f>
        <v/>
      </c>
      <c r="J364" s="3" t="str">
        <f aca="false">IFERROR(__xludf.dummyfunction("if($T364&lt;&gt;"""",REGEXEXTRACT($T364, J$1&amp;""[\w &amp;]*, (\d+\.\d+)""),"""")
"),"")</f>
        <v/>
      </c>
      <c r="K364" s="3"/>
      <c r="L364" s="3" t="str">
        <f aca="false">IFERROR(__xludf.dummyfunction("if($T364&lt;&gt;"""",REGEXEXTRACT(SUBSTITUTE ($T364,L$1&amp;"" CE"",""""), L$1&amp;""[\w &amp;]*, (\d+\.\d+)""),"""")
"),"")</f>
        <v/>
      </c>
      <c r="M364" s="3" t="str">
        <f aca="false">IFERROR(__xludf.dummyfunction("if($T364&lt;&gt;"""",REGEXEXTRACT($T364, M$1&amp;""[\w &amp;]*, (\d+\.\d+)""),"""")
"),"")</f>
        <v/>
      </c>
      <c r="N364" s="3" t="str">
        <f aca="false">IFERROR(__xludf.dummyfunction("if($T364&lt;&gt;"""",REGEXEXTRACT(SUBSTITUTE ($T364,N$1&amp;"" CE"",""""), N$1&amp;""[\w &amp;]*, (\d+\.\d+)""),"""")
"),"")</f>
        <v/>
      </c>
      <c r="O364" s="3" t="str">
        <f aca="false">IFERROR(__xludf.dummyfunction("if($T364&lt;&gt;"""",REGEXEXTRACT($T364, O$1&amp;""[\w &amp;]*, (\d+\.\d+)""),"""")
"),"")</f>
        <v/>
      </c>
      <c r="P364" s="2"/>
      <c r="Q364" s="2"/>
      <c r="R364" s="2"/>
      <c r="S364" s="2"/>
      <c r="T364" s="5"/>
      <c r="U364" s="5"/>
    </row>
    <row r="365" customFormat="false" ht="15.75" hidden="false" customHeight="false" outlineLevel="0" collapsed="false">
      <c r="A365" s="4"/>
      <c r="B365" s="2"/>
      <c r="C365" s="2"/>
      <c r="D365" s="2"/>
      <c r="E365" s="2"/>
      <c r="F365" s="3" t="str">
        <f aca="false">IFERROR(__xludf.dummyfunction("if($T365&lt;&gt;"""",REGEXEXTRACT(SUBSTITUTE ($T365,F$1&amp;"" CE"",""""), F$1&amp;""[\w &amp;]*, (\d+\.\d+)""),"""")
"),"")</f>
        <v/>
      </c>
      <c r="G365" s="3" t="str">
        <f aca="false">IFERROR(__xludf.dummyfunction("if($T365&lt;&gt;"""",REGEXEXTRACT($T365, G$1&amp;""[\w &amp;]*, (\d+\.\d+)""),"""")
"),"")</f>
        <v/>
      </c>
      <c r="H365" s="3"/>
      <c r="I365" s="3" t="str">
        <f aca="false">IFERROR(__xludf.dummyfunction("if($T365&lt;&gt;"""",REGEXEXTRACT(SUBSTITUTE ($T365,I$1&amp;"" CE"",""""), I$1&amp;""[\w &amp;]*, (\d+\.\d+)""),"""")
"),"")</f>
        <v/>
      </c>
      <c r="J365" s="3" t="str">
        <f aca="false">IFERROR(__xludf.dummyfunction("if($T365&lt;&gt;"""",REGEXEXTRACT($T365, J$1&amp;""[\w &amp;]*, (\d+\.\d+)""),"""")
"),"")</f>
        <v/>
      </c>
      <c r="K365" s="3"/>
      <c r="L365" s="3" t="str">
        <f aca="false">IFERROR(__xludf.dummyfunction("if($T365&lt;&gt;"""",REGEXEXTRACT(SUBSTITUTE ($T365,L$1&amp;"" CE"",""""), L$1&amp;""[\w &amp;]*, (\d+\.\d+)""),"""")
"),"")</f>
        <v/>
      </c>
      <c r="M365" s="3" t="str">
        <f aca="false">IFERROR(__xludf.dummyfunction("if($T365&lt;&gt;"""",REGEXEXTRACT($T365, M$1&amp;""[\w &amp;]*, (\d+\.\d+)""),"""")
"),"")</f>
        <v/>
      </c>
      <c r="N365" s="3" t="str">
        <f aca="false">IFERROR(__xludf.dummyfunction("if($T365&lt;&gt;"""",REGEXEXTRACT(SUBSTITUTE ($T365,N$1&amp;"" CE"",""""), N$1&amp;""[\w &amp;]*, (\d+\.\d+)""),"""")
"),"")</f>
        <v/>
      </c>
      <c r="O365" s="3" t="str">
        <f aca="false">IFERROR(__xludf.dummyfunction("if($T365&lt;&gt;"""",REGEXEXTRACT($T365, O$1&amp;""[\w &amp;]*, (\d+\.\d+)""),"""")
"),"")</f>
        <v/>
      </c>
      <c r="P365" s="2"/>
      <c r="Q365" s="2"/>
      <c r="R365" s="2"/>
      <c r="S365" s="2"/>
      <c r="T365" s="5"/>
      <c r="U365" s="5"/>
    </row>
    <row r="366" customFormat="false" ht="15.75" hidden="false" customHeight="false" outlineLevel="0" collapsed="false">
      <c r="A366" s="4"/>
      <c r="B366" s="2"/>
      <c r="C366" s="2"/>
      <c r="D366" s="2"/>
      <c r="E366" s="2"/>
      <c r="F366" s="3" t="str">
        <f aca="false">IFERROR(__xludf.dummyfunction("if($T366&lt;&gt;"""",REGEXEXTRACT(SUBSTITUTE ($T366,F$1&amp;"" CE"",""""), F$1&amp;""[\w &amp;]*, (\d+\.\d+)""),"""")
"),"")</f>
        <v/>
      </c>
      <c r="G366" s="3" t="str">
        <f aca="false">IFERROR(__xludf.dummyfunction("if($T366&lt;&gt;"""",REGEXEXTRACT($T366, G$1&amp;""[\w &amp;]*, (\d+\.\d+)""),"""")
"),"")</f>
        <v/>
      </c>
      <c r="H366" s="3"/>
      <c r="I366" s="3" t="str">
        <f aca="false">IFERROR(__xludf.dummyfunction("if($T366&lt;&gt;"""",REGEXEXTRACT(SUBSTITUTE ($T366,I$1&amp;"" CE"",""""), I$1&amp;""[\w &amp;]*, (\d+\.\d+)""),"""")
"),"")</f>
        <v/>
      </c>
      <c r="J366" s="3" t="str">
        <f aca="false">IFERROR(__xludf.dummyfunction("if($T366&lt;&gt;"""",REGEXEXTRACT($T366, J$1&amp;""[\w &amp;]*, (\d+\.\d+)""),"""")
"),"")</f>
        <v/>
      </c>
      <c r="K366" s="3"/>
      <c r="L366" s="3" t="str">
        <f aca="false">IFERROR(__xludf.dummyfunction("if($T366&lt;&gt;"""",REGEXEXTRACT(SUBSTITUTE ($T366,L$1&amp;"" CE"",""""), L$1&amp;""[\w &amp;]*, (\d+\.\d+)""),"""")
"),"")</f>
        <v/>
      </c>
      <c r="M366" s="3" t="str">
        <f aca="false">IFERROR(__xludf.dummyfunction("if($T366&lt;&gt;"""",REGEXEXTRACT($T366, M$1&amp;""[\w &amp;]*, (\d+\.\d+)""),"""")
"),"")</f>
        <v/>
      </c>
      <c r="N366" s="3" t="str">
        <f aca="false">IFERROR(__xludf.dummyfunction("if($T366&lt;&gt;"""",REGEXEXTRACT(SUBSTITUTE ($T366,N$1&amp;"" CE"",""""), N$1&amp;""[\w &amp;]*, (\d+\.\d+)""),"""")
"),"")</f>
        <v/>
      </c>
      <c r="O366" s="3" t="str">
        <f aca="false">IFERROR(__xludf.dummyfunction("if($T366&lt;&gt;"""",REGEXEXTRACT($T366, O$1&amp;""[\w &amp;]*, (\d+\.\d+)""),"""")
"),"")</f>
        <v/>
      </c>
      <c r="P366" s="2"/>
      <c r="Q366" s="2"/>
      <c r="R366" s="2"/>
      <c r="S366" s="2"/>
      <c r="T366" s="5"/>
      <c r="U366" s="5"/>
    </row>
    <row r="367" customFormat="false" ht="15.75" hidden="false" customHeight="false" outlineLevel="0" collapsed="false">
      <c r="A367" s="4"/>
      <c r="B367" s="2"/>
      <c r="C367" s="2"/>
      <c r="D367" s="2"/>
      <c r="E367" s="2"/>
      <c r="F367" s="3" t="str">
        <f aca="false">IFERROR(__xludf.dummyfunction("if($T367&lt;&gt;"""",REGEXEXTRACT(SUBSTITUTE ($T367,F$1&amp;"" CE"",""""), F$1&amp;""[\w &amp;]*, (\d+\.\d+)""),"""")
"),"")</f>
        <v/>
      </c>
      <c r="G367" s="3" t="str">
        <f aca="false">IFERROR(__xludf.dummyfunction("if($T367&lt;&gt;"""",REGEXEXTRACT($T367, G$1&amp;""[\w &amp;]*, (\d+\.\d+)""),"""")
"),"")</f>
        <v/>
      </c>
      <c r="H367" s="3"/>
      <c r="I367" s="3" t="str">
        <f aca="false">IFERROR(__xludf.dummyfunction("if($T367&lt;&gt;"""",REGEXEXTRACT(SUBSTITUTE ($T367,I$1&amp;"" CE"",""""), I$1&amp;""[\w &amp;]*, (\d+\.\d+)""),"""")
"),"")</f>
        <v/>
      </c>
      <c r="J367" s="3" t="str">
        <f aca="false">IFERROR(__xludf.dummyfunction("if($T367&lt;&gt;"""",REGEXEXTRACT($T367, J$1&amp;""[\w &amp;]*, (\d+\.\d+)""),"""")
"),"")</f>
        <v/>
      </c>
      <c r="K367" s="3"/>
      <c r="L367" s="3" t="str">
        <f aca="false">IFERROR(__xludf.dummyfunction("if($T367&lt;&gt;"""",REGEXEXTRACT(SUBSTITUTE ($T367,L$1&amp;"" CE"",""""), L$1&amp;""[\w &amp;]*, (\d+\.\d+)""),"""")
"),"")</f>
        <v/>
      </c>
      <c r="M367" s="3" t="str">
        <f aca="false">IFERROR(__xludf.dummyfunction("if($T367&lt;&gt;"""",REGEXEXTRACT($T367, M$1&amp;""[\w &amp;]*, (\d+\.\d+)""),"""")
"),"")</f>
        <v/>
      </c>
      <c r="N367" s="3" t="str">
        <f aca="false">IFERROR(__xludf.dummyfunction("if($T367&lt;&gt;"""",REGEXEXTRACT(SUBSTITUTE ($T367,N$1&amp;"" CE"",""""), N$1&amp;""[\w &amp;]*, (\d+\.\d+)""),"""")
"),"")</f>
        <v/>
      </c>
      <c r="O367" s="3" t="str">
        <f aca="false">IFERROR(__xludf.dummyfunction("if($T367&lt;&gt;"""",REGEXEXTRACT($T367, O$1&amp;""[\w &amp;]*, (\d+\.\d+)""),"""")
"),"")</f>
        <v/>
      </c>
      <c r="P367" s="2"/>
      <c r="Q367" s="2"/>
      <c r="R367" s="2"/>
      <c r="S367" s="2"/>
      <c r="T367" s="5"/>
      <c r="U367" s="5"/>
    </row>
    <row r="368" customFormat="false" ht="15.75" hidden="false" customHeight="false" outlineLevel="0" collapsed="false">
      <c r="A368" s="4"/>
      <c r="B368" s="2"/>
      <c r="C368" s="2"/>
      <c r="D368" s="2"/>
      <c r="E368" s="2"/>
      <c r="F368" s="3" t="str">
        <f aca="false">IFERROR(__xludf.dummyfunction("if($T368&lt;&gt;"""",REGEXEXTRACT(SUBSTITUTE ($T368,F$1&amp;"" CE"",""""), F$1&amp;""[\w &amp;]*, (\d+\.\d+)""),"""")
"),"")</f>
        <v/>
      </c>
      <c r="G368" s="3" t="str">
        <f aca="false">IFERROR(__xludf.dummyfunction("if($T368&lt;&gt;"""",REGEXEXTRACT($T368, G$1&amp;""[\w &amp;]*, (\d+\.\d+)""),"""")
"),"")</f>
        <v/>
      </c>
      <c r="H368" s="3"/>
      <c r="I368" s="3" t="str">
        <f aca="false">IFERROR(__xludf.dummyfunction("if($T368&lt;&gt;"""",REGEXEXTRACT(SUBSTITUTE ($T368,I$1&amp;"" CE"",""""), I$1&amp;""[\w &amp;]*, (\d+\.\d+)""),"""")
"),"")</f>
        <v/>
      </c>
      <c r="J368" s="3" t="str">
        <f aca="false">IFERROR(__xludf.dummyfunction("if($T368&lt;&gt;"""",REGEXEXTRACT($T368, J$1&amp;""[\w &amp;]*, (\d+\.\d+)""),"""")
"),"")</f>
        <v/>
      </c>
      <c r="K368" s="3"/>
      <c r="L368" s="3" t="str">
        <f aca="false">IFERROR(__xludf.dummyfunction("if($T368&lt;&gt;"""",REGEXEXTRACT(SUBSTITUTE ($T368,L$1&amp;"" CE"",""""), L$1&amp;""[\w &amp;]*, (\d+\.\d+)""),"""")
"),"")</f>
        <v/>
      </c>
      <c r="M368" s="3" t="str">
        <f aca="false">IFERROR(__xludf.dummyfunction("if($T368&lt;&gt;"""",REGEXEXTRACT($T368, M$1&amp;""[\w &amp;]*, (\d+\.\d+)""),"""")
"),"")</f>
        <v/>
      </c>
      <c r="N368" s="3" t="str">
        <f aca="false">IFERROR(__xludf.dummyfunction("if($T368&lt;&gt;"""",REGEXEXTRACT(SUBSTITUTE ($T368,N$1&amp;"" CE"",""""), N$1&amp;""[\w &amp;]*, (\d+\.\d+)""),"""")
"),"")</f>
        <v/>
      </c>
      <c r="O368" s="3" t="str">
        <f aca="false">IFERROR(__xludf.dummyfunction("if($T368&lt;&gt;"""",REGEXEXTRACT($T368, O$1&amp;""[\w &amp;]*, (\d+\.\d+)""),"""")
"),"")</f>
        <v/>
      </c>
      <c r="P368" s="2"/>
      <c r="Q368" s="2"/>
      <c r="R368" s="2"/>
      <c r="S368" s="2"/>
      <c r="T368" s="5"/>
      <c r="U368" s="5"/>
    </row>
    <row r="369" customFormat="false" ht="15.75" hidden="false" customHeight="false" outlineLevel="0" collapsed="false">
      <c r="A369" s="4"/>
      <c r="B369" s="2"/>
      <c r="C369" s="2"/>
      <c r="D369" s="2"/>
      <c r="E369" s="2"/>
      <c r="F369" s="3" t="str">
        <f aca="false">IFERROR(__xludf.dummyfunction("if($T369&lt;&gt;"""",REGEXEXTRACT(SUBSTITUTE ($T369,F$1&amp;"" CE"",""""), F$1&amp;""[\w &amp;]*, (\d+\.\d+)""),"""")
"),"")</f>
        <v/>
      </c>
      <c r="G369" s="3" t="str">
        <f aca="false">IFERROR(__xludf.dummyfunction("if($T369&lt;&gt;"""",REGEXEXTRACT($T369, G$1&amp;""[\w &amp;]*, (\d+\.\d+)""),"""")
"),"")</f>
        <v/>
      </c>
      <c r="H369" s="3"/>
      <c r="I369" s="3" t="str">
        <f aca="false">IFERROR(__xludf.dummyfunction("if($T369&lt;&gt;"""",REGEXEXTRACT(SUBSTITUTE ($T369,I$1&amp;"" CE"",""""), I$1&amp;""[\w &amp;]*, (\d+\.\d+)""),"""")
"),"")</f>
        <v/>
      </c>
      <c r="J369" s="3" t="str">
        <f aca="false">IFERROR(__xludf.dummyfunction("if($T369&lt;&gt;"""",REGEXEXTRACT($T369, J$1&amp;""[\w &amp;]*, (\d+\.\d+)""),"""")
"),"")</f>
        <v/>
      </c>
      <c r="K369" s="3"/>
      <c r="L369" s="3" t="str">
        <f aca="false">IFERROR(__xludf.dummyfunction("if($T369&lt;&gt;"""",REGEXEXTRACT(SUBSTITUTE ($T369,L$1&amp;"" CE"",""""), L$1&amp;""[\w &amp;]*, (\d+\.\d+)""),"""")
"),"")</f>
        <v/>
      </c>
      <c r="M369" s="3" t="str">
        <f aca="false">IFERROR(__xludf.dummyfunction("if($T369&lt;&gt;"""",REGEXEXTRACT($T369, M$1&amp;""[\w &amp;]*, (\d+\.\d+)""),"""")
"),"")</f>
        <v/>
      </c>
      <c r="N369" s="3" t="str">
        <f aca="false">IFERROR(__xludf.dummyfunction("if($T369&lt;&gt;"""",REGEXEXTRACT(SUBSTITUTE ($T369,N$1&amp;"" CE"",""""), N$1&amp;""[\w &amp;]*, (\d+\.\d+)""),"""")
"),"")</f>
        <v/>
      </c>
      <c r="O369" s="3" t="str">
        <f aca="false">IFERROR(__xludf.dummyfunction("if($T369&lt;&gt;"""",REGEXEXTRACT($T369, O$1&amp;""[\w &amp;]*, (\d+\.\d+)""),"""")
"),"")</f>
        <v/>
      </c>
      <c r="P369" s="2"/>
      <c r="Q369" s="2"/>
      <c r="R369" s="2"/>
      <c r="S369" s="2"/>
      <c r="T369" s="5"/>
      <c r="U369" s="5"/>
    </row>
    <row r="370" customFormat="false" ht="15.75" hidden="false" customHeight="false" outlineLevel="0" collapsed="false">
      <c r="A370" s="4"/>
      <c r="B370" s="2"/>
      <c r="C370" s="2"/>
      <c r="D370" s="2"/>
      <c r="E370" s="2"/>
      <c r="F370" s="3" t="str">
        <f aca="false">IFERROR(__xludf.dummyfunction("if($T370&lt;&gt;"""",REGEXEXTRACT(SUBSTITUTE ($T370,F$1&amp;"" CE"",""""), F$1&amp;""[\w &amp;]*, (\d+\.\d+)""),"""")
"),"")</f>
        <v/>
      </c>
      <c r="G370" s="3" t="str">
        <f aca="false">IFERROR(__xludf.dummyfunction("if($T370&lt;&gt;"""",REGEXEXTRACT($T370, G$1&amp;""[\w &amp;]*, (\d+\.\d+)""),"""")
"),"")</f>
        <v/>
      </c>
      <c r="H370" s="3"/>
      <c r="I370" s="3" t="str">
        <f aca="false">IFERROR(__xludf.dummyfunction("if($T370&lt;&gt;"""",REGEXEXTRACT(SUBSTITUTE ($T370,I$1&amp;"" CE"",""""), I$1&amp;""[\w &amp;]*, (\d+\.\d+)""),"""")
"),"")</f>
        <v/>
      </c>
      <c r="J370" s="3" t="str">
        <f aca="false">IFERROR(__xludf.dummyfunction("if($T370&lt;&gt;"""",REGEXEXTRACT($T370, J$1&amp;""[\w &amp;]*, (\d+\.\d+)""),"""")
"),"")</f>
        <v/>
      </c>
      <c r="K370" s="3"/>
      <c r="L370" s="3" t="str">
        <f aca="false">IFERROR(__xludf.dummyfunction("if($T370&lt;&gt;"""",REGEXEXTRACT(SUBSTITUTE ($T370,L$1&amp;"" CE"",""""), L$1&amp;""[\w &amp;]*, (\d+\.\d+)""),"""")
"),"")</f>
        <v/>
      </c>
      <c r="M370" s="3" t="str">
        <f aca="false">IFERROR(__xludf.dummyfunction("if($T370&lt;&gt;"""",REGEXEXTRACT($T370, M$1&amp;""[\w &amp;]*, (\d+\.\d+)""),"""")
"),"")</f>
        <v/>
      </c>
      <c r="N370" s="3" t="str">
        <f aca="false">IFERROR(__xludf.dummyfunction("if($T370&lt;&gt;"""",REGEXEXTRACT(SUBSTITUTE ($T370,N$1&amp;"" CE"",""""), N$1&amp;""[\w &amp;]*, (\d+\.\d+)""),"""")
"),"")</f>
        <v/>
      </c>
      <c r="O370" s="3" t="str">
        <f aca="false">IFERROR(__xludf.dummyfunction("if($T370&lt;&gt;"""",REGEXEXTRACT($T370, O$1&amp;""[\w &amp;]*, (\d+\.\d+)""),"""")
"),"")</f>
        <v/>
      </c>
      <c r="P370" s="2"/>
      <c r="Q370" s="2"/>
      <c r="R370" s="2"/>
      <c r="S370" s="2"/>
      <c r="T370" s="5"/>
      <c r="U370" s="5"/>
    </row>
    <row r="371" customFormat="false" ht="15.75" hidden="false" customHeight="false" outlineLevel="0" collapsed="false">
      <c r="A371" s="4"/>
      <c r="B371" s="2"/>
      <c r="C371" s="2"/>
      <c r="D371" s="2"/>
      <c r="E371" s="2"/>
      <c r="F371" s="3" t="str">
        <f aca="false">IFERROR(__xludf.dummyfunction("if($T371&lt;&gt;"""",REGEXEXTRACT(SUBSTITUTE ($T371,F$1&amp;"" CE"",""""), F$1&amp;""[\w &amp;]*, (\d+\.\d+)""),"""")
"),"")</f>
        <v/>
      </c>
      <c r="G371" s="3" t="str">
        <f aca="false">IFERROR(__xludf.dummyfunction("if($T371&lt;&gt;"""",REGEXEXTRACT($T371, G$1&amp;""[\w &amp;]*, (\d+\.\d+)""),"""")
"),"")</f>
        <v/>
      </c>
      <c r="H371" s="3"/>
      <c r="I371" s="3" t="str">
        <f aca="false">IFERROR(__xludf.dummyfunction("if($T371&lt;&gt;"""",REGEXEXTRACT(SUBSTITUTE ($T371,I$1&amp;"" CE"",""""), I$1&amp;""[\w &amp;]*, (\d+\.\d+)""),"""")
"),"")</f>
        <v/>
      </c>
      <c r="J371" s="3" t="str">
        <f aca="false">IFERROR(__xludf.dummyfunction("if($T371&lt;&gt;"""",REGEXEXTRACT($T371, J$1&amp;""[\w &amp;]*, (\d+\.\d+)""),"""")
"),"")</f>
        <v/>
      </c>
      <c r="K371" s="3"/>
      <c r="L371" s="3" t="str">
        <f aca="false">IFERROR(__xludf.dummyfunction("if($T371&lt;&gt;"""",REGEXEXTRACT(SUBSTITUTE ($T371,L$1&amp;"" CE"",""""), L$1&amp;""[\w &amp;]*, (\d+\.\d+)""),"""")
"),"")</f>
        <v/>
      </c>
      <c r="M371" s="3" t="str">
        <f aca="false">IFERROR(__xludf.dummyfunction("if($T371&lt;&gt;"""",REGEXEXTRACT($T371, M$1&amp;""[\w &amp;]*, (\d+\.\d+)""),"""")
"),"")</f>
        <v/>
      </c>
      <c r="N371" s="3" t="str">
        <f aca="false">IFERROR(__xludf.dummyfunction("if($T371&lt;&gt;"""",REGEXEXTRACT(SUBSTITUTE ($T371,N$1&amp;"" CE"",""""), N$1&amp;""[\w &amp;]*, (\d+\.\d+)""),"""")
"),"")</f>
        <v/>
      </c>
      <c r="O371" s="3" t="str">
        <f aca="false">IFERROR(__xludf.dummyfunction("if($T371&lt;&gt;"""",REGEXEXTRACT($T371, O$1&amp;""[\w &amp;]*, (\d+\.\d+)""),"""")
"),"")</f>
        <v/>
      </c>
      <c r="P371" s="2"/>
      <c r="Q371" s="2"/>
      <c r="R371" s="2"/>
      <c r="S371" s="2"/>
      <c r="T371" s="5"/>
      <c r="U371" s="5"/>
    </row>
    <row r="372" customFormat="false" ht="15.75" hidden="false" customHeight="false" outlineLevel="0" collapsed="false">
      <c r="A372" s="4"/>
      <c r="B372" s="2"/>
      <c r="C372" s="2"/>
      <c r="D372" s="2"/>
      <c r="E372" s="2"/>
      <c r="F372" s="3" t="str">
        <f aca="false">IFERROR(__xludf.dummyfunction("if($T372&lt;&gt;"""",REGEXEXTRACT(SUBSTITUTE ($T372,F$1&amp;"" CE"",""""), F$1&amp;""[\w &amp;]*, (\d+\.\d+)""),"""")
"),"")</f>
        <v/>
      </c>
      <c r="G372" s="3" t="str">
        <f aca="false">IFERROR(__xludf.dummyfunction("if($T372&lt;&gt;"""",REGEXEXTRACT($T372, G$1&amp;""[\w &amp;]*, (\d+\.\d+)""),"""")
"),"")</f>
        <v/>
      </c>
      <c r="H372" s="3"/>
      <c r="I372" s="3" t="str">
        <f aca="false">IFERROR(__xludf.dummyfunction("if($T372&lt;&gt;"""",REGEXEXTRACT(SUBSTITUTE ($T372,I$1&amp;"" CE"",""""), I$1&amp;""[\w &amp;]*, (\d+\.\d+)""),"""")
"),"")</f>
        <v/>
      </c>
      <c r="J372" s="3" t="str">
        <f aca="false">IFERROR(__xludf.dummyfunction("if($T372&lt;&gt;"""",REGEXEXTRACT($T372, J$1&amp;""[\w &amp;]*, (\d+\.\d+)""),"""")
"),"")</f>
        <v/>
      </c>
      <c r="K372" s="3"/>
      <c r="L372" s="3" t="str">
        <f aca="false">IFERROR(__xludf.dummyfunction("if($T372&lt;&gt;"""",REGEXEXTRACT(SUBSTITUTE ($T372,L$1&amp;"" CE"",""""), L$1&amp;""[\w &amp;]*, (\d+\.\d+)""),"""")
"),"")</f>
        <v/>
      </c>
      <c r="M372" s="3" t="str">
        <f aca="false">IFERROR(__xludf.dummyfunction("if($T372&lt;&gt;"""",REGEXEXTRACT($T372, M$1&amp;""[\w &amp;]*, (\d+\.\d+)""),"""")
"),"")</f>
        <v/>
      </c>
      <c r="N372" s="3" t="str">
        <f aca="false">IFERROR(__xludf.dummyfunction("if($T372&lt;&gt;"""",REGEXEXTRACT(SUBSTITUTE ($T372,N$1&amp;"" CE"",""""), N$1&amp;""[\w &amp;]*, (\d+\.\d+)""),"""")
"),"")</f>
        <v/>
      </c>
      <c r="O372" s="3" t="str">
        <f aca="false">IFERROR(__xludf.dummyfunction("if($T372&lt;&gt;"""",REGEXEXTRACT($T372, O$1&amp;""[\w &amp;]*, (\d+\.\d+)""),"""")
"),"")</f>
        <v/>
      </c>
      <c r="P372" s="2"/>
      <c r="Q372" s="2"/>
      <c r="R372" s="2"/>
      <c r="S372" s="2"/>
      <c r="T372" s="5"/>
      <c r="U372" s="5"/>
    </row>
    <row r="373" customFormat="false" ht="15.75" hidden="false" customHeight="false" outlineLevel="0" collapsed="false">
      <c r="A373" s="4"/>
      <c r="B373" s="2"/>
      <c r="C373" s="2"/>
      <c r="D373" s="2"/>
      <c r="E373" s="2"/>
      <c r="F373" s="3" t="str">
        <f aca="false">IFERROR(__xludf.dummyfunction("if($T373&lt;&gt;"""",REGEXEXTRACT(SUBSTITUTE ($T373,F$1&amp;"" CE"",""""), F$1&amp;""[\w &amp;]*, (\d+\.\d+)""),"""")
"),"")</f>
        <v/>
      </c>
      <c r="G373" s="3" t="str">
        <f aca="false">IFERROR(__xludf.dummyfunction("if($T373&lt;&gt;"""",REGEXEXTRACT($T373, G$1&amp;""[\w &amp;]*, (\d+\.\d+)""),"""")
"),"")</f>
        <v/>
      </c>
      <c r="H373" s="3"/>
      <c r="I373" s="3" t="str">
        <f aca="false">IFERROR(__xludf.dummyfunction("if($T373&lt;&gt;"""",REGEXEXTRACT(SUBSTITUTE ($T373,I$1&amp;"" CE"",""""), I$1&amp;""[\w &amp;]*, (\d+\.\d+)""),"""")
"),"")</f>
        <v/>
      </c>
      <c r="J373" s="3" t="str">
        <f aca="false">IFERROR(__xludf.dummyfunction("if($T373&lt;&gt;"""",REGEXEXTRACT($T373, J$1&amp;""[\w &amp;]*, (\d+\.\d+)""),"""")
"),"")</f>
        <v/>
      </c>
      <c r="K373" s="3"/>
      <c r="L373" s="3" t="str">
        <f aca="false">IFERROR(__xludf.dummyfunction("if($T373&lt;&gt;"""",REGEXEXTRACT(SUBSTITUTE ($T373,L$1&amp;"" CE"",""""), L$1&amp;""[\w &amp;]*, (\d+\.\d+)""),"""")
"),"")</f>
        <v/>
      </c>
      <c r="M373" s="3" t="str">
        <f aca="false">IFERROR(__xludf.dummyfunction("if($T373&lt;&gt;"""",REGEXEXTRACT($T373, M$1&amp;""[\w &amp;]*, (\d+\.\d+)""),"""")
"),"")</f>
        <v/>
      </c>
      <c r="N373" s="3" t="str">
        <f aca="false">IFERROR(__xludf.dummyfunction("if($T373&lt;&gt;"""",REGEXEXTRACT(SUBSTITUTE ($T373,N$1&amp;"" CE"",""""), N$1&amp;""[\w &amp;]*, (\d+\.\d+)""),"""")
"),"")</f>
        <v/>
      </c>
      <c r="O373" s="3" t="str">
        <f aca="false">IFERROR(__xludf.dummyfunction("if($T373&lt;&gt;"""",REGEXEXTRACT($T373, O$1&amp;""[\w &amp;]*, (\d+\.\d+)""),"""")
"),"")</f>
        <v/>
      </c>
      <c r="P373" s="2"/>
      <c r="Q373" s="2"/>
      <c r="R373" s="2"/>
      <c r="S373" s="2"/>
      <c r="T373" s="5"/>
      <c r="U373" s="5"/>
    </row>
    <row r="374" customFormat="false" ht="15.75" hidden="false" customHeight="false" outlineLevel="0" collapsed="false">
      <c r="A374" s="4"/>
      <c r="B374" s="2"/>
      <c r="C374" s="2"/>
      <c r="D374" s="2"/>
      <c r="E374" s="2"/>
      <c r="F374" s="3" t="str">
        <f aca="false">IFERROR(__xludf.dummyfunction("if($T374&lt;&gt;"""",REGEXEXTRACT(SUBSTITUTE ($T374,F$1&amp;"" CE"",""""), F$1&amp;""[\w &amp;]*, (\d+\.\d+)""),"""")
"),"")</f>
        <v/>
      </c>
      <c r="G374" s="3" t="str">
        <f aca="false">IFERROR(__xludf.dummyfunction("if($T374&lt;&gt;"""",REGEXEXTRACT($T374, G$1&amp;""[\w &amp;]*, (\d+\.\d+)""),"""")
"),"")</f>
        <v/>
      </c>
      <c r="H374" s="3"/>
      <c r="I374" s="3" t="str">
        <f aca="false">IFERROR(__xludf.dummyfunction("if($T374&lt;&gt;"""",REGEXEXTRACT(SUBSTITUTE ($T374,I$1&amp;"" CE"",""""), I$1&amp;""[\w &amp;]*, (\d+\.\d+)""),"""")
"),"")</f>
        <v/>
      </c>
      <c r="J374" s="3" t="str">
        <f aca="false">IFERROR(__xludf.dummyfunction("if($T374&lt;&gt;"""",REGEXEXTRACT($T374, J$1&amp;""[\w &amp;]*, (\d+\.\d+)""),"""")
"),"")</f>
        <v/>
      </c>
      <c r="K374" s="3"/>
      <c r="L374" s="3" t="str">
        <f aca="false">IFERROR(__xludf.dummyfunction("if($T374&lt;&gt;"""",REGEXEXTRACT(SUBSTITUTE ($T374,L$1&amp;"" CE"",""""), L$1&amp;""[\w &amp;]*, (\d+\.\d+)""),"""")
"),"")</f>
        <v/>
      </c>
      <c r="M374" s="3" t="str">
        <f aca="false">IFERROR(__xludf.dummyfunction("if($T374&lt;&gt;"""",REGEXEXTRACT($T374, M$1&amp;""[\w &amp;]*, (\d+\.\d+)""),"""")
"),"")</f>
        <v/>
      </c>
      <c r="N374" s="3" t="str">
        <f aca="false">IFERROR(__xludf.dummyfunction("if($T374&lt;&gt;"""",REGEXEXTRACT(SUBSTITUTE ($T374,N$1&amp;"" CE"",""""), N$1&amp;""[\w &amp;]*, (\d+\.\d+)""),"""")
"),"")</f>
        <v/>
      </c>
      <c r="O374" s="3" t="str">
        <f aca="false">IFERROR(__xludf.dummyfunction("if($T374&lt;&gt;"""",REGEXEXTRACT($T374, O$1&amp;""[\w &amp;]*, (\d+\.\d+)""),"""")
"),"")</f>
        <v/>
      </c>
      <c r="P374" s="2"/>
      <c r="Q374" s="2"/>
      <c r="R374" s="2"/>
      <c r="S374" s="2"/>
      <c r="T374" s="5"/>
      <c r="U374" s="5"/>
    </row>
    <row r="375" customFormat="false" ht="15.75" hidden="false" customHeight="false" outlineLevel="0" collapsed="false">
      <c r="A375" s="4"/>
      <c r="B375" s="2"/>
      <c r="C375" s="2"/>
      <c r="D375" s="2"/>
      <c r="E375" s="2"/>
      <c r="F375" s="3" t="str">
        <f aca="false">IFERROR(__xludf.dummyfunction("if($T375&lt;&gt;"""",REGEXEXTRACT(SUBSTITUTE ($T375,F$1&amp;"" CE"",""""), F$1&amp;""[\w &amp;]*, (\d+\.\d+)""),"""")
"),"")</f>
        <v/>
      </c>
      <c r="G375" s="3" t="str">
        <f aca="false">IFERROR(__xludf.dummyfunction("if($T375&lt;&gt;"""",REGEXEXTRACT($T375, G$1&amp;""[\w &amp;]*, (\d+\.\d+)""),"""")
"),"")</f>
        <v/>
      </c>
      <c r="H375" s="3"/>
      <c r="I375" s="3" t="str">
        <f aca="false">IFERROR(__xludf.dummyfunction("if($T375&lt;&gt;"""",REGEXEXTRACT(SUBSTITUTE ($T375,I$1&amp;"" CE"",""""), I$1&amp;""[\w &amp;]*, (\d+\.\d+)""),"""")
"),"")</f>
        <v/>
      </c>
      <c r="J375" s="3" t="str">
        <f aca="false">IFERROR(__xludf.dummyfunction("if($T375&lt;&gt;"""",REGEXEXTRACT($T375, J$1&amp;""[\w &amp;]*, (\d+\.\d+)""),"""")
"),"")</f>
        <v/>
      </c>
      <c r="K375" s="3"/>
      <c r="L375" s="3" t="str">
        <f aca="false">IFERROR(__xludf.dummyfunction("if($T375&lt;&gt;"""",REGEXEXTRACT(SUBSTITUTE ($T375,L$1&amp;"" CE"",""""), L$1&amp;""[\w &amp;]*, (\d+\.\d+)""),"""")
"),"")</f>
        <v/>
      </c>
      <c r="M375" s="3" t="str">
        <f aca="false">IFERROR(__xludf.dummyfunction("if($T375&lt;&gt;"""",REGEXEXTRACT($T375, M$1&amp;""[\w &amp;]*, (\d+\.\d+)""),"""")
"),"")</f>
        <v/>
      </c>
      <c r="N375" s="3" t="str">
        <f aca="false">IFERROR(__xludf.dummyfunction("if($T375&lt;&gt;"""",REGEXEXTRACT(SUBSTITUTE ($T375,N$1&amp;"" CE"",""""), N$1&amp;""[\w &amp;]*, (\d+\.\d+)""),"""")
"),"")</f>
        <v/>
      </c>
      <c r="O375" s="3" t="str">
        <f aca="false">IFERROR(__xludf.dummyfunction("if($T375&lt;&gt;"""",REGEXEXTRACT($T375, O$1&amp;""[\w &amp;]*, (\d+\.\d+)""),"""")
"),"")</f>
        <v/>
      </c>
      <c r="P375" s="2"/>
      <c r="Q375" s="2"/>
      <c r="R375" s="2"/>
      <c r="S375" s="2"/>
      <c r="T375" s="5"/>
      <c r="U375" s="5"/>
    </row>
    <row r="376" customFormat="false" ht="15.75" hidden="false" customHeight="false" outlineLevel="0" collapsed="false">
      <c r="A376" s="4"/>
      <c r="B376" s="2"/>
      <c r="C376" s="2"/>
      <c r="D376" s="2"/>
      <c r="E376" s="2"/>
      <c r="F376" s="3" t="str">
        <f aca="false">IFERROR(__xludf.dummyfunction("if($T376&lt;&gt;"""",REGEXEXTRACT(SUBSTITUTE ($T376,F$1&amp;"" CE"",""""), F$1&amp;""[\w &amp;]*, (\d+\.\d+)""),"""")
"),"")</f>
        <v/>
      </c>
      <c r="G376" s="3" t="str">
        <f aca="false">IFERROR(__xludf.dummyfunction("if($T376&lt;&gt;"""",REGEXEXTRACT($T376, G$1&amp;""[\w &amp;]*, (\d+\.\d+)""),"""")
"),"")</f>
        <v/>
      </c>
      <c r="H376" s="3"/>
      <c r="I376" s="3" t="str">
        <f aca="false">IFERROR(__xludf.dummyfunction("if($T376&lt;&gt;"""",REGEXEXTRACT(SUBSTITUTE ($T376,I$1&amp;"" CE"",""""), I$1&amp;""[\w &amp;]*, (\d+\.\d+)""),"""")
"),"")</f>
        <v/>
      </c>
      <c r="J376" s="3" t="str">
        <f aca="false">IFERROR(__xludf.dummyfunction("if($T376&lt;&gt;"""",REGEXEXTRACT($T376, J$1&amp;""[\w &amp;]*, (\d+\.\d+)""),"""")
"),"")</f>
        <v/>
      </c>
      <c r="K376" s="3"/>
      <c r="L376" s="3" t="str">
        <f aca="false">IFERROR(__xludf.dummyfunction("if($T376&lt;&gt;"""",REGEXEXTRACT(SUBSTITUTE ($T376,L$1&amp;"" CE"",""""), L$1&amp;""[\w &amp;]*, (\d+\.\d+)""),"""")
"),"")</f>
        <v/>
      </c>
      <c r="M376" s="3" t="str">
        <f aca="false">IFERROR(__xludf.dummyfunction("if($T376&lt;&gt;"""",REGEXEXTRACT($T376, M$1&amp;""[\w &amp;]*, (\d+\.\d+)""),"""")
"),"")</f>
        <v/>
      </c>
      <c r="N376" s="3" t="str">
        <f aca="false">IFERROR(__xludf.dummyfunction("if($T376&lt;&gt;"""",REGEXEXTRACT(SUBSTITUTE ($T376,N$1&amp;"" CE"",""""), N$1&amp;""[\w &amp;]*, (\d+\.\d+)""),"""")
"),"")</f>
        <v/>
      </c>
      <c r="O376" s="3" t="str">
        <f aca="false">IFERROR(__xludf.dummyfunction("if($T376&lt;&gt;"""",REGEXEXTRACT($T376, O$1&amp;""[\w &amp;]*, (\d+\.\d+)""),"""")
"),"")</f>
        <v/>
      </c>
      <c r="P376" s="2"/>
      <c r="Q376" s="2"/>
      <c r="R376" s="2"/>
      <c r="S376" s="2"/>
      <c r="T376" s="5"/>
      <c r="U376" s="5"/>
    </row>
    <row r="377" customFormat="false" ht="15.75" hidden="false" customHeight="false" outlineLevel="0" collapsed="false">
      <c r="A377" s="4"/>
      <c r="B377" s="2"/>
      <c r="C377" s="2"/>
      <c r="D377" s="2"/>
      <c r="E377" s="2"/>
      <c r="F377" s="3" t="str">
        <f aca="false">IFERROR(__xludf.dummyfunction("if($T377&lt;&gt;"""",REGEXEXTRACT(SUBSTITUTE ($T377,F$1&amp;"" CE"",""""), F$1&amp;""[\w &amp;]*, (\d+\.\d+)""),"""")
"),"")</f>
        <v/>
      </c>
      <c r="G377" s="3" t="str">
        <f aca="false">IFERROR(__xludf.dummyfunction("if($T377&lt;&gt;"""",REGEXEXTRACT($T377, G$1&amp;""[\w &amp;]*, (\d+\.\d+)""),"""")
"),"")</f>
        <v/>
      </c>
      <c r="H377" s="3"/>
      <c r="I377" s="3" t="str">
        <f aca="false">IFERROR(__xludf.dummyfunction("if($T377&lt;&gt;"""",REGEXEXTRACT(SUBSTITUTE ($T377,I$1&amp;"" CE"",""""), I$1&amp;""[\w &amp;]*, (\d+\.\d+)""),"""")
"),"")</f>
        <v/>
      </c>
      <c r="J377" s="3" t="str">
        <f aca="false">IFERROR(__xludf.dummyfunction("if($T377&lt;&gt;"""",REGEXEXTRACT($T377, J$1&amp;""[\w &amp;]*, (\d+\.\d+)""),"""")
"),"")</f>
        <v/>
      </c>
      <c r="K377" s="3"/>
      <c r="L377" s="3" t="str">
        <f aca="false">IFERROR(__xludf.dummyfunction("if($T377&lt;&gt;"""",REGEXEXTRACT(SUBSTITUTE ($T377,L$1&amp;"" CE"",""""), L$1&amp;""[\w &amp;]*, (\d+\.\d+)""),"""")
"),"")</f>
        <v/>
      </c>
      <c r="M377" s="3" t="str">
        <f aca="false">IFERROR(__xludf.dummyfunction("if($T377&lt;&gt;"""",REGEXEXTRACT($T377, M$1&amp;""[\w &amp;]*, (\d+\.\d+)""),"""")
"),"")</f>
        <v/>
      </c>
      <c r="N377" s="3" t="str">
        <f aca="false">IFERROR(__xludf.dummyfunction("if($T377&lt;&gt;"""",REGEXEXTRACT(SUBSTITUTE ($T377,N$1&amp;"" CE"",""""), N$1&amp;""[\w &amp;]*, (\d+\.\d+)""),"""")
"),"")</f>
        <v/>
      </c>
      <c r="O377" s="3" t="str">
        <f aca="false">IFERROR(__xludf.dummyfunction("if($T377&lt;&gt;"""",REGEXEXTRACT($T377, O$1&amp;""[\w &amp;]*, (\d+\.\d+)""),"""")
"),"")</f>
        <v/>
      </c>
      <c r="P377" s="2"/>
      <c r="Q377" s="2"/>
      <c r="R377" s="2"/>
      <c r="S377" s="2"/>
      <c r="T377" s="5"/>
      <c r="U377" s="5"/>
    </row>
    <row r="378" customFormat="false" ht="15.75" hidden="false" customHeight="false" outlineLevel="0" collapsed="false">
      <c r="A378" s="4"/>
      <c r="B378" s="2"/>
      <c r="C378" s="2"/>
      <c r="D378" s="2"/>
      <c r="E378" s="2"/>
      <c r="F378" s="3" t="str">
        <f aca="false">IFERROR(__xludf.dummyfunction("if($T378&lt;&gt;"""",REGEXEXTRACT(SUBSTITUTE ($T378,F$1&amp;"" CE"",""""), F$1&amp;""[\w &amp;]*, (\d+\.\d+)""),"""")
"),"")</f>
        <v/>
      </c>
      <c r="G378" s="3" t="str">
        <f aca="false">IFERROR(__xludf.dummyfunction("if($T378&lt;&gt;"""",REGEXEXTRACT($T378, G$1&amp;""[\w &amp;]*, (\d+\.\d+)""),"""")
"),"")</f>
        <v/>
      </c>
      <c r="H378" s="3"/>
      <c r="I378" s="3" t="str">
        <f aca="false">IFERROR(__xludf.dummyfunction("if($T378&lt;&gt;"""",REGEXEXTRACT(SUBSTITUTE ($T378,I$1&amp;"" CE"",""""), I$1&amp;""[\w &amp;]*, (\d+\.\d+)""),"""")
"),"")</f>
        <v/>
      </c>
      <c r="J378" s="3" t="str">
        <f aca="false">IFERROR(__xludf.dummyfunction("if($T378&lt;&gt;"""",REGEXEXTRACT($T378, J$1&amp;""[\w &amp;]*, (\d+\.\d+)""),"""")
"),"")</f>
        <v/>
      </c>
      <c r="K378" s="3"/>
      <c r="L378" s="3" t="str">
        <f aca="false">IFERROR(__xludf.dummyfunction("if($T378&lt;&gt;"""",REGEXEXTRACT(SUBSTITUTE ($T378,L$1&amp;"" CE"",""""), L$1&amp;""[\w &amp;]*, (\d+\.\d+)""),"""")
"),"")</f>
        <v/>
      </c>
      <c r="M378" s="3" t="str">
        <f aca="false">IFERROR(__xludf.dummyfunction("if($T378&lt;&gt;"""",REGEXEXTRACT($T378, M$1&amp;""[\w &amp;]*, (\d+\.\d+)""),"""")
"),"")</f>
        <v/>
      </c>
      <c r="N378" s="3" t="str">
        <f aca="false">IFERROR(__xludf.dummyfunction("if($T378&lt;&gt;"""",REGEXEXTRACT(SUBSTITUTE ($T378,N$1&amp;"" CE"",""""), N$1&amp;""[\w &amp;]*, (\d+\.\d+)""),"""")
"),"")</f>
        <v/>
      </c>
      <c r="O378" s="3" t="str">
        <f aca="false">IFERROR(__xludf.dummyfunction("if($T378&lt;&gt;"""",REGEXEXTRACT($T378, O$1&amp;""[\w &amp;]*, (\d+\.\d+)""),"""")
"),"")</f>
        <v/>
      </c>
      <c r="P378" s="2"/>
      <c r="Q378" s="2"/>
      <c r="R378" s="2"/>
      <c r="S378" s="2"/>
      <c r="T378" s="5"/>
      <c r="U378" s="5"/>
    </row>
    <row r="379" customFormat="false" ht="15.75" hidden="false" customHeight="false" outlineLevel="0" collapsed="false">
      <c r="A379" s="4"/>
      <c r="B379" s="2"/>
      <c r="C379" s="2"/>
      <c r="D379" s="2"/>
      <c r="E379" s="2"/>
      <c r="F379" s="3" t="str">
        <f aca="false">IFERROR(__xludf.dummyfunction("if($T379&lt;&gt;"""",REGEXEXTRACT(SUBSTITUTE ($T379,F$1&amp;"" CE"",""""), F$1&amp;""[\w &amp;]*, (\d+\.\d+)""),"""")
"),"")</f>
        <v/>
      </c>
      <c r="G379" s="3" t="str">
        <f aca="false">IFERROR(__xludf.dummyfunction("if($T379&lt;&gt;"""",REGEXEXTRACT($T379, G$1&amp;""[\w &amp;]*, (\d+\.\d+)""),"""")
"),"")</f>
        <v/>
      </c>
      <c r="H379" s="3"/>
      <c r="I379" s="3" t="str">
        <f aca="false">IFERROR(__xludf.dummyfunction("if($T379&lt;&gt;"""",REGEXEXTRACT(SUBSTITUTE ($T379,I$1&amp;"" CE"",""""), I$1&amp;""[\w &amp;]*, (\d+\.\d+)""),"""")
"),"")</f>
        <v/>
      </c>
      <c r="J379" s="3" t="str">
        <f aca="false">IFERROR(__xludf.dummyfunction("if($T379&lt;&gt;"""",REGEXEXTRACT($T379, J$1&amp;""[\w &amp;]*, (\d+\.\d+)""),"""")
"),"")</f>
        <v/>
      </c>
      <c r="K379" s="3"/>
      <c r="L379" s="3" t="str">
        <f aca="false">IFERROR(__xludf.dummyfunction("if($T379&lt;&gt;"""",REGEXEXTRACT(SUBSTITUTE ($T379,L$1&amp;"" CE"",""""), L$1&amp;""[\w &amp;]*, (\d+\.\d+)""),"""")
"),"")</f>
        <v/>
      </c>
      <c r="M379" s="3" t="str">
        <f aca="false">IFERROR(__xludf.dummyfunction("if($T379&lt;&gt;"""",REGEXEXTRACT($T379, M$1&amp;""[\w &amp;]*, (\d+\.\d+)""),"""")
"),"")</f>
        <v/>
      </c>
      <c r="N379" s="3" t="str">
        <f aca="false">IFERROR(__xludf.dummyfunction("if($T379&lt;&gt;"""",REGEXEXTRACT(SUBSTITUTE ($T379,N$1&amp;"" CE"",""""), N$1&amp;""[\w &amp;]*, (\d+\.\d+)""),"""")
"),"")</f>
        <v/>
      </c>
      <c r="O379" s="3" t="str">
        <f aca="false">IFERROR(__xludf.dummyfunction("if($T379&lt;&gt;"""",REGEXEXTRACT($T379, O$1&amp;""[\w &amp;]*, (\d+\.\d+)""),"""")
"),"")</f>
        <v/>
      </c>
      <c r="P379" s="2"/>
      <c r="Q379" s="2"/>
      <c r="R379" s="2"/>
      <c r="S379" s="2"/>
      <c r="T379" s="5"/>
      <c r="U379" s="5"/>
    </row>
    <row r="380" customFormat="false" ht="15.75" hidden="false" customHeight="false" outlineLevel="0" collapsed="false">
      <c r="A380" s="4"/>
      <c r="B380" s="2"/>
      <c r="C380" s="2"/>
      <c r="D380" s="2"/>
      <c r="E380" s="2"/>
      <c r="F380" s="3" t="str">
        <f aca="false">IFERROR(__xludf.dummyfunction("if($T380&lt;&gt;"""",REGEXEXTRACT(SUBSTITUTE ($T380,F$1&amp;"" CE"",""""), F$1&amp;""[\w &amp;]*, (\d+\.\d+)""),"""")
"),"")</f>
        <v/>
      </c>
      <c r="G380" s="3" t="str">
        <f aca="false">IFERROR(__xludf.dummyfunction("if($T380&lt;&gt;"""",REGEXEXTRACT($T380, G$1&amp;""[\w &amp;]*, (\d+\.\d+)""),"""")
"),"")</f>
        <v/>
      </c>
      <c r="H380" s="3"/>
      <c r="I380" s="3" t="str">
        <f aca="false">IFERROR(__xludf.dummyfunction("if($T380&lt;&gt;"""",REGEXEXTRACT(SUBSTITUTE ($T380,I$1&amp;"" CE"",""""), I$1&amp;""[\w &amp;]*, (\d+\.\d+)""),"""")
"),"")</f>
        <v/>
      </c>
      <c r="J380" s="3" t="str">
        <f aca="false">IFERROR(__xludf.dummyfunction("if($T380&lt;&gt;"""",REGEXEXTRACT($T380, J$1&amp;""[\w &amp;]*, (\d+\.\d+)""),"""")
"),"")</f>
        <v/>
      </c>
      <c r="K380" s="3"/>
      <c r="L380" s="3" t="str">
        <f aca="false">IFERROR(__xludf.dummyfunction("if($T380&lt;&gt;"""",REGEXEXTRACT(SUBSTITUTE ($T380,L$1&amp;"" CE"",""""), L$1&amp;""[\w &amp;]*, (\d+\.\d+)""),"""")
"),"")</f>
        <v/>
      </c>
      <c r="M380" s="3" t="str">
        <f aca="false">IFERROR(__xludf.dummyfunction("if($T380&lt;&gt;"""",REGEXEXTRACT($T380, M$1&amp;""[\w &amp;]*, (\d+\.\d+)""),"""")
"),"")</f>
        <v/>
      </c>
      <c r="N380" s="3" t="str">
        <f aca="false">IFERROR(__xludf.dummyfunction("if($T380&lt;&gt;"""",REGEXEXTRACT(SUBSTITUTE ($T380,N$1&amp;"" CE"",""""), N$1&amp;""[\w &amp;]*, (\d+\.\d+)""),"""")
"),"")</f>
        <v/>
      </c>
      <c r="O380" s="3" t="str">
        <f aca="false">IFERROR(__xludf.dummyfunction("if($T380&lt;&gt;"""",REGEXEXTRACT($T380, O$1&amp;""[\w &amp;]*, (\d+\.\d+)""),"""")
"),"")</f>
        <v/>
      </c>
      <c r="P380" s="2"/>
      <c r="Q380" s="2"/>
      <c r="R380" s="2"/>
      <c r="S380" s="2"/>
      <c r="T380" s="5"/>
      <c r="U380" s="5"/>
    </row>
    <row r="381" customFormat="false" ht="15.75" hidden="false" customHeight="false" outlineLevel="0" collapsed="false">
      <c r="A381" s="4"/>
      <c r="B381" s="2"/>
      <c r="C381" s="2"/>
      <c r="D381" s="2"/>
      <c r="E381" s="2"/>
      <c r="F381" s="3" t="str">
        <f aca="false">IFERROR(__xludf.dummyfunction("if($T381&lt;&gt;"""",REGEXEXTRACT(SUBSTITUTE ($T381,F$1&amp;"" CE"",""""), F$1&amp;""[\w &amp;]*, (\d+\.\d+)""),"""")
"),"")</f>
        <v/>
      </c>
      <c r="G381" s="3" t="str">
        <f aca="false">IFERROR(__xludf.dummyfunction("if($T381&lt;&gt;"""",REGEXEXTRACT($T381, G$1&amp;""[\w &amp;]*, (\d+\.\d+)""),"""")
"),"")</f>
        <v/>
      </c>
      <c r="H381" s="3"/>
      <c r="I381" s="3" t="str">
        <f aca="false">IFERROR(__xludf.dummyfunction("if($T381&lt;&gt;"""",REGEXEXTRACT(SUBSTITUTE ($T381,I$1&amp;"" CE"",""""), I$1&amp;""[\w &amp;]*, (\d+\.\d+)""),"""")
"),"")</f>
        <v/>
      </c>
      <c r="J381" s="3" t="str">
        <f aca="false">IFERROR(__xludf.dummyfunction("if($T381&lt;&gt;"""",REGEXEXTRACT($T381, J$1&amp;""[\w &amp;]*, (\d+\.\d+)""),"""")
"),"")</f>
        <v/>
      </c>
      <c r="K381" s="3"/>
      <c r="L381" s="3" t="str">
        <f aca="false">IFERROR(__xludf.dummyfunction("if($T381&lt;&gt;"""",REGEXEXTRACT(SUBSTITUTE ($T381,L$1&amp;"" CE"",""""), L$1&amp;""[\w &amp;]*, (\d+\.\d+)""),"""")
"),"")</f>
        <v/>
      </c>
      <c r="M381" s="3" t="str">
        <f aca="false">IFERROR(__xludf.dummyfunction("if($T381&lt;&gt;"""",REGEXEXTRACT($T381, M$1&amp;""[\w &amp;]*, (\d+\.\d+)""),"""")
"),"")</f>
        <v/>
      </c>
      <c r="N381" s="3" t="str">
        <f aca="false">IFERROR(__xludf.dummyfunction("if($T381&lt;&gt;"""",REGEXEXTRACT(SUBSTITUTE ($T381,N$1&amp;"" CE"",""""), N$1&amp;""[\w &amp;]*, (\d+\.\d+)""),"""")
"),"")</f>
        <v/>
      </c>
      <c r="O381" s="3" t="str">
        <f aca="false">IFERROR(__xludf.dummyfunction("if($T381&lt;&gt;"""",REGEXEXTRACT($T381, O$1&amp;""[\w &amp;]*, (\d+\.\d+)""),"""")
"),"")</f>
        <v/>
      </c>
      <c r="P381" s="2"/>
      <c r="Q381" s="2"/>
      <c r="R381" s="2"/>
      <c r="S381" s="2"/>
      <c r="T381" s="5"/>
      <c r="U381" s="5"/>
    </row>
    <row r="382" customFormat="false" ht="15.75" hidden="false" customHeight="false" outlineLevel="0" collapsed="false">
      <c r="A382" s="4"/>
      <c r="B382" s="2"/>
      <c r="C382" s="2"/>
      <c r="D382" s="2"/>
      <c r="E382" s="2"/>
      <c r="F382" s="3" t="str">
        <f aca="false">IFERROR(__xludf.dummyfunction("if($T382&lt;&gt;"""",REGEXEXTRACT(SUBSTITUTE ($T382,F$1&amp;"" CE"",""""), F$1&amp;""[\w &amp;]*, (\d+\.\d+)""),"""")
"),"")</f>
        <v/>
      </c>
      <c r="G382" s="3" t="str">
        <f aca="false">IFERROR(__xludf.dummyfunction("if($T382&lt;&gt;"""",REGEXEXTRACT($T382, G$1&amp;""[\w &amp;]*, (\d+\.\d+)""),"""")
"),"")</f>
        <v/>
      </c>
      <c r="H382" s="3"/>
      <c r="I382" s="3" t="str">
        <f aca="false">IFERROR(__xludf.dummyfunction("if($T382&lt;&gt;"""",REGEXEXTRACT(SUBSTITUTE ($T382,I$1&amp;"" CE"",""""), I$1&amp;""[\w &amp;]*, (\d+\.\d+)""),"""")
"),"")</f>
        <v/>
      </c>
      <c r="J382" s="3" t="str">
        <f aca="false">IFERROR(__xludf.dummyfunction("if($T382&lt;&gt;"""",REGEXEXTRACT($T382, J$1&amp;""[\w &amp;]*, (\d+\.\d+)""),"""")
"),"")</f>
        <v/>
      </c>
      <c r="K382" s="3"/>
      <c r="L382" s="3" t="str">
        <f aca="false">IFERROR(__xludf.dummyfunction("if($T382&lt;&gt;"""",REGEXEXTRACT(SUBSTITUTE ($T382,L$1&amp;"" CE"",""""), L$1&amp;""[\w &amp;]*, (\d+\.\d+)""),"""")
"),"")</f>
        <v/>
      </c>
      <c r="M382" s="3" t="str">
        <f aca="false">IFERROR(__xludf.dummyfunction("if($T382&lt;&gt;"""",REGEXEXTRACT($T382, M$1&amp;""[\w &amp;]*, (\d+\.\d+)""),"""")
"),"")</f>
        <v/>
      </c>
      <c r="N382" s="3" t="str">
        <f aca="false">IFERROR(__xludf.dummyfunction("if($T382&lt;&gt;"""",REGEXEXTRACT(SUBSTITUTE ($T382,N$1&amp;"" CE"",""""), N$1&amp;""[\w &amp;]*, (\d+\.\d+)""),"""")
"),"")</f>
        <v/>
      </c>
      <c r="O382" s="3" t="str">
        <f aca="false">IFERROR(__xludf.dummyfunction("if($T382&lt;&gt;"""",REGEXEXTRACT($T382, O$1&amp;""[\w &amp;]*, (\d+\.\d+)""),"""")
"),"")</f>
        <v/>
      </c>
      <c r="P382" s="2"/>
      <c r="Q382" s="2"/>
      <c r="R382" s="2"/>
      <c r="S382" s="2"/>
      <c r="T382" s="5"/>
      <c r="U382" s="5"/>
    </row>
    <row r="383" customFormat="false" ht="15.75" hidden="false" customHeight="false" outlineLevel="0" collapsed="false">
      <c r="A383" s="4"/>
      <c r="B383" s="2"/>
      <c r="C383" s="2"/>
      <c r="D383" s="2"/>
      <c r="E383" s="2"/>
      <c r="F383" s="3" t="str">
        <f aca="false">IFERROR(__xludf.dummyfunction("if($T383&lt;&gt;"""",REGEXEXTRACT(SUBSTITUTE ($T383,F$1&amp;"" CE"",""""), F$1&amp;""[\w &amp;]*, (\d+\.\d+)""),"""")
"),"")</f>
        <v/>
      </c>
      <c r="G383" s="3" t="str">
        <f aca="false">IFERROR(__xludf.dummyfunction("if($T383&lt;&gt;"""",REGEXEXTRACT($T383, G$1&amp;""[\w &amp;]*, (\d+\.\d+)""),"""")
"),"")</f>
        <v/>
      </c>
      <c r="H383" s="3"/>
      <c r="I383" s="3" t="str">
        <f aca="false">IFERROR(__xludf.dummyfunction("if($T383&lt;&gt;"""",REGEXEXTRACT(SUBSTITUTE ($T383,I$1&amp;"" CE"",""""), I$1&amp;""[\w &amp;]*, (\d+\.\d+)""),"""")
"),"")</f>
        <v/>
      </c>
      <c r="J383" s="3" t="str">
        <f aca="false">IFERROR(__xludf.dummyfunction("if($T383&lt;&gt;"""",REGEXEXTRACT($T383, J$1&amp;""[\w &amp;]*, (\d+\.\d+)""),"""")
"),"")</f>
        <v/>
      </c>
      <c r="K383" s="3"/>
      <c r="L383" s="3" t="str">
        <f aca="false">IFERROR(__xludf.dummyfunction("if($T383&lt;&gt;"""",REGEXEXTRACT(SUBSTITUTE ($T383,L$1&amp;"" CE"",""""), L$1&amp;""[\w &amp;]*, (\d+\.\d+)""),"""")
"),"")</f>
        <v/>
      </c>
      <c r="M383" s="3" t="str">
        <f aca="false">IFERROR(__xludf.dummyfunction("if($T383&lt;&gt;"""",REGEXEXTRACT($T383, M$1&amp;""[\w &amp;]*, (\d+\.\d+)""),"""")
"),"")</f>
        <v/>
      </c>
      <c r="N383" s="3" t="str">
        <f aca="false">IFERROR(__xludf.dummyfunction("if($T383&lt;&gt;"""",REGEXEXTRACT(SUBSTITUTE ($T383,N$1&amp;"" CE"",""""), N$1&amp;""[\w &amp;]*, (\d+\.\d+)""),"""")
"),"")</f>
        <v/>
      </c>
      <c r="O383" s="3" t="str">
        <f aca="false">IFERROR(__xludf.dummyfunction("if($T383&lt;&gt;"""",REGEXEXTRACT($T383, O$1&amp;""[\w &amp;]*, (\d+\.\d+)""),"""")
"),"")</f>
        <v/>
      </c>
      <c r="P383" s="2"/>
      <c r="Q383" s="2"/>
      <c r="R383" s="2"/>
      <c r="S383" s="2"/>
      <c r="T383" s="5"/>
      <c r="U383" s="5"/>
    </row>
    <row r="384" customFormat="false" ht="15.75" hidden="false" customHeight="false" outlineLevel="0" collapsed="false">
      <c r="A384" s="4"/>
      <c r="B384" s="2"/>
      <c r="C384" s="2"/>
      <c r="D384" s="2"/>
      <c r="E384" s="2"/>
      <c r="F384" s="3" t="str">
        <f aca="false">IFERROR(__xludf.dummyfunction("if($T384&lt;&gt;"""",REGEXEXTRACT(SUBSTITUTE ($T384,F$1&amp;"" CE"",""""), F$1&amp;""[\w &amp;]*, (\d+\.\d+)""),"""")
"),"")</f>
        <v/>
      </c>
      <c r="G384" s="3" t="str">
        <f aca="false">IFERROR(__xludf.dummyfunction("if($T384&lt;&gt;"""",REGEXEXTRACT($T384, G$1&amp;""[\w &amp;]*, (\d+\.\d+)""),"""")
"),"")</f>
        <v/>
      </c>
      <c r="H384" s="3"/>
      <c r="I384" s="3" t="str">
        <f aca="false">IFERROR(__xludf.dummyfunction("if($T384&lt;&gt;"""",REGEXEXTRACT(SUBSTITUTE ($T384,I$1&amp;"" CE"",""""), I$1&amp;""[\w &amp;]*, (\d+\.\d+)""),"""")
"),"")</f>
        <v/>
      </c>
      <c r="J384" s="3" t="str">
        <f aca="false">IFERROR(__xludf.dummyfunction("if($T384&lt;&gt;"""",REGEXEXTRACT($T384, J$1&amp;""[\w &amp;]*, (\d+\.\d+)""),"""")
"),"")</f>
        <v/>
      </c>
      <c r="K384" s="3"/>
      <c r="L384" s="3" t="str">
        <f aca="false">IFERROR(__xludf.dummyfunction("if($T384&lt;&gt;"""",REGEXEXTRACT(SUBSTITUTE ($T384,L$1&amp;"" CE"",""""), L$1&amp;""[\w &amp;]*, (\d+\.\d+)""),"""")
"),"")</f>
        <v/>
      </c>
      <c r="M384" s="3" t="str">
        <f aca="false">IFERROR(__xludf.dummyfunction("if($T384&lt;&gt;"""",REGEXEXTRACT($T384, M$1&amp;""[\w &amp;]*, (\d+\.\d+)""),"""")
"),"")</f>
        <v/>
      </c>
      <c r="N384" s="3" t="str">
        <f aca="false">IFERROR(__xludf.dummyfunction("if($T384&lt;&gt;"""",REGEXEXTRACT(SUBSTITUTE ($T384,N$1&amp;"" CE"",""""), N$1&amp;""[\w &amp;]*, (\d+\.\d+)""),"""")
"),"")</f>
        <v/>
      </c>
      <c r="O384" s="3" t="str">
        <f aca="false">IFERROR(__xludf.dummyfunction("if($T384&lt;&gt;"""",REGEXEXTRACT($T384, O$1&amp;""[\w &amp;]*, (\d+\.\d+)""),"""")
"),"")</f>
        <v/>
      </c>
      <c r="P384" s="2"/>
      <c r="Q384" s="2"/>
      <c r="R384" s="2"/>
      <c r="S384" s="2"/>
      <c r="T384" s="5"/>
      <c r="U384" s="5"/>
    </row>
    <row r="385" customFormat="false" ht="15.75" hidden="false" customHeight="false" outlineLevel="0" collapsed="false">
      <c r="A385" s="4"/>
      <c r="B385" s="2"/>
      <c r="C385" s="2"/>
      <c r="D385" s="2"/>
      <c r="E385" s="2"/>
      <c r="F385" s="3" t="str">
        <f aca="false">IFERROR(__xludf.dummyfunction("if($T385&lt;&gt;"""",REGEXEXTRACT(SUBSTITUTE ($T385,F$1&amp;"" CE"",""""), F$1&amp;""[\w &amp;]*, (\d+\.\d+)""),"""")
"),"")</f>
        <v/>
      </c>
      <c r="G385" s="3" t="str">
        <f aca="false">IFERROR(__xludf.dummyfunction("if($T385&lt;&gt;"""",REGEXEXTRACT($T385, G$1&amp;""[\w &amp;]*, (\d+\.\d+)""),"""")
"),"")</f>
        <v/>
      </c>
      <c r="H385" s="3"/>
      <c r="I385" s="3" t="str">
        <f aca="false">IFERROR(__xludf.dummyfunction("if($T385&lt;&gt;"""",REGEXEXTRACT(SUBSTITUTE ($T385,I$1&amp;"" CE"",""""), I$1&amp;""[\w &amp;]*, (\d+\.\d+)""),"""")
"),"")</f>
        <v/>
      </c>
      <c r="J385" s="3" t="str">
        <f aca="false">IFERROR(__xludf.dummyfunction("if($T385&lt;&gt;"""",REGEXEXTRACT($T385, J$1&amp;""[\w &amp;]*, (\d+\.\d+)""),"""")
"),"")</f>
        <v/>
      </c>
      <c r="K385" s="3"/>
      <c r="L385" s="3" t="str">
        <f aca="false">IFERROR(__xludf.dummyfunction("if($T385&lt;&gt;"""",REGEXEXTRACT(SUBSTITUTE ($T385,L$1&amp;"" CE"",""""), L$1&amp;""[\w &amp;]*, (\d+\.\d+)""),"""")
"),"")</f>
        <v/>
      </c>
      <c r="M385" s="3" t="str">
        <f aca="false">IFERROR(__xludf.dummyfunction("if($T385&lt;&gt;"""",REGEXEXTRACT($T385, M$1&amp;""[\w &amp;]*, (\d+\.\d+)""),"""")
"),"")</f>
        <v/>
      </c>
      <c r="N385" s="3" t="str">
        <f aca="false">IFERROR(__xludf.dummyfunction("if($T385&lt;&gt;"""",REGEXEXTRACT(SUBSTITUTE ($T385,N$1&amp;"" CE"",""""), N$1&amp;""[\w &amp;]*, (\d+\.\d+)""),"""")
"),"")</f>
        <v/>
      </c>
      <c r="O385" s="3" t="str">
        <f aca="false">IFERROR(__xludf.dummyfunction("if($T385&lt;&gt;"""",REGEXEXTRACT($T385, O$1&amp;""[\w &amp;]*, (\d+\.\d+)""),"""")
"),"")</f>
        <v/>
      </c>
      <c r="P385" s="2"/>
      <c r="Q385" s="2"/>
      <c r="R385" s="2"/>
      <c r="S385" s="2"/>
      <c r="T385" s="5"/>
      <c r="U385" s="5"/>
    </row>
    <row r="386" customFormat="false" ht="15.75" hidden="false" customHeight="false" outlineLevel="0" collapsed="false">
      <c r="A386" s="4"/>
      <c r="B386" s="2"/>
      <c r="C386" s="2"/>
      <c r="D386" s="2"/>
      <c r="E386" s="2"/>
      <c r="F386" s="3" t="str">
        <f aca="false">IFERROR(__xludf.dummyfunction("if($T386&lt;&gt;"""",REGEXEXTRACT(SUBSTITUTE ($T386,F$1&amp;"" CE"",""""), F$1&amp;""[\w &amp;]*, (\d+\.\d+)""),"""")
"),"")</f>
        <v/>
      </c>
      <c r="G386" s="3" t="str">
        <f aca="false">IFERROR(__xludf.dummyfunction("if($T386&lt;&gt;"""",REGEXEXTRACT($T386, G$1&amp;""[\w &amp;]*, (\d+\.\d+)""),"""")
"),"")</f>
        <v/>
      </c>
      <c r="H386" s="3"/>
      <c r="I386" s="3" t="str">
        <f aca="false">IFERROR(__xludf.dummyfunction("if($T386&lt;&gt;"""",REGEXEXTRACT(SUBSTITUTE ($T386,I$1&amp;"" CE"",""""), I$1&amp;""[\w &amp;]*, (\d+\.\d+)""),"""")
"),"")</f>
        <v/>
      </c>
      <c r="J386" s="3" t="str">
        <f aca="false">IFERROR(__xludf.dummyfunction("if($T386&lt;&gt;"""",REGEXEXTRACT($T386, J$1&amp;""[\w &amp;]*, (\d+\.\d+)""),"""")
"),"")</f>
        <v/>
      </c>
      <c r="K386" s="3"/>
      <c r="L386" s="3" t="str">
        <f aca="false">IFERROR(__xludf.dummyfunction("if($T386&lt;&gt;"""",REGEXEXTRACT(SUBSTITUTE ($T386,L$1&amp;"" CE"",""""), L$1&amp;""[\w &amp;]*, (\d+\.\d+)""),"""")
"),"")</f>
        <v/>
      </c>
      <c r="M386" s="3" t="str">
        <f aca="false">IFERROR(__xludf.dummyfunction("if($T386&lt;&gt;"""",REGEXEXTRACT($T386, M$1&amp;""[\w &amp;]*, (\d+\.\d+)""),"""")
"),"")</f>
        <v/>
      </c>
      <c r="N386" s="3" t="str">
        <f aca="false">IFERROR(__xludf.dummyfunction("if($T386&lt;&gt;"""",REGEXEXTRACT(SUBSTITUTE ($T386,N$1&amp;"" CE"",""""), N$1&amp;""[\w &amp;]*, (\d+\.\d+)""),"""")
"),"")</f>
        <v/>
      </c>
      <c r="O386" s="3" t="str">
        <f aca="false">IFERROR(__xludf.dummyfunction("if($T386&lt;&gt;"""",REGEXEXTRACT($T386, O$1&amp;""[\w &amp;]*, (\d+\.\d+)""),"""")
"),"")</f>
        <v/>
      </c>
      <c r="P386" s="2"/>
      <c r="Q386" s="2"/>
      <c r="R386" s="2"/>
      <c r="S386" s="2"/>
      <c r="T386" s="5"/>
      <c r="U386" s="5"/>
    </row>
    <row r="387" customFormat="false" ht="15.75" hidden="false" customHeight="false" outlineLevel="0" collapsed="false">
      <c r="A387" s="4"/>
      <c r="B387" s="2"/>
      <c r="C387" s="2"/>
      <c r="D387" s="2"/>
      <c r="E387" s="2"/>
      <c r="F387" s="3" t="str">
        <f aca="false">IFERROR(__xludf.dummyfunction("if($T387&lt;&gt;"""",REGEXEXTRACT(SUBSTITUTE ($T387,F$1&amp;"" CE"",""""), F$1&amp;""[\w &amp;]*, (\d+\.\d+)""),"""")
"),"")</f>
        <v/>
      </c>
      <c r="G387" s="3" t="str">
        <f aca="false">IFERROR(__xludf.dummyfunction("if($T387&lt;&gt;"""",REGEXEXTRACT($T387, G$1&amp;""[\w &amp;]*, (\d+\.\d+)""),"""")
"),"")</f>
        <v/>
      </c>
      <c r="H387" s="3"/>
      <c r="I387" s="3" t="str">
        <f aca="false">IFERROR(__xludf.dummyfunction("if($T387&lt;&gt;"""",REGEXEXTRACT(SUBSTITUTE ($T387,I$1&amp;"" CE"",""""), I$1&amp;""[\w &amp;]*, (\d+\.\d+)""),"""")
"),"")</f>
        <v/>
      </c>
      <c r="J387" s="3" t="str">
        <f aca="false">IFERROR(__xludf.dummyfunction("if($T387&lt;&gt;"""",REGEXEXTRACT($T387, J$1&amp;""[\w &amp;]*, (\d+\.\d+)""),"""")
"),"")</f>
        <v/>
      </c>
      <c r="K387" s="3"/>
      <c r="L387" s="3" t="str">
        <f aca="false">IFERROR(__xludf.dummyfunction("if($T387&lt;&gt;"""",REGEXEXTRACT(SUBSTITUTE ($T387,L$1&amp;"" CE"",""""), L$1&amp;""[\w &amp;]*, (\d+\.\d+)""),"""")
"),"")</f>
        <v/>
      </c>
      <c r="M387" s="3" t="str">
        <f aca="false">IFERROR(__xludf.dummyfunction("if($T387&lt;&gt;"""",REGEXEXTRACT($T387, M$1&amp;""[\w &amp;]*, (\d+\.\d+)""),"""")
"),"")</f>
        <v/>
      </c>
      <c r="N387" s="3" t="str">
        <f aca="false">IFERROR(__xludf.dummyfunction("if($T387&lt;&gt;"""",REGEXEXTRACT(SUBSTITUTE ($T387,N$1&amp;"" CE"",""""), N$1&amp;""[\w &amp;]*, (\d+\.\d+)""),"""")
"),"")</f>
        <v/>
      </c>
      <c r="O387" s="3" t="str">
        <f aca="false">IFERROR(__xludf.dummyfunction("if($T387&lt;&gt;"""",REGEXEXTRACT($T387, O$1&amp;""[\w &amp;]*, (\d+\.\d+)""),"""")
"),"")</f>
        <v/>
      </c>
      <c r="P387" s="2"/>
      <c r="Q387" s="2"/>
      <c r="R387" s="2"/>
      <c r="S387" s="2"/>
      <c r="T387" s="5"/>
      <c r="U387" s="5"/>
    </row>
    <row r="388" customFormat="false" ht="15.75" hidden="false" customHeight="false" outlineLevel="0" collapsed="false">
      <c r="A388" s="4"/>
      <c r="B388" s="2"/>
      <c r="C388" s="2"/>
      <c r="D388" s="2"/>
      <c r="E388" s="2"/>
      <c r="F388" s="3" t="str">
        <f aca="false">IFERROR(__xludf.dummyfunction("if($T388&lt;&gt;"""",REGEXEXTRACT(SUBSTITUTE ($T388,F$1&amp;"" CE"",""""), F$1&amp;""[\w &amp;]*, (\d+\.\d+)""),"""")
"),"")</f>
        <v/>
      </c>
      <c r="G388" s="3" t="str">
        <f aca="false">IFERROR(__xludf.dummyfunction("if($T388&lt;&gt;"""",REGEXEXTRACT($T388, G$1&amp;""[\w &amp;]*, (\d+\.\d+)""),"""")
"),"")</f>
        <v/>
      </c>
      <c r="H388" s="3"/>
      <c r="I388" s="3" t="str">
        <f aca="false">IFERROR(__xludf.dummyfunction("if($T388&lt;&gt;"""",REGEXEXTRACT(SUBSTITUTE ($T388,I$1&amp;"" CE"",""""), I$1&amp;""[\w &amp;]*, (\d+\.\d+)""),"""")
"),"")</f>
        <v/>
      </c>
      <c r="J388" s="3" t="str">
        <f aca="false">IFERROR(__xludf.dummyfunction("if($T388&lt;&gt;"""",REGEXEXTRACT($T388, J$1&amp;""[\w &amp;]*, (\d+\.\d+)""),"""")
"),"")</f>
        <v/>
      </c>
      <c r="K388" s="3"/>
      <c r="L388" s="3" t="str">
        <f aca="false">IFERROR(__xludf.dummyfunction("if($T388&lt;&gt;"""",REGEXEXTRACT(SUBSTITUTE ($T388,L$1&amp;"" CE"",""""), L$1&amp;""[\w &amp;]*, (\d+\.\d+)""),"""")
"),"")</f>
        <v/>
      </c>
      <c r="M388" s="3" t="str">
        <f aca="false">IFERROR(__xludf.dummyfunction("if($T388&lt;&gt;"""",REGEXEXTRACT($T388, M$1&amp;""[\w &amp;]*, (\d+\.\d+)""),"""")
"),"")</f>
        <v/>
      </c>
      <c r="N388" s="3" t="str">
        <f aca="false">IFERROR(__xludf.dummyfunction("if($T388&lt;&gt;"""",REGEXEXTRACT(SUBSTITUTE ($T388,N$1&amp;"" CE"",""""), N$1&amp;""[\w &amp;]*, (\d+\.\d+)""),"""")
"),"")</f>
        <v/>
      </c>
      <c r="O388" s="3" t="str">
        <f aca="false">IFERROR(__xludf.dummyfunction("if($T388&lt;&gt;"""",REGEXEXTRACT($T388, O$1&amp;""[\w &amp;]*, (\d+\.\d+)""),"""")
"),"")</f>
        <v/>
      </c>
      <c r="P388" s="2"/>
      <c r="Q388" s="2"/>
      <c r="R388" s="2"/>
      <c r="S388" s="2"/>
      <c r="T388" s="5"/>
      <c r="U388" s="5"/>
    </row>
    <row r="389" customFormat="false" ht="15.75" hidden="false" customHeight="false" outlineLevel="0" collapsed="false">
      <c r="A389" s="4"/>
      <c r="B389" s="2"/>
      <c r="C389" s="2"/>
      <c r="D389" s="2"/>
      <c r="E389" s="2"/>
      <c r="F389" s="3" t="str">
        <f aca="false">IFERROR(__xludf.dummyfunction("if($T389&lt;&gt;"""",REGEXEXTRACT(SUBSTITUTE ($T389,F$1&amp;"" CE"",""""), F$1&amp;""[\w &amp;]*, (\d+\.\d+)""),"""")
"),"")</f>
        <v/>
      </c>
      <c r="G389" s="3" t="str">
        <f aca="false">IFERROR(__xludf.dummyfunction("if($T389&lt;&gt;"""",REGEXEXTRACT($T389, G$1&amp;""[\w &amp;]*, (\d+\.\d+)""),"""")
"),"")</f>
        <v/>
      </c>
      <c r="H389" s="3"/>
      <c r="I389" s="3" t="str">
        <f aca="false">IFERROR(__xludf.dummyfunction("if($T389&lt;&gt;"""",REGEXEXTRACT(SUBSTITUTE ($T389,I$1&amp;"" CE"",""""), I$1&amp;""[\w &amp;]*, (\d+\.\d+)""),"""")
"),"")</f>
        <v/>
      </c>
      <c r="J389" s="3" t="str">
        <f aca="false">IFERROR(__xludf.dummyfunction("if($T389&lt;&gt;"""",REGEXEXTRACT($T389, J$1&amp;""[\w &amp;]*, (\d+\.\d+)""),"""")
"),"")</f>
        <v/>
      </c>
      <c r="K389" s="3"/>
      <c r="L389" s="3" t="str">
        <f aca="false">IFERROR(__xludf.dummyfunction("if($T389&lt;&gt;"""",REGEXEXTRACT(SUBSTITUTE ($T389,L$1&amp;"" CE"",""""), L$1&amp;""[\w &amp;]*, (\d+\.\d+)""),"""")
"),"")</f>
        <v/>
      </c>
      <c r="M389" s="3" t="str">
        <f aca="false">IFERROR(__xludf.dummyfunction("if($T389&lt;&gt;"""",REGEXEXTRACT($T389, M$1&amp;""[\w &amp;]*, (\d+\.\d+)""),"""")
"),"")</f>
        <v/>
      </c>
      <c r="N389" s="3" t="str">
        <f aca="false">IFERROR(__xludf.dummyfunction("if($T389&lt;&gt;"""",REGEXEXTRACT(SUBSTITUTE ($T389,N$1&amp;"" CE"",""""), N$1&amp;""[\w &amp;]*, (\d+\.\d+)""),"""")
"),"")</f>
        <v/>
      </c>
      <c r="O389" s="3" t="str">
        <f aca="false">IFERROR(__xludf.dummyfunction("if($T389&lt;&gt;"""",REGEXEXTRACT($T389, O$1&amp;""[\w &amp;]*, (\d+\.\d+)""),"""")
"),"")</f>
        <v/>
      </c>
      <c r="P389" s="2"/>
      <c r="Q389" s="2"/>
      <c r="R389" s="2"/>
      <c r="S389" s="2"/>
      <c r="T389" s="5"/>
      <c r="U389" s="5"/>
    </row>
    <row r="390" customFormat="false" ht="15.75" hidden="false" customHeight="false" outlineLevel="0" collapsed="false">
      <c r="A390" s="4"/>
      <c r="B390" s="2"/>
      <c r="C390" s="2"/>
      <c r="D390" s="2"/>
      <c r="E390" s="2"/>
      <c r="F390" s="3" t="str">
        <f aca="false">IFERROR(__xludf.dummyfunction("if($T390&lt;&gt;"""",REGEXEXTRACT(SUBSTITUTE ($T390,F$1&amp;"" CE"",""""), F$1&amp;""[\w &amp;]*, (\d+\.\d+)""),"""")
"),"")</f>
        <v/>
      </c>
      <c r="G390" s="3" t="str">
        <f aca="false">IFERROR(__xludf.dummyfunction("if($T390&lt;&gt;"""",REGEXEXTRACT($T390, G$1&amp;""[\w &amp;]*, (\d+\.\d+)""),"""")
"),"")</f>
        <v/>
      </c>
      <c r="H390" s="3"/>
      <c r="I390" s="3" t="str">
        <f aca="false">IFERROR(__xludf.dummyfunction("if($T390&lt;&gt;"""",REGEXEXTRACT(SUBSTITUTE ($T390,I$1&amp;"" CE"",""""), I$1&amp;""[\w &amp;]*, (\d+\.\d+)""),"""")
"),"")</f>
        <v/>
      </c>
      <c r="J390" s="3" t="str">
        <f aca="false">IFERROR(__xludf.dummyfunction("if($T390&lt;&gt;"""",REGEXEXTRACT($T390, J$1&amp;""[\w &amp;]*, (\d+\.\d+)""),"""")
"),"")</f>
        <v/>
      </c>
      <c r="K390" s="3"/>
      <c r="L390" s="3" t="str">
        <f aca="false">IFERROR(__xludf.dummyfunction("if($T390&lt;&gt;"""",REGEXEXTRACT(SUBSTITUTE ($T390,L$1&amp;"" CE"",""""), L$1&amp;""[\w &amp;]*, (\d+\.\d+)""),"""")
"),"")</f>
        <v/>
      </c>
      <c r="M390" s="3" t="str">
        <f aca="false">IFERROR(__xludf.dummyfunction("if($T390&lt;&gt;"""",REGEXEXTRACT($T390, M$1&amp;""[\w &amp;]*, (\d+\.\d+)""),"""")
"),"")</f>
        <v/>
      </c>
      <c r="N390" s="3" t="str">
        <f aca="false">IFERROR(__xludf.dummyfunction("if($T390&lt;&gt;"""",REGEXEXTRACT(SUBSTITUTE ($T390,N$1&amp;"" CE"",""""), N$1&amp;""[\w &amp;]*, (\d+\.\d+)""),"""")
"),"")</f>
        <v/>
      </c>
      <c r="O390" s="3" t="str">
        <f aca="false">IFERROR(__xludf.dummyfunction("if($T390&lt;&gt;"""",REGEXEXTRACT($T390, O$1&amp;""[\w &amp;]*, (\d+\.\d+)""),"""")
"),"")</f>
        <v/>
      </c>
      <c r="P390" s="2"/>
      <c r="Q390" s="2"/>
      <c r="R390" s="2"/>
      <c r="S390" s="2"/>
      <c r="T390" s="5"/>
      <c r="U390" s="5"/>
    </row>
    <row r="391" customFormat="false" ht="15.75" hidden="false" customHeight="false" outlineLevel="0" collapsed="false">
      <c r="A391" s="4"/>
      <c r="B391" s="2"/>
      <c r="C391" s="2"/>
      <c r="D391" s="2"/>
      <c r="E391" s="2"/>
      <c r="F391" s="3" t="str">
        <f aca="false">IFERROR(__xludf.dummyfunction("if($T391&lt;&gt;"""",REGEXEXTRACT(SUBSTITUTE ($T391,F$1&amp;"" CE"",""""), F$1&amp;""[\w &amp;]*, (\d+\.\d+)""),"""")
"),"")</f>
        <v/>
      </c>
      <c r="G391" s="3" t="str">
        <f aca="false">IFERROR(__xludf.dummyfunction("if($T391&lt;&gt;"""",REGEXEXTRACT($T391, G$1&amp;""[\w &amp;]*, (\d+\.\d+)""),"""")
"),"")</f>
        <v/>
      </c>
      <c r="H391" s="3"/>
      <c r="I391" s="3" t="str">
        <f aca="false">IFERROR(__xludf.dummyfunction("if($T391&lt;&gt;"""",REGEXEXTRACT(SUBSTITUTE ($T391,I$1&amp;"" CE"",""""), I$1&amp;""[\w &amp;]*, (\d+\.\d+)""),"""")
"),"")</f>
        <v/>
      </c>
      <c r="J391" s="3" t="str">
        <f aca="false">IFERROR(__xludf.dummyfunction("if($T391&lt;&gt;"""",REGEXEXTRACT($T391, J$1&amp;""[\w &amp;]*, (\d+\.\d+)""),"""")
"),"")</f>
        <v/>
      </c>
      <c r="K391" s="3"/>
      <c r="L391" s="3" t="str">
        <f aca="false">IFERROR(__xludf.dummyfunction("if($T391&lt;&gt;"""",REGEXEXTRACT(SUBSTITUTE ($T391,L$1&amp;"" CE"",""""), L$1&amp;""[\w &amp;]*, (\d+\.\d+)""),"""")
"),"")</f>
        <v/>
      </c>
      <c r="M391" s="3" t="str">
        <f aca="false">IFERROR(__xludf.dummyfunction("if($T391&lt;&gt;"""",REGEXEXTRACT($T391, M$1&amp;""[\w &amp;]*, (\d+\.\d+)""),"""")
"),"")</f>
        <v/>
      </c>
      <c r="N391" s="3" t="str">
        <f aca="false">IFERROR(__xludf.dummyfunction("if($T391&lt;&gt;"""",REGEXEXTRACT(SUBSTITUTE ($T391,N$1&amp;"" CE"",""""), N$1&amp;""[\w &amp;]*, (\d+\.\d+)""),"""")
"),"")</f>
        <v/>
      </c>
      <c r="O391" s="3" t="str">
        <f aca="false">IFERROR(__xludf.dummyfunction("if($T391&lt;&gt;"""",REGEXEXTRACT($T391, O$1&amp;""[\w &amp;]*, (\d+\.\d+)""),"""")
"),"")</f>
        <v/>
      </c>
      <c r="P391" s="2"/>
      <c r="Q391" s="2"/>
      <c r="R391" s="2"/>
      <c r="S391" s="2"/>
      <c r="T391" s="5"/>
      <c r="U391" s="5"/>
    </row>
    <row r="392" customFormat="false" ht="15.75" hidden="false" customHeight="false" outlineLevel="0" collapsed="false">
      <c r="A392" s="4"/>
      <c r="B392" s="2"/>
      <c r="C392" s="2"/>
      <c r="D392" s="2"/>
      <c r="E392" s="2"/>
      <c r="F392" s="3" t="str">
        <f aca="false">IFERROR(__xludf.dummyfunction("if($T392&lt;&gt;"""",REGEXEXTRACT(SUBSTITUTE ($T392,F$1&amp;"" CE"",""""), F$1&amp;""[\w &amp;]*, (\d+\.\d+)""),"""")
"),"")</f>
        <v/>
      </c>
      <c r="G392" s="3" t="str">
        <f aca="false">IFERROR(__xludf.dummyfunction("if($T392&lt;&gt;"""",REGEXEXTRACT($T392, G$1&amp;""[\w &amp;]*, (\d+\.\d+)""),"""")
"),"")</f>
        <v/>
      </c>
      <c r="H392" s="3"/>
      <c r="I392" s="3" t="str">
        <f aca="false">IFERROR(__xludf.dummyfunction("if($T392&lt;&gt;"""",REGEXEXTRACT(SUBSTITUTE ($T392,I$1&amp;"" CE"",""""), I$1&amp;""[\w &amp;]*, (\d+\.\d+)""),"""")
"),"")</f>
        <v/>
      </c>
      <c r="J392" s="3" t="str">
        <f aca="false">IFERROR(__xludf.dummyfunction("if($T392&lt;&gt;"""",REGEXEXTRACT($T392, J$1&amp;""[\w &amp;]*, (\d+\.\d+)""),"""")
"),"")</f>
        <v/>
      </c>
      <c r="K392" s="3"/>
      <c r="L392" s="3" t="str">
        <f aca="false">IFERROR(__xludf.dummyfunction("if($T392&lt;&gt;"""",REGEXEXTRACT(SUBSTITUTE ($T392,L$1&amp;"" CE"",""""), L$1&amp;""[\w &amp;]*, (\d+\.\d+)""),"""")
"),"")</f>
        <v/>
      </c>
      <c r="M392" s="3" t="str">
        <f aca="false">IFERROR(__xludf.dummyfunction("if($T392&lt;&gt;"""",REGEXEXTRACT($T392, M$1&amp;""[\w &amp;]*, (\d+\.\d+)""),"""")
"),"")</f>
        <v/>
      </c>
      <c r="N392" s="3" t="str">
        <f aca="false">IFERROR(__xludf.dummyfunction("if($T392&lt;&gt;"""",REGEXEXTRACT(SUBSTITUTE ($T392,N$1&amp;"" CE"",""""), N$1&amp;""[\w &amp;]*, (\d+\.\d+)""),"""")
"),"")</f>
        <v/>
      </c>
      <c r="O392" s="3" t="str">
        <f aca="false">IFERROR(__xludf.dummyfunction("if($T392&lt;&gt;"""",REGEXEXTRACT($T392, O$1&amp;""[\w &amp;]*, (\d+\.\d+)""),"""")
"),"")</f>
        <v/>
      </c>
      <c r="P392" s="2"/>
      <c r="Q392" s="2"/>
      <c r="R392" s="2"/>
      <c r="S392" s="2"/>
      <c r="T392" s="5"/>
      <c r="U392" s="5"/>
    </row>
    <row r="393" customFormat="false" ht="15.75" hidden="false" customHeight="false" outlineLevel="0" collapsed="false">
      <c r="A393" s="4"/>
      <c r="B393" s="2"/>
      <c r="C393" s="2"/>
      <c r="D393" s="2"/>
      <c r="E393" s="2"/>
      <c r="F393" s="3" t="str">
        <f aca="false">IFERROR(__xludf.dummyfunction("if($T393&lt;&gt;"""",REGEXEXTRACT(SUBSTITUTE ($T393,F$1&amp;"" CE"",""""), F$1&amp;""[\w &amp;]*, (\d+\.\d+)""),"""")
"),"")</f>
        <v/>
      </c>
      <c r="G393" s="3" t="str">
        <f aca="false">IFERROR(__xludf.dummyfunction("if($T393&lt;&gt;"""",REGEXEXTRACT($T393, G$1&amp;""[\w &amp;]*, (\d+\.\d+)""),"""")
"),"")</f>
        <v/>
      </c>
      <c r="H393" s="3"/>
      <c r="I393" s="3" t="str">
        <f aca="false">IFERROR(__xludf.dummyfunction("if($T393&lt;&gt;"""",REGEXEXTRACT(SUBSTITUTE ($T393,I$1&amp;"" CE"",""""), I$1&amp;""[\w &amp;]*, (\d+\.\d+)""),"""")
"),"")</f>
        <v/>
      </c>
      <c r="J393" s="3" t="str">
        <f aca="false">IFERROR(__xludf.dummyfunction("if($T393&lt;&gt;"""",REGEXEXTRACT($T393, J$1&amp;""[\w &amp;]*, (\d+\.\d+)""),"""")
"),"")</f>
        <v/>
      </c>
      <c r="K393" s="3"/>
      <c r="L393" s="3" t="str">
        <f aca="false">IFERROR(__xludf.dummyfunction("if($T393&lt;&gt;"""",REGEXEXTRACT(SUBSTITUTE ($T393,L$1&amp;"" CE"",""""), L$1&amp;""[\w &amp;]*, (\d+\.\d+)""),"""")
"),"")</f>
        <v/>
      </c>
      <c r="M393" s="3" t="str">
        <f aca="false">IFERROR(__xludf.dummyfunction("if($T393&lt;&gt;"""",REGEXEXTRACT($T393, M$1&amp;""[\w &amp;]*, (\d+\.\d+)""),"""")
"),"")</f>
        <v/>
      </c>
      <c r="N393" s="3" t="str">
        <f aca="false">IFERROR(__xludf.dummyfunction("if($T393&lt;&gt;"""",REGEXEXTRACT(SUBSTITUTE ($T393,N$1&amp;"" CE"",""""), N$1&amp;""[\w &amp;]*, (\d+\.\d+)""),"""")
"),"")</f>
        <v/>
      </c>
      <c r="O393" s="3" t="str">
        <f aca="false">IFERROR(__xludf.dummyfunction("if($T393&lt;&gt;"""",REGEXEXTRACT($T393, O$1&amp;""[\w &amp;]*, (\d+\.\d+)""),"""")
"),"")</f>
        <v/>
      </c>
      <c r="P393" s="2"/>
      <c r="Q393" s="2"/>
      <c r="R393" s="2"/>
      <c r="S393" s="2"/>
      <c r="T393" s="5"/>
      <c r="U393" s="5"/>
    </row>
    <row r="394" customFormat="false" ht="15.75" hidden="false" customHeight="false" outlineLevel="0" collapsed="false">
      <c r="A394" s="4"/>
      <c r="B394" s="2"/>
      <c r="C394" s="2"/>
      <c r="D394" s="2"/>
      <c r="E394" s="2"/>
      <c r="F394" s="3" t="str">
        <f aca="false">IFERROR(__xludf.dummyfunction("if($T394&lt;&gt;"""",REGEXEXTRACT(SUBSTITUTE ($T394,F$1&amp;"" CE"",""""), F$1&amp;""[\w &amp;]*, (\d+\.\d+)""),"""")
"),"")</f>
        <v/>
      </c>
      <c r="G394" s="3" t="str">
        <f aca="false">IFERROR(__xludf.dummyfunction("if($T394&lt;&gt;"""",REGEXEXTRACT($T394, G$1&amp;""[\w &amp;]*, (\d+\.\d+)""),"""")
"),"")</f>
        <v/>
      </c>
      <c r="H394" s="3"/>
      <c r="I394" s="3" t="str">
        <f aca="false">IFERROR(__xludf.dummyfunction("if($T394&lt;&gt;"""",REGEXEXTRACT(SUBSTITUTE ($T394,I$1&amp;"" CE"",""""), I$1&amp;""[\w &amp;]*, (\d+\.\d+)""),"""")
"),"")</f>
        <v/>
      </c>
      <c r="J394" s="3" t="str">
        <f aca="false">IFERROR(__xludf.dummyfunction("if($T394&lt;&gt;"""",REGEXEXTRACT($T394, J$1&amp;""[\w &amp;]*, (\d+\.\d+)""),"""")
"),"")</f>
        <v/>
      </c>
      <c r="K394" s="3"/>
      <c r="L394" s="3" t="str">
        <f aca="false">IFERROR(__xludf.dummyfunction("if($T394&lt;&gt;"""",REGEXEXTRACT(SUBSTITUTE ($T394,L$1&amp;"" CE"",""""), L$1&amp;""[\w &amp;]*, (\d+\.\d+)""),"""")
"),"")</f>
        <v/>
      </c>
      <c r="M394" s="3" t="str">
        <f aca="false">IFERROR(__xludf.dummyfunction("if($T394&lt;&gt;"""",REGEXEXTRACT($T394, M$1&amp;""[\w &amp;]*, (\d+\.\d+)""),"""")
"),"")</f>
        <v/>
      </c>
      <c r="N394" s="3" t="str">
        <f aca="false">IFERROR(__xludf.dummyfunction("if($T394&lt;&gt;"""",REGEXEXTRACT(SUBSTITUTE ($T394,N$1&amp;"" CE"",""""), N$1&amp;""[\w &amp;]*, (\d+\.\d+)""),"""")
"),"")</f>
        <v/>
      </c>
      <c r="O394" s="3" t="str">
        <f aca="false">IFERROR(__xludf.dummyfunction("if($T394&lt;&gt;"""",REGEXEXTRACT($T394, O$1&amp;""[\w &amp;]*, (\d+\.\d+)""),"""")
"),"")</f>
        <v/>
      </c>
      <c r="P394" s="2"/>
      <c r="Q394" s="2"/>
      <c r="R394" s="2"/>
      <c r="S394" s="2"/>
      <c r="T394" s="5"/>
      <c r="U394" s="5"/>
    </row>
    <row r="395" customFormat="false" ht="15.75" hidden="false" customHeight="false" outlineLevel="0" collapsed="false">
      <c r="A395" s="4"/>
      <c r="B395" s="2"/>
      <c r="C395" s="2"/>
      <c r="D395" s="2"/>
      <c r="E395" s="2"/>
      <c r="F395" s="3" t="str">
        <f aca="false">IFERROR(__xludf.dummyfunction("if($T395&lt;&gt;"""",REGEXEXTRACT(SUBSTITUTE ($T395,F$1&amp;"" CE"",""""), F$1&amp;""[\w &amp;]*, (\d+\.\d+)""),"""")
"),"")</f>
        <v/>
      </c>
      <c r="G395" s="3" t="str">
        <f aca="false">IFERROR(__xludf.dummyfunction("if($T395&lt;&gt;"""",REGEXEXTRACT($T395, G$1&amp;""[\w &amp;]*, (\d+\.\d+)""),"""")
"),"")</f>
        <v/>
      </c>
      <c r="H395" s="3"/>
      <c r="I395" s="3" t="str">
        <f aca="false">IFERROR(__xludf.dummyfunction("if($T395&lt;&gt;"""",REGEXEXTRACT(SUBSTITUTE ($T395,I$1&amp;"" CE"",""""), I$1&amp;""[\w &amp;]*, (\d+\.\d+)""),"""")
"),"")</f>
        <v/>
      </c>
      <c r="J395" s="3" t="str">
        <f aca="false">IFERROR(__xludf.dummyfunction("if($T395&lt;&gt;"""",REGEXEXTRACT($T395, J$1&amp;""[\w &amp;]*, (\d+\.\d+)""),"""")
"),"")</f>
        <v/>
      </c>
      <c r="K395" s="3"/>
      <c r="L395" s="3" t="str">
        <f aca="false">IFERROR(__xludf.dummyfunction("if($T395&lt;&gt;"""",REGEXEXTRACT(SUBSTITUTE ($T395,L$1&amp;"" CE"",""""), L$1&amp;""[\w &amp;]*, (\d+\.\d+)""),"""")
"),"")</f>
        <v/>
      </c>
      <c r="M395" s="3" t="str">
        <f aca="false">IFERROR(__xludf.dummyfunction("if($T395&lt;&gt;"""",REGEXEXTRACT($T395, M$1&amp;""[\w &amp;]*, (\d+\.\d+)""),"""")
"),"")</f>
        <v/>
      </c>
      <c r="N395" s="3" t="str">
        <f aca="false">IFERROR(__xludf.dummyfunction("if($T395&lt;&gt;"""",REGEXEXTRACT(SUBSTITUTE ($T395,N$1&amp;"" CE"",""""), N$1&amp;""[\w &amp;]*, (\d+\.\d+)""),"""")
"),"")</f>
        <v/>
      </c>
      <c r="O395" s="3" t="str">
        <f aca="false">IFERROR(__xludf.dummyfunction("if($T395&lt;&gt;"""",REGEXEXTRACT($T395, O$1&amp;""[\w &amp;]*, (\d+\.\d+)""),"""")
"),"")</f>
        <v/>
      </c>
      <c r="P395" s="2"/>
      <c r="Q395" s="2"/>
      <c r="R395" s="2"/>
      <c r="S395" s="2"/>
      <c r="T395" s="5"/>
      <c r="U395" s="5"/>
    </row>
    <row r="396" customFormat="false" ht="15.75" hidden="false" customHeight="false" outlineLevel="0" collapsed="false">
      <c r="A396" s="4"/>
      <c r="B396" s="2"/>
      <c r="C396" s="2"/>
      <c r="D396" s="2"/>
      <c r="E396" s="2"/>
      <c r="F396" s="3" t="str">
        <f aca="false">IFERROR(__xludf.dummyfunction("if($T396&lt;&gt;"""",REGEXEXTRACT(SUBSTITUTE ($T396,F$1&amp;"" CE"",""""), F$1&amp;""[\w &amp;]*, (\d+\.\d+)""),"""")
"),"")</f>
        <v/>
      </c>
      <c r="G396" s="3" t="str">
        <f aca="false">IFERROR(__xludf.dummyfunction("if($T396&lt;&gt;"""",REGEXEXTRACT($T396, G$1&amp;""[\w &amp;]*, (\d+\.\d+)""),"""")
"),"")</f>
        <v/>
      </c>
      <c r="H396" s="3"/>
      <c r="I396" s="3" t="str">
        <f aca="false">IFERROR(__xludf.dummyfunction("if($T396&lt;&gt;"""",REGEXEXTRACT(SUBSTITUTE ($T396,I$1&amp;"" CE"",""""), I$1&amp;""[\w &amp;]*, (\d+\.\d+)""),"""")
"),"")</f>
        <v/>
      </c>
      <c r="J396" s="3" t="str">
        <f aca="false">IFERROR(__xludf.dummyfunction("if($T396&lt;&gt;"""",REGEXEXTRACT($T396, J$1&amp;""[\w &amp;]*, (\d+\.\d+)""),"""")
"),"")</f>
        <v/>
      </c>
      <c r="K396" s="3"/>
      <c r="L396" s="3" t="str">
        <f aca="false">IFERROR(__xludf.dummyfunction("if($T396&lt;&gt;"""",REGEXEXTRACT(SUBSTITUTE ($T396,L$1&amp;"" CE"",""""), L$1&amp;""[\w &amp;]*, (\d+\.\d+)""),"""")
"),"")</f>
        <v/>
      </c>
      <c r="M396" s="3" t="str">
        <f aca="false">IFERROR(__xludf.dummyfunction("if($T396&lt;&gt;"""",REGEXEXTRACT($T396, M$1&amp;""[\w &amp;]*, (\d+\.\d+)""),"""")
"),"")</f>
        <v/>
      </c>
      <c r="N396" s="3" t="str">
        <f aca="false">IFERROR(__xludf.dummyfunction("if($T396&lt;&gt;"""",REGEXEXTRACT(SUBSTITUTE ($T396,N$1&amp;"" CE"",""""), N$1&amp;""[\w &amp;]*, (\d+\.\d+)""),"""")
"),"")</f>
        <v/>
      </c>
      <c r="O396" s="3" t="str">
        <f aca="false">IFERROR(__xludf.dummyfunction("if($T396&lt;&gt;"""",REGEXEXTRACT($T396, O$1&amp;""[\w &amp;]*, (\d+\.\d+)""),"""")
"),"")</f>
        <v/>
      </c>
      <c r="P396" s="2"/>
      <c r="Q396" s="2"/>
      <c r="R396" s="2"/>
      <c r="S396" s="2"/>
      <c r="T396" s="5"/>
      <c r="U396" s="5"/>
    </row>
    <row r="397" customFormat="false" ht="15.75" hidden="false" customHeight="false" outlineLevel="0" collapsed="false">
      <c r="A397" s="4"/>
      <c r="B397" s="2"/>
      <c r="C397" s="2"/>
      <c r="D397" s="2"/>
      <c r="E397" s="2"/>
      <c r="F397" s="3" t="str">
        <f aca="false">IFERROR(__xludf.dummyfunction("if($T397&lt;&gt;"""",REGEXEXTRACT(SUBSTITUTE ($T397,F$1&amp;"" CE"",""""), F$1&amp;""[\w &amp;]*, (\d+\.\d+)""),"""")
"),"")</f>
        <v/>
      </c>
      <c r="G397" s="3" t="str">
        <f aca="false">IFERROR(__xludf.dummyfunction("if($T397&lt;&gt;"""",REGEXEXTRACT($T397, G$1&amp;""[\w &amp;]*, (\d+\.\d+)""),"""")
"),"")</f>
        <v/>
      </c>
      <c r="H397" s="3"/>
      <c r="I397" s="3" t="str">
        <f aca="false">IFERROR(__xludf.dummyfunction("if($T397&lt;&gt;"""",REGEXEXTRACT(SUBSTITUTE ($T397,I$1&amp;"" CE"",""""), I$1&amp;""[\w &amp;]*, (\d+\.\d+)""),"""")
"),"")</f>
        <v/>
      </c>
      <c r="J397" s="3" t="str">
        <f aca="false">IFERROR(__xludf.dummyfunction("if($T397&lt;&gt;"""",REGEXEXTRACT($T397, J$1&amp;""[\w &amp;]*, (\d+\.\d+)""),"""")
"),"")</f>
        <v/>
      </c>
      <c r="K397" s="3"/>
      <c r="L397" s="3" t="str">
        <f aca="false">IFERROR(__xludf.dummyfunction("if($T397&lt;&gt;"""",REGEXEXTRACT(SUBSTITUTE ($T397,L$1&amp;"" CE"",""""), L$1&amp;""[\w &amp;]*, (\d+\.\d+)""),"""")
"),"")</f>
        <v/>
      </c>
      <c r="M397" s="3" t="str">
        <f aca="false">IFERROR(__xludf.dummyfunction("if($T397&lt;&gt;"""",REGEXEXTRACT($T397, M$1&amp;""[\w &amp;]*, (\d+\.\d+)""),"""")
"),"")</f>
        <v/>
      </c>
      <c r="N397" s="3" t="str">
        <f aca="false">IFERROR(__xludf.dummyfunction("if($T397&lt;&gt;"""",REGEXEXTRACT(SUBSTITUTE ($T397,N$1&amp;"" CE"",""""), N$1&amp;""[\w &amp;]*, (\d+\.\d+)""),"""")
"),"")</f>
        <v/>
      </c>
      <c r="O397" s="3" t="str">
        <f aca="false">IFERROR(__xludf.dummyfunction("if($T397&lt;&gt;"""",REGEXEXTRACT($T397, O$1&amp;""[\w &amp;]*, (\d+\.\d+)""),"""")
"),"")</f>
        <v/>
      </c>
      <c r="P397" s="2"/>
      <c r="Q397" s="2"/>
      <c r="R397" s="2"/>
      <c r="S397" s="2"/>
      <c r="T397" s="5"/>
      <c r="U397" s="5"/>
    </row>
    <row r="398" customFormat="false" ht="15.75" hidden="false" customHeight="false" outlineLevel="0" collapsed="false">
      <c r="A398" s="4"/>
      <c r="B398" s="2"/>
      <c r="C398" s="2"/>
      <c r="D398" s="2"/>
      <c r="E398" s="2"/>
      <c r="F398" s="3" t="str">
        <f aca="false">IFERROR(__xludf.dummyfunction("if($T398&lt;&gt;"""",REGEXEXTRACT(SUBSTITUTE ($T398,F$1&amp;"" CE"",""""), F$1&amp;""[\w &amp;]*, (\d+\.\d+)""),"""")
"),"")</f>
        <v/>
      </c>
      <c r="G398" s="3" t="str">
        <f aca="false">IFERROR(__xludf.dummyfunction("if($T398&lt;&gt;"""",REGEXEXTRACT($T398, G$1&amp;""[\w &amp;]*, (\d+\.\d+)""),"""")
"),"")</f>
        <v/>
      </c>
      <c r="H398" s="3"/>
      <c r="I398" s="3" t="str">
        <f aca="false">IFERROR(__xludf.dummyfunction("if($T398&lt;&gt;"""",REGEXEXTRACT(SUBSTITUTE ($T398,I$1&amp;"" CE"",""""), I$1&amp;""[\w &amp;]*, (\d+\.\d+)""),"""")
"),"")</f>
        <v/>
      </c>
      <c r="J398" s="3" t="str">
        <f aca="false">IFERROR(__xludf.dummyfunction("if($T398&lt;&gt;"""",REGEXEXTRACT($T398, J$1&amp;""[\w &amp;]*, (\d+\.\d+)""),"""")
"),"")</f>
        <v/>
      </c>
      <c r="K398" s="3"/>
      <c r="L398" s="3" t="str">
        <f aca="false">IFERROR(__xludf.dummyfunction("if($T398&lt;&gt;"""",REGEXEXTRACT(SUBSTITUTE ($T398,L$1&amp;"" CE"",""""), L$1&amp;""[\w &amp;]*, (\d+\.\d+)""),"""")
"),"")</f>
        <v/>
      </c>
      <c r="M398" s="3" t="str">
        <f aca="false">IFERROR(__xludf.dummyfunction("if($T398&lt;&gt;"""",REGEXEXTRACT($T398, M$1&amp;""[\w &amp;]*, (\d+\.\d+)""),"""")
"),"")</f>
        <v/>
      </c>
      <c r="N398" s="3" t="str">
        <f aca="false">IFERROR(__xludf.dummyfunction("if($T398&lt;&gt;"""",REGEXEXTRACT(SUBSTITUTE ($T398,N$1&amp;"" CE"",""""), N$1&amp;""[\w &amp;]*, (\d+\.\d+)""),"""")
"),"")</f>
        <v/>
      </c>
      <c r="O398" s="3" t="str">
        <f aca="false">IFERROR(__xludf.dummyfunction("if($T398&lt;&gt;"""",REGEXEXTRACT($T398, O$1&amp;""[\w &amp;]*, (\d+\.\d+)""),"""")
"),"")</f>
        <v/>
      </c>
      <c r="P398" s="2"/>
      <c r="Q398" s="2"/>
      <c r="R398" s="2"/>
      <c r="S398" s="2"/>
      <c r="T398" s="5"/>
      <c r="U398" s="5"/>
    </row>
    <row r="399" customFormat="false" ht="15.75" hidden="false" customHeight="false" outlineLevel="0" collapsed="false">
      <c r="A399" s="4"/>
      <c r="B399" s="2"/>
      <c r="C399" s="2"/>
      <c r="D399" s="2"/>
      <c r="E399" s="2"/>
      <c r="F399" s="3" t="str">
        <f aca="false">IFERROR(__xludf.dummyfunction("if($T399&lt;&gt;"""",REGEXEXTRACT(SUBSTITUTE ($T399,F$1&amp;"" CE"",""""), F$1&amp;""[\w &amp;]*, (\d+\.\d+)""),"""")
"),"")</f>
        <v/>
      </c>
      <c r="G399" s="3" t="str">
        <f aca="false">IFERROR(__xludf.dummyfunction("if($T399&lt;&gt;"""",REGEXEXTRACT($T399, G$1&amp;""[\w &amp;]*, (\d+\.\d+)""),"""")
"),"")</f>
        <v/>
      </c>
      <c r="H399" s="3"/>
      <c r="I399" s="3" t="str">
        <f aca="false">IFERROR(__xludf.dummyfunction("if($T399&lt;&gt;"""",REGEXEXTRACT(SUBSTITUTE ($T399,I$1&amp;"" CE"",""""), I$1&amp;""[\w &amp;]*, (\d+\.\d+)""),"""")
"),"")</f>
        <v/>
      </c>
      <c r="J399" s="3" t="str">
        <f aca="false">IFERROR(__xludf.dummyfunction("if($T399&lt;&gt;"""",REGEXEXTRACT($T399, J$1&amp;""[\w &amp;]*, (\d+\.\d+)""),"""")
"),"")</f>
        <v/>
      </c>
      <c r="K399" s="3"/>
      <c r="L399" s="3" t="str">
        <f aca="false">IFERROR(__xludf.dummyfunction("if($T399&lt;&gt;"""",REGEXEXTRACT(SUBSTITUTE ($T399,L$1&amp;"" CE"",""""), L$1&amp;""[\w &amp;]*, (\d+\.\d+)""),"""")
"),"")</f>
        <v/>
      </c>
      <c r="M399" s="3" t="str">
        <f aca="false">IFERROR(__xludf.dummyfunction("if($T399&lt;&gt;"""",REGEXEXTRACT($T399, M$1&amp;""[\w &amp;]*, (\d+\.\d+)""),"""")
"),"")</f>
        <v/>
      </c>
      <c r="N399" s="3" t="str">
        <f aca="false">IFERROR(__xludf.dummyfunction("if($T399&lt;&gt;"""",REGEXEXTRACT(SUBSTITUTE ($T399,N$1&amp;"" CE"",""""), N$1&amp;""[\w &amp;]*, (\d+\.\d+)""),"""")
"),"")</f>
        <v/>
      </c>
      <c r="O399" s="3" t="str">
        <f aca="false">IFERROR(__xludf.dummyfunction("if($T399&lt;&gt;"""",REGEXEXTRACT($T399, O$1&amp;""[\w &amp;]*, (\d+\.\d+)""),"""")
"),"")</f>
        <v/>
      </c>
      <c r="P399" s="2"/>
      <c r="Q399" s="2"/>
      <c r="R399" s="2"/>
      <c r="S399" s="2"/>
      <c r="T399" s="5"/>
      <c r="U399" s="5"/>
    </row>
    <row r="400" customFormat="false" ht="15.75" hidden="false" customHeight="false" outlineLevel="0" collapsed="false">
      <c r="A400" s="4"/>
      <c r="B400" s="2"/>
      <c r="C400" s="2"/>
      <c r="D400" s="2"/>
      <c r="E400" s="2"/>
      <c r="F400" s="3" t="str">
        <f aca="false">IFERROR(__xludf.dummyfunction("if($T400&lt;&gt;"""",REGEXEXTRACT(SUBSTITUTE ($T400,F$1&amp;"" CE"",""""), F$1&amp;""[\w &amp;]*, (\d+\.\d+)""),"""")
"),"")</f>
        <v/>
      </c>
      <c r="G400" s="3" t="str">
        <f aca="false">IFERROR(__xludf.dummyfunction("if($T400&lt;&gt;"""",REGEXEXTRACT($T400, G$1&amp;""[\w &amp;]*, (\d+\.\d+)""),"""")
"),"")</f>
        <v/>
      </c>
      <c r="H400" s="3"/>
      <c r="I400" s="3" t="str">
        <f aca="false">IFERROR(__xludf.dummyfunction("if($T400&lt;&gt;"""",REGEXEXTRACT(SUBSTITUTE ($T400,I$1&amp;"" CE"",""""), I$1&amp;""[\w &amp;]*, (\d+\.\d+)""),"""")
"),"")</f>
        <v/>
      </c>
      <c r="J400" s="3" t="str">
        <f aca="false">IFERROR(__xludf.dummyfunction("if($T400&lt;&gt;"""",REGEXEXTRACT($T400, J$1&amp;""[\w &amp;]*, (\d+\.\d+)""),"""")
"),"")</f>
        <v/>
      </c>
      <c r="K400" s="3"/>
      <c r="L400" s="3" t="str">
        <f aca="false">IFERROR(__xludf.dummyfunction("if($T400&lt;&gt;"""",REGEXEXTRACT(SUBSTITUTE ($T400,L$1&amp;"" CE"",""""), L$1&amp;""[\w &amp;]*, (\d+\.\d+)""),"""")
"),"")</f>
        <v/>
      </c>
      <c r="M400" s="3" t="str">
        <f aca="false">IFERROR(__xludf.dummyfunction("if($T400&lt;&gt;"""",REGEXEXTRACT($T400, M$1&amp;""[\w &amp;]*, (\d+\.\d+)""),"""")
"),"")</f>
        <v/>
      </c>
      <c r="N400" s="3" t="str">
        <f aca="false">IFERROR(__xludf.dummyfunction("if($T400&lt;&gt;"""",REGEXEXTRACT(SUBSTITUTE ($T400,N$1&amp;"" CE"",""""), N$1&amp;""[\w &amp;]*, (\d+\.\d+)""),"""")
"),"")</f>
        <v/>
      </c>
      <c r="O400" s="3" t="str">
        <f aca="false">IFERROR(__xludf.dummyfunction("if($T400&lt;&gt;"""",REGEXEXTRACT($T400, O$1&amp;""[\w &amp;]*, (\d+\.\d+)""),"""")
"),"")</f>
        <v/>
      </c>
      <c r="P400" s="2"/>
      <c r="Q400" s="2"/>
      <c r="R400" s="2"/>
      <c r="S400" s="2"/>
      <c r="T400" s="5"/>
      <c r="U400" s="5"/>
    </row>
    <row r="401" customFormat="false" ht="15.75" hidden="false" customHeight="false" outlineLevel="0" collapsed="false">
      <c r="A401" s="4"/>
      <c r="B401" s="2"/>
      <c r="C401" s="2"/>
      <c r="D401" s="2"/>
      <c r="E401" s="2"/>
      <c r="F401" s="3" t="str">
        <f aca="false">IFERROR(__xludf.dummyfunction("if($T401&lt;&gt;"""",REGEXEXTRACT(SUBSTITUTE ($T401,F$1&amp;"" CE"",""""), F$1&amp;""[\w &amp;]*, (\d+\.\d+)""),"""")
"),"")</f>
        <v/>
      </c>
      <c r="G401" s="3" t="str">
        <f aca="false">IFERROR(__xludf.dummyfunction("if($T401&lt;&gt;"""",REGEXEXTRACT($T401, G$1&amp;""[\w &amp;]*, (\d+\.\d+)""),"""")
"),"")</f>
        <v/>
      </c>
      <c r="H401" s="3"/>
      <c r="I401" s="3" t="str">
        <f aca="false">IFERROR(__xludf.dummyfunction("if($T401&lt;&gt;"""",REGEXEXTRACT(SUBSTITUTE ($T401,I$1&amp;"" CE"",""""), I$1&amp;""[\w &amp;]*, (\d+\.\d+)""),"""")
"),"")</f>
        <v/>
      </c>
      <c r="J401" s="3" t="str">
        <f aca="false">IFERROR(__xludf.dummyfunction("if($T401&lt;&gt;"""",REGEXEXTRACT($T401, J$1&amp;""[\w &amp;]*, (\d+\.\d+)""),"""")
"),"")</f>
        <v/>
      </c>
      <c r="K401" s="3"/>
      <c r="L401" s="3" t="str">
        <f aca="false">IFERROR(__xludf.dummyfunction("if($T401&lt;&gt;"""",REGEXEXTRACT(SUBSTITUTE ($T401,L$1&amp;"" CE"",""""), L$1&amp;""[\w &amp;]*, (\d+\.\d+)""),"""")
"),"")</f>
        <v/>
      </c>
      <c r="M401" s="3" t="str">
        <f aca="false">IFERROR(__xludf.dummyfunction("if($T401&lt;&gt;"""",REGEXEXTRACT($T401, M$1&amp;""[\w &amp;]*, (\d+\.\d+)""),"""")
"),"")</f>
        <v/>
      </c>
      <c r="N401" s="3" t="str">
        <f aca="false">IFERROR(__xludf.dummyfunction("if($T401&lt;&gt;"""",REGEXEXTRACT(SUBSTITUTE ($T401,N$1&amp;"" CE"",""""), N$1&amp;""[\w &amp;]*, (\d+\.\d+)""),"""")
"),"")</f>
        <v/>
      </c>
      <c r="O401" s="3" t="str">
        <f aca="false">IFERROR(__xludf.dummyfunction("if($T401&lt;&gt;"""",REGEXEXTRACT($T401, O$1&amp;""[\w &amp;]*, (\d+\.\d+)""),"""")
"),"")</f>
        <v/>
      </c>
      <c r="P401" s="2"/>
      <c r="Q401" s="2"/>
      <c r="R401" s="2"/>
      <c r="S401" s="2"/>
      <c r="T401" s="5"/>
      <c r="U401" s="5"/>
    </row>
    <row r="402" customFormat="false" ht="15.75" hidden="false" customHeight="false" outlineLevel="0" collapsed="false">
      <c r="A402" s="4"/>
      <c r="B402" s="2"/>
      <c r="C402" s="2"/>
      <c r="D402" s="2"/>
      <c r="E402" s="2"/>
      <c r="F402" s="3" t="str">
        <f aca="false">IFERROR(__xludf.dummyfunction("if($T402&lt;&gt;"""",REGEXEXTRACT(SUBSTITUTE ($T402,F$1&amp;"" CE"",""""), F$1&amp;""[\w &amp;]*, (\d+\.\d+)""),"""")
"),"")</f>
        <v/>
      </c>
      <c r="G402" s="3" t="str">
        <f aca="false">IFERROR(__xludf.dummyfunction("if($T402&lt;&gt;"""",REGEXEXTRACT($T402, G$1&amp;""[\w &amp;]*, (\d+\.\d+)""),"""")
"),"")</f>
        <v/>
      </c>
      <c r="H402" s="3"/>
      <c r="I402" s="3" t="str">
        <f aca="false">IFERROR(__xludf.dummyfunction("if($T402&lt;&gt;"""",REGEXEXTRACT(SUBSTITUTE ($T402,I$1&amp;"" CE"",""""), I$1&amp;""[\w &amp;]*, (\d+\.\d+)""),"""")
"),"")</f>
        <v/>
      </c>
      <c r="J402" s="3" t="str">
        <f aca="false">IFERROR(__xludf.dummyfunction("if($T402&lt;&gt;"""",REGEXEXTRACT($T402, J$1&amp;""[\w &amp;]*, (\d+\.\d+)""),"""")
"),"")</f>
        <v/>
      </c>
      <c r="K402" s="3"/>
      <c r="L402" s="3" t="str">
        <f aca="false">IFERROR(__xludf.dummyfunction("if($T402&lt;&gt;"""",REGEXEXTRACT(SUBSTITUTE ($T402,L$1&amp;"" CE"",""""), L$1&amp;""[\w &amp;]*, (\d+\.\d+)""),"""")
"),"")</f>
        <v/>
      </c>
      <c r="M402" s="3" t="str">
        <f aca="false">IFERROR(__xludf.dummyfunction("if($T402&lt;&gt;"""",REGEXEXTRACT($T402, M$1&amp;""[\w &amp;]*, (\d+\.\d+)""),"""")
"),"")</f>
        <v/>
      </c>
      <c r="N402" s="3" t="str">
        <f aca="false">IFERROR(__xludf.dummyfunction("if($T402&lt;&gt;"""",REGEXEXTRACT(SUBSTITUTE ($T402,N$1&amp;"" CE"",""""), N$1&amp;""[\w &amp;]*, (\d+\.\d+)""),"""")
"),"")</f>
        <v/>
      </c>
      <c r="O402" s="3" t="str">
        <f aca="false">IFERROR(__xludf.dummyfunction("if($T402&lt;&gt;"""",REGEXEXTRACT($T402, O$1&amp;""[\w &amp;]*, (\d+\.\d+)""),"""")
"),"")</f>
        <v/>
      </c>
      <c r="P402" s="2"/>
      <c r="Q402" s="2"/>
      <c r="R402" s="2"/>
      <c r="S402" s="2"/>
      <c r="T402" s="5"/>
      <c r="U402" s="5"/>
    </row>
    <row r="403" customFormat="false" ht="15.75" hidden="false" customHeight="false" outlineLevel="0" collapsed="false">
      <c r="A403" s="4"/>
      <c r="B403" s="2"/>
      <c r="C403" s="2"/>
      <c r="D403" s="2"/>
      <c r="E403" s="2"/>
      <c r="F403" s="3" t="str">
        <f aca="false">IFERROR(__xludf.dummyfunction("if($T403&lt;&gt;"""",REGEXEXTRACT(SUBSTITUTE ($T403,F$1&amp;"" CE"",""""), F$1&amp;""[\w &amp;]*, (\d+\.\d+)""),"""")
"),"")</f>
        <v/>
      </c>
      <c r="G403" s="3" t="str">
        <f aca="false">IFERROR(__xludf.dummyfunction("if($T403&lt;&gt;"""",REGEXEXTRACT($T403, G$1&amp;""[\w &amp;]*, (\d+\.\d+)""),"""")
"),"")</f>
        <v/>
      </c>
      <c r="H403" s="3"/>
      <c r="I403" s="3" t="str">
        <f aca="false">IFERROR(__xludf.dummyfunction("if($T403&lt;&gt;"""",REGEXEXTRACT(SUBSTITUTE ($T403,I$1&amp;"" CE"",""""), I$1&amp;""[\w &amp;]*, (\d+\.\d+)""),"""")
"),"")</f>
        <v/>
      </c>
      <c r="J403" s="3" t="str">
        <f aca="false">IFERROR(__xludf.dummyfunction("if($T403&lt;&gt;"""",REGEXEXTRACT($T403, J$1&amp;""[\w &amp;]*, (\d+\.\d+)""),"""")
"),"")</f>
        <v/>
      </c>
      <c r="K403" s="3"/>
      <c r="L403" s="3" t="str">
        <f aca="false">IFERROR(__xludf.dummyfunction("if($T403&lt;&gt;"""",REGEXEXTRACT(SUBSTITUTE ($T403,L$1&amp;"" CE"",""""), L$1&amp;""[\w &amp;]*, (\d+\.\d+)""),"""")
"),"")</f>
        <v/>
      </c>
      <c r="M403" s="3" t="str">
        <f aca="false">IFERROR(__xludf.dummyfunction("if($T403&lt;&gt;"""",REGEXEXTRACT($T403, M$1&amp;""[\w &amp;]*, (\d+\.\d+)""),"""")
"),"")</f>
        <v/>
      </c>
      <c r="N403" s="3" t="str">
        <f aca="false">IFERROR(__xludf.dummyfunction("if($T403&lt;&gt;"""",REGEXEXTRACT(SUBSTITUTE ($T403,N$1&amp;"" CE"",""""), N$1&amp;""[\w &amp;]*, (\d+\.\d+)""),"""")
"),"")</f>
        <v/>
      </c>
      <c r="O403" s="3" t="str">
        <f aca="false">IFERROR(__xludf.dummyfunction("if($T403&lt;&gt;"""",REGEXEXTRACT($T403, O$1&amp;""[\w &amp;]*, (\d+\.\d+)""),"""")
"),"")</f>
        <v/>
      </c>
      <c r="P403" s="2"/>
      <c r="Q403" s="2"/>
      <c r="R403" s="2"/>
      <c r="S403" s="2"/>
      <c r="T403" s="5"/>
      <c r="U403" s="5"/>
    </row>
    <row r="404" customFormat="false" ht="15.75" hidden="false" customHeight="false" outlineLevel="0" collapsed="false">
      <c r="A404" s="4"/>
      <c r="B404" s="2"/>
      <c r="C404" s="2"/>
      <c r="D404" s="2"/>
      <c r="E404" s="2"/>
      <c r="F404" s="3" t="str">
        <f aca="false">IFERROR(__xludf.dummyfunction("if($T404&lt;&gt;"""",REGEXEXTRACT(SUBSTITUTE ($T404,F$1&amp;"" CE"",""""), F$1&amp;""[\w &amp;]*, (\d+\.\d+)""),"""")
"),"")</f>
        <v/>
      </c>
      <c r="G404" s="3" t="str">
        <f aca="false">IFERROR(__xludf.dummyfunction("if($T404&lt;&gt;"""",REGEXEXTRACT($T404, G$1&amp;""[\w &amp;]*, (\d+\.\d+)""),"""")
"),"")</f>
        <v/>
      </c>
      <c r="H404" s="3"/>
      <c r="I404" s="3" t="str">
        <f aca="false">IFERROR(__xludf.dummyfunction("if($T404&lt;&gt;"""",REGEXEXTRACT(SUBSTITUTE ($T404,I$1&amp;"" CE"",""""), I$1&amp;""[\w &amp;]*, (\d+\.\d+)""),"""")
"),"")</f>
        <v/>
      </c>
      <c r="J404" s="3" t="str">
        <f aca="false">IFERROR(__xludf.dummyfunction("if($T404&lt;&gt;"""",REGEXEXTRACT($T404, J$1&amp;""[\w &amp;]*, (\d+\.\d+)""),"""")
"),"")</f>
        <v/>
      </c>
      <c r="K404" s="3"/>
      <c r="L404" s="3" t="str">
        <f aca="false">IFERROR(__xludf.dummyfunction("if($T404&lt;&gt;"""",REGEXEXTRACT(SUBSTITUTE ($T404,L$1&amp;"" CE"",""""), L$1&amp;""[\w &amp;]*, (\d+\.\d+)""),"""")
"),"")</f>
        <v/>
      </c>
      <c r="M404" s="3" t="str">
        <f aca="false">IFERROR(__xludf.dummyfunction("if($T404&lt;&gt;"""",REGEXEXTRACT($T404, M$1&amp;""[\w &amp;]*, (\d+\.\d+)""),"""")
"),"")</f>
        <v/>
      </c>
      <c r="N404" s="3" t="str">
        <f aca="false">IFERROR(__xludf.dummyfunction("if($T404&lt;&gt;"""",REGEXEXTRACT(SUBSTITUTE ($T404,N$1&amp;"" CE"",""""), N$1&amp;""[\w &amp;]*, (\d+\.\d+)""),"""")
"),"")</f>
        <v/>
      </c>
      <c r="O404" s="3" t="str">
        <f aca="false">IFERROR(__xludf.dummyfunction("if($T404&lt;&gt;"""",REGEXEXTRACT($T404, O$1&amp;""[\w &amp;]*, (\d+\.\d+)""),"""")
"),"")</f>
        <v/>
      </c>
      <c r="P404" s="2"/>
      <c r="Q404" s="2"/>
      <c r="R404" s="2"/>
      <c r="S404" s="2"/>
      <c r="T404" s="5"/>
      <c r="U404" s="5"/>
    </row>
    <row r="405" customFormat="false" ht="15.75" hidden="false" customHeight="false" outlineLevel="0" collapsed="false">
      <c r="A405" s="4"/>
      <c r="B405" s="2"/>
      <c r="C405" s="2"/>
      <c r="D405" s="2"/>
      <c r="E405" s="2"/>
      <c r="F405" s="3" t="str">
        <f aca="false">IFERROR(__xludf.dummyfunction("if($T405&lt;&gt;"""",REGEXEXTRACT(SUBSTITUTE ($T405,F$1&amp;"" CE"",""""), F$1&amp;""[\w &amp;]*, (\d+\.\d+)""),"""")
"),"")</f>
        <v/>
      </c>
      <c r="G405" s="3" t="str">
        <f aca="false">IFERROR(__xludf.dummyfunction("if($T405&lt;&gt;"""",REGEXEXTRACT($T405, G$1&amp;""[\w &amp;]*, (\d+\.\d+)""),"""")
"),"")</f>
        <v/>
      </c>
      <c r="H405" s="3"/>
      <c r="I405" s="3" t="str">
        <f aca="false">IFERROR(__xludf.dummyfunction("if($T405&lt;&gt;"""",REGEXEXTRACT(SUBSTITUTE ($T405,I$1&amp;"" CE"",""""), I$1&amp;""[\w &amp;]*, (\d+\.\d+)""),"""")
"),"")</f>
        <v/>
      </c>
      <c r="J405" s="3" t="str">
        <f aca="false">IFERROR(__xludf.dummyfunction("if($T405&lt;&gt;"""",REGEXEXTRACT($T405, J$1&amp;""[\w &amp;]*, (\d+\.\d+)""),"""")
"),"")</f>
        <v/>
      </c>
      <c r="K405" s="3"/>
      <c r="L405" s="3" t="str">
        <f aca="false">IFERROR(__xludf.dummyfunction("if($T405&lt;&gt;"""",REGEXEXTRACT(SUBSTITUTE ($T405,L$1&amp;"" CE"",""""), L$1&amp;""[\w &amp;]*, (\d+\.\d+)""),"""")
"),"")</f>
        <v/>
      </c>
      <c r="M405" s="3" t="str">
        <f aca="false">IFERROR(__xludf.dummyfunction("if($T405&lt;&gt;"""",REGEXEXTRACT($T405, M$1&amp;""[\w &amp;]*, (\d+\.\d+)""),"""")
"),"")</f>
        <v/>
      </c>
      <c r="N405" s="3" t="str">
        <f aca="false">IFERROR(__xludf.dummyfunction("if($T405&lt;&gt;"""",REGEXEXTRACT(SUBSTITUTE ($T405,N$1&amp;"" CE"",""""), N$1&amp;""[\w &amp;]*, (\d+\.\d+)""),"""")
"),"")</f>
        <v/>
      </c>
      <c r="O405" s="3" t="str">
        <f aca="false">IFERROR(__xludf.dummyfunction("if($T405&lt;&gt;"""",REGEXEXTRACT($T405, O$1&amp;""[\w &amp;]*, (\d+\.\d+)""),"""")
"),"")</f>
        <v/>
      </c>
      <c r="P405" s="2"/>
      <c r="Q405" s="2"/>
      <c r="R405" s="2"/>
      <c r="S405" s="2"/>
      <c r="T405" s="5"/>
      <c r="U405" s="5"/>
    </row>
    <row r="406" customFormat="false" ht="15.75" hidden="false" customHeight="false" outlineLevel="0" collapsed="false">
      <c r="A406" s="4"/>
      <c r="B406" s="2"/>
      <c r="C406" s="2"/>
      <c r="D406" s="2"/>
      <c r="E406" s="2"/>
      <c r="F406" s="3" t="str">
        <f aca="false">IFERROR(__xludf.dummyfunction("if($T406&lt;&gt;"""",REGEXEXTRACT(SUBSTITUTE ($T406,F$1&amp;"" CE"",""""), F$1&amp;""[\w &amp;]*, (\d+\.\d+)""),"""")
"),"")</f>
        <v/>
      </c>
      <c r="G406" s="3" t="str">
        <f aca="false">IFERROR(__xludf.dummyfunction("if($T406&lt;&gt;"""",REGEXEXTRACT($T406, G$1&amp;""[\w &amp;]*, (\d+\.\d+)""),"""")
"),"")</f>
        <v/>
      </c>
      <c r="H406" s="3"/>
      <c r="I406" s="3" t="str">
        <f aca="false">IFERROR(__xludf.dummyfunction("if($T406&lt;&gt;"""",REGEXEXTRACT(SUBSTITUTE ($T406,I$1&amp;"" CE"",""""), I$1&amp;""[\w &amp;]*, (\d+\.\d+)""),"""")
"),"")</f>
        <v/>
      </c>
      <c r="J406" s="3" t="str">
        <f aca="false">IFERROR(__xludf.dummyfunction("if($T406&lt;&gt;"""",REGEXEXTRACT($T406, J$1&amp;""[\w &amp;]*, (\d+\.\d+)""),"""")
"),"")</f>
        <v/>
      </c>
      <c r="K406" s="3"/>
      <c r="L406" s="3" t="str">
        <f aca="false">IFERROR(__xludf.dummyfunction("if($T406&lt;&gt;"""",REGEXEXTRACT(SUBSTITUTE ($T406,L$1&amp;"" CE"",""""), L$1&amp;""[\w &amp;]*, (\d+\.\d+)""),"""")
"),"")</f>
        <v/>
      </c>
      <c r="M406" s="3" t="str">
        <f aca="false">IFERROR(__xludf.dummyfunction("if($T406&lt;&gt;"""",REGEXEXTRACT($T406, M$1&amp;""[\w &amp;]*, (\d+\.\d+)""),"""")
"),"")</f>
        <v/>
      </c>
      <c r="N406" s="3" t="str">
        <f aca="false">IFERROR(__xludf.dummyfunction("if($T406&lt;&gt;"""",REGEXEXTRACT(SUBSTITUTE ($T406,N$1&amp;"" CE"",""""), N$1&amp;""[\w &amp;]*, (\d+\.\d+)""),"""")
"),"")</f>
        <v/>
      </c>
      <c r="O406" s="3" t="str">
        <f aca="false">IFERROR(__xludf.dummyfunction("if($T406&lt;&gt;"""",REGEXEXTRACT($T406, O$1&amp;""[\w &amp;]*, (\d+\.\d+)""),"""")
"),"")</f>
        <v/>
      </c>
      <c r="P406" s="2"/>
      <c r="Q406" s="2"/>
      <c r="R406" s="2"/>
      <c r="S406" s="2"/>
      <c r="T406" s="5"/>
      <c r="U406" s="5"/>
    </row>
    <row r="407" customFormat="false" ht="15.75" hidden="false" customHeight="false" outlineLevel="0" collapsed="false">
      <c r="A407" s="4"/>
      <c r="B407" s="2"/>
      <c r="C407" s="2"/>
      <c r="D407" s="2"/>
      <c r="E407" s="2"/>
      <c r="F407" s="3" t="str">
        <f aca="false">IFERROR(__xludf.dummyfunction("if($T407&lt;&gt;"""",REGEXEXTRACT(SUBSTITUTE ($T407,F$1&amp;"" CE"",""""), F$1&amp;""[\w &amp;]*, (\d+\.\d+)""),"""")
"),"")</f>
        <v/>
      </c>
      <c r="G407" s="3" t="str">
        <f aca="false">IFERROR(__xludf.dummyfunction("if($T407&lt;&gt;"""",REGEXEXTRACT($T407, G$1&amp;""[\w &amp;]*, (\d+\.\d+)""),"""")
"),"")</f>
        <v/>
      </c>
      <c r="H407" s="3"/>
      <c r="I407" s="3" t="str">
        <f aca="false">IFERROR(__xludf.dummyfunction("if($T407&lt;&gt;"""",REGEXEXTRACT(SUBSTITUTE ($T407,I$1&amp;"" CE"",""""), I$1&amp;""[\w &amp;]*, (\d+\.\d+)""),"""")
"),"")</f>
        <v/>
      </c>
      <c r="J407" s="3" t="str">
        <f aca="false">IFERROR(__xludf.dummyfunction("if($T407&lt;&gt;"""",REGEXEXTRACT($T407, J$1&amp;""[\w &amp;]*, (\d+\.\d+)""),"""")
"),"")</f>
        <v/>
      </c>
      <c r="K407" s="3"/>
      <c r="L407" s="3" t="str">
        <f aca="false">IFERROR(__xludf.dummyfunction("if($T407&lt;&gt;"""",REGEXEXTRACT(SUBSTITUTE ($T407,L$1&amp;"" CE"",""""), L$1&amp;""[\w &amp;]*, (\d+\.\d+)""),"""")
"),"")</f>
        <v/>
      </c>
      <c r="M407" s="3" t="str">
        <f aca="false">IFERROR(__xludf.dummyfunction("if($T407&lt;&gt;"""",REGEXEXTRACT($T407, M$1&amp;""[\w &amp;]*, (\d+\.\d+)""),"""")
"),"")</f>
        <v/>
      </c>
      <c r="N407" s="3" t="str">
        <f aca="false">IFERROR(__xludf.dummyfunction("if($T407&lt;&gt;"""",REGEXEXTRACT(SUBSTITUTE ($T407,N$1&amp;"" CE"",""""), N$1&amp;""[\w &amp;]*, (\d+\.\d+)""),"""")
"),"")</f>
        <v/>
      </c>
      <c r="O407" s="3" t="str">
        <f aca="false">IFERROR(__xludf.dummyfunction("if($T407&lt;&gt;"""",REGEXEXTRACT($T407, O$1&amp;""[\w &amp;]*, (\d+\.\d+)""),"""")
"),"")</f>
        <v/>
      </c>
      <c r="P407" s="2"/>
      <c r="Q407" s="2"/>
      <c r="R407" s="2"/>
      <c r="S407" s="2"/>
      <c r="T407" s="5"/>
      <c r="U407" s="5"/>
    </row>
    <row r="408" customFormat="false" ht="15.75" hidden="false" customHeight="false" outlineLevel="0" collapsed="false">
      <c r="A408" s="4"/>
      <c r="B408" s="2"/>
      <c r="C408" s="2"/>
      <c r="D408" s="2"/>
      <c r="E408" s="2"/>
      <c r="F408" s="3" t="str">
        <f aca="false">IFERROR(__xludf.dummyfunction("if($T408&lt;&gt;"""",REGEXEXTRACT(SUBSTITUTE ($T408,F$1&amp;"" CE"",""""), F$1&amp;""[\w &amp;]*, (\d+\.\d+)""),"""")
"),"")</f>
        <v/>
      </c>
      <c r="G408" s="3" t="str">
        <f aca="false">IFERROR(__xludf.dummyfunction("if($T408&lt;&gt;"""",REGEXEXTRACT($T408, G$1&amp;""[\w &amp;]*, (\d+\.\d+)""),"""")
"),"")</f>
        <v/>
      </c>
      <c r="H408" s="3"/>
      <c r="I408" s="3" t="str">
        <f aca="false">IFERROR(__xludf.dummyfunction("if($T408&lt;&gt;"""",REGEXEXTRACT(SUBSTITUTE ($T408,I$1&amp;"" CE"",""""), I$1&amp;""[\w &amp;]*, (\d+\.\d+)""),"""")
"),"")</f>
        <v/>
      </c>
      <c r="J408" s="3" t="str">
        <f aca="false">IFERROR(__xludf.dummyfunction("if($T408&lt;&gt;"""",REGEXEXTRACT($T408, J$1&amp;""[\w &amp;]*, (\d+\.\d+)""),"""")
"),"")</f>
        <v/>
      </c>
      <c r="K408" s="3"/>
      <c r="L408" s="3" t="str">
        <f aca="false">IFERROR(__xludf.dummyfunction("if($T408&lt;&gt;"""",REGEXEXTRACT(SUBSTITUTE ($T408,L$1&amp;"" CE"",""""), L$1&amp;""[\w &amp;]*, (\d+\.\d+)""),"""")
"),"")</f>
        <v/>
      </c>
      <c r="M408" s="3" t="str">
        <f aca="false">IFERROR(__xludf.dummyfunction("if($T408&lt;&gt;"""",REGEXEXTRACT($T408, M$1&amp;""[\w &amp;]*, (\d+\.\d+)""),"""")
"),"")</f>
        <v/>
      </c>
      <c r="N408" s="3" t="str">
        <f aca="false">IFERROR(__xludf.dummyfunction("if($T408&lt;&gt;"""",REGEXEXTRACT(SUBSTITUTE ($T408,N$1&amp;"" CE"",""""), N$1&amp;""[\w &amp;]*, (\d+\.\d+)""),"""")
"),"")</f>
        <v/>
      </c>
      <c r="O408" s="3" t="str">
        <f aca="false">IFERROR(__xludf.dummyfunction("if($T408&lt;&gt;"""",REGEXEXTRACT($T408, O$1&amp;""[\w &amp;]*, (\d+\.\d+)""),"""")
"),"")</f>
        <v/>
      </c>
      <c r="P408" s="2"/>
      <c r="Q408" s="2"/>
      <c r="R408" s="2"/>
      <c r="S408" s="2"/>
      <c r="T408" s="5"/>
      <c r="U408" s="5"/>
    </row>
    <row r="409" customFormat="false" ht="15.75" hidden="false" customHeight="false" outlineLevel="0" collapsed="false">
      <c r="A409" s="4"/>
      <c r="B409" s="2"/>
      <c r="C409" s="2"/>
      <c r="D409" s="2"/>
      <c r="E409" s="2"/>
      <c r="F409" s="3" t="str">
        <f aca="false">IFERROR(__xludf.dummyfunction("if($T409&lt;&gt;"""",REGEXEXTRACT(SUBSTITUTE ($T409,F$1&amp;"" CE"",""""), F$1&amp;""[\w &amp;]*, (\d+\.\d+)""),"""")
"),"")</f>
        <v/>
      </c>
      <c r="G409" s="3" t="str">
        <f aca="false">IFERROR(__xludf.dummyfunction("if($T409&lt;&gt;"""",REGEXEXTRACT($T409, G$1&amp;""[\w &amp;]*, (\d+\.\d+)""),"""")
"),"")</f>
        <v/>
      </c>
      <c r="H409" s="3"/>
      <c r="I409" s="3" t="str">
        <f aca="false">IFERROR(__xludf.dummyfunction("if($T409&lt;&gt;"""",REGEXEXTRACT(SUBSTITUTE ($T409,I$1&amp;"" CE"",""""), I$1&amp;""[\w &amp;]*, (\d+\.\d+)""),"""")
"),"")</f>
        <v/>
      </c>
      <c r="J409" s="3" t="str">
        <f aca="false">IFERROR(__xludf.dummyfunction("if($T409&lt;&gt;"""",REGEXEXTRACT($T409, J$1&amp;""[\w &amp;]*, (\d+\.\d+)""),"""")
"),"")</f>
        <v/>
      </c>
      <c r="K409" s="3"/>
      <c r="L409" s="3" t="str">
        <f aca="false">IFERROR(__xludf.dummyfunction("if($T409&lt;&gt;"""",REGEXEXTRACT(SUBSTITUTE ($T409,L$1&amp;"" CE"",""""), L$1&amp;""[\w &amp;]*, (\d+\.\d+)""),"""")
"),"")</f>
        <v/>
      </c>
      <c r="M409" s="3" t="str">
        <f aca="false">IFERROR(__xludf.dummyfunction("if($T409&lt;&gt;"""",REGEXEXTRACT($T409, M$1&amp;""[\w &amp;]*, (\d+\.\d+)""),"""")
"),"")</f>
        <v/>
      </c>
      <c r="N409" s="3" t="str">
        <f aca="false">IFERROR(__xludf.dummyfunction("if($T409&lt;&gt;"""",REGEXEXTRACT(SUBSTITUTE ($T409,N$1&amp;"" CE"",""""), N$1&amp;""[\w &amp;]*, (\d+\.\d+)""),"""")
"),"")</f>
        <v/>
      </c>
      <c r="O409" s="3" t="str">
        <f aca="false">IFERROR(__xludf.dummyfunction("if($T409&lt;&gt;"""",REGEXEXTRACT($T409, O$1&amp;""[\w &amp;]*, (\d+\.\d+)""),"""")
"),"")</f>
        <v/>
      </c>
      <c r="P409" s="2"/>
      <c r="Q409" s="2"/>
      <c r="R409" s="2"/>
      <c r="S409" s="2"/>
      <c r="T409" s="5"/>
      <c r="U409" s="5"/>
    </row>
    <row r="410" customFormat="false" ht="15.75" hidden="false" customHeight="false" outlineLevel="0" collapsed="false">
      <c r="A410" s="4"/>
      <c r="B410" s="2"/>
      <c r="C410" s="2"/>
      <c r="D410" s="2"/>
      <c r="E410" s="2"/>
      <c r="F410" s="3" t="str">
        <f aca="false">IFERROR(__xludf.dummyfunction("if($T410&lt;&gt;"""",REGEXEXTRACT(SUBSTITUTE ($T410,F$1&amp;"" CE"",""""), F$1&amp;""[\w &amp;]*, (\d+\.\d+)""),"""")
"),"")</f>
        <v/>
      </c>
      <c r="G410" s="3" t="str">
        <f aca="false">IFERROR(__xludf.dummyfunction("if($T410&lt;&gt;"""",REGEXEXTRACT($T410, G$1&amp;""[\w &amp;]*, (\d+\.\d+)""),"""")
"),"")</f>
        <v/>
      </c>
      <c r="H410" s="3"/>
      <c r="I410" s="3" t="str">
        <f aca="false">IFERROR(__xludf.dummyfunction("if($T410&lt;&gt;"""",REGEXEXTRACT(SUBSTITUTE ($T410,I$1&amp;"" CE"",""""), I$1&amp;""[\w &amp;]*, (\d+\.\d+)""),"""")
"),"")</f>
        <v/>
      </c>
      <c r="J410" s="3" t="str">
        <f aca="false">IFERROR(__xludf.dummyfunction("if($T410&lt;&gt;"""",REGEXEXTRACT($T410, J$1&amp;""[\w &amp;]*, (\d+\.\d+)""),"""")
"),"")</f>
        <v/>
      </c>
      <c r="K410" s="3"/>
      <c r="L410" s="3" t="str">
        <f aca="false">IFERROR(__xludf.dummyfunction("if($T410&lt;&gt;"""",REGEXEXTRACT(SUBSTITUTE ($T410,L$1&amp;"" CE"",""""), L$1&amp;""[\w &amp;]*, (\d+\.\d+)""),"""")
"),"")</f>
        <v/>
      </c>
      <c r="M410" s="3" t="str">
        <f aca="false">IFERROR(__xludf.dummyfunction("if($T410&lt;&gt;"""",REGEXEXTRACT($T410, M$1&amp;""[\w &amp;]*, (\d+\.\d+)""),"""")
"),"")</f>
        <v/>
      </c>
      <c r="N410" s="3" t="str">
        <f aca="false">IFERROR(__xludf.dummyfunction("if($T410&lt;&gt;"""",REGEXEXTRACT(SUBSTITUTE ($T410,N$1&amp;"" CE"",""""), N$1&amp;""[\w &amp;]*, (\d+\.\d+)""),"""")
"),"")</f>
        <v/>
      </c>
      <c r="O410" s="3" t="str">
        <f aca="false">IFERROR(__xludf.dummyfunction("if($T410&lt;&gt;"""",REGEXEXTRACT($T410, O$1&amp;""[\w &amp;]*, (\d+\.\d+)""),"""")
"),"")</f>
        <v/>
      </c>
      <c r="P410" s="2"/>
      <c r="Q410" s="2"/>
      <c r="R410" s="2"/>
      <c r="S410" s="2"/>
      <c r="T410" s="5"/>
      <c r="U410" s="5"/>
    </row>
    <row r="411" customFormat="false" ht="15.75" hidden="false" customHeight="false" outlineLevel="0" collapsed="false">
      <c r="A411" s="4"/>
      <c r="B411" s="2"/>
      <c r="C411" s="2"/>
      <c r="D411" s="2"/>
      <c r="E411" s="2"/>
      <c r="F411" s="3" t="str">
        <f aca="false">IFERROR(__xludf.dummyfunction("if($T411&lt;&gt;"""",REGEXEXTRACT(SUBSTITUTE ($T411,F$1&amp;"" CE"",""""), F$1&amp;""[\w &amp;]*, (\d+\.\d+)""),"""")
"),"")</f>
        <v/>
      </c>
      <c r="G411" s="3" t="str">
        <f aca="false">IFERROR(__xludf.dummyfunction("if($T411&lt;&gt;"""",REGEXEXTRACT($T411, G$1&amp;""[\w &amp;]*, (\d+\.\d+)""),"""")
"),"")</f>
        <v/>
      </c>
      <c r="H411" s="3"/>
      <c r="I411" s="3" t="str">
        <f aca="false">IFERROR(__xludf.dummyfunction("if($T411&lt;&gt;"""",REGEXEXTRACT(SUBSTITUTE ($T411,I$1&amp;"" CE"",""""), I$1&amp;""[\w &amp;]*, (\d+\.\d+)""),"""")
"),"")</f>
        <v/>
      </c>
      <c r="J411" s="3" t="str">
        <f aca="false">IFERROR(__xludf.dummyfunction("if($T411&lt;&gt;"""",REGEXEXTRACT($T411, J$1&amp;""[\w &amp;]*, (\d+\.\d+)""),"""")
"),"")</f>
        <v/>
      </c>
      <c r="K411" s="3"/>
      <c r="L411" s="3" t="str">
        <f aca="false">IFERROR(__xludf.dummyfunction("if($T411&lt;&gt;"""",REGEXEXTRACT(SUBSTITUTE ($T411,L$1&amp;"" CE"",""""), L$1&amp;""[\w &amp;]*, (\d+\.\d+)""),"""")
"),"")</f>
        <v/>
      </c>
      <c r="M411" s="3" t="str">
        <f aca="false">IFERROR(__xludf.dummyfunction("if($T411&lt;&gt;"""",REGEXEXTRACT($T411, M$1&amp;""[\w &amp;]*, (\d+\.\d+)""),"""")
"),"")</f>
        <v/>
      </c>
      <c r="N411" s="3" t="str">
        <f aca="false">IFERROR(__xludf.dummyfunction("if($T411&lt;&gt;"""",REGEXEXTRACT(SUBSTITUTE ($T411,N$1&amp;"" CE"",""""), N$1&amp;""[\w &amp;]*, (\d+\.\d+)""),"""")
"),"")</f>
        <v/>
      </c>
      <c r="O411" s="3" t="str">
        <f aca="false">IFERROR(__xludf.dummyfunction("if($T411&lt;&gt;"""",REGEXEXTRACT($T411, O$1&amp;""[\w &amp;]*, (\d+\.\d+)""),"""")
"),"")</f>
        <v/>
      </c>
      <c r="P411" s="2"/>
      <c r="Q411" s="2"/>
      <c r="R411" s="2"/>
      <c r="S411" s="2"/>
      <c r="T411" s="5"/>
      <c r="U411" s="5"/>
    </row>
    <row r="412" customFormat="false" ht="15.75" hidden="false" customHeight="false" outlineLevel="0" collapsed="false">
      <c r="A412" s="4"/>
      <c r="B412" s="2"/>
      <c r="C412" s="2"/>
      <c r="D412" s="2"/>
      <c r="E412" s="2"/>
      <c r="F412" s="3" t="str">
        <f aca="false">IFERROR(__xludf.dummyfunction("if($T412&lt;&gt;"""",REGEXEXTRACT(SUBSTITUTE ($T412,F$1&amp;"" CE"",""""), F$1&amp;""[\w &amp;]*, (\d+\.\d+)""),"""")
"),"")</f>
        <v/>
      </c>
      <c r="G412" s="3" t="str">
        <f aca="false">IFERROR(__xludf.dummyfunction("if($T412&lt;&gt;"""",REGEXEXTRACT($T412, G$1&amp;""[\w &amp;]*, (\d+\.\d+)""),"""")
"),"")</f>
        <v/>
      </c>
      <c r="H412" s="3"/>
      <c r="I412" s="3" t="str">
        <f aca="false">IFERROR(__xludf.dummyfunction("if($T412&lt;&gt;"""",REGEXEXTRACT(SUBSTITUTE ($T412,I$1&amp;"" CE"",""""), I$1&amp;""[\w &amp;]*, (\d+\.\d+)""),"""")
"),"")</f>
        <v/>
      </c>
      <c r="J412" s="3" t="str">
        <f aca="false">IFERROR(__xludf.dummyfunction("if($T412&lt;&gt;"""",REGEXEXTRACT($T412, J$1&amp;""[\w &amp;]*, (\d+\.\d+)""),"""")
"),"")</f>
        <v/>
      </c>
      <c r="K412" s="3"/>
      <c r="L412" s="3" t="str">
        <f aca="false">IFERROR(__xludf.dummyfunction("if($T412&lt;&gt;"""",REGEXEXTRACT(SUBSTITUTE ($T412,L$1&amp;"" CE"",""""), L$1&amp;""[\w &amp;]*, (\d+\.\d+)""),"""")
"),"")</f>
        <v/>
      </c>
      <c r="M412" s="3" t="str">
        <f aca="false">IFERROR(__xludf.dummyfunction("if($T412&lt;&gt;"""",REGEXEXTRACT($T412, M$1&amp;""[\w &amp;]*, (\d+\.\d+)""),"""")
"),"")</f>
        <v/>
      </c>
      <c r="N412" s="3" t="str">
        <f aca="false">IFERROR(__xludf.dummyfunction("if($T412&lt;&gt;"""",REGEXEXTRACT(SUBSTITUTE ($T412,N$1&amp;"" CE"",""""), N$1&amp;""[\w &amp;]*, (\d+\.\d+)""),"""")
"),"")</f>
        <v/>
      </c>
      <c r="O412" s="3" t="str">
        <f aca="false">IFERROR(__xludf.dummyfunction("if($T412&lt;&gt;"""",REGEXEXTRACT($T412, O$1&amp;""[\w &amp;]*, (\d+\.\d+)""),"""")
"),"")</f>
        <v/>
      </c>
      <c r="P412" s="2"/>
      <c r="Q412" s="2"/>
      <c r="R412" s="2"/>
      <c r="S412" s="2"/>
      <c r="T412" s="5"/>
      <c r="U412" s="5"/>
    </row>
    <row r="413" customFormat="false" ht="15.75" hidden="false" customHeight="false" outlineLevel="0" collapsed="false">
      <c r="A413" s="4"/>
      <c r="B413" s="2"/>
      <c r="C413" s="2"/>
      <c r="D413" s="2"/>
      <c r="E413" s="2"/>
      <c r="F413" s="3" t="str">
        <f aca="false">IFERROR(__xludf.dummyfunction("if($T413&lt;&gt;"""",REGEXEXTRACT(SUBSTITUTE ($T413,F$1&amp;"" CE"",""""), F$1&amp;""[\w &amp;]*, (\d+\.\d+)""),"""")
"),"")</f>
        <v/>
      </c>
      <c r="G413" s="3" t="str">
        <f aca="false">IFERROR(__xludf.dummyfunction("if($T413&lt;&gt;"""",REGEXEXTRACT($T413, G$1&amp;""[\w &amp;]*, (\d+\.\d+)""),"""")
"),"")</f>
        <v/>
      </c>
      <c r="H413" s="3"/>
      <c r="I413" s="3" t="str">
        <f aca="false">IFERROR(__xludf.dummyfunction("if($T413&lt;&gt;"""",REGEXEXTRACT(SUBSTITUTE ($T413,I$1&amp;"" CE"",""""), I$1&amp;""[\w &amp;]*, (\d+\.\d+)""),"""")
"),"")</f>
        <v/>
      </c>
      <c r="J413" s="3" t="str">
        <f aca="false">IFERROR(__xludf.dummyfunction("if($T413&lt;&gt;"""",REGEXEXTRACT($T413, J$1&amp;""[\w &amp;]*, (\d+\.\d+)""),"""")
"),"")</f>
        <v/>
      </c>
      <c r="K413" s="3"/>
      <c r="L413" s="3" t="str">
        <f aca="false">IFERROR(__xludf.dummyfunction("if($T413&lt;&gt;"""",REGEXEXTRACT(SUBSTITUTE ($T413,L$1&amp;"" CE"",""""), L$1&amp;""[\w &amp;]*, (\d+\.\d+)""),"""")
"),"")</f>
        <v/>
      </c>
      <c r="M413" s="3" t="str">
        <f aca="false">IFERROR(__xludf.dummyfunction("if($T413&lt;&gt;"""",REGEXEXTRACT($T413, M$1&amp;""[\w &amp;]*, (\d+\.\d+)""),"""")
"),"")</f>
        <v/>
      </c>
      <c r="N413" s="3" t="str">
        <f aca="false">IFERROR(__xludf.dummyfunction("if($T413&lt;&gt;"""",REGEXEXTRACT(SUBSTITUTE ($T413,N$1&amp;"" CE"",""""), N$1&amp;""[\w &amp;]*, (\d+\.\d+)""),"""")
"),"")</f>
        <v/>
      </c>
      <c r="O413" s="3" t="str">
        <f aca="false">IFERROR(__xludf.dummyfunction("if($T413&lt;&gt;"""",REGEXEXTRACT($T413, O$1&amp;""[\w &amp;]*, (\d+\.\d+)""),"""")
"),"")</f>
        <v/>
      </c>
      <c r="P413" s="2"/>
      <c r="Q413" s="2"/>
      <c r="R413" s="2"/>
      <c r="S413" s="2"/>
      <c r="T413" s="5"/>
      <c r="U413" s="5"/>
    </row>
    <row r="414" customFormat="false" ht="15.75" hidden="false" customHeight="false" outlineLevel="0" collapsed="false">
      <c r="A414" s="4"/>
      <c r="B414" s="2"/>
      <c r="C414" s="2"/>
      <c r="D414" s="2"/>
      <c r="E414" s="2"/>
      <c r="F414" s="3" t="str">
        <f aca="false">IFERROR(__xludf.dummyfunction("if($T414&lt;&gt;"""",REGEXEXTRACT(SUBSTITUTE ($T414,F$1&amp;"" CE"",""""), F$1&amp;""[\w &amp;]*, (\d+\.\d+)""),"""")
"),"")</f>
        <v/>
      </c>
      <c r="G414" s="3" t="str">
        <f aca="false">IFERROR(__xludf.dummyfunction("if($T414&lt;&gt;"""",REGEXEXTRACT($T414, G$1&amp;""[\w &amp;]*, (\d+\.\d+)""),"""")
"),"")</f>
        <v/>
      </c>
      <c r="H414" s="3"/>
      <c r="I414" s="3" t="str">
        <f aca="false">IFERROR(__xludf.dummyfunction("if($T414&lt;&gt;"""",REGEXEXTRACT(SUBSTITUTE ($T414,I$1&amp;"" CE"",""""), I$1&amp;""[\w &amp;]*, (\d+\.\d+)""),"""")
"),"")</f>
        <v/>
      </c>
      <c r="J414" s="3" t="str">
        <f aca="false">IFERROR(__xludf.dummyfunction("if($T414&lt;&gt;"""",REGEXEXTRACT($T414, J$1&amp;""[\w &amp;]*, (\d+\.\d+)""),"""")
"),"")</f>
        <v/>
      </c>
      <c r="K414" s="3"/>
      <c r="L414" s="3" t="str">
        <f aca="false">IFERROR(__xludf.dummyfunction("if($T414&lt;&gt;"""",REGEXEXTRACT(SUBSTITUTE ($T414,L$1&amp;"" CE"",""""), L$1&amp;""[\w &amp;]*, (\d+\.\d+)""),"""")
"),"")</f>
        <v/>
      </c>
      <c r="M414" s="3" t="str">
        <f aca="false">IFERROR(__xludf.dummyfunction("if($T414&lt;&gt;"""",REGEXEXTRACT($T414, M$1&amp;""[\w &amp;]*, (\d+\.\d+)""),"""")
"),"")</f>
        <v/>
      </c>
      <c r="N414" s="3" t="str">
        <f aca="false">IFERROR(__xludf.dummyfunction("if($T414&lt;&gt;"""",REGEXEXTRACT(SUBSTITUTE ($T414,N$1&amp;"" CE"",""""), N$1&amp;""[\w &amp;]*, (\d+\.\d+)""),"""")
"),"")</f>
        <v/>
      </c>
      <c r="O414" s="3" t="str">
        <f aca="false">IFERROR(__xludf.dummyfunction("if($T414&lt;&gt;"""",REGEXEXTRACT($T414, O$1&amp;""[\w &amp;]*, (\d+\.\d+)""),"""")
"),"")</f>
        <v/>
      </c>
      <c r="P414" s="2"/>
      <c r="Q414" s="2"/>
      <c r="R414" s="2"/>
      <c r="S414" s="2"/>
      <c r="T414" s="5"/>
      <c r="U414" s="5"/>
    </row>
    <row r="415" customFormat="false" ht="15.75" hidden="false" customHeight="false" outlineLevel="0" collapsed="false">
      <c r="A415" s="4"/>
      <c r="B415" s="2"/>
      <c r="C415" s="2"/>
      <c r="D415" s="2"/>
      <c r="E415" s="2"/>
      <c r="F415" s="3" t="str">
        <f aca="false">IFERROR(__xludf.dummyfunction("if($T415&lt;&gt;"""",REGEXEXTRACT(SUBSTITUTE ($T415,F$1&amp;"" CE"",""""), F$1&amp;""[\w &amp;]*, (\d+\.\d+)""),"""")
"),"")</f>
        <v/>
      </c>
      <c r="G415" s="3" t="str">
        <f aca="false">IFERROR(__xludf.dummyfunction("if($T415&lt;&gt;"""",REGEXEXTRACT($T415, G$1&amp;""[\w &amp;]*, (\d+\.\d+)""),"""")
"),"")</f>
        <v/>
      </c>
      <c r="H415" s="3"/>
      <c r="I415" s="3" t="str">
        <f aca="false">IFERROR(__xludf.dummyfunction("if($T415&lt;&gt;"""",REGEXEXTRACT(SUBSTITUTE ($T415,I$1&amp;"" CE"",""""), I$1&amp;""[\w &amp;]*, (\d+\.\d+)""),"""")
"),"")</f>
        <v/>
      </c>
      <c r="J415" s="3" t="str">
        <f aca="false">IFERROR(__xludf.dummyfunction("if($T415&lt;&gt;"""",REGEXEXTRACT($T415, J$1&amp;""[\w &amp;]*, (\d+\.\d+)""),"""")
"),"")</f>
        <v/>
      </c>
      <c r="K415" s="3"/>
      <c r="L415" s="3" t="str">
        <f aca="false">IFERROR(__xludf.dummyfunction("if($T415&lt;&gt;"""",REGEXEXTRACT(SUBSTITUTE ($T415,L$1&amp;"" CE"",""""), L$1&amp;""[\w &amp;]*, (\d+\.\d+)""),"""")
"),"")</f>
        <v/>
      </c>
      <c r="M415" s="3" t="str">
        <f aca="false">IFERROR(__xludf.dummyfunction("if($T415&lt;&gt;"""",REGEXEXTRACT($T415, M$1&amp;""[\w &amp;]*, (\d+\.\d+)""),"""")
"),"")</f>
        <v/>
      </c>
      <c r="N415" s="3" t="str">
        <f aca="false">IFERROR(__xludf.dummyfunction("if($T415&lt;&gt;"""",REGEXEXTRACT(SUBSTITUTE ($T415,N$1&amp;"" CE"",""""), N$1&amp;""[\w &amp;]*, (\d+\.\d+)""),"""")
"),"")</f>
        <v/>
      </c>
      <c r="O415" s="3" t="str">
        <f aca="false">IFERROR(__xludf.dummyfunction("if($T415&lt;&gt;"""",REGEXEXTRACT($T415, O$1&amp;""[\w &amp;]*, (\d+\.\d+)""),"""")
"),"")</f>
        <v/>
      </c>
      <c r="P415" s="2"/>
      <c r="Q415" s="2"/>
      <c r="R415" s="2"/>
      <c r="S415" s="2"/>
      <c r="T415" s="5"/>
      <c r="U415" s="5"/>
    </row>
    <row r="416" customFormat="false" ht="15.75" hidden="false" customHeight="false" outlineLevel="0" collapsed="false">
      <c r="A416" s="4"/>
      <c r="B416" s="2"/>
      <c r="C416" s="2"/>
      <c r="D416" s="2"/>
      <c r="E416" s="2"/>
      <c r="F416" s="3" t="str">
        <f aca="false">IFERROR(__xludf.dummyfunction("if($T416&lt;&gt;"""",REGEXEXTRACT(SUBSTITUTE ($T416,F$1&amp;"" CE"",""""), F$1&amp;""[\w &amp;]*, (\d+\.\d+)""),"""")
"),"")</f>
        <v/>
      </c>
      <c r="G416" s="3" t="str">
        <f aca="false">IFERROR(__xludf.dummyfunction("if($T416&lt;&gt;"""",REGEXEXTRACT($T416, G$1&amp;""[\w &amp;]*, (\d+\.\d+)""),"""")
"),"")</f>
        <v/>
      </c>
      <c r="H416" s="3"/>
      <c r="I416" s="3" t="str">
        <f aca="false">IFERROR(__xludf.dummyfunction("if($T416&lt;&gt;"""",REGEXEXTRACT(SUBSTITUTE ($T416,I$1&amp;"" CE"",""""), I$1&amp;""[\w &amp;]*, (\d+\.\d+)""),"""")
"),"")</f>
        <v/>
      </c>
      <c r="J416" s="3" t="str">
        <f aca="false">IFERROR(__xludf.dummyfunction("if($T416&lt;&gt;"""",REGEXEXTRACT($T416, J$1&amp;""[\w &amp;]*, (\d+\.\d+)""),"""")
"),"")</f>
        <v/>
      </c>
      <c r="K416" s="3"/>
      <c r="L416" s="3" t="str">
        <f aca="false">IFERROR(__xludf.dummyfunction("if($T416&lt;&gt;"""",REGEXEXTRACT(SUBSTITUTE ($T416,L$1&amp;"" CE"",""""), L$1&amp;""[\w &amp;]*, (\d+\.\d+)""),"""")
"),"")</f>
        <v/>
      </c>
      <c r="M416" s="3" t="str">
        <f aca="false">IFERROR(__xludf.dummyfunction("if($T416&lt;&gt;"""",REGEXEXTRACT($T416, M$1&amp;""[\w &amp;]*, (\d+\.\d+)""),"""")
"),"")</f>
        <v/>
      </c>
      <c r="N416" s="3" t="str">
        <f aca="false">IFERROR(__xludf.dummyfunction("if($T416&lt;&gt;"""",REGEXEXTRACT(SUBSTITUTE ($T416,N$1&amp;"" CE"",""""), N$1&amp;""[\w &amp;]*, (\d+\.\d+)""),"""")
"),"")</f>
        <v/>
      </c>
      <c r="O416" s="3" t="str">
        <f aca="false">IFERROR(__xludf.dummyfunction("if($T416&lt;&gt;"""",REGEXEXTRACT($T416, O$1&amp;""[\w &amp;]*, (\d+\.\d+)""),"""")
"),"")</f>
        <v/>
      </c>
      <c r="P416" s="2"/>
      <c r="Q416" s="2"/>
      <c r="R416" s="2"/>
      <c r="S416" s="2"/>
      <c r="T416" s="5"/>
      <c r="U416" s="5"/>
    </row>
    <row r="417" customFormat="false" ht="15.75" hidden="false" customHeight="false" outlineLevel="0" collapsed="false">
      <c r="A417" s="4"/>
      <c r="B417" s="2"/>
      <c r="C417" s="2"/>
      <c r="D417" s="2"/>
      <c r="E417" s="2"/>
      <c r="F417" s="3" t="str">
        <f aca="false">IFERROR(__xludf.dummyfunction("if($T417&lt;&gt;"""",REGEXEXTRACT(SUBSTITUTE ($T417,F$1&amp;"" CE"",""""), F$1&amp;""[\w &amp;]*, (\d+\.\d+)""),"""")
"),"")</f>
        <v/>
      </c>
      <c r="G417" s="3" t="str">
        <f aca="false">IFERROR(__xludf.dummyfunction("if($T417&lt;&gt;"""",REGEXEXTRACT($T417, G$1&amp;""[\w &amp;]*, (\d+\.\d+)""),"""")
"),"")</f>
        <v/>
      </c>
      <c r="H417" s="3"/>
      <c r="I417" s="3" t="str">
        <f aca="false">IFERROR(__xludf.dummyfunction("if($T417&lt;&gt;"""",REGEXEXTRACT(SUBSTITUTE ($T417,I$1&amp;"" CE"",""""), I$1&amp;""[\w &amp;]*, (\d+\.\d+)""),"""")
"),"")</f>
        <v/>
      </c>
      <c r="J417" s="3" t="str">
        <f aca="false">IFERROR(__xludf.dummyfunction("if($T417&lt;&gt;"""",REGEXEXTRACT($T417, J$1&amp;""[\w &amp;]*, (\d+\.\d+)""),"""")
"),"")</f>
        <v/>
      </c>
      <c r="K417" s="3"/>
      <c r="L417" s="3" t="str">
        <f aca="false">IFERROR(__xludf.dummyfunction("if($T417&lt;&gt;"""",REGEXEXTRACT(SUBSTITUTE ($T417,L$1&amp;"" CE"",""""), L$1&amp;""[\w &amp;]*, (\d+\.\d+)""),"""")
"),"")</f>
        <v/>
      </c>
      <c r="M417" s="3" t="str">
        <f aca="false">IFERROR(__xludf.dummyfunction("if($T417&lt;&gt;"""",REGEXEXTRACT($T417, M$1&amp;""[\w &amp;]*, (\d+\.\d+)""),"""")
"),"")</f>
        <v/>
      </c>
      <c r="N417" s="3" t="str">
        <f aca="false">IFERROR(__xludf.dummyfunction("if($T417&lt;&gt;"""",REGEXEXTRACT(SUBSTITUTE ($T417,N$1&amp;"" CE"",""""), N$1&amp;""[\w &amp;]*, (\d+\.\d+)""),"""")
"),"")</f>
        <v/>
      </c>
      <c r="O417" s="3" t="str">
        <f aca="false">IFERROR(__xludf.dummyfunction("if($T417&lt;&gt;"""",REGEXEXTRACT($T417, O$1&amp;""[\w &amp;]*, (\d+\.\d+)""),"""")
"),"")</f>
        <v/>
      </c>
      <c r="P417" s="2"/>
      <c r="Q417" s="2"/>
      <c r="R417" s="2"/>
      <c r="S417" s="2"/>
      <c r="T417" s="5"/>
      <c r="U417" s="5"/>
    </row>
    <row r="418" customFormat="false" ht="15.75" hidden="false" customHeight="false" outlineLevel="0" collapsed="false">
      <c r="A418" s="4"/>
      <c r="B418" s="2"/>
      <c r="C418" s="2"/>
      <c r="D418" s="2"/>
      <c r="E418" s="2"/>
      <c r="F418" s="3" t="str">
        <f aca="false">IFERROR(__xludf.dummyfunction("if($T418&lt;&gt;"""",REGEXEXTRACT(SUBSTITUTE ($T418,F$1&amp;"" CE"",""""), F$1&amp;""[\w &amp;]*, (\d+\.\d+)""),"""")
"),"")</f>
        <v/>
      </c>
      <c r="G418" s="3" t="str">
        <f aca="false">IFERROR(__xludf.dummyfunction("if($T418&lt;&gt;"""",REGEXEXTRACT($T418, G$1&amp;""[\w &amp;]*, (\d+\.\d+)""),"""")
"),"")</f>
        <v/>
      </c>
      <c r="H418" s="3"/>
      <c r="I418" s="3" t="str">
        <f aca="false">IFERROR(__xludf.dummyfunction("if($T418&lt;&gt;"""",REGEXEXTRACT(SUBSTITUTE ($T418,I$1&amp;"" CE"",""""), I$1&amp;""[\w &amp;]*, (\d+\.\d+)""),"""")
"),"")</f>
        <v/>
      </c>
      <c r="J418" s="3" t="str">
        <f aca="false">IFERROR(__xludf.dummyfunction("if($T418&lt;&gt;"""",REGEXEXTRACT($T418, J$1&amp;""[\w &amp;]*, (\d+\.\d+)""),"""")
"),"")</f>
        <v/>
      </c>
      <c r="K418" s="3"/>
      <c r="L418" s="3" t="str">
        <f aca="false">IFERROR(__xludf.dummyfunction("if($T418&lt;&gt;"""",REGEXEXTRACT(SUBSTITUTE ($T418,L$1&amp;"" CE"",""""), L$1&amp;""[\w &amp;]*, (\d+\.\d+)""),"""")
"),"")</f>
        <v/>
      </c>
      <c r="M418" s="3" t="str">
        <f aca="false">IFERROR(__xludf.dummyfunction("if($T418&lt;&gt;"""",REGEXEXTRACT($T418, M$1&amp;""[\w &amp;]*, (\d+\.\d+)""),"""")
"),"")</f>
        <v/>
      </c>
      <c r="N418" s="3" t="str">
        <f aca="false">IFERROR(__xludf.dummyfunction("if($T418&lt;&gt;"""",REGEXEXTRACT(SUBSTITUTE ($T418,N$1&amp;"" CE"",""""), N$1&amp;""[\w &amp;]*, (\d+\.\d+)""),"""")
"),"")</f>
        <v/>
      </c>
      <c r="O418" s="3" t="str">
        <f aca="false">IFERROR(__xludf.dummyfunction("if($T418&lt;&gt;"""",REGEXEXTRACT($T418, O$1&amp;""[\w &amp;]*, (\d+\.\d+)""),"""")
"),"")</f>
        <v/>
      </c>
      <c r="P418" s="2"/>
      <c r="Q418" s="2"/>
      <c r="R418" s="2"/>
      <c r="S418" s="2"/>
      <c r="T418" s="5"/>
      <c r="U418" s="5"/>
    </row>
    <row r="419" customFormat="false" ht="15.75" hidden="false" customHeight="false" outlineLevel="0" collapsed="false">
      <c r="A419" s="4"/>
      <c r="B419" s="2"/>
      <c r="C419" s="2"/>
      <c r="D419" s="2"/>
      <c r="E419" s="2"/>
      <c r="F419" s="3" t="str">
        <f aca="false">IFERROR(__xludf.dummyfunction("if($T419&lt;&gt;"""",REGEXEXTRACT(SUBSTITUTE ($T419,F$1&amp;"" CE"",""""), F$1&amp;""[\w &amp;]*, (\d+\.\d+)""),"""")
"),"")</f>
        <v/>
      </c>
      <c r="G419" s="3" t="str">
        <f aca="false">IFERROR(__xludf.dummyfunction("if($T419&lt;&gt;"""",REGEXEXTRACT($T419, G$1&amp;""[\w &amp;]*, (\d+\.\d+)""),"""")
"),"")</f>
        <v/>
      </c>
      <c r="H419" s="3"/>
      <c r="I419" s="3" t="str">
        <f aca="false">IFERROR(__xludf.dummyfunction("if($T419&lt;&gt;"""",REGEXEXTRACT(SUBSTITUTE ($T419,I$1&amp;"" CE"",""""), I$1&amp;""[\w &amp;]*, (\d+\.\d+)""),"""")
"),"")</f>
        <v/>
      </c>
      <c r="J419" s="3" t="str">
        <f aca="false">IFERROR(__xludf.dummyfunction("if($T419&lt;&gt;"""",REGEXEXTRACT($T419, J$1&amp;""[\w &amp;]*, (\d+\.\d+)""),"""")
"),"")</f>
        <v/>
      </c>
      <c r="K419" s="3"/>
      <c r="L419" s="3" t="str">
        <f aca="false">IFERROR(__xludf.dummyfunction("if($T419&lt;&gt;"""",REGEXEXTRACT(SUBSTITUTE ($T419,L$1&amp;"" CE"",""""), L$1&amp;""[\w &amp;]*, (\d+\.\d+)""),"""")
"),"")</f>
        <v/>
      </c>
      <c r="M419" s="3" t="str">
        <f aca="false">IFERROR(__xludf.dummyfunction("if($T419&lt;&gt;"""",REGEXEXTRACT($T419, M$1&amp;""[\w &amp;]*, (\d+\.\d+)""),"""")
"),"")</f>
        <v/>
      </c>
      <c r="N419" s="3" t="str">
        <f aca="false">IFERROR(__xludf.dummyfunction("if($T419&lt;&gt;"""",REGEXEXTRACT(SUBSTITUTE ($T419,N$1&amp;"" CE"",""""), N$1&amp;""[\w &amp;]*, (\d+\.\d+)""),"""")
"),"")</f>
        <v/>
      </c>
      <c r="O419" s="3" t="str">
        <f aca="false">IFERROR(__xludf.dummyfunction("if($T419&lt;&gt;"""",REGEXEXTRACT($T419, O$1&amp;""[\w &amp;]*, (\d+\.\d+)""),"""")
"),"")</f>
        <v/>
      </c>
      <c r="P419" s="2"/>
      <c r="Q419" s="2"/>
      <c r="R419" s="2"/>
      <c r="S419" s="2"/>
      <c r="T419" s="5"/>
      <c r="U419" s="5"/>
    </row>
    <row r="420" customFormat="false" ht="15.75" hidden="false" customHeight="false" outlineLevel="0" collapsed="false">
      <c r="A420" s="4"/>
      <c r="B420" s="2"/>
      <c r="C420" s="2"/>
      <c r="D420" s="2"/>
      <c r="E420" s="2"/>
      <c r="F420" s="3" t="str">
        <f aca="false">IFERROR(__xludf.dummyfunction("if($T420&lt;&gt;"""",REGEXEXTRACT(SUBSTITUTE ($T420,F$1&amp;"" CE"",""""), F$1&amp;""[\w &amp;]*, (\d+\.\d+)""),"""")
"),"")</f>
        <v/>
      </c>
      <c r="G420" s="3" t="str">
        <f aca="false">IFERROR(__xludf.dummyfunction("if($T420&lt;&gt;"""",REGEXEXTRACT($T420, G$1&amp;""[\w &amp;]*, (\d+\.\d+)""),"""")
"),"")</f>
        <v/>
      </c>
      <c r="H420" s="3"/>
      <c r="I420" s="3" t="str">
        <f aca="false">IFERROR(__xludf.dummyfunction("if($T420&lt;&gt;"""",REGEXEXTRACT(SUBSTITUTE ($T420,I$1&amp;"" CE"",""""), I$1&amp;""[\w &amp;]*, (\d+\.\d+)""),"""")
"),"")</f>
        <v/>
      </c>
      <c r="J420" s="3" t="str">
        <f aca="false">IFERROR(__xludf.dummyfunction("if($T420&lt;&gt;"""",REGEXEXTRACT($T420, J$1&amp;""[\w &amp;]*, (\d+\.\d+)""),"""")
"),"")</f>
        <v/>
      </c>
      <c r="K420" s="3"/>
      <c r="L420" s="3" t="str">
        <f aca="false">IFERROR(__xludf.dummyfunction("if($T420&lt;&gt;"""",REGEXEXTRACT(SUBSTITUTE ($T420,L$1&amp;"" CE"",""""), L$1&amp;""[\w &amp;]*, (\d+\.\d+)""),"""")
"),"")</f>
        <v/>
      </c>
      <c r="M420" s="3" t="str">
        <f aca="false">IFERROR(__xludf.dummyfunction("if($T420&lt;&gt;"""",REGEXEXTRACT($T420, M$1&amp;""[\w &amp;]*, (\d+\.\d+)""),"""")
"),"")</f>
        <v/>
      </c>
      <c r="N420" s="3" t="str">
        <f aca="false">IFERROR(__xludf.dummyfunction("if($T420&lt;&gt;"""",REGEXEXTRACT(SUBSTITUTE ($T420,N$1&amp;"" CE"",""""), N$1&amp;""[\w &amp;]*, (\d+\.\d+)""),"""")
"),"")</f>
        <v/>
      </c>
      <c r="O420" s="3" t="str">
        <f aca="false">IFERROR(__xludf.dummyfunction("if($T420&lt;&gt;"""",REGEXEXTRACT($T420, O$1&amp;""[\w &amp;]*, (\d+\.\d+)""),"""")
"),"")</f>
        <v/>
      </c>
      <c r="P420" s="2"/>
      <c r="Q420" s="2"/>
      <c r="R420" s="2"/>
      <c r="S420" s="2"/>
      <c r="T420" s="5"/>
      <c r="U420" s="5"/>
    </row>
    <row r="421" customFormat="false" ht="15.75" hidden="false" customHeight="false" outlineLevel="0" collapsed="false">
      <c r="A421" s="4"/>
      <c r="B421" s="2"/>
      <c r="C421" s="2"/>
      <c r="D421" s="2"/>
      <c r="E421" s="2"/>
      <c r="F421" s="3" t="str">
        <f aca="false">IFERROR(__xludf.dummyfunction("if($T421&lt;&gt;"""",REGEXEXTRACT(SUBSTITUTE ($T421,F$1&amp;"" CE"",""""), F$1&amp;""[\w &amp;]*, (\d+\.\d+)""),"""")
"),"")</f>
        <v/>
      </c>
      <c r="G421" s="3" t="str">
        <f aca="false">IFERROR(__xludf.dummyfunction("if($T421&lt;&gt;"""",REGEXEXTRACT($T421, G$1&amp;""[\w &amp;]*, (\d+\.\d+)""),"""")
"),"")</f>
        <v/>
      </c>
      <c r="H421" s="3"/>
      <c r="I421" s="3" t="str">
        <f aca="false">IFERROR(__xludf.dummyfunction("if($T421&lt;&gt;"""",REGEXEXTRACT(SUBSTITUTE ($T421,I$1&amp;"" CE"",""""), I$1&amp;""[\w &amp;]*, (\d+\.\d+)""),"""")
"),"")</f>
        <v/>
      </c>
      <c r="J421" s="3" t="str">
        <f aca="false">IFERROR(__xludf.dummyfunction("if($T421&lt;&gt;"""",REGEXEXTRACT($T421, J$1&amp;""[\w &amp;]*, (\d+\.\d+)""),"""")
"),"")</f>
        <v/>
      </c>
      <c r="K421" s="3"/>
      <c r="L421" s="3" t="str">
        <f aca="false">IFERROR(__xludf.dummyfunction("if($T421&lt;&gt;"""",REGEXEXTRACT(SUBSTITUTE ($T421,L$1&amp;"" CE"",""""), L$1&amp;""[\w &amp;]*, (\d+\.\d+)""),"""")
"),"")</f>
        <v/>
      </c>
      <c r="M421" s="3" t="str">
        <f aca="false">IFERROR(__xludf.dummyfunction("if($T421&lt;&gt;"""",REGEXEXTRACT($T421, M$1&amp;""[\w &amp;]*, (\d+\.\d+)""),"""")
"),"")</f>
        <v/>
      </c>
      <c r="N421" s="3" t="str">
        <f aca="false">IFERROR(__xludf.dummyfunction("if($T421&lt;&gt;"""",REGEXEXTRACT(SUBSTITUTE ($T421,N$1&amp;"" CE"",""""), N$1&amp;""[\w &amp;]*, (\d+\.\d+)""),"""")
"),"")</f>
        <v/>
      </c>
      <c r="O421" s="3" t="str">
        <f aca="false">IFERROR(__xludf.dummyfunction("if($T421&lt;&gt;"""",REGEXEXTRACT($T421, O$1&amp;""[\w &amp;]*, (\d+\.\d+)""),"""")
"),"")</f>
        <v/>
      </c>
      <c r="P421" s="2"/>
      <c r="Q421" s="2"/>
      <c r="R421" s="2"/>
      <c r="S421" s="2"/>
      <c r="T421" s="5"/>
      <c r="U421" s="5"/>
    </row>
    <row r="422" customFormat="false" ht="15.75" hidden="false" customHeight="false" outlineLevel="0" collapsed="false">
      <c r="A422" s="4"/>
      <c r="B422" s="2"/>
      <c r="C422" s="2"/>
      <c r="D422" s="2"/>
      <c r="E422" s="2"/>
      <c r="F422" s="3" t="str">
        <f aca="false">IFERROR(__xludf.dummyfunction("if($T422&lt;&gt;"""",REGEXEXTRACT(SUBSTITUTE ($T422,F$1&amp;"" CE"",""""), F$1&amp;""[\w &amp;]*, (\d+\.\d+)""),"""")
"),"")</f>
        <v/>
      </c>
      <c r="G422" s="3" t="str">
        <f aca="false">IFERROR(__xludf.dummyfunction("if($T422&lt;&gt;"""",REGEXEXTRACT($T422, G$1&amp;""[\w &amp;]*, (\d+\.\d+)""),"""")
"),"")</f>
        <v/>
      </c>
      <c r="H422" s="3"/>
      <c r="I422" s="3" t="str">
        <f aca="false">IFERROR(__xludf.dummyfunction("if($T422&lt;&gt;"""",REGEXEXTRACT(SUBSTITUTE ($T422,I$1&amp;"" CE"",""""), I$1&amp;""[\w &amp;]*, (\d+\.\d+)""),"""")
"),"")</f>
        <v/>
      </c>
      <c r="J422" s="3" t="str">
        <f aca="false">IFERROR(__xludf.dummyfunction("if($T422&lt;&gt;"""",REGEXEXTRACT($T422, J$1&amp;""[\w &amp;]*, (\d+\.\d+)""),"""")
"),"")</f>
        <v/>
      </c>
      <c r="K422" s="3"/>
      <c r="L422" s="3" t="str">
        <f aca="false">IFERROR(__xludf.dummyfunction("if($T422&lt;&gt;"""",REGEXEXTRACT(SUBSTITUTE ($T422,L$1&amp;"" CE"",""""), L$1&amp;""[\w &amp;]*, (\d+\.\d+)""),"""")
"),"")</f>
        <v/>
      </c>
      <c r="M422" s="3" t="str">
        <f aca="false">IFERROR(__xludf.dummyfunction("if($T422&lt;&gt;"""",REGEXEXTRACT($T422, M$1&amp;""[\w &amp;]*, (\d+\.\d+)""),"""")
"),"")</f>
        <v/>
      </c>
      <c r="N422" s="3" t="str">
        <f aca="false">IFERROR(__xludf.dummyfunction("if($T422&lt;&gt;"""",REGEXEXTRACT(SUBSTITUTE ($T422,N$1&amp;"" CE"",""""), N$1&amp;""[\w &amp;]*, (\d+\.\d+)""),"""")
"),"")</f>
        <v/>
      </c>
      <c r="O422" s="3" t="str">
        <f aca="false">IFERROR(__xludf.dummyfunction("if($T422&lt;&gt;"""",REGEXEXTRACT($T422, O$1&amp;""[\w &amp;]*, (\d+\.\d+)""),"""")
"),"")</f>
        <v/>
      </c>
      <c r="P422" s="2"/>
      <c r="Q422" s="2"/>
      <c r="R422" s="2"/>
      <c r="S422" s="2"/>
      <c r="T422" s="5"/>
      <c r="U422" s="5"/>
    </row>
    <row r="423" customFormat="false" ht="15.75" hidden="false" customHeight="false" outlineLevel="0" collapsed="false">
      <c r="A423" s="4"/>
      <c r="B423" s="2"/>
      <c r="C423" s="2"/>
      <c r="D423" s="2"/>
      <c r="E423" s="2"/>
      <c r="F423" s="3" t="str">
        <f aca="false">IFERROR(__xludf.dummyfunction("if($T423&lt;&gt;"""",REGEXEXTRACT(SUBSTITUTE ($T423,F$1&amp;"" CE"",""""), F$1&amp;""[\w &amp;]*, (\d+\.\d+)""),"""")
"),"")</f>
        <v/>
      </c>
      <c r="G423" s="3" t="str">
        <f aca="false">IFERROR(__xludf.dummyfunction("if($T423&lt;&gt;"""",REGEXEXTRACT($T423, G$1&amp;""[\w &amp;]*, (\d+\.\d+)""),"""")
"),"")</f>
        <v/>
      </c>
      <c r="H423" s="3"/>
      <c r="I423" s="3" t="str">
        <f aca="false">IFERROR(__xludf.dummyfunction("if($T423&lt;&gt;"""",REGEXEXTRACT(SUBSTITUTE ($T423,I$1&amp;"" CE"",""""), I$1&amp;""[\w &amp;]*, (\d+\.\d+)""),"""")
"),"")</f>
        <v/>
      </c>
      <c r="J423" s="3" t="str">
        <f aca="false">IFERROR(__xludf.dummyfunction("if($T423&lt;&gt;"""",REGEXEXTRACT($T423, J$1&amp;""[\w &amp;]*, (\d+\.\d+)""),"""")
"),"")</f>
        <v/>
      </c>
      <c r="K423" s="3"/>
      <c r="L423" s="3" t="str">
        <f aca="false">IFERROR(__xludf.dummyfunction("if($T423&lt;&gt;"""",REGEXEXTRACT(SUBSTITUTE ($T423,L$1&amp;"" CE"",""""), L$1&amp;""[\w &amp;]*, (\d+\.\d+)""),"""")
"),"")</f>
        <v/>
      </c>
      <c r="M423" s="3" t="str">
        <f aca="false">IFERROR(__xludf.dummyfunction("if($T423&lt;&gt;"""",REGEXEXTRACT($T423, M$1&amp;""[\w &amp;]*, (\d+\.\d+)""),"""")
"),"")</f>
        <v/>
      </c>
      <c r="N423" s="3" t="str">
        <f aca="false">IFERROR(__xludf.dummyfunction("if($T423&lt;&gt;"""",REGEXEXTRACT(SUBSTITUTE ($T423,N$1&amp;"" CE"",""""), N$1&amp;""[\w &amp;]*, (\d+\.\d+)""),"""")
"),"")</f>
        <v/>
      </c>
      <c r="O423" s="3" t="str">
        <f aca="false">IFERROR(__xludf.dummyfunction("if($T423&lt;&gt;"""",REGEXEXTRACT($T423, O$1&amp;""[\w &amp;]*, (\d+\.\d+)""),"""")
"),"")</f>
        <v/>
      </c>
      <c r="P423" s="2"/>
      <c r="Q423" s="2"/>
      <c r="R423" s="2"/>
      <c r="S423" s="2"/>
      <c r="T423" s="5"/>
      <c r="U423" s="5"/>
    </row>
    <row r="424" customFormat="false" ht="15.75" hidden="false" customHeight="false" outlineLevel="0" collapsed="false">
      <c r="A424" s="4"/>
      <c r="B424" s="2"/>
      <c r="C424" s="2"/>
      <c r="D424" s="2"/>
      <c r="E424" s="2"/>
      <c r="F424" s="3" t="str">
        <f aca="false">IFERROR(__xludf.dummyfunction("if($T424&lt;&gt;"""",REGEXEXTRACT(SUBSTITUTE ($T424,F$1&amp;"" CE"",""""), F$1&amp;""[\w &amp;]*, (\d+\.\d+)""),"""")
"),"")</f>
        <v/>
      </c>
      <c r="G424" s="3" t="str">
        <f aca="false">IFERROR(__xludf.dummyfunction("if($T424&lt;&gt;"""",REGEXEXTRACT($T424, G$1&amp;""[\w &amp;]*, (\d+\.\d+)""),"""")
"),"")</f>
        <v/>
      </c>
      <c r="H424" s="3"/>
      <c r="I424" s="3" t="str">
        <f aca="false">IFERROR(__xludf.dummyfunction("if($T424&lt;&gt;"""",REGEXEXTRACT(SUBSTITUTE ($T424,I$1&amp;"" CE"",""""), I$1&amp;""[\w &amp;]*, (\d+\.\d+)""),"""")
"),"")</f>
        <v/>
      </c>
      <c r="J424" s="3" t="str">
        <f aca="false">IFERROR(__xludf.dummyfunction("if($T424&lt;&gt;"""",REGEXEXTRACT($T424, J$1&amp;""[\w &amp;]*, (\d+\.\d+)""),"""")
"),"")</f>
        <v/>
      </c>
      <c r="K424" s="3"/>
      <c r="L424" s="3" t="str">
        <f aca="false">IFERROR(__xludf.dummyfunction("if($T424&lt;&gt;"""",REGEXEXTRACT(SUBSTITUTE ($T424,L$1&amp;"" CE"",""""), L$1&amp;""[\w &amp;]*, (\d+\.\d+)""),"""")
"),"")</f>
        <v/>
      </c>
      <c r="M424" s="3" t="str">
        <f aca="false">IFERROR(__xludf.dummyfunction("if($T424&lt;&gt;"""",REGEXEXTRACT($T424, M$1&amp;""[\w &amp;]*, (\d+\.\d+)""),"""")
"),"")</f>
        <v/>
      </c>
      <c r="N424" s="3" t="str">
        <f aca="false">IFERROR(__xludf.dummyfunction("if($T424&lt;&gt;"""",REGEXEXTRACT(SUBSTITUTE ($T424,N$1&amp;"" CE"",""""), N$1&amp;""[\w &amp;]*, (\d+\.\d+)""),"""")
"),"")</f>
        <v/>
      </c>
      <c r="O424" s="3" t="str">
        <f aca="false">IFERROR(__xludf.dummyfunction("if($T424&lt;&gt;"""",REGEXEXTRACT($T424, O$1&amp;""[\w &amp;]*, (\d+\.\d+)""),"""")
"),"")</f>
        <v/>
      </c>
      <c r="P424" s="2"/>
      <c r="Q424" s="2"/>
      <c r="R424" s="2"/>
      <c r="S424" s="2"/>
      <c r="T424" s="5"/>
      <c r="U424" s="5"/>
    </row>
    <row r="425" customFormat="false" ht="15.75" hidden="false" customHeight="false" outlineLevel="0" collapsed="false">
      <c r="A425" s="4"/>
      <c r="B425" s="2"/>
      <c r="C425" s="2"/>
      <c r="D425" s="2"/>
      <c r="E425" s="2"/>
      <c r="F425" s="3" t="str">
        <f aca="false">IFERROR(__xludf.dummyfunction("if($T425&lt;&gt;"""",REGEXEXTRACT(SUBSTITUTE ($T425,F$1&amp;"" CE"",""""), F$1&amp;""[\w &amp;]*, (\d+\.\d+)""),"""")
"),"")</f>
        <v/>
      </c>
      <c r="G425" s="3" t="str">
        <f aca="false">IFERROR(__xludf.dummyfunction("if($T425&lt;&gt;"""",REGEXEXTRACT($T425, G$1&amp;""[\w &amp;]*, (\d+\.\d+)""),"""")
"),"")</f>
        <v/>
      </c>
      <c r="H425" s="3"/>
      <c r="I425" s="3" t="str">
        <f aca="false">IFERROR(__xludf.dummyfunction("if($T425&lt;&gt;"""",REGEXEXTRACT(SUBSTITUTE ($T425,I$1&amp;"" CE"",""""), I$1&amp;""[\w &amp;]*, (\d+\.\d+)""),"""")
"),"")</f>
        <v/>
      </c>
      <c r="J425" s="3" t="str">
        <f aca="false">IFERROR(__xludf.dummyfunction("if($T425&lt;&gt;"""",REGEXEXTRACT($T425, J$1&amp;""[\w &amp;]*, (\d+\.\d+)""),"""")
"),"")</f>
        <v/>
      </c>
      <c r="K425" s="3"/>
      <c r="L425" s="3" t="str">
        <f aca="false">IFERROR(__xludf.dummyfunction("if($T425&lt;&gt;"""",REGEXEXTRACT(SUBSTITUTE ($T425,L$1&amp;"" CE"",""""), L$1&amp;""[\w &amp;]*, (\d+\.\d+)""),"""")
"),"")</f>
        <v/>
      </c>
      <c r="M425" s="3" t="str">
        <f aca="false">IFERROR(__xludf.dummyfunction("if($T425&lt;&gt;"""",REGEXEXTRACT($T425, M$1&amp;""[\w &amp;]*, (\d+\.\d+)""),"""")
"),"")</f>
        <v/>
      </c>
      <c r="N425" s="3" t="str">
        <f aca="false">IFERROR(__xludf.dummyfunction("if($T425&lt;&gt;"""",REGEXEXTRACT(SUBSTITUTE ($T425,N$1&amp;"" CE"",""""), N$1&amp;""[\w &amp;]*, (\d+\.\d+)""),"""")
"),"")</f>
        <v/>
      </c>
      <c r="O425" s="3" t="str">
        <f aca="false">IFERROR(__xludf.dummyfunction("if($T425&lt;&gt;"""",REGEXEXTRACT($T425, O$1&amp;""[\w &amp;]*, (\d+\.\d+)""),"""")
"),"")</f>
        <v/>
      </c>
      <c r="P425" s="2"/>
      <c r="Q425" s="2"/>
      <c r="R425" s="2"/>
      <c r="S425" s="2"/>
      <c r="T425" s="5"/>
      <c r="U425" s="5"/>
    </row>
    <row r="426" customFormat="false" ht="15.75" hidden="false" customHeight="false" outlineLevel="0" collapsed="false">
      <c r="A426" s="4"/>
      <c r="B426" s="2"/>
      <c r="C426" s="2"/>
      <c r="D426" s="2"/>
      <c r="E426" s="2"/>
      <c r="F426" s="3" t="str">
        <f aca="false">IFERROR(__xludf.dummyfunction("if($T426&lt;&gt;"""",REGEXEXTRACT(SUBSTITUTE ($T426,F$1&amp;"" CE"",""""), F$1&amp;""[\w &amp;]*, (\d+\.\d+)""),"""")
"),"")</f>
        <v/>
      </c>
      <c r="G426" s="3" t="str">
        <f aca="false">IFERROR(__xludf.dummyfunction("if($T426&lt;&gt;"""",REGEXEXTRACT($T426, G$1&amp;""[\w &amp;]*, (\d+\.\d+)""),"""")
"),"")</f>
        <v/>
      </c>
      <c r="H426" s="3"/>
      <c r="I426" s="3" t="str">
        <f aca="false">IFERROR(__xludf.dummyfunction("if($T426&lt;&gt;"""",REGEXEXTRACT(SUBSTITUTE ($T426,I$1&amp;"" CE"",""""), I$1&amp;""[\w &amp;]*, (\d+\.\d+)""),"""")
"),"")</f>
        <v/>
      </c>
      <c r="J426" s="3" t="str">
        <f aca="false">IFERROR(__xludf.dummyfunction("if($T426&lt;&gt;"""",REGEXEXTRACT($T426, J$1&amp;""[\w &amp;]*, (\d+\.\d+)""),"""")
"),"")</f>
        <v/>
      </c>
      <c r="K426" s="3"/>
      <c r="L426" s="3" t="str">
        <f aca="false">IFERROR(__xludf.dummyfunction("if($T426&lt;&gt;"""",REGEXEXTRACT(SUBSTITUTE ($T426,L$1&amp;"" CE"",""""), L$1&amp;""[\w &amp;]*, (\d+\.\d+)""),"""")
"),"")</f>
        <v/>
      </c>
      <c r="M426" s="3" t="str">
        <f aca="false">IFERROR(__xludf.dummyfunction("if($T426&lt;&gt;"""",REGEXEXTRACT($T426, M$1&amp;""[\w &amp;]*, (\d+\.\d+)""),"""")
"),"")</f>
        <v/>
      </c>
      <c r="N426" s="3" t="str">
        <f aca="false">IFERROR(__xludf.dummyfunction("if($T426&lt;&gt;"""",REGEXEXTRACT(SUBSTITUTE ($T426,N$1&amp;"" CE"",""""), N$1&amp;""[\w &amp;]*, (\d+\.\d+)""),"""")
"),"")</f>
        <v/>
      </c>
      <c r="O426" s="3" t="str">
        <f aca="false">IFERROR(__xludf.dummyfunction("if($T426&lt;&gt;"""",REGEXEXTRACT($T426, O$1&amp;""[\w &amp;]*, (\d+\.\d+)""),"""")
"),"")</f>
        <v/>
      </c>
      <c r="P426" s="2"/>
      <c r="Q426" s="2"/>
      <c r="R426" s="2"/>
      <c r="S426" s="2"/>
      <c r="T426" s="5"/>
      <c r="U426" s="5"/>
    </row>
    <row r="427" customFormat="false" ht="15.75" hidden="false" customHeight="false" outlineLevel="0" collapsed="false">
      <c r="A427" s="4"/>
      <c r="B427" s="2"/>
      <c r="C427" s="2"/>
      <c r="D427" s="2"/>
      <c r="E427" s="2"/>
      <c r="F427" s="3" t="str">
        <f aca="false">IFERROR(__xludf.dummyfunction("if($T427&lt;&gt;"""",REGEXEXTRACT(SUBSTITUTE ($T427,F$1&amp;"" CE"",""""), F$1&amp;""[\w &amp;]*, (\d+\.\d+)""),"""")
"),"")</f>
        <v/>
      </c>
      <c r="G427" s="3" t="str">
        <f aca="false">IFERROR(__xludf.dummyfunction("if($T427&lt;&gt;"""",REGEXEXTRACT($T427, G$1&amp;""[\w &amp;]*, (\d+\.\d+)""),"""")
"),"")</f>
        <v/>
      </c>
      <c r="H427" s="3"/>
      <c r="I427" s="3" t="str">
        <f aca="false">IFERROR(__xludf.dummyfunction("if($T427&lt;&gt;"""",REGEXEXTRACT(SUBSTITUTE ($T427,I$1&amp;"" CE"",""""), I$1&amp;""[\w &amp;]*, (\d+\.\d+)""),"""")
"),"")</f>
        <v/>
      </c>
      <c r="J427" s="3" t="str">
        <f aca="false">IFERROR(__xludf.dummyfunction("if($T427&lt;&gt;"""",REGEXEXTRACT($T427, J$1&amp;""[\w &amp;]*, (\d+\.\d+)""),"""")
"),"")</f>
        <v/>
      </c>
      <c r="K427" s="3"/>
      <c r="L427" s="3" t="str">
        <f aca="false">IFERROR(__xludf.dummyfunction("if($T427&lt;&gt;"""",REGEXEXTRACT(SUBSTITUTE ($T427,L$1&amp;"" CE"",""""), L$1&amp;""[\w &amp;]*, (\d+\.\d+)""),"""")
"),"")</f>
        <v/>
      </c>
      <c r="M427" s="3" t="str">
        <f aca="false">IFERROR(__xludf.dummyfunction("if($T427&lt;&gt;"""",REGEXEXTRACT($T427, M$1&amp;""[\w &amp;]*, (\d+\.\d+)""),"""")
"),"")</f>
        <v/>
      </c>
      <c r="N427" s="3" t="str">
        <f aca="false">IFERROR(__xludf.dummyfunction("if($T427&lt;&gt;"""",REGEXEXTRACT(SUBSTITUTE ($T427,N$1&amp;"" CE"",""""), N$1&amp;""[\w &amp;]*, (\d+\.\d+)""),"""")
"),"")</f>
        <v/>
      </c>
      <c r="O427" s="3" t="str">
        <f aca="false">IFERROR(__xludf.dummyfunction("if($T427&lt;&gt;"""",REGEXEXTRACT($T427, O$1&amp;""[\w &amp;]*, (\d+\.\d+)""),"""")
"),"")</f>
        <v/>
      </c>
      <c r="P427" s="2"/>
      <c r="Q427" s="2"/>
      <c r="R427" s="2"/>
      <c r="S427" s="2"/>
      <c r="T427" s="5"/>
      <c r="U427" s="5"/>
    </row>
    <row r="428" customFormat="false" ht="15.75" hidden="false" customHeight="false" outlineLevel="0" collapsed="false">
      <c r="A428" s="4"/>
      <c r="B428" s="2"/>
      <c r="C428" s="2"/>
      <c r="D428" s="2"/>
      <c r="E428" s="2"/>
      <c r="F428" s="3" t="str">
        <f aca="false">IFERROR(__xludf.dummyfunction("if($T428&lt;&gt;"""",REGEXEXTRACT(SUBSTITUTE ($T428,F$1&amp;"" CE"",""""), F$1&amp;""[\w &amp;]*, (\d+\.\d+)""),"""")
"),"")</f>
        <v/>
      </c>
      <c r="G428" s="3" t="str">
        <f aca="false">IFERROR(__xludf.dummyfunction("if($T428&lt;&gt;"""",REGEXEXTRACT($T428, G$1&amp;""[\w &amp;]*, (\d+\.\d+)""),"""")
"),"")</f>
        <v/>
      </c>
      <c r="H428" s="3"/>
      <c r="I428" s="3" t="str">
        <f aca="false">IFERROR(__xludf.dummyfunction("if($T428&lt;&gt;"""",REGEXEXTRACT(SUBSTITUTE ($T428,I$1&amp;"" CE"",""""), I$1&amp;""[\w &amp;]*, (\d+\.\d+)""),"""")
"),"")</f>
        <v/>
      </c>
      <c r="J428" s="3" t="str">
        <f aca="false">IFERROR(__xludf.dummyfunction("if($T428&lt;&gt;"""",REGEXEXTRACT($T428, J$1&amp;""[\w &amp;]*, (\d+\.\d+)""),"""")
"),"")</f>
        <v/>
      </c>
      <c r="K428" s="3"/>
      <c r="L428" s="3" t="str">
        <f aca="false">IFERROR(__xludf.dummyfunction("if($T428&lt;&gt;"""",REGEXEXTRACT(SUBSTITUTE ($T428,L$1&amp;"" CE"",""""), L$1&amp;""[\w &amp;]*, (\d+\.\d+)""),"""")
"),"")</f>
        <v/>
      </c>
      <c r="M428" s="3" t="str">
        <f aca="false">IFERROR(__xludf.dummyfunction("if($T428&lt;&gt;"""",REGEXEXTRACT($T428, M$1&amp;""[\w &amp;]*, (\d+\.\d+)""),"""")
"),"")</f>
        <v/>
      </c>
      <c r="N428" s="3" t="str">
        <f aca="false">IFERROR(__xludf.dummyfunction("if($T428&lt;&gt;"""",REGEXEXTRACT(SUBSTITUTE ($T428,N$1&amp;"" CE"",""""), N$1&amp;""[\w &amp;]*, (\d+\.\d+)""),"""")
"),"")</f>
        <v/>
      </c>
      <c r="O428" s="3" t="str">
        <f aca="false">IFERROR(__xludf.dummyfunction("if($T428&lt;&gt;"""",REGEXEXTRACT($T428, O$1&amp;""[\w &amp;]*, (\d+\.\d+)""),"""")
"),"")</f>
        <v/>
      </c>
      <c r="P428" s="2"/>
      <c r="Q428" s="2"/>
      <c r="R428" s="2"/>
      <c r="S428" s="2"/>
      <c r="T428" s="5"/>
      <c r="U428" s="5"/>
    </row>
    <row r="429" customFormat="false" ht="15.75" hidden="false" customHeight="false" outlineLevel="0" collapsed="false">
      <c r="A429" s="4"/>
      <c r="B429" s="2"/>
      <c r="C429" s="2"/>
      <c r="D429" s="2"/>
      <c r="E429" s="2"/>
      <c r="F429" s="3" t="str">
        <f aca="false">IFERROR(__xludf.dummyfunction("if($T429&lt;&gt;"""",REGEXEXTRACT(SUBSTITUTE ($T429,F$1&amp;"" CE"",""""), F$1&amp;""[\w &amp;]*, (\d+\.\d+)""),"""")
"),"")</f>
        <v/>
      </c>
      <c r="G429" s="3" t="str">
        <f aca="false">IFERROR(__xludf.dummyfunction("if($T429&lt;&gt;"""",REGEXEXTRACT($T429, G$1&amp;""[\w &amp;]*, (\d+\.\d+)""),"""")
"),"")</f>
        <v/>
      </c>
      <c r="H429" s="3"/>
      <c r="I429" s="3" t="str">
        <f aca="false">IFERROR(__xludf.dummyfunction("if($T429&lt;&gt;"""",REGEXEXTRACT(SUBSTITUTE ($T429,I$1&amp;"" CE"",""""), I$1&amp;""[\w &amp;]*, (\d+\.\d+)""),"""")
"),"")</f>
        <v/>
      </c>
      <c r="J429" s="3" t="str">
        <f aca="false">IFERROR(__xludf.dummyfunction("if($T429&lt;&gt;"""",REGEXEXTRACT($T429, J$1&amp;""[\w &amp;]*, (\d+\.\d+)""),"""")
"),"")</f>
        <v/>
      </c>
      <c r="K429" s="3"/>
      <c r="L429" s="3" t="str">
        <f aca="false">IFERROR(__xludf.dummyfunction("if($T429&lt;&gt;"""",REGEXEXTRACT(SUBSTITUTE ($T429,L$1&amp;"" CE"",""""), L$1&amp;""[\w &amp;]*, (\d+\.\d+)""),"""")
"),"")</f>
        <v/>
      </c>
      <c r="M429" s="3" t="str">
        <f aca="false">IFERROR(__xludf.dummyfunction("if($T429&lt;&gt;"""",REGEXEXTRACT($T429, M$1&amp;""[\w &amp;]*, (\d+\.\d+)""),"""")
"),"")</f>
        <v/>
      </c>
      <c r="N429" s="3" t="str">
        <f aca="false">IFERROR(__xludf.dummyfunction("if($T429&lt;&gt;"""",REGEXEXTRACT(SUBSTITUTE ($T429,N$1&amp;"" CE"",""""), N$1&amp;""[\w &amp;]*, (\d+\.\d+)""),"""")
"),"")</f>
        <v/>
      </c>
      <c r="O429" s="3" t="str">
        <f aca="false">IFERROR(__xludf.dummyfunction("if($T429&lt;&gt;"""",REGEXEXTRACT($T429, O$1&amp;""[\w &amp;]*, (\d+\.\d+)""),"""")
"),"")</f>
        <v/>
      </c>
      <c r="P429" s="2"/>
      <c r="Q429" s="2"/>
      <c r="R429" s="2"/>
      <c r="S429" s="2"/>
      <c r="T429" s="5"/>
      <c r="U429" s="5"/>
    </row>
    <row r="430" customFormat="false" ht="15.75" hidden="false" customHeight="false" outlineLevel="0" collapsed="false">
      <c r="A430" s="4"/>
      <c r="B430" s="2"/>
      <c r="C430" s="2"/>
      <c r="D430" s="2"/>
      <c r="E430" s="2"/>
      <c r="F430" s="3" t="str">
        <f aca="false">IFERROR(__xludf.dummyfunction("if($T430&lt;&gt;"""",REGEXEXTRACT(SUBSTITUTE ($T430,F$1&amp;"" CE"",""""), F$1&amp;""[\w &amp;]*, (\d+\.\d+)""),"""")
"),"")</f>
        <v/>
      </c>
      <c r="G430" s="3" t="str">
        <f aca="false">IFERROR(__xludf.dummyfunction("if($T430&lt;&gt;"""",REGEXEXTRACT($T430, G$1&amp;""[\w &amp;]*, (\d+\.\d+)""),"""")
"),"")</f>
        <v/>
      </c>
      <c r="H430" s="3"/>
      <c r="I430" s="3" t="str">
        <f aca="false">IFERROR(__xludf.dummyfunction("if($T430&lt;&gt;"""",REGEXEXTRACT(SUBSTITUTE ($T430,I$1&amp;"" CE"",""""), I$1&amp;""[\w &amp;]*, (\d+\.\d+)""),"""")
"),"")</f>
        <v/>
      </c>
      <c r="J430" s="3" t="str">
        <f aca="false">IFERROR(__xludf.dummyfunction("if($T430&lt;&gt;"""",REGEXEXTRACT($T430, J$1&amp;""[\w &amp;]*, (\d+\.\d+)""),"""")
"),"")</f>
        <v/>
      </c>
      <c r="K430" s="3"/>
      <c r="L430" s="3" t="str">
        <f aca="false">IFERROR(__xludf.dummyfunction("if($T430&lt;&gt;"""",REGEXEXTRACT(SUBSTITUTE ($T430,L$1&amp;"" CE"",""""), L$1&amp;""[\w &amp;]*, (\d+\.\d+)""),"""")
"),"")</f>
        <v/>
      </c>
      <c r="M430" s="3" t="str">
        <f aca="false">IFERROR(__xludf.dummyfunction("if($T430&lt;&gt;"""",REGEXEXTRACT($T430, M$1&amp;""[\w &amp;]*, (\d+\.\d+)""),"""")
"),"")</f>
        <v/>
      </c>
      <c r="N430" s="3" t="str">
        <f aca="false">IFERROR(__xludf.dummyfunction("if($T430&lt;&gt;"""",REGEXEXTRACT(SUBSTITUTE ($T430,N$1&amp;"" CE"",""""), N$1&amp;""[\w &amp;]*, (\d+\.\d+)""),"""")
"),"")</f>
        <v/>
      </c>
      <c r="O430" s="3" t="str">
        <f aca="false">IFERROR(__xludf.dummyfunction("if($T430&lt;&gt;"""",REGEXEXTRACT($T430, O$1&amp;""[\w &amp;]*, (\d+\.\d+)""),"""")
"),"")</f>
        <v/>
      </c>
      <c r="P430" s="2"/>
      <c r="Q430" s="2"/>
      <c r="R430" s="2"/>
      <c r="S430" s="2"/>
      <c r="T430" s="5"/>
      <c r="U430" s="5"/>
    </row>
    <row r="431" customFormat="false" ht="15.75" hidden="false" customHeight="false" outlineLevel="0" collapsed="false">
      <c r="A431" s="4"/>
      <c r="B431" s="2"/>
      <c r="C431" s="2"/>
      <c r="D431" s="2"/>
      <c r="E431" s="2"/>
      <c r="F431" s="3" t="str">
        <f aca="false">IFERROR(__xludf.dummyfunction("if($T431&lt;&gt;"""",REGEXEXTRACT(SUBSTITUTE ($T431,F$1&amp;"" CE"",""""), F$1&amp;""[\w &amp;]*, (\d+\.\d+)""),"""")
"),"")</f>
        <v/>
      </c>
      <c r="G431" s="3" t="str">
        <f aca="false">IFERROR(__xludf.dummyfunction("if($T431&lt;&gt;"""",REGEXEXTRACT($T431, G$1&amp;""[\w &amp;]*, (\d+\.\d+)""),"""")
"),"")</f>
        <v/>
      </c>
      <c r="H431" s="3"/>
      <c r="I431" s="3" t="str">
        <f aca="false">IFERROR(__xludf.dummyfunction("if($T431&lt;&gt;"""",REGEXEXTRACT(SUBSTITUTE ($T431,I$1&amp;"" CE"",""""), I$1&amp;""[\w &amp;]*, (\d+\.\d+)""),"""")
"),"")</f>
        <v/>
      </c>
      <c r="J431" s="3" t="str">
        <f aca="false">IFERROR(__xludf.dummyfunction("if($T431&lt;&gt;"""",REGEXEXTRACT($T431, J$1&amp;""[\w &amp;]*, (\d+\.\d+)""),"""")
"),"")</f>
        <v/>
      </c>
      <c r="K431" s="3"/>
      <c r="L431" s="3" t="str">
        <f aca="false">IFERROR(__xludf.dummyfunction("if($T431&lt;&gt;"""",REGEXEXTRACT(SUBSTITUTE ($T431,L$1&amp;"" CE"",""""), L$1&amp;""[\w &amp;]*, (\d+\.\d+)""),"""")
"),"")</f>
        <v/>
      </c>
      <c r="M431" s="3" t="str">
        <f aca="false">IFERROR(__xludf.dummyfunction("if($T431&lt;&gt;"""",REGEXEXTRACT($T431, M$1&amp;""[\w &amp;]*, (\d+\.\d+)""),"""")
"),"")</f>
        <v/>
      </c>
      <c r="N431" s="3" t="str">
        <f aca="false">IFERROR(__xludf.dummyfunction("if($T431&lt;&gt;"""",REGEXEXTRACT(SUBSTITUTE ($T431,N$1&amp;"" CE"",""""), N$1&amp;""[\w &amp;]*, (\d+\.\d+)""),"""")
"),"")</f>
        <v/>
      </c>
      <c r="O431" s="3" t="str">
        <f aca="false">IFERROR(__xludf.dummyfunction("if($T431&lt;&gt;"""",REGEXEXTRACT($T431, O$1&amp;""[\w &amp;]*, (\d+\.\d+)""),"""")
"),"")</f>
        <v/>
      </c>
      <c r="P431" s="2"/>
      <c r="Q431" s="2"/>
      <c r="R431" s="2"/>
      <c r="S431" s="2"/>
      <c r="T431" s="5"/>
      <c r="U431" s="5"/>
    </row>
    <row r="432" customFormat="false" ht="15.75" hidden="false" customHeight="false" outlineLevel="0" collapsed="false">
      <c r="A432" s="4"/>
      <c r="B432" s="2"/>
      <c r="C432" s="2"/>
      <c r="D432" s="2"/>
      <c r="E432" s="2"/>
      <c r="F432" s="3" t="str">
        <f aca="false">IFERROR(__xludf.dummyfunction("if($T432&lt;&gt;"""",REGEXEXTRACT(SUBSTITUTE ($T432,F$1&amp;"" CE"",""""), F$1&amp;""[\w &amp;]*, (\d+\.\d+)""),"""")
"),"")</f>
        <v/>
      </c>
      <c r="G432" s="3" t="str">
        <f aca="false">IFERROR(__xludf.dummyfunction("if($T432&lt;&gt;"""",REGEXEXTRACT($T432, G$1&amp;""[\w &amp;]*, (\d+\.\d+)""),"""")
"),"")</f>
        <v/>
      </c>
      <c r="H432" s="3"/>
      <c r="I432" s="3" t="str">
        <f aca="false">IFERROR(__xludf.dummyfunction("if($T432&lt;&gt;"""",REGEXEXTRACT(SUBSTITUTE ($T432,I$1&amp;"" CE"",""""), I$1&amp;""[\w &amp;]*, (\d+\.\d+)""),"""")
"),"")</f>
        <v/>
      </c>
      <c r="J432" s="3" t="str">
        <f aca="false">IFERROR(__xludf.dummyfunction("if($T432&lt;&gt;"""",REGEXEXTRACT($T432, J$1&amp;""[\w &amp;]*, (\d+\.\d+)""),"""")
"),"")</f>
        <v/>
      </c>
      <c r="K432" s="3"/>
      <c r="L432" s="3" t="str">
        <f aca="false">IFERROR(__xludf.dummyfunction("if($T432&lt;&gt;"""",REGEXEXTRACT(SUBSTITUTE ($T432,L$1&amp;"" CE"",""""), L$1&amp;""[\w &amp;]*, (\d+\.\d+)""),"""")
"),"")</f>
        <v/>
      </c>
      <c r="M432" s="3" t="str">
        <f aca="false">IFERROR(__xludf.dummyfunction("if($T432&lt;&gt;"""",REGEXEXTRACT($T432, M$1&amp;""[\w &amp;]*, (\d+\.\d+)""),"""")
"),"")</f>
        <v/>
      </c>
      <c r="N432" s="3" t="str">
        <f aca="false">IFERROR(__xludf.dummyfunction("if($T432&lt;&gt;"""",REGEXEXTRACT(SUBSTITUTE ($T432,N$1&amp;"" CE"",""""), N$1&amp;""[\w &amp;]*, (\d+\.\d+)""),"""")
"),"")</f>
        <v/>
      </c>
      <c r="O432" s="3" t="str">
        <f aca="false">IFERROR(__xludf.dummyfunction("if($T432&lt;&gt;"""",REGEXEXTRACT($T432, O$1&amp;""[\w &amp;]*, (\d+\.\d+)""),"""")
"),"")</f>
        <v/>
      </c>
      <c r="P432" s="2"/>
      <c r="Q432" s="2"/>
      <c r="R432" s="2"/>
      <c r="S432" s="2"/>
      <c r="T432" s="5"/>
      <c r="U432" s="5"/>
    </row>
    <row r="433" customFormat="false" ht="15.75" hidden="false" customHeight="false" outlineLevel="0" collapsed="false">
      <c r="A433" s="4"/>
      <c r="B433" s="2"/>
      <c r="C433" s="2"/>
      <c r="D433" s="2"/>
      <c r="E433" s="2"/>
      <c r="F433" s="3" t="str">
        <f aca="false">IFERROR(__xludf.dummyfunction("if($T433&lt;&gt;"""",REGEXEXTRACT(SUBSTITUTE ($T433,F$1&amp;"" CE"",""""), F$1&amp;""[\w &amp;]*, (\d+\.\d+)""),"""")
"),"")</f>
        <v/>
      </c>
      <c r="G433" s="3" t="str">
        <f aca="false">IFERROR(__xludf.dummyfunction("if($T433&lt;&gt;"""",REGEXEXTRACT($T433, G$1&amp;""[\w &amp;]*, (\d+\.\d+)""),"""")
"),"")</f>
        <v/>
      </c>
      <c r="H433" s="3"/>
      <c r="I433" s="3" t="str">
        <f aca="false">IFERROR(__xludf.dummyfunction("if($T433&lt;&gt;"""",REGEXEXTRACT(SUBSTITUTE ($T433,I$1&amp;"" CE"",""""), I$1&amp;""[\w &amp;]*, (\d+\.\d+)""),"""")
"),"")</f>
        <v/>
      </c>
      <c r="J433" s="3" t="str">
        <f aca="false">IFERROR(__xludf.dummyfunction("if($T433&lt;&gt;"""",REGEXEXTRACT($T433, J$1&amp;""[\w &amp;]*, (\d+\.\d+)""),"""")
"),"")</f>
        <v/>
      </c>
      <c r="K433" s="3"/>
      <c r="L433" s="3" t="str">
        <f aca="false">IFERROR(__xludf.dummyfunction("if($T433&lt;&gt;"""",REGEXEXTRACT(SUBSTITUTE ($T433,L$1&amp;"" CE"",""""), L$1&amp;""[\w &amp;]*, (\d+\.\d+)""),"""")
"),"")</f>
        <v/>
      </c>
      <c r="M433" s="3" t="str">
        <f aca="false">IFERROR(__xludf.dummyfunction("if($T433&lt;&gt;"""",REGEXEXTRACT($T433, M$1&amp;""[\w &amp;]*, (\d+\.\d+)""),"""")
"),"")</f>
        <v/>
      </c>
      <c r="N433" s="3" t="str">
        <f aca="false">IFERROR(__xludf.dummyfunction("if($T433&lt;&gt;"""",REGEXEXTRACT(SUBSTITUTE ($T433,N$1&amp;"" CE"",""""), N$1&amp;""[\w &amp;]*, (\d+\.\d+)""),"""")
"),"")</f>
        <v/>
      </c>
      <c r="O433" s="3" t="str">
        <f aca="false">IFERROR(__xludf.dummyfunction("if($T433&lt;&gt;"""",REGEXEXTRACT($T433, O$1&amp;""[\w &amp;]*, (\d+\.\d+)""),"""")
"),"")</f>
        <v/>
      </c>
      <c r="P433" s="2"/>
      <c r="Q433" s="2"/>
      <c r="R433" s="2"/>
      <c r="S433" s="2"/>
      <c r="T433" s="5"/>
      <c r="U433" s="5"/>
    </row>
    <row r="434" customFormat="false" ht="15.75" hidden="false" customHeight="false" outlineLevel="0" collapsed="false">
      <c r="A434" s="4"/>
      <c r="B434" s="2"/>
      <c r="C434" s="2"/>
      <c r="D434" s="2"/>
      <c r="E434" s="2"/>
      <c r="F434" s="3" t="str">
        <f aca="false">IFERROR(__xludf.dummyfunction("if($T434&lt;&gt;"""",REGEXEXTRACT(SUBSTITUTE ($T434,F$1&amp;"" CE"",""""), F$1&amp;""[\w &amp;]*, (\d+\.\d+)""),"""")
"),"")</f>
        <v/>
      </c>
      <c r="G434" s="3" t="str">
        <f aca="false">IFERROR(__xludf.dummyfunction("if($T434&lt;&gt;"""",REGEXEXTRACT($T434, G$1&amp;""[\w &amp;]*, (\d+\.\d+)""),"""")
"),"")</f>
        <v/>
      </c>
      <c r="H434" s="3"/>
      <c r="I434" s="3" t="str">
        <f aca="false">IFERROR(__xludf.dummyfunction("if($T434&lt;&gt;"""",REGEXEXTRACT(SUBSTITUTE ($T434,I$1&amp;"" CE"",""""), I$1&amp;""[\w &amp;]*, (\d+\.\d+)""),"""")
"),"")</f>
        <v/>
      </c>
      <c r="J434" s="3" t="str">
        <f aca="false">IFERROR(__xludf.dummyfunction("if($T434&lt;&gt;"""",REGEXEXTRACT($T434, J$1&amp;""[\w &amp;]*, (\d+\.\d+)""),"""")
"),"")</f>
        <v/>
      </c>
      <c r="K434" s="3"/>
      <c r="L434" s="3" t="str">
        <f aca="false">IFERROR(__xludf.dummyfunction("if($T434&lt;&gt;"""",REGEXEXTRACT(SUBSTITUTE ($T434,L$1&amp;"" CE"",""""), L$1&amp;""[\w &amp;]*, (\d+\.\d+)""),"""")
"),"")</f>
        <v/>
      </c>
      <c r="M434" s="3" t="str">
        <f aca="false">IFERROR(__xludf.dummyfunction("if($T434&lt;&gt;"""",REGEXEXTRACT($T434, M$1&amp;""[\w &amp;]*, (\d+\.\d+)""),"""")
"),"")</f>
        <v/>
      </c>
      <c r="N434" s="3" t="str">
        <f aca="false">IFERROR(__xludf.dummyfunction("if($T434&lt;&gt;"""",REGEXEXTRACT(SUBSTITUTE ($T434,N$1&amp;"" CE"",""""), N$1&amp;""[\w &amp;]*, (\d+\.\d+)""),"""")
"),"")</f>
        <v/>
      </c>
      <c r="O434" s="3" t="str">
        <f aca="false">IFERROR(__xludf.dummyfunction("if($T434&lt;&gt;"""",REGEXEXTRACT($T434, O$1&amp;""[\w &amp;]*, (\d+\.\d+)""),"""")
"),"")</f>
        <v/>
      </c>
      <c r="P434" s="2"/>
      <c r="Q434" s="2"/>
      <c r="R434" s="2"/>
      <c r="S434" s="2"/>
      <c r="T434" s="5"/>
      <c r="U434" s="5"/>
    </row>
    <row r="435" customFormat="false" ht="15.75" hidden="false" customHeight="false" outlineLevel="0" collapsed="false">
      <c r="A435" s="4"/>
      <c r="B435" s="2"/>
      <c r="C435" s="2"/>
      <c r="D435" s="2"/>
      <c r="E435" s="2"/>
      <c r="F435" s="3" t="str">
        <f aca="false">IFERROR(__xludf.dummyfunction("if($T435&lt;&gt;"""",REGEXEXTRACT(SUBSTITUTE ($T435,F$1&amp;"" CE"",""""), F$1&amp;""[\w &amp;]*, (\d+\.\d+)""),"""")
"),"")</f>
        <v/>
      </c>
      <c r="G435" s="3" t="str">
        <f aca="false">IFERROR(__xludf.dummyfunction("if($T435&lt;&gt;"""",REGEXEXTRACT($T435, G$1&amp;""[\w &amp;]*, (\d+\.\d+)""),"""")
"),"")</f>
        <v/>
      </c>
      <c r="H435" s="3"/>
      <c r="I435" s="3" t="str">
        <f aca="false">IFERROR(__xludf.dummyfunction("if($T435&lt;&gt;"""",REGEXEXTRACT(SUBSTITUTE ($T435,I$1&amp;"" CE"",""""), I$1&amp;""[\w &amp;]*, (\d+\.\d+)""),"""")
"),"")</f>
        <v/>
      </c>
      <c r="J435" s="3" t="str">
        <f aca="false">IFERROR(__xludf.dummyfunction("if($T435&lt;&gt;"""",REGEXEXTRACT($T435, J$1&amp;""[\w &amp;]*, (\d+\.\d+)""),"""")
"),"")</f>
        <v/>
      </c>
      <c r="K435" s="3"/>
      <c r="L435" s="3" t="str">
        <f aca="false">IFERROR(__xludf.dummyfunction("if($T435&lt;&gt;"""",REGEXEXTRACT(SUBSTITUTE ($T435,L$1&amp;"" CE"",""""), L$1&amp;""[\w &amp;]*, (\d+\.\d+)""),"""")
"),"")</f>
        <v/>
      </c>
      <c r="M435" s="3" t="str">
        <f aca="false">IFERROR(__xludf.dummyfunction("if($T435&lt;&gt;"""",REGEXEXTRACT($T435, M$1&amp;""[\w &amp;]*, (\d+\.\d+)""),"""")
"),"")</f>
        <v/>
      </c>
      <c r="N435" s="3" t="str">
        <f aca="false">IFERROR(__xludf.dummyfunction("if($T435&lt;&gt;"""",REGEXEXTRACT(SUBSTITUTE ($T435,N$1&amp;"" CE"",""""), N$1&amp;""[\w &amp;]*, (\d+\.\d+)""),"""")
"),"")</f>
        <v/>
      </c>
      <c r="O435" s="3" t="str">
        <f aca="false">IFERROR(__xludf.dummyfunction("if($T435&lt;&gt;"""",REGEXEXTRACT($T435, O$1&amp;""[\w &amp;]*, (\d+\.\d+)""),"""")
"),"")</f>
        <v/>
      </c>
      <c r="P435" s="2"/>
      <c r="Q435" s="2"/>
      <c r="R435" s="2"/>
      <c r="S435" s="2"/>
      <c r="T435" s="5"/>
      <c r="U435" s="5"/>
    </row>
    <row r="436" customFormat="false" ht="15.75" hidden="false" customHeight="false" outlineLevel="0" collapsed="false">
      <c r="A436" s="4"/>
      <c r="B436" s="2"/>
      <c r="C436" s="2"/>
      <c r="D436" s="2"/>
      <c r="E436" s="2"/>
      <c r="F436" s="3" t="str">
        <f aca="false">IFERROR(__xludf.dummyfunction("if($T436&lt;&gt;"""",REGEXEXTRACT(SUBSTITUTE ($T436,F$1&amp;"" CE"",""""), F$1&amp;""[\w &amp;]*, (\d+\.\d+)""),"""")
"),"")</f>
        <v/>
      </c>
      <c r="G436" s="3" t="str">
        <f aca="false">IFERROR(__xludf.dummyfunction("if($T436&lt;&gt;"""",REGEXEXTRACT($T436, G$1&amp;""[\w &amp;]*, (\d+\.\d+)""),"""")
"),"")</f>
        <v/>
      </c>
      <c r="H436" s="3"/>
      <c r="I436" s="3" t="str">
        <f aca="false">IFERROR(__xludf.dummyfunction("if($T436&lt;&gt;"""",REGEXEXTRACT(SUBSTITUTE ($T436,I$1&amp;"" CE"",""""), I$1&amp;""[\w &amp;]*, (\d+\.\d+)""),"""")
"),"")</f>
        <v/>
      </c>
      <c r="J436" s="3" t="str">
        <f aca="false">IFERROR(__xludf.dummyfunction("if($T436&lt;&gt;"""",REGEXEXTRACT($T436, J$1&amp;""[\w &amp;]*, (\d+\.\d+)""),"""")
"),"")</f>
        <v/>
      </c>
      <c r="K436" s="3"/>
      <c r="L436" s="3" t="str">
        <f aca="false">IFERROR(__xludf.dummyfunction("if($T436&lt;&gt;"""",REGEXEXTRACT(SUBSTITUTE ($T436,L$1&amp;"" CE"",""""), L$1&amp;""[\w &amp;]*, (\d+\.\d+)""),"""")
"),"")</f>
        <v/>
      </c>
      <c r="M436" s="3" t="str">
        <f aca="false">IFERROR(__xludf.dummyfunction("if($T436&lt;&gt;"""",REGEXEXTRACT($T436, M$1&amp;""[\w &amp;]*, (\d+\.\d+)""),"""")
"),"")</f>
        <v/>
      </c>
      <c r="N436" s="3" t="str">
        <f aca="false">IFERROR(__xludf.dummyfunction("if($T436&lt;&gt;"""",REGEXEXTRACT(SUBSTITUTE ($T436,N$1&amp;"" CE"",""""), N$1&amp;""[\w &amp;]*, (\d+\.\d+)""),"""")
"),"")</f>
        <v/>
      </c>
      <c r="O436" s="3" t="str">
        <f aca="false">IFERROR(__xludf.dummyfunction("if($T436&lt;&gt;"""",REGEXEXTRACT($T436, O$1&amp;""[\w &amp;]*, (\d+\.\d+)""),"""")
"),"")</f>
        <v/>
      </c>
      <c r="P436" s="2"/>
      <c r="Q436" s="2"/>
      <c r="R436" s="2"/>
      <c r="S436" s="2"/>
      <c r="T436" s="5"/>
      <c r="U436" s="5"/>
    </row>
    <row r="437" customFormat="false" ht="15.75" hidden="false" customHeight="false" outlineLevel="0" collapsed="false">
      <c r="A437" s="4"/>
      <c r="B437" s="2"/>
      <c r="C437" s="2"/>
      <c r="D437" s="2"/>
      <c r="E437" s="2"/>
      <c r="F437" s="3" t="str">
        <f aca="false">IFERROR(__xludf.dummyfunction("if($T437&lt;&gt;"""",REGEXEXTRACT(SUBSTITUTE ($T437,F$1&amp;"" CE"",""""), F$1&amp;""[\w &amp;]*, (\d+\.\d+)""),"""")
"),"")</f>
        <v/>
      </c>
      <c r="G437" s="3" t="str">
        <f aca="false">IFERROR(__xludf.dummyfunction("if($T437&lt;&gt;"""",REGEXEXTRACT($T437, G$1&amp;""[\w &amp;]*, (\d+\.\d+)""),"""")
"),"")</f>
        <v/>
      </c>
      <c r="H437" s="3"/>
      <c r="I437" s="3" t="str">
        <f aca="false">IFERROR(__xludf.dummyfunction("if($T437&lt;&gt;"""",REGEXEXTRACT(SUBSTITUTE ($T437,I$1&amp;"" CE"",""""), I$1&amp;""[\w &amp;]*, (\d+\.\d+)""),"""")
"),"")</f>
        <v/>
      </c>
      <c r="J437" s="3" t="str">
        <f aca="false">IFERROR(__xludf.dummyfunction("if($T437&lt;&gt;"""",REGEXEXTRACT($T437, J$1&amp;""[\w &amp;]*, (\d+\.\d+)""),"""")
"),"")</f>
        <v/>
      </c>
      <c r="K437" s="3"/>
      <c r="L437" s="3" t="str">
        <f aca="false">IFERROR(__xludf.dummyfunction("if($T437&lt;&gt;"""",REGEXEXTRACT(SUBSTITUTE ($T437,L$1&amp;"" CE"",""""), L$1&amp;""[\w &amp;]*, (\d+\.\d+)""),"""")
"),"")</f>
        <v/>
      </c>
      <c r="M437" s="3" t="str">
        <f aca="false">IFERROR(__xludf.dummyfunction("if($T437&lt;&gt;"""",REGEXEXTRACT($T437, M$1&amp;""[\w &amp;]*, (\d+\.\d+)""),"""")
"),"")</f>
        <v/>
      </c>
      <c r="N437" s="3" t="str">
        <f aca="false">IFERROR(__xludf.dummyfunction("if($T437&lt;&gt;"""",REGEXEXTRACT(SUBSTITUTE ($T437,N$1&amp;"" CE"",""""), N$1&amp;""[\w &amp;]*, (\d+\.\d+)""),"""")
"),"")</f>
        <v/>
      </c>
      <c r="O437" s="3" t="str">
        <f aca="false">IFERROR(__xludf.dummyfunction("if($T437&lt;&gt;"""",REGEXEXTRACT($T437, O$1&amp;""[\w &amp;]*, (\d+\.\d+)""),"""")
"),"")</f>
        <v/>
      </c>
      <c r="P437" s="2"/>
      <c r="Q437" s="2"/>
      <c r="R437" s="2"/>
      <c r="S437" s="2"/>
      <c r="T437" s="5"/>
      <c r="U437" s="5"/>
    </row>
    <row r="438" customFormat="false" ht="15.75" hidden="false" customHeight="false" outlineLevel="0" collapsed="false">
      <c r="A438" s="4"/>
      <c r="B438" s="2"/>
      <c r="C438" s="2"/>
      <c r="D438" s="2"/>
      <c r="E438" s="2"/>
      <c r="F438" s="3" t="str">
        <f aca="false">IFERROR(__xludf.dummyfunction("if($T438&lt;&gt;"""",REGEXEXTRACT(SUBSTITUTE ($T438,F$1&amp;"" CE"",""""), F$1&amp;""[\w &amp;]*, (\d+\.\d+)""),"""")
"),"")</f>
        <v/>
      </c>
      <c r="G438" s="3" t="str">
        <f aca="false">IFERROR(__xludf.dummyfunction("if($T438&lt;&gt;"""",REGEXEXTRACT($T438, G$1&amp;""[\w &amp;]*, (\d+\.\d+)""),"""")
"),"")</f>
        <v/>
      </c>
      <c r="H438" s="3"/>
      <c r="I438" s="3" t="str">
        <f aca="false">IFERROR(__xludf.dummyfunction("if($T438&lt;&gt;"""",REGEXEXTRACT(SUBSTITUTE ($T438,I$1&amp;"" CE"",""""), I$1&amp;""[\w &amp;]*, (\d+\.\d+)""),"""")
"),"")</f>
        <v/>
      </c>
      <c r="J438" s="3" t="str">
        <f aca="false">IFERROR(__xludf.dummyfunction("if($T438&lt;&gt;"""",REGEXEXTRACT($T438, J$1&amp;""[\w &amp;]*, (\d+\.\d+)""),"""")
"),"")</f>
        <v/>
      </c>
      <c r="K438" s="3"/>
      <c r="L438" s="3" t="str">
        <f aca="false">IFERROR(__xludf.dummyfunction("if($T438&lt;&gt;"""",REGEXEXTRACT(SUBSTITUTE ($T438,L$1&amp;"" CE"",""""), L$1&amp;""[\w &amp;]*, (\d+\.\d+)""),"""")
"),"")</f>
        <v/>
      </c>
      <c r="M438" s="3" t="str">
        <f aca="false">IFERROR(__xludf.dummyfunction("if($T438&lt;&gt;"""",REGEXEXTRACT($T438, M$1&amp;""[\w &amp;]*, (\d+\.\d+)""),"""")
"),"")</f>
        <v/>
      </c>
      <c r="N438" s="3" t="str">
        <f aca="false">IFERROR(__xludf.dummyfunction("if($T438&lt;&gt;"""",REGEXEXTRACT(SUBSTITUTE ($T438,N$1&amp;"" CE"",""""), N$1&amp;""[\w &amp;]*, (\d+\.\d+)""),"""")
"),"")</f>
        <v/>
      </c>
      <c r="O438" s="3" t="str">
        <f aca="false">IFERROR(__xludf.dummyfunction("if($T438&lt;&gt;"""",REGEXEXTRACT($T438, O$1&amp;""[\w &amp;]*, (\d+\.\d+)""),"""")
"),"")</f>
        <v/>
      </c>
      <c r="P438" s="2"/>
      <c r="Q438" s="2"/>
      <c r="R438" s="2"/>
      <c r="S438" s="2"/>
      <c r="T438" s="5"/>
      <c r="U438" s="5"/>
    </row>
    <row r="439" customFormat="false" ht="15.75" hidden="false" customHeight="false" outlineLevel="0" collapsed="false">
      <c r="A439" s="4"/>
      <c r="B439" s="2"/>
      <c r="C439" s="2"/>
      <c r="D439" s="2"/>
      <c r="E439" s="2"/>
      <c r="F439" s="3" t="str">
        <f aca="false">IFERROR(__xludf.dummyfunction("if($T439&lt;&gt;"""",REGEXEXTRACT(SUBSTITUTE ($T439,F$1&amp;"" CE"",""""), F$1&amp;""[\w &amp;]*, (\d+\.\d+)""),"""")
"),"")</f>
        <v/>
      </c>
      <c r="G439" s="3" t="str">
        <f aca="false">IFERROR(__xludf.dummyfunction("if($T439&lt;&gt;"""",REGEXEXTRACT($T439, G$1&amp;""[\w &amp;]*, (\d+\.\d+)""),"""")
"),"")</f>
        <v/>
      </c>
      <c r="H439" s="3"/>
      <c r="I439" s="3" t="str">
        <f aca="false">IFERROR(__xludf.dummyfunction("if($T439&lt;&gt;"""",REGEXEXTRACT(SUBSTITUTE ($T439,I$1&amp;"" CE"",""""), I$1&amp;""[\w &amp;]*, (\d+\.\d+)""),"""")
"),"")</f>
        <v/>
      </c>
      <c r="J439" s="3" t="str">
        <f aca="false">IFERROR(__xludf.dummyfunction("if($T439&lt;&gt;"""",REGEXEXTRACT($T439, J$1&amp;""[\w &amp;]*, (\d+\.\d+)""),"""")
"),"")</f>
        <v/>
      </c>
      <c r="K439" s="3"/>
      <c r="L439" s="3" t="str">
        <f aca="false">IFERROR(__xludf.dummyfunction("if($T439&lt;&gt;"""",REGEXEXTRACT(SUBSTITUTE ($T439,L$1&amp;"" CE"",""""), L$1&amp;""[\w &amp;]*, (\d+\.\d+)""),"""")
"),"")</f>
        <v/>
      </c>
      <c r="M439" s="3" t="str">
        <f aca="false">IFERROR(__xludf.dummyfunction("if($T439&lt;&gt;"""",REGEXEXTRACT($T439, M$1&amp;""[\w &amp;]*, (\d+\.\d+)""),"""")
"),"")</f>
        <v/>
      </c>
      <c r="N439" s="3" t="str">
        <f aca="false">IFERROR(__xludf.dummyfunction("if($T439&lt;&gt;"""",REGEXEXTRACT(SUBSTITUTE ($T439,N$1&amp;"" CE"",""""), N$1&amp;""[\w &amp;]*, (\d+\.\d+)""),"""")
"),"")</f>
        <v/>
      </c>
      <c r="O439" s="3" t="str">
        <f aca="false">IFERROR(__xludf.dummyfunction("if($T439&lt;&gt;"""",REGEXEXTRACT($T439, O$1&amp;""[\w &amp;]*, (\d+\.\d+)""),"""")
"),"")</f>
        <v/>
      </c>
      <c r="P439" s="2"/>
      <c r="Q439" s="2"/>
      <c r="R439" s="2"/>
      <c r="S439" s="2"/>
      <c r="T439" s="5"/>
      <c r="U439" s="5"/>
    </row>
    <row r="440" customFormat="false" ht="15.75" hidden="false" customHeight="false" outlineLevel="0" collapsed="false">
      <c r="A440" s="4"/>
      <c r="B440" s="2"/>
      <c r="C440" s="2"/>
      <c r="D440" s="2"/>
      <c r="E440" s="2"/>
      <c r="F440" s="3" t="str">
        <f aca="false">IFERROR(__xludf.dummyfunction("if($T440&lt;&gt;"""",REGEXEXTRACT(SUBSTITUTE ($T440,F$1&amp;"" CE"",""""), F$1&amp;""[\w &amp;]*, (\d+\.\d+)""),"""")
"),"")</f>
        <v/>
      </c>
      <c r="G440" s="3" t="str">
        <f aca="false">IFERROR(__xludf.dummyfunction("if($T440&lt;&gt;"""",REGEXEXTRACT($T440, G$1&amp;""[\w &amp;]*, (\d+\.\d+)""),"""")
"),"")</f>
        <v/>
      </c>
      <c r="H440" s="3"/>
      <c r="I440" s="3" t="str">
        <f aca="false">IFERROR(__xludf.dummyfunction("if($T440&lt;&gt;"""",REGEXEXTRACT(SUBSTITUTE ($T440,I$1&amp;"" CE"",""""), I$1&amp;""[\w &amp;]*, (\d+\.\d+)""),"""")
"),"")</f>
        <v/>
      </c>
      <c r="J440" s="3" t="str">
        <f aca="false">IFERROR(__xludf.dummyfunction("if($T440&lt;&gt;"""",REGEXEXTRACT($T440, J$1&amp;""[\w &amp;]*, (\d+\.\d+)""),"""")
"),"")</f>
        <v/>
      </c>
      <c r="K440" s="3"/>
      <c r="L440" s="3" t="str">
        <f aca="false">IFERROR(__xludf.dummyfunction("if($T440&lt;&gt;"""",REGEXEXTRACT(SUBSTITUTE ($T440,L$1&amp;"" CE"",""""), L$1&amp;""[\w &amp;]*, (\d+\.\d+)""),"""")
"),"")</f>
        <v/>
      </c>
      <c r="M440" s="3" t="str">
        <f aca="false">IFERROR(__xludf.dummyfunction("if($T440&lt;&gt;"""",REGEXEXTRACT($T440, M$1&amp;""[\w &amp;]*, (\d+\.\d+)""),"""")
"),"")</f>
        <v/>
      </c>
      <c r="N440" s="3" t="str">
        <f aca="false">IFERROR(__xludf.dummyfunction("if($T440&lt;&gt;"""",REGEXEXTRACT(SUBSTITUTE ($T440,N$1&amp;"" CE"",""""), N$1&amp;""[\w &amp;]*, (\d+\.\d+)""),"""")
"),"")</f>
        <v/>
      </c>
      <c r="O440" s="3" t="str">
        <f aca="false">IFERROR(__xludf.dummyfunction("if($T440&lt;&gt;"""",REGEXEXTRACT($T440, O$1&amp;""[\w &amp;]*, (\d+\.\d+)""),"""")
"),"")</f>
        <v/>
      </c>
      <c r="P440" s="2"/>
      <c r="Q440" s="2"/>
      <c r="R440" s="2"/>
      <c r="S440" s="2"/>
      <c r="T440" s="5"/>
      <c r="U440" s="5"/>
    </row>
    <row r="441" customFormat="false" ht="15.75" hidden="false" customHeight="false" outlineLevel="0" collapsed="false">
      <c r="A441" s="4"/>
      <c r="B441" s="2"/>
      <c r="C441" s="2"/>
      <c r="D441" s="2"/>
      <c r="E441" s="2"/>
      <c r="F441" s="3" t="str">
        <f aca="false">IFERROR(__xludf.dummyfunction("if($T441&lt;&gt;"""",REGEXEXTRACT(SUBSTITUTE ($T441,F$1&amp;"" CE"",""""), F$1&amp;""[\w &amp;]*, (\d+\.\d+)""),"""")
"),"")</f>
        <v/>
      </c>
      <c r="G441" s="3" t="str">
        <f aca="false">IFERROR(__xludf.dummyfunction("if($T441&lt;&gt;"""",REGEXEXTRACT($T441, G$1&amp;""[\w &amp;]*, (\d+\.\d+)""),"""")
"),"")</f>
        <v/>
      </c>
      <c r="H441" s="3"/>
      <c r="I441" s="3" t="str">
        <f aca="false">IFERROR(__xludf.dummyfunction("if($T441&lt;&gt;"""",REGEXEXTRACT(SUBSTITUTE ($T441,I$1&amp;"" CE"",""""), I$1&amp;""[\w &amp;]*, (\d+\.\d+)""),"""")
"),"")</f>
        <v/>
      </c>
      <c r="J441" s="3" t="str">
        <f aca="false">IFERROR(__xludf.dummyfunction("if($T441&lt;&gt;"""",REGEXEXTRACT($T441, J$1&amp;""[\w &amp;]*, (\d+\.\d+)""),"""")
"),"")</f>
        <v/>
      </c>
      <c r="K441" s="3"/>
      <c r="L441" s="3" t="str">
        <f aca="false">IFERROR(__xludf.dummyfunction("if($T441&lt;&gt;"""",REGEXEXTRACT(SUBSTITUTE ($T441,L$1&amp;"" CE"",""""), L$1&amp;""[\w &amp;]*, (\d+\.\d+)""),"""")
"),"")</f>
        <v/>
      </c>
      <c r="M441" s="3" t="str">
        <f aca="false">IFERROR(__xludf.dummyfunction("if($T441&lt;&gt;"""",REGEXEXTRACT($T441, M$1&amp;""[\w &amp;]*, (\d+\.\d+)""),"""")
"),"")</f>
        <v/>
      </c>
      <c r="N441" s="3" t="str">
        <f aca="false">IFERROR(__xludf.dummyfunction("if($T441&lt;&gt;"""",REGEXEXTRACT(SUBSTITUTE ($T441,N$1&amp;"" CE"",""""), N$1&amp;""[\w &amp;]*, (\d+\.\d+)""),"""")
"),"")</f>
        <v/>
      </c>
      <c r="O441" s="3" t="str">
        <f aca="false">IFERROR(__xludf.dummyfunction("if($T441&lt;&gt;"""",REGEXEXTRACT($T441, O$1&amp;""[\w &amp;]*, (\d+\.\d+)""),"""")
"),"")</f>
        <v/>
      </c>
      <c r="P441" s="2"/>
      <c r="Q441" s="2"/>
      <c r="R441" s="2"/>
      <c r="S441" s="2"/>
      <c r="T441" s="5"/>
      <c r="U441" s="5"/>
    </row>
    <row r="442" customFormat="false" ht="15.75" hidden="false" customHeight="false" outlineLevel="0" collapsed="false">
      <c r="A442" s="4"/>
      <c r="B442" s="2"/>
      <c r="C442" s="2"/>
      <c r="D442" s="2"/>
      <c r="E442" s="2"/>
      <c r="F442" s="3" t="str">
        <f aca="false">IFERROR(__xludf.dummyfunction("if($T442&lt;&gt;"""",REGEXEXTRACT(SUBSTITUTE ($T442,F$1&amp;"" CE"",""""), F$1&amp;""[\w &amp;]*, (\d+\.\d+)""),"""")
"),"")</f>
        <v/>
      </c>
      <c r="G442" s="3" t="str">
        <f aca="false">IFERROR(__xludf.dummyfunction("if($T442&lt;&gt;"""",REGEXEXTRACT($T442, G$1&amp;""[\w &amp;]*, (\d+\.\d+)""),"""")
"),"")</f>
        <v/>
      </c>
      <c r="H442" s="3"/>
      <c r="I442" s="3" t="str">
        <f aca="false">IFERROR(__xludf.dummyfunction("if($T442&lt;&gt;"""",REGEXEXTRACT(SUBSTITUTE ($T442,I$1&amp;"" CE"",""""), I$1&amp;""[\w &amp;]*, (\d+\.\d+)""),"""")
"),"")</f>
        <v/>
      </c>
      <c r="J442" s="3" t="str">
        <f aca="false">IFERROR(__xludf.dummyfunction("if($T442&lt;&gt;"""",REGEXEXTRACT($T442, J$1&amp;""[\w &amp;]*, (\d+\.\d+)""),"""")
"),"")</f>
        <v/>
      </c>
      <c r="K442" s="3"/>
      <c r="L442" s="3" t="str">
        <f aca="false">IFERROR(__xludf.dummyfunction("if($T442&lt;&gt;"""",REGEXEXTRACT(SUBSTITUTE ($T442,L$1&amp;"" CE"",""""), L$1&amp;""[\w &amp;]*, (\d+\.\d+)""),"""")
"),"")</f>
        <v/>
      </c>
      <c r="M442" s="3" t="str">
        <f aca="false">IFERROR(__xludf.dummyfunction("if($T442&lt;&gt;"""",REGEXEXTRACT($T442, M$1&amp;""[\w &amp;]*, (\d+\.\d+)""),"""")
"),"")</f>
        <v/>
      </c>
      <c r="N442" s="3" t="str">
        <f aca="false">IFERROR(__xludf.dummyfunction("if($T442&lt;&gt;"""",REGEXEXTRACT(SUBSTITUTE ($T442,N$1&amp;"" CE"",""""), N$1&amp;""[\w &amp;]*, (\d+\.\d+)""),"""")
"),"")</f>
        <v/>
      </c>
      <c r="O442" s="3" t="str">
        <f aca="false">IFERROR(__xludf.dummyfunction("if($T442&lt;&gt;"""",REGEXEXTRACT($T442, O$1&amp;""[\w &amp;]*, (\d+\.\d+)""),"""")
"),"")</f>
        <v/>
      </c>
      <c r="P442" s="2"/>
      <c r="Q442" s="2"/>
      <c r="R442" s="2"/>
      <c r="S442" s="2"/>
      <c r="T442" s="5"/>
      <c r="U442" s="5"/>
    </row>
    <row r="443" customFormat="false" ht="15.75" hidden="false" customHeight="false" outlineLevel="0" collapsed="false">
      <c r="A443" s="4"/>
      <c r="B443" s="2"/>
      <c r="C443" s="2"/>
      <c r="D443" s="2"/>
      <c r="E443" s="2"/>
      <c r="F443" s="3" t="str">
        <f aca="false">IFERROR(__xludf.dummyfunction("if($T443&lt;&gt;"""",REGEXEXTRACT(SUBSTITUTE ($T443,F$1&amp;"" CE"",""""), F$1&amp;""[\w &amp;]*, (\d+\.\d+)""),"""")
"),"")</f>
        <v/>
      </c>
      <c r="G443" s="3" t="str">
        <f aca="false">IFERROR(__xludf.dummyfunction("if($T443&lt;&gt;"""",REGEXEXTRACT($T443, G$1&amp;""[\w &amp;]*, (\d+\.\d+)""),"""")
"),"")</f>
        <v/>
      </c>
      <c r="H443" s="3"/>
      <c r="I443" s="3" t="str">
        <f aca="false">IFERROR(__xludf.dummyfunction("if($T443&lt;&gt;"""",REGEXEXTRACT(SUBSTITUTE ($T443,I$1&amp;"" CE"",""""), I$1&amp;""[\w &amp;]*, (\d+\.\d+)""),"""")
"),"")</f>
        <v/>
      </c>
      <c r="J443" s="3" t="str">
        <f aca="false">IFERROR(__xludf.dummyfunction("if($T443&lt;&gt;"""",REGEXEXTRACT($T443, J$1&amp;""[\w &amp;]*, (\d+\.\d+)""),"""")
"),"")</f>
        <v/>
      </c>
      <c r="K443" s="3"/>
      <c r="L443" s="3" t="str">
        <f aca="false">IFERROR(__xludf.dummyfunction("if($T443&lt;&gt;"""",REGEXEXTRACT(SUBSTITUTE ($T443,L$1&amp;"" CE"",""""), L$1&amp;""[\w &amp;]*, (\d+\.\d+)""),"""")
"),"")</f>
        <v/>
      </c>
      <c r="M443" s="3" t="str">
        <f aca="false">IFERROR(__xludf.dummyfunction("if($T443&lt;&gt;"""",REGEXEXTRACT($T443, M$1&amp;""[\w &amp;]*, (\d+\.\d+)""),"""")
"),"")</f>
        <v/>
      </c>
      <c r="N443" s="3" t="str">
        <f aca="false">IFERROR(__xludf.dummyfunction("if($T443&lt;&gt;"""",REGEXEXTRACT(SUBSTITUTE ($T443,N$1&amp;"" CE"",""""), N$1&amp;""[\w &amp;]*, (\d+\.\d+)""),"""")
"),"")</f>
        <v/>
      </c>
      <c r="O443" s="3" t="str">
        <f aca="false">IFERROR(__xludf.dummyfunction("if($T443&lt;&gt;"""",REGEXEXTRACT($T443, O$1&amp;""[\w &amp;]*, (\d+\.\d+)""),"""")
"),"")</f>
        <v/>
      </c>
      <c r="P443" s="2"/>
      <c r="Q443" s="2"/>
      <c r="R443" s="2"/>
      <c r="S443" s="2"/>
      <c r="T443" s="5"/>
      <c r="U443" s="5"/>
    </row>
    <row r="444" customFormat="false" ht="15.75" hidden="false" customHeight="false" outlineLevel="0" collapsed="false">
      <c r="A444" s="4"/>
      <c r="B444" s="2"/>
      <c r="C444" s="2"/>
      <c r="D444" s="2"/>
      <c r="E444" s="2"/>
      <c r="F444" s="3" t="str">
        <f aca="false">IFERROR(__xludf.dummyfunction("if($T444&lt;&gt;"""",REGEXEXTRACT(SUBSTITUTE ($T444,F$1&amp;"" CE"",""""), F$1&amp;""[\w &amp;]*, (\d+\.\d+)""),"""")
"),"")</f>
        <v/>
      </c>
      <c r="G444" s="3" t="str">
        <f aca="false">IFERROR(__xludf.dummyfunction("if($T444&lt;&gt;"""",REGEXEXTRACT($T444, G$1&amp;""[\w &amp;]*, (\d+\.\d+)""),"""")
"),"")</f>
        <v/>
      </c>
      <c r="H444" s="3"/>
      <c r="I444" s="3" t="str">
        <f aca="false">IFERROR(__xludf.dummyfunction("if($T444&lt;&gt;"""",REGEXEXTRACT(SUBSTITUTE ($T444,I$1&amp;"" CE"",""""), I$1&amp;""[\w &amp;]*, (\d+\.\d+)""),"""")
"),"")</f>
        <v/>
      </c>
      <c r="J444" s="3" t="str">
        <f aca="false">IFERROR(__xludf.dummyfunction("if($T444&lt;&gt;"""",REGEXEXTRACT($T444, J$1&amp;""[\w &amp;]*, (\d+\.\d+)""),"""")
"),"")</f>
        <v/>
      </c>
      <c r="K444" s="3"/>
      <c r="L444" s="3" t="str">
        <f aca="false">IFERROR(__xludf.dummyfunction("if($T444&lt;&gt;"""",REGEXEXTRACT(SUBSTITUTE ($T444,L$1&amp;"" CE"",""""), L$1&amp;""[\w &amp;]*, (\d+\.\d+)""),"""")
"),"")</f>
        <v/>
      </c>
      <c r="M444" s="3" t="str">
        <f aca="false">IFERROR(__xludf.dummyfunction("if($T444&lt;&gt;"""",REGEXEXTRACT($T444, M$1&amp;""[\w &amp;]*, (\d+\.\d+)""),"""")
"),"")</f>
        <v/>
      </c>
      <c r="N444" s="3" t="str">
        <f aca="false">IFERROR(__xludf.dummyfunction("if($T444&lt;&gt;"""",REGEXEXTRACT(SUBSTITUTE ($T444,N$1&amp;"" CE"",""""), N$1&amp;""[\w &amp;]*, (\d+\.\d+)""),"""")
"),"")</f>
        <v/>
      </c>
      <c r="O444" s="3" t="str">
        <f aca="false">IFERROR(__xludf.dummyfunction("if($T444&lt;&gt;"""",REGEXEXTRACT($T444, O$1&amp;""[\w &amp;]*, (\d+\.\d+)""),"""")
"),"")</f>
        <v/>
      </c>
      <c r="P444" s="2"/>
      <c r="Q444" s="2"/>
      <c r="R444" s="2"/>
      <c r="S444" s="2"/>
      <c r="T444" s="5"/>
      <c r="U444" s="5"/>
    </row>
    <row r="445" customFormat="false" ht="15.75" hidden="false" customHeight="false" outlineLevel="0" collapsed="false">
      <c r="A445" s="4"/>
      <c r="B445" s="2"/>
      <c r="C445" s="2"/>
      <c r="D445" s="2"/>
      <c r="E445" s="2"/>
      <c r="F445" s="3" t="str">
        <f aca="false">IFERROR(__xludf.dummyfunction("if($T445&lt;&gt;"""",REGEXEXTRACT(SUBSTITUTE ($T445,F$1&amp;"" CE"",""""), F$1&amp;""[\w &amp;]*, (\d+\.\d+)""),"""")
"),"")</f>
        <v/>
      </c>
      <c r="G445" s="3" t="str">
        <f aca="false">IFERROR(__xludf.dummyfunction("if($T445&lt;&gt;"""",REGEXEXTRACT($T445, G$1&amp;""[\w &amp;]*, (\d+\.\d+)""),"""")
"),"")</f>
        <v/>
      </c>
      <c r="H445" s="3"/>
      <c r="I445" s="3" t="str">
        <f aca="false">IFERROR(__xludf.dummyfunction("if($T445&lt;&gt;"""",REGEXEXTRACT(SUBSTITUTE ($T445,I$1&amp;"" CE"",""""), I$1&amp;""[\w &amp;]*, (\d+\.\d+)""),"""")
"),"")</f>
        <v/>
      </c>
      <c r="J445" s="3" t="str">
        <f aca="false">IFERROR(__xludf.dummyfunction("if($T445&lt;&gt;"""",REGEXEXTRACT($T445, J$1&amp;""[\w &amp;]*, (\d+\.\d+)""),"""")
"),"")</f>
        <v/>
      </c>
      <c r="K445" s="3"/>
      <c r="L445" s="3" t="str">
        <f aca="false">IFERROR(__xludf.dummyfunction("if($T445&lt;&gt;"""",REGEXEXTRACT(SUBSTITUTE ($T445,L$1&amp;"" CE"",""""), L$1&amp;""[\w &amp;]*, (\d+\.\d+)""),"""")
"),"")</f>
        <v/>
      </c>
      <c r="M445" s="3" t="str">
        <f aca="false">IFERROR(__xludf.dummyfunction("if($T445&lt;&gt;"""",REGEXEXTRACT($T445, M$1&amp;""[\w &amp;]*, (\d+\.\d+)""),"""")
"),"")</f>
        <v/>
      </c>
      <c r="N445" s="3" t="str">
        <f aca="false">IFERROR(__xludf.dummyfunction("if($T445&lt;&gt;"""",REGEXEXTRACT(SUBSTITUTE ($T445,N$1&amp;"" CE"",""""), N$1&amp;""[\w &amp;]*, (\d+\.\d+)""),"""")
"),"")</f>
        <v/>
      </c>
      <c r="O445" s="3" t="str">
        <f aca="false">IFERROR(__xludf.dummyfunction("if($T445&lt;&gt;"""",REGEXEXTRACT($T445, O$1&amp;""[\w &amp;]*, (\d+\.\d+)""),"""")
"),"")</f>
        <v/>
      </c>
      <c r="P445" s="2"/>
      <c r="Q445" s="2"/>
      <c r="R445" s="2"/>
      <c r="S445" s="2"/>
      <c r="T445" s="5"/>
      <c r="U445" s="5"/>
    </row>
    <row r="446" customFormat="false" ht="15.75" hidden="false" customHeight="false" outlineLevel="0" collapsed="false">
      <c r="A446" s="4"/>
      <c r="B446" s="2"/>
      <c r="C446" s="2"/>
      <c r="D446" s="2"/>
      <c r="E446" s="2"/>
      <c r="F446" s="3" t="str">
        <f aca="false">IFERROR(__xludf.dummyfunction("if($T446&lt;&gt;"""",REGEXEXTRACT(SUBSTITUTE ($T446,F$1&amp;"" CE"",""""), F$1&amp;""[\w &amp;]*, (\d+\.\d+)""),"""")
"),"")</f>
        <v/>
      </c>
      <c r="G446" s="3" t="str">
        <f aca="false">IFERROR(__xludf.dummyfunction("if($T446&lt;&gt;"""",REGEXEXTRACT($T446, G$1&amp;""[\w &amp;]*, (\d+\.\d+)""),"""")
"),"")</f>
        <v/>
      </c>
      <c r="H446" s="3"/>
      <c r="I446" s="3" t="str">
        <f aca="false">IFERROR(__xludf.dummyfunction("if($T446&lt;&gt;"""",REGEXEXTRACT(SUBSTITUTE ($T446,I$1&amp;"" CE"",""""), I$1&amp;""[\w &amp;]*, (\d+\.\d+)""),"""")
"),"")</f>
        <v/>
      </c>
      <c r="J446" s="3" t="str">
        <f aca="false">IFERROR(__xludf.dummyfunction("if($T446&lt;&gt;"""",REGEXEXTRACT($T446, J$1&amp;""[\w &amp;]*, (\d+\.\d+)""),"""")
"),"")</f>
        <v/>
      </c>
      <c r="K446" s="3"/>
      <c r="L446" s="3" t="str">
        <f aca="false">IFERROR(__xludf.dummyfunction("if($T446&lt;&gt;"""",REGEXEXTRACT(SUBSTITUTE ($T446,L$1&amp;"" CE"",""""), L$1&amp;""[\w &amp;]*, (\d+\.\d+)""),"""")
"),"")</f>
        <v/>
      </c>
      <c r="M446" s="3" t="str">
        <f aca="false">IFERROR(__xludf.dummyfunction("if($T446&lt;&gt;"""",REGEXEXTRACT($T446, M$1&amp;""[\w &amp;]*, (\d+\.\d+)""),"""")
"),"")</f>
        <v/>
      </c>
      <c r="N446" s="3" t="str">
        <f aca="false">IFERROR(__xludf.dummyfunction("if($T446&lt;&gt;"""",REGEXEXTRACT(SUBSTITUTE ($T446,N$1&amp;"" CE"",""""), N$1&amp;""[\w &amp;]*, (\d+\.\d+)""),"""")
"),"")</f>
        <v/>
      </c>
      <c r="O446" s="3" t="str">
        <f aca="false">IFERROR(__xludf.dummyfunction("if($T446&lt;&gt;"""",REGEXEXTRACT($T446, O$1&amp;""[\w &amp;]*, (\d+\.\d+)""),"""")
"),"")</f>
        <v/>
      </c>
      <c r="P446" s="2"/>
      <c r="Q446" s="2"/>
      <c r="R446" s="2"/>
      <c r="S446" s="2"/>
      <c r="T446" s="5"/>
      <c r="U446" s="5"/>
    </row>
    <row r="447" customFormat="false" ht="15.75" hidden="false" customHeight="false" outlineLevel="0" collapsed="false">
      <c r="A447" s="4"/>
      <c r="B447" s="2"/>
      <c r="C447" s="2"/>
      <c r="D447" s="2"/>
      <c r="E447" s="2"/>
      <c r="F447" s="3" t="str">
        <f aca="false">IFERROR(__xludf.dummyfunction("if($T447&lt;&gt;"""",REGEXEXTRACT(SUBSTITUTE ($T447,F$1&amp;"" CE"",""""), F$1&amp;""[\w &amp;]*, (\d+\.\d+)""),"""")
"),"")</f>
        <v/>
      </c>
      <c r="G447" s="3" t="str">
        <f aca="false">IFERROR(__xludf.dummyfunction("if($T447&lt;&gt;"""",REGEXEXTRACT($T447, G$1&amp;""[\w &amp;]*, (\d+\.\d+)""),"""")
"),"")</f>
        <v/>
      </c>
      <c r="H447" s="3"/>
      <c r="I447" s="3" t="str">
        <f aca="false">IFERROR(__xludf.dummyfunction("if($T447&lt;&gt;"""",REGEXEXTRACT(SUBSTITUTE ($T447,I$1&amp;"" CE"",""""), I$1&amp;""[\w &amp;]*, (\d+\.\d+)""),"""")
"),"")</f>
        <v/>
      </c>
      <c r="J447" s="3" t="str">
        <f aca="false">IFERROR(__xludf.dummyfunction("if($T447&lt;&gt;"""",REGEXEXTRACT($T447, J$1&amp;""[\w &amp;]*, (\d+\.\d+)""),"""")
"),"")</f>
        <v/>
      </c>
      <c r="K447" s="3"/>
      <c r="L447" s="3" t="str">
        <f aca="false">IFERROR(__xludf.dummyfunction("if($T447&lt;&gt;"""",REGEXEXTRACT(SUBSTITUTE ($T447,L$1&amp;"" CE"",""""), L$1&amp;""[\w &amp;]*, (\d+\.\d+)""),"""")
"),"")</f>
        <v/>
      </c>
      <c r="M447" s="3" t="str">
        <f aca="false">IFERROR(__xludf.dummyfunction("if($T447&lt;&gt;"""",REGEXEXTRACT($T447, M$1&amp;""[\w &amp;]*, (\d+\.\d+)""),"""")
"),"")</f>
        <v/>
      </c>
      <c r="N447" s="3" t="str">
        <f aca="false">IFERROR(__xludf.dummyfunction("if($T447&lt;&gt;"""",REGEXEXTRACT(SUBSTITUTE ($T447,N$1&amp;"" CE"",""""), N$1&amp;""[\w &amp;]*, (\d+\.\d+)""),"""")
"),"")</f>
        <v/>
      </c>
      <c r="O447" s="3" t="str">
        <f aca="false">IFERROR(__xludf.dummyfunction("if($T447&lt;&gt;"""",REGEXEXTRACT($T447, O$1&amp;""[\w &amp;]*, (\d+\.\d+)""),"""")
"),"")</f>
        <v/>
      </c>
      <c r="P447" s="2"/>
      <c r="Q447" s="2"/>
      <c r="R447" s="2"/>
      <c r="S447" s="2"/>
      <c r="T447" s="5"/>
      <c r="U447" s="5"/>
    </row>
    <row r="448" customFormat="false" ht="15.75" hidden="false" customHeight="false" outlineLevel="0" collapsed="false">
      <c r="A448" s="4"/>
      <c r="B448" s="2"/>
      <c r="C448" s="2"/>
      <c r="D448" s="2"/>
      <c r="E448" s="2"/>
      <c r="F448" s="3" t="str">
        <f aca="false">IFERROR(__xludf.dummyfunction("if($T448&lt;&gt;"""",REGEXEXTRACT(SUBSTITUTE ($T448,F$1&amp;"" CE"",""""), F$1&amp;""[\w &amp;]*, (\d+\.\d+)""),"""")
"),"")</f>
        <v/>
      </c>
      <c r="G448" s="3" t="str">
        <f aca="false">IFERROR(__xludf.dummyfunction("if($T448&lt;&gt;"""",REGEXEXTRACT($T448, G$1&amp;""[\w &amp;]*, (\d+\.\d+)""),"""")
"),"")</f>
        <v/>
      </c>
      <c r="H448" s="3"/>
      <c r="I448" s="3" t="str">
        <f aca="false">IFERROR(__xludf.dummyfunction("if($T448&lt;&gt;"""",REGEXEXTRACT(SUBSTITUTE ($T448,I$1&amp;"" CE"",""""), I$1&amp;""[\w &amp;]*, (\d+\.\d+)""),"""")
"),"")</f>
        <v/>
      </c>
      <c r="J448" s="3" t="str">
        <f aca="false">IFERROR(__xludf.dummyfunction("if($T448&lt;&gt;"""",REGEXEXTRACT($T448, J$1&amp;""[\w &amp;]*, (\d+\.\d+)""),"""")
"),"")</f>
        <v/>
      </c>
      <c r="K448" s="3"/>
      <c r="L448" s="3" t="str">
        <f aca="false">IFERROR(__xludf.dummyfunction("if($T448&lt;&gt;"""",REGEXEXTRACT(SUBSTITUTE ($T448,L$1&amp;"" CE"",""""), L$1&amp;""[\w &amp;]*, (\d+\.\d+)""),"""")
"),"")</f>
        <v/>
      </c>
      <c r="M448" s="3" t="str">
        <f aca="false">IFERROR(__xludf.dummyfunction("if($T448&lt;&gt;"""",REGEXEXTRACT($T448, M$1&amp;""[\w &amp;]*, (\d+\.\d+)""),"""")
"),"")</f>
        <v/>
      </c>
      <c r="N448" s="3" t="str">
        <f aca="false">IFERROR(__xludf.dummyfunction("if($T448&lt;&gt;"""",REGEXEXTRACT(SUBSTITUTE ($T448,N$1&amp;"" CE"",""""), N$1&amp;""[\w &amp;]*, (\d+\.\d+)""),"""")
"),"")</f>
        <v/>
      </c>
      <c r="O448" s="3" t="str">
        <f aca="false">IFERROR(__xludf.dummyfunction("if($T448&lt;&gt;"""",REGEXEXTRACT($T448, O$1&amp;""[\w &amp;]*, (\d+\.\d+)""),"""")
"),"")</f>
        <v/>
      </c>
      <c r="P448" s="2"/>
      <c r="Q448" s="2"/>
      <c r="R448" s="2"/>
      <c r="S448" s="2"/>
      <c r="T448" s="5"/>
      <c r="U448" s="5"/>
    </row>
    <row r="449" customFormat="false" ht="15.75" hidden="false" customHeight="false" outlineLevel="0" collapsed="false">
      <c r="A449" s="4"/>
      <c r="B449" s="2"/>
      <c r="C449" s="2"/>
      <c r="D449" s="2"/>
      <c r="E449" s="2"/>
      <c r="F449" s="3" t="str">
        <f aca="false">IFERROR(__xludf.dummyfunction("if($T449&lt;&gt;"""",REGEXEXTRACT(SUBSTITUTE ($T449,F$1&amp;"" CE"",""""), F$1&amp;""[\w &amp;]*, (\d+\.\d+)""),"""")
"),"")</f>
        <v/>
      </c>
      <c r="G449" s="3" t="str">
        <f aca="false">IFERROR(__xludf.dummyfunction("if($T449&lt;&gt;"""",REGEXEXTRACT($T449, G$1&amp;""[\w &amp;]*, (\d+\.\d+)""),"""")
"),"")</f>
        <v/>
      </c>
      <c r="H449" s="3"/>
      <c r="I449" s="3" t="str">
        <f aca="false">IFERROR(__xludf.dummyfunction("if($T449&lt;&gt;"""",REGEXEXTRACT(SUBSTITUTE ($T449,I$1&amp;"" CE"",""""), I$1&amp;""[\w &amp;]*, (\d+\.\d+)""),"""")
"),"")</f>
        <v/>
      </c>
      <c r="J449" s="3" t="str">
        <f aca="false">IFERROR(__xludf.dummyfunction("if($T449&lt;&gt;"""",REGEXEXTRACT($T449, J$1&amp;""[\w &amp;]*, (\d+\.\d+)""),"""")
"),"")</f>
        <v/>
      </c>
      <c r="K449" s="3"/>
      <c r="L449" s="3" t="str">
        <f aca="false">IFERROR(__xludf.dummyfunction("if($T449&lt;&gt;"""",REGEXEXTRACT(SUBSTITUTE ($T449,L$1&amp;"" CE"",""""), L$1&amp;""[\w &amp;]*, (\d+\.\d+)""),"""")
"),"")</f>
        <v/>
      </c>
      <c r="M449" s="3" t="str">
        <f aca="false">IFERROR(__xludf.dummyfunction("if($T449&lt;&gt;"""",REGEXEXTRACT($T449, M$1&amp;""[\w &amp;]*, (\d+\.\d+)""),"""")
"),"")</f>
        <v/>
      </c>
      <c r="N449" s="3" t="str">
        <f aca="false">IFERROR(__xludf.dummyfunction("if($T449&lt;&gt;"""",REGEXEXTRACT(SUBSTITUTE ($T449,N$1&amp;"" CE"",""""), N$1&amp;""[\w &amp;]*, (\d+\.\d+)""),"""")
"),"")</f>
        <v/>
      </c>
      <c r="O449" s="3" t="str">
        <f aca="false">IFERROR(__xludf.dummyfunction("if($T449&lt;&gt;"""",REGEXEXTRACT($T449, O$1&amp;""[\w &amp;]*, (\d+\.\d+)""),"""")
"),"")</f>
        <v/>
      </c>
      <c r="P449" s="2"/>
      <c r="Q449" s="2"/>
      <c r="R449" s="2"/>
      <c r="S449" s="2"/>
      <c r="T449" s="5"/>
      <c r="U449" s="5"/>
    </row>
    <row r="450" customFormat="false" ht="15.75" hidden="false" customHeight="false" outlineLevel="0" collapsed="false">
      <c r="A450" s="4"/>
      <c r="B450" s="2"/>
      <c r="C450" s="2"/>
      <c r="D450" s="2"/>
      <c r="E450" s="2"/>
      <c r="F450" s="3" t="str">
        <f aca="false">IFERROR(__xludf.dummyfunction("if($T450&lt;&gt;"""",REGEXEXTRACT(SUBSTITUTE ($T450,F$1&amp;"" CE"",""""), F$1&amp;""[\w &amp;]*, (\d+\.\d+)""),"""")
"),"")</f>
        <v/>
      </c>
      <c r="G450" s="3" t="str">
        <f aca="false">IFERROR(__xludf.dummyfunction("if($T450&lt;&gt;"""",REGEXEXTRACT($T450, G$1&amp;""[\w &amp;]*, (\d+\.\d+)""),"""")
"),"")</f>
        <v/>
      </c>
      <c r="H450" s="3"/>
      <c r="I450" s="3" t="str">
        <f aca="false">IFERROR(__xludf.dummyfunction("if($T450&lt;&gt;"""",REGEXEXTRACT(SUBSTITUTE ($T450,I$1&amp;"" CE"",""""), I$1&amp;""[\w &amp;]*, (\d+\.\d+)""),"""")
"),"")</f>
        <v/>
      </c>
      <c r="J450" s="3" t="str">
        <f aca="false">IFERROR(__xludf.dummyfunction("if($T450&lt;&gt;"""",REGEXEXTRACT($T450, J$1&amp;""[\w &amp;]*, (\d+\.\d+)""),"""")
"),"")</f>
        <v/>
      </c>
      <c r="K450" s="3"/>
      <c r="L450" s="3" t="str">
        <f aca="false">IFERROR(__xludf.dummyfunction("if($T450&lt;&gt;"""",REGEXEXTRACT(SUBSTITUTE ($T450,L$1&amp;"" CE"",""""), L$1&amp;""[\w &amp;]*, (\d+\.\d+)""),"""")
"),"")</f>
        <v/>
      </c>
      <c r="M450" s="3" t="str">
        <f aca="false">IFERROR(__xludf.dummyfunction("if($T450&lt;&gt;"""",REGEXEXTRACT($T450, M$1&amp;""[\w &amp;]*, (\d+\.\d+)""),"""")
"),"")</f>
        <v/>
      </c>
      <c r="N450" s="3" t="str">
        <f aca="false">IFERROR(__xludf.dummyfunction("if($T450&lt;&gt;"""",REGEXEXTRACT(SUBSTITUTE ($T450,N$1&amp;"" CE"",""""), N$1&amp;""[\w &amp;]*, (\d+\.\d+)""),"""")
"),"")</f>
        <v/>
      </c>
      <c r="O450" s="3" t="str">
        <f aca="false">IFERROR(__xludf.dummyfunction("if($T450&lt;&gt;"""",REGEXEXTRACT($T450, O$1&amp;""[\w &amp;]*, (\d+\.\d+)""),"""")
"),"")</f>
        <v/>
      </c>
      <c r="P450" s="2"/>
      <c r="Q450" s="2"/>
      <c r="R450" s="2"/>
      <c r="S450" s="2"/>
      <c r="T450" s="5"/>
      <c r="U450" s="5"/>
    </row>
    <row r="451" customFormat="false" ht="15.75" hidden="false" customHeight="false" outlineLevel="0" collapsed="false">
      <c r="A451" s="4"/>
      <c r="B451" s="2"/>
      <c r="C451" s="2"/>
      <c r="D451" s="2"/>
      <c r="E451" s="2"/>
      <c r="F451" s="3" t="str">
        <f aca="false">IFERROR(__xludf.dummyfunction("if($T451&lt;&gt;"""",REGEXEXTRACT(SUBSTITUTE ($T451,F$1&amp;"" CE"",""""), F$1&amp;""[\w &amp;]*, (\d+\.\d+)""),"""")
"),"")</f>
        <v/>
      </c>
      <c r="G451" s="3" t="str">
        <f aca="false">IFERROR(__xludf.dummyfunction("if($T451&lt;&gt;"""",REGEXEXTRACT($T451, G$1&amp;""[\w &amp;]*, (\d+\.\d+)""),"""")
"),"")</f>
        <v/>
      </c>
      <c r="H451" s="3"/>
      <c r="I451" s="3" t="str">
        <f aca="false">IFERROR(__xludf.dummyfunction("if($T451&lt;&gt;"""",REGEXEXTRACT(SUBSTITUTE ($T451,I$1&amp;"" CE"",""""), I$1&amp;""[\w &amp;]*, (\d+\.\d+)""),"""")
"),"")</f>
        <v/>
      </c>
      <c r="J451" s="3" t="str">
        <f aca="false">IFERROR(__xludf.dummyfunction("if($T451&lt;&gt;"""",REGEXEXTRACT($T451, J$1&amp;""[\w &amp;]*, (\d+\.\d+)""),"""")
"),"")</f>
        <v/>
      </c>
      <c r="K451" s="3"/>
      <c r="L451" s="3" t="str">
        <f aca="false">IFERROR(__xludf.dummyfunction("if($T451&lt;&gt;"""",REGEXEXTRACT(SUBSTITUTE ($T451,L$1&amp;"" CE"",""""), L$1&amp;""[\w &amp;]*, (\d+\.\d+)""),"""")
"),"")</f>
        <v/>
      </c>
      <c r="M451" s="3" t="str">
        <f aca="false">IFERROR(__xludf.dummyfunction("if($T451&lt;&gt;"""",REGEXEXTRACT($T451, M$1&amp;""[\w &amp;]*, (\d+\.\d+)""),"""")
"),"")</f>
        <v/>
      </c>
      <c r="N451" s="3" t="str">
        <f aca="false">IFERROR(__xludf.dummyfunction("if($T451&lt;&gt;"""",REGEXEXTRACT(SUBSTITUTE ($T451,N$1&amp;"" CE"",""""), N$1&amp;""[\w &amp;]*, (\d+\.\d+)""),"""")
"),"")</f>
        <v/>
      </c>
      <c r="O451" s="3" t="str">
        <f aca="false">IFERROR(__xludf.dummyfunction("if($T451&lt;&gt;"""",REGEXEXTRACT($T451, O$1&amp;""[\w &amp;]*, (\d+\.\d+)""),"""")
"),"")</f>
        <v/>
      </c>
      <c r="P451" s="2"/>
      <c r="Q451" s="2"/>
      <c r="R451" s="2"/>
      <c r="S451" s="2"/>
      <c r="T451" s="5"/>
      <c r="U451" s="5"/>
    </row>
    <row r="452" customFormat="false" ht="15.75" hidden="false" customHeight="false" outlineLevel="0" collapsed="false">
      <c r="A452" s="4"/>
      <c r="B452" s="2"/>
      <c r="C452" s="2"/>
      <c r="D452" s="2"/>
      <c r="E452" s="2"/>
      <c r="F452" s="3" t="str">
        <f aca="false">IFERROR(__xludf.dummyfunction("if($T452&lt;&gt;"""",REGEXEXTRACT(SUBSTITUTE ($T452,F$1&amp;"" CE"",""""), F$1&amp;""[\w &amp;]*, (\d+\.\d+)""),"""")
"),"")</f>
        <v/>
      </c>
      <c r="G452" s="3" t="str">
        <f aca="false">IFERROR(__xludf.dummyfunction("if($T452&lt;&gt;"""",REGEXEXTRACT($T452, G$1&amp;""[\w &amp;]*, (\d+\.\d+)""),"""")
"),"")</f>
        <v/>
      </c>
      <c r="H452" s="3"/>
      <c r="I452" s="3" t="str">
        <f aca="false">IFERROR(__xludf.dummyfunction("if($T452&lt;&gt;"""",REGEXEXTRACT(SUBSTITUTE ($T452,I$1&amp;"" CE"",""""), I$1&amp;""[\w &amp;]*, (\d+\.\d+)""),"""")
"),"")</f>
        <v/>
      </c>
      <c r="J452" s="3" t="str">
        <f aca="false">IFERROR(__xludf.dummyfunction("if($T452&lt;&gt;"""",REGEXEXTRACT($T452, J$1&amp;""[\w &amp;]*, (\d+\.\d+)""),"""")
"),"")</f>
        <v/>
      </c>
      <c r="K452" s="3"/>
      <c r="L452" s="3" t="str">
        <f aca="false">IFERROR(__xludf.dummyfunction("if($T452&lt;&gt;"""",REGEXEXTRACT(SUBSTITUTE ($T452,L$1&amp;"" CE"",""""), L$1&amp;""[\w &amp;]*, (\d+\.\d+)""),"""")
"),"")</f>
        <v/>
      </c>
      <c r="M452" s="3" t="str">
        <f aca="false">IFERROR(__xludf.dummyfunction("if($T452&lt;&gt;"""",REGEXEXTRACT($T452, M$1&amp;""[\w &amp;]*, (\d+\.\d+)""),"""")
"),"")</f>
        <v/>
      </c>
      <c r="N452" s="3" t="str">
        <f aca="false">IFERROR(__xludf.dummyfunction("if($T452&lt;&gt;"""",REGEXEXTRACT(SUBSTITUTE ($T452,N$1&amp;"" CE"",""""), N$1&amp;""[\w &amp;]*, (\d+\.\d+)""),"""")
"),"")</f>
        <v/>
      </c>
      <c r="O452" s="3" t="str">
        <f aca="false">IFERROR(__xludf.dummyfunction("if($T452&lt;&gt;"""",REGEXEXTRACT($T452, O$1&amp;""[\w &amp;]*, (\d+\.\d+)""),"""")
"),"")</f>
        <v/>
      </c>
      <c r="P452" s="2"/>
      <c r="Q452" s="2"/>
      <c r="R452" s="2"/>
      <c r="S452" s="2"/>
      <c r="T452" s="5"/>
      <c r="U452" s="5"/>
    </row>
    <row r="453" customFormat="false" ht="15.75" hidden="false" customHeight="false" outlineLevel="0" collapsed="false">
      <c r="A453" s="4"/>
      <c r="B453" s="2"/>
      <c r="C453" s="2"/>
      <c r="D453" s="2"/>
      <c r="E453" s="2"/>
      <c r="F453" s="3" t="str">
        <f aca="false">IFERROR(__xludf.dummyfunction("if($T453&lt;&gt;"""",REGEXEXTRACT(SUBSTITUTE ($T453,F$1&amp;"" CE"",""""), F$1&amp;""[\w &amp;]*, (\d+\.\d+)""),"""")
"),"")</f>
        <v/>
      </c>
      <c r="G453" s="3" t="str">
        <f aca="false">IFERROR(__xludf.dummyfunction("if($T453&lt;&gt;"""",REGEXEXTRACT($T453, G$1&amp;""[\w &amp;]*, (\d+\.\d+)""),"""")
"),"")</f>
        <v/>
      </c>
      <c r="H453" s="3"/>
      <c r="I453" s="3" t="str">
        <f aca="false">IFERROR(__xludf.dummyfunction("if($T453&lt;&gt;"""",REGEXEXTRACT(SUBSTITUTE ($T453,I$1&amp;"" CE"",""""), I$1&amp;""[\w &amp;]*, (\d+\.\d+)""),"""")
"),"")</f>
        <v/>
      </c>
      <c r="J453" s="3" t="str">
        <f aca="false">IFERROR(__xludf.dummyfunction("if($T453&lt;&gt;"""",REGEXEXTRACT($T453, J$1&amp;""[\w &amp;]*, (\d+\.\d+)""),"""")
"),"")</f>
        <v/>
      </c>
      <c r="K453" s="3"/>
      <c r="L453" s="3" t="str">
        <f aca="false">IFERROR(__xludf.dummyfunction("if($T453&lt;&gt;"""",REGEXEXTRACT(SUBSTITUTE ($T453,L$1&amp;"" CE"",""""), L$1&amp;""[\w &amp;]*, (\d+\.\d+)""),"""")
"),"")</f>
        <v/>
      </c>
      <c r="M453" s="3" t="str">
        <f aca="false">IFERROR(__xludf.dummyfunction("if($T453&lt;&gt;"""",REGEXEXTRACT($T453, M$1&amp;""[\w &amp;]*, (\d+\.\d+)""),"""")
"),"")</f>
        <v/>
      </c>
      <c r="N453" s="3" t="str">
        <f aca="false">IFERROR(__xludf.dummyfunction("if($T453&lt;&gt;"""",REGEXEXTRACT(SUBSTITUTE ($T453,N$1&amp;"" CE"",""""), N$1&amp;""[\w &amp;]*, (\d+\.\d+)""),"""")
"),"")</f>
        <v/>
      </c>
      <c r="O453" s="3" t="str">
        <f aca="false">IFERROR(__xludf.dummyfunction("if($T453&lt;&gt;"""",REGEXEXTRACT($T453, O$1&amp;""[\w &amp;]*, (\d+\.\d+)""),"""")
"),"")</f>
        <v/>
      </c>
      <c r="P453" s="2"/>
      <c r="Q453" s="2"/>
      <c r="R453" s="2"/>
      <c r="S453" s="2"/>
      <c r="T453" s="5"/>
      <c r="U453" s="5"/>
    </row>
    <row r="454" customFormat="false" ht="15.75" hidden="false" customHeight="false" outlineLevel="0" collapsed="false">
      <c r="A454" s="4"/>
      <c r="B454" s="2"/>
      <c r="C454" s="2"/>
      <c r="D454" s="2"/>
      <c r="E454" s="2"/>
      <c r="F454" s="3" t="str">
        <f aca="false">IFERROR(__xludf.dummyfunction("if($T454&lt;&gt;"""",REGEXEXTRACT(SUBSTITUTE ($T454,F$1&amp;"" CE"",""""), F$1&amp;""[\w &amp;]*, (\d+\.\d+)""),"""")
"),"")</f>
        <v/>
      </c>
      <c r="G454" s="3" t="str">
        <f aca="false">IFERROR(__xludf.dummyfunction("if($T454&lt;&gt;"""",REGEXEXTRACT($T454, G$1&amp;""[\w &amp;]*, (\d+\.\d+)""),"""")
"),"")</f>
        <v/>
      </c>
      <c r="H454" s="3"/>
      <c r="I454" s="3" t="str">
        <f aca="false">IFERROR(__xludf.dummyfunction("if($T454&lt;&gt;"""",REGEXEXTRACT(SUBSTITUTE ($T454,I$1&amp;"" CE"",""""), I$1&amp;""[\w &amp;]*, (\d+\.\d+)""),"""")
"),"")</f>
        <v/>
      </c>
      <c r="J454" s="3" t="str">
        <f aca="false">IFERROR(__xludf.dummyfunction("if($T454&lt;&gt;"""",REGEXEXTRACT($T454, J$1&amp;""[\w &amp;]*, (\d+\.\d+)""),"""")
"),"")</f>
        <v/>
      </c>
      <c r="K454" s="3"/>
      <c r="L454" s="3" t="str">
        <f aca="false">IFERROR(__xludf.dummyfunction("if($T454&lt;&gt;"""",REGEXEXTRACT(SUBSTITUTE ($T454,L$1&amp;"" CE"",""""), L$1&amp;""[\w &amp;]*, (\d+\.\d+)""),"""")
"),"")</f>
        <v/>
      </c>
      <c r="M454" s="3" t="str">
        <f aca="false">IFERROR(__xludf.dummyfunction("if($T454&lt;&gt;"""",REGEXEXTRACT($T454, M$1&amp;""[\w &amp;]*, (\d+\.\d+)""),"""")
"),"")</f>
        <v/>
      </c>
      <c r="N454" s="3" t="str">
        <f aca="false">IFERROR(__xludf.dummyfunction("if($T454&lt;&gt;"""",REGEXEXTRACT(SUBSTITUTE ($T454,N$1&amp;"" CE"",""""), N$1&amp;""[\w &amp;]*, (\d+\.\d+)""),"""")
"),"")</f>
        <v/>
      </c>
      <c r="O454" s="3" t="str">
        <f aca="false">IFERROR(__xludf.dummyfunction("if($T454&lt;&gt;"""",REGEXEXTRACT($T454, O$1&amp;""[\w &amp;]*, (\d+\.\d+)""),"""")
"),"")</f>
        <v/>
      </c>
      <c r="P454" s="2"/>
      <c r="Q454" s="2"/>
      <c r="R454" s="2"/>
      <c r="S454" s="2"/>
      <c r="T454" s="5"/>
      <c r="U454" s="5"/>
    </row>
    <row r="455" customFormat="false" ht="15.75" hidden="false" customHeight="false" outlineLevel="0" collapsed="false">
      <c r="A455" s="4"/>
      <c r="B455" s="2"/>
      <c r="C455" s="2"/>
      <c r="D455" s="2"/>
      <c r="E455" s="2"/>
      <c r="F455" s="3" t="str">
        <f aca="false">IFERROR(__xludf.dummyfunction("if($T455&lt;&gt;"""",REGEXEXTRACT(SUBSTITUTE ($T455,F$1&amp;"" CE"",""""), F$1&amp;""[\w &amp;]*, (\d+\.\d+)""),"""")
"),"")</f>
        <v/>
      </c>
      <c r="G455" s="3" t="str">
        <f aca="false">IFERROR(__xludf.dummyfunction("if($T455&lt;&gt;"""",REGEXEXTRACT($T455, G$1&amp;""[\w &amp;]*, (\d+\.\d+)""),"""")
"),"")</f>
        <v/>
      </c>
      <c r="H455" s="3"/>
      <c r="I455" s="3" t="str">
        <f aca="false">IFERROR(__xludf.dummyfunction("if($T455&lt;&gt;"""",REGEXEXTRACT(SUBSTITUTE ($T455,I$1&amp;"" CE"",""""), I$1&amp;""[\w &amp;]*, (\d+\.\d+)""),"""")
"),"")</f>
        <v/>
      </c>
      <c r="J455" s="3" t="str">
        <f aca="false">IFERROR(__xludf.dummyfunction("if($T455&lt;&gt;"""",REGEXEXTRACT($T455, J$1&amp;""[\w &amp;]*, (\d+\.\d+)""),"""")
"),"")</f>
        <v/>
      </c>
      <c r="K455" s="3"/>
      <c r="L455" s="3" t="str">
        <f aca="false">IFERROR(__xludf.dummyfunction("if($T455&lt;&gt;"""",REGEXEXTRACT(SUBSTITUTE ($T455,L$1&amp;"" CE"",""""), L$1&amp;""[\w &amp;]*, (\d+\.\d+)""),"""")
"),"")</f>
        <v/>
      </c>
      <c r="M455" s="3" t="str">
        <f aca="false">IFERROR(__xludf.dummyfunction("if($T455&lt;&gt;"""",REGEXEXTRACT($T455, M$1&amp;""[\w &amp;]*, (\d+\.\d+)""),"""")
"),"")</f>
        <v/>
      </c>
      <c r="N455" s="3" t="str">
        <f aca="false">IFERROR(__xludf.dummyfunction("if($T455&lt;&gt;"""",REGEXEXTRACT(SUBSTITUTE ($T455,N$1&amp;"" CE"",""""), N$1&amp;""[\w &amp;]*, (\d+\.\d+)""),"""")
"),"")</f>
        <v/>
      </c>
      <c r="O455" s="3" t="str">
        <f aca="false">IFERROR(__xludf.dummyfunction("if($T455&lt;&gt;"""",REGEXEXTRACT($T455, O$1&amp;""[\w &amp;]*, (\d+\.\d+)""),"""")
"),"")</f>
        <v/>
      </c>
      <c r="P455" s="2"/>
      <c r="Q455" s="2"/>
      <c r="R455" s="2"/>
      <c r="S455" s="2"/>
      <c r="T455" s="5"/>
      <c r="U455" s="5"/>
    </row>
    <row r="456" customFormat="false" ht="15.75" hidden="false" customHeight="false" outlineLevel="0" collapsed="false">
      <c r="A456" s="4"/>
      <c r="B456" s="2"/>
      <c r="C456" s="2"/>
      <c r="D456" s="2"/>
      <c r="E456" s="2"/>
      <c r="F456" s="3" t="str">
        <f aca="false">IFERROR(__xludf.dummyfunction("if($T456&lt;&gt;"""",REGEXEXTRACT(SUBSTITUTE ($T456,F$1&amp;"" CE"",""""), F$1&amp;""[\w &amp;]*, (\d+\.\d+)""),"""")
"),"")</f>
        <v/>
      </c>
      <c r="G456" s="3" t="str">
        <f aca="false">IFERROR(__xludf.dummyfunction("if($T456&lt;&gt;"""",REGEXEXTRACT($T456, G$1&amp;""[\w &amp;]*, (\d+\.\d+)""),"""")
"),"")</f>
        <v/>
      </c>
      <c r="H456" s="3"/>
      <c r="I456" s="3" t="str">
        <f aca="false">IFERROR(__xludf.dummyfunction("if($T456&lt;&gt;"""",REGEXEXTRACT(SUBSTITUTE ($T456,I$1&amp;"" CE"",""""), I$1&amp;""[\w &amp;]*, (\d+\.\d+)""),"""")
"),"")</f>
        <v/>
      </c>
      <c r="J456" s="3" t="str">
        <f aca="false">IFERROR(__xludf.dummyfunction("if($T456&lt;&gt;"""",REGEXEXTRACT($T456, J$1&amp;""[\w &amp;]*, (\d+\.\d+)""),"""")
"),"")</f>
        <v/>
      </c>
      <c r="K456" s="3"/>
      <c r="L456" s="3" t="str">
        <f aca="false">IFERROR(__xludf.dummyfunction("if($T456&lt;&gt;"""",REGEXEXTRACT(SUBSTITUTE ($T456,L$1&amp;"" CE"",""""), L$1&amp;""[\w &amp;]*, (\d+\.\d+)""),"""")
"),"")</f>
        <v/>
      </c>
      <c r="M456" s="3" t="str">
        <f aca="false">IFERROR(__xludf.dummyfunction("if($T456&lt;&gt;"""",REGEXEXTRACT($T456, M$1&amp;""[\w &amp;]*, (\d+\.\d+)""),"""")
"),"")</f>
        <v/>
      </c>
      <c r="N456" s="3" t="str">
        <f aca="false">IFERROR(__xludf.dummyfunction("if($T456&lt;&gt;"""",REGEXEXTRACT(SUBSTITUTE ($T456,N$1&amp;"" CE"",""""), N$1&amp;""[\w &amp;]*, (\d+\.\d+)""),"""")
"),"")</f>
        <v/>
      </c>
      <c r="O456" s="3" t="str">
        <f aca="false">IFERROR(__xludf.dummyfunction("if($T456&lt;&gt;"""",REGEXEXTRACT($T456, O$1&amp;""[\w &amp;]*, (\d+\.\d+)""),"""")
"),"")</f>
        <v/>
      </c>
      <c r="P456" s="2"/>
      <c r="Q456" s="2"/>
      <c r="R456" s="2"/>
      <c r="S456" s="2"/>
      <c r="T456" s="5"/>
      <c r="U456" s="5"/>
    </row>
    <row r="457" customFormat="false" ht="15.75" hidden="false" customHeight="false" outlineLevel="0" collapsed="false">
      <c r="A457" s="4"/>
      <c r="B457" s="2"/>
      <c r="C457" s="2"/>
      <c r="D457" s="2"/>
      <c r="E457" s="2"/>
      <c r="F457" s="3" t="str">
        <f aca="false">IFERROR(__xludf.dummyfunction("if($T457&lt;&gt;"""",REGEXEXTRACT(SUBSTITUTE ($T457,F$1&amp;"" CE"",""""), F$1&amp;""[\w &amp;]*, (\d+\.\d+)""),"""")
"),"")</f>
        <v/>
      </c>
      <c r="G457" s="3" t="str">
        <f aca="false">IFERROR(__xludf.dummyfunction("if($T457&lt;&gt;"""",REGEXEXTRACT($T457, G$1&amp;""[\w &amp;]*, (\d+\.\d+)""),"""")
"),"")</f>
        <v/>
      </c>
      <c r="H457" s="3"/>
      <c r="I457" s="3" t="str">
        <f aca="false">IFERROR(__xludf.dummyfunction("if($T457&lt;&gt;"""",REGEXEXTRACT(SUBSTITUTE ($T457,I$1&amp;"" CE"",""""), I$1&amp;""[\w &amp;]*, (\d+\.\d+)""),"""")
"),"")</f>
        <v/>
      </c>
      <c r="J457" s="3" t="str">
        <f aca="false">IFERROR(__xludf.dummyfunction("if($T457&lt;&gt;"""",REGEXEXTRACT($T457, J$1&amp;""[\w &amp;]*, (\d+\.\d+)""),"""")
"),"")</f>
        <v/>
      </c>
      <c r="K457" s="3"/>
      <c r="L457" s="3" t="str">
        <f aca="false">IFERROR(__xludf.dummyfunction("if($T457&lt;&gt;"""",REGEXEXTRACT(SUBSTITUTE ($T457,L$1&amp;"" CE"",""""), L$1&amp;""[\w &amp;]*, (\d+\.\d+)""),"""")
"),"")</f>
        <v/>
      </c>
      <c r="M457" s="3" t="str">
        <f aca="false">IFERROR(__xludf.dummyfunction("if($T457&lt;&gt;"""",REGEXEXTRACT($T457, M$1&amp;""[\w &amp;]*, (\d+\.\d+)""),"""")
"),"")</f>
        <v/>
      </c>
      <c r="N457" s="3" t="str">
        <f aca="false">IFERROR(__xludf.dummyfunction("if($T457&lt;&gt;"""",REGEXEXTRACT(SUBSTITUTE ($T457,N$1&amp;"" CE"",""""), N$1&amp;""[\w &amp;]*, (\d+\.\d+)""),"""")
"),"")</f>
        <v/>
      </c>
      <c r="O457" s="3" t="str">
        <f aca="false">IFERROR(__xludf.dummyfunction("if($T457&lt;&gt;"""",REGEXEXTRACT($T457, O$1&amp;""[\w &amp;]*, (\d+\.\d+)""),"""")
"),"")</f>
        <v/>
      </c>
      <c r="P457" s="2"/>
      <c r="Q457" s="2"/>
      <c r="R457" s="2"/>
      <c r="S457" s="2"/>
      <c r="T457" s="5"/>
      <c r="U457" s="5"/>
    </row>
    <row r="458" customFormat="false" ht="15.75" hidden="false" customHeight="false" outlineLevel="0" collapsed="false">
      <c r="A458" s="4"/>
      <c r="B458" s="2"/>
      <c r="C458" s="2"/>
      <c r="D458" s="2"/>
      <c r="E458" s="2"/>
      <c r="F458" s="3" t="str">
        <f aca="false">IFERROR(__xludf.dummyfunction("if($T458&lt;&gt;"""",REGEXEXTRACT(SUBSTITUTE ($T458,F$1&amp;"" CE"",""""), F$1&amp;""[\w &amp;]*, (\d+\.\d+)""),"""")
"),"")</f>
        <v/>
      </c>
      <c r="G458" s="3" t="str">
        <f aca="false">IFERROR(__xludf.dummyfunction("if($T458&lt;&gt;"""",REGEXEXTRACT($T458, G$1&amp;""[\w &amp;]*, (\d+\.\d+)""),"""")
"),"")</f>
        <v/>
      </c>
      <c r="H458" s="3"/>
      <c r="I458" s="3" t="str">
        <f aca="false">IFERROR(__xludf.dummyfunction("if($T458&lt;&gt;"""",REGEXEXTRACT(SUBSTITUTE ($T458,I$1&amp;"" CE"",""""), I$1&amp;""[\w &amp;]*, (\d+\.\d+)""),"""")
"),"")</f>
        <v/>
      </c>
      <c r="J458" s="3" t="str">
        <f aca="false">IFERROR(__xludf.dummyfunction("if($T458&lt;&gt;"""",REGEXEXTRACT($T458, J$1&amp;""[\w &amp;]*, (\d+\.\d+)""),"""")
"),"")</f>
        <v/>
      </c>
      <c r="K458" s="3"/>
      <c r="L458" s="3" t="str">
        <f aca="false">IFERROR(__xludf.dummyfunction("if($T458&lt;&gt;"""",REGEXEXTRACT(SUBSTITUTE ($T458,L$1&amp;"" CE"",""""), L$1&amp;""[\w &amp;]*, (\d+\.\d+)""),"""")
"),"")</f>
        <v/>
      </c>
      <c r="M458" s="3" t="str">
        <f aca="false">IFERROR(__xludf.dummyfunction("if($T458&lt;&gt;"""",REGEXEXTRACT($T458, M$1&amp;""[\w &amp;]*, (\d+\.\d+)""),"""")
"),"")</f>
        <v/>
      </c>
      <c r="N458" s="3" t="str">
        <f aca="false">IFERROR(__xludf.dummyfunction("if($T458&lt;&gt;"""",REGEXEXTRACT(SUBSTITUTE ($T458,N$1&amp;"" CE"",""""), N$1&amp;""[\w &amp;]*, (\d+\.\d+)""),"""")
"),"")</f>
        <v/>
      </c>
      <c r="O458" s="3" t="str">
        <f aca="false">IFERROR(__xludf.dummyfunction("if($T458&lt;&gt;"""",REGEXEXTRACT($T458, O$1&amp;""[\w &amp;]*, (\d+\.\d+)""),"""")
"),"")</f>
        <v/>
      </c>
      <c r="P458" s="2"/>
      <c r="Q458" s="2"/>
      <c r="R458" s="2"/>
      <c r="S458" s="2"/>
      <c r="T458" s="5"/>
      <c r="U458" s="5"/>
    </row>
    <row r="459" customFormat="false" ht="15.75" hidden="false" customHeight="false" outlineLevel="0" collapsed="false">
      <c r="A459" s="4"/>
      <c r="B459" s="2"/>
      <c r="C459" s="2"/>
      <c r="D459" s="2"/>
      <c r="E459" s="2"/>
      <c r="F459" s="3" t="str">
        <f aca="false">IFERROR(__xludf.dummyfunction("if($T459&lt;&gt;"""",REGEXEXTRACT(SUBSTITUTE ($T459,F$1&amp;"" CE"",""""), F$1&amp;""[\w &amp;]*, (\d+\.\d+)""),"""")
"),"")</f>
        <v/>
      </c>
      <c r="G459" s="3" t="str">
        <f aca="false">IFERROR(__xludf.dummyfunction("if($T459&lt;&gt;"""",REGEXEXTRACT($T459, G$1&amp;""[\w &amp;]*, (\d+\.\d+)""),"""")
"),"")</f>
        <v/>
      </c>
      <c r="H459" s="3"/>
      <c r="I459" s="3" t="str">
        <f aca="false">IFERROR(__xludf.dummyfunction("if($T459&lt;&gt;"""",REGEXEXTRACT(SUBSTITUTE ($T459,I$1&amp;"" CE"",""""), I$1&amp;""[\w &amp;]*, (\d+\.\d+)""),"""")
"),"")</f>
        <v/>
      </c>
      <c r="J459" s="3" t="str">
        <f aca="false">IFERROR(__xludf.dummyfunction("if($T459&lt;&gt;"""",REGEXEXTRACT($T459, J$1&amp;""[\w &amp;]*, (\d+\.\d+)""),"""")
"),"")</f>
        <v/>
      </c>
      <c r="K459" s="3"/>
      <c r="L459" s="3" t="str">
        <f aca="false">IFERROR(__xludf.dummyfunction("if($T459&lt;&gt;"""",REGEXEXTRACT(SUBSTITUTE ($T459,L$1&amp;"" CE"",""""), L$1&amp;""[\w &amp;]*, (\d+\.\d+)""),"""")
"),"")</f>
        <v/>
      </c>
      <c r="M459" s="3" t="str">
        <f aca="false">IFERROR(__xludf.dummyfunction("if($T459&lt;&gt;"""",REGEXEXTRACT($T459, M$1&amp;""[\w &amp;]*, (\d+\.\d+)""),"""")
"),"")</f>
        <v/>
      </c>
      <c r="N459" s="3" t="str">
        <f aca="false">IFERROR(__xludf.dummyfunction("if($T459&lt;&gt;"""",REGEXEXTRACT(SUBSTITUTE ($T459,N$1&amp;"" CE"",""""), N$1&amp;""[\w &amp;]*, (\d+\.\d+)""),"""")
"),"")</f>
        <v/>
      </c>
      <c r="O459" s="3" t="str">
        <f aca="false">IFERROR(__xludf.dummyfunction("if($T459&lt;&gt;"""",REGEXEXTRACT($T459, O$1&amp;""[\w &amp;]*, (\d+\.\d+)""),"""")
"),"")</f>
        <v/>
      </c>
      <c r="P459" s="2"/>
      <c r="Q459" s="2"/>
      <c r="R459" s="2"/>
      <c r="S459" s="2"/>
      <c r="T459" s="5"/>
      <c r="U459" s="5"/>
    </row>
    <row r="460" customFormat="false" ht="15.75" hidden="false" customHeight="false" outlineLevel="0" collapsed="false">
      <c r="A460" s="4"/>
      <c r="B460" s="2"/>
      <c r="C460" s="2"/>
      <c r="D460" s="2"/>
      <c r="E460" s="2"/>
      <c r="F460" s="3" t="str">
        <f aca="false">IFERROR(__xludf.dummyfunction("if($T460&lt;&gt;"""",REGEXEXTRACT(SUBSTITUTE ($T460,F$1&amp;"" CE"",""""), F$1&amp;""[\w &amp;]*, (\d+\.\d+)""),"""")
"),"")</f>
        <v/>
      </c>
      <c r="G460" s="3" t="str">
        <f aca="false">IFERROR(__xludf.dummyfunction("if($T460&lt;&gt;"""",REGEXEXTRACT($T460, G$1&amp;""[\w &amp;]*, (\d+\.\d+)""),"""")
"),"")</f>
        <v/>
      </c>
      <c r="H460" s="3"/>
      <c r="I460" s="3" t="str">
        <f aca="false">IFERROR(__xludf.dummyfunction("if($T460&lt;&gt;"""",REGEXEXTRACT(SUBSTITUTE ($T460,I$1&amp;"" CE"",""""), I$1&amp;""[\w &amp;]*, (\d+\.\d+)""),"""")
"),"")</f>
        <v/>
      </c>
      <c r="J460" s="3" t="str">
        <f aca="false">IFERROR(__xludf.dummyfunction("if($T460&lt;&gt;"""",REGEXEXTRACT($T460, J$1&amp;""[\w &amp;]*, (\d+\.\d+)""),"""")
"),"")</f>
        <v/>
      </c>
      <c r="K460" s="3"/>
      <c r="L460" s="3" t="str">
        <f aca="false">IFERROR(__xludf.dummyfunction("if($T460&lt;&gt;"""",REGEXEXTRACT(SUBSTITUTE ($T460,L$1&amp;"" CE"",""""), L$1&amp;""[\w &amp;]*, (\d+\.\d+)""),"""")
"),"")</f>
        <v/>
      </c>
      <c r="M460" s="3" t="str">
        <f aca="false">IFERROR(__xludf.dummyfunction("if($T460&lt;&gt;"""",REGEXEXTRACT($T460, M$1&amp;""[\w &amp;]*, (\d+\.\d+)""),"""")
"),"")</f>
        <v/>
      </c>
      <c r="N460" s="3" t="str">
        <f aca="false">IFERROR(__xludf.dummyfunction("if($T460&lt;&gt;"""",REGEXEXTRACT(SUBSTITUTE ($T460,N$1&amp;"" CE"",""""), N$1&amp;""[\w &amp;]*, (\d+\.\d+)""),"""")
"),"")</f>
        <v/>
      </c>
      <c r="O460" s="3" t="str">
        <f aca="false">IFERROR(__xludf.dummyfunction("if($T460&lt;&gt;"""",REGEXEXTRACT($T460, O$1&amp;""[\w &amp;]*, (\d+\.\d+)""),"""")
"),"")</f>
        <v/>
      </c>
      <c r="P460" s="2"/>
      <c r="Q460" s="2"/>
      <c r="R460" s="2"/>
      <c r="S460" s="2"/>
      <c r="T460" s="5"/>
      <c r="U460" s="5"/>
    </row>
    <row r="461" customFormat="false" ht="15.75" hidden="false" customHeight="false" outlineLevel="0" collapsed="false">
      <c r="A461" s="4"/>
      <c r="B461" s="2"/>
      <c r="C461" s="2"/>
      <c r="D461" s="2"/>
      <c r="E461" s="2"/>
      <c r="F461" s="3" t="str">
        <f aca="false">IFERROR(__xludf.dummyfunction("if($T461&lt;&gt;"""",REGEXEXTRACT(SUBSTITUTE ($T461,F$1&amp;"" CE"",""""), F$1&amp;""[\w &amp;]*, (\d+\.\d+)""),"""")
"),"")</f>
        <v/>
      </c>
      <c r="G461" s="3" t="str">
        <f aca="false">IFERROR(__xludf.dummyfunction("if($T461&lt;&gt;"""",REGEXEXTRACT($T461, G$1&amp;""[\w &amp;]*, (\d+\.\d+)""),"""")
"),"")</f>
        <v/>
      </c>
      <c r="H461" s="3"/>
      <c r="I461" s="3" t="str">
        <f aca="false">IFERROR(__xludf.dummyfunction("if($T461&lt;&gt;"""",REGEXEXTRACT(SUBSTITUTE ($T461,I$1&amp;"" CE"",""""), I$1&amp;""[\w &amp;]*, (\d+\.\d+)""),"""")
"),"")</f>
        <v/>
      </c>
      <c r="J461" s="3" t="str">
        <f aca="false">IFERROR(__xludf.dummyfunction("if($T461&lt;&gt;"""",REGEXEXTRACT($T461, J$1&amp;""[\w &amp;]*, (\d+\.\d+)""),"""")
"),"")</f>
        <v/>
      </c>
      <c r="K461" s="3"/>
      <c r="L461" s="3" t="str">
        <f aca="false">IFERROR(__xludf.dummyfunction("if($T461&lt;&gt;"""",REGEXEXTRACT(SUBSTITUTE ($T461,L$1&amp;"" CE"",""""), L$1&amp;""[\w &amp;]*, (\d+\.\d+)""),"""")
"),"")</f>
        <v/>
      </c>
      <c r="M461" s="3" t="str">
        <f aca="false">IFERROR(__xludf.dummyfunction("if($T461&lt;&gt;"""",REGEXEXTRACT($T461, M$1&amp;""[\w &amp;]*, (\d+\.\d+)""),"""")
"),"")</f>
        <v/>
      </c>
      <c r="N461" s="3" t="str">
        <f aca="false">IFERROR(__xludf.dummyfunction("if($T461&lt;&gt;"""",REGEXEXTRACT(SUBSTITUTE ($T461,N$1&amp;"" CE"",""""), N$1&amp;""[\w &amp;]*, (\d+\.\d+)""),"""")
"),"")</f>
        <v/>
      </c>
      <c r="O461" s="3" t="str">
        <f aca="false">IFERROR(__xludf.dummyfunction("if($T461&lt;&gt;"""",REGEXEXTRACT($T461, O$1&amp;""[\w &amp;]*, (\d+\.\d+)""),"""")
"),"")</f>
        <v/>
      </c>
      <c r="P461" s="2"/>
      <c r="Q461" s="2"/>
      <c r="R461" s="2"/>
      <c r="S461" s="2"/>
      <c r="T461" s="5"/>
      <c r="U461" s="5"/>
    </row>
    <row r="462" customFormat="false" ht="15.75" hidden="false" customHeight="false" outlineLevel="0" collapsed="false">
      <c r="A462" s="4"/>
      <c r="B462" s="2"/>
      <c r="C462" s="2"/>
      <c r="D462" s="2"/>
      <c r="E462" s="2"/>
      <c r="F462" s="3" t="str">
        <f aca="false">IFERROR(__xludf.dummyfunction("if($T462&lt;&gt;"""",REGEXEXTRACT(SUBSTITUTE ($T462,F$1&amp;"" CE"",""""), F$1&amp;""[\w &amp;]*, (\d+\.\d+)""),"""")
"),"")</f>
        <v/>
      </c>
      <c r="G462" s="3" t="str">
        <f aca="false">IFERROR(__xludf.dummyfunction("if($T462&lt;&gt;"""",REGEXEXTRACT($T462, G$1&amp;""[\w &amp;]*, (\d+\.\d+)""),"""")
"),"")</f>
        <v/>
      </c>
      <c r="H462" s="3"/>
      <c r="I462" s="3" t="str">
        <f aca="false">IFERROR(__xludf.dummyfunction("if($T462&lt;&gt;"""",REGEXEXTRACT(SUBSTITUTE ($T462,I$1&amp;"" CE"",""""), I$1&amp;""[\w &amp;]*, (\d+\.\d+)""),"""")
"),"")</f>
        <v/>
      </c>
      <c r="J462" s="3" t="str">
        <f aca="false">IFERROR(__xludf.dummyfunction("if($T462&lt;&gt;"""",REGEXEXTRACT($T462, J$1&amp;""[\w &amp;]*, (\d+\.\d+)""),"""")
"),"")</f>
        <v/>
      </c>
      <c r="K462" s="3"/>
      <c r="L462" s="3" t="str">
        <f aca="false">IFERROR(__xludf.dummyfunction("if($T462&lt;&gt;"""",REGEXEXTRACT(SUBSTITUTE ($T462,L$1&amp;"" CE"",""""), L$1&amp;""[\w &amp;]*, (\d+\.\d+)""),"""")
"),"")</f>
        <v/>
      </c>
      <c r="M462" s="3" t="str">
        <f aca="false">IFERROR(__xludf.dummyfunction("if($T462&lt;&gt;"""",REGEXEXTRACT($T462, M$1&amp;""[\w &amp;]*, (\d+\.\d+)""),"""")
"),"")</f>
        <v/>
      </c>
      <c r="N462" s="3" t="str">
        <f aca="false">IFERROR(__xludf.dummyfunction("if($T462&lt;&gt;"""",REGEXEXTRACT(SUBSTITUTE ($T462,N$1&amp;"" CE"",""""), N$1&amp;""[\w &amp;]*, (\d+\.\d+)""),"""")
"),"")</f>
        <v/>
      </c>
      <c r="O462" s="3" t="str">
        <f aca="false">IFERROR(__xludf.dummyfunction("if($T462&lt;&gt;"""",REGEXEXTRACT($T462, O$1&amp;""[\w &amp;]*, (\d+\.\d+)""),"""")
"),"")</f>
        <v/>
      </c>
      <c r="P462" s="2"/>
      <c r="Q462" s="2"/>
      <c r="R462" s="2"/>
      <c r="S462" s="2"/>
      <c r="T462" s="5"/>
      <c r="U462" s="5"/>
    </row>
    <row r="463" customFormat="false" ht="15.75" hidden="false" customHeight="false" outlineLevel="0" collapsed="false">
      <c r="A463" s="4"/>
      <c r="B463" s="2"/>
      <c r="C463" s="2"/>
      <c r="D463" s="2"/>
      <c r="E463" s="2"/>
      <c r="F463" s="3" t="str">
        <f aca="false">IFERROR(__xludf.dummyfunction("if($T463&lt;&gt;"""",REGEXEXTRACT(SUBSTITUTE ($T463,F$1&amp;"" CE"",""""), F$1&amp;""[\w &amp;]*, (\d+\.\d+)""),"""")
"),"")</f>
        <v/>
      </c>
      <c r="G463" s="3" t="str">
        <f aca="false">IFERROR(__xludf.dummyfunction("if($T463&lt;&gt;"""",REGEXEXTRACT($T463, G$1&amp;""[\w &amp;]*, (\d+\.\d+)""),"""")
"),"")</f>
        <v/>
      </c>
      <c r="H463" s="3"/>
      <c r="I463" s="3" t="str">
        <f aca="false">IFERROR(__xludf.dummyfunction("if($T463&lt;&gt;"""",REGEXEXTRACT(SUBSTITUTE ($T463,I$1&amp;"" CE"",""""), I$1&amp;""[\w &amp;]*, (\d+\.\d+)""),"""")
"),"")</f>
        <v/>
      </c>
      <c r="J463" s="3" t="str">
        <f aca="false">IFERROR(__xludf.dummyfunction("if($T463&lt;&gt;"""",REGEXEXTRACT($T463, J$1&amp;""[\w &amp;]*, (\d+\.\d+)""),"""")
"),"")</f>
        <v/>
      </c>
      <c r="K463" s="3"/>
      <c r="L463" s="3" t="str">
        <f aca="false">IFERROR(__xludf.dummyfunction("if($T463&lt;&gt;"""",REGEXEXTRACT(SUBSTITUTE ($T463,L$1&amp;"" CE"",""""), L$1&amp;""[\w &amp;]*, (\d+\.\d+)""),"""")
"),"")</f>
        <v/>
      </c>
      <c r="M463" s="3" t="str">
        <f aca="false">IFERROR(__xludf.dummyfunction("if($T463&lt;&gt;"""",REGEXEXTRACT($T463, M$1&amp;""[\w &amp;]*, (\d+\.\d+)""),"""")
"),"")</f>
        <v/>
      </c>
      <c r="N463" s="3" t="str">
        <f aca="false">IFERROR(__xludf.dummyfunction("if($T463&lt;&gt;"""",REGEXEXTRACT(SUBSTITUTE ($T463,N$1&amp;"" CE"",""""), N$1&amp;""[\w &amp;]*, (\d+\.\d+)""),"""")
"),"")</f>
        <v/>
      </c>
      <c r="O463" s="3" t="str">
        <f aca="false">IFERROR(__xludf.dummyfunction("if($T463&lt;&gt;"""",REGEXEXTRACT($T463, O$1&amp;""[\w &amp;]*, (\d+\.\d+)""),"""")
"),"")</f>
        <v/>
      </c>
      <c r="P463" s="2"/>
      <c r="Q463" s="2"/>
      <c r="R463" s="2"/>
      <c r="S463" s="2"/>
      <c r="T463" s="5"/>
      <c r="U463" s="5"/>
    </row>
    <row r="464" customFormat="false" ht="15.75" hidden="false" customHeight="false" outlineLevel="0" collapsed="false">
      <c r="A464" s="4"/>
      <c r="B464" s="2"/>
      <c r="C464" s="2"/>
      <c r="D464" s="2"/>
      <c r="E464" s="2"/>
      <c r="F464" s="3" t="str">
        <f aca="false">IFERROR(__xludf.dummyfunction("if($T464&lt;&gt;"""",REGEXEXTRACT(SUBSTITUTE ($T464,F$1&amp;"" CE"",""""), F$1&amp;""[\w &amp;]*, (\d+\.\d+)""),"""")
"),"")</f>
        <v/>
      </c>
      <c r="G464" s="3" t="str">
        <f aca="false">IFERROR(__xludf.dummyfunction("if($T464&lt;&gt;"""",REGEXEXTRACT($T464, G$1&amp;""[\w &amp;]*, (\d+\.\d+)""),"""")
"),"")</f>
        <v/>
      </c>
      <c r="H464" s="3"/>
      <c r="I464" s="3" t="str">
        <f aca="false">IFERROR(__xludf.dummyfunction("if($T464&lt;&gt;"""",REGEXEXTRACT(SUBSTITUTE ($T464,I$1&amp;"" CE"",""""), I$1&amp;""[\w &amp;]*, (\d+\.\d+)""),"""")
"),"")</f>
        <v/>
      </c>
      <c r="J464" s="3" t="str">
        <f aca="false">IFERROR(__xludf.dummyfunction("if($T464&lt;&gt;"""",REGEXEXTRACT($T464, J$1&amp;""[\w &amp;]*, (\d+\.\d+)""),"""")
"),"")</f>
        <v/>
      </c>
      <c r="K464" s="3"/>
      <c r="L464" s="3" t="str">
        <f aca="false">IFERROR(__xludf.dummyfunction("if($T464&lt;&gt;"""",REGEXEXTRACT(SUBSTITUTE ($T464,L$1&amp;"" CE"",""""), L$1&amp;""[\w &amp;]*, (\d+\.\d+)""),"""")
"),"")</f>
        <v/>
      </c>
      <c r="M464" s="3" t="str">
        <f aca="false">IFERROR(__xludf.dummyfunction("if($T464&lt;&gt;"""",REGEXEXTRACT($T464, M$1&amp;""[\w &amp;]*, (\d+\.\d+)""),"""")
"),"")</f>
        <v/>
      </c>
      <c r="N464" s="3" t="str">
        <f aca="false">IFERROR(__xludf.dummyfunction("if($T464&lt;&gt;"""",REGEXEXTRACT(SUBSTITUTE ($T464,N$1&amp;"" CE"",""""), N$1&amp;""[\w &amp;]*, (\d+\.\d+)""),"""")
"),"")</f>
        <v/>
      </c>
      <c r="O464" s="3" t="str">
        <f aca="false">IFERROR(__xludf.dummyfunction("if($T464&lt;&gt;"""",REGEXEXTRACT($T464, O$1&amp;""[\w &amp;]*, (\d+\.\d+)""),"""")
"),"")</f>
        <v/>
      </c>
      <c r="P464" s="2"/>
      <c r="Q464" s="2"/>
      <c r="R464" s="2"/>
      <c r="S464" s="2"/>
      <c r="T464" s="5"/>
      <c r="U464" s="5"/>
    </row>
    <row r="465" customFormat="false" ht="15.75" hidden="false" customHeight="false" outlineLevel="0" collapsed="false">
      <c r="A465" s="4"/>
      <c r="B465" s="2"/>
      <c r="C465" s="2"/>
      <c r="D465" s="2"/>
      <c r="E465" s="2"/>
      <c r="F465" s="3" t="str">
        <f aca="false">IFERROR(__xludf.dummyfunction("if($T465&lt;&gt;"""",REGEXEXTRACT(SUBSTITUTE ($T465,F$1&amp;"" CE"",""""), F$1&amp;""[\w &amp;]*, (\d+\.\d+)""),"""")
"),"")</f>
        <v/>
      </c>
      <c r="G465" s="3" t="str">
        <f aca="false">IFERROR(__xludf.dummyfunction("if($T465&lt;&gt;"""",REGEXEXTRACT($T465, G$1&amp;""[\w &amp;]*, (\d+\.\d+)""),"""")
"),"")</f>
        <v/>
      </c>
      <c r="H465" s="3"/>
      <c r="I465" s="3" t="str">
        <f aca="false">IFERROR(__xludf.dummyfunction("if($T465&lt;&gt;"""",REGEXEXTRACT(SUBSTITUTE ($T465,I$1&amp;"" CE"",""""), I$1&amp;""[\w &amp;]*, (\d+\.\d+)""),"""")
"),"")</f>
        <v/>
      </c>
      <c r="J465" s="3" t="str">
        <f aca="false">IFERROR(__xludf.dummyfunction("if($T465&lt;&gt;"""",REGEXEXTRACT($T465, J$1&amp;""[\w &amp;]*, (\d+\.\d+)""),"""")
"),"")</f>
        <v/>
      </c>
      <c r="K465" s="3"/>
      <c r="L465" s="3" t="str">
        <f aca="false">IFERROR(__xludf.dummyfunction("if($T465&lt;&gt;"""",REGEXEXTRACT(SUBSTITUTE ($T465,L$1&amp;"" CE"",""""), L$1&amp;""[\w &amp;]*, (\d+\.\d+)""),"""")
"),"")</f>
        <v/>
      </c>
      <c r="M465" s="3" t="str">
        <f aca="false">IFERROR(__xludf.dummyfunction("if($T465&lt;&gt;"""",REGEXEXTRACT($T465, M$1&amp;""[\w &amp;]*, (\d+\.\d+)""),"""")
"),"")</f>
        <v/>
      </c>
      <c r="N465" s="3" t="str">
        <f aca="false">IFERROR(__xludf.dummyfunction("if($T465&lt;&gt;"""",REGEXEXTRACT(SUBSTITUTE ($T465,N$1&amp;"" CE"",""""), N$1&amp;""[\w &amp;]*, (\d+\.\d+)""),"""")
"),"")</f>
        <v/>
      </c>
      <c r="O465" s="3" t="str">
        <f aca="false">IFERROR(__xludf.dummyfunction("if($T465&lt;&gt;"""",REGEXEXTRACT($T465, O$1&amp;""[\w &amp;]*, (\d+\.\d+)""),"""")
"),"")</f>
        <v/>
      </c>
      <c r="P465" s="2"/>
      <c r="Q465" s="2"/>
      <c r="R465" s="2"/>
      <c r="S465" s="2"/>
      <c r="T465" s="5"/>
      <c r="U465" s="5"/>
    </row>
    <row r="466" customFormat="false" ht="15.75" hidden="false" customHeight="false" outlineLevel="0" collapsed="false">
      <c r="A466" s="4"/>
      <c r="B466" s="2"/>
      <c r="C466" s="2"/>
      <c r="D466" s="2"/>
      <c r="E466" s="2"/>
      <c r="F466" s="3" t="str">
        <f aca="false">IFERROR(__xludf.dummyfunction("if($T466&lt;&gt;"""",REGEXEXTRACT(SUBSTITUTE ($T466,F$1&amp;"" CE"",""""), F$1&amp;""[\w &amp;]*, (\d+\.\d+)""),"""")
"),"")</f>
        <v/>
      </c>
      <c r="G466" s="3" t="str">
        <f aca="false">IFERROR(__xludf.dummyfunction("if($T466&lt;&gt;"""",REGEXEXTRACT($T466, G$1&amp;""[\w &amp;]*, (\d+\.\d+)""),"""")
"),"")</f>
        <v/>
      </c>
      <c r="H466" s="3"/>
      <c r="I466" s="3" t="str">
        <f aca="false">IFERROR(__xludf.dummyfunction("if($T466&lt;&gt;"""",REGEXEXTRACT(SUBSTITUTE ($T466,I$1&amp;"" CE"",""""), I$1&amp;""[\w &amp;]*, (\d+\.\d+)""),"""")
"),"")</f>
        <v/>
      </c>
      <c r="J466" s="3" t="str">
        <f aca="false">IFERROR(__xludf.dummyfunction("if($T466&lt;&gt;"""",REGEXEXTRACT($T466, J$1&amp;""[\w &amp;]*, (\d+\.\d+)""),"""")
"),"")</f>
        <v/>
      </c>
      <c r="K466" s="3"/>
      <c r="L466" s="3" t="str">
        <f aca="false">IFERROR(__xludf.dummyfunction("if($T466&lt;&gt;"""",REGEXEXTRACT(SUBSTITUTE ($T466,L$1&amp;"" CE"",""""), L$1&amp;""[\w &amp;]*, (\d+\.\d+)""),"""")
"),"")</f>
        <v/>
      </c>
      <c r="M466" s="3" t="str">
        <f aca="false">IFERROR(__xludf.dummyfunction("if($T466&lt;&gt;"""",REGEXEXTRACT($T466, M$1&amp;""[\w &amp;]*, (\d+\.\d+)""),"""")
"),"")</f>
        <v/>
      </c>
      <c r="N466" s="3" t="str">
        <f aca="false">IFERROR(__xludf.dummyfunction("if($T466&lt;&gt;"""",REGEXEXTRACT(SUBSTITUTE ($T466,N$1&amp;"" CE"",""""), N$1&amp;""[\w &amp;]*, (\d+\.\d+)""),"""")
"),"")</f>
        <v/>
      </c>
      <c r="O466" s="3" t="str">
        <f aca="false">IFERROR(__xludf.dummyfunction("if($T466&lt;&gt;"""",REGEXEXTRACT($T466, O$1&amp;""[\w &amp;]*, (\d+\.\d+)""),"""")
"),"")</f>
        <v/>
      </c>
      <c r="P466" s="2"/>
      <c r="Q466" s="2"/>
      <c r="R466" s="2"/>
      <c r="S466" s="2"/>
      <c r="T466" s="5"/>
      <c r="U466" s="5"/>
    </row>
    <row r="467" customFormat="false" ht="15.75" hidden="false" customHeight="false" outlineLevel="0" collapsed="false">
      <c r="A467" s="4"/>
      <c r="B467" s="2"/>
      <c r="C467" s="2"/>
      <c r="D467" s="2"/>
      <c r="E467" s="2"/>
      <c r="F467" s="3" t="str">
        <f aca="false">IFERROR(__xludf.dummyfunction("if($T467&lt;&gt;"""",REGEXEXTRACT(SUBSTITUTE ($T467,F$1&amp;"" CE"",""""), F$1&amp;""[\w &amp;]*, (\d+\.\d+)""),"""")
"),"")</f>
        <v/>
      </c>
      <c r="G467" s="3" t="str">
        <f aca="false">IFERROR(__xludf.dummyfunction("if($T467&lt;&gt;"""",REGEXEXTRACT($T467, G$1&amp;""[\w &amp;]*, (\d+\.\d+)""),"""")
"),"")</f>
        <v/>
      </c>
      <c r="H467" s="3"/>
      <c r="I467" s="3" t="str">
        <f aca="false">IFERROR(__xludf.dummyfunction("if($T467&lt;&gt;"""",REGEXEXTRACT(SUBSTITUTE ($T467,I$1&amp;"" CE"",""""), I$1&amp;""[\w &amp;]*, (\d+\.\d+)""),"""")
"),"")</f>
        <v/>
      </c>
      <c r="J467" s="3" t="str">
        <f aca="false">IFERROR(__xludf.dummyfunction("if($T467&lt;&gt;"""",REGEXEXTRACT($T467, J$1&amp;""[\w &amp;]*, (\d+\.\d+)""),"""")
"),"")</f>
        <v/>
      </c>
      <c r="K467" s="3"/>
      <c r="L467" s="3" t="str">
        <f aca="false">IFERROR(__xludf.dummyfunction("if($T467&lt;&gt;"""",REGEXEXTRACT(SUBSTITUTE ($T467,L$1&amp;"" CE"",""""), L$1&amp;""[\w &amp;]*, (\d+\.\d+)""),"""")
"),"")</f>
        <v/>
      </c>
      <c r="M467" s="3" t="str">
        <f aca="false">IFERROR(__xludf.dummyfunction("if($T467&lt;&gt;"""",REGEXEXTRACT($T467, M$1&amp;""[\w &amp;]*, (\d+\.\d+)""),"""")
"),"")</f>
        <v/>
      </c>
      <c r="N467" s="3" t="str">
        <f aca="false">IFERROR(__xludf.dummyfunction("if($T467&lt;&gt;"""",REGEXEXTRACT(SUBSTITUTE ($T467,N$1&amp;"" CE"",""""), N$1&amp;""[\w &amp;]*, (\d+\.\d+)""),"""")
"),"")</f>
        <v/>
      </c>
      <c r="O467" s="3" t="str">
        <f aca="false">IFERROR(__xludf.dummyfunction("if($T467&lt;&gt;"""",REGEXEXTRACT($T467, O$1&amp;""[\w &amp;]*, (\d+\.\d+)""),"""")
"),"")</f>
        <v/>
      </c>
      <c r="P467" s="2"/>
      <c r="Q467" s="2"/>
      <c r="R467" s="2"/>
      <c r="S467" s="2"/>
      <c r="T467" s="5"/>
      <c r="U467" s="5"/>
    </row>
    <row r="468" customFormat="false" ht="15.75" hidden="false" customHeight="false" outlineLevel="0" collapsed="false">
      <c r="A468" s="4"/>
      <c r="B468" s="2"/>
      <c r="C468" s="2"/>
      <c r="D468" s="2"/>
      <c r="E468" s="2"/>
      <c r="F468" s="3" t="str">
        <f aca="false">IFERROR(__xludf.dummyfunction("if($T468&lt;&gt;"""",REGEXEXTRACT(SUBSTITUTE ($T468,F$1&amp;"" CE"",""""), F$1&amp;""[\w &amp;]*, (\d+\.\d+)""),"""")
"),"")</f>
        <v/>
      </c>
      <c r="G468" s="3" t="str">
        <f aca="false">IFERROR(__xludf.dummyfunction("if($T468&lt;&gt;"""",REGEXEXTRACT($T468, G$1&amp;""[\w &amp;]*, (\d+\.\d+)""),"""")
"),"")</f>
        <v/>
      </c>
      <c r="H468" s="3"/>
      <c r="I468" s="3" t="str">
        <f aca="false">IFERROR(__xludf.dummyfunction("if($T468&lt;&gt;"""",REGEXEXTRACT(SUBSTITUTE ($T468,I$1&amp;"" CE"",""""), I$1&amp;""[\w &amp;]*, (\d+\.\d+)""),"""")
"),"")</f>
        <v/>
      </c>
      <c r="J468" s="3" t="str">
        <f aca="false">IFERROR(__xludf.dummyfunction("if($T468&lt;&gt;"""",REGEXEXTRACT($T468, J$1&amp;""[\w &amp;]*, (\d+\.\d+)""),"""")
"),"")</f>
        <v/>
      </c>
      <c r="K468" s="3"/>
      <c r="L468" s="3" t="str">
        <f aca="false">IFERROR(__xludf.dummyfunction("if($T468&lt;&gt;"""",REGEXEXTRACT(SUBSTITUTE ($T468,L$1&amp;"" CE"",""""), L$1&amp;""[\w &amp;]*, (\d+\.\d+)""),"""")
"),"")</f>
        <v/>
      </c>
      <c r="M468" s="3" t="str">
        <f aca="false">IFERROR(__xludf.dummyfunction("if($T468&lt;&gt;"""",REGEXEXTRACT($T468, M$1&amp;""[\w &amp;]*, (\d+\.\d+)""),"""")
"),"")</f>
        <v/>
      </c>
      <c r="N468" s="3" t="str">
        <f aca="false">IFERROR(__xludf.dummyfunction("if($T468&lt;&gt;"""",REGEXEXTRACT(SUBSTITUTE ($T468,N$1&amp;"" CE"",""""), N$1&amp;""[\w &amp;]*, (\d+\.\d+)""),"""")
"),"")</f>
        <v/>
      </c>
      <c r="O468" s="3" t="str">
        <f aca="false">IFERROR(__xludf.dummyfunction("if($T468&lt;&gt;"""",REGEXEXTRACT($T468, O$1&amp;""[\w &amp;]*, (\d+\.\d+)""),"""")
"),"")</f>
        <v/>
      </c>
      <c r="P468" s="2"/>
      <c r="Q468" s="2"/>
      <c r="R468" s="2"/>
      <c r="S468" s="2"/>
      <c r="T468" s="5"/>
      <c r="U468" s="5"/>
    </row>
    <row r="469" customFormat="false" ht="15.75" hidden="false" customHeight="false" outlineLevel="0" collapsed="false">
      <c r="A469" s="4"/>
      <c r="B469" s="2"/>
      <c r="C469" s="2"/>
      <c r="D469" s="2"/>
      <c r="E469" s="2"/>
      <c r="F469" s="3" t="str">
        <f aca="false">IFERROR(__xludf.dummyfunction("if($T469&lt;&gt;"""",REGEXEXTRACT(SUBSTITUTE ($T469,F$1&amp;"" CE"",""""), F$1&amp;""[\w &amp;]*, (\d+\.\d+)""),"""")
"),"")</f>
        <v/>
      </c>
      <c r="G469" s="3" t="str">
        <f aca="false">IFERROR(__xludf.dummyfunction("if($T469&lt;&gt;"""",REGEXEXTRACT($T469, G$1&amp;""[\w &amp;]*, (\d+\.\d+)""),"""")
"),"")</f>
        <v/>
      </c>
      <c r="H469" s="3"/>
      <c r="I469" s="3" t="str">
        <f aca="false">IFERROR(__xludf.dummyfunction("if($T469&lt;&gt;"""",REGEXEXTRACT(SUBSTITUTE ($T469,I$1&amp;"" CE"",""""), I$1&amp;""[\w &amp;]*, (\d+\.\d+)""),"""")
"),"")</f>
        <v/>
      </c>
      <c r="J469" s="3" t="str">
        <f aca="false">IFERROR(__xludf.dummyfunction("if($T469&lt;&gt;"""",REGEXEXTRACT($T469, J$1&amp;""[\w &amp;]*, (\d+\.\d+)""),"""")
"),"")</f>
        <v/>
      </c>
      <c r="K469" s="3"/>
      <c r="L469" s="3" t="str">
        <f aca="false">IFERROR(__xludf.dummyfunction("if($T469&lt;&gt;"""",REGEXEXTRACT(SUBSTITUTE ($T469,L$1&amp;"" CE"",""""), L$1&amp;""[\w &amp;]*, (\d+\.\d+)""),"""")
"),"")</f>
        <v/>
      </c>
      <c r="M469" s="3" t="str">
        <f aca="false">IFERROR(__xludf.dummyfunction("if($T469&lt;&gt;"""",REGEXEXTRACT($T469, M$1&amp;""[\w &amp;]*, (\d+\.\d+)""),"""")
"),"")</f>
        <v/>
      </c>
      <c r="N469" s="3" t="str">
        <f aca="false">IFERROR(__xludf.dummyfunction("if($T469&lt;&gt;"""",REGEXEXTRACT(SUBSTITUTE ($T469,N$1&amp;"" CE"",""""), N$1&amp;""[\w &amp;]*, (\d+\.\d+)""),"""")
"),"")</f>
        <v/>
      </c>
      <c r="O469" s="3" t="str">
        <f aca="false">IFERROR(__xludf.dummyfunction("if($T469&lt;&gt;"""",REGEXEXTRACT($T469, O$1&amp;""[\w &amp;]*, (\d+\.\d+)""),"""")
"),"")</f>
        <v/>
      </c>
      <c r="P469" s="2"/>
      <c r="Q469" s="2"/>
      <c r="R469" s="2"/>
      <c r="S469" s="2"/>
      <c r="T469" s="5"/>
      <c r="U469" s="5"/>
    </row>
    <row r="470" customFormat="false" ht="15.75" hidden="false" customHeight="false" outlineLevel="0" collapsed="false">
      <c r="A470" s="4"/>
      <c r="B470" s="2"/>
      <c r="C470" s="2"/>
      <c r="D470" s="2"/>
      <c r="E470" s="2"/>
      <c r="F470" s="3" t="str">
        <f aca="false">IFERROR(__xludf.dummyfunction("if($T470&lt;&gt;"""",REGEXEXTRACT(SUBSTITUTE ($T470,F$1&amp;"" CE"",""""), F$1&amp;""[\w &amp;]*, (\d+\.\d+)""),"""")
"),"")</f>
        <v/>
      </c>
      <c r="G470" s="3" t="str">
        <f aca="false">IFERROR(__xludf.dummyfunction("if($T470&lt;&gt;"""",REGEXEXTRACT($T470, G$1&amp;""[\w &amp;]*, (\d+\.\d+)""),"""")
"),"")</f>
        <v/>
      </c>
      <c r="H470" s="3"/>
      <c r="I470" s="3" t="str">
        <f aca="false">IFERROR(__xludf.dummyfunction("if($T470&lt;&gt;"""",REGEXEXTRACT(SUBSTITUTE ($T470,I$1&amp;"" CE"",""""), I$1&amp;""[\w &amp;]*, (\d+\.\d+)""),"""")
"),"")</f>
        <v/>
      </c>
      <c r="J470" s="3" t="str">
        <f aca="false">IFERROR(__xludf.dummyfunction("if($T470&lt;&gt;"""",REGEXEXTRACT($T470, J$1&amp;""[\w &amp;]*, (\d+\.\d+)""),"""")
"),"")</f>
        <v/>
      </c>
      <c r="K470" s="3"/>
      <c r="L470" s="3" t="str">
        <f aca="false">IFERROR(__xludf.dummyfunction("if($T470&lt;&gt;"""",REGEXEXTRACT(SUBSTITUTE ($T470,L$1&amp;"" CE"",""""), L$1&amp;""[\w &amp;]*, (\d+\.\d+)""),"""")
"),"")</f>
        <v/>
      </c>
      <c r="M470" s="3" t="str">
        <f aca="false">IFERROR(__xludf.dummyfunction("if($T470&lt;&gt;"""",REGEXEXTRACT($T470, M$1&amp;""[\w &amp;]*, (\d+\.\d+)""),"""")
"),"")</f>
        <v/>
      </c>
      <c r="N470" s="3" t="str">
        <f aca="false">IFERROR(__xludf.dummyfunction("if($T470&lt;&gt;"""",REGEXEXTRACT(SUBSTITUTE ($T470,N$1&amp;"" CE"",""""), N$1&amp;""[\w &amp;]*, (\d+\.\d+)""),"""")
"),"")</f>
        <v/>
      </c>
      <c r="O470" s="3" t="str">
        <f aca="false">IFERROR(__xludf.dummyfunction("if($T470&lt;&gt;"""",REGEXEXTRACT($T470, O$1&amp;""[\w &amp;]*, (\d+\.\d+)""),"""")
"),"")</f>
        <v/>
      </c>
      <c r="P470" s="2"/>
      <c r="Q470" s="2"/>
      <c r="R470" s="2"/>
      <c r="S470" s="2"/>
      <c r="T470" s="5"/>
      <c r="U470" s="5"/>
    </row>
    <row r="471" customFormat="false" ht="15.75" hidden="false" customHeight="false" outlineLevel="0" collapsed="false">
      <c r="A471" s="4"/>
      <c r="B471" s="2"/>
      <c r="C471" s="2"/>
      <c r="D471" s="2"/>
      <c r="E471" s="2"/>
      <c r="F471" s="3" t="str">
        <f aca="false">IFERROR(__xludf.dummyfunction("if($T471&lt;&gt;"""",REGEXEXTRACT(SUBSTITUTE ($T471,F$1&amp;"" CE"",""""), F$1&amp;""[\w &amp;]*, (\d+\.\d+)""),"""")
"),"")</f>
        <v/>
      </c>
      <c r="G471" s="3" t="str">
        <f aca="false">IFERROR(__xludf.dummyfunction("if($T471&lt;&gt;"""",REGEXEXTRACT($T471, G$1&amp;""[\w &amp;]*, (\d+\.\d+)""),"""")
"),"")</f>
        <v/>
      </c>
      <c r="H471" s="3"/>
      <c r="I471" s="3" t="str">
        <f aca="false">IFERROR(__xludf.dummyfunction("if($T471&lt;&gt;"""",REGEXEXTRACT(SUBSTITUTE ($T471,I$1&amp;"" CE"",""""), I$1&amp;""[\w &amp;]*, (\d+\.\d+)""),"""")
"),"")</f>
        <v/>
      </c>
      <c r="J471" s="3" t="str">
        <f aca="false">IFERROR(__xludf.dummyfunction("if($T471&lt;&gt;"""",REGEXEXTRACT($T471, J$1&amp;""[\w &amp;]*, (\d+\.\d+)""),"""")
"),"")</f>
        <v/>
      </c>
      <c r="K471" s="3"/>
      <c r="L471" s="3" t="str">
        <f aca="false">IFERROR(__xludf.dummyfunction("if($T471&lt;&gt;"""",REGEXEXTRACT(SUBSTITUTE ($T471,L$1&amp;"" CE"",""""), L$1&amp;""[\w &amp;]*, (\d+\.\d+)""),"""")
"),"")</f>
        <v/>
      </c>
      <c r="M471" s="3" t="str">
        <f aca="false">IFERROR(__xludf.dummyfunction("if($T471&lt;&gt;"""",REGEXEXTRACT($T471, M$1&amp;""[\w &amp;]*, (\d+\.\d+)""),"""")
"),"")</f>
        <v/>
      </c>
      <c r="N471" s="3" t="str">
        <f aca="false">IFERROR(__xludf.dummyfunction("if($T471&lt;&gt;"""",REGEXEXTRACT(SUBSTITUTE ($T471,N$1&amp;"" CE"",""""), N$1&amp;""[\w &amp;]*, (\d+\.\d+)""),"""")
"),"")</f>
        <v/>
      </c>
      <c r="O471" s="3" t="str">
        <f aca="false">IFERROR(__xludf.dummyfunction("if($T471&lt;&gt;"""",REGEXEXTRACT($T471, O$1&amp;""[\w &amp;]*, (\d+\.\d+)""),"""")
"),"")</f>
        <v/>
      </c>
      <c r="P471" s="2"/>
      <c r="Q471" s="2"/>
      <c r="R471" s="2"/>
      <c r="S471" s="2"/>
      <c r="T471" s="5"/>
      <c r="U471" s="5"/>
    </row>
    <row r="472" customFormat="false" ht="15.75" hidden="false" customHeight="false" outlineLevel="0" collapsed="false">
      <c r="A472" s="4"/>
      <c r="B472" s="2"/>
      <c r="C472" s="2"/>
      <c r="D472" s="2"/>
      <c r="E472" s="2"/>
      <c r="F472" s="3" t="str">
        <f aca="false">IFERROR(__xludf.dummyfunction("if($T472&lt;&gt;"""",REGEXEXTRACT(SUBSTITUTE ($T472,F$1&amp;"" CE"",""""), F$1&amp;""[\w &amp;]*, (\d+\.\d+)""),"""")
"),"")</f>
        <v/>
      </c>
      <c r="G472" s="3" t="str">
        <f aca="false">IFERROR(__xludf.dummyfunction("if($T472&lt;&gt;"""",REGEXEXTRACT($T472, G$1&amp;""[\w &amp;]*, (\d+\.\d+)""),"""")
"),"")</f>
        <v/>
      </c>
      <c r="H472" s="3"/>
      <c r="I472" s="3" t="str">
        <f aca="false">IFERROR(__xludf.dummyfunction("if($T472&lt;&gt;"""",REGEXEXTRACT(SUBSTITUTE ($T472,I$1&amp;"" CE"",""""), I$1&amp;""[\w &amp;]*, (\d+\.\d+)""),"""")
"),"")</f>
        <v/>
      </c>
      <c r="J472" s="3" t="str">
        <f aca="false">IFERROR(__xludf.dummyfunction("if($T472&lt;&gt;"""",REGEXEXTRACT($T472, J$1&amp;""[\w &amp;]*, (\d+\.\d+)""),"""")
"),"")</f>
        <v/>
      </c>
      <c r="K472" s="3"/>
      <c r="L472" s="3" t="str">
        <f aca="false">IFERROR(__xludf.dummyfunction("if($T472&lt;&gt;"""",REGEXEXTRACT(SUBSTITUTE ($T472,L$1&amp;"" CE"",""""), L$1&amp;""[\w &amp;]*, (\d+\.\d+)""),"""")
"),"")</f>
        <v/>
      </c>
      <c r="M472" s="3" t="str">
        <f aca="false">IFERROR(__xludf.dummyfunction("if($T472&lt;&gt;"""",REGEXEXTRACT($T472, M$1&amp;""[\w &amp;]*, (\d+\.\d+)""),"""")
"),"")</f>
        <v/>
      </c>
      <c r="N472" s="3" t="str">
        <f aca="false">IFERROR(__xludf.dummyfunction("if($T472&lt;&gt;"""",REGEXEXTRACT(SUBSTITUTE ($T472,N$1&amp;"" CE"",""""), N$1&amp;""[\w &amp;]*, (\d+\.\d+)""),"""")
"),"")</f>
        <v/>
      </c>
      <c r="O472" s="3" t="str">
        <f aca="false">IFERROR(__xludf.dummyfunction("if($T472&lt;&gt;"""",REGEXEXTRACT($T472, O$1&amp;""[\w &amp;]*, (\d+\.\d+)""),"""")
"),"")</f>
        <v/>
      </c>
      <c r="P472" s="2"/>
      <c r="Q472" s="2"/>
      <c r="R472" s="2"/>
      <c r="S472" s="2"/>
      <c r="T472" s="5"/>
      <c r="U472" s="5"/>
    </row>
    <row r="473" customFormat="false" ht="15.75" hidden="false" customHeight="false" outlineLevel="0" collapsed="false">
      <c r="A473" s="4"/>
      <c r="B473" s="2"/>
      <c r="C473" s="2"/>
      <c r="D473" s="2"/>
      <c r="E473" s="2"/>
      <c r="F473" s="3" t="str">
        <f aca="false">IFERROR(__xludf.dummyfunction("if($T473&lt;&gt;"""",REGEXEXTRACT(SUBSTITUTE ($T473,F$1&amp;"" CE"",""""), F$1&amp;""[\w &amp;]*, (\d+\.\d+)""),"""")
"),"")</f>
        <v/>
      </c>
      <c r="G473" s="3" t="str">
        <f aca="false">IFERROR(__xludf.dummyfunction("if($T473&lt;&gt;"""",REGEXEXTRACT($T473, G$1&amp;""[\w &amp;]*, (\d+\.\d+)""),"""")
"),"")</f>
        <v/>
      </c>
      <c r="H473" s="3"/>
      <c r="I473" s="3" t="str">
        <f aca="false">IFERROR(__xludf.dummyfunction("if($T473&lt;&gt;"""",REGEXEXTRACT(SUBSTITUTE ($T473,I$1&amp;"" CE"",""""), I$1&amp;""[\w &amp;]*, (\d+\.\d+)""),"""")
"),"")</f>
        <v/>
      </c>
      <c r="J473" s="3" t="str">
        <f aca="false">IFERROR(__xludf.dummyfunction("if($T473&lt;&gt;"""",REGEXEXTRACT($T473, J$1&amp;""[\w &amp;]*, (\d+\.\d+)""),"""")
"),"")</f>
        <v/>
      </c>
      <c r="K473" s="3"/>
      <c r="L473" s="3" t="str">
        <f aca="false">IFERROR(__xludf.dummyfunction("if($T473&lt;&gt;"""",REGEXEXTRACT(SUBSTITUTE ($T473,L$1&amp;"" CE"",""""), L$1&amp;""[\w &amp;]*, (\d+\.\d+)""),"""")
"),"")</f>
        <v/>
      </c>
      <c r="M473" s="3" t="str">
        <f aca="false">IFERROR(__xludf.dummyfunction("if($T473&lt;&gt;"""",REGEXEXTRACT($T473, M$1&amp;""[\w &amp;]*, (\d+\.\d+)""),"""")
"),"")</f>
        <v/>
      </c>
      <c r="N473" s="3" t="str">
        <f aca="false">IFERROR(__xludf.dummyfunction("if($T473&lt;&gt;"""",REGEXEXTRACT(SUBSTITUTE ($T473,N$1&amp;"" CE"",""""), N$1&amp;""[\w &amp;]*, (\d+\.\d+)""),"""")
"),"")</f>
        <v/>
      </c>
      <c r="O473" s="3" t="str">
        <f aca="false">IFERROR(__xludf.dummyfunction("if($T473&lt;&gt;"""",REGEXEXTRACT($T473, O$1&amp;""[\w &amp;]*, (\d+\.\d+)""),"""")
"),"")</f>
        <v/>
      </c>
      <c r="P473" s="2"/>
      <c r="Q473" s="2"/>
      <c r="R473" s="2"/>
      <c r="S473" s="2"/>
      <c r="T473" s="5"/>
      <c r="U473" s="5"/>
    </row>
    <row r="474" customFormat="false" ht="15.75" hidden="false" customHeight="false" outlineLevel="0" collapsed="false">
      <c r="A474" s="4"/>
      <c r="B474" s="2"/>
      <c r="C474" s="2"/>
      <c r="D474" s="2"/>
      <c r="E474" s="2"/>
      <c r="F474" s="3" t="str">
        <f aca="false">IFERROR(__xludf.dummyfunction("if($T474&lt;&gt;"""",REGEXEXTRACT(SUBSTITUTE ($T474,F$1&amp;"" CE"",""""), F$1&amp;""[\w &amp;]*, (\d+\.\d+)""),"""")
"),"")</f>
        <v/>
      </c>
      <c r="G474" s="3" t="str">
        <f aca="false">IFERROR(__xludf.dummyfunction("if($T474&lt;&gt;"""",REGEXEXTRACT($T474, G$1&amp;""[\w &amp;]*, (\d+\.\d+)""),"""")
"),"")</f>
        <v/>
      </c>
      <c r="H474" s="3"/>
      <c r="I474" s="3" t="str">
        <f aca="false">IFERROR(__xludf.dummyfunction("if($T474&lt;&gt;"""",REGEXEXTRACT(SUBSTITUTE ($T474,I$1&amp;"" CE"",""""), I$1&amp;""[\w &amp;]*, (\d+\.\d+)""),"""")
"),"")</f>
        <v/>
      </c>
      <c r="J474" s="3" t="str">
        <f aca="false">IFERROR(__xludf.dummyfunction("if($T474&lt;&gt;"""",REGEXEXTRACT($T474, J$1&amp;""[\w &amp;]*, (\d+\.\d+)""),"""")
"),"")</f>
        <v/>
      </c>
      <c r="K474" s="3"/>
      <c r="L474" s="3" t="str">
        <f aca="false">IFERROR(__xludf.dummyfunction("if($T474&lt;&gt;"""",REGEXEXTRACT(SUBSTITUTE ($T474,L$1&amp;"" CE"",""""), L$1&amp;""[\w &amp;]*, (\d+\.\d+)""),"""")
"),"")</f>
        <v/>
      </c>
      <c r="M474" s="3" t="str">
        <f aca="false">IFERROR(__xludf.dummyfunction("if($T474&lt;&gt;"""",REGEXEXTRACT($T474, M$1&amp;""[\w &amp;]*, (\d+\.\d+)""),"""")
"),"")</f>
        <v/>
      </c>
      <c r="N474" s="3" t="str">
        <f aca="false">IFERROR(__xludf.dummyfunction("if($T474&lt;&gt;"""",REGEXEXTRACT(SUBSTITUTE ($T474,N$1&amp;"" CE"",""""), N$1&amp;""[\w &amp;]*, (\d+\.\d+)""),"""")
"),"")</f>
        <v/>
      </c>
      <c r="O474" s="3" t="str">
        <f aca="false">IFERROR(__xludf.dummyfunction("if($T474&lt;&gt;"""",REGEXEXTRACT($T474, O$1&amp;""[\w &amp;]*, (\d+\.\d+)""),"""")
"),"")</f>
        <v/>
      </c>
      <c r="P474" s="2"/>
      <c r="Q474" s="2"/>
      <c r="R474" s="2"/>
      <c r="S474" s="2"/>
      <c r="T474" s="5"/>
      <c r="U474" s="5"/>
    </row>
    <row r="475" customFormat="false" ht="15.75" hidden="false" customHeight="false" outlineLevel="0" collapsed="false">
      <c r="A475" s="4"/>
      <c r="B475" s="2"/>
      <c r="C475" s="2"/>
      <c r="D475" s="2"/>
      <c r="E475" s="2"/>
      <c r="F475" s="3" t="str">
        <f aca="false">IFERROR(__xludf.dummyfunction("if($T475&lt;&gt;"""",REGEXEXTRACT(SUBSTITUTE ($T475,F$1&amp;"" CE"",""""), F$1&amp;""[\w &amp;]*, (\d+\.\d+)""),"""")
"),"")</f>
        <v/>
      </c>
      <c r="G475" s="3" t="str">
        <f aca="false">IFERROR(__xludf.dummyfunction("if($T475&lt;&gt;"""",REGEXEXTRACT($T475, G$1&amp;""[\w &amp;]*, (\d+\.\d+)""),"""")
"),"")</f>
        <v/>
      </c>
      <c r="H475" s="3"/>
      <c r="I475" s="3" t="str">
        <f aca="false">IFERROR(__xludf.dummyfunction("if($T475&lt;&gt;"""",REGEXEXTRACT(SUBSTITUTE ($T475,I$1&amp;"" CE"",""""), I$1&amp;""[\w &amp;]*, (\d+\.\d+)""),"""")
"),"")</f>
        <v/>
      </c>
      <c r="J475" s="3" t="str">
        <f aca="false">IFERROR(__xludf.dummyfunction("if($T475&lt;&gt;"""",REGEXEXTRACT($T475, J$1&amp;""[\w &amp;]*, (\d+\.\d+)""),"""")
"),"")</f>
        <v/>
      </c>
      <c r="K475" s="3"/>
      <c r="L475" s="3" t="str">
        <f aca="false">IFERROR(__xludf.dummyfunction("if($T475&lt;&gt;"""",REGEXEXTRACT(SUBSTITUTE ($T475,L$1&amp;"" CE"",""""), L$1&amp;""[\w &amp;]*, (\d+\.\d+)""),"""")
"),"")</f>
        <v/>
      </c>
      <c r="M475" s="3" t="str">
        <f aca="false">IFERROR(__xludf.dummyfunction("if($T475&lt;&gt;"""",REGEXEXTRACT($T475, M$1&amp;""[\w &amp;]*, (\d+\.\d+)""),"""")
"),"")</f>
        <v/>
      </c>
      <c r="N475" s="3" t="str">
        <f aca="false">IFERROR(__xludf.dummyfunction("if($T475&lt;&gt;"""",REGEXEXTRACT(SUBSTITUTE ($T475,N$1&amp;"" CE"",""""), N$1&amp;""[\w &amp;]*, (\d+\.\d+)""),"""")
"),"")</f>
        <v/>
      </c>
      <c r="O475" s="3" t="str">
        <f aca="false">IFERROR(__xludf.dummyfunction("if($T475&lt;&gt;"""",REGEXEXTRACT($T475, O$1&amp;""[\w &amp;]*, (\d+\.\d+)""),"""")
"),"")</f>
        <v/>
      </c>
      <c r="P475" s="2"/>
      <c r="Q475" s="2"/>
      <c r="R475" s="2"/>
      <c r="S475" s="2"/>
      <c r="T475" s="5"/>
      <c r="U475" s="5"/>
    </row>
    <row r="476" customFormat="false" ht="15.75" hidden="false" customHeight="false" outlineLevel="0" collapsed="false">
      <c r="A476" s="4"/>
      <c r="B476" s="2"/>
      <c r="C476" s="2"/>
      <c r="D476" s="2"/>
      <c r="E476" s="2"/>
      <c r="F476" s="3" t="str">
        <f aca="false">IFERROR(__xludf.dummyfunction("if($T476&lt;&gt;"""",REGEXEXTRACT(SUBSTITUTE ($T476,F$1&amp;"" CE"",""""), F$1&amp;""[\w &amp;]*, (\d+\.\d+)""),"""")
"),"")</f>
        <v/>
      </c>
      <c r="G476" s="3" t="str">
        <f aca="false">IFERROR(__xludf.dummyfunction("if($T476&lt;&gt;"""",REGEXEXTRACT($T476, G$1&amp;""[\w &amp;]*, (\d+\.\d+)""),"""")
"),"")</f>
        <v/>
      </c>
      <c r="H476" s="3"/>
      <c r="I476" s="3" t="str">
        <f aca="false">IFERROR(__xludf.dummyfunction("if($T476&lt;&gt;"""",REGEXEXTRACT(SUBSTITUTE ($T476,I$1&amp;"" CE"",""""), I$1&amp;""[\w &amp;]*, (\d+\.\d+)""),"""")
"),"")</f>
        <v/>
      </c>
      <c r="J476" s="3" t="str">
        <f aca="false">IFERROR(__xludf.dummyfunction("if($T476&lt;&gt;"""",REGEXEXTRACT($T476, J$1&amp;""[\w &amp;]*, (\d+\.\d+)""),"""")
"),"")</f>
        <v/>
      </c>
      <c r="K476" s="3"/>
      <c r="L476" s="3" t="str">
        <f aca="false">IFERROR(__xludf.dummyfunction("if($T476&lt;&gt;"""",REGEXEXTRACT(SUBSTITUTE ($T476,L$1&amp;"" CE"",""""), L$1&amp;""[\w &amp;]*, (\d+\.\d+)""),"""")
"),"")</f>
        <v/>
      </c>
      <c r="M476" s="3" t="str">
        <f aca="false">IFERROR(__xludf.dummyfunction("if($T476&lt;&gt;"""",REGEXEXTRACT($T476, M$1&amp;""[\w &amp;]*, (\d+\.\d+)""),"""")
"),"")</f>
        <v/>
      </c>
      <c r="N476" s="3" t="str">
        <f aca="false">IFERROR(__xludf.dummyfunction("if($T476&lt;&gt;"""",REGEXEXTRACT(SUBSTITUTE ($T476,N$1&amp;"" CE"",""""), N$1&amp;""[\w &amp;]*, (\d+\.\d+)""),"""")
"),"")</f>
        <v/>
      </c>
      <c r="O476" s="3" t="str">
        <f aca="false">IFERROR(__xludf.dummyfunction("if($T476&lt;&gt;"""",REGEXEXTRACT($T476, O$1&amp;""[\w &amp;]*, (\d+\.\d+)""),"""")
"),"")</f>
        <v/>
      </c>
      <c r="P476" s="2"/>
      <c r="Q476" s="2"/>
      <c r="R476" s="2"/>
      <c r="S476" s="2"/>
      <c r="T476" s="5"/>
      <c r="U476" s="5"/>
    </row>
    <row r="477" customFormat="false" ht="15.75" hidden="false" customHeight="false" outlineLevel="0" collapsed="false">
      <c r="A477" s="4"/>
      <c r="B477" s="2"/>
      <c r="C477" s="2"/>
      <c r="D477" s="2"/>
      <c r="E477" s="2"/>
      <c r="F477" s="3" t="str">
        <f aca="false">IFERROR(__xludf.dummyfunction("if($T477&lt;&gt;"""",REGEXEXTRACT(SUBSTITUTE ($T477,F$1&amp;"" CE"",""""), F$1&amp;""[\w &amp;]*, (\d+\.\d+)""),"""")
"),"")</f>
        <v/>
      </c>
      <c r="G477" s="3" t="str">
        <f aca="false">IFERROR(__xludf.dummyfunction("if($T477&lt;&gt;"""",REGEXEXTRACT($T477, G$1&amp;""[\w &amp;]*, (\d+\.\d+)""),"""")
"),"")</f>
        <v/>
      </c>
      <c r="H477" s="3"/>
      <c r="I477" s="3" t="str">
        <f aca="false">IFERROR(__xludf.dummyfunction("if($T477&lt;&gt;"""",REGEXEXTRACT(SUBSTITUTE ($T477,I$1&amp;"" CE"",""""), I$1&amp;""[\w &amp;]*, (\d+\.\d+)""),"""")
"),"")</f>
        <v/>
      </c>
      <c r="J477" s="3" t="str">
        <f aca="false">IFERROR(__xludf.dummyfunction("if($T477&lt;&gt;"""",REGEXEXTRACT($T477, J$1&amp;""[\w &amp;]*, (\d+\.\d+)""),"""")
"),"")</f>
        <v/>
      </c>
      <c r="K477" s="3"/>
      <c r="L477" s="3" t="str">
        <f aca="false">IFERROR(__xludf.dummyfunction("if($T477&lt;&gt;"""",REGEXEXTRACT(SUBSTITUTE ($T477,L$1&amp;"" CE"",""""), L$1&amp;""[\w &amp;]*, (\d+\.\d+)""),"""")
"),"")</f>
        <v/>
      </c>
      <c r="M477" s="3" t="str">
        <f aca="false">IFERROR(__xludf.dummyfunction("if($T477&lt;&gt;"""",REGEXEXTRACT($T477, M$1&amp;""[\w &amp;]*, (\d+\.\d+)""),"""")
"),"")</f>
        <v/>
      </c>
      <c r="N477" s="3" t="str">
        <f aca="false">IFERROR(__xludf.dummyfunction("if($T477&lt;&gt;"""",REGEXEXTRACT(SUBSTITUTE ($T477,N$1&amp;"" CE"",""""), N$1&amp;""[\w &amp;]*, (\d+\.\d+)""),"""")
"),"")</f>
        <v/>
      </c>
      <c r="O477" s="3" t="str">
        <f aca="false">IFERROR(__xludf.dummyfunction("if($T477&lt;&gt;"""",REGEXEXTRACT($T477, O$1&amp;""[\w &amp;]*, (\d+\.\d+)""),"""")
"),"")</f>
        <v/>
      </c>
      <c r="P477" s="2"/>
      <c r="Q477" s="2"/>
      <c r="R477" s="2"/>
      <c r="S477" s="2"/>
      <c r="T477" s="5"/>
      <c r="U477" s="5"/>
    </row>
    <row r="478" customFormat="false" ht="15.75" hidden="false" customHeight="false" outlineLevel="0" collapsed="false">
      <c r="A478" s="4"/>
      <c r="B478" s="2"/>
      <c r="C478" s="2"/>
      <c r="D478" s="2"/>
      <c r="E478" s="2"/>
      <c r="F478" s="3" t="str">
        <f aca="false">IFERROR(__xludf.dummyfunction("if($T478&lt;&gt;"""",REGEXEXTRACT(SUBSTITUTE ($T478,F$1&amp;"" CE"",""""), F$1&amp;""[\w &amp;]*, (\d+\.\d+)""),"""")
"),"")</f>
        <v/>
      </c>
      <c r="G478" s="3" t="str">
        <f aca="false">IFERROR(__xludf.dummyfunction("if($T478&lt;&gt;"""",REGEXEXTRACT($T478, G$1&amp;""[\w &amp;]*, (\d+\.\d+)""),"""")
"),"")</f>
        <v/>
      </c>
      <c r="H478" s="3"/>
      <c r="I478" s="3" t="str">
        <f aca="false">IFERROR(__xludf.dummyfunction("if($T478&lt;&gt;"""",REGEXEXTRACT(SUBSTITUTE ($T478,I$1&amp;"" CE"",""""), I$1&amp;""[\w &amp;]*, (\d+\.\d+)""),"""")
"),"")</f>
        <v/>
      </c>
      <c r="J478" s="3" t="str">
        <f aca="false">IFERROR(__xludf.dummyfunction("if($T478&lt;&gt;"""",REGEXEXTRACT($T478, J$1&amp;""[\w &amp;]*, (\d+\.\d+)""),"""")
"),"")</f>
        <v/>
      </c>
      <c r="K478" s="3"/>
      <c r="L478" s="3" t="str">
        <f aca="false">IFERROR(__xludf.dummyfunction("if($T478&lt;&gt;"""",REGEXEXTRACT(SUBSTITUTE ($T478,L$1&amp;"" CE"",""""), L$1&amp;""[\w &amp;]*, (\d+\.\d+)""),"""")
"),"")</f>
        <v/>
      </c>
      <c r="M478" s="3" t="str">
        <f aca="false">IFERROR(__xludf.dummyfunction("if($T478&lt;&gt;"""",REGEXEXTRACT($T478, M$1&amp;""[\w &amp;]*, (\d+\.\d+)""),"""")
"),"")</f>
        <v/>
      </c>
      <c r="N478" s="3" t="str">
        <f aca="false">IFERROR(__xludf.dummyfunction("if($T478&lt;&gt;"""",REGEXEXTRACT(SUBSTITUTE ($T478,N$1&amp;"" CE"",""""), N$1&amp;""[\w &amp;]*, (\d+\.\d+)""),"""")
"),"")</f>
        <v/>
      </c>
      <c r="O478" s="3" t="str">
        <f aca="false">IFERROR(__xludf.dummyfunction("if($T478&lt;&gt;"""",REGEXEXTRACT($T478, O$1&amp;""[\w &amp;]*, (\d+\.\d+)""),"""")
"),"")</f>
        <v/>
      </c>
      <c r="P478" s="2"/>
      <c r="Q478" s="2"/>
      <c r="R478" s="2"/>
      <c r="S478" s="2"/>
      <c r="T478" s="5"/>
      <c r="U478" s="5"/>
    </row>
    <row r="479" customFormat="false" ht="15.75" hidden="false" customHeight="false" outlineLevel="0" collapsed="false">
      <c r="A479" s="4"/>
      <c r="B479" s="2"/>
      <c r="C479" s="2"/>
      <c r="D479" s="2"/>
      <c r="E479" s="2"/>
      <c r="F479" s="3" t="str">
        <f aca="false">IFERROR(__xludf.dummyfunction("if($T479&lt;&gt;"""",REGEXEXTRACT(SUBSTITUTE ($T479,F$1&amp;"" CE"",""""), F$1&amp;""[\w &amp;]*, (\d+\.\d+)""),"""")
"),"")</f>
        <v/>
      </c>
      <c r="G479" s="3" t="str">
        <f aca="false">IFERROR(__xludf.dummyfunction("if($T479&lt;&gt;"""",REGEXEXTRACT($T479, G$1&amp;""[\w &amp;]*, (\d+\.\d+)""),"""")
"),"")</f>
        <v/>
      </c>
      <c r="H479" s="3"/>
      <c r="I479" s="3" t="str">
        <f aca="false">IFERROR(__xludf.dummyfunction("if($T479&lt;&gt;"""",REGEXEXTRACT(SUBSTITUTE ($T479,I$1&amp;"" CE"",""""), I$1&amp;""[\w &amp;]*, (\d+\.\d+)""),"""")
"),"")</f>
        <v/>
      </c>
      <c r="J479" s="3" t="str">
        <f aca="false">IFERROR(__xludf.dummyfunction("if($T479&lt;&gt;"""",REGEXEXTRACT($T479, J$1&amp;""[\w &amp;]*, (\d+\.\d+)""),"""")
"),"")</f>
        <v/>
      </c>
      <c r="K479" s="3"/>
      <c r="L479" s="3" t="str">
        <f aca="false">IFERROR(__xludf.dummyfunction("if($T479&lt;&gt;"""",REGEXEXTRACT(SUBSTITUTE ($T479,L$1&amp;"" CE"",""""), L$1&amp;""[\w &amp;]*, (\d+\.\d+)""),"""")
"),"")</f>
        <v/>
      </c>
      <c r="M479" s="3" t="str">
        <f aca="false">IFERROR(__xludf.dummyfunction("if($T479&lt;&gt;"""",REGEXEXTRACT($T479, M$1&amp;""[\w &amp;]*, (\d+\.\d+)""),"""")
"),"")</f>
        <v/>
      </c>
      <c r="N479" s="3" t="str">
        <f aca="false">IFERROR(__xludf.dummyfunction("if($T479&lt;&gt;"""",REGEXEXTRACT(SUBSTITUTE ($T479,N$1&amp;"" CE"",""""), N$1&amp;""[\w &amp;]*, (\d+\.\d+)""),"""")
"),"")</f>
        <v/>
      </c>
      <c r="O479" s="3" t="str">
        <f aca="false">IFERROR(__xludf.dummyfunction("if($T479&lt;&gt;"""",REGEXEXTRACT($T479, O$1&amp;""[\w &amp;]*, (\d+\.\d+)""),"""")
"),"")</f>
        <v/>
      </c>
      <c r="P479" s="2"/>
      <c r="Q479" s="2"/>
      <c r="R479" s="2"/>
      <c r="S479" s="2"/>
      <c r="T479" s="5"/>
      <c r="U479" s="5"/>
    </row>
    <row r="480" customFormat="false" ht="15.75" hidden="false" customHeight="false" outlineLevel="0" collapsed="false">
      <c r="A480" s="4"/>
      <c r="B480" s="2"/>
      <c r="C480" s="2"/>
      <c r="D480" s="2"/>
      <c r="E480" s="2"/>
      <c r="F480" s="3" t="str">
        <f aca="false">IFERROR(__xludf.dummyfunction("if($T480&lt;&gt;"""",REGEXEXTRACT(SUBSTITUTE ($T480,F$1&amp;"" CE"",""""), F$1&amp;""[\w &amp;]*, (\d+\.\d+)""),"""")
"),"")</f>
        <v/>
      </c>
      <c r="G480" s="3" t="str">
        <f aca="false">IFERROR(__xludf.dummyfunction("if($T480&lt;&gt;"""",REGEXEXTRACT($T480, G$1&amp;""[\w &amp;]*, (\d+\.\d+)""),"""")
"),"")</f>
        <v/>
      </c>
      <c r="H480" s="3"/>
      <c r="I480" s="3" t="str">
        <f aca="false">IFERROR(__xludf.dummyfunction("if($T480&lt;&gt;"""",REGEXEXTRACT(SUBSTITUTE ($T480,I$1&amp;"" CE"",""""), I$1&amp;""[\w &amp;]*, (\d+\.\d+)""),"""")
"),"")</f>
        <v/>
      </c>
      <c r="J480" s="3" t="str">
        <f aca="false">IFERROR(__xludf.dummyfunction("if($T480&lt;&gt;"""",REGEXEXTRACT($T480, J$1&amp;""[\w &amp;]*, (\d+\.\d+)""),"""")
"),"")</f>
        <v/>
      </c>
      <c r="K480" s="3"/>
      <c r="L480" s="3" t="str">
        <f aca="false">IFERROR(__xludf.dummyfunction("if($T480&lt;&gt;"""",REGEXEXTRACT(SUBSTITUTE ($T480,L$1&amp;"" CE"",""""), L$1&amp;""[\w &amp;]*, (\d+\.\d+)""),"""")
"),"")</f>
        <v/>
      </c>
      <c r="M480" s="3" t="str">
        <f aca="false">IFERROR(__xludf.dummyfunction("if($T480&lt;&gt;"""",REGEXEXTRACT($T480, M$1&amp;""[\w &amp;]*, (\d+\.\d+)""),"""")
"),"")</f>
        <v/>
      </c>
      <c r="N480" s="3" t="str">
        <f aca="false">IFERROR(__xludf.dummyfunction("if($T480&lt;&gt;"""",REGEXEXTRACT(SUBSTITUTE ($T480,N$1&amp;"" CE"",""""), N$1&amp;""[\w &amp;]*, (\d+\.\d+)""),"""")
"),"")</f>
        <v/>
      </c>
      <c r="O480" s="3" t="str">
        <f aca="false">IFERROR(__xludf.dummyfunction("if($T480&lt;&gt;"""",REGEXEXTRACT($T480, O$1&amp;""[\w &amp;]*, (\d+\.\d+)""),"""")
"),"")</f>
        <v/>
      </c>
      <c r="P480" s="2"/>
      <c r="Q480" s="2"/>
      <c r="R480" s="2"/>
      <c r="S480" s="2"/>
      <c r="T480" s="5"/>
      <c r="U480" s="5"/>
    </row>
    <row r="481" customFormat="false" ht="15.75" hidden="false" customHeight="false" outlineLevel="0" collapsed="false">
      <c r="A481" s="4"/>
      <c r="B481" s="2"/>
      <c r="C481" s="2"/>
      <c r="D481" s="2"/>
      <c r="E481" s="2"/>
      <c r="F481" s="3" t="str">
        <f aca="false">IFERROR(__xludf.dummyfunction("if($T481&lt;&gt;"""",REGEXEXTRACT(SUBSTITUTE ($T481,F$1&amp;"" CE"",""""), F$1&amp;""[\w &amp;]*, (\d+\.\d+)""),"""")
"),"")</f>
        <v/>
      </c>
      <c r="G481" s="3" t="str">
        <f aca="false">IFERROR(__xludf.dummyfunction("if($T481&lt;&gt;"""",REGEXEXTRACT($T481, G$1&amp;""[\w &amp;]*, (\d+\.\d+)""),"""")
"),"")</f>
        <v/>
      </c>
      <c r="H481" s="3"/>
      <c r="I481" s="3" t="str">
        <f aca="false">IFERROR(__xludf.dummyfunction("if($T481&lt;&gt;"""",REGEXEXTRACT(SUBSTITUTE ($T481,I$1&amp;"" CE"",""""), I$1&amp;""[\w &amp;]*, (\d+\.\d+)""),"""")
"),"")</f>
        <v/>
      </c>
      <c r="J481" s="3" t="str">
        <f aca="false">IFERROR(__xludf.dummyfunction("if($T481&lt;&gt;"""",REGEXEXTRACT($T481, J$1&amp;""[\w &amp;]*, (\d+\.\d+)""),"""")
"),"")</f>
        <v/>
      </c>
      <c r="K481" s="3"/>
      <c r="L481" s="3" t="str">
        <f aca="false">IFERROR(__xludf.dummyfunction("if($T481&lt;&gt;"""",REGEXEXTRACT(SUBSTITUTE ($T481,L$1&amp;"" CE"",""""), L$1&amp;""[\w &amp;]*, (\d+\.\d+)""),"""")
"),"")</f>
        <v/>
      </c>
      <c r="M481" s="3" t="str">
        <f aca="false">IFERROR(__xludf.dummyfunction("if($T481&lt;&gt;"""",REGEXEXTRACT($T481, M$1&amp;""[\w &amp;]*, (\d+\.\d+)""),"""")
"),"")</f>
        <v/>
      </c>
      <c r="N481" s="3" t="str">
        <f aca="false">IFERROR(__xludf.dummyfunction("if($T481&lt;&gt;"""",REGEXEXTRACT(SUBSTITUTE ($T481,N$1&amp;"" CE"",""""), N$1&amp;""[\w &amp;]*, (\d+\.\d+)""),"""")
"),"")</f>
        <v/>
      </c>
      <c r="O481" s="3" t="str">
        <f aca="false">IFERROR(__xludf.dummyfunction("if($T481&lt;&gt;"""",REGEXEXTRACT($T481, O$1&amp;""[\w &amp;]*, (\d+\.\d+)""),"""")
"),"")</f>
        <v/>
      </c>
      <c r="P481" s="2"/>
      <c r="Q481" s="2"/>
      <c r="R481" s="2"/>
      <c r="S481" s="2"/>
      <c r="T481" s="5"/>
      <c r="U481" s="5"/>
    </row>
    <row r="482" customFormat="false" ht="15.75" hidden="false" customHeight="false" outlineLevel="0" collapsed="false">
      <c r="A482" s="4"/>
      <c r="B482" s="2"/>
      <c r="C482" s="2"/>
      <c r="D482" s="2"/>
      <c r="E482" s="2"/>
      <c r="F482" s="3" t="str">
        <f aca="false">IFERROR(__xludf.dummyfunction("if($T482&lt;&gt;"""",REGEXEXTRACT(SUBSTITUTE ($T482,F$1&amp;"" CE"",""""), F$1&amp;""[\w &amp;]*, (\d+\.\d+)""),"""")
"),"")</f>
        <v/>
      </c>
      <c r="G482" s="3" t="str">
        <f aca="false">IFERROR(__xludf.dummyfunction("if($T482&lt;&gt;"""",REGEXEXTRACT($T482, G$1&amp;""[\w &amp;]*, (\d+\.\d+)""),"""")
"),"")</f>
        <v/>
      </c>
      <c r="H482" s="3"/>
      <c r="I482" s="3" t="str">
        <f aca="false">IFERROR(__xludf.dummyfunction("if($T482&lt;&gt;"""",REGEXEXTRACT(SUBSTITUTE ($T482,I$1&amp;"" CE"",""""), I$1&amp;""[\w &amp;]*, (\d+\.\d+)""),"""")
"),"")</f>
        <v/>
      </c>
      <c r="J482" s="3" t="str">
        <f aca="false">IFERROR(__xludf.dummyfunction("if($T482&lt;&gt;"""",REGEXEXTRACT($T482, J$1&amp;""[\w &amp;]*, (\d+\.\d+)""),"""")
"),"")</f>
        <v/>
      </c>
      <c r="K482" s="3"/>
      <c r="L482" s="3" t="str">
        <f aca="false">IFERROR(__xludf.dummyfunction("if($T482&lt;&gt;"""",REGEXEXTRACT(SUBSTITUTE ($T482,L$1&amp;"" CE"",""""), L$1&amp;""[\w &amp;]*, (\d+\.\d+)""),"""")
"),"")</f>
        <v/>
      </c>
      <c r="M482" s="3" t="str">
        <f aca="false">IFERROR(__xludf.dummyfunction("if($T482&lt;&gt;"""",REGEXEXTRACT($T482, M$1&amp;""[\w &amp;]*, (\d+\.\d+)""),"""")
"),"")</f>
        <v/>
      </c>
      <c r="N482" s="3" t="str">
        <f aca="false">IFERROR(__xludf.dummyfunction("if($T482&lt;&gt;"""",REGEXEXTRACT(SUBSTITUTE ($T482,N$1&amp;"" CE"",""""), N$1&amp;""[\w &amp;]*, (\d+\.\d+)""),"""")
"),"")</f>
        <v/>
      </c>
      <c r="O482" s="3" t="str">
        <f aca="false">IFERROR(__xludf.dummyfunction("if($T482&lt;&gt;"""",REGEXEXTRACT($T482, O$1&amp;""[\w &amp;]*, (\d+\.\d+)""),"""")
"),"")</f>
        <v/>
      </c>
      <c r="P482" s="2"/>
      <c r="Q482" s="2"/>
      <c r="R482" s="2"/>
      <c r="S482" s="2"/>
      <c r="T482" s="5"/>
      <c r="U482" s="5"/>
    </row>
    <row r="483" customFormat="false" ht="15.75" hidden="false" customHeight="false" outlineLevel="0" collapsed="false">
      <c r="A483" s="4"/>
      <c r="B483" s="2"/>
      <c r="C483" s="2"/>
      <c r="D483" s="2"/>
      <c r="E483" s="2"/>
      <c r="F483" s="3" t="str">
        <f aca="false">IFERROR(__xludf.dummyfunction("if($T483&lt;&gt;"""",REGEXEXTRACT(SUBSTITUTE ($T483,F$1&amp;"" CE"",""""), F$1&amp;""[\w &amp;]*, (\d+\.\d+)""),"""")
"),"")</f>
        <v/>
      </c>
      <c r="G483" s="3" t="str">
        <f aca="false">IFERROR(__xludf.dummyfunction("if($T483&lt;&gt;"""",REGEXEXTRACT($T483, G$1&amp;""[\w &amp;]*, (\d+\.\d+)""),"""")
"),"")</f>
        <v/>
      </c>
      <c r="H483" s="3"/>
      <c r="I483" s="3" t="str">
        <f aca="false">IFERROR(__xludf.dummyfunction("if($T483&lt;&gt;"""",REGEXEXTRACT(SUBSTITUTE ($T483,I$1&amp;"" CE"",""""), I$1&amp;""[\w &amp;]*, (\d+\.\d+)""),"""")
"),"")</f>
        <v/>
      </c>
      <c r="J483" s="3" t="str">
        <f aca="false">IFERROR(__xludf.dummyfunction("if($T483&lt;&gt;"""",REGEXEXTRACT($T483, J$1&amp;""[\w &amp;]*, (\d+\.\d+)""),"""")
"),"")</f>
        <v/>
      </c>
      <c r="K483" s="3"/>
      <c r="L483" s="3" t="str">
        <f aca="false">IFERROR(__xludf.dummyfunction("if($T483&lt;&gt;"""",REGEXEXTRACT(SUBSTITUTE ($T483,L$1&amp;"" CE"",""""), L$1&amp;""[\w &amp;]*, (\d+\.\d+)""),"""")
"),"")</f>
        <v/>
      </c>
      <c r="M483" s="3" t="str">
        <f aca="false">IFERROR(__xludf.dummyfunction("if($T483&lt;&gt;"""",REGEXEXTRACT($T483, M$1&amp;""[\w &amp;]*, (\d+\.\d+)""),"""")
"),"")</f>
        <v/>
      </c>
      <c r="N483" s="3" t="str">
        <f aca="false">IFERROR(__xludf.dummyfunction("if($T483&lt;&gt;"""",REGEXEXTRACT(SUBSTITUTE ($T483,N$1&amp;"" CE"",""""), N$1&amp;""[\w &amp;]*, (\d+\.\d+)""),"""")
"),"")</f>
        <v/>
      </c>
      <c r="O483" s="3" t="str">
        <f aca="false">IFERROR(__xludf.dummyfunction("if($T483&lt;&gt;"""",REGEXEXTRACT($T483, O$1&amp;""[\w &amp;]*, (\d+\.\d+)""),"""")
"),"")</f>
        <v/>
      </c>
      <c r="P483" s="2"/>
      <c r="Q483" s="2"/>
      <c r="R483" s="2"/>
      <c r="S483" s="2"/>
      <c r="T483" s="5"/>
      <c r="U483" s="5"/>
    </row>
    <row r="484" customFormat="false" ht="15.75" hidden="false" customHeight="false" outlineLevel="0" collapsed="false">
      <c r="A484" s="4"/>
      <c r="B484" s="2"/>
      <c r="C484" s="2"/>
      <c r="D484" s="2"/>
      <c r="E484" s="2"/>
      <c r="F484" s="3" t="str">
        <f aca="false">IFERROR(__xludf.dummyfunction("if($T484&lt;&gt;"""",REGEXEXTRACT(SUBSTITUTE ($T484,F$1&amp;"" CE"",""""), F$1&amp;""[\w &amp;]*, (\d+\.\d+)""),"""")
"),"")</f>
        <v/>
      </c>
      <c r="G484" s="3" t="str">
        <f aca="false">IFERROR(__xludf.dummyfunction("if($T484&lt;&gt;"""",REGEXEXTRACT($T484, G$1&amp;""[\w &amp;]*, (\d+\.\d+)""),"""")
"),"")</f>
        <v/>
      </c>
      <c r="H484" s="3"/>
      <c r="I484" s="3" t="str">
        <f aca="false">IFERROR(__xludf.dummyfunction("if($T484&lt;&gt;"""",REGEXEXTRACT(SUBSTITUTE ($T484,I$1&amp;"" CE"",""""), I$1&amp;""[\w &amp;]*, (\d+\.\d+)""),"""")
"),"")</f>
        <v/>
      </c>
      <c r="J484" s="3" t="str">
        <f aca="false">IFERROR(__xludf.dummyfunction("if($T484&lt;&gt;"""",REGEXEXTRACT($T484, J$1&amp;""[\w &amp;]*, (\d+\.\d+)""),"""")
"),"")</f>
        <v/>
      </c>
      <c r="K484" s="3"/>
      <c r="L484" s="3" t="str">
        <f aca="false">IFERROR(__xludf.dummyfunction("if($T484&lt;&gt;"""",REGEXEXTRACT(SUBSTITUTE ($T484,L$1&amp;"" CE"",""""), L$1&amp;""[\w &amp;]*, (\d+\.\d+)""),"""")
"),"")</f>
        <v/>
      </c>
      <c r="M484" s="3" t="str">
        <f aca="false">IFERROR(__xludf.dummyfunction("if($T484&lt;&gt;"""",REGEXEXTRACT($T484, M$1&amp;""[\w &amp;]*, (\d+\.\d+)""),"""")
"),"")</f>
        <v/>
      </c>
      <c r="N484" s="3" t="str">
        <f aca="false">IFERROR(__xludf.dummyfunction("if($T484&lt;&gt;"""",REGEXEXTRACT(SUBSTITUTE ($T484,N$1&amp;"" CE"",""""), N$1&amp;""[\w &amp;]*, (\d+\.\d+)""),"""")
"),"")</f>
        <v/>
      </c>
      <c r="O484" s="3" t="str">
        <f aca="false">IFERROR(__xludf.dummyfunction("if($T484&lt;&gt;"""",REGEXEXTRACT($T484, O$1&amp;""[\w &amp;]*, (\d+\.\d+)""),"""")
"),"")</f>
        <v/>
      </c>
      <c r="P484" s="2"/>
      <c r="Q484" s="2"/>
      <c r="R484" s="2"/>
      <c r="S484" s="2"/>
      <c r="T484" s="5"/>
      <c r="U484" s="5"/>
    </row>
    <row r="485" customFormat="false" ht="15.75" hidden="false" customHeight="false" outlineLevel="0" collapsed="false">
      <c r="A485" s="4"/>
      <c r="B485" s="2"/>
      <c r="C485" s="2"/>
      <c r="D485" s="2"/>
      <c r="E485" s="2"/>
      <c r="F485" s="3" t="str">
        <f aca="false">IFERROR(__xludf.dummyfunction("if($T485&lt;&gt;"""",REGEXEXTRACT(SUBSTITUTE ($T485,F$1&amp;"" CE"",""""), F$1&amp;""[\w &amp;]*, (\d+\.\d+)""),"""")
"),"")</f>
        <v/>
      </c>
      <c r="G485" s="3" t="str">
        <f aca="false">IFERROR(__xludf.dummyfunction("if($T485&lt;&gt;"""",REGEXEXTRACT($T485, G$1&amp;""[\w &amp;]*, (\d+\.\d+)""),"""")
"),"")</f>
        <v/>
      </c>
      <c r="H485" s="3"/>
      <c r="I485" s="3" t="str">
        <f aca="false">IFERROR(__xludf.dummyfunction("if($T485&lt;&gt;"""",REGEXEXTRACT(SUBSTITUTE ($T485,I$1&amp;"" CE"",""""), I$1&amp;""[\w &amp;]*, (\d+\.\d+)""),"""")
"),"")</f>
        <v/>
      </c>
      <c r="J485" s="3" t="str">
        <f aca="false">IFERROR(__xludf.dummyfunction("if($T485&lt;&gt;"""",REGEXEXTRACT($T485, J$1&amp;""[\w &amp;]*, (\d+\.\d+)""),"""")
"),"")</f>
        <v/>
      </c>
      <c r="K485" s="3"/>
      <c r="L485" s="3" t="str">
        <f aca="false">IFERROR(__xludf.dummyfunction("if($T485&lt;&gt;"""",REGEXEXTRACT(SUBSTITUTE ($T485,L$1&amp;"" CE"",""""), L$1&amp;""[\w &amp;]*, (\d+\.\d+)""),"""")
"),"")</f>
        <v/>
      </c>
      <c r="M485" s="3" t="str">
        <f aca="false">IFERROR(__xludf.dummyfunction("if($T485&lt;&gt;"""",REGEXEXTRACT($T485, M$1&amp;""[\w &amp;]*, (\d+\.\d+)""),"""")
"),"")</f>
        <v/>
      </c>
      <c r="N485" s="3" t="str">
        <f aca="false">IFERROR(__xludf.dummyfunction("if($T485&lt;&gt;"""",REGEXEXTRACT(SUBSTITUTE ($T485,N$1&amp;"" CE"",""""), N$1&amp;""[\w &amp;]*, (\d+\.\d+)""),"""")
"),"")</f>
        <v/>
      </c>
      <c r="O485" s="3" t="str">
        <f aca="false">IFERROR(__xludf.dummyfunction("if($T485&lt;&gt;"""",REGEXEXTRACT($T485, O$1&amp;""[\w &amp;]*, (\d+\.\d+)""),"""")
"),"")</f>
        <v/>
      </c>
      <c r="P485" s="2"/>
      <c r="Q485" s="2"/>
      <c r="R485" s="2"/>
      <c r="S485" s="2"/>
      <c r="T485" s="5"/>
      <c r="U485" s="5"/>
    </row>
    <row r="486" customFormat="false" ht="15.75" hidden="false" customHeight="false" outlineLevel="0" collapsed="false">
      <c r="A486" s="4"/>
      <c r="B486" s="2"/>
      <c r="C486" s="2"/>
      <c r="D486" s="2"/>
      <c r="E486" s="2"/>
      <c r="F486" s="3" t="str">
        <f aca="false">IFERROR(__xludf.dummyfunction("if($T486&lt;&gt;"""",REGEXEXTRACT(SUBSTITUTE ($T486,F$1&amp;"" CE"",""""), F$1&amp;""[\w &amp;]*, (\d+\.\d+)""),"""")
"),"")</f>
        <v/>
      </c>
      <c r="G486" s="3" t="str">
        <f aca="false">IFERROR(__xludf.dummyfunction("if($T486&lt;&gt;"""",REGEXEXTRACT($T486, G$1&amp;""[\w &amp;]*, (\d+\.\d+)""),"""")
"),"")</f>
        <v/>
      </c>
      <c r="H486" s="3"/>
      <c r="I486" s="3" t="str">
        <f aca="false">IFERROR(__xludf.dummyfunction("if($T486&lt;&gt;"""",REGEXEXTRACT(SUBSTITUTE ($T486,I$1&amp;"" CE"",""""), I$1&amp;""[\w &amp;]*, (\d+\.\d+)""),"""")
"),"")</f>
        <v/>
      </c>
      <c r="J486" s="3" t="str">
        <f aca="false">IFERROR(__xludf.dummyfunction("if($T486&lt;&gt;"""",REGEXEXTRACT($T486, J$1&amp;""[\w &amp;]*, (\d+\.\d+)""),"""")
"),"")</f>
        <v/>
      </c>
      <c r="K486" s="3"/>
      <c r="L486" s="3" t="str">
        <f aca="false">IFERROR(__xludf.dummyfunction("if($T486&lt;&gt;"""",REGEXEXTRACT(SUBSTITUTE ($T486,L$1&amp;"" CE"",""""), L$1&amp;""[\w &amp;]*, (\d+\.\d+)""),"""")
"),"")</f>
        <v/>
      </c>
      <c r="M486" s="3" t="str">
        <f aca="false">IFERROR(__xludf.dummyfunction("if($T486&lt;&gt;"""",REGEXEXTRACT($T486, M$1&amp;""[\w &amp;]*, (\d+\.\d+)""),"""")
"),"")</f>
        <v/>
      </c>
      <c r="N486" s="3" t="str">
        <f aca="false">IFERROR(__xludf.dummyfunction("if($T486&lt;&gt;"""",REGEXEXTRACT(SUBSTITUTE ($T486,N$1&amp;"" CE"",""""), N$1&amp;""[\w &amp;]*, (\d+\.\d+)""),"""")
"),"")</f>
        <v/>
      </c>
      <c r="O486" s="3" t="str">
        <f aca="false">IFERROR(__xludf.dummyfunction("if($T486&lt;&gt;"""",REGEXEXTRACT($T486, O$1&amp;""[\w &amp;]*, (\d+\.\d+)""),"""")
"),"")</f>
        <v/>
      </c>
      <c r="P486" s="2"/>
      <c r="Q486" s="2"/>
      <c r="R486" s="2"/>
      <c r="S486" s="2"/>
      <c r="T486" s="5"/>
      <c r="U486" s="5"/>
    </row>
    <row r="487" customFormat="false" ht="15.75" hidden="false" customHeight="false" outlineLevel="0" collapsed="false">
      <c r="A487" s="4"/>
      <c r="B487" s="2"/>
      <c r="C487" s="2"/>
      <c r="D487" s="2"/>
      <c r="E487" s="2"/>
      <c r="F487" s="3" t="str">
        <f aca="false">IFERROR(__xludf.dummyfunction("if($T487&lt;&gt;"""",REGEXEXTRACT(SUBSTITUTE ($T487,F$1&amp;"" CE"",""""), F$1&amp;""[\w &amp;]*, (\d+\.\d+)""),"""")
"),"")</f>
        <v/>
      </c>
      <c r="G487" s="3" t="str">
        <f aca="false">IFERROR(__xludf.dummyfunction("if($T487&lt;&gt;"""",REGEXEXTRACT($T487, G$1&amp;""[\w &amp;]*, (\d+\.\d+)""),"""")
"),"")</f>
        <v/>
      </c>
      <c r="H487" s="3"/>
      <c r="I487" s="3" t="str">
        <f aca="false">IFERROR(__xludf.dummyfunction("if($T487&lt;&gt;"""",REGEXEXTRACT(SUBSTITUTE ($T487,I$1&amp;"" CE"",""""), I$1&amp;""[\w &amp;]*, (\d+\.\d+)""),"""")
"),"")</f>
        <v/>
      </c>
      <c r="J487" s="3" t="str">
        <f aca="false">IFERROR(__xludf.dummyfunction("if($T487&lt;&gt;"""",REGEXEXTRACT($T487, J$1&amp;""[\w &amp;]*, (\d+\.\d+)""),"""")
"),"")</f>
        <v/>
      </c>
      <c r="K487" s="3"/>
      <c r="L487" s="3" t="str">
        <f aca="false">IFERROR(__xludf.dummyfunction("if($T487&lt;&gt;"""",REGEXEXTRACT(SUBSTITUTE ($T487,L$1&amp;"" CE"",""""), L$1&amp;""[\w &amp;]*, (\d+\.\d+)""),"""")
"),"")</f>
        <v/>
      </c>
      <c r="M487" s="3" t="str">
        <f aca="false">IFERROR(__xludf.dummyfunction("if($T487&lt;&gt;"""",REGEXEXTRACT($T487, M$1&amp;""[\w &amp;]*, (\d+\.\d+)""),"""")
"),"")</f>
        <v/>
      </c>
      <c r="N487" s="3" t="str">
        <f aca="false">IFERROR(__xludf.dummyfunction("if($T487&lt;&gt;"""",REGEXEXTRACT(SUBSTITUTE ($T487,N$1&amp;"" CE"",""""), N$1&amp;""[\w &amp;]*, (\d+\.\d+)""),"""")
"),"")</f>
        <v/>
      </c>
      <c r="O487" s="3" t="str">
        <f aca="false">IFERROR(__xludf.dummyfunction("if($T487&lt;&gt;"""",REGEXEXTRACT($T487, O$1&amp;""[\w &amp;]*, (\d+\.\d+)""),"""")
"),"")</f>
        <v/>
      </c>
      <c r="P487" s="2"/>
      <c r="Q487" s="2"/>
      <c r="R487" s="2"/>
      <c r="S487" s="2"/>
      <c r="T487" s="5"/>
      <c r="U487" s="5"/>
    </row>
    <row r="488" customFormat="false" ht="15.75" hidden="false" customHeight="false" outlineLevel="0" collapsed="false">
      <c r="A488" s="4"/>
      <c r="B488" s="2"/>
      <c r="C488" s="2"/>
      <c r="D488" s="2"/>
      <c r="E488" s="2"/>
      <c r="F488" s="3" t="str">
        <f aca="false">IFERROR(__xludf.dummyfunction("if($T488&lt;&gt;"""",REGEXEXTRACT(SUBSTITUTE ($T488,F$1&amp;"" CE"",""""), F$1&amp;""[\w &amp;]*, (\d+\.\d+)""),"""")
"),"")</f>
        <v/>
      </c>
      <c r="G488" s="3" t="str">
        <f aca="false">IFERROR(__xludf.dummyfunction("if($T488&lt;&gt;"""",REGEXEXTRACT($T488, G$1&amp;""[\w &amp;]*, (\d+\.\d+)""),"""")
"),"")</f>
        <v/>
      </c>
      <c r="H488" s="3"/>
      <c r="I488" s="3" t="str">
        <f aca="false">IFERROR(__xludf.dummyfunction("if($T488&lt;&gt;"""",REGEXEXTRACT(SUBSTITUTE ($T488,I$1&amp;"" CE"",""""), I$1&amp;""[\w &amp;]*, (\d+\.\d+)""),"""")
"),"")</f>
        <v/>
      </c>
      <c r="J488" s="3" t="str">
        <f aca="false">IFERROR(__xludf.dummyfunction("if($T488&lt;&gt;"""",REGEXEXTRACT($T488, J$1&amp;""[\w &amp;]*, (\d+\.\d+)""),"""")
"),"")</f>
        <v/>
      </c>
      <c r="K488" s="3"/>
      <c r="L488" s="3" t="str">
        <f aca="false">IFERROR(__xludf.dummyfunction("if($T488&lt;&gt;"""",REGEXEXTRACT(SUBSTITUTE ($T488,L$1&amp;"" CE"",""""), L$1&amp;""[\w &amp;]*, (\d+\.\d+)""),"""")
"),"")</f>
        <v/>
      </c>
      <c r="M488" s="3" t="str">
        <f aca="false">IFERROR(__xludf.dummyfunction("if($T488&lt;&gt;"""",REGEXEXTRACT($T488, M$1&amp;""[\w &amp;]*, (\d+\.\d+)""),"""")
"),"")</f>
        <v/>
      </c>
      <c r="N488" s="3" t="str">
        <f aca="false">IFERROR(__xludf.dummyfunction("if($T488&lt;&gt;"""",REGEXEXTRACT(SUBSTITUTE ($T488,N$1&amp;"" CE"",""""), N$1&amp;""[\w &amp;]*, (\d+\.\d+)""),"""")
"),"")</f>
        <v/>
      </c>
      <c r="O488" s="3" t="str">
        <f aca="false">IFERROR(__xludf.dummyfunction("if($T488&lt;&gt;"""",REGEXEXTRACT($T488, O$1&amp;""[\w &amp;]*, (\d+\.\d+)""),"""")
"),"")</f>
        <v/>
      </c>
      <c r="P488" s="2"/>
      <c r="Q488" s="2"/>
      <c r="R488" s="2"/>
      <c r="S488" s="2"/>
      <c r="T488" s="5"/>
      <c r="U488" s="5"/>
    </row>
    <row r="489" customFormat="false" ht="15.75" hidden="false" customHeight="false" outlineLevel="0" collapsed="false">
      <c r="A489" s="4"/>
      <c r="B489" s="2"/>
      <c r="C489" s="2"/>
      <c r="D489" s="2"/>
      <c r="E489" s="2"/>
      <c r="F489" s="3" t="str">
        <f aca="false">IFERROR(__xludf.dummyfunction("if($T489&lt;&gt;"""",REGEXEXTRACT(SUBSTITUTE ($T489,F$1&amp;"" CE"",""""), F$1&amp;""[\w &amp;]*, (\d+\.\d+)""),"""")
"),"")</f>
        <v/>
      </c>
      <c r="G489" s="3" t="str">
        <f aca="false">IFERROR(__xludf.dummyfunction("if($T489&lt;&gt;"""",REGEXEXTRACT($T489, G$1&amp;""[\w &amp;]*, (\d+\.\d+)""),"""")
"),"")</f>
        <v/>
      </c>
      <c r="H489" s="3"/>
      <c r="I489" s="3" t="str">
        <f aca="false">IFERROR(__xludf.dummyfunction("if($T489&lt;&gt;"""",REGEXEXTRACT(SUBSTITUTE ($T489,I$1&amp;"" CE"",""""), I$1&amp;""[\w &amp;]*, (\d+\.\d+)""),"""")
"),"")</f>
        <v/>
      </c>
      <c r="J489" s="3" t="str">
        <f aca="false">IFERROR(__xludf.dummyfunction("if($T489&lt;&gt;"""",REGEXEXTRACT($T489, J$1&amp;""[\w &amp;]*, (\d+\.\d+)""),"""")
"),"")</f>
        <v/>
      </c>
      <c r="K489" s="3"/>
      <c r="L489" s="3" t="str">
        <f aca="false">IFERROR(__xludf.dummyfunction("if($T489&lt;&gt;"""",REGEXEXTRACT(SUBSTITUTE ($T489,L$1&amp;"" CE"",""""), L$1&amp;""[\w &amp;]*, (\d+\.\d+)""),"""")
"),"")</f>
        <v/>
      </c>
      <c r="M489" s="3" t="str">
        <f aca="false">IFERROR(__xludf.dummyfunction("if($T489&lt;&gt;"""",REGEXEXTRACT($T489, M$1&amp;""[\w &amp;]*, (\d+\.\d+)""),"""")
"),"")</f>
        <v/>
      </c>
      <c r="N489" s="3" t="str">
        <f aca="false">IFERROR(__xludf.dummyfunction("if($T489&lt;&gt;"""",REGEXEXTRACT(SUBSTITUTE ($T489,N$1&amp;"" CE"",""""), N$1&amp;""[\w &amp;]*, (\d+\.\d+)""),"""")
"),"")</f>
        <v/>
      </c>
      <c r="O489" s="3" t="str">
        <f aca="false">IFERROR(__xludf.dummyfunction("if($T489&lt;&gt;"""",REGEXEXTRACT($T489, O$1&amp;""[\w &amp;]*, (\d+\.\d+)""),"""")
"),"")</f>
        <v/>
      </c>
      <c r="P489" s="2"/>
      <c r="Q489" s="2"/>
      <c r="R489" s="2"/>
      <c r="S489" s="2"/>
      <c r="T489" s="5"/>
      <c r="U489" s="5"/>
    </row>
    <row r="490" customFormat="false" ht="15.75" hidden="false" customHeight="false" outlineLevel="0" collapsed="false">
      <c r="A490" s="4"/>
      <c r="B490" s="2"/>
      <c r="C490" s="2"/>
      <c r="D490" s="2"/>
      <c r="E490" s="2"/>
      <c r="F490" s="3" t="str">
        <f aca="false">IFERROR(__xludf.dummyfunction("if($T490&lt;&gt;"""",REGEXEXTRACT(SUBSTITUTE ($T490,F$1&amp;"" CE"",""""), F$1&amp;""[\w &amp;]*, (\d+\.\d+)""),"""")
"),"")</f>
        <v/>
      </c>
      <c r="G490" s="3" t="str">
        <f aca="false">IFERROR(__xludf.dummyfunction("if($T490&lt;&gt;"""",REGEXEXTRACT($T490, G$1&amp;""[\w &amp;]*, (\d+\.\d+)""),"""")
"),"")</f>
        <v/>
      </c>
      <c r="H490" s="3"/>
      <c r="I490" s="3" t="str">
        <f aca="false">IFERROR(__xludf.dummyfunction("if($T490&lt;&gt;"""",REGEXEXTRACT(SUBSTITUTE ($T490,I$1&amp;"" CE"",""""), I$1&amp;""[\w &amp;]*, (\d+\.\d+)""),"""")
"),"")</f>
        <v/>
      </c>
      <c r="J490" s="3" t="str">
        <f aca="false">IFERROR(__xludf.dummyfunction("if($T490&lt;&gt;"""",REGEXEXTRACT($T490, J$1&amp;""[\w &amp;]*, (\d+\.\d+)""),"""")
"),"")</f>
        <v/>
      </c>
      <c r="K490" s="3"/>
      <c r="L490" s="3" t="str">
        <f aca="false">IFERROR(__xludf.dummyfunction("if($T490&lt;&gt;"""",REGEXEXTRACT(SUBSTITUTE ($T490,L$1&amp;"" CE"",""""), L$1&amp;""[\w &amp;]*, (\d+\.\d+)""),"""")
"),"")</f>
        <v/>
      </c>
      <c r="M490" s="3" t="str">
        <f aca="false">IFERROR(__xludf.dummyfunction("if($T490&lt;&gt;"""",REGEXEXTRACT($T490, M$1&amp;""[\w &amp;]*, (\d+\.\d+)""),"""")
"),"")</f>
        <v/>
      </c>
      <c r="N490" s="3" t="str">
        <f aca="false">IFERROR(__xludf.dummyfunction("if($T490&lt;&gt;"""",REGEXEXTRACT(SUBSTITUTE ($T490,N$1&amp;"" CE"",""""), N$1&amp;""[\w &amp;]*, (\d+\.\d+)""),"""")
"),"")</f>
        <v/>
      </c>
      <c r="O490" s="3" t="str">
        <f aca="false">IFERROR(__xludf.dummyfunction("if($T490&lt;&gt;"""",REGEXEXTRACT($T490, O$1&amp;""[\w &amp;]*, (\d+\.\d+)""),"""")
"),"")</f>
        <v/>
      </c>
      <c r="P490" s="2"/>
      <c r="Q490" s="2"/>
      <c r="R490" s="2"/>
      <c r="S490" s="2"/>
      <c r="T490" s="5"/>
      <c r="U490" s="5"/>
    </row>
    <row r="491" customFormat="false" ht="15.75" hidden="false" customHeight="false" outlineLevel="0" collapsed="false">
      <c r="A491" s="4"/>
      <c r="B491" s="2"/>
      <c r="C491" s="2"/>
      <c r="D491" s="2"/>
      <c r="E491" s="2"/>
      <c r="F491" s="3" t="str">
        <f aca="false">IFERROR(__xludf.dummyfunction("if($T491&lt;&gt;"""",REGEXEXTRACT(SUBSTITUTE ($T491,F$1&amp;"" CE"",""""), F$1&amp;""[\w &amp;]*, (\d+\.\d+)""),"""")
"),"")</f>
        <v/>
      </c>
      <c r="G491" s="3" t="str">
        <f aca="false">IFERROR(__xludf.dummyfunction("if($T491&lt;&gt;"""",REGEXEXTRACT($T491, G$1&amp;""[\w &amp;]*, (\d+\.\d+)""),"""")
"),"")</f>
        <v/>
      </c>
      <c r="H491" s="3"/>
      <c r="I491" s="3" t="str">
        <f aca="false">IFERROR(__xludf.dummyfunction("if($T491&lt;&gt;"""",REGEXEXTRACT(SUBSTITUTE ($T491,I$1&amp;"" CE"",""""), I$1&amp;""[\w &amp;]*, (\d+\.\d+)""),"""")
"),"")</f>
        <v/>
      </c>
      <c r="J491" s="3" t="str">
        <f aca="false">IFERROR(__xludf.dummyfunction("if($T491&lt;&gt;"""",REGEXEXTRACT($T491, J$1&amp;""[\w &amp;]*, (\d+\.\d+)""),"""")
"),"")</f>
        <v/>
      </c>
      <c r="K491" s="3"/>
      <c r="L491" s="3" t="str">
        <f aca="false">IFERROR(__xludf.dummyfunction("if($T491&lt;&gt;"""",REGEXEXTRACT(SUBSTITUTE ($T491,L$1&amp;"" CE"",""""), L$1&amp;""[\w &amp;]*, (\d+\.\d+)""),"""")
"),"")</f>
        <v/>
      </c>
      <c r="M491" s="3" t="str">
        <f aca="false">IFERROR(__xludf.dummyfunction("if($T491&lt;&gt;"""",REGEXEXTRACT($T491, M$1&amp;""[\w &amp;]*, (\d+\.\d+)""),"""")
"),"")</f>
        <v/>
      </c>
      <c r="N491" s="3" t="str">
        <f aca="false">IFERROR(__xludf.dummyfunction("if($T491&lt;&gt;"""",REGEXEXTRACT(SUBSTITUTE ($T491,N$1&amp;"" CE"",""""), N$1&amp;""[\w &amp;]*, (\d+\.\d+)""),"""")
"),"")</f>
        <v/>
      </c>
      <c r="O491" s="3" t="str">
        <f aca="false">IFERROR(__xludf.dummyfunction("if($T491&lt;&gt;"""",REGEXEXTRACT($T491, O$1&amp;""[\w &amp;]*, (\d+\.\d+)""),"""")
"),"")</f>
        <v/>
      </c>
      <c r="P491" s="2"/>
      <c r="Q491" s="2"/>
      <c r="R491" s="2"/>
      <c r="S491" s="2"/>
      <c r="T491" s="5"/>
      <c r="U491" s="5"/>
    </row>
    <row r="492" customFormat="false" ht="15.75" hidden="false" customHeight="false" outlineLevel="0" collapsed="false">
      <c r="A492" s="4"/>
      <c r="B492" s="2"/>
      <c r="C492" s="2"/>
      <c r="D492" s="2"/>
      <c r="E492" s="2"/>
      <c r="F492" s="3" t="str">
        <f aca="false">IFERROR(__xludf.dummyfunction("if($T492&lt;&gt;"""",REGEXEXTRACT(SUBSTITUTE ($T492,F$1&amp;"" CE"",""""), F$1&amp;""[\w &amp;]*, (\d+\.\d+)""),"""")
"),"")</f>
        <v/>
      </c>
      <c r="G492" s="3" t="str">
        <f aca="false">IFERROR(__xludf.dummyfunction("if($T492&lt;&gt;"""",REGEXEXTRACT($T492, G$1&amp;""[\w &amp;]*, (\d+\.\d+)""),"""")
"),"")</f>
        <v/>
      </c>
      <c r="H492" s="3"/>
      <c r="I492" s="3" t="str">
        <f aca="false">IFERROR(__xludf.dummyfunction("if($T492&lt;&gt;"""",REGEXEXTRACT(SUBSTITUTE ($T492,I$1&amp;"" CE"",""""), I$1&amp;""[\w &amp;]*, (\d+\.\d+)""),"""")
"),"")</f>
        <v/>
      </c>
      <c r="J492" s="3" t="str">
        <f aca="false">IFERROR(__xludf.dummyfunction("if($T492&lt;&gt;"""",REGEXEXTRACT($T492, J$1&amp;""[\w &amp;]*, (\d+\.\d+)""),"""")
"),"")</f>
        <v/>
      </c>
      <c r="K492" s="3"/>
      <c r="L492" s="3" t="str">
        <f aca="false">IFERROR(__xludf.dummyfunction("if($T492&lt;&gt;"""",REGEXEXTRACT(SUBSTITUTE ($T492,L$1&amp;"" CE"",""""), L$1&amp;""[\w &amp;]*, (\d+\.\d+)""),"""")
"),"")</f>
        <v/>
      </c>
      <c r="M492" s="3" t="str">
        <f aca="false">IFERROR(__xludf.dummyfunction("if($T492&lt;&gt;"""",REGEXEXTRACT($T492, M$1&amp;""[\w &amp;]*, (\d+\.\d+)""),"""")
"),"")</f>
        <v/>
      </c>
      <c r="N492" s="3" t="str">
        <f aca="false">IFERROR(__xludf.dummyfunction("if($T492&lt;&gt;"""",REGEXEXTRACT(SUBSTITUTE ($T492,N$1&amp;"" CE"",""""), N$1&amp;""[\w &amp;]*, (\d+\.\d+)""),"""")
"),"")</f>
        <v/>
      </c>
      <c r="O492" s="3" t="str">
        <f aca="false">IFERROR(__xludf.dummyfunction("if($T492&lt;&gt;"""",REGEXEXTRACT($T492, O$1&amp;""[\w &amp;]*, (\d+\.\d+)""),"""")
"),"")</f>
        <v/>
      </c>
      <c r="P492" s="2"/>
      <c r="Q492" s="2"/>
      <c r="R492" s="2"/>
      <c r="S492" s="2"/>
      <c r="T492" s="5"/>
      <c r="U492" s="5"/>
    </row>
    <row r="493" customFormat="false" ht="15.75" hidden="false" customHeight="false" outlineLevel="0" collapsed="false">
      <c r="A493" s="4"/>
      <c r="B493" s="2"/>
      <c r="C493" s="2"/>
      <c r="D493" s="2"/>
      <c r="E493" s="2"/>
      <c r="F493" s="3" t="str">
        <f aca="false">IFERROR(__xludf.dummyfunction("if($T493&lt;&gt;"""",REGEXEXTRACT(SUBSTITUTE ($T493,F$1&amp;"" CE"",""""), F$1&amp;""[\w &amp;]*, (\d+\.\d+)""),"""")
"),"")</f>
        <v/>
      </c>
      <c r="G493" s="3" t="str">
        <f aca="false">IFERROR(__xludf.dummyfunction("if($T493&lt;&gt;"""",REGEXEXTRACT($T493, G$1&amp;""[\w &amp;]*, (\d+\.\d+)""),"""")
"),"")</f>
        <v/>
      </c>
      <c r="H493" s="3"/>
      <c r="I493" s="3" t="str">
        <f aca="false">IFERROR(__xludf.dummyfunction("if($T493&lt;&gt;"""",REGEXEXTRACT(SUBSTITUTE ($T493,I$1&amp;"" CE"",""""), I$1&amp;""[\w &amp;]*, (\d+\.\d+)""),"""")
"),"")</f>
        <v/>
      </c>
      <c r="J493" s="3" t="str">
        <f aca="false">IFERROR(__xludf.dummyfunction("if($T493&lt;&gt;"""",REGEXEXTRACT($T493, J$1&amp;""[\w &amp;]*, (\d+\.\d+)""),"""")
"),"")</f>
        <v/>
      </c>
      <c r="K493" s="3"/>
      <c r="L493" s="3" t="str">
        <f aca="false">IFERROR(__xludf.dummyfunction("if($T493&lt;&gt;"""",REGEXEXTRACT(SUBSTITUTE ($T493,L$1&amp;"" CE"",""""), L$1&amp;""[\w &amp;]*, (\d+\.\d+)""),"""")
"),"")</f>
        <v/>
      </c>
      <c r="M493" s="3" t="str">
        <f aca="false">IFERROR(__xludf.dummyfunction("if($T493&lt;&gt;"""",REGEXEXTRACT($T493, M$1&amp;""[\w &amp;]*, (\d+\.\d+)""),"""")
"),"")</f>
        <v/>
      </c>
      <c r="N493" s="3" t="str">
        <f aca="false">IFERROR(__xludf.dummyfunction("if($T493&lt;&gt;"""",REGEXEXTRACT(SUBSTITUTE ($T493,N$1&amp;"" CE"",""""), N$1&amp;""[\w &amp;]*, (\d+\.\d+)""),"""")
"),"")</f>
        <v/>
      </c>
      <c r="O493" s="3" t="str">
        <f aca="false">IFERROR(__xludf.dummyfunction("if($T493&lt;&gt;"""",REGEXEXTRACT($T493, O$1&amp;""[\w &amp;]*, (\d+\.\d+)""),"""")
"),"")</f>
        <v/>
      </c>
      <c r="P493" s="2"/>
      <c r="Q493" s="2"/>
      <c r="R493" s="2"/>
      <c r="S493" s="2"/>
      <c r="T493" s="5"/>
      <c r="U493" s="5"/>
    </row>
    <row r="494" customFormat="false" ht="15.75" hidden="false" customHeight="false" outlineLevel="0" collapsed="false">
      <c r="A494" s="4"/>
      <c r="B494" s="2"/>
      <c r="C494" s="2"/>
      <c r="D494" s="2"/>
      <c r="E494" s="2"/>
      <c r="F494" s="3" t="str">
        <f aca="false">IFERROR(__xludf.dummyfunction("if($T494&lt;&gt;"""",REGEXEXTRACT(SUBSTITUTE ($T494,F$1&amp;"" CE"",""""), F$1&amp;""[\w &amp;]*, (\d+\.\d+)""),"""")
"),"")</f>
        <v/>
      </c>
      <c r="G494" s="3" t="str">
        <f aca="false">IFERROR(__xludf.dummyfunction("if($T494&lt;&gt;"""",REGEXEXTRACT($T494, G$1&amp;""[\w &amp;]*, (\d+\.\d+)""),"""")
"),"")</f>
        <v/>
      </c>
      <c r="H494" s="3"/>
      <c r="I494" s="3" t="str">
        <f aca="false">IFERROR(__xludf.dummyfunction("if($T494&lt;&gt;"""",REGEXEXTRACT(SUBSTITUTE ($T494,I$1&amp;"" CE"",""""), I$1&amp;""[\w &amp;]*, (\d+\.\d+)""),"""")
"),"")</f>
        <v/>
      </c>
      <c r="J494" s="3" t="str">
        <f aca="false">IFERROR(__xludf.dummyfunction("if($T494&lt;&gt;"""",REGEXEXTRACT($T494, J$1&amp;""[\w &amp;]*, (\d+\.\d+)""),"""")
"),"")</f>
        <v/>
      </c>
      <c r="K494" s="3"/>
      <c r="L494" s="3" t="str">
        <f aca="false">IFERROR(__xludf.dummyfunction("if($T494&lt;&gt;"""",REGEXEXTRACT(SUBSTITUTE ($T494,L$1&amp;"" CE"",""""), L$1&amp;""[\w &amp;]*, (\d+\.\d+)""),"""")
"),"")</f>
        <v/>
      </c>
      <c r="M494" s="3" t="str">
        <f aca="false">IFERROR(__xludf.dummyfunction("if($T494&lt;&gt;"""",REGEXEXTRACT($T494, M$1&amp;""[\w &amp;]*, (\d+\.\d+)""),"""")
"),"")</f>
        <v/>
      </c>
      <c r="N494" s="3" t="str">
        <f aca="false">IFERROR(__xludf.dummyfunction("if($T494&lt;&gt;"""",REGEXEXTRACT(SUBSTITUTE ($T494,N$1&amp;"" CE"",""""), N$1&amp;""[\w &amp;]*, (\d+\.\d+)""),"""")
"),"")</f>
        <v/>
      </c>
      <c r="O494" s="3" t="str">
        <f aca="false">IFERROR(__xludf.dummyfunction("if($T494&lt;&gt;"""",REGEXEXTRACT($T494, O$1&amp;""[\w &amp;]*, (\d+\.\d+)""),"""")
"),"")</f>
        <v/>
      </c>
      <c r="P494" s="2"/>
      <c r="Q494" s="2"/>
      <c r="R494" s="2"/>
      <c r="S494" s="2"/>
      <c r="T494" s="5"/>
      <c r="U494" s="5"/>
    </row>
    <row r="495" customFormat="false" ht="15.75" hidden="false" customHeight="false" outlineLevel="0" collapsed="false">
      <c r="A495" s="4"/>
      <c r="B495" s="2"/>
      <c r="C495" s="2"/>
      <c r="D495" s="2"/>
      <c r="E495" s="2"/>
      <c r="F495" s="3" t="str">
        <f aca="false">IFERROR(__xludf.dummyfunction("if($T495&lt;&gt;"""",REGEXEXTRACT(SUBSTITUTE ($T495,F$1&amp;"" CE"",""""), F$1&amp;""[\w &amp;]*, (\d+\.\d+)""),"""")
"),"")</f>
        <v/>
      </c>
      <c r="G495" s="3" t="str">
        <f aca="false">IFERROR(__xludf.dummyfunction("if($T495&lt;&gt;"""",REGEXEXTRACT($T495, G$1&amp;""[\w &amp;]*, (\d+\.\d+)""),"""")
"),"")</f>
        <v/>
      </c>
      <c r="H495" s="3"/>
      <c r="I495" s="3" t="str">
        <f aca="false">IFERROR(__xludf.dummyfunction("if($T495&lt;&gt;"""",REGEXEXTRACT(SUBSTITUTE ($T495,I$1&amp;"" CE"",""""), I$1&amp;""[\w &amp;]*, (\d+\.\d+)""),"""")
"),"")</f>
        <v/>
      </c>
      <c r="J495" s="3" t="str">
        <f aca="false">IFERROR(__xludf.dummyfunction("if($T495&lt;&gt;"""",REGEXEXTRACT($T495, J$1&amp;""[\w &amp;]*, (\d+\.\d+)""),"""")
"),"")</f>
        <v/>
      </c>
      <c r="K495" s="3"/>
      <c r="L495" s="3" t="str">
        <f aca="false">IFERROR(__xludf.dummyfunction("if($T495&lt;&gt;"""",REGEXEXTRACT(SUBSTITUTE ($T495,L$1&amp;"" CE"",""""), L$1&amp;""[\w &amp;]*, (\d+\.\d+)""),"""")
"),"")</f>
        <v/>
      </c>
      <c r="M495" s="3" t="str">
        <f aca="false">IFERROR(__xludf.dummyfunction("if($T495&lt;&gt;"""",REGEXEXTRACT($T495, M$1&amp;""[\w &amp;]*, (\d+\.\d+)""),"""")
"),"")</f>
        <v/>
      </c>
      <c r="N495" s="3" t="str">
        <f aca="false">IFERROR(__xludf.dummyfunction("if($T495&lt;&gt;"""",REGEXEXTRACT(SUBSTITUTE ($T495,N$1&amp;"" CE"",""""), N$1&amp;""[\w &amp;]*, (\d+\.\d+)""),"""")
"),"")</f>
        <v/>
      </c>
      <c r="O495" s="3" t="str">
        <f aca="false">IFERROR(__xludf.dummyfunction("if($T495&lt;&gt;"""",REGEXEXTRACT($T495, O$1&amp;""[\w &amp;]*, (\d+\.\d+)""),"""")
"),"")</f>
        <v/>
      </c>
      <c r="P495" s="2"/>
      <c r="Q495" s="2"/>
      <c r="R495" s="2"/>
      <c r="S495" s="2"/>
      <c r="T495" s="5"/>
      <c r="U495" s="5"/>
    </row>
    <row r="496" customFormat="false" ht="15.75" hidden="false" customHeight="false" outlineLevel="0" collapsed="false">
      <c r="A496" s="4"/>
      <c r="B496" s="2"/>
      <c r="C496" s="2"/>
      <c r="D496" s="2"/>
      <c r="E496" s="2"/>
      <c r="F496" s="3" t="str">
        <f aca="false">IFERROR(__xludf.dummyfunction("if($T496&lt;&gt;"""",REGEXEXTRACT(SUBSTITUTE ($T496,F$1&amp;"" CE"",""""), F$1&amp;""[\w &amp;]*, (\d+\.\d+)""),"""")
"),"")</f>
        <v/>
      </c>
      <c r="G496" s="3" t="str">
        <f aca="false">IFERROR(__xludf.dummyfunction("if($T496&lt;&gt;"""",REGEXEXTRACT($T496, G$1&amp;""[\w &amp;]*, (\d+\.\d+)""),"""")
"),"")</f>
        <v/>
      </c>
      <c r="H496" s="3"/>
      <c r="I496" s="3" t="str">
        <f aca="false">IFERROR(__xludf.dummyfunction("if($T496&lt;&gt;"""",REGEXEXTRACT(SUBSTITUTE ($T496,I$1&amp;"" CE"",""""), I$1&amp;""[\w &amp;]*, (\d+\.\d+)""),"""")
"),"")</f>
        <v/>
      </c>
      <c r="J496" s="3" t="str">
        <f aca="false">IFERROR(__xludf.dummyfunction("if($T496&lt;&gt;"""",REGEXEXTRACT($T496, J$1&amp;""[\w &amp;]*, (\d+\.\d+)""),"""")
"),"")</f>
        <v/>
      </c>
      <c r="K496" s="3"/>
      <c r="L496" s="3" t="str">
        <f aca="false">IFERROR(__xludf.dummyfunction("if($T496&lt;&gt;"""",REGEXEXTRACT(SUBSTITUTE ($T496,L$1&amp;"" CE"",""""), L$1&amp;""[\w &amp;]*, (\d+\.\d+)""),"""")
"),"")</f>
        <v/>
      </c>
      <c r="M496" s="3" t="str">
        <f aca="false">IFERROR(__xludf.dummyfunction("if($T496&lt;&gt;"""",REGEXEXTRACT($T496, M$1&amp;""[\w &amp;]*, (\d+\.\d+)""),"""")
"),"")</f>
        <v/>
      </c>
      <c r="N496" s="3" t="str">
        <f aca="false">IFERROR(__xludf.dummyfunction("if($T496&lt;&gt;"""",REGEXEXTRACT(SUBSTITUTE ($T496,N$1&amp;"" CE"",""""), N$1&amp;""[\w &amp;]*, (\d+\.\d+)""),"""")
"),"")</f>
        <v/>
      </c>
      <c r="O496" s="3" t="str">
        <f aca="false">IFERROR(__xludf.dummyfunction("if($T496&lt;&gt;"""",REGEXEXTRACT($T496, O$1&amp;""[\w &amp;]*, (\d+\.\d+)""),"""")
"),"")</f>
        <v/>
      </c>
      <c r="P496" s="2"/>
      <c r="Q496" s="2"/>
      <c r="R496" s="2"/>
      <c r="S496" s="2"/>
      <c r="T496" s="5"/>
      <c r="U496" s="5"/>
    </row>
    <row r="497" customFormat="false" ht="15.75" hidden="false" customHeight="false" outlineLevel="0" collapsed="false">
      <c r="A497" s="4"/>
      <c r="B497" s="2"/>
      <c r="C497" s="2"/>
      <c r="D497" s="2"/>
      <c r="E497" s="2"/>
      <c r="F497" s="3" t="str">
        <f aca="false">IFERROR(__xludf.dummyfunction("if($T497&lt;&gt;"""",REGEXEXTRACT(SUBSTITUTE ($T497,F$1&amp;"" CE"",""""), F$1&amp;""[\w &amp;]*, (\d+\.\d+)""),"""")
"),"")</f>
        <v/>
      </c>
      <c r="G497" s="3" t="str">
        <f aca="false">IFERROR(__xludf.dummyfunction("if($T497&lt;&gt;"""",REGEXEXTRACT($T497, G$1&amp;""[\w &amp;]*, (\d+\.\d+)""),"""")
"),"")</f>
        <v/>
      </c>
      <c r="H497" s="3"/>
      <c r="I497" s="3" t="str">
        <f aca="false">IFERROR(__xludf.dummyfunction("if($T497&lt;&gt;"""",REGEXEXTRACT(SUBSTITUTE ($T497,I$1&amp;"" CE"",""""), I$1&amp;""[\w &amp;]*, (\d+\.\d+)""),"""")
"),"")</f>
        <v/>
      </c>
      <c r="J497" s="3" t="str">
        <f aca="false">IFERROR(__xludf.dummyfunction("if($T497&lt;&gt;"""",REGEXEXTRACT($T497, J$1&amp;""[\w &amp;]*, (\d+\.\d+)""),"""")
"),"")</f>
        <v/>
      </c>
      <c r="K497" s="3"/>
      <c r="L497" s="3" t="str">
        <f aca="false">IFERROR(__xludf.dummyfunction("if($T497&lt;&gt;"""",REGEXEXTRACT(SUBSTITUTE ($T497,L$1&amp;"" CE"",""""), L$1&amp;""[\w &amp;]*, (\d+\.\d+)""),"""")
"),"")</f>
        <v/>
      </c>
      <c r="M497" s="3" t="str">
        <f aca="false">IFERROR(__xludf.dummyfunction("if($T497&lt;&gt;"""",REGEXEXTRACT($T497, M$1&amp;""[\w &amp;]*, (\d+\.\d+)""),"""")
"),"")</f>
        <v/>
      </c>
      <c r="N497" s="3" t="str">
        <f aca="false">IFERROR(__xludf.dummyfunction("if($T497&lt;&gt;"""",REGEXEXTRACT(SUBSTITUTE ($T497,N$1&amp;"" CE"",""""), N$1&amp;""[\w &amp;]*, (\d+\.\d+)""),"""")
"),"")</f>
        <v/>
      </c>
      <c r="O497" s="3" t="str">
        <f aca="false">IFERROR(__xludf.dummyfunction("if($T497&lt;&gt;"""",REGEXEXTRACT($T497, O$1&amp;""[\w &amp;]*, (\d+\.\d+)""),"""")
"),"")</f>
        <v/>
      </c>
      <c r="P497" s="2"/>
      <c r="Q497" s="2"/>
      <c r="R497" s="2"/>
      <c r="S497" s="2"/>
      <c r="T497" s="5"/>
      <c r="U497" s="5"/>
    </row>
    <row r="498" customFormat="false" ht="15.75" hidden="false" customHeight="false" outlineLevel="0" collapsed="false">
      <c r="A498" s="4"/>
      <c r="B498" s="2"/>
      <c r="C498" s="2"/>
      <c r="D498" s="2"/>
      <c r="E498" s="2"/>
      <c r="F498" s="3" t="str">
        <f aca="false">IFERROR(__xludf.dummyfunction("if($T498&lt;&gt;"""",REGEXEXTRACT(SUBSTITUTE ($T498,F$1&amp;"" CE"",""""), F$1&amp;""[\w &amp;]*, (\d+\.\d+)""),"""")
"),"")</f>
        <v/>
      </c>
      <c r="G498" s="3" t="str">
        <f aca="false">IFERROR(__xludf.dummyfunction("if($T498&lt;&gt;"""",REGEXEXTRACT($T498, G$1&amp;""[\w &amp;]*, (\d+\.\d+)""),"""")
"),"")</f>
        <v/>
      </c>
      <c r="H498" s="3"/>
      <c r="I498" s="3" t="str">
        <f aca="false">IFERROR(__xludf.dummyfunction("if($T498&lt;&gt;"""",REGEXEXTRACT(SUBSTITUTE ($T498,I$1&amp;"" CE"",""""), I$1&amp;""[\w &amp;]*, (\d+\.\d+)""),"""")
"),"")</f>
        <v/>
      </c>
      <c r="J498" s="3" t="str">
        <f aca="false">IFERROR(__xludf.dummyfunction("if($T498&lt;&gt;"""",REGEXEXTRACT($T498, J$1&amp;""[\w &amp;]*, (\d+\.\d+)""),"""")
"),"")</f>
        <v/>
      </c>
      <c r="K498" s="3"/>
      <c r="L498" s="3" t="str">
        <f aca="false">IFERROR(__xludf.dummyfunction("if($T498&lt;&gt;"""",REGEXEXTRACT(SUBSTITUTE ($T498,L$1&amp;"" CE"",""""), L$1&amp;""[\w &amp;]*, (\d+\.\d+)""),"""")
"),"")</f>
        <v/>
      </c>
      <c r="M498" s="3" t="str">
        <f aca="false">IFERROR(__xludf.dummyfunction("if($T498&lt;&gt;"""",REGEXEXTRACT($T498, M$1&amp;""[\w &amp;]*, (\d+\.\d+)""),"""")
"),"")</f>
        <v/>
      </c>
      <c r="N498" s="3" t="str">
        <f aca="false">IFERROR(__xludf.dummyfunction("if($T498&lt;&gt;"""",REGEXEXTRACT(SUBSTITUTE ($T498,N$1&amp;"" CE"",""""), N$1&amp;""[\w &amp;]*, (\d+\.\d+)""),"""")
"),"")</f>
        <v/>
      </c>
      <c r="O498" s="3" t="str">
        <f aca="false">IFERROR(__xludf.dummyfunction("if($T498&lt;&gt;"""",REGEXEXTRACT($T498, O$1&amp;""[\w &amp;]*, (\d+\.\d+)""),"""")
"),"")</f>
        <v/>
      </c>
      <c r="P498" s="2"/>
      <c r="Q498" s="2"/>
      <c r="R498" s="2"/>
      <c r="S498" s="2"/>
      <c r="T498" s="5"/>
      <c r="U498" s="5"/>
    </row>
    <row r="499" customFormat="false" ht="15.75" hidden="false" customHeight="false" outlineLevel="0" collapsed="false">
      <c r="A499" s="4"/>
      <c r="B499" s="2"/>
      <c r="C499" s="2"/>
      <c r="D499" s="2"/>
      <c r="E499" s="2"/>
      <c r="F499" s="3" t="str">
        <f aca="false">IFERROR(__xludf.dummyfunction("if($T499&lt;&gt;"""",REGEXEXTRACT(SUBSTITUTE ($T499,F$1&amp;"" CE"",""""), F$1&amp;""[\w &amp;]*, (\d+\.\d+)""),"""")
"),"")</f>
        <v/>
      </c>
      <c r="G499" s="3" t="str">
        <f aca="false">IFERROR(__xludf.dummyfunction("if($T499&lt;&gt;"""",REGEXEXTRACT($T499, G$1&amp;""[\w &amp;]*, (\d+\.\d+)""),"""")
"),"")</f>
        <v/>
      </c>
      <c r="H499" s="3"/>
      <c r="I499" s="3" t="str">
        <f aca="false">IFERROR(__xludf.dummyfunction("if($T499&lt;&gt;"""",REGEXEXTRACT(SUBSTITUTE ($T499,I$1&amp;"" CE"",""""), I$1&amp;""[\w &amp;]*, (\d+\.\d+)""),"""")
"),"")</f>
        <v/>
      </c>
      <c r="J499" s="3" t="str">
        <f aca="false">IFERROR(__xludf.dummyfunction("if($T499&lt;&gt;"""",REGEXEXTRACT($T499, J$1&amp;""[\w &amp;]*, (\d+\.\d+)""),"""")
"),"")</f>
        <v/>
      </c>
      <c r="K499" s="3"/>
      <c r="L499" s="3" t="str">
        <f aca="false">IFERROR(__xludf.dummyfunction("if($T499&lt;&gt;"""",REGEXEXTRACT(SUBSTITUTE ($T499,L$1&amp;"" CE"",""""), L$1&amp;""[\w &amp;]*, (\d+\.\d+)""),"""")
"),"")</f>
        <v/>
      </c>
      <c r="M499" s="3" t="str">
        <f aca="false">IFERROR(__xludf.dummyfunction("if($T499&lt;&gt;"""",REGEXEXTRACT($T499, M$1&amp;""[\w &amp;]*, (\d+\.\d+)""),"""")
"),"")</f>
        <v/>
      </c>
      <c r="N499" s="3" t="str">
        <f aca="false">IFERROR(__xludf.dummyfunction("if($T499&lt;&gt;"""",REGEXEXTRACT(SUBSTITUTE ($T499,N$1&amp;"" CE"",""""), N$1&amp;""[\w &amp;]*, (\d+\.\d+)""),"""")
"),"")</f>
        <v/>
      </c>
      <c r="O499" s="3" t="str">
        <f aca="false">IFERROR(__xludf.dummyfunction("if($T499&lt;&gt;"""",REGEXEXTRACT($T499, O$1&amp;""[\w &amp;]*, (\d+\.\d+)""),"""")
"),"")</f>
        <v/>
      </c>
      <c r="P499" s="2"/>
      <c r="Q499" s="2"/>
      <c r="R499" s="2"/>
      <c r="S499" s="2"/>
      <c r="T499" s="5"/>
      <c r="U499" s="5"/>
    </row>
    <row r="500" customFormat="false" ht="15.75" hidden="false" customHeight="false" outlineLevel="0" collapsed="false">
      <c r="A500" s="4"/>
      <c r="B500" s="2"/>
      <c r="C500" s="2"/>
      <c r="D500" s="2"/>
      <c r="E500" s="2"/>
      <c r="F500" s="3" t="str">
        <f aca="false">IFERROR(__xludf.dummyfunction("if($T500&lt;&gt;"""",REGEXEXTRACT(SUBSTITUTE ($T500,F$1&amp;"" CE"",""""), F$1&amp;""[\w &amp;]*, (\d+\.\d+)""),"""")
"),"")</f>
        <v/>
      </c>
      <c r="G500" s="3" t="str">
        <f aca="false">IFERROR(__xludf.dummyfunction("if($T500&lt;&gt;"""",REGEXEXTRACT($T500, G$1&amp;""[\w &amp;]*, (\d+\.\d+)""),"""")
"),"")</f>
        <v/>
      </c>
      <c r="H500" s="3"/>
      <c r="I500" s="3" t="str">
        <f aca="false">IFERROR(__xludf.dummyfunction("if($T500&lt;&gt;"""",REGEXEXTRACT(SUBSTITUTE ($T500,I$1&amp;"" CE"",""""), I$1&amp;""[\w &amp;]*, (\d+\.\d+)""),"""")
"),"")</f>
        <v/>
      </c>
      <c r="J500" s="3" t="str">
        <f aca="false">IFERROR(__xludf.dummyfunction("if($T500&lt;&gt;"""",REGEXEXTRACT($T500, J$1&amp;""[\w &amp;]*, (\d+\.\d+)""),"""")
"),"")</f>
        <v/>
      </c>
      <c r="K500" s="3"/>
      <c r="L500" s="3" t="str">
        <f aca="false">IFERROR(__xludf.dummyfunction("if($T500&lt;&gt;"""",REGEXEXTRACT(SUBSTITUTE ($T500,L$1&amp;"" CE"",""""), L$1&amp;""[\w &amp;]*, (\d+\.\d+)""),"""")
"),"")</f>
        <v/>
      </c>
      <c r="M500" s="3" t="str">
        <f aca="false">IFERROR(__xludf.dummyfunction("if($T500&lt;&gt;"""",REGEXEXTRACT($T500, M$1&amp;""[\w &amp;]*, (\d+\.\d+)""),"""")
"),"")</f>
        <v/>
      </c>
      <c r="N500" s="3" t="str">
        <f aca="false">IFERROR(__xludf.dummyfunction("if($T500&lt;&gt;"""",REGEXEXTRACT(SUBSTITUTE ($T500,N$1&amp;"" CE"",""""), N$1&amp;""[\w &amp;]*, (\d+\.\d+)""),"""")
"),"")</f>
        <v/>
      </c>
      <c r="O500" s="3" t="str">
        <f aca="false">IFERROR(__xludf.dummyfunction("if($T500&lt;&gt;"""",REGEXEXTRACT($T500, O$1&amp;""[\w &amp;]*, (\d+\.\d+)""),"""")
"),"")</f>
        <v/>
      </c>
      <c r="P500" s="2"/>
      <c r="Q500" s="2"/>
      <c r="R500" s="2"/>
      <c r="S500" s="2"/>
      <c r="T500" s="5"/>
      <c r="U500" s="5"/>
    </row>
    <row r="501" customFormat="false" ht="15.75" hidden="false" customHeight="false" outlineLevel="0" collapsed="false">
      <c r="A501" s="4"/>
      <c r="B501" s="2"/>
      <c r="C501" s="2"/>
      <c r="D501" s="2"/>
      <c r="E501" s="2"/>
      <c r="F501" s="3" t="str">
        <f aca="false">IFERROR(__xludf.dummyfunction("if($T501&lt;&gt;"""",REGEXEXTRACT(SUBSTITUTE ($T501,F$1&amp;"" CE"",""""), F$1&amp;""[\w &amp;]*, (\d+\.\d+)""),"""")
"),"")</f>
        <v/>
      </c>
      <c r="G501" s="3" t="str">
        <f aca="false">IFERROR(__xludf.dummyfunction("if($T501&lt;&gt;"""",REGEXEXTRACT($T501, G$1&amp;""[\w &amp;]*, (\d+\.\d+)""),"""")
"),"")</f>
        <v/>
      </c>
      <c r="H501" s="3"/>
      <c r="I501" s="3" t="str">
        <f aca="false">IFERROR(__xludf.dummyfunction("if($T501&lt;&gt;"""",REGEXEXTRACT(SUBSTITUTE ($T501,I$1&amp;"" CE"",""""), I$1&amp;""[\w &amp;]*, (\d+\.\d+)""),"""")
"),"")</f>
        <v/>
      </c>
      <c r="J501" s="3" t="str">
        <f aca="false">IFERROR(__xludf.dummyfunction("if($T501&lt;&gt;"""",REGEXEXTRACT($T501, J$1&amp;""[\w &amp;]*, (\d+\.\d+)""),"""")
"),"")</f>
        <v/>
      </c>
      <c r="K501" s="3"/>
      <c r="L501" s="3" t="str">
        <f aca="false">IFERROR(__xludf.dummyfunction("if($T501&lt;&gt;"""",REGEXEXTRACT(SUBSTITUTE ($T501,L$1&amp;"" CE"",""""), L$1&amp;""[\w &amp;]*, (\d+\.\d+)""),"""")
"),"")</f>
        <v/>
      </c>
      <c r="M501" s="3" t="str">
        <f aca="false">IFERROR(__xludf.dummyfunction("if($T501&lt;&gt;"""",REGEXEXTRACT($T501, M$1&amp;""[\w &amp;]*, (\d+\.\d+)""),"""")
"),"")</f>
        <v/>
      </c>
      <c r="N501" s="3" t="str">
        <f aca="false">IFERROR(__xludf.dummyfunction("if($T501&lt;&gt;"""",REGEXEXTRACT(SUBSTITUTE ($T501,N$1&amp;"" CE"",""""), N$1&amp;""[\w &amp;]*, (\d+\.\d+)""),"""")
"),"")</f>
        <v/>
      </c>
      <c r="O501" s="3" t="str">
        <f aca="false">IFERROR(__xludf.dummyfunction("if($T501&lt;&gt;"""",REGEXEXTRACT($T501, O$1&amp;""[\w &amp;]*, (\d+\.\d+)""),"""")
"),"")</f>
        <v/>
      </c>
      <c r="P501" s="2"/>
      <c r="Q501" s="2"/>
      <c r="R501" s="2"/>
      <c r="S501" s="2"/>
      <c r="T501" s="5"/>
      <c r="U501" s="5"/>
    </row>
    <row r="502" customFormat="false" ht="15.75" hidden="false" customHeight="false" outlineLevel="0" collapsed="false">
      <c r="A502" s="4"/>
      <c r="B502" s="2"/>
      <c r="C502" s="2"/>
      <c r="D502" s="2"/>
      <c r="E502" s="2"/>
      <c r="F502" s="3" t="str">
        <f aca="false">IFERROR(__xludf.dummyfunction("if($T502&lt;&gt;"""",REGEXEXTRACT(SUBSTITUTE ($T502,F$1&amp;"" CE"",""""), F$1&amp;""[\w &amp;]*, (\d+\.\d+)""),"""")
"),"")</f>
        <v/>
      </c>
      <c r="G502" s="3" t="str">
        <f aca="false">IFERROR(__xludf.dummyfunction("if($T502&lt;&gt;"""",REGEXEXTRACT($T502, G$1&amp;""[\w &amp;]*, (\d+\.\d+)""),"""")
"),"")</f>
        <v/>
      </c>
      <c r="H502" s="3"/>
      <c r="I502" s="3" t="str">
        <f aca="false">IFERROR(__xludf.dummyfunction("if($T502&lt;&gt;"""",REGEXEXTRACT(SUBSTITUTE ($T502,I$1&amp;"" CE"",""""), I$1&amp;""[\w &amp;]*, (\d+\.\d+)""),"""")
"),"")</f>
        <v/>
      </c>
      <c r="J502" s="3" t="str">
        <f aca="false">IFERROR(__xludf.dummyfunction("if($T502&lt;&gt;"""",REGEXEXTRACT($T502, J$1&amp;""[\w &amp;]*, (\d+\.\d+)""),"""")
"),"")</f>
        <v/>
      </c>
      <c r="K502" s="3"/>
      <c r="L502" s="3" t="str">
        <f aca="false">IFERROR(__xludf.dummyfunction("if($T502&lt;&gt;"""",REGEXEXTRACT(SUBSTITUTE ($T502,L$1&amp;"" CE"",""""), L$1&amp;""[\w &amp;]*, (\d+\.\d+)""),"""")
"),"")</f>
        <v/>
      </c>
      <c r="M502" s="3" t="str">
        <f aca="false">IFERROR(__xludf.dummyfunction("if($T502&lt;&gt;"""",REGEXEXTRACT($T502, M$1&amp;""[\w &amp;]*, (\d+\.\d+)""),"""")
"),"")</f>
        <v/>
      </c>
      <c r="N502" s="3" t="str">
        <f aca="false">IFERROR(__xludf.dummyfunction("if($T502&lt;&gt;"""",REGEXEXTRACT(SUBSTITUTE ($T502,N$1&amp;"" CE"",""""), N$1&amp;""[\w &amp;]*, (\d+\.\d+)""),"""")
"),"")</f>
        <v/>
      </c>
      <c r="O502" s="3" t="str">
        <f aca="false">IFERROR(__xludf.dummyfunction("if($T502&lt;&gt;"""",REGEXEXTRACT($T502, O$1&amp;""[\w &amp;]*, (\d+\.\d+)""),"""")
"),"")</f>
        <v/>
      </c>
      <c r="P502" s="2"/>
      <c r="Q502" s="2"/>
      <c r="R502" s="2"/>
      <c r="S502" s="2"/>
      <c r="T502" s="5"/>
      <c r="U502" s="5"/>
    </row>
    <row r="503" customFormat="false" ht="15.75" hidden="false" customHeight="false" outlineLevel="0" collapsed="false">
      <c r="A503" s="4"/>
      <c r="B503" s="2"/>
      <c r="C503" s="2"/>
      <c r="D503" s="2"/>
      <c r="E503" s="2"/>
      <c r="F503" s="3" t="str">
        <f aca="false">IFERROR(__xludf.dummyfunction("if($T503&lt;&gt;"""",REGEXEXTRACT(SUBSTITUTE ($T503,F$1&amp;"" CE"",""""), F$1&amp;""[\w &amp;]*, (\d+\.\d+)""),"""")
"),"")</f>
        <v/>
      </c>
      <c r="G503" s="3" t="str">
        <f aca="false">IFERROR(__xludf.dummyfunction("if($T503&lt;&gt;"""",REGEXEXTRACT($T503, G$1&amp;""[\w &amp;]*, (\d+\.\d+)""),"""")
"),"")</f>
        <v/>
      </c>
      <c r="H503" s="3"/>
      <c r="I503" s="3" t="str">
        <f aca="false">IFERROR(__xludf.dummyfunction("if($T503&lt;&gt;"""",REGEXEXTRACT(SUBSTITUTE ($T503,I$1&amp;"" CE"",""""), I$1&amp;""[\w &amp;]*, (\d+\.\d+)""),"""")
"),"")</f>
        <v/>
      </c>
      <c r="J503" s="3" t="str">
        <f aca="false">IFERROR(__xludf.dummyfunction("if($T503&lt;&gt;"""",REGEXEXTRACT($T503, J$1&amp;""[\w &amp;]*, (\d+\.\d+)""),"""")
"),"")</f>
        <v/>
      </c>
      <c r="K503" s="3"/>
      <c r="L503" s="3" t="str">
        <f aca="false">IFERROR(__xludf.dummyfunction("if($T503&lt;&gt;"""",REGEXEXTRACT(SUBSTITUTE ($T503,L$1&amp;"" CE"",""""), L$1&amp;""[\w &amp;]*, (\d+\.\d+)""),"""")
"),"")</f>
        <v/>
      </c>
      <c r="M503" s="3" t="str">
        <f aca="false">IFERROR(__xludf.dummyfunction("if($T503&lt;&gt;"""",REGEXEXTRACT($T503, M$1&amp;""[\w &amp;]*, (\d+\.\d+)""),"""")
"),"")</f>
        <v/>
      </c>
      <c r="N503" s="3" t="str">
        <f aca="false">IFERROR(__xludf.dummyfunction("if($T503&lt;&gt;"""",REGEXEXTRACT(SUBSTITUTE ($T503,N$1&amp;"" CE"",""""), N$1&amp;""[\w &amp;]*, (\d+\.\d+)""),"""")
"),"")</f>
        <v/>
      </c>
      <c r="O503" s="3" t="str">
        <f aca="false">IFERROR(__xludf.dummyfunction("if($T503&lt;&gt;"""",REGEXEXTRACT($T503, O$1&amp;""[\w &amp;]*, (\d+\.\d+)""),"""")
"),"")</f>
        <v/>
      </c>
      <c r="P503" s="2"/>
      <c r="Q503" s="2"/>
      <c r="R503" s="2"/>
      <c r="S503" s="2"/>
      <c r="T503" s="5"/>
      <c r="U503" s="5"/>
    </row>
    <row r="504" customFormat="false" ht="15.75" hidden="false" customHeight="false" outlineLevel="0" collapsed="false">
      <c r="A504" s="4"/>
      <c r="B504" s="2"/>
      <c r="C504" s="2"/>
      <c r="D504" s="2"/>
      <c r="E504" s="2"/>
      <c r="F504" s="3" t="str">
        <f aca="false">IFERROR(__xludf.dummyfunction("if($T504&lt;&gt;"""",REGEXEXTRACT(SUBSTITUTE ($T504,F$1&amp;"" CE"",""""), F$1&amp;""[\w &amp;]*, (\d+\.\d+)""),"""")
"),"")</f>
        <v/>
      </c>
      <c r="G504" s="3" t="str">
        <f aca="false">IFERROR(__xludf.dummyfunction("if($T504&lt;&gt;"""",REGEXEXTRACT($T504, G$1&amp;""[\w &amp;]*, (\d+\.\d+)""),"""")
"),"")</f>
        <v/>
      </c>
      <c r="H504" s="3"/>
      <c r="I504" s="3" t="str">
        <f aca="false">IFERROR(__xludf.dummyfunction("if($T504&lt;&gt;"""",REGEXEXTRACT(SUBSTITUTE ($T504,I$1&amp;"" CE"",""""), I$1&amp;""[\w &amp;]*, (\d+\.\d+)""),"""")
"),"")</f>
        <v/>
      </c>
      <c r="J504" s="3" t="str">
        <f aca="false">IFERROR(__xludf.dummyfunction("if($T504&lt;&gt;"""",REGEXEXTRACT($T504, J$1&amp;""[\w &amp;]*, (\d+\.\d+)""),"""")
"),"")</f>
        <v/>
      </c>
      <c r="K504" s="3"/>
      <c r="L504" s="3" t="str">
        <f aca="false">IFERROR(__xludf.dummyfunction("if($T504&lt;&gt;"""",REGEXEXTRACT(SUBSTITUTE ($T504,L$1&amp;"" CE"",""""), L$1&amp;""[\w &amp;]*, (\d+\.\d+)""),"""")
"),"")</f>
        <v/>
      </c>
      <c r="M504" s="3" t="str">
        <f aca="false">IFERROR(__xludf.dummyfunction("if($T504&lt;&gt;"""",REGEXEXTRACT($T504, M$1&amp;""[\w &amp;]*, (\d+\.\d+)""),"""")
"),"")</f>
        <v/>
      </c>
      <c r="N504" s="3" t="str">
        <f aca="false">IFERROR(__xludf.dummyfunction("if($T504&lt;&gt;"""",REGEXEXTRACT(SUBSTITUTE ($T504,N$1&amp;"" CE"",""""), N$1&amp;""[\w &amp;]*, (\d+\.\d+)""),"""")
"),"")</f>
        <v/>
      </c>
      <c r="O504" s="3" t="str">
        <f aca="false">IFERROR(__xludf.dummyfunction("if($T504&lt;&gt;"""",REGEXEXTRACT($T504, O$1&amp;""[\w &amp;]*, (\d+\.\d+)""),"""")
"),"")</f>
        <v/>
      </c>
      <c r="P504" s="2"/>
      <c r="Q504" s="2"/>
      <c r="R504" s="2"/>
      <c r="S504" s="2"/>
      <c r="T504" s="5"/>
      <c r="U504" s="5"/>
    </row>
    <row r="505" customFormat="false" ht="15.75" hidden="false" customHeight="false" outlineLevel="0" collapsed="false">
      <c r="A505" s="4"/>
      <c r="B505" s="2"/>
      <c r="C505" s="2"/>
      <c r="D505" s="2"/>
      <c r="E505" s="2"/>
      <c r="F505" s="3" t="str">
        <f aca="false">IFERROR(__xludf.dummyfunction("if($T505&lt;&gt;"""",REGEXEXTRACT(SUBSTITUTE ($T505,F$1&amp;"" CE"",""""), F$1&amp;""[\w &amp;]*, (\d+\.\d+)""),"""")
"),"")</f>
        <v/>
      </c>
      <c r="G505" s="3" t="str">
        <f aca="false">IFERROR(__xludf.dummyfunction("if($T505&lt;&gt;"""",REGEXEXTRACT($T505, G$1&amp;""[\w &amp;]*, (\d+\.\d+)""),"""")
"),"")</f>
        <v/>
      </c>
      <c r="H505" s="3"/>
      <c r="I505" s="3" t="str">
        <f aca="false">IFERROR(__xludf.dummyfunction("if($T505&lt;&gt;"""",REGEXEXTRACT(SUBSTITUTE ($T505,I$1&amp;"" CE"",""""), I$1&amp;""[\w &amp;]*, (\d+\.\d+)""),"""")
"),"")</f>
        <v/>
      </c>
      <c r="J505" s="3" t="str">
        <f aca="false">IFERROR(__xludf.dummyfunction("if($T505&lt;&gt;"""",REGEXEXTRACT($T505, J$1&amp;""[\w &amp;]*, (\d+\.\d+)""),"""")
"),"")</f>
        <v/>
      </c>
      <c r="K505" s="3"/>
      <c r="L505" s="3" t="str">
        <f aca="false">IFERROR(__xludf.dummyfunction("if($T505&lt;&gt;"""",REGEXEXTRACT(SUBSTITUTE ($T505,L$1&amp;"" CE"",""""), L$1&amp;""[\w &amp;]*, (\d+\.\d+)""),"""")
"),"")</f>
        <v/>
      </c>
      <c r="M505" s="3" t="str">
        <f aca="false">IFERROR(__xludf.dummyfunction("if($T505&lt;&gt;"""",REGEXEXTRACT($T505, M$1&amp;""[\w &amp;]*, (\d+\.\d+)""),"""")
"),"")</f>
        <v/>
      </c>
      <c r="N505" s="3" t="str">
        <f aca="false">IFERROR(__xludf.dummyfunction("if($T505&lt;&gt;"""",REGEXEXTRACT(SUBSTITUTE ($T505,N$1&amp;"" CE"",""""), N$1&amp;""[\w &amp;]*, (\d+\.\d+)""),"""")
"),"")</f>
        <v/>
      </c>
      <c r="O505" s="3" t="str">
        <f aca="false">IFERROR(__xludf.dummyfunction("if($T505&lt;&gt;"""",REGEXEXTRACT($T505, O$1&amp;""[\w &amp;]*, (\d+\.\d+)""),"""")
"),"")</f>
        <v/>
      </c>
      <c r="P505" s="2"/>
      <c r="Q505" s="2"/>
      <c r="R505" s="2"/>
      <c r="S505" s="2"/>
      <c r="T505" s="5"/>
      <c r="U505" s="5"/>
    </row>
    <row r="506" customFormat="false" ht="15.75" hidden="false" customHeight="false" outlineLevel="0" collapsed="false">
      <c r="A506" s="4"/>
      <c r="B506" s="2"/>
      <c r="C506" s="2"/>
      <c r="D506" s="2"/>
      <c r="E506" s="2"/>
      <c r="F506" s="3" t="str">
        <f aca="false">IFERROR(__xludf.dummyfunction("if($T506&lt;&gt;"""",REGEXEXTRACT(SUBSTITUTE ($T506,F$1&amp;"" CE"",""""), F$1&amp;""[\w &amp;]*, (\d+\.\d+)""),"""")
"),"")</f>
        <v/>
      </c>
      <c r="G506" s="3" t="str">
        <f aca="false">IFERROR(__xludf.dummyfunction("if($T506&lt;&gt;"""",REGEXEXTRACT($T506, G$1&amp;""[\w &amp;]*, (\d+\.\d+)""),"""")
"),"")</f>
        <v/>
      </c>
      <c r="H506" s="3"/>
      <c r="I506" s="3" t="str">
        <f aca="false">IFERROR(__xludf.dummyfunction("if($T506&lt;&gt;"""",REGEXEXTRACT(SUBSTITUTE ($T506,I$1&amp;"" CE"",""""), I$1&amp;""[\w &amp;]*, (\d+\.\d+)""),"""")
"),"")</f>
        <v/>
      </c>
      <c r="J506" s="3" t="str">
        <f aca="false">IFERROR(__xludf.dummyfunction("if($T506&lt;&gt;"""",REGEXEXTRACT($T506, J$1&amp;""[\w &amp;]*, (\d+\.\d+)""),"""")
"),"")</f>
        <v/>
      </c>
      <c r="K506" s="3"/>
      <c r="L506" s="3" t="str">
        <f aca="false">IFERROR(__xludf.dummyfunction("if($T506&lt;&gt;"""",REGEXEXTRACT(SUBSTITUTE ($T506,L$1&amp;"" CE"",""""), L$1&amp;""[\w &amp;]*, (\d+\.\d+)""),"""")
"),"")</f>
        <v/>
      </c>
      <c r="M506" s="3" t="str">
        <f aca="false">IFERROR(__xludf.dummyfunction("if($T506&lt;&gt;"""",REGEXEXTRACT($T506, M$1&amp;""[\w &amp;]*, (\d+\.\d+)""),"""")
"),"")</f>
        <v/>
      </c>
      <c r="N506" s="3" t="str">
        <f aca="false">IFERROR(__xludf.dummyfunction("if($T506&lt;&gt;"""",REGEXEXTRACT(SUBSTITUTE ($T506,N$1&amp;"" CE"",""""), N$1&amp;""[\w &amp;]*, (\d+\.\d+)""),"""")
"),"")</f>
        <v/>
      </c>
      <c r="O506" s="3" t="str">
        <f aca="false">IFERROR(__xludf.dummyfunction("if($T506&lt;&gt;"""",REGEXEXTRACT($T506, O$1&amp;""[\w &amp;]*, (\d+\.\d+)""),"""")
"),"")</f>
        <v/>
      </c>
      <c r="P506" s="2"/>
      <c r="Q506" s="2"/>
      <c r="R506" s="2"/>
      <c r="S506" s="2"/>
      <c r="T506" s="5"/>
      <c r="U506" s="5"/>
    </row>
    <row r="507" customFormat="false" ht="15.75" hidden="false" customHeight="false" outlineLevel="0" collapsed="false">
      <c r="A507" s="4"/>
      <c r="B507" s="2"/>
      <c r="C507" s="2"/>
      <c r="D507" s="2"/>
      <c r="E507" s="2"/>
      <c r="F507" s="3" t="str">
        <f aca="false">IFERROR(__xludf.dummyfunction("if($T507&lt;&gt;"""",REGEXEXTRACT(SUBSTITUTE ($T507,F$1&amp;"" CE"",""""), F$1&amp;""[\w &amp;]*, (\d+\.\d+)""),"""")
"),"")</f>
        <v/>
      </c>
      <c r="G507" s="3" t="str">
        <f aca="false">IFERROR(__xludf.dummyfunction("if($T507&lt;&gt;"""",REGEXEXTRACT($T507, G$1&amp;""[\w &amp;]*, (\d+\.\d+)""),"""")
"),"")</f>
        <v/>
      </c>
      <c r="H507" s="3"/>
      <c r="I507" s="3" t="str">
        <f aca="false">IFERROR(__xludf.dummyfunction("if($T507&lt;&gt;"""",REGEXEXTRACT(SUBSTITUTE ($T507,I$1&amp;"" CE"",""""), I$1&amp;""[\w &amp;]*, (\d+\.\d+)""),"""")
"),"")</f>
        <v/>
      </c>
      <c r="J507" s="3" t="str">
        <f aca="false">IFERROR(__xludf.dummyfunction("if($T507&lt;&gt;"""",REGEXEXTRACT($T507, J$1&amp;""[\w &amp;]*, (\d+\.\d+)""),"""")
"),"")</f>
        <v/>
      </c>
      <c r="K507" s="3"/>
      <c r="L507" s="3" t="str">
        <f aca="false">IFERROR(__xludf.dummyfunction("if($T507&lt;&gt;"""",REGEXEXTRACT(SUBSTITUTE ($T507,L$1&amp;"" CE"",""""), L$1&amp;""[\w &amp;]*, (\d+\.\d+)""),"""")
"),"")</f>
        <v/>
      </c>
      <c r="M507" s="3" t="str">
        <f aca="false">IFERROR(__xludf.dummyfunction("if($T507&lt;&gt;"""",REGEXEXTRACT($T507, M$1&amp;""[\w &amp;]*, (\d+\.\d+)""),"""")
"),"")</f>
        <v/>
      </c>
      <c r="N507" s="3" t="str">
        <f aca="false">IFERROR(__xludf.dummyfunction("if($T507&lt;&gt;"""",REGEXEXTRACT(SUBSTITUTE ($T507,N$1&amp;"" CE"",""""), N$1&amp;""[\w &amp;]*, (\d+\.\d+)""),"""")
"),"")</f>
        <v/>
      </c>
      <c r="O507" s="3" t="str">
        <f aca="false">IFERROR(__xludf.dummyfunction("if($T507&lt;&gt;"""",REGEXEXTRACT($T507, O$1&amp;""[\w &amp;]*, (\d+\.\d+)""),"""")
"),"")</f>
        <v/>
      </c>
      <c r="P507" s="2"/>
      <c r="Q507" s="2"/>
      <c r="R507" s="2"/>
      <c r="S507" s="2"/>
      <c r="T507" s="5"/>
      <c r="U507" s="5"/>
    </row>
    <row r="508" customFormat="false" ht="15.75" hidden="false" customHeight="false" outlineLevel="0" collapsed="false">
      <c r="A508" s="4"/>
      <c r="B508" s="2"/>
      <c r="C508" s="2"/>
      <c r="D508" s="2"/>
      <c r="E508" s="2"/>
      <c r="F508" s="3" t="str">
        <f aca="false">IFERROR(__xludf.dummyfunction("if($T508&lt;&gt;"""",REGEXEXTRACT(SUBSTITUTE ($T508,F$1&amp;"" CE"",""""), F$1&amp;""[\w &amp;]*, (\d+\.\d+)""),"""")
"),"")</f>
        <v/>
      </c>
      <c r="G508" s="3" t="str">
        <f aca="false">IFERROR(__xludf.dummyfunction("if($T508&lt;&gt;"""",REGEXEXTRACT($T508, G$1&amp;""[\w &amp;]*, (\d+\.\d+)""),"""")
"),"")</f>
        <v/>
      </c>
      <c r="H508" s="3"/>
      <c r="I508" s="3" t="str">
        <f aca="false">IFERROR(__xludf.dummyfunction("if($T508&lt;&gt;"""",REGEXEXTRACT(SUBSTITUTE ($T508,I$1&amp;"" CE"",""""), I$1&amp;""[\w &amp;]*, (\d+\.\d+)""),"""")
"),"")</f>
        <v/>
      </c>
      <c r="J508" s="3" t="str">
        <f aca="false">IFERROR(__xludf.dummyfunction("if($T508&lt;&gt;"""",REGEXEXTRACT($T508, J$1&amp;""[\w &amp;]*, (\d+\.\d+)""),"""")
"),"")</f>
        <v/>
      </c>
      <c r="K508" s="3"/>
      <c r="L508" s="3" t="str">
        <f aca="false">IFERROR(__xludf.dummyfunction("if($T508&lt;&gt;"""",REGEXEXTRACT(SUBSTITUTE ($T508,L$1&amp;"" CE"",""""), L$1&amp;""[\w &amp;]*, (\d+\.\d+)""),"""")
"),"")</f>
        <v/>
      </c>
      <c r="M508" s="3" t="str">
        <f aca="false">IFERROR(__xludf.dummyfunction("if($T508&lt;&gt;"""",REGEXEXTRACT($T508, M$1&amp;""[\w &amp;]*, (\d+\.\d+)""),"""")
"),"")</f>
        <v/>
      </c>
      <c r="N508" s="3" t="str">
        <f aca="false">IFERROR(__xludf.dummyfunction("if($T508&lt;&gt;"""",REGEXEXTRACT(SUBSTITUTE ($T508,N$1&amp;"" CE"",""""), N$1&amp;""[\w &amp;]*, (\d+\.\d+)""),"""")
"),"")</f>
        <v/>
      </c>
      <c r="O508" s="3" t="str">
        <f aca="false">IFERROR(__xludf.dummyfunction("if($T508&lt;&gt;"""",REGEXEXTRACT($T508, O$1&amp;""[\w &amp;]*, (\d+\.\d+)""),"""")
"),"")</f>
        <v/>
      </c>
      <c r="P508" s="2"/>
      <c r="Q508" s="2"/>
      <c r="R508" s="2"/>
      <c r="S508" s="2"/>
      <c r="T508" s="5"/>
      <c r="U508" s="5"/>
    </row>
    <row r="509" customFormat="false" ht="15.75" hidden="false" customHeight="false" outlineLevel="0" collapsed="false">
      <c r="A509" s="4"/>
      <c r="B509" s="2"/>
      <c r="C509" s="2"/>
      <c r="D509" s="2"/>
      <c r="E509" s="2"/>
      <c r="F509" s="3" t="str">
        <f aca="false">IFERROR(__xludf.dummyfunction("if($T509&lt;&gt;"""",REGEXEXTRACT(SUBSTITUTE ($T509,F$1&amp;"" CE"",""""), F$1&amp;""[\w &amp;]*, (\d+\.\d+)""),"""")
"),"")</f>
        <v/>
      </c>
      <c r="G509" s="3" t="str">
        <f aca="false">IFERROR(__xludf.dummyfunction("if($T509&lt;&gt;"""",REGEXEXTRACT($T509, G$1&amp;""[\w &amp;]*, (\d+\.\d+)""),"""")
"),"")</f>
        <v/>
      </c>
      <c r="H509" s="3"/>
      <c r="I509" s="3" t="str">
        <f aca="false">IFERROR(__xludf.dummyfunction("if($T509&lt;&gt;"""",REGEXEXTRACT(SUBSTITUTE ($T509,I$1&amp;"" CE"",""""), I$1&amp;""[\w &amp;]*, (\d+\.\d+)""),"""")
"),"")</f>
        <v/>
      </c>
      <c r="J509" s="3" t="str">
        <f aca="false">IFERROR(__xludf.dummyfunction("if($T509&lt;&gt;"""",REGEXEXTRACT($T509, J$1&amp;""[\w &amp;]*, (\d+\.\d+)""),"""")
"),"")</f>
        <v/>
      </c>
      <c r="K509" s="3"/>
      <c r="L509" s="3" t="str">
        <f aca="false">IFERROR(__xludf.dummyfunction("if($T509&lt;&gt;"""",REGEXEXTRACT(SUBSTITUTE ($T509,L$1&amp;"" CE"",""""), L$1&amp;""[\w &amp;]*, (\d+\.\d+)""),"""")
"),"")</f>
        <v/>
      </c>
      <c r="M509" s="3" t="str">
        <f aca="false">IFERROR(__xludf.dummyfunction("if($T509&lt;&gt;"""",REGEXEXTRACT($T509, M$1&amp;""[\w &amp;]*, (\d+\.\d+)""),"""")
"),"")</f>
        <v/>
      </c>
      <c r="N509" s="3" t="str">
        <f aca="false">IFERROR(__xludf.dummyfunction("if($T509&lt;&gt;"""",REGEXEXTRACT(SUBSTITUTE ($T509,N$1&amp;"" CE"",""""), N$1&amp;""[\w &amp;]*, (\d+\.\d+)""),"""")
"),"")</f>
        <v/>
      </c>
      <c r="O509" s="3" t="str">
        <f aca="false">IFERROR(__xludf.dummyfunction("if($T509&lt;&gt;"""",REGEXEXTRACT($T509, O$1&amp;""[\w &amp;]*, (\d+\.\d+)""),"""")
"),"")</f>
        <v/>
      </c>
      <c r="P509" s="2"/>
      <c r="Q509" s="2"/>
      <c r="R509" s="2"/>
      <c r="S509" s="2"/>
      <c r="T509" s="5"/>
      <c r="U509" s="5"/>
    </row>
    <row r="510" customFormat="false" ht="15.75" hidden="false" customHeight="false" outlineLevel="0" collapsed="false">
      <c r="A510" s="4"/>
      <c r="B510" s="2"/>
      <c r="C510" s="2"/>
      <c r="D510" s="2"/>
      <c r="E510" s="2"/>
      <c r="F510" s="3" t="str">
        <f aca="false">IFERROR(__xludf.dummyfunction("if($T510&lt;&gt;"""",REGEXEXTRACT(SUBSTITUTE ($T510,F$1&amp;"" CE"",""""), F$1&amp;""[\w &amp;]*, (\d+\.\d+)""),"""")
"),"")</f>
        <v/>
      </c>
      <c r="G510" s="3" t="str">
        <f aca="false">IFERROR(__xludf.dummyfunction("if($T510&lt;&gt;"""",REGEXEXTRACT($T510, G$1&amp;""[\w &amp;]*, (\d+\.\d+)""),"""")
"),"")</f>
        <v/>
      </c>
      <c r="H510" s="3"/>
      <c r="I510" s="3" t="str">
        <f aca="false">IFERROR(__xludf.dummyfunction("if($T510&lt;&gt;"""",REGEXEXTRACT(SUBSTITUTE ($T510,I$1&amp;"" CE"",""""), I$1&amp;""[\w &amp;]*, (\d+\.\d+)""),"""")
"),"")</f>
        <v/>
      </c>
      <c r="J510" s="3" t="str">
        <f aca="false">IFERROR(__xludf.dummyfunction("if($T510&lt;&gt;"""",REGEXEXTRACT($T510, J$1&amp;""[\w &amp;]*, (\d+\.\d+)""),"""")
"),"")</f>
        <v/>
      </c>
      <c r="K510" s="3"/>
      <c r="L510" s="3" t="str">
        <f aca="false">IFERROR(__xludf.dummyfunction("if($T510&lt;&gt;"""",REGEXEXTRACT(SUBSTITUTE ($T510,L$1&amp;"" CE"",""""), L$1&amp;""[\w &amp;]*, (\d+\.\d+)""),"""")
"),"")</f>
        <v/>
      </c>
      <c r="M510" s="3" t="str">
        <f aca="false">IFERROR(__xludf.dummyfunction("if($T510&lt;&gt;"""",REGEXEXTRACT($T510, M$1&amp;""[\w &amp;]*, (\d+\.\d+)""),"""")
"),"")</f>
        <v/>
      </c>
      <c r="N510" s="3" t="str">
        <f aca="false">IFERROR(__xludf.dummyfunction("if($T510&lt;&gt;"""",REGEXEXTRACT(SUBSTITUTE ($T510,N$1&amp;"" CE"",""""), N$1&amp;""[\w &amp;]*, (\d+\.\d+)""),"""")
"),"")</f>
        <v/>
      </c>
      <c r="O510" s="3" t="str">
        <f aca="false">IFERROR(__xludf.dummyfunction("if($T510&lt;&gt;"""",REGEXEXTRACT($T510, O$1&amp;""[\w &amp;]*, (\d+\.\d+)""),"""")
"),"")</f>
        <v/>
      </c>
      <c r="P510" s="2"/>
      <c r="Q510" s="2"/>
      <c r="R510" s="2"/>
      <c r="S510" s="2"/>
      <c r="T510" s="5"/>
      <c r="U510" s="5"/>
    </row>
    <row r="511" customFormat="false" ht="15.75" hidden="false" customHeight="false" outlineLevel="0" collapsed="false">
      <c r="A511" s="4"/>
      <c r="B511" s="2"/>
      <c r="C511" s="2"/>
      <c r="D511" s="2"/>
      <c r="E511" s="2"/>
      <c r="F511" s="3" t="str">
        <f aca="false">IFERROR(__xludf.dummyfunction("if($T511&lt;&gt;"""",REGEXEXTRACT(SUBSTITUTE ($T511,F$1&amp;"" CE"",""""), F$1&amp;""[\w &amp;]*, (\d+\.\d+)""),"""")
"),"")</f>
        <v/>
      </c>
      <c r="G511" s="3" t="str">
        <f aca="false">IFERROR(__xludf.dummyfunction("if($T511&lt;&gt;"""",REGEXEXTRACT($T511, G$1&amp;""[\w &amp;]*, (\d+\.\d+)""),"""")
"),"")</f>
        <v/>
      </c>
      <c r="H511" s="3"/>
      <c r="I511" s="3" t="str">
        <f aca="false">IFERROR(__xludf.dummyfunction("if($T511&lt;&gt;"""",REGEXEXTRACT(SUBSTITUTE ($T511,I$1&amp;"" CE"",""""), I$1&amp;""[\w &amp;]*, (\d+\.\d+)""),"""")
"),"")</f>
        <v/>
      </c>
      <c r="J511" s="3" t="str">
        <f aca="false">IFERROR(__xludf.dummyfunction("if($T511&lt;&gt;"""",REGEXEXTRACT($T511, J$1&amp;""[\w &amp;]*, (\d+\.\d+)""),"""")
"),"")</f>
        <v/>
      </c>
      <c r="K511" s="3"/>
      <c r="L511" s="3" t="str">
        <f aca="false">IFERROR(__xludf.dummyfunction("if($T511&lt;&gt;"""",REGEXEXTRACT(SUBSTITUTE ($T511,L$1&amp;"" CE"",""""), L$1&amp;""[\w &amp;]*, (\d+\.\d+)""),"""")
"),"")</f>
        <v/>
      </c>
      <c r="M511" s="3" t="str">
        <f aca="false">IFERROR(__xludf.dummyfunction("if($T511&lt;&gt;"""",REGEXEXTRACT($T511, M$1&amp;""[\w &amp;]*, (\d+\.\d+)""),"""")
"),"")</f>
        <v/>
      </c>
      <c r="N511" s="3" t="str">
        <f aca="false">IFERROR(__xludf.dummyfunction("if($T511&lt;&gt;"""",REGEXEXTRACT(SUBSTITUTE ($T511,N$1&amp;"" CE"",""""), N$1&amp;""[\w &amp;]*, (\d+\.\d+)""),"""")
"),"")</f>
        <v/>
      </c>
      <c r="O511" s="3" t="str">
        <f aca="false">IFERROR(__xludf.dummyfunction("if($T511&lt;&gt;"""",REGEXEXTRACT($T511, O$1&amp;""[\w &amp;]*, (\d+\.\d+)""),"""")
"),"")</f>
        <v/>
      </c>
      <c r="P511" s="2"/>
      <c r="Q511" s="2"/>
      <c r="R511" s="2"/>
      <c r="S511" s="2"/>
      <c r="T511" s="5"/>
      <c r="U511" s="5"/>
    </row>
    <row r="512" customFormat="false" ht="15.75" hidden="false" customHeight="false" outlineLevel="0" collapsed="false">
      <c r="A512" s="4"/>
      <c r="B512" s="2"/>
      <c r="C512" s="2"/>
      <c r="D512" s="2"/>
      <c r="E512" s="2"/>
      <c r="F512" s="3" t="str">
        <f aca="false">IFERROR(__xludf.dummyfunction("if($T512&lt;&gt;"""",REGEXEXTRACT(SUBSTITUTE ($T512,F$1&amp;"" CE"",""""), F$1&amp;""[\w &amp;]*, (\d+\.\d+)""),"""")
"),"")</f>
        <v/>
      </c>
      <c r="G512" s="3" t="str">
        <f aca="false">IFERROR(__xludf.dummyfunction("if($T512&lt;&gt;"""",REGEXEXTRACT($T512, G$1&amp;""[\w &amp;]*, (\d+\.\d+)""),"""")
"),"")</f>
        <v/>
      </c>
      <c r="H512" s="3"/>
      <c r="I512" s="3" t="str">
        <f aca="false">IFERROR(__xludf.dummyfunction("if($T512&lt;&gt;"""",REGEXEXTRACT(SUBSTITUTE ($T512,I$1&amp;"" CE"",""""), I$1&amp;""[\w &amp;]*, (\d+\.\d+)""),"""")
"),"")</f>
        <v/>
      </c>
      <c r="J512" s="3" t="str">
        <f aca="false">IFERROR(__xludf.dummyfunction("if($T512&lt;&gt;"""",REGEXEXTRACT($T512, J$1&amp;""[\w &amp;]*, (\d+\.\d+)""),"""")
"),"")</f>
        <v/>
      </c>
      <c r="K512" s="3"/>
      <c r="L512" s="3" t="str">
        <f aca="false">IFERROR(__xludf.dummyfunction("if($T512&lt;&gt;"""",REGEXEXTRACT(SUBSTITUTE ($T512,L$1&amp;"" CE"",""""), L$1&amp;""[\w &amp;]*, (\d+\.\d+)""),"""")
"),"")</f>
        <v/>
      </c>
      <c r="M512" s="3" t="str">
        <f aca="false">IFERROR(__xludf.dummyfunction("if($T512&lt;&gt;"""",REGEXEXTRACT($T512, M$1&amp;""[\w &amp;]*, (\d+\.\d+)""),"""")
"),"")</f>
        <v/>
      </c>
      <c r="N512" s="3" t="str">
        <f aca="false">IFERROR(__xludf.dummyfunction("if($T512&lt;&gt;"""",REGEXEXTRACT(SUBSTITUTE ($T512,N$1&amp;"" CE"",""""), N$1&amp;""[\w &amp;]*, (\d+\.\d+)""),"""")
"),"")</f>
        <v/>
      </c>
      <c r="O512" s="3" t="str">
        <f aca="false">IFERROR(__xludf.dummyfunction("if($T512&lt;&gt;"""",REGEXEXTRACT($T512, O$1&amp;""[\w &amp;]*, (\d+\.\d+)""),"""")
"),"")</f>
        <v/>
      </c>
      <c r="P512" s="2"/>
      <c r="Q512" s="2"/>
      <c r="R512" s="2"/>
      <c r="S512" s="2"/>
      <c r="T512" s="5"/>
      <c r="U512" s="5"/>
    </row>
    <row r="513" customFormat="false" ht="15.75" hidden="false" customHeight="false" outlineLevel="0" collapsed="false">
      <c r="A513" s="4"/>
      <c r="B513" s="2"/>
      <c r="C513" s="2"/>
      <c r="D513" s="2"/>
      <c r="E513" s="2"/>
      <c r="F513" s="3" t="str">
        <f aca="false">IFERROR(__xludf.dummyfunction("if($T513&lt;&gt;"""",REGEXEXTRACT(SUBSTITUTE ($T513,F$1&amp;"" CE"",""""), F$1&amp;""[\w &amp;]*, (\d+\.\d+)""),"""")
"),"")</f>
        <v/>
      </c>
      <c r="G513" s="3" t="str">
        <f aca="false">IFERROR(__xludf.dummyfunction("if($T513&lt;&gt;"""",REGEXEXTRACT($T513, G$1&amp;""[\w &amp;]*, (\d+\.\d+)""),"""")
"),"")</f>
        <v/>
      </c>
      <c r="H513" s="3"/>
      <c r="I513" s="3" t="str">
        <f aca="false">IFERROR(__xludf.dummyfunction("if($T513&lt;&gt;"""",REGEXEXTRACT(SUBSTITUTE ($T513,I$1&amp;"" CE"",""""), I$1&amp;""[\w &amp;]*, (\d+\.\d+)""),"""")
"),"")</f>
        <v/>
      </c>
      <c r="J513" s="3" t="str">
        <f aca="false">IFERROR(__xludf.dummyfunction("if($T513&lt;&gt;"""",REGEXEXTRACT($T513, J$1&amp;""[\w &amp;]*, (\d+\.\d+)""),"""")
"),"")</f>
        <v/>
      </c>
      <c r="K513" s="3"/>
      <c r="L513" s="3" t="str">
        <f aca="false">IFERROR(__xludf.dummyfunction("if($T513&lt;&gt;"""",REGEXEXTRACT(SUBSTITUTE ($T513,L$1&amp;"" CE"",""""), L$1&amp;""[\w &amp;]*, (\d+\.\d+)""),"""")
"),"")</f>
        <v/>
      </c>
      <c r="M513" s="3" t="str">
        <f aca="false">IFERROR(__xludf.dummyfunction("if($T513&lt;&gt;"""",REGEXEXTRACT($T513, M$1&amp;""[\w &amp;]*, (\d+\.\d+)""),"""")
"),"")</f>
        <v/>
      </c>
      <c r="N513" s="3" t="str">
        <f aca="false">IFERROR(__xludf.dummyfunction("if($T513&lt;&gt;"""",REGEXEXTRACT(SUBSTITUTE ($T513,N$1&amp;"" CE"",""""), N$1&amp;""[\w &amp;]*, (\d+\.\d+)""),"""")
"),"")</f>
        <v/>
      </c>
      <c r="O513" s="3" t="str">
        <f aca="false">IFERROR(__xludf.dummyfunction("if($T513&lt;&gt;"""",REGEXEXTRACT($T513, O$1&amp;""[\w &amp;]*, (\d+\.\d+)""),"""")
"),"")</f>
        <v/>
      </c>
      <c r="P513" s="2"/>
      <c r="Q513" s="2"/>
      <c r="R513" s="2"/>
      <c r="S513" s="2"/>
      <c r="T513" s="5"/>
      <c r="U513" s="5"/>
    </row>
    <row r="514" customFormat="false" ht="15.75" hidden="false" customHeight="false" outlineLevel="0" collapsed="false">
      <c r="A514" s="4"/>
      <c r="B514" s="2"/>
      <c r="C514" s="2"/>
      <c r="D514" s="2"/>
      <c r="E514" s="2"/>
      <c r="F514" s="3" t="str">
        <f aca="false">IFERROR(__xludf.dummyfunction("if($T514&lt;&gt;"""",REGEXEXTRACT(SUBSTITUTE ($T514,F$1&amp;"" CE"",""""), F$1&amp;""[\w &amp;]*, (\d+\.\d+)""),"""")
"),"")</f>
        <v/>
      </c>
      <c r="G514" s="3" t="str">
        <f aca="false">IFERROR(__xludf.dummyfunction("if($T514&lt;&gt;"""",REGEXEXTRACT($T514, G$1&amp;""[\w &amp;]*, (\d+\.\d+)""),"""")
"),"")</f>
        <v/>
      </c>
      <c r="H514" s="3"/>
      <c r="I514" s="3" t="str">
        <f aca="false">IFERROR(__xludf.dummyfunction("if($T514&lt;&gt;"""",REGEXEXTRACT(SUBSTITUTE ($T514,I$1&amp;"" CE"",""""), I$1&amp;""[\w &amp;]*, (\d+\.\d+)""),"""")
"),"")</f>
        <v/>
      </c>
      <c r="J514" s="3" t="str">
        <f aca="false">IFERROR(__xludf.dummyfunction("if($T514&lt;&gt;"""",REGEXEXTRACT($T514, J$1&amp;""[\w &amp;]*, (\d+\.\d+)""),"""")
"),"")</f>
        <v/>
      </c>
      <c r="K514" s="3"/>
      <c r="L514" s="3" t="str">
        <f aca="false">IFERROR(__xludf.dummyfunction("if($T514&lt;&gt;"""",REGEXEXTRACT(SUBSTITUTE ($T514,L$1&amp;"" CE"",""""), L$1&amp;""[\w &amp;]*, (\d+\.\d+)""),"""")
"),"")</f>
        <v/>
      </c>
      <c r="M514" s="3" t="str">
        <f aca="false">IFERROR(__xludf.dummyfunction("if($T514&lt;&gt;"""",REGEXEXTRACT($T514, M$1&amp;""[\w &amp;]*, (\d+\.\d+)""),"""")
"),"")</f>
        <v/>
      </c>
      <c r="N514" s="3" t="str">
        <f aca="false">IFERROR(__xludf.dummyfunction("if($T514&lt;&gt;"""",REGEXEXTRACT(SUBSTITUTE ($T514,N$1&amp;"" CE"",""""), N$1&amp;""[\w &amp;]*, (\d+\.\d+)""),"""")
"),"")</f>
        <v/>
      </c>
      <c r="O514" s="3" t="str">
        <f aca="false">IFERROR(__xludf.dummyfunction("if($T514&lt;&gt;"""",REGEXEXTRACT($T514, O$1&amp;""[\w &amp;]*, (\d+\.\d+)""),"""")
"),"")</f>
        <v/>
      </c>
      <c r="P514" s="2"/>
      <c r="Q514" s="2"/>
      <c r="R514" s="2"/>
      <c r="S514" s="2"/>
      <c r="T514" s="5"/>
      <c r="U514" s="5"/>
    </row>
    <row r="515" customFormat="false" ht="15.75" hidden="false" customHeight="false" outlineLevel="0" collapsed="false">
      <c r="A515" s="4"/>
      <c r="B515" s="2"/>
      <c r="C515" s="2"/>
      <c r="D515" s="2"/>
      <c r="E515" s="2"/>
      <c r="F515" s="3" t="str">
        <f aca="false">IFERROR(__xludf.dummyfunction("if($T515&lt;&gt;"""",REGEXEXTRACT(SUBSTITUTE ($T515,F$1&amp;"" CE"",""""), F$1&amp;""[\w &amp;]*, (\d+\.\d+)""),"""")
"),"")</f>
        <v/>
      </c>
      <c r="G515" s="3" t="str">
        <f aca="false">IFERROR(__xludf.dummyfunction("if($T515&lt;&gt;"""",REGEXEXTRACT($T515, G$1&amp;""[\w &amp;]*, (\d+\.\d+)""),"""")
"),"")</f>
        <v/>
      </c>
      <c r="H515" s="3"/>
      <c r="I515" s="3" t="str">
        <f aca="false">IFERROR(__xludf.dummyfunction("if($T515&lt;&gt;"""",REGEXEXTRACT(SUBSTITUTE ($T515,I$1&amp;"" CE"",""""), I$1&amp;""[\w &amp;]*, (\d+\.\d+)""),"""")
"),"")</f>
        <v/>
      </c>
      <c r="J515" s="3" t="str">
        <f aca="false">IFERROR(__xludf.dummyfunction("if($T515&lt;&gt;"""",REGEXEXTRACT($T515, J$1&amp;""[\w &amp;]*, (\d+\.\d+)""),"""")
"),"")</f>
        <v/>
      </c>
      <c r="K515" s="3"/>
      <c r="L515" s="3" t="str">
        <f aca="false">IFERROR(__xludf.dummyfunction("if($T515&lt;&gt;"""",REGEXEXTRACT(SUBSTITUTE ($T515,L$1&amp;"" CE"",""""), L$1&amp;""[\w &amp;]*, (\d+\.\d+)""),"""")
"),"")</f>
        <v/>
      </c>
      <c r="M515" s="3" t="str">
        <f aca="false">IFERROR(__xludf.dummyfunction("if($T515&lt;&gt;"""",REGEXEXTRACT($T515, M$1&amp;""[\w &amp;]*, (\d+\.\d+)""),"""")
"),"")</f>
        <v/>
      </c>
      <c r="N515" s="3" t="str">
        <f aca="false">IFERROR(__xludf.dummyfunction("if($T515&lt;&gt;"""",REGEXEXTRACT(SUBSTITUTE ($T515,N$1&amp;"" CE"",""""), N$1&amp;""[\w &amp;]*, (\d+\.\d+)""),"""")
"),"")</f>
        <v/>
      </c>
      <c r="O515" s="3" t="str">
        <f aca="false">IFERROR(__xludf.dummyfunction("if($T515&lt;&gt;"""",REGEXEXTRACT($T515, O$1&amp;""[\w &amp;]*, (\d+\.\d+)""),"""")
"),"")</f>
        <v/>
      </c>
      <c r="P515" s="2"/>
      <c r="Q515" s="2"/>
      <c r="R515" s="2"/>
      <c r="S515" s="2"/>
      <c r="T515" s="5"/>
      <c r="U515" s="5"/>
    </row>
    <row r="516" customFormat="false" ht="15.75" hidden="false" customHeight="false" outlineLevel="0" collapsed="false">
      <c r="A516" s="4"/>
      <c r="B516" s="2"/>
      <c r="C516" s="2"/>
      <c r="D516" s="2"/>
      <c r="E516" s="2"/>
      <c r="F516" s="3" t="str">
        <f aca="false">IFERROR(__xludf.dummyfunction("if($T516&lt;&gt;"""",REGEXEXTRACT(SUBSTITUTE ($T516,F$1&amp;"" CE"",""""), F$1&amp;""[\w &amp;]*, (\d+\.\d+)""),"""")
"),"")</f>
        <v/>
      </c>
      <c r="G516" s="3" t="str">
        <f aca="false">IFERROR(__xludf.dummyfunction("if($T516&lt;&gt;"""",REGEXEXTRACT($T516, G$1&amp;""[\w &amp;]*, (\d+\.\d+)""),"""")
"),"")</f>
        <v/>
      </c>
      <c r="H516" s="3"/>
      <c r="I516" s="3" t="str">
        <f aca="false">IFERROR(__xludf.dummyfunction("if($T516&lt;&gt;"""",REGEXEXTRACT(SUBSTITUTE ($T516,I$1&amp;"" CE"",""""), I$1&amp;""[\w &amp;]*, (\d+\.\d+)""),"""")
"),"")</f>
        <v/>
      </c>
      <c r="J516" s="3" t="str">
        <f aca="false">IFERROR(__xludf.dummyfunction("if($T516&lt;&gt;"""",REGEXEXTRACT($T516, J$1&amp;""[\w &amp;]*, (\d+\.\d+)""),"""")
"),"")</f>
        <v/>
      </c>
      <c r="K516" s="3"/>
      <c r="L516" s="3" t="str">
        <f aca="false">IFERROR(__xludf.dummyfunction("if($T516&lt;&gt;"""",REGEXEXTRACT(SUBSTITUTE ($T516,L$1&amp;"" CE"",""""), L$1&amp;""[\w &amp;]*, (\d+\.\d+)""),"""")
"),"")</f>
        <v/>
      </c>
      <c r="M516" s="3" t="str">
        <f aca="false">IFERROR(__xludf.dummyfunction("if($T516&lt;&gt;"""",REGEXEXTRACT($T516, M$1&amp;""[\w &amp;]*, (\d+\.\d+)""),"""")
"),"")</f>
        <v/>
      </c>
      <c r="N516" s="3" t="str">
        <f aca="false">IFERROR(__xludf.dummyfunction("if($T516&lt;&gt;"""",REGEXEXTRACT(SUBSTITUTE ($T516,N$1&amp;"" CE"",""""), N$1&amp;""[\w &amp;]*, (\d+\.\d+)""),"""")
"),"")</f>
        <v/>
      </c>
      <c r="O516" s="3" t="str">
        <f aca="false">IFERROR(__xludf.dummyfunction("if($T516&lt;&gt;"""",REGEXEXTRACT($T516, O$1&amp;""[\w &amp;]*, (\d+\.\d+)""),"""")
"),"")</f>
        <v/>
      </c>
      <c r="P516" s="2"/>
      <c r="Q516" s="2"/>
      <c r="R516" s="2"/>
      <c r="S516" s="2"/>
      <c r="T516" s="5"/>
      <c r="U516" s="5"/>
    </row>
    <row r="517" customFormat="false" ht="15.75" hidden="false" customHeight="false" outlineLevel="0" collapsed="false">
      <c r="A517" s="4"/>
      <c r="B517" s="2"/>
      <c r="C517" s="2"/>
      <c r="D517" s="2"/>
      <c r="E517" s="2"/>
      <c r="F517" s="3" t="str">
        <f aca="false">IFERROR(__xludf.dummyfunction("if($T517&lt;&gt;"""",REGEXEXTRACT(SUBSTITUTE ($T517,F$1&amp;"" CE"",""""), F$1&amp;""[\w &amp;]*, (\d+\.\d+)""),"""")
"),"")</f>
        <v/>
      </c>
      <c r="G517" s="3" t="str">
        <f aca="false">IFERROR(__xludf.dummyfunction("if($T517&lt;&gt;"""",REGEXEXTRACT($T517, G$1&amp;""[\w &amp;]*, (\d+\.\d+)""),"""")
"),"")</f>
        <v/>
      </c>
      <c r="H517" s="3"/>
      <c r="I517" s="3" t="str">
        <f aca="false">IFERROR(__xludf.dummyfunction("if($T517&lt;&gt;"""",REGEXEXTRACT(SUBSTITUTE ($T517,I$1&amp;"" CE"",""""), I$1&amp;""[\w &amp;]*, (\d+\.\d+)""),"""")
"),"")</f>
        <v/>
      </c>
      <c r="J517" s="3" t="str">
        <f aca="false">IFERROR(__xludf.dummyfunction("if($T517&lt;&gt;"""",REGEXEXTRACT($T517, J$1&amp;""[\w &amp;]*, (\d+\.\d+)""),"""")
"),"")</f>
        <v/>
      </c>
      <c r="K517" s="3"/>
      <c r="L517" s="3" t="str">
        <f aca="false">IFERROR(__xludf.dummyfunction("if($T517&lt;&gt;"""",REGEXEXTRACT(SUBSTITUTE ($T517,L$1&amp;"" CE"",""""), L$1&amp;""[\w &amp;]*, (\d+\.\d+)""),"""")
"),"")</f>
        <v/>
      </c>
      <c r="M517" s="3" t="str">
        <f aca="false">IFERROR(__xludf.dummyfunction("if($T517&lt;&gt;"""",REGEXEXTRACT($T517, M$1&amp;""[\w &amp;]*, (\d+\.\d+)""),"""")
"),"")</f>
        <v/>
      </c>
      <c r="N517" s="3" t="str">
        <f aca="false">IFERROR(__xludf.dummyfunction("if($T517&lt;&gt;"""",REGEXEXTRACT(SUBSTITUTE ($T517,N$1&amp;"" CE"",""""), N$1&amp;""[\w &amp;]*, (\d+\.\d+)""),"""")
"),"")</f>
        <v/>
      </c>
      <c r="O517" s="3" t="str">
        <f aca="false">IFERROR(__xludf.dummyfunction("if($T517&lt;&gt;"""",REGEXEXTRACT($T517, O$1&amp;""[\w &amp;]*, (\d+\.\d+)""),"""")
"),"")</f>
        <v/>
      </c>
      <c r="P517" s="2"/>
      <c r="Q517" s="2"/>
      <c r="R517" s="2"/>
      <c r="S517" s="2"/>
      <c r="T517" s="5"/>
      <c r="U517" s="5"/>
    </row>
    <row r="518" customFormat="false" ht="15.75" hidden="false" customHeight="false" outlineLevel="0" collapsed="false">
      <c r="A518" s="4"/>
      <c r="B518" s="2"/>
      <c r="C518" s="2"/>
      <c r="D518" s="2"/>
      <c r="E518" s="2"/>
      <c r="F518" s="3" t="str">
        <f aca="false">IFERROR(__xludf.dummyfunction("if($T518&lt;&gt;"""",REGEXEXTRACT(SUBSTITUTE ($T518,F$1&amp;"" CE"",""""), F$1&amp;""[\w &amp;]*, (\d+\.\d+)""),"""")
"),"")</f>
        <v/>
      </c>
      <c r="G518" s="3" t="str">
        <f aca="false">IFERROR(__xludf.dummyfunction("if($T518&lt;&gt;"""",REGEXEXTRACT($T518, G$1&amp;""[\w &amp;]*, (\d+\.\d+)""),"""")
"),"")</f>
        <v/>
      </c>
      <c r="H518" s="3"/>
      <c r="I518" s="3" t="str">
        <f aca="false">IFERROR(__xludf.dummyfunction("if($T518&lt;&gt;"""",REGEXEXTRACT(SUBSTITUTE ($T518,I$1&amp;"" CE"",""""), I$1&amp;""[\w &amp;]*, (\d+\.\d+)""),"""")
"),"")</f>
        <v/>
      </c>
      <c r="J518" s="3" t="str">
        <f aca="false">IFERROR(__xludf.dummyfunction("if($T518&lt;&gt;"""",REGEXEXTRACT($T518, J$1&amp;""[\w &amp;]*, (\d+\.\d+)""),"""")
"),"")</f>
        <v/>
      </c>
      <c r="K518" s="3"/>
      <c r="L518" s="3" t="str">
        <f aca="false">IFERROR(__xludf.dummyfunction("if($T518&lt;&gt;"""",REGEXEXTRACT(SUBSTITUTE ($T518,L$1&amp;"" CE"",""""), L$1&amp;""[\w &amp;]*, (\d+\.\d+)""),"""")
"),"")</f>
        <v/>
      </c>
      <c r="M518" s="3" t="str">
        <f aca="false">IFERROR(__xludf.dummyfunction("if($T518&lt;&gt;"""",REGEXEXTRACT($T518, M$1&amp;""[\w &amp;]*, (\d+\.\d+)""),"""")
"),"")</f>
        <v/>
      </c>
      <c r="N518" s="3" t="str">
        <f aca="false">IFERROR(__xludf.dummyfunction("if($T518&lt;&gt;"""",REGEXEXTRACT(SUBSTITUTE ($T518,N$1&amp;"" CE"",""""), N$1&amp;""[\w &amp;]*, (\d+\.\d+)""),"""")
"),"")</f>
        <v/>
      </c>
      <c r="O518" s="3" t="str">
        <f aca="false">IFERROR(__xludf.dummyfunction("if($T518&lt;&gt;"""",REGEXEXTRACT($T518, O$1&amp;""[\w &amp;]*, (\d+\.\d+)""),"""")
"),"")</f>
        <v/>
      </c>
      <c r="P518" s="2"/>
      <c r="Q518" s="2"/>
      <c r="R518" s="2"/>
      <c r="S518" s="2"/>
      <c r="T518" s="5"/>
      <c r="U518" s="5"/>
    </row>
    <row r="519" customFormat="false" ht="15.75" hidden="false" customHeight="false" outlineLevel="0" collapsed="false">
      <c r="A519" s="4"/>
      <c r="B519" s="2"/>
      <c r="C519" s="2"/>
      <c r="D519" s="2"/>
      <c r="E519" s="2"/>
      <c r="F519" s="3" t="str">
        <f aca="false">IFERROR(__xludf.dummyfunction("if($T519&lt;&gt;"""",REGEXEXTRACT(SUBSTITUTE ($T519,F$1&amp;"" CE"",""""), F$1&amp;""[\w &amp;]*, (\d+\.\d+)""),"""")
"),"")</f>
        <v/>
      </c>
      <c r="G519" s="3" t="str">
        <f aca="false">IFERROR(__xludf.dummyfunction("if($T519&lt;&gt;"""",REGEXEXTRACT($T519, G$1&amp;""[\w &amp;]*, (\d+\.\d+)""),"""")
"),"")</f>
        <v/>
      </c>
      <c r="H519" s="3"/>
      <c r="I519" s="3" t="str">
        <f aca="false">IFERROR(__xludf.dummyfunction("if($T519&lt;&gt;"""",REGEXEXTRACT(SUBSTITUTE ($T519,I$1&amp;"" CE"",""""), I$1&amp;""[\w &amp;]*, (\d+\.\d+)""),"""")
"),"")</f>
        <v/>
      </c>
      <c r="J519" s="3" t="str">
        <f aca="false">IFERROR(__xludf.dummyfunction("if($T519&lt;&gt;"""",REGEXEXTRACT($T519, J$1&amp;""[\w &amp;]*, (\d+\.\d+)""),"""")
"),"")</f>
        <v/>
      </c>
      <c r="K519" s="3"/>
      <c r="L519" s="3" t="str">
        <f aca="false">IFERROR(__xludf.dummyfunction("if($T519&lt;&gt;"""",REGEXEXTRACT(SUBSTITUTE ($T519,L$1&amp;"" CE"",""""), L$1&amp;""[\w &amp;]*, (\d+\.\d+)""),"""")
"),"")</f>
        <v/>
      </c>
      <c r="M519" s="3" t="str">
        <f aca="false">IFERROR(__xludf.dummyfunction("if($T519&lt;&gt;"""",REGEXEXTRACT($T519, M$1&amp;""[\w &amp;]*, (\d+\.\d+)""),"""")
"),"")</f>
        <v/>
      </c>
      <c r="N519" s="3" t="str">
        <f aca="false">IFERROR(__xludf.dummyfunction("if($T519&lt;&gt;"""",REGEXEXTRACT(SUBSTITUTE ($T519,N$1&amp;"" CE"",""""), N$1&amp;""[\w &amp;]*, (\d+\.\d+)""),"""")
"),"")</f>
        <v/>
      </c>
      <c r="O519" s="3" t="str">
        <f aca="false">IFERROR(__xludf.dummyfunction("if($T519&lt;&gt;"""",REGEXEXTRACT($T519, O$1&amp;""[\w &amp;]*, (\d+\.\d+)""),"""")
"),"")</f>
        <v/>
      </c>
      <c r="P519" s="2"/>
      <c r="Q519" s="2"/>
      <c r="R519" s="2"/>
      <c r="S519" s="2"/>
      <c r="T519" s="5"/>
      <c r="U519" s="5"/>
    </row>
    <row r="520" customFormat="false" ht="15.75" hidden="false" customHeight="false" outlineLevel="0" collapsed="false">
      <c r="A520" s="4"/>
      <c r="B520" s="2"/>
      <c r="C520" s="2"/>
      <c r="D520" s="2"/>
      <c r="E520" s="2"/>
      <c r="F520" s="3" t="str">
        <f aca="false">IFERROR(__xludf.dummyfunction("if($T520&lt;&gt;"""",REGEXEXTRACT(SUBSTITUTE ($T520,F$1&amp;"" CE"",""""), F$1&amp;""[\w &amp;]*, (\d+\.\d+)""),"""")
"),"")</f>
        <v/>
      </c>
      <c r="G520" s="3" t="str">
        <f aca="false">IFERROR(__xludf.dummyfunction("if($T520&lt;&gt;"""",REGEXEXTRACT($T520, G$1&amp;""[\w &amp;]*, (\d+\.\d+)""),"""")
"),"")</f>
        <v/>
      </c>
      <c r="H520" s="3"/>
      <c r="I520" s="3" t="str">
        <f aca="false">IFERROR(__xludf.dummyfunction("if($T520&lt;&gt;"""",REGEXEXTRACT(SUBSTITUTE ($T520,I$1&amp;"" CE"",""""), I$1&amp;""[\w &amp;]*, (\d+\.\d+)""),"""")
"),"")</f>
        <v/>
      </c>
      <c r="J520" s="3" t="str">
        <f aca="false">IFERROR(__xludf.dummyfunction("if($T520&lt;&gt;"""",REGEXEXTRACT($T520, J$1&amp;""[\w &amp;]*, (\d+\.\d+)""),"""")
"),"")</f>
        <v/>
      </c>
      <c r="K520" s="3"/>
      <c r="L520" s="3" t="str">
        <f aca="false">IFERROR(__xludf.dummyfunction("if($T520&lt;&gt;"""",REGEXEXTRACT(SUBSTITUTE ($T520,L$1&amp;"" CE"",""""), L$1&amp;""[\w &amp;]*, (\d+\.\d+)""),"""")
"),"")</f>
        <v/>
      </c>
      <c r="M520" s="3" t="str">
        <f aca="false">IFERROR(__xludf.dummyfunction("if($T520&lt;&gt;"""",REGEXEXTRACT($T520, M$1&amp;""[\w &amp;]*, (\d+\.\d+)""),"""")
"),"")</f>
        <v/>
      </c>
      <c r="N520" s="3" t="str">
        <f aca="false">IFERROR(__xludf.dummyfunction("if($T520&lt;&gt;"""",REGEXEXTRACT(SUBSTITUTE ($T520,N$1&amp;"" CE"",""""), N$1&amp;""[\w &amp;]*, (\d+\.\d+)""),"""")
"),"")</f>
        <v/>
      </c>
      <c r="O520" s="3" t="str">
        <f aca="false">IFERROR(__xludf.dummyfunction("if($T520&lt;&gt;"""",REGEXEXTRACT($T520, O$1&amp;""[\w &amp;]*, (\d+\.\d+)""),"""")
"),"")</f>
        <v/>
      </c>
      <c r="P520" s="2"/>
      <c r="Q520" s="2"/>
      <c r="R520" s="2"/>
      <c r="S520" s="2"/>
      <c r="T520" s="5"/>
      <c r="U520" s="5"/>
    </row>
    <row r="521" customFormat="false" ht="15.75" hidden="false" customHeight="false" outlineLevel="0" collapsed="false">
      <c r="A521" s="4"/>
      <c r="B521" s="2"/>
      <c r="C521" s="2"/>
      <c r="D521" s="2"/>
      <c r="E521" s="2"/>
      <c r="F521" s="3" t="str">
        <f aca="false">IFERROR(__xludf.dummyfunction("if($T521&lt;&gt;"""",REGEXEXTRACT(SUBSTITUTE ($T521,F$1&amp;"" CE"",""""), F$1&amp;""[\w &amp;]*, (\d+\.\d+)""),"""")
"),"")</f>
        <v/>
      </c>
      <c r="G521" s="3" t="str">
        <f aca="false">IFERROR(__xludf.dummyfunction("if($T521&lt;&gt;"""",REGEXEXTRACT($T521, G$1&amp;""[\w &amp;]*, (\d+\.\d+)""),"""")
"),"")</f>
        <v/>
      </c>
      <c r="H521" s="3"/>
      <c r="I521" s="3" t="str">
        <f aca="false">IFERROR(__xludf.dummyfunction("if($T521&lt;&gt;"""",REGEXEXTRACT(SUBSTITUTE ($T521,I$1&amp;"" CE"",""""), I$1&amp;""[\w &amp;]*, (\d+\.\d+)""),"""")
"),"")</f>
        <v/>
      </c>
      <c r="J521" s="3" t="str">
        <f aca="false">IFERROR(__xludf.dummyfunction("if($T521&lt;&gt;"""",REGEXEXTRACT($T521, J$1&amp;""[\w &amp;]*, (\d+\.\d+)""),"""")
"),"")</f>
        <v/>
      </c>
      <c r="K521" s="3"/>
      <c r="L521" s="3" t="str">
        <f aca="false">IFERROR(__xludf.dummyfunction("if($T521&lt;&gt;"""",REGEXEXTRACT(SUBSTITUTE ($T521,L$1&amp;"" CE"",""""), L$1&amp;""[\w &amp;]*, (\d+\.\d+)""),"""")
"),"")</f>
        <v/>
      </c>
      <c r="M521" s="3" t="str">
        <f aca="false">IFERROR(__xludf.dummyfunction("if($T521&lt;&gt;"""",REGEXEXTRACT($T521, M$1&amp;""[\w &amp;]*, (\d+\.\d+)""),"""")
"),"")</f>
        <v/>
      </c>
      <c r="N521" s="3" t="str">
        <f aca="false">IFERROR(__xludf.dummyfunction("if($T521&lt;&gt;"""",REGEXEXTRACT(SUBSTITUTE ($T521,N$1&amp;"" CE"",""""), N$1&amp;""[\w &amp;]*, (\d+\.\d+)""),"""")
"),"")</f>
        <v/>
      </c>
      <c r="O521" s="3" t="str">
        <f aca="false">IFERROR(__xludf.dummyfunction("if($T521&lt;&gt;"""",REGEXEXTRACT($T521, O$1&amp;""[\w &amp;]*, (\d+\.\d+)""),"""")
"),"")</f>
        <v/>
      </c>
      <c r="P521" s="2"/>
      <c r="Q521" s="2"/>
      <c r="R521" s="2"/>
      <c r="S521" s="2"/>
      <c r="T521" s="5"/>
      <c r="U521" s="5"/>
    </row>
    <row r="522" customFormat="false" ht="15.75" hidden="false" customHeight="false" outlineLevel="0" collapsed="false">
      <c r="A522" s="4"/>
      <c r="B522" s="2"/>
      <c r="C522" s="2"/>
      <c r="D522" s="2"/>
      <c r="E522" s="2"/>
      <c r="F522" s="3" t="str">
        <f aca="false">IFERROR(__xludf.dummyfunction("if($T522&lt;&gt;"""",REGEXEXTRACT(SUBSTITUTE ($T522,F$1&amp;"" CE"",""""), F$1&amp;""[\w &amp;]*, (\d+\.\d+)""),"""")
"),"")</f>
        <v/>
      </c>
      <c r="G522" s="3" t="str">
        <f aca="false">IFERROR(__xludf.dummyfunction("if($T522&lt;&gt;"""",REGEXEXTRACT($T522, G$1&amp;""[\w &amp;]*, (\d+\.\d+)""),"""")
"),"")</f>
        <v/>
      </c>
      <c r="H522" s="3"/>
      <c r="I522" s="3" t="str">
        <f aca="false">IFERROR(__xludf.dummyfunction("if($T522&lt;&gt;"""",REGEXEXTRACT(SUBSTITUTE ($T522,I$1&amp;"" CE"",""""), I$1&amp;""[\w &amp;]*, (\d+\.\d+)""),"""")
"),"")</f>
        <v/>
      </c>
      <c r="J522" s="3" t="str">
        <f aca="false">IFERROR(__xludf.dummyfunction("if($T522&lt;&gt;"""",REGEXEXTRACT($T522, J$1&amp;""[\w &amp;]*, (\d+\.\d+)""),"""")
"),"")</f>
        <v/>
      </c>
      <c r="K522" s="3"/>
      <c r="L522" s="3" t="str">
        <f aca="false">IFERROR(__xludf.dummyfunction("if($T522&lt;&gt;"""",REGEXEXTRACT(SUBSTITUTE ($T522,L$1&amp;"" CE"",""""), L$1&amp;""[\w &amp;]*, (\d+\.\d+)""),"""")
"),"")</f>
        <v/>
      </c>
      <c r="M522" s="3" t="str">
        <f aca="false">IFERROR(__xludf.dummyfunction("if($T522&lt;&gt;"""",REGEXEXTRACT($T522, M$1&amp;""[\w &amp;]*, (\d+\.\d+)""),"""")
"),"")</f>
        <v/>
      </c>
      <c r="N522" s="3" t="str">
        <f aca="false">IFERROR(__xludf.dummyfunction("if($T522&lt;&gt;"""",REGEXEXTRACT(SUBSTITUTE ($T522,N$1&amp;"" CE"",""""), N$1&amp;""[\w &amp;]*, (\d+\.\d+)""),"""")
"),"")</f>
        <v/>
      </c>
      <c r="O522" s="3" t="str">
        <f aca="false">IFERROR(__xludf.dummyfunction("if($T522&lt;&gt;"""",REGEXEXTRACT($T522, O$1&amp;""[\w &amp;]*, (\d+\.\d+)""),"""")
"),"")</f>
        <v/>
      </c>
      <c r="P522" s="2"/>
      <c r="Q522" s="2"/>
      <c r="R522" s="2"/>
      <c r="S522" s="2"/>
      <c r="T522" s="5"/>
      <c r="U522" s="5"/>
    </row>
    <row r="523" customFormat="false" ht="15.75" hidden="false" customHeight="false" outlineLevel="0" collapsed="false">
      <c r="A523" s="4"/>
      <c r="B523" s="2"/>
      <c r="C523" s="2"/>
      <c r="D523" s="2"/>
      <c r="E523" s="2"/>
      <c r="F523" s="3" t="str">
        <f aca="false">IFERROR(__xludf.dummyfunction("if($T523&lt;&gt;"""",REGEXEXTRACT(SUBSTITUTE ($T523,F$1&amp;"" CE"",""""), F$1&amp;""[\w &amp;]*, (\d+\.\d+)""),"""")
"),"")</f>
        <v/>
      </c>
      <c r="G523" s="3" t="str">
        <f aca="false">IFERROR(__xludf.dummyfunction("if($T523&lt;&gt;"""",REGEXEXTRACT($T523, G$1&amp;""[\w &amp;]*, (\d+\.\d+)""),"""")
"),"")</f>
        <v/>
      </c>
      <c r="H523" s="3"/>
      <c r="I523" s="3" t="str">
        <f aca="false">IFERROR(__xludf.dummyfunction("if($T523&lt;&gt;"""",REGEXEXTRACT(SUBSTITUTE ($T523,I$1&amp;"" CE"",""""), I$1&amp;""[\w &amp;]*, (\d+\.\d+)""),"""")
"),"")</f>
        <v/>
      </c>
      <c r="J523" s="3" t="str">
        <f aca="false">IFERROR(__xludf.dummyfunction("if($T523&lt;&gt;"""",REGEXEXTRACT($T523, J$1&amp;""[\w &amp;]*, (\d+\.\d+)""),"""")
"),"")</f>
        <v/>
      </c>
      <c r="K523" s="3"/>
      <c r="L523" s="3" t="str">
        <f aca="false">IFERROR(__xludf.dummyfunction("if($T523&lt;&gt;"""",REGEXEXTRACT(SUBSTITUTE ($T523,L$1&amp;"" CE"",""""), L$1&amp;""[\w &amp;]*, (\d+\.\d+)""),"""")
"),"")</f>
        <v/>
      </c>
      <c r="M523" s="3" t="str">
        <f aca="false">IFERROR(__xludf.dummyfunction("if($T523&lt;&gt;"""",REGEXEXTRACT($T523, M$1&amp;""[\w &amp;]*, (\d+\.\d+)""),"""")
"),"")</f>
        <v/>
      </c>
      <c r="N523" s="3" t="str">
        <f aca="false">IFERROR(__xludf.dummyfunction("if($T523&lt;&gt;"""",REGEXEXTRACT(SUBSTITUTE ($T523,N$1&amp;"" CE"",""""), N$1&amp;""[\w &amp;]*, (\d+\.\d+)""),"""")
"),"")</f>
        <v/>
      </c>
      <c r="O523" s="3" t="str">
        <f aca="false">IFERROR(__xludf.dummyfunction("if($T523&lt;&gt;"""",REGEXEXTRACT($T523, O$1&amp;""[\w &amp;]*, (\d+\.\d+)""),"""")
"),"")</f>
        <v/>
      </c>
      <c r="P523" s="2"/>
      <c r="Q523" s="2"/>
      <c r="R523" s="2"/>
      <c r="S523" s="2"/>
      <c r="T523" s="5"/>
      <c r="U523" s="5"/>
    </row>
    <row r="524" customFormat="false" ht="15.75" hidden="false" customHeight="false" outlineLevel="0" collapsed="false">
      <c r="A524" s="4"/>
      <c r="B524" s="2"/>
      <c r="C524" s="2"/>
      <c r="D524" s="2"/>
      <c r="E524" s="2"/>
      <c r="F524" s="3" t="str">
        <f aca="false">IFERROR(__xludf.dummyfunction("if($T524&lt;&gt;"""",REGEXEXTRACT(SUBSTITUTE ($T524,F$1&amp;"" CE"",""""), F$1&amp;""[\w &amp;]*, (\d+\.\d+)""),"""")
"),"")</f>
        <v/>
      </c>
      <c r="G524" s="3" t="str">
        <f aca="false">IFERROR(__xludf.dummyfunction("if($T524&lt;&gt;"""",REGEXEXTRACT($T524, G$1&amp;""[\w &amp;]*, (\d+\.\d+)""),"""")
"),"")</f>
        <v/>
      </c>
      <c r="H524" s="3"/>
      <c r="I524" s="3" t="str">
        <f aca="false">IFERROR(__xludf.dummyfunction("if($T524&lt;&gt;"""",REGEXEXTRACT(SUBSTITUTE ($T524,I$1&amp;"" CE"",""""), I$1&amp;""[\w &amp;]*, (\d+\.\d+)""),"""")
"),"")</f>
        <v/>
      </c>
      <c r="J524" s="3" t="str">
        <f aca="false">IFERROR(__xludf.dummyfunction("if($T524&lt;&gt;"""",REGEXEXTRACT($T524, J$1&amp;""[\w &amp;]*, (\d+\.\d+)""),"""")
"),"")</f>
        <v/>
      </c>
      <c r="K524" s="3"/>
      <c r="L524" s="3" t="str">
        <f aca="false">IFERROR(__xludf.dummyfunction("if($T524&lt;&gt;"""",REGEXEXTRACT(SUBSTITUTE ($T524,L$1&amp;"" CE"",""""), L$1&amp;""[\w &amp;]*, (\d+\.\d+)""),"""")
"),"")</f>
        <v/>
      </c>
      <c r="M524" s="3" t="str">
        <f aca="false">IFERROR(__xludf.dummyfunction("if($T524&lt;&gt;"""",REGEXEXTRACT($T524, M$1&amp;""[\w &amp;]*, (\d+\.\d+)""),"""")
"),"")</f>
        <v/>
      </c>
      <c r="N524" s="3" t="str">
        <f aca="false">IFERROR(__xludf.dummyfunction("if($T524&lt;&gt;"""",REGEXEXTRACT(SUBSTITUTE ($T524,N$1&amp;"" CE"",""""), N$1&amp;""[\w &amp;]*, (\d+\.\d+)""),"""")
"),"")</f>
        <v/>
      </c>
      <c r="O524" s="3" t="str">
        <f aca="false">IFERROR(__xludf.dummyfunction("if($T524&lt;&gt;"""",REGEXEXTRACT($T524, O$1&amp;""[\w &amp;]*, (\d+\.\d+)""),"""")
"),"")</f>
        <v/>
      </c>
      <c r="P524" s="2"/>
      <c r="Q524" s="2"/>
      <c r="R524" s="2"/>
      <c r="S524" s="2"/>
      <c r="T524" s="5"/>
      <c r="U524" s="5"/>
    </row>
    <row r="525" customFormat="false" ht="15.75" hidden="false" customHeight="false" outlineLevel="0" collapsed="false">
      <c r="A525" s="4"/>
      <c r="B525" s="2"/>
      <c r="C525" s="2"/>
      <c r="D525" s="2"/>
      <c r="E525" s="2"/>
      <c r="F525" s="3" t="str">
        <f aca="false">IFERROR(__xludf.dummyfunction("if($T525&lt;&gt;"""",REGEXEXTRACT(SUBSTITUTE ($T525,F$1&amp;"" CE"",""""), F$1&amp;""[\w &amp;]*, (\d+\.\d+)""),"""")
"),"")</f>
        <v/>
      </c>
      <c r="G525" s="3" t="str">
        <f aca="false">IFERROR(__xludf.dummyfunction("if($T525&lt;&gt;"""",REGEXEXTRACT($T525, G$1&amp;""[\w &amp;]*, (\d+\.\d+)""),"""")
"),"")</f>
        <v/>
      </c>
      <c r="H525" s="3"/>
      <c r="I525" s="3" t="str">
        <f aca="false">IFERROR(__xludf.dummyfunction("if($T525&lt;&gt;"""",REGEXEXTRACT(SUBSTITUTE ($T525,I$1&amp;"" CE"",""""), I$1&amp;""[\w &amp;]*, (\d+\.\d+)""),"""")
"),"")</f>
        <v/>
      </c>
      <c r="J525" s="3" t="str">
        <f aca="false">IFERROR(__xludf.dummyfunction("if($T525&lt;&gt;"""",REGEXEXTRACT($T525, J$1&amp;""[\w &amp;]*, (\d+\.\d+)""),"""")
"),"")</f>
        <v/>
      </c>
      <c r="K525" s="3"/>
      <c r="L525" s="3" t="str">
        <f aca="false">IFERROR(__xludf.dummyfunction("if($T525&lt;&gt;"""",REGEXEXTRACT(SUBSTITUTE ($T525,L$1&amp;"" CE"",""""), L$1&amp;""[\w &amp;]*, (\d+\.\d+)""),"""")
"),"")</f>
        <v/>
      </c>
      <c r="M525" s="3" t="str">
        <f aca="false">IFERROR(__xludf.dummyfunction("if($T525&lt;&gt;"""",REGEXEXTRACT($T525, M$1&amp;""[\w &amp;]*, (\d+\.\d+)""),"""")
"),"")</f>
        <v/>
      </c>
      <c r="N525" s="3" t="str">
        <f aca="false">IFERROR(__xludf.dummyfunction("if($T525&lt;&gt;"""",REGEXEXTRACT(SUBSTITUTE ($T525,N$1&amp;"" CE"",""""), N$1&amp;""[\w &amp;]*, (\d+\.\d+)""),"""")
"),"")</f>
        <v/>
      </c>
      <c r="O525" s="3" t="str">
        <f aca="false">IFERROR(__xludf.dummyfunction("if($T525&lt;&gt;"""",REGEXEXTRACT($T525, O$1&amp;""[\w &amp;]*, (\d+\.\d+)""),"""")
"),"")</f>
        <v/>
      </c>
      <c r="P525" s="2"/>
      <c r="Q525" s="2"/>
      <c r="R525" s="2"/>
      <c r="S525" s="2"/>
      <c r="T525" s="5"/>
      <c r="U525" s="5"/>
    </row>
    <row r="526" customFormat="false" ht="15.75" hidden="false" customHeight="false" outlineLevel="0" collapsed="false">
      <c r="A526" s="4"/>
      <c r="B526" s="2"/>
      <c r="C526" s="2"/>
      <c r="D526" s="2"/>
      <c r="E526" s="2"/>
      <c r="F526" s="3" t="str">
        <f aca="false">IFERROR(__xludf.dummyfunction("if($T526&lt;&gt;"""",REGEXEXTRACT(SUBSTITUTE ($T526,F$1&amp;"" CE"",""""), F$1&amp;""[\w &amp;]*, (\d+\.\d+)""),"""")
"),"")</f>
        <v/>
      </c>
      <c r="G526" s="3" t="str">
        <f aca="false">IFERROR(__xludf.dummyfunction("if($T526&lt;&gt;"""",REGEXEXTRACT($T526, G$1&amp;""[\w &amp;]*, (\d+\.\d+)""),"""")
"),"")</f>
        <v/>
      </c>
      <c r="H526" s="3"/>
      <c r="I526" s="3" t="str">
        <f aca="false">IFERROR(__xludf.dummyfunction("if($T526&lt;&gt;"""",REGEXEXTRACT(SUBSTITUTE ($T526,I$1&amp;"" CE"",""""), I$1&amp;""[\w &amp;]*, (\d+\.\d+)""),"""")
"),"")</f>
        <v/>
      </c>
      <c r="J526" s="3" t="str">
        <f aca="false">IFERROR(__xludf.dummyfunction("if($T526&lt;&gt;"""",REGEXEXTRACT($T526, J$1&amp;""[\w &amp;]*, (\d+\.\d+)""),"""")
"),"")</f>
        <v/>
      </c>
      <c r="K526" s="3"/>
      <c r="L526" s="3" t="str">
        <f aca="false">IFERROR(__xludf.dummyfunction("if($T526&lt;&gt;"""",REGEXEXTRACT(SUBSTITUTE ($T526,L$1&amp;"" CE"",""""), L$1&amp;""[\w &amp;]*, (\d+\.\d+)""),"""")
"),"")</f>
        <v/>
      </c>
      <c r="M526" s="3" t="str">
        <f aca="false">IFERROR(__xludf.dummyfunction("if($T526&lt;&gt;"""",REGEXEXTRACT($T526, M$1&amp;""[\w &amp;]*, (\d+\.\d+)""),"""")
"),"")</f>
        <v/>
      </c>
      <c r="N526" s="3" t="str">
        <f aca="false">IFERROR(__xludf.dummyfunction("if($T526&lt;&gt;"""",REGEXEXTRACT(SUBSTITUTE ($T526,N$1&amp;"" CE"",""""), N$1&amp;""[\w &amp;]*, (\d+\.\d+)""),"""")
"),"")</f>
        <v/>
      </c>
      <c r="O526" s="3" t="str">
        <f aca="false">IFERROR(__xludf.dummyfunction("if($T526&lt;&gt;"""",REGEXEXTRACT($T526, O$1&amp;""[\w &amp;]*, (\d+\.\d+)""),"""")
"),"")</f>
        <v/>
      </c>
      <c r="P526" s="2"/>
      <c r="Q526" s="2"/>
      <c r="R526" s="2"/>
      <c r="S526" s="2"/>
      <c r="T526" s="5"/>
      <c r="U526" s="5"/>
    </row>
    <row r="527" customFormat="false" ht="15.75" hidden="false" customHeight="false" outlineLevel="0" collapsed="false">
      <c r="A527" s="4"/>
      <c r="B527" s="2"/>
      <c r="C527" s="2"/>
      <c r="D527" s="2"/>
      <c r="E527" s="2"/>
      <c r="F527" s="3" t="str">
        <f aca="false">IFERROR(__xludf.dummyfunction("if($T527&lt;&gt;"""",REGEXEXTRACT(SUBSTITUTE ($T527,F$1&amp;"" CE"",""""), F$1&amp;""[\w &amp;]*, (\d+\.\d+)""),"""")
"),"")</f>
        <v/>
      </c>
      <c r="G527" s="3" t="str">
        <f aca="false">IFERROR(__xludf.dummyfunction("if($T527&lt;&gt;"""",REGEXEXTRACT($T527, G$1&amp;""[\w &amp;]*, (\d+\.\d+)""),"""")
"),"")</f>
        <v/>
      </c>
      <c r="H527" s="3"/>
      <c r="I527" s="3" t="str">
        <f aca="false">IFERROR(__xludf.dummyfunction("if($T527&lt;&gt;"""",REGEXEXTRACT(SUBSTITUTE ($T527,I$1&amp;"" CE"",""""), I$1&amp;""[\w &amp;]*, (\d+\.\d+)""),"""")
"),"")</f>
        <v/>
      </c>
      <c r="J527" s="3" t="str">
        <f aca="false">IFERROR(__xludf.dummyfunction("if($T527&lt;&gt;"""",REGEXEXTRACT($T527, J$1&amp;""[\w &amp;]*, (\d+\.\d+)""),"""")
"),"")</f>
        <v/>
      </c>
      <c r="K527" s="3"/>
      <c r="L527" s="3" t="str">
        <f aca="false">IFERROR(__xludf.dummyfunction("if($T527&lt;&gt;"""",REGEXEXTRACT(SUBSTITUTE ($T527,L$1&amp;"" CE"",""""), L$1&amp;""[\w &amp;]*, (\d+\.\d+)""),"""")
"),"")</f>
        <v/>
      </c>
      <c r="M527" s="3" t="str">
        <f aca="false">IFERROR(__xludf.dummyfunction("if($T527&lt;&gt;"""",REGEXEXTRACT($T527, M$1&amp;""[\w &amp;]*, (\d+\.\d+)""),"""")
"),"")</f>
        <v/>
      </c>
      <c r="N527" s="3" t="str">
        <f aca="false">IFERROR(__xludf.dummyfunction("if($T527&lt;&gt;"""",REGEXEXTRACT(SUBSTITUTE ($T527,N$1&amp;"" CE"",""""), N$1&amp;""[\w &amp;]*, (\d+\.\d+)""),"""")
"),"")</f>
        <v/>
      </c>
      <c r="O527" s="3" t="str">
        <f aca="false">IFERROR(__xludf.dummyfunction("if($T527&lt;&gt;"""",REGEXEXTRACT($T527, O$1&amp;""[\w &amp;]*, (\d+\.\d+)""),"""")
"),"")</f>
        <v/>
      </c>
      <c r="P527" s="2"/>
      <c r="Q527" s="2"/>
      <c r="R527" s="2"/>
      <c r="S527" s="2"/>
      <c r="T527" s="5"/>
      <c r="U527" s="5"/>
    </row>
    <row r="528" customFormat="false" ht="15.75" hidden="false" customHeight="false" outlineLevel="0" collapsed="false">
      <c r="A528" s="4"/>
      <c r="B528" s="2"/>
      <c r="C528" s="2"/>
      <c r="D528" s="2"/>
      <c r="E528" s="2"/>
      <c r="F528" s="3" t="str">
        <f aca="false">IFERROR(__xludf.dummyfunction("if($T528&lt;&gt;"""",REGEXEXTRACT(SUBSTITUTE ($T528,F$1&amp;"" CE"",""""), F$1&amp;""[\w &amp;]*, (\d+\.\d+)""),"""")
"),"")</f>
        <v/>
      </c>
      <c r="G528" s="3" t="str">
        <f aca="false">IFERROR(__xludf.dummyfunction("if($T528&lt;&gt;"""",REGEXEXTRACT($T528, G$1&amp;""[\w &amp;]*, (\d+\.\d+)""),"""")
"),"")</f>
        <v/>
      </c>
      <c r="H528" s="3"/>
      <c r="I528" s="3" t="str">
        <f aca="false">IFERROR(__xludf.dummyfunction("if($T528&lt;&gt;"""",REGEXEXTRACT(SUBSTITUTE ($T528,I$1&amp;"" CE"",""""), I$1&amp;""[\w &amp;]*, (\d+\.\d+)""),"""")
"),"")</f>
        <v/>
      </c>
      <c r="J528" s="3" t="str">
        <f aca="false">IFERROR(__xludf.dummyfunction("if($T528&lt;&gt;"""",REGEXEXTRACT($T528, J$1&amp;""[\w &amp;]*, (\d+\.\d+)""),"""")
"),"")</f>
        <v/>
      </c>
      <c r="K528" s="3"/>
      <c r="L528" s="3" t="str">
        <f aca="false">IFERROR(__xludf.dummyfunction("if($T528&lt;&gt;"""",REGEXEXTRACT(SUBSTITUTE ($T528,L$1&amp;"" CE"",""""), L$1&amp;""[\w &amp;]*, (\d+\.\d+)""),"""")
"),"")</f>
        <v/>
      </c>
      <c r="M528" s="3" t="str">
        <f aca="false">IFERROR(__xludf.dummyfunction("if($T528&lt;&gt;"""",REGEXEXTRACT($T528, M$1&amp;""[\w &amp;]*, (\d+\.\d+)""),"""")
"),"")</f>
        <v/>
      </c>
      <c r="N528" s="3" t="str">
        <f aca="false">IFERROR(__xludf.dummyfunction("if($T528&lt;&gt;"""",REGEXEXTRACT(SUBSTITUTE ($T528,N$1&amp;"" CE"",""""), N$1&amp;""[\w &amp;]*, (\d+\.\d+)""),"""")
"),"")</f>
        <v/>
      </c>
      <c r="O528" s="3" t="str">
        <f aca="false">IFERROR(__xludf.dummyfunction("if($T528&lt;&gt;"""",REGEXEXTRACT($T528, O$1&amp;""[\w &amp;]*, (\d+\.\d+)""),"""")
"),"")</f>
        <v/>
      </c>
      <c r="P528" s="2"/>
      <c r="Q528" s="2"/>
      <c r="R528" s="2"/>
      <c r="S528" s="2"/>
      <c r="T528" s="5"/>
      <c r="U528" s="5"/>
    </row>
    <row r="529" customFormat="false" ht="15.75" hidden="false" customHeight="false" outlineLevel="0" collapsed="false">
      <c r="A529" s="4"/>
      <c r="B529" s="2"/>
      <c r="C529" s="2"/>
      <c r="D529" s="2"/>
      <c r="E529" s="2"/>
      <c r="F529" s="3" t="str">
        <f aca="false">IFERROR(__xludf.dummyfunction("if($T529&lt;&gt;"""",REGEXEXTRACT(SUBSTITUTE ($T529,F$1&amp;"" CE"",""""), F$1&amp;""[\w &amp;]*, (\d+\.\d+)""),"""")
"),"")</f>
        <v/>
      </c>
      <c r="G529" s="3" t="str">
        <f aca="false">IFERROR(__xludf.dummyfunction("if($T529&lt;&gt;"""",REGEXEXTRACT($T529, G$1&amp;""[\w &amp;]*, (\d+\.\d+)""),"""")
"),"")</f>
        <v/>
      </c>
      <c r="H529" s="3"/>
      <c r="I529" s="3" t="str">
        <f aca="false">IFERROR(__xludf.dummyfunction("if($T529&lt;&gt;"""",REGEXEXTRACT(SUBSTITUTE ($T529,I$1&amp;"" CE"",""""), I$1&amp;""[\w &amp;]*, (\d+\.\d+)""),"""")
"),"")</f>
        <v/>
      </c>
      <c r="J529" s="3" t="str">
        <f aca="false">IFERROR(__xludf.dummyfunction("if($T529&lt;&gt;"""",REGEXEXTRACT($T529, J$1&amp;""[\w &amp;]*, (\d+\.\d+)""),"""")
"),"")</f>
        <v/>
      </c>
      <c r="K529" s="3"/>
      <c r="L529" s="3" t="str">
        <f aca="false">IFERROR(__xludf.dummyfunction("if($T529&lt;&gt;"""",REGEXEXTRACT(SUBSTITUTE ($T529,L$1&amp;"" CE"",""""), L$1&amp;""[\w &amp;]*, (\d+\.\d+)""),"""")
"),"")</f>
        <v/>
      </c>
      <c r="M529" s="3" t="str">
        <f aca="false">IFERROR(__xludf.dummyfunction("if($T529&lt;&gt;"""",REGEXEXTRACT($T529, M$1&amp;""[\w &amp;]*, (\d+\.\d+)""),"""")
"),"")</f>
        <v/>
      </c>
      <c r="N529" s="3" t="str">
        <f aca="false">IFERROR(__xludf.dummyfunction("if($T529&lt;&gt;"""",REGEXEXTRACT(SUBSTITUTE ($T529,N$1&amp;"" CE"",""""), N$1&amp;""[\w &amp;]*, (\d+\.\d+)""),"""")
"),"")</f>
        <v/>
      </c>
      <c r="O529" s="3" t="str">
        <f aca="false">IFERROR(__xludf.dummyfunction("if($T529&lt;&gt;"""",REGEXEXTRACT($T529, O$1&amp;""[\w &amp;]*, (\d+\.\d+)""),"""")
"),"")</f>
        <v/>
      </c>
      <c r="P529" s="2"/>
      <c r="Q529" s="2"/>
      <c r="R529" s="2"/>
      <c r="S529" s="2"/>
      <c r="T529" s="5"/>
      <c r="U529" s="5"/>
    </row>
    <row r="530" customFormat="false" ht="15.75" hidden="false" customHeight="false" outlineLevel="0" collapsed="false">
      <c r="A530" s="4"/>
      <c r="B530" s="2"/>
      <c r="C530" s="2"/>
      <c r="D530" s="2"/>
      <c r="E530" s="2"/>
      <c r="F530" s="3" t="str">
        <f aca="false">IFERROR(__xludf.dummyfunction("if($T530&lt;&gt;"""",REGEXEXTRACT(SUBSTITUTE ($T530,F$1&amp;"" CE"",""""), F$1&amp;""[\w &amp;]*, (\d+\.\d+)""),"""")
"),"")</f>
        <v/>
      </c>
      <c r="G530" s="3" t="str">
        <f aca="false">IFERROR(__xludf.dummyfunction("if($T530&lt;&gt;"""",REGEXEXTRACT($T530, G$1&amp;""[\w &amp;]*, (\d+\.\d+)""),"""")
"),"")</f>
        <v/>
      </c>
      <c r="H530" s="3"/>
      <c r="I530" s="3" t="str">
        <f aca="false">IFERROR(__xludf.dummyfunction("if($T530&lt;&gt;"""",REGEXEXTRACT(SUBSTITUTE ($T530,I$1&amp;"" CE"",""""), I$1&amp;""[\w &amp;]*, (\d+\.\d+)""),"""")
"),"")</f>
        <v/>
      </c>
      <c r="J530" s="3" t="str">
        <f aca="false">IFERROR(__xludf.dummyfunction("if($T530&lt;&gt;"""",REGEXEXTRACT($T530, J$1&amp;""[\w &amp;]*, (\d+\.\d+)""),"""")
"),"")</f>
        <v/>
      </c>
      <c r="K530" s="3"/>
      <c r="L530" s="3" t="str">
        <f aca="false">IFERROR(__xludf.dummyfunction("if($T530&lt;&gt;"""",REGEXEXTRACT(SUBSTITUTE ($T530,L$1&amp;"" CE"",""""), L$1&amp;""[\w &amp;]*, (\d+\.\d+)""),"""")
"),"")</f>
        <v/>
      </c>
      <c r="M530" s="3" t="str">
        <f aca="false">IFERROR(__xludf.dummyfunction("if($T530&lt;&gt;"""",REGEXEXTRACT($T530, M$1&amp;""[\w &amp;]*, (\d+\.\d+)""),"""")
"),"")</f>
        <v/>
      </c>
      <c r="N530" s="3" t="str">
        <f aca="false">IFERROR(__xludf.dummyfunction("if($T530&lt;&gt;"""",REGEXEXTRACT(SUBSTITUTE ($T530,N$1&amp;"" CE"",""""), N$1&amp;""[\w &amp;]*, (\d+\.\d+)""),"""")
"),"")</f>
        <v/>
      </c>
      <c r="O530" s="3" t="str">
        <f aca="false">IFERROR(__xludf.dummyfunction("if($T530&lt;&gt;"""",REGEXEXTRACT($T530, O$1&amp;""[\w &amp;]*, (\d+\.\d+)""),"""")
"),"")</f>
        <v/>
      </c>
      <c r="P530" s="2"/>
      <c r="Q530" s="2"/>
      <c r="R530" s="2"/>
      <c r="S530" s="2"/>
      <c r="T530" s="5"/>
      <c r="U530" s="5"/>
    </row>
    <row r="531" customFormat="false" ht="15.75" hidden="false" customHeight="false" outlineLevel="0" collapsed="false">
      <c r="A531" s="4"/>
      <c r="B531" s="2"/>
      <c r="C531" s="2"/>
      <c r="D531" s="2"/>
      <c r="E531" s="2"/>
      <c r="F531" s="3" t="str">
        <f aca="false">IFERROR(__xludf.dummyfunction("if($T531&lt;&gt;"""",REGEXEXTRACT(SUBSTITUTE ($T531,F$1&amp;"" CE"",""""), F$1&amp;""[\w &amp;]*, (\d+\.\d+)""),"""")
"),"")</f>
        <v/>
      </c>
      <c r="G531" s="3" t="str">
        <f aca="false">IFERROR(__xludf.dummyfunction("if($T531&lt;&gt;"""",REGEXEXTRACT($T531, G$1&amp;""[\w &amp;]*, (\d+\.\d+)""),"""")
"),"")</f>
        <v/>
      </c>
      <c r="H531" s="3"/>
      <c r="I531" s="3" t="str">
        <f aca="false">IFERROR(__xludf.dummyfunction("if($T531&lt;&gt;"""",REGEXEXTRACT(SUBSTITUTE ($T531,I$1&amp;"" CE"",""""), I$1&amp;""[\w &amp;]*, (\d+\.\d+)""),"""")
"),"")</f>
        <v/>
      </c>
      <c r="J531" s="3" t="str">
        <f aca="false">IFERROR(__xludf.dummyfunction("if($T531&lt;&gt;"""",REGEXEXTRACT($T531, J$1&amp;""[\w &amp;]*, (\d+\.\d+)""),"""")
"),"")</f>
        <v/>
      </c>
      <c r="K531" s="3"/>
      <c r="L531" s="3" t="str">
        <f aca="false">IFERROR(__xludf.dummyfunction("if($T531&lt;&gt;"""",REGEXEXTRACT(SUBSTITUTE ($T531,L$1&amp;"" CE"",""""), L$1&amp;""[\w &amp;]*, (\d+\.\d+)""),"""")
"),"")</f>
        <v/>
      </c>
      <c r="M531" s="3" t="str">
        <f aca="false">IFERROR(__xludf.dummyfunction("if($T531&lt;&gt;"""",REGEXEXTRACT($T531, M$1&amp;""[\w &amp;]*, (\d+\.\d+)""),"""")
"),"")</f>
        <v/>
      </c>
      <c r="N531" s="3" t="str">
        <f aca="false">IFERROR(__xludf.dummyfunction("if($T531&lt;&gt;"""",REGEXEXTRACT(SUBSTITUTE ($T531,N$1&amp;"" CE"",""""), N$1&amp;""[\w &amp;]*, (\d+\.\d+)""),"""")
"),"")</f>
        <v/>
      </c>
      <c r="O531" s="3" t="str">
        <f aca="false">IFERROR(__xludf.dummyfunction("if($T531&lt;&gt;"""",REGEXEXTRACT($T531, O$1&amp;""[\w &amp;]*, (\d+\.\d+)""),"""")
"),"")</f>
        <v/>
      </c>
      <c r="P531" s="2"/>
      <c r="Q531" s="2"/>
      <c r="R531" s="2"/>
      <c r="S531" s="2"/>
      <c r="T531" s="5"/>
      <c r="U531" s="5"/>
    </row>
    <row r="532" customFormat="false" ht="15.75" hidden="false" customHeight="false" outlineLevel="0" collapsed="false">
      <c r="A532" s="4"/>
      <c r="B532" s="2"/>
      <c r="C532" s="2"/>
      <c r="D532" s="2"/>
      <c r="E532" s="2"/>
      <c r="F532" s="3" t="str">
        <f aca="false">IFERROR(__xludf.dummyfunction("if($T532&lt;&gt;"""",REGEXEXTRACT(SUBSTITUTE ($T532,F$1&amp;"" CE"",""""), F$1&amp;""[\w &amp;]*, (\d+\.\d+)""),"""")
"),"")</f>
        <v/>
      </c>
      <c r="G532" s="3" t="str">
        <f aca="false">IFERROR(__xludf.dummyfunction("if($T532&lt;&gt;"""",REGEXEXTRACT($T532, G$1&amp;""[\w &amp;]*, (\d+\.\d+)""),"""")
"),"")</f>
        <v/>
      </c>
      <c r="H532" s="3"/>
      <c r="I532" s="3" t="str">
        <f aca="false">IFERROR(__xludf.dummyfunction("if($T532&lt;&gt;"""",REGEXEXTRACT(SUBSTITUTE ($T532,I$1&amp;"" CE"",""""), I$1&amp;""[\w &amp;]*, (\d+\.\d+)""),"""")
"),"")</f>
        <v/>
      </c>
      <c r="J532" s="3" t="str">
        <f aca="false">IFERROR(__xludf.dummyfunction("if($T532&lt;&gt;"""",REGEXEXTRACT($T532, J$1&amp;""[\w &amp;]*, (\d+\.\d+)""),"""")
"),"")</f>
        <v/>
      </c>
      <c r="K532" s="3"/>
      <c r="L532" s="3" t="str">
        <f aca="false">IFERROR(__xludf.dummyfunction("if($T532&lt;&gt;"""",REGEXEXTRACT(SUBSTITUTE ($T532,L$1&amp;"" CE"",""""), L$1&amp;""[\w &amp;]*, (\d+\.\d+)""),"""")
"),"")</f>
        <v/>
      </c>
      <c r="M532" s="3" t="str">
        <f aca="false">IFERROR(__xludf.dummyfunction("if($T532&lt;&gt;"""",REGEXEXTRACT($T532, M$1&amp;""[\w &amp;]*, (\d+\.\d+)""),"""")
"),"")</f>
        <v/>
      </c>
      <c r="N532" s="3" t="str">
        <f aca="false">IFERROR(__xludf.dummyfunction("if($T532&lt;&gt;"""",REGEXEXTRACT(SUBSTITUTE ($T532,N$1&amp;"" CE"",""""), N$1&amp;""[\w &amp;]*, (\d+\.\d+)""),"""")
"),"")</f>
        <v/>
      </c>
      <c r="O532" s="3" t="str">
        <f aca="false">IFERROR(__xludf.dummyfunction("if($T532&lt;&gt;"""",REGEXEXTRACT($T532, O$1&amp;""[\w &amp;]*, (\d+\.\d+)""),"""")
"),"")</f>
        <v/>
      </c>
      <c r="P532" s="2"/>
      <c r="Q532" s="2"/>
      <c r="R532" s="2"/>
      <c r="S532" s="2"/>
      <c r="T532" s="5"/>
      <c r="U532" s="5"/>
    </row>
    <row r="533" customFormat="false" ht="15.75" hidden="false" customHeight="false" outlineLevel="0" collapsed="false">
      <c r="A533" s="4"/>
      <c r="B533" s="2"/>
      <c r="C533" s="2"/>
      <c r="D533" s="2"/>
      <c r="E533" s="2"/>
      <c r="F533" s="3" t="str">
        <f aca="false">IFERROR(__xludf.dummyfunction("if($T533&lt;&gt;"""",REGEXEXTRACT(SUBSTITUTE ($T533,F$1&amp;"" CE"",""""), F$1&amp;""[\w &amp;]*, (\d+\.\d+)""),"""")
"),"")</f>
        <v/>
      </c>
      <c r="G533" s="3" t="str">
        <f aca="false">IFERROR(__xludf.dummyfunction("if($T533&lt;&gt;"""",REGEXEXTRACT($T533, G$1&amp;""[\w &amp;]*, (\d+\.\d+)""),"""")
"),"")</f>
        <v/>
      </c>
      <c r="H533" s="3"/>
      <c r="I533" s="3" t="str">
        <f aca="false">IFERROR(__xludf.dummyfunction("if($T533&lt;&gt;"""",REGEXEXTRACT(SUBSTITUTE ($T533,I$1&amp;"" CE"",""""), I$1&amp;""[\w &amp;]*, (\d+\.\d+)""),"""")
"),"")</f>
        <v/>
      </c>
      <c r="J533" s="3" t="str">
        <f aca="false">IFERROR(__xludf.dummyfunction("if($T533&lt;&gt;"""",REGEXEXTRACT($T533, J$1&amp;""[\w &amp;]*, (\d+\.\d+)""),"""")
"),"")</f>
        <v/>
      </c>
      <c r="K533" s="3"/>
      <c r="L533" s="3" t="str">
        <f aca="false">IFERROR(__xludf.dummyfunction("if($T533&lt;&gt;"""",REGEXEXTRACT(SUBSTITUTE ($T533,L$1&amp;"" CE"",""""), L$1&amp;""[\w &amp;]*, (\d+\.\d+)""),"""")
"),"")</f>
        <v/>
      </c>
      <c r="M533" s="3" t="str">
        <f aca="false">IFERROR(__xludf.dummyfunction("if($T533&lt;&gt;"""",REGEXEXTRACT($T533, M$1&amp;""[\w &amp;]*, (\d+\.\d+)""),"""")
"),"")</f>
        <v/>
      </c>
      <c r="N533" s="3" t="str">
        <f aca="false">IFERROR(__xludf.dummyfunction("if($T533&lt;&gt;"""",REGEXEXTRACT(SUBSTITUTE ($T533,N$1&amp;"" CE"",""""), N$1&amp;""[\w &amp;]*, (\d+\.\d+)""),"""")
"),"")</f>
        <v/>
      </c>
      <c r="O533" s="3" t="str">
        <f aca="false">IFERROR(__xludf.dummyfunction("if($T533&lt;&gt;"""",REGEXEXTRACT($T533, O$1&amp;""[\w &amp;]*, (\d+\.\d+)""),"""")
"),"")</f>
        <v/>
      </c>
      <c r="P533" s="2"/>
      <c r="Q533" s="2"/>
      <c r="R533" s="2"/>
      <c r="S533" s="2"/>
      <c r="T533" s="5"/>
      <c r="U533" s="5"/>
    </row>
    <row r="534" customFormat="false" ht="15.75" hidden="false" customHeight="false" outlineLevel="0" collapsed="false">
      <c r="A534" s="4"/>
      <c r="B534" s="2"/>
      <c r="C534" s="2"/>
      <c r="D534" s="2"/>
      <c r="E534" s="2"/>
      <c r="F534" s="3" t="str">
        <f aca="false">IFERROR(__xludf.dummyfunction("if($T534&lt;&gt;"""",REGEXEXTRACT(SUBSTITUTE ($T534,F$1&amp;"" CE"",""""), F$1&amp;""[\w &amp;]*, (\d+\.\d+)""),"""")
"),"")</f>
        <v/>
      </c>
      <c r="G534" s="3" t="str">
        <f aca="false">IFERROR(__xludf.dummyfunction("if($T534&lt;&gt;"""",REGEXEXTRACT($T534, G$1&amp;""[\w &amp;]*, (\d+\.\d+)""),"""")
"),"")</f>
        <v/>
      </c>
      <c r="H534" s="3"/>
      <c r="I534" s="3" t="str">
        <f aca="false">IFERROR(__xludf.dummyfunction("if($T534&lt;&gt;"""",REGEXEXTRACT(SUBSTITUTE ($T534,I$1&amp;"" CE"",""""), I$1&amp;""[\w &amp;]*, (\d+\.\d+)""),"""")
"),"")</f>
        <v/>
      </c>
      <c r="J534" s="3" t="str">
        <f aca="false">IFERROR(__xludf.dummyfunction("if($T534&lt;&gt;"""",REGEXEXTRACT($T534, J$1&amp;""[\w &amp;]*, (\d+\.\d+)""),"""")
"),"")</f>
        <v/>
      </c>
      <c r="K534" s="3"/>
      <c r="L534" s="3" t="str">
        <f aca="false">IFERROR(__xludf.dummyfunction("if($T534&lt;&gt;"""",REGEXEXTRACT(SUBSTITUTE ($T534,L$1&amp;"" CE"",""""), L$1&amp;""[\w &amp;]*, (\d+\.\d+)""),"""")
"),"")</f>
        <v/>
      </c>
      <c r="M534" s="3" t="str">
        <f aca="false">IFERROR(__xludf.dummyfunction("if($T534&lt;&gt;"""",REGEXEXTRACT($T534, M$1&amp;""[\w &amp;]*, (\d+\.\d+)""),"""")
"),"")</f>
        <v/>
      </c>
      <c r="N534" s="3" t="str">
        <f aca="false">IFERROR(__xludf.dummyfunction("if($T534&lt;&gt;"""",REGEXEXTRACT(SUBSTITUTE ($T534,N$1&amp;"" CE"",""""), N$1&amp;""[\w &amp;]*, (\d+\.\d+)""),"""")
"),"")</f>
        <v/>
      </c>
      <c r="O534" s="3" t="str">
        <f aca="false">IFERROR(__xludf.dummyfunction("if($T534&lt;&gt;"""",REGEXEXTRACT($T534, O$1&amp;""[\w &amp;]*, (\d+\.\d+)""),"""")
"),"")</f>
        <v/>
      </c>
      <c r="P534" s="2"/>
      <c r="Q534" s="2"/>
      <c r="R534" s="2"/>
      <c r="S534" s="2"/>
      <c r="T534" s="5"/>
      <c r="U534" s="5"/>
    </row>
    <row r="535" customFormat="false" ht="15.75" hidden="false" customHeight="false" outlineLevel="0" collapsed="false">
      <c r="A535" s="4"/>
      <c r="B535" s="2"/>
      <c r="C535" s="2"/>
      <c r="D535" s="2"/>
      <c r="E535" s="2"/>
      <c r="F535" s="3" t="str">
        <f aca="false">IFERROR(__xludf.dummyfunction("if($T535&lt;&gt;"""",REGEXEXTRACT(SUBSTITUTE ($T535,F$1&amp;"" CE"",""""), F$1&amp;""[\w &amp;]*, (\d+\.\d+)""),"""")
"),"")</f>
        <v/>
      </c>
      <c r="G535" s="3" t="str">
        <f aca="false">IFERROR(__xludf.dummyfunction("if($T535&lt;&gt;"""",REGEXEXTRACT($T535, G$1&amp;""[\w &amp;]*, (\d+\.\d+)""),"""")
"),"")</f>
        <v/>
      </c>
      <c r="H535" s="3"/>
      <c r="I535" s="3" t="str">
        <f aca="false">IFERROR(__xludf.dummyfunction("if($T535&lt;&gt;"""",REGEXEXTRACT(SUBSTITUTE ($T535,I$1&amp;"" CE"",""""), I$1&amp;""[\w &amp;]*, (\d+\.\d+)""),"""")
"),"")</f>
        <v/>
      </c>
      <c r="J535" s="3" t="str">
        <f aca="false">IFERROR(__xludf.dummyfunction("if($T535&lt;&gt;"""",REGEXEXTRACT($T535, J$1&amp;""[\w &amp;]*, (\d+\.\d+)""),"""")
"),"")</f>
        <v/>
      </c>
      <c r="K535" s="3"/>
      <c r="L535" s="3" t="str">
        <f aca="false">IFERROR(__xludf.dummyfunction("if($T535&lt;&gt;"""",REGEXEXTRACT(SUBSTITUTE ($T535,L$1&amp;"" CE"",""""), L$1&amp;""[\w &amp;]*, (\d+\.\d+)""),"""")
"),"")</f>
        <v/>
      </c>
      <c r="M535" s="3" t="str">
        <f aca="false">IFERROR(__xludf.dummyfunction("if($T535&lt;&gt;"""",REGEXEXTRACT($T535, M$1&amp;""[\w &amp;]*, (\d+\.\d+)""),"""")
"),"")</f>
        <v/>
      </c>
      <c r="N535" s="3" t="str">
        <f aca="false">IFERROR(__xludf.dummyfunction("if($T535&lt;&gt;"""",REGEXEXTRACT(SUBSTITUTE ($T535,N$1&amp;"" CE"",""""), N$1&amp;""[\w &amp;]*, (\d+\.\d+)""),"""")
"),"")</f>
        <v/>
      </c>
      <c r="O535" s="3" t="str">
        <f aca="false">IFERROR(__xludf.dummyfunction("if($T535&lt;&gt;"""",REGEXEXTRACT($T535, O$1&amp;""[\w &amp;]*, (\d+\.\d+)""),"""")
"),"")</f>
        <v/>
      </c>
      <c r="P535" s="2"/>
      <c r="Q535" s="2"/>
      <c r="R535" s="2"/>
      <c r="S535" s="2"/>
      <c r="T535" s="5"/>
      <c r="U535" s="5"/>
    </row>
    <row r="536" customFormat="false" ht="15.75" hidden="false" customHeight="false" outlineLevel="0" collapsed="false">
      <c r="A536" s="4"/>
      <c r="B536" s="2"/>
      <c r="C536" s="2"/>
      <c r="D536" s="2"/>
      <c r="E536" s="2"/>
      <c r="F536" s="3" t="str">
        <f aca="false">IFERROR(__xludf.dummyfunction("if($T536&lt;&gt;"""",REGEXEXTRACT(SUBSTITUTE ($T536,F$1&amp;"" CE"",""""), F$1&amp;""[\w &amp;]*, (\d+\.\d+)""),"""")
"),"")</f>
        <v/>
      </c>
      <c r="G536" s="3" t="str">
        <f aca="false">IFERROR(__xludf.dummyfunction("if($T536&lt;&gt;"""",REGEXEXTRACT($T536, G$1&amp;""[\w &amp;]*, (\d+\.\d+)""),"""")
"),"")</f>
        <v/>
      </c>
      <c r="H536" s="3"/>
      <c r="I536" s="3" t="str">
        <f aca="false">IFERROR(__xludf.dummyfunction("if($T536&lt;&gt;"""",REGEXEXTRACT(SUBSTITUTE ($T536,I$1&amp;"" CE"",""""), I$1&amp;""[\w &amp;]*, (\d+\.\d+)""),"""")
"),"")</f>
        <v/>
      </c>
      <c r="J536" s="3" t="str">
        <f aca="false">IFERROR(__xludf.dummyfunction("if($T536&lt;&gt;"""",REGEXEXTRACT($T536, J$1&amp;""[\w &amp;]*, (\d+\.\d+)""),"""")
"),"")</f>
        <v/>
      </c>
      <c r="K536" s="3"/>
      <c r="L536" s="3" t="str">
        <f aca="false">IFERROR(__xludf.dummyfunction("if($T536&lt;&gt;"""",REGEXEXTRACT(SUBSTITUTE ($T536,L$1&amp;"" CE"",""""), L$1&amp;""[\w &amp;]*, (\d+\.\d+)""),"""")
"),"")</f>
        <v/>
      </c>
      <c r="M536" s="3" t="str">
        <f aca="false">IFERROR(__xludf.dummyfunction("if($T536&lt;&gt;"""",REGEXEXTRACT($T536, M$1&amp;""[\w &amp;]*, (\d+\.\d+)""),"""")
"),"")</f>
        <v/>
      </c>
      <c r="N536" s="3" t="str">
        <f aca="false">IFERROR(__xludf.dummyfunction("if($T536&lt;&gt;"""",REGEXEXTRACT(SUBSTITUTE ($T536,N$1&amp;"" CE"",""""), N$1&amp;""[\w &amp;]*, (\d+\.\d+)""),"""")
"),"")</f>
        <v/>
      </c>
      <c r="O536" s="3" t="str">
        <f aca="false">IFERROR(__xludf.dummyfunction("if($T536&lt;&gt;"""",REGEXEXTRACT($T536, O$1&amp;""[\w &amp;]*, (\d+\.\d+)""),"""")
"),"")</f>
        <v/>
      </c>
      <c r="P536" s="2"/>
      <c r="Q536" s="2"/>
      <c r="R536" s="2"/>
      <c r="S536" s="2"/>
      <c r="T536" s="5"/>
      <c r="U536" s="5"/>
    </row>
    <row r="537" customFormat="false" ht="15.75" hidden="false" customHeight="false" outlineLevel="0" collapsed="false">
      <c r="A537" s="4"/>
      <c r="B537" s="2"/>
      <c r="C537" s="2"/>
      <c r="D537" s="2"/>
      <c r="E537" s="2"/>
      <c r="F537" s="3" t="str">
        <f aca="false">IFERROR(__xludf.dummyfunction("if($T537&lt;&gt;"""",REGEXEXTRACT(SUBSTITUTE ($T537,F$1&amp;"" CE"",""""), F$1&amp;""[\w &amp;]*, (\d+\.\d+)""),"""")
"),"")</f>
        <v/>
      </c>
      <c r="G537" s="3" t="str">
        <f aca="false">IFERROR(__xludf.dummyfunction("if($T537&lt;&gt;"""",REGEXEXTRACT($T537, G$1&amp;""[\w &amp;]*, (\d+\.\d+)""),"""")
"),"")</f>
        <v/>
      </c>
      <c r="H537" s="3"/>
      <c r="I537" s="3" t="str">
        <f aca="false">IFERROR(__xludf.dummyfunction("if($T537&lt;&gt;"""",REGEXEXTRACT(SUBSTITUTE ($T537,I$1&amp;"" CE"",""""), I$1&amp;""[\w &amp;]*, (\d+\.\d+)""),"""")
"),"")</f>
        <v/>
      </c>
      <c r="J537" s="3" t="str">
        <f aca="false">IFERROR(__xludf.dummyfunction("if($T537&lt;&gt;"""",REGEXEXTRACT($T537, J$1&amp;""[\w &amp;]*, (\d+\.\d+)""),"""")
"),"")</f>
        <v/>
      </c>
      <c r="K537" s="3"/>
      <c r="L537" s="3" t="str">
        <f aca="false">IFERROR(__xludf.dummyfunction("if($T537&lt;&gt;"""",REGEXEXTRACT(SUBSTITUTE ($T537,L$1&amp;"" CE"",""""), L$1&amp;""[\w &amp;]*, (\d+\.\d+)""),"""")
"),"")</f>
        <v/>
      </c>
      <c r="M537" s="3" t="str">
        <f aca="false">IFERROR(__xludf.dummyfunction("if($T537&lt;&gt;"""",REGEXEXTRACT($T537, M$1&amp;""[\w &amp;]*, (\d+\.\d+)""),"""")
"),"")</f>
        <v/>
      </c>
      <c r="N537" s="3" t="str">
        <f aca="false">IFERROR(__xludf.dummyfunction("if($T537&lt;&gt;"""",REGEXEXTRACT(SUBSTITUTE ($T537,N$1&amp;"" CE"",""""), N$1&amp;""[\w &amp;]*, (\d+\.\d+)""),"""")
"),"")</f>
        <v/>
      </c>
      <c r="O537" s="3" t="str">
        <f aca="false">IFERROR(__xludf.dummyfunction("if($T537&lt;&gt;"""",REGEXEXTRACT($T537, O$1&amp;""[\w &amp;]*, (\d+\.\d+)""),"""")
"),"")</f>
        <v/>
      </c>
      <c r="P537" s="2"/>
      <c r="Q537" s="2"/>
      <c r="R537" s="2"/>
      <c r="S537" s="2"/>
      <c r="T537" s="5"/>
      <c r="U537" s="5"/>
    </row>
    <row r="538" customFormat="false" ht="15.75" hidden="false" customHeight="false" outlineLevel="0" collapsed="false">
      <c r="A538" s="4"/>
      <c r="B538" s="2"/>
      <c r="C538" s="2"/>
      <c r="D538" s="2"/>
      <c r="E538" s="2"/>
      <c r="F538" s="3" t="str">
        <f aca="false">IFERROR(__xludf.dummyfunction("if($T538&lt;&gt;"""",REGEXEXTRACT(SUBSTITUTE ($T538,F$1&amp;"" CE"",""""), F$1&amp;""[\w &amp;]*, (\d+\.\d+)""),"""")
"),"")</f>
        <v/>
      </c>
      <c r="G538" s="3" t="str">
        <f aca="false">IFERROR(__xludf.dummyfunction("if($T538&lt;&gt;"""",REGEXEXTRACT($T538, G$1&amp;""[\w &amp;]*, (\d+\.\d+)""),"""")
"),"")</f>
        <v/>
      </c>
      <c r="H538" s="3"/>
      <c r="I538" s="3" t="str">
        <f aca="false">IFERROR(__xludf.dummyfunction("if($T538&lt;&gt;"""",REGEXEXTRACT(SUBSTITUTE ($T538,I$1&amp;"" CE"",""""), I$1&amp;""[\w &amp;]*, (\d+\.\d+)""),"""")
"),"")</f>
        <v/>
      </c>
      <c r="J538" s="3" t="str">
        <f aca="false">IFERROR(__xludf.dummyfunction("if($T538&lt;&gt;"""",REGEXEXTRACT($T538, J$1&amp;""[\w &amp;]*, (\d+\.\d+)""),"""")
"),"")</f>
        <v/>
      </c>
      <c r="K538" s="3"/>
      <c r="L538" s="3" t="str">
        <f aca="false">IFERROR(__xludf.dummyfunction("if($T538&lt;&gt;"""",REGEXEXTRACT(SUBSTITUTE ($T538,L$1&amp;"" CE"",""""), L$1&amp;""[\w &amp;]*, (\d+\.\d+)""),"""")
"),"")</f>
        <v/>
      </c>
      <c r="M538" s="3" t="str">
        <f aca="false">IFERROR(__xludf.dummyfunction("if($T538&lt;&gt;"""",REGEXEXTRACT($T538, M$1&amp;""[\w &amp;]*, (\d+\.\d+)""),"""")
"),"")</f>
        <v/>
      </c>
      <c r="N538" s="3" t="str">
        <f aca="false">IFERROR(__xludf.dummyfunction("if($T538&lt;&gt;"""",REGEXEXTRACT(SUBSTITUTE ($T538,N$1&amp;"" CE"",""""), N$1&amp;""[\w &amp;]*, (\d+\.\d+)""),"""")
"),"")</f>
        <v/>
      </c>
      <c r="O538" s="3" t="str">
        <f aca="false">IFERROR(__xludf.dummyfunction("if($T538&lt;&gt;"""",REGEXEXTRACT($T538, O$1&amp;""[\w &amp;]*, (\d+\.\d+)""),"""")
"),"")</f>
        <v/>
      </c>
      <c r="P538" s="2"/>
      <c r="Q538" s="2"/>
      <c r="R538" s="2"/>
      <c r="S538" s="2"/>
      <c r="T538" s="5"/>
      <c r="U538" s="5"/>
    </row>
    <row r="539" customFormat="false" ht="15.75" hidden="false" customHeight="false" outlineLevel="0" collapsed="false">
      <c r="A539" s="4"/>
      <c r="B539" s="2"/>
      <c r="C539" s="2"/>
      <c r="D539" s="2"/>
      <c r="E539" s="2"/>
      <c r="F539" s="3" t="str">
        <f aca="false">IFERROR(__xludf.dummyfunction("if($T539&lt;&gt;"""",REGEXEXTRACT(SUBSTITUTE ($T539,F$1&amp;"" CE"",""""), F$1&amp;""[\w &amp;]*, (\d+\.\d+)""),"""")
"),"")</f>
        <v/>
      </c>
      <c r="G539" s="3" t="str">
        <f aca="false">IFERROR(__xludf.dummyfunction("if($T539&lt;&gt;"""",REGEXEXTRACT($T539, G$1&amp;""[\w &amp;]*, (\d+\.\d+)""),"""")
"),"")</f>
        <v/>
      </c>
      <c r="H539" s="3"/>
      <c r="I539" s="3" t="str">
        <f aca="false">IFERROR(__xludf.dummyfunction("if($T539&lt;&gt;"""",REGEXEXTRACT(SUBSTITUTE ($T539,I$1&amp;"" CE"",""""), I$1&amp;""[\w &amp;]*, (\d+\.\d+)""),"""")
"),"")</f>
        <v/>
      </c>
      <c r="J539" s="3" t="str">
        <f aca="false">IFERROR(__xludf.dummyfunction("if($T539&lt;&gt;"""",REGEXEXTRACT($T539, J$1&amp;""[\w &amp;]*, (\d+\.\d+)""),"""")
"),"")</f>
        <v/>
      </c>
      <c r="K539" s="3"/>
      <c r="L539" s="3" t="str">
        <f aca="false">IFERROR(__xludf.dummyfunction("if($T539&lt;&gt;"""",REGEXEXTRACT(SUBSTITUTE ($T539,L$1&amp;"" CE"",""""), L$1&amp;""[\w &amp;]*, (\d+\.\d+)""),"""")
"),"")</f>
        <v/>
      </c>
      <c r="M539" s="3" t="str">
        <f aca="false">IFERROR(__xludf.dummyfunction("if($T539&lt;&gt;"""",REGEXEXTRACT($T539, M$1&amp;""[\w &amp;]*, (\d+\.\d+)""),"""")
"),"")</f>
        <v/>
      </c>
      <c r="N539" s="3" t="str">
        <f aca="false">IFERROR(__xludf.dummyfunction("if($T539&lt;&gt;"""",REGEXEXTRACT(SUBSTITUTE ($T539,N$1&amp;"" CE"",""""), N$1&amp;""[\w &amp;]*, (\d+\.\d+)""),"""")
"),"")</f>
        <v/>
      </c>
      <c r="O539" s="3" t="str">
        <f aca="false">IFERROR(__xludf.dummyfunction("if($T539&lt;&gt;"""",REGEXEXTRACT($T539, O$1&amp;""[\w &amp;]*, (\d+\.\d+)""),"""")
"),"")</f>
        <v/>
      </c>
      <c r="P539" s="2"/>
      <c r="Q539" s="2"/>
      <c r="R539" s="2"/>
      <c r="S539" s="2"/>
      <c r="T539" s="5"/>
      <c r="U539" s="5"/>
    </row>
    <row r="540" customFormat="false" ht="15.75" hidden="false" customHeight="false" outlineLevel="0" collapsed="false">
      <c r="A540" s="4"/>
      <c r="B540" s="2"/>
      <c r="C540" s="2"/>
      <c r="D540" s="2"/>
      <c r="E540" s="2"/>
      <c r="F540" s="3" t="str">
        <f aca="false">IFERROR(__xludf.dummyfunction("if($T540&lt;&gt;"""",REGEXEXTRACT(SUBSTITUTE ($T540,F$1&amp;"" CE"",""""), F$1&amp;""[\w &amp;]*, (\d+\.\d+)""),"""")
"),"")</f>
        <v/>
      </c>
      <c r="G540" s="3" t="str">
        <f aca="false">IFERROR(__xludf.dummyfunction("if($T540&lt;&gt;"""",REGEXEXTRACT($T540, G$1&amp;""[\w &amp;]*, (\d+\.\d+)""),"""")
"),"")</f>
        <v/>
      </c>
      <c r="H540" s="3"/>
      <c r="I540" s="3" t="str">
        <f aca="false">IFERROR(__xludf.dummyfunction("if($T540&lt;&gt;"""",REGEXEXTRACT(SUBSTITUTE ($T540,I$1&amp;"" CE"",""""), I$1&amp;""[\w &amp;]*, (\d+\.\d+)""),"""")
"),"")</f>
        <v/>
      </c>
      <c r="J540" s="3" t="str">
        <f aca="false">IFERROR(__xludf.dummyfunction("if($T540&lt;&gt;"""",REGEXEXTRACT($T540, J$1&amp;""[\w &amp;]*, (\d+\.\d+)""),"""")
"),"")</f>
        <v/>
      </c>
      <c r="K540" s="3"/>
      <c r="L540" s="3" t="str">
        <f aca="false">IFERROR(__xludf.dummyfunction("if($T540&lt;&gt;"""",REGEXEXTRACT(SUBSTITUTE ($T540,L$1&amp;"" CE"",""""), L$1&amp;""[\w &amp;]*, (\d+\.\d+)""),"""")
"),"")</f>
        <v/>
      </c>
      <c r="M540" s="3" t="str">
        <f aca="false">IFERROR(__xludf.dummyfunction("if($T540&lt;&gt;"""",REGEXEXTRACT($T540, M$1&amp;""[\w &amp;]*, (\d+\.\d+)""),"""")
"),"")</f>
        <v/>
      </c>
      <c r="N540" s="3" t="str">
        <f aca="false">IFERROR(__xludf.dummyfunction("if($T540&lt;&gt;"""",REGEXEXTRACT(SUBSTITUTE ($T540,N$1&amp;"" CE"",""""), N$1&amp;""[\w &amp;]*, (\d+\.\d+)""),"""")
"),"")</f>
        <v/>
      </c>
      <c r="O540" s="3" t="str">
        <f aca="false">IFERROR(__xludf.dummyfunction("if($T540&lt;&gt;"""",REGEXEXTRACT($T540, O$1&amp;""[\w &amp;]*, (\d+\.\d+)""),"""")
"),"")</f>
        <v/>
      </c>
      <c r="P540" s="2"/>
      <c r="Q540" s="2"/>
      <c r="R540" s="2"/>
      <c r="S540" s="2"/>
      <c r="T540" s="5"/>
      <c r="U540" s="5"/>
    </row>
    <row r="541" customFormat="false" ht="15.75" hidden="false" customHeight="false" outlineLevel="0" collapsed="false">
      <c r="A541" s="4"/>
      <c r="B541" s="2"/>
      <c r="C541" s="2"/>
      <c r="D541" s="2"/>
      <c r="E541" s="2"/>
      <c r="F541" s="3" t="str">
        <f aca="false">IFERROR(__xludf.dummyfunction("if($T541&lt;&gt;"""",REGEXEXTRACT(SUBSTITUTE ($T541,F$1&amp;"" CE"",""""), F$1&amp;""[\w &amp;]*, (\d+\.\d+)""),"""")
"),"")</f>
        <v/>
      </c>
      <c r="G541" s="3" t="str">
        <f aca="false">IFERROR(__xludf.dummyfunction("if($T541&lt;&gt;"""",REGEXEXTRACT($T541, G$1&amp;""[\w &amp;]*, (\d+\.\d+)""),"""")
"),"")</f>
        <v/>
      </c>
      <c r="H541" s="3"/>
      <c r="I541" s="3" t="str">
        <f aca="false">IFERROR(__xludf.dummyfunction("if($T541&lt;&gt;"""",REGEXEXTRACT(SUBSTITUTE ($T541,I$1&amp;"" CE"",""""), I$1&amp;""[\w &amp;]*, (\d+\.\d+)""),"""")
"),"")</f>
        <v/>
      </c>
      <c r="J541" s="3" t="str">
        <f aca="false">IFERROR(__xludf.dummyfunction("if($T541&lt;&gt;"""",REGEXEXTRACT($T541, J$1&amp;""[\w &amp;]*, (\d+\.\d+)""),"""")
"),"")</f>
        <v/>
      </c>
      <c r="K541" s="3"/>
      <c r="L541" s="3" t="str">
        <f aca="false">IFERROR(__xludf.dummyfunction("if($T541&lt;&gt;"""",REGEXEXTRACT(SUBSTITUTE ($T541,L$1&amp;"" CE"",""""), L$1&amp;""[\w &amp;]*, (\d+\.\d+)""),"""")
"),"")</f>
        <v/>
      </c>
      <c r="M541" s="3" t="str">
        <f aca="false">IFERROR(__xludf.dummyfunction("if($T541&lt;&gt;"""",REGEXEXTRACT($T541, M$1&amp;""[\w &amp;]*, (\d+\.\d+)""),"""")
"),"")</f>
        <v/>
      </c>
      <c r="N541" s="3" t="str">
        <f aca="false">IFERROR(__xludf.dummyfunction("if($T541&lt;&gt;"""",REGEXEXTRACT(SUBSTITUTE ($T541,N$1&amp;"" CE"",""""), N$1&amp;""[\w &amp;]*, (\d+\.\d+)""),"""")
"),"")</f>
        <v/>
      </c>
      <c r="O541" s="3" t="str">
        <f aca="false">IFERROR(__xludf.dummyfunction("if($T541&lt;&gt;"""",REGEXEXTRACT($T541, O$1&amp;""[\w &amp;]*, (\d+\.\d+)""),"""")
"),"")</f>
        <v/>
      </c>
      <c r="P541" s="2"/>
      <c r="Q541" s="2"/>
      <c r="R541" s="2"/>
      <c r="S541" s="2"/>
      <c r="T541" s="5"/>
      <c r="U541" s="5"/>
    </row>
    <row r="542" customFormat="false" ht="15.75" hidden="false" customHeight="false" outlineLevel="0" collapsed="false">
      <c r="A542" s="4"/>
      <c r="B542" s="2"/>
      <c r="C542" s="2"/>
      <c r="D542" s="2"/>
      <c r="E542" s="2"/>
      <c r="F542" s="3" t="str">
        <f aca="false">IFERROR(__xludf.dummyfunction("if($T542&lt;&gt;"""",REGEXEXTRACT(SUBSTITUTE ($T542,F$1&amp;"" CE"",""""), F$1&amp;""[\w &amp;]*, (\d+\.\d+)""),"""")
"),"")</f>
        <v/>
      </c>
      <c r="G542" s="3" t="str">
        <f aca="false">IFERROR(__xludf.dummyfunction("if($T542&lt;&gt;"""",REGEXEXTRACT($T542, G$1&amp;""[\w &amp;]*, (\d+\.\d+)""),"""")
"),"")</f>
        <v/>
      </c>
      <c r="H542" s="3"/>
      <c r="I542" s="3" t="str">
        <f aca="false">IFERROR(__xludf.dummyfunction("if($T542&lt;&gt;"""",REGEXEXTRACT(SUBSTITUTE ($T542,I$1&amp;"" CE"",""""), I$1&amp;""[\w &amp;]*, (\d+\.\d+)""),"""")
"),"")</f>
        <v/>
      </c>
      <c r="J542" s="3" t="str">
        <f aca="false">IFERROR(__xludf.dummyfunction("if($T542&lt;&gt;"""",REGEXEXTRACT($T542, J$1&amp;""[\w &amp;]*, (\d+\.\d+)""),"""")
"),"")</f>
        <v/>
      </c>
      <c r="K542" s="3"/>
      <c r="L542" s="3" t="str">
        <f aca="false">IFERROR(__xludf.dummyfunction("if($T542&lt;&gt;"""",REGEXEXTRACT(SUBSTITUTE ($T542,L$1&amp;"" CE"",""""), L$1&amp;""[\w &amp;]*, (\d+\.\d+)""),"""")
"),"")</f>
        <v/>
      </c>
      <c r="M542" s="3" t="str">
        <f aca="false">IFERROR(__xludf.dummyfunction("if($T542&lt;&gt;"""",REGEXEXTRACT($T542, M$1&amp;""[\w &amp;]*, (\d+\.\d+)""),"""")
"),"")</f>
        <v/>
      </c>
      <c r="N542" s="3" t="str">
        <f aca="false">IFERROR(__xludf.dummyfunction("if($T542&lt;&gt;"""",REGEXEXTRACT(SUBSTITUTE ($T542,N$1&amp;"" CE"",""""), N$1&amp;""[\w &amp;]*, (\d+\.\d+)""),"""")
"),"")</f>
        <v/>
      </c>
      <c r="O542" s="3" t="str">
        <f aca="false">IFERROR(__xludf.dummyfunction("if($T542&lt;&gt;"""",REGEXEXTRACT($T542, O$1&amp;""[\w &amp;]*, (\d+\.\d+)""),"""")
"),"")</f>
        <v/>
      </c>
      <c r="P542" s="2"/>
      <c r="Q542" s="2"/>
      <c r="R542" s="2"/>
      <c r="S542" s="2"/>
      <c r="T542" s="5"/>
      <c r="U542" s="5"/>
    </row>
    <row r="543" customFormat="false" ht="15.75" hidden="false" customHeight="false" outlineLevel="0" collapsed="false">
      <c r="A543" s="4"/>
      <c r="B543" s="2"/>
      <c r="C543" s="2"/>
      <c r="D543" s="2"/>
      <c r="E543" s="2"/>
      <c r="F543" s="3" t="str">
        <f aca="false">IFERROR(__xludf.dummyfunction("if($T543&lt;&gt;"""",REGEXEXTRACT(SUBSTITUTE ($T543,F$1&amp;"" CE"",""""), F$1&amp;""[\w &amp;]*, (\d+\.\d+)""),"""")
"),"")</f>
        <v/>
      </c>
      <c r="G543" s="3" t="str">
        <f aca="false">IFERROR(__xludf.dummyfunction("if($T543&lt;&gt;"""",REGEXEXTRACT($T543, G$1&amp;""[\w &amp;]*, (\d+\.\d+)""),"""")
"),"")</f>
        <v/>
      </c>
      <c r="H543" s="3"/>
      <c r="I543" s="3" t="str">
        <f aca="false">IFERROR(__xludf.dummyfunction("if($T543&lt;&gt;"""",REGEXEXTRACT(SUBSTITUTE ($T543,I$1&amp;"" CE"",""""), I$1&amp;""[\w &amp;]*, (\d+\.\d+)""),"""")
"),"")</f>
        <v/>
      </c>
      <c r="J543" s="3" t="str">
        <f aca="false">IFERROR(__xludf.dummyfunction("if($T543&lt;&gt;"""",REGEXEXTRACT($T543, J$1&amp;""[\w &amp;]*, (\d+\.\d+)""),"""")
"),"")</f>
        <v/>
      </c>
      <c r="K543" s="3"/>
      <c r="L543" s="3" t="str">
        <f aca="false">IFERROR(__xludf.dummyfunction("if($T543&lt;&gt;"""",REGEXEXTRACT(SUBSTITUTE ($T543,L$1&amp;"" CE"",""""), L$1&amp;""[\w &amp;]*, (\d+\.\d+)""),"""")
"),"")</f>
        <v/>
      </c>
      <c r="M543" s="3" t="str">
        <f aca="false">IFERROR(__xludf.dummyfunction("if($T543&lt;&gt;"""",REGEXEXTRACT($T543, M$1&amp;""[\w &amp;]*, (\d+\.\d+)""),"""")
"),"")</f>
        <v/>
      </c>
      <c r="N543" s="3" t="str">
        <f aca="false">IFERROR(__xludf.dummyfunction("if($T543&lt;&gt;"""",REGEXEXTRACT(SUBSTITUTE ($T543,N$1&amp;"" CE"",""""), N$1&amp;""[\w &amp;]*, (\d+\.\d+)""),"""")
"),"")</f>
        <v/>
      </c>
      <c r="O543" s="3" t="str">
        <f aca="false">IFERROR(__xludf.dummyfunction("if($T543&lt;&gt;"""",REGEXEXTRACT($T543, O$1&amp;""[\w &amp;]*, (\d+\.\d+)""),"""")
"),"")</f>
        <v/>
      </c>
      <c r="P543" s="2"/>
      <c r="Q543" s="2"/>
      <c r="R543" s="2"/>
      <c r="S543" s="2"/>
      <c r="T543" s="5"/>
      <c r="U543" s="5"/>
    </row>
    <row r="544" customFormat="false" ht="15.75" hidden="false" customHeight="false" outlineLevel="0" collapsed="false">
      <c r="A544" s="4"/>
      <c r="B544" s="2"/>
      <c r="C544" s="2"/>
      <c r="D544" s="2"/>
      <c r="E544" s="2"/>
      <c r="F544" s="3" t="str">
        <f aca="false">IFERROR(__xludf.dummyfunction("if($T544&lt;&gt;"""",REGEXEXTRACT(SUBSTITUTE ($T544,F$1&amp;"" CE"",""""), F$1&amp;""[\w &amp;]*, (\d+\.\d+)""),"""")
"),"")</f>
        <v/>
      </c>
      <c r="G544" s="3" t="str">
        <f aca="false">IFERROR(__xludf.dummyfunction("if($T544&lt;&gt;"""",REGEXEXTRACT($T544, G$1&amp;""[\w &amp;]*, (\d+\.\d+)""),"""")
"),"")</f>
        <v/>
      </c>
      <c r="H544" s="3"/>
      <c r="I544" s="3" t="str">
        <f aca="false">IFERROR(__xludf.dummyfunction("if($T544&lt;&gt;"""",REGEXEXTRACT(SUBSTITUTE ($T544,I$1&amp;"" CE"",""""), I$1&amp;""[\w &amp;]*, (\d+\.\d+)""),"""")
"),"")</f>
        <v/>
      </c>
      <c r="J544" s="3" t="str">
        <f aca="false">IFERROR(__xludf.dummyfunction("if($T544&lt;&gt;"""",REGEXEXTRACT($T544, J$1&amp;""[\w &amp;]*, (\d+\.\d+)""),"""")
"),"")</f>
        <v/>
      </c>
      <c r="K544" s="3"/>
      <c r="L544" s="3" t="str">
        <f aca="false">IFERROR(__xludf.dummyfunction("if($T544&lt;&gt;"""",REGEXEXTRACT(SUBSTITUTE ($T544,L$1&amp;"" CE"",""""), L$1&amp;""[\w &amp;]*, (\d+\.\d+)""),"""")
"),"")</f>
        <v/>
      </c>
      <c r="M544" s="3" t="str">
        <f aca="false">IFERROR(__xludf.dummyfunction("if($T544&lt;&gt;"""",REGEXEXTRACT($T544, M$1&amp;""[\w &amp;]*, (\d+\.\d+)""),"""")
"),"")</f>
        <v/>
      </c>
      <c r="N544" s="3" t="str">
        <f aca="false">IFERROR(__xludf.dummyfunction("if($T544&lt;&gt;"""",REGEXEXTRACT(SUBSTITUTE ($T544,N$1&amp;"" CE"",""""), N$1&amp;""[\w &amp;]*, (\d+\.\d+)""),"""")
"),"")</f>
        <v/>
      </c>
      <c r="O544" s="3" t="str">
        <f aca="false">IFERROR(__xludf.dummyfunction("if($T544&lt;&gt;"""",REGEXEXTRACT($T544, O$1&amp;""[\w &amp;]*, (\d+\.\d+)""),"""")
"),"")</f>
        <v/>
      </c>
      <c r="P544" s="2"/>
      <c r="Q544" s="2"/>
      <c r="R544" s="2"/>
      <c r="S544" s="2"/>
      <c r="T544" s="5"/>
      <c r="U544" s="5"/>
    </row>
    <row r="545" customFormat="false" ht="15.75" hidden="false" customHeight="false" outlineLevel="0" collapsed="false">
      <c r="A545" s="4"/>
      <c r="B545" s="2"/>
      <c r="C545" s="2"/>
      <c r="D545" s="2"/>
      <c r="E545" s="2"/>
      <c r="F545" s="3" t="str">
        <f aca="false">IFERROR(__xludf.dummyfunction("if($T545&lt;&gt;"""",REGEXEXTRACT(SUBSTITUTE ($T545,F$1&amp;"" CE"",""""), F$1&amp;""[\w &amp;]*, (\d+\.\d+)""),"""")
"),"")</f>
        <v/>
      </c>
      <c r="G545" s="3" t="str">
        <f aca="false">IFERROR(__xludf.dummyfunction("if($T545&lt;&gt;"""",REGEXEXTRACT($T545, G$1&amp;""[\w &amp;]*, (\d+\.\d+)""),"""")
"),"")</f>
        <v/>
      </c>
      <c r="H545" s="3"/>
      <c r="I545" s="3" t="str">
        <f aca="false">IFERROR(__xludf.dummyfunction("if($T545&lt;&gt;"""",REGEXEXTRACT(SUBSTITUTE ($T545,I$1&amp;"" CE"",""""), I$1&amp;""[\w &amp;]*, (\d+\.\d+)""),"""")
"),"")</f>
        <v/>
      </c>
      <c r="J545" s="3" t="str">
        <f aca="false">IFERROR(__xludf.dummyfunction("if($T545&lt;&gt;"""",REGEXEXTRACT($T545, J$1&amp;""[\w &amp;]*, (\d+\.\d+)""),"""")
"),"")</f>
        <v/>
      </c>
      <c r="K545" s="3"/>
      <c r="L545" s="3" t="str">
        <f aca="false">IFERROR(__xludf.dummyfunction("if($T545&lt;&gt;"""",REGEXEXTRACT(SUBSTITUTE ($T545,L$1&amp;"" CE"",""""), L$1&amp;""[\w &amp;]*, (\d+\.\d+)""),"""")
"),"")</f>
        <v/>
      </c>
      <c r="M545" s="3" t="str">
        <f aca="false">IFERROR(__xludf.dummyfunction("if($T545&lt;&gt;"""",REGEXEXTRACT($T545, M$1&amp;""[\w &amp;]*, (\d+\.\d+)""),"""")
"),"")</f>
        <v/>
      </c>
      <c r="N545" s="3" t="str">
        <f aca="false">IFERROR(__xludf.dummyfunction("if($T545&lt;&gt;"""",REGEXEXTRACT(SUBSTITUTE ($T545,N$1&amp;"" CE"",""""), N$1&amp;""[\w &amp;]*, (\d+\.\d+)""),"""")
"),"")</f>
        <v/>
      </c>
      <c r="O545" s="3" t="str">
        <f aca="false">IFERROR(__xludf.dummyfunction("if($T545&lt;&gt;"""",REGEXEXTRACT($T545, O$1&amp;""[\w &amp;]*, (\d+\.\d+)""),"""")
"),"")</f>
        <v/>
      </c>
      <c r="P545" s="2"/>
      <c r="Q545" s="2"/>
      <c r="R545" s="2"/>
      <c r="S545" s="2"/>
      <c r="T545" s="5"/>
      <c r="U545" s="5"/>
    </row>
    <row r="546" customFormat="false" ht="15.75" hidden="false" customHeight="false" outlineLevel="0" collapsed="false">
      <c r="A546" s="4"/>
      <c r="B546" s="2"/>
      <c r="C546" s="2"/>
      <c r="D546" s="2"/>
      <c r="E546" s="2"/>
      <c r="F546" s="3" t="str">
        <f aca="false">IFERROR(__xludf.dummyfunction("if($T546&lt;&gt;"""",REGEXEXTRACT(SUBSTITUTE ($T546,F$1&amp;"" CE"",""""), F$1&amp;""[\w &amp;]*, (\d+\.\d+)""),"""")
"),"")</f>
        <v/>
      </c>
      <c r="G546" s="3" t="str">
        <f aca="false">IFERROR(__xludf.dummyfunction("if($T546&lt;&gt;"""",REGEXEXTRACT($T546, G$1&amp;""[\w &amp;]*, (\d+\.\d+)""),"""")
"),"")</f>
        <v/>
      </c>
      <c r="H546" s="3"/>
      <c r="I546" s="3" t="str">
        <f aca="false">IFERROR(__xludf.dummyfunction("if($T546&lt;&gt;"""",REGEXEXTRACT(SUBSTITUTE ($T546,I$1&amp;"" CE"",""""), I$1&amp;""[\w &amp;]*, (\d+\.\d+)""),"""")
"),"")</f>
        <v/>
      </c>
      <c r="J546" s="3" t="str">
        <f aca="false">IFERROR(__xludf.dummyfunction("if($T546&lt;&gt;"""",REGEXEXTRACT($T546, J$1&amp;""[\w &amp;]*, (\d+\.\d+)""),"""")
"),"")</f>
        <v/>
      </c>
      <c r="K546" s="3"/>
      <c r="L546" s="3" t="str">
        <f aca="false">IFERROR(__xludf.dummyfunction("if($T546&lt;&gt;"""",REGEXEXTRACT(SUBSTITUTE ($T546,L$1&amp;"" CE"",""""), L$1&amp;""[\w &amp;]*, (\d+\.\d+)""),"""")
"),"")</f>
        <v/>
      </c>
      <c r="M546" s="3" t="str">
        <f aca="false">IFERROR(__xludf.dummyfunction("if($T546&lt;&gt;"""",REGEXEXTRACT($T546, M$1&amp;""[\w &amp;]*, (\d+\.\d+)""),"""")
"),"")</f>
        <v/>
      </c>
      <c r="N546" s="3" t="str">
        <f aca="false">IFERROR(__xludf.dummyfunction("if($T546&lt;&gt;"""",REGEXEXTRACT(SUBSTITUTE ($T546,N$1&amp;"" CE"",""""), N$1&amp;""[\w &amp;]*, (\d+\.\d+)""),"""")
"),"")</f>
        <v/>
      </c>
      <c r="O546" s="3" t="str">
        <f aca="false">IFERROR(__xludf.dummyfunction("if($T546&lt;&gt;"""",REGEXEXTRACT($T546, O$1&amp;""[\w &amp;]*, (\d+\.\d+)""),"""")
"),"")</f>
        <v/>
      </c>
      <c r="P546" s="2"/>
      <c r="Q546" s="2"/>
      <c r="R546" s="2"/>
      <c r="S546" s="2"/>
      <c r="T546" s="5"/>
      <c r="U546" s="5"/>
    </row>
    <row r="547" customFormat="false" ht="15.75" hidden="false" customHeight="false" outlineLevel="0" collapsed="false">
      <c r="A547" s="4"/>
      <c r="B547" s="2"/>
      <c r="C547" s="2"/>
      <c r="D547" s="2"/>
      <c r="E547" s="2"/>
      <c r="F547" s="3" t="str">
        <f aca="false">IFERROR(__xludf.dummyfunction("if($T547&lt;&gt;"""",REGEXEXTRACT(SUBSTITUTE ($T547,F$1&amp;"" CE"",""""), F$1&amp;""[\w &amp;]*, (\d+\.\d+)""),"""")
"),"")</f>
        <v/>
      </c>
      <c r="G547" s="3" t="str">
        <f aca="false">IFERROR(__xludf.dummyfunction("if($T547&lt;&gt;"""",REGEXEXTRACT($T547, G$1&amp;""[\w &amp;]*, (\d+\.\d+)""),"""")
"),"")</f>
        <v/>
      </c>
      <c r="H547" s="3"/>
      <c r="I547" s="3" t="str">
        <f aca="false">IFERROR(__xludf.dummyfunction("if($T547&lt;&gt;"""",REGEXEXTRACT(SUBSTITUTE ($T547,I$1&amp;"" CE"",""""), I$1&amp;""[\w &amp;]*, (\d+\.\d+)""),"""")
"),"")</f>
        <v/>
      </c>
      <c r="J547" s="3" t="str">
        <f aca="false">IFERROR(__xludf.dummyfunction("if($T547&lt;&gt;"""",REGEXEXTRACT($T547, J$1&amp;""[\w &amp;]*, (\d+\.\d+)""),"""")
"),"")</f>
        <v/>
      </c>
      <c r="K547" s="3"/>
      <c r="L547" s="3" t="str">
        <f aca="false">IFERROR(__xludf.dummyfunction("if($T547&lt;&gt;"""",REGEXEXTRACT(SUBSTITUTE ($T547,L$1&amp;"" CE"",""""), L$1&amp;""[\w &amp;]*, (\d+\.\d+)""),"""")
"),"")</f>
        <v/>
      </c>
      <c r="M547" s="3" t="str">
        <f aca="false">IFERROR(__xludf.dummyfunction("if($T547&lt;&gt;"""",REGEXEXTRACT($T547, M$1&amp;""[\w &amp;]*, (\d+\.\d+)""),"""")
"),"")</f>
        <v/>
      </c>
      <c r="N547" s="3" t="str">
        <f aca="false">IFERROR(__xludf.dummyfunction("if($T547&lt;&gt;"""",REGEXEXTRACT(SUBSTITUTE ($T547,N$1&amp;"" CE"",""""), N$1&amp;""[\w &amp;]*, (\d+\.\d+)""),"""")
"),"")</f>
        <v/>
      </c>
      <c r="O547" s="3" t="str">
        <f aca="false">IFERROR(__xludf.dummyfunction("if($T547&lt;&gt;"""",REGEXEXTRACT($T547, O$1&amp;""[\w &amp;]*, (\d+\.\d+)""),"""")
"),"")</f>
        <v/>
      </c>
      <c r="P547" s="2"/>
      <c r="Q547" s="2"/>
      <c r="R547" s="2"/>
      <c r="S547" s="2"/>
      <c r="T547" s="5"/>
      <c r="U547" s="5"/>
    </row>
    <row r="548" customFormat="false" ht="15.75" hidden="false" customHeight="false" outlineLevel="0" collapsed="false">
      <c r="A548" s="4"/>
      <c r="B548" s="2"/>
      <c r="C548" s="2"/>
      <c r="D548" s="2"/>
      <c r="E548" s="2"/>
      <c r="F548" s="3" t="str">
        <f aca="false">IFERROR(__xludf.dummyfunction("if($T548&lt;&gt;"""",REGEXEXTRACT(SUBSTITUTE ($T548,F$1&amp;"" CE"",""""), F$1&amp;""[\w &amp;]*, (\d+\.\d+)""),"""")
"),"")</f>
        <v/>
      </c>
      <c r="G548" s="3" t="str">
        <f aca="false">IFERROR(__xludf.dummyfunction("if($T548&lt;&gt;"""",REGEXEXTRACT($T548, G$1&amp;""[\w &amp;]*, (\d+\.\d+)""),"""")
"),"")</f>
        <v/>
      </c>
      <c r="H548" s="3"/>
      <c r="I548" s="3" t="str">
        <f aca="false">IFERROR(__xludf.dummyfunction("if($T548&lt;&gt;"""",REGEXEXTRACT(SUBSTITUTE ($T548,I$1&amp;"" CE"",""""), I$1&amp;""[\w &amp;]*, (\d+\.\d+)""),"""")
"),"")</f>
        <v/>
      </c>
      <c r="J548" s="3" t="str">
        <f aca="false">IFERROR(__xludf.dummyfunction("if($T548&lt;&gt;"""",REGEXEXTRACT($T548, J$1&amp;""[\w &amp;]*, (\d+\.\d+)""),"""")
"),"")</f>
        <v/>
      </c>
      <c r="K548" s="3"/>
      <c r="L548" s="3" t="str">
        <f aca="false">IFERROR(__xludf.dummyfunction("if($T548&lt;&gt;"""",REGEXEXTRACT(SUBSTITUTE ($T548,L$1&amp;"" CE"",""""), L$1&amp;""[\w &amp;]*, (\d+\.\d+)""),"""")
"),"")</f>
        <v/>
      </c>
      <c r="M548" s="3" t="str">
        <f aca="false">IFERROR(__xludf.dummyfunction("if($T548&lt;&gt;"""",REGEXEXTRACT($T548, M$1&amp;""[\w &amp;]*, (\d+\.\d+)""),"""")
"),"")</f>
        <v/>
      </c>
      <c r="N548" s="3" t="str">
        <f aca="false">IFERROR(__xludf.dummyfunction("if($T548&lt;&gt;"""",REGEXEXTRACT(SUBSTITUTE ($T548,N$1&amp;"" CE"",""""), N$1&amp;""[\w &amp;]*, (\d+\.\d+)""),"""")
"),"")</f>
        <v/>
      </c>
      <c r="O548" s="3" t="str">
        <f aca="false">IFERROR(__xludf.dummyfunction("if($T548&lt;&gt;"""",REGEXEXTRACT($T548, O$1&amp;""[\w &amp;]*, (\d+\.\d+)""),"""")
"),"")</f>
        <v/>
      </c>
      <c r="P548" s="2"/>
      <c r="Q548" s="2"/>
      <c r="R548" s="2"/>
      <c r="S548" s="2"/>
      <c r="T548" s="5"/>
      <c r="U548" s="5"/>
    </row>
    <row r="549" customFormat="false" ht="15.75" hidden="false" customHeight="false" outlineLevel="0" collapsed="false">
      <c r="A549" s="4"/>
      <c r="B549" s="2"/>
      <c r="C549" s="2"/>
      <c r="D549" s="2"/>
      <c r="E549" s="2"/>
      <c r="F549" s="3" t="str">
        <f aca="false">IFERROR(__xludf.dummyfunction("if($T549&lt;&gt;"""",REGEXEXTRACT(SUBSTITUTE ($T549,F$1&amp;"" CE"",""""), F$1&amp;""[\w &amp;]*, (\d+\.\d+)""),"""")
"),"")</f>
        <v/>
      </c>
      <c r="G549" s="3" t="str">
        <f aca="false">IFERROR(__xludf.dummyfunction("if($T549&lt;&gt;"""",REGEXEXTRACT($T549, G$1&amp;""[\w &amp;]*, (\d+\.\d+)""),"""")
"),"")</f>
        <v/>
      </c>
      <c r="H549" s="3"/>
      <c r="I549" s="3" t="str">
        <f aca="false">IFERROR(__xludf.dummyfunction("if($T549&lt;&gt;"""",REGEXEXTRACT(SUBSTITUTE ($T549,I$1&amp;"" CE"",""""), I$1&amp;""[\w &amp;]*, (\d+\.\d+)""),"""")
"),"")</f>
        <v/>
      </c>
      <c r="J549" s="3" t="str">
        <f aca="false">IFERROR(__xludf.dummyfunction("if($T549&lt;&gt;"""",REGEXEXTRACT($T549, J$1&amp;""[\w &amp;]*, (\d+\.\d+)""),"""")
"),"")</f>
        <v/>
      </c>
      <c r="K549" s="3"/>
      <c r="L549" s="3" t="str">
        <f aca="false">IFERROR(__xludf.dummyfunction("if($T549&lt;&gt;"""",REGEXEXTRACT(SUBSTITUTE ($T549,L$1&amp;"" CE"",""""), L$1&amp;""[\w &amp;]*, (\d+\.\d+)""),"""")
"),"")</f>
        <v/>
      </c>
      <c r="M549" s="3" t="str">
        <f aca="false">IFERROR(__xludf.dummyfunction("if($T549&lt;&gt;"""",REGEXEXTRACT($T549, M$1&amp;""[\w &amp;]*, (\d+\.\d+)""),"""")
"),"")</f>
        <v/>
      </c>
      <c r="N549" s="3" t="str">
        <f aca="false">IFERROR(__xludf.dummyfunction("if($T549&lt;&gt;"""",REGEXEXTRACT(SUBSTITUTE ($T549,N$1&amp;"" CE"",""""), N$1&amp;""[\w &amp;]*, (\d+\.\d+)""),"""")
"),"")</f>
        <v/>
      </c>
      <c r="O549" s="3" t="str">
        <f aca="false">IFERROR(__xludf.dummyfunction("if($T549&lt;&gt;"""",REGEXEXTRACT($T549, O$1&amp;""[\w &amp;]*, (\d+\.\d+)""),"""")
"),"")</f>
        <v/>
      </c>
      <c r="P549" s="2"/>
      <c r="Q549" s="2"/>
      <c r="R549" s="2"/>
      <c r="S549" s="2"/>
      <c r="T549" s="5"/>
      <c r="U549" s="5"/>
    </row>
    <row r="550" customFormat="false" ht="15.75" hidden="false" customHeight="false" outlineLevel="0" collapsed="false">
      <c r="A550" s="4"/>
      <c r="B550" s="2"/>
      <c r="C550" s="2"/>
      <c r="D550" s="2"/>
      <c r="E550" s="2"/>
      <c r="F550" s="3" t="str">
        <f aca="false">IFERROR(__xludf.dummyfunction("if($T550&lt;&gt;"""",REGEXEXTRACT(SUBSTITUTE ($T550,F$1&amp;"" CE"",""""), F$1&amp;""[\w &amp;]*, (\d+\.\d+)""),"""")
"),"")</f>
        <v/>
      </c>
      <c r="G550" s="3" t="str">
        <f aca="false">IFERROR(__xludf.dummyfunction("if($T550&lt;&gt;"""",REGEXEXTRACT($T550, G$1&amp;""[\w &amp;]*, (\d+\.\d+)""),"""")
"),"")</f>
        <v/>
      </c>
      <c r="H550" s="3"/>
      <c r="I550" s="3" t="str">
        <f aca="false">IFERROR(__xludf.dummyfunction("if($T550&lt;&gt;"""",REGEXEXTRACT(SUBSTITUTE ($T550,I$1&amp;"" CE"",""""), I$1&amp;""[\w &amp;]*, (\d+\.\d+)""),"""")
"),"")</f>
        <v/>
      </c>
      <c r="J550" s="3" t="str">
        <f aca="false">IFERROR(__xludf.dummyfunction("if($T550&lt;&gt;"""",REGEXEXTRACT($T550, J$1&amp;""[\w &amp;]*, (\d+\.\d+)""),"""")
"),"")</f>
        <v/>
      </c>
      <c r="K550" s="3"/>
      <c r="L550" s="3" t="str">
        <f aca="false">IFERROR(__xludf.dummyfunction("if($T550&lt;&gt;"""",REGEXEXTRACT(SUBSTITUTE ($T550,L$1&amp;"" CE"",""""), L$1&amp;""[\w &amp;]*, (\d+\.\d+)""),"""")
"),"")</f>
        <v/>
      </c>
      <c r="M550" s="3" t="str">
        <f aca="false">IFERROR(__xludf.dummyfunction("if($T550&lt;&gt;"""",REGEXEXTRACT($T550, M$1&amp;""[\w &amp;]*, (\d+\.\d+)""),"""")
"),"")</f>
        <v/>
      </c>
      <c r="N550" s="3" t="str">
        <f aca="false">IFERROR(__xludf.dummyfunction("if($T550&lt;&gt;"""",REGEXEXTRACT(SUBSTITUTE ($T550,N$1&amp;"" CE"",""""), N$1&amp;""[\w &amp;]*, (\d+\.\d+)""),"""")
"),"")</f>
        <v/>
      </c>
      <c r="O550" s="3" t="str">
        <f aca="false">IFERROR(__xludf.dummyfunction("if($T550&lt;&gt;"""",REGEXEXTRACT($T550, O$1&amp;""[\w &amp;]*, (\d+\.\d+)""),"""")
"),"")</f>
        <v/>
      </c>
      <c r="P550" s="2"/>
      <c r="Q550" s="2"/>
      <c r="R550" s="2"/>
      <c r="S550" s="2"/>
      <c r="T550" s="5"/>
      <c r="U550" s="5"/>
    </row>
    <row r="551" customFormat="false" ht="15.75" hidden="false" customHeight="false" outlineLevel="0" collapsed="false">
      <c r="A551" s="4"/>
      <c r="B551" s="2"/>
      <c r="C551" s="2"/>
      <c r="D551" s="2"/>
      <c r="E551" s="2"/>
      <c r="F551" s="3" t="str">
        <f aca="false">IFERROR(__xludf.dummyfunction("if($T551&lt;&gt;"""",REGEXEXTRACT(SUBSTITUTE ($T551,F$1&amp;"" CE"",""""), F$1&amp;""[\w &amp;]*, (\d+\.\d+)""),"""")
"),"")</f>
        <v/>
      </c>
      <c r="G551" s="3" t="str">
        <f aca="false">IFERROR(__xludf.dummyfunction("if($T551&lt;&gt;"""",REGEXEXTRACT($T551, G$1&amp;""[\w &amp;]*, (\d+\.\d+)""),"""")
"),"")</f>
        <v/>
      </c>
      <c r="H551" s="3"/>
      <c r="I551" s="3" t="str">
        <f aca="false">IFERROR(__xludf.dummyfunction("if($T551&lt;&gt;"""",REGEXEXTRACT(SUBSTITUTE ($T551,I$1&amp;"" CE"",""""), I$1&amp;""[\w &amp;]*, (\d+\.\d+)""),"""")
"),"")</f>
        <v/>
      </c>
      <c r="J551" s="3" t="str">
        <f aca="false">IFERROR(__xludf.dummyfunction("if($T551&lt;&gt;"""",REGEXEXTRACT($T551, J$1&amp;""[\w &amp;]*, (\d+\.\d+)""),"""")
"),"")</f>
        <v/>
      </c>
      <c r="K551" s="3"/>
      <c r="L551" s="3" t="str">
        <f aca="false">IFERROR(__xludf.dummyfunction("if($T551&lt;&gt;"""",REGEXEXTRACT(SUBSTITUTE ($T551,L$1&amp;"" CE"",""""), L$1&amp;""[\w &amp;]*, (\d+\.\d+)""),"""")
"),"")</f>
        <v/>
      </c>
      <c r="M551" s="3" t="str">
        <f aca="false">IFERROR(__xludf.dummyfunction("if($T551&lt;&gt;"""",REGEXEXTRACT($T551, M$1&amp;""[\w &amp;]*, (\d+\.\d+)""),"""")
"),"")</f>
        <v/>
      </c>
      <c r="N551" s="3" t="str">
        <f aca="false">IFERROR(__xludf.dummyfunction("if($T551&lt;&gt;"""",REGEXEXTRACT(SUBSTITUTE ($T551,N$1&amp;"" CE"",""""), N$1&amp;""[\w &amp;]*, (\d+\.\d+)""),"""")
"),"")</f>
        <v/>
      </c>
      <c r="O551" s="3" t="str">
        <f aca="false">IFERROR(__xludf.dummyfunction("if($T551&lt;&gt;"""",REGEXEXTRACT($T551, O$1&amp;""[\w &amp;]*, (\d+\.\d+)""),"""")
"),"")</f>
        <v/>
      </c>
      <c r="P551" s="2"/>
      <c r="Q551" s="2"/>
      <c r="R551" s="2"/>
      <c r="S551" s="2"/>
      <c r="T551" s="5"/>
      <c r="U551" s="5"/>
    </row>
    <row r="552" customFormat="false" ht="15.75" hidden="false" customHeight="false" outlineLevel="0" collapsed="false">
      <c r="A552" s="4"/>
      <c r="B552" s="2"/>
      <c r="C552" s="2"/>
      <c r="D552" s="2"/>
      <c r="E552" s="2"/>
      <c r="F552" s="3" t="str">
        <f aca="false">IFERROR(__xludf.dummyfunction("if($T552&lt;&gt;"""",REGEXEXTRACT(SUBSTITUTE ($T552,F$1&amp;"" CE"",""""), F$1&amp;""[\w &amp;]*, (\d+\.\d+)""),"""")
"),"")</f>
        <v/>
      </c>
      <c r="G552" s="3" t="str">
        <f aca="false">IFERROR(__xludf.dummyfunction("if($T552&lt;&gt;"""",REGEXEXTRACT($T552, G$1&amp;""[\w &amp;]*, (\d+\.\d+)""),"""")
"),"")</f>
        <v/>
      </c>
      <c r="H552" s="3"/>
      <c r="I552" s="3" t="str">
        <f aca="false">IFERROR(__xludf.dummyfunction("if($T552&lt;&gt;"""",REGEXEXTRACT(SUBSTITUTE ($T552,I$1&amp;"" CE"",""""), I$1&amp;""[\w &amp;]*, (\d+\.\d+)""),"""")
"),"")</f>
        <v/>
      </c>
      <c r="J552" s="3" t="str">
        <f aca="false">IFERROR(__xludf.dummyfunction("if($T552&lt;&gt;"""",REGEXEXTRACT($T552, J$1&amp;""[\w &amp;]*, (\d+\.\d+)""),"""")
"),"")</f>
        <v/>
      </c>
      <c r="K552" s="3"/>
      <c r="L552" s="3" t="str">
        <f aca="false">IFERROR(__xludf.dummyfunction("if($T552&lt;&gt;"""",REGEXEXTRACT(SUBSTITUTE ($T552,L$1&amp;"" CE"",""""), L$1&amp;""[\w &amp;]*, (\d+\.\d+)""),"""")
"),"")</f>
        <v/>
      </c>
      <c r="M552" s="3" t="str">
        <f aca="false">IFERROR(__xludf.dummyfunction("if($T552&lt;&gt;"""",REGEXEXTRACT($T552, M$1&amp;""[\w &amp;]*, (\d+\.\d+)""),"""")
"),"")</f>
        <v/>
      </c>
      <c r="N552" s="3" t="str">
        <f aca="false">IFERROR(__xludf.dummyfunction("if($T552&lt;&gt;"""",REGEXEXTRACT(SUBSTITUTE ($T552,N$1&amp;"" CE"",""""), N$1&amp;""[\w &amp;]*, (\d+\.\d+)""),"""")
"),"")</f>
        <v/>
      </c>
      <c r="O552" s="3" t="str">
        <f aca="false">IFERROR(__xludf.dummyfunction("if($T552&lt;&gt;"""",REGEXEXTRACT($T552, O$1&amp;""[\w &amp;]*, (\d+\.\d+)""),"""")
"),"")</f>
        <v/>
      </c>
      <c r="P552" s="2"/>
      <c r="Q552" s="2"/>
      <c r="R552" s="2"/>
      <c r="S552" s="2"/>
      <c r="T552" s="5"/>
      <c r="U552" s="5"/>
    </row>
    <row r="553" customFormat="false" ht="15.75" hidden="false" customHeight="false" outlineLevel="0" collapsed="false">
      <c r="A553" s="4"/>
      <c r="B553" s="2"/>
      <c r="C553" s="2"/>
      <c r="D553" s="2"/>
      <c r="E553" s="2"/>
      <c r="F553" s="3" t="str">
        <f aca="false">IFERROR(__xludf.dummyfunction("if($T553&lt;&gt;"""",REGEXEXTRACT(SUBSTITUTE ($T553,F$1&amp;"" CE"",""""), F$1&amp;""[\w &amp;]*, (\d+\.\d+)""),"""")
"),"")</f>
        <v/>
      </c>
      <c r="G553" s="3" t="str">
        <f aca="false">IFERROR(__xludf.dummyfunction("if($T553&lt;&gt;"""",REGEXEXTRACT($T553, G$1&amp;""[\w &amp;]*, (\d+\.\d+)""),"""")
"),"")</f>
        <v/>
      </c>
      <c r="H553" s="3"/>
      <c r="I553" s="3" t="str">
        <f aca="false">IFERROR(__xludf.dummyfunction("if($T553&lt;&gt;"""",REGEXEXTRACT(SUBSTITUTE ($T553,I$1&amp;"" CE"",""""), I$1&amp;""[\w &amp;]*, (\d+\.\d+)""),"""")
"),"")</f>
        <v/>
      </c>
      <c r="J553" s="3" t="str">
        <f aca="false">IFERROR(__xludf.dummyfunction("if($T553&lt;&gt;"""",REGEXEXTRACT($T553, J$1&amp;""[\w &amp;]*, (\d+\.\d+)""),"""")
"),"")</f>
        <v/>
      </c>
      <c r="K553" s="3"/>
      <c r="L553" s="3" t="str">
        <f aca="false">IFERROR(__xludf.dummyfunction("if($T553&lt;&gt;"""",REGEXEXTRACT(SUBSTITUTE ($T553,L$1&amp;"" CE"",""""), L$1&amp;""[\w &amp;]*, (\d+\.\d+)""),"""")
"),"")</f>
        <v/>
      </c>
      <c r="M553" s="3" t="str">
        <f aca="false">IFERROR(__xludf.dummyfunction("if($T553&lt;&gt;"""",REGEXEXTRACT($T553, M$1&amp;""[\w &amp;]*, (\d+\.\d+)""),"""")
"),"")</f>
        <v/>
      </c>
      <c r="N553" s="3" t="str">
        <f aca="false">IFERROR(__xludf.dummyfunction("if($T553&lt;&gt;"""",REGEXEXTRACT(SUBSTITUTE ($T553,N$1&amp;"" CE"",""""), N$1&amp;""[\w &amp;]*, (\d+\.\d+)""),"""")
"),"")</f>
        <v/>
      </c>
      <c r="O553" s="3" t="str">
        <f aca="false">IFERROR(__xludf.dummyfunction("if($T553&lt;&gt;"""",REGEXEXTRACT($T553, O$1&amp;""[\w &amp;]*, (\d+\.\d+)""),"""")
"),"")</f>
        <v/>
      </c>
      <c r="P553" s="2"/>
      <c r="Q553" s="2"/>
      <c r="R553" s="2"/>
      <c r="S553" s="2"/>
      <c r="T553" s="5"/>
      <c r="U553" s="5"/>
    </row>
    <row r="554" customFormat="false" ht="15.75" hidden="false" customHeight="false" outlineLevel="0" collapsed="false">
      <c r="A554" s="4"/>
      <c r="B554" s="2"/>
      <c r="C554" s="2"/>
      <c r="D554" s="2"/>
      <c r="E554" s="2"/>
      <c r="F554" s="3" t="str">
        <f aca="false">IFERROR(__xludf.dummyfunction("if($T554&lt;&gt;"""",REGEXEXTRACT(SUBSTITUTE ($T554,F$1&amp;"" CE"",""""), F$1&amp;""[\w &amp;]*, (\d+\.\d+)""),"""")
"),"")</f>
        <v/>
      </c>
      <c r="G554" s="3" t="str">
        <f aca="false">IFERROR(__xludf.dummyfunction("if($T554&lt;&gt;"""",REGEXEXTRACT($T554, G$1&amp;""[\w &amp;]*, (\d+\.\d+)""),"""")
"),"")</f>
        <v/>
      </c>
      <c r="H554" s="3"/>
      <c r="I554" s="3" t="str">
        <f aca="false">IFERROR(__xludf.dummyfunction("if($T554&lt;&gt;"""",REGEXEXTRACT(SUBSTITUTE ($T554,I$1&amp;"" CE"",""""), I$1&amp;""[\w &amp;]*, (\d+\.\d+)""),"""")
"),"")</f>
        <v/>
      </c>
      <c r="J554" s="3" t="str">
        <f aca="false">IFERROR(__xludf.dummyfunction("if($T554&lt;&gt;"""",REGEXEXTRACT($T554, J$1&amp;""[\w &amp;]*, (\d+\.\d+)""),"""")
"),"")</f>
        <v/>
      </c>
      <c r="K554" s="3"/>
      <c r="L554" s="3" t="str">
        <f aca="false">IFERROR(__xludf.dummyfunction("if($T554&lt;&gt;"""",REGEXEXTRACT(SUBSTITUTE ($T554,L$1&amp;"" CE"",""""), L$1&amp;""[\w &amp;]*, (\d+\.\d+)""),"""")
"),"")</f>
        <v/>
      </c>
      <c r="M554" s="3" t="str">
        <f aca="false">IFERROR(__xludf.dummyfunction("if($T554&lt;&gt;"""",REGEXEXTRACT($T554, M$1&amp;""[\w &amp;]*, (\d+\.\d+)""),"""")
"),"")</f>
        <v/>
      </c>
      <c r="N554" s="3" t="str">
        <f aca="false">IFERROR(__xludf.dummyfunction("if($T554&lt;&gt;"""",REGEXEXTRACT(SUBSTITUTE ($T554,N$1&amp;"" CE"",""""), N$1&amp;""[\w &amp;]*, (\d+\.\d+)""),"""")
"),"")</f>
        <v/>
      </c>
      <c r="O554" s="3" t="str">
        <f aca="false">IFERROR(__xludf.dummyfunction("if($T554&lt;&gt;"""",REGEXEXTRACT($T554, O$1&amp;""[\w &amp;]*, (\d+\.\d+)""),"""")
"),"")</f>
        <v/>
      </c>
      <c r="P554" s="2"/>
      <c r="Q554" s="2"/>
      <c r="R554" s="2"/>
      <c r="S554" s="2"/>
      <c r="T554" s="5"/>
      <c r="U554" s="5"/>
    </row>
    <row r="555" customFormat="false" ht="15.75" hidden="false" customHeight="false" outlineLevel="0" collapsed="false">
      <c r="A555" s="4"/>
      <c r="B555" s="2"/>
      <c r="C555" s="2"/>
      <c r="D555" s="2"/>
      <c r="E555" s="2"/>
      <c r="F555" s="3" t="str">
        <f aca="false">IFERROR(__xludf.dummyfunction("if($T555&lt;&gt;"""",REGEXEXTRACT(SUBSTITUTE ($T555,F$1&amp;"" CE"",""""), F$1&amp;""[\w &amp;]*, (\d+\.\d+)""),"""")
"),"")</f>
        <v/>
      </c>
      <c r="G555" s="3" t="str">
        <f aca="false">IFERROR(__xludf.dummyfunction("if($T555&lt;&gt;"""",REGEXEXTRACT($T555, G$1&amp;""[\w &amp;]*, (\d+\.\d+)""),"""")
"),"")</f>
        <v/>
      </c>
      <c r="H555" s="3"/>
      <c r="I555" s="3" t="str">
        <f aca="false">IFERROR(__xludf.dummyfunction("if($T555&lt;&gt;"""",REGEXEXTRACT(SUBSTITUTE ($T555,I$1&amp;"" CE"",""""), I$1&amp;""[\w &amp;]*, (\d+\.\d+)""),"""")
"),"")</f>
        <v/>
      </c>
      <c r="J555" s="3" t="str">
        <f aca="false">IFERROR(__xludf.dummyfunction("if($T555&lt;&gt;"""",REGEXEXTRACT($T555, J$1&amp;""[\w &amp;]*, (\d+\.\d+)""),"""")
"),"")</f>
        <v/>
      </c>
      <c r="K555" s="3"/>
      <c r="L555" s="3" t="str">
        <f aca="false">IFERROR(__xludf.dummyfunction("if($T555&lt;&gt;"""",REGEXEXTRACT(SUBSTITUTE ($T555,L$1&amp;"" CE"",""""), L$1&amp;""[\w &amp;]*, (\d+\.\d+)""),"""")
"),"")</f>
        <v/>
      </c>
      <c r="M555" s="3" t="str">
        <f aca="false">IFERROR(__xludf.dummyfunction("if($T555&lt;&gt;"""",REGEXEXTRACT($T555, M$1&amp;""[\w &amp;]*, (\d+\.\d+)""),"""")
"),"")</f>
        <v/>
      </c>
      <c r="N555" s="3" t="str">
        <f aca="false">IFERROR(__xludf.dummyfunction("if($T555&lt;&gt;"""",REGEXEXTRACT(SUBSTITUTE ($T555,N$1&amp;"" CE"",""""), N$1&amp;""[\w &amp;]*, (\d+\.\d+)""),"""")
"),"")</f>
        <v/>
      </c>
      <c r="O555" s="3" t="str">
        <f aca="false">IFERROR(__xludf.dummyfunction("if($T555&lt;&gt;"""",REGEXEXTRACT($T555, O$1&amp;""[\w &amp;]*, (\d+\.\d+)""),"""")
"),"")</f>
        <v/>
      </c>
      <c r="P555" s="2"/>
      <c r="Q555" s="2"/>
      <c r="R555" s="2"/>
      <c r="S555" s="2"/>
      <c r="T555" s="5"/>
      <c r="U555" s="5"/>
    </row>
    <row r="556" customFormat="false" ht="15.75" hidden="false" customHeight="false" outlineLevel="0" collapsed="false">
      <c r="A556" s="4"/>
      <c r="B556" s="2"/>
      <c r="C556" s="2"/>
      <c r="D556" s="2"/>
      <c r="E556" s="2"/>
      <c r="F556" s="3" t="str">
        <f aca="false">IFERROR(__xludf.dummyfunction("if($T556&lt;&gt;"""",REGEXEXTRACT(SUBSTITUTE ($T556,F$1&amp;"" CE"",""""), F$1&amp;""[\w &amp;]*, (\d+\.\d+)""),"""")
"),"")</f>
        <v/>
      </c>
      <c r="G556" s="3" t="str">
        <f aca="false">IFERROR(__xludf.dummyfunction("if($T556&lt;&gt;"""",REGEXEXTRACT($T556, G$1&amp;""[\w &amp;]*, (\d+\.\d+)""),"""")
"),"")</f>
        <v/>
      </c>
      <c r="H556" s="3"/>
      <c r="I556" s="3" t="str">
        <f aca="false">IFERROR(__xludf.dummyfunction("if($T556&lt;&gt;"""",REGEXEXTRACT(SUBSTITUTE ($T556,I$1&amp;"" CE"",""""), I$1&amp;""[\w &amp;]*, (\d+\.\d+)""),"""")
"),"")</f>
        <v/>
      </c>
      <c r="J556" s="3" t="str">
        <f aca="false">IFERROR(__xludf.dummyfunction("if($T556&lt;&gt;"""",REGEXEXTRACT($T556, J$1&amp;""[\w &amp;]*, (\d+\.\d+)""),"""")
"),"")</f>
        <v/>
      </c>
      <c r="K556" s="3"/>
      <c r="L556" s="3" t="str">
        <f aca="false">IFERROR(__xludf.dummyfunction("if($T556&lt;&gt;"""",REGEXEXTRACT(SUBSTITUTE ($T556,L$1&amp;"" CE"",""""), L$1&amp;""[\w &amp;]*, (\d+\.\d+)""),"""")
"),"")</f>
        <v/>
      </c>
      <c r="M556" s="3" t="str">
        <f aca="false">IFERROR(__xludf.dummyfunction("if($T556&lt;&gt;"""",REGEXEXTRACT($T556, M$1&amp;""[\w &amp;]*, (\d+\.\d+)""),"""")
"),"")</f>
        <v/>
      </c>
      <c r="N556" s="3" t="str">
        <f aca="false">IFERROR(__xludf.dummyfunction("if($T556&lt;&gt;"""",REGEXEXTRACT(SUBSTITUTE ($T556,N$1&amp;"" CE"",""""), N$1&amp;""[\w &amp;]*, (\d+\.\d+)""),"""")
"),"")</f>
        <v/>
      </c>
      <c r="O556" s="3" t="str">
        <f aca="false">IFERROR(__xludf.dummyfunction("if($T556&lt;&gt;"""",REGEXEXTRACT($T556, O$1&amp;""[\w &amp;]*, (\d+\.\d+)""),"""")
"),"")</f>
        <v/>
      </c>
      <c r="P556" s="2"/>
      <c r="Q556" s="2"/>
      <c r="R556" s="2"/>
      <c r="S556" s="2"/>
      <c r="T556" s="5"/>
      <c r="U556" s="5"/>
    </row>
    <row r="557" customFormat="false" ht="15.75" hidden="false" customHeight="false" outlineLevel="0" collapsed="false">
      <c r="A557" s="4"/>
      <c r="B557" s="2"/>
      <c r="C557" s="2"/>
      <c r="D557" s="2"/>
      <c r="E557" s="2"/>
      <c r="F557" s="3" t="str">
        <f aca="false">IFERROR(__xludf.dummyfunction("if($T557&lt;&gt;"""",REGEXEXTRACT(SUBSTITUTE ($T557,F$1&amp;"" CE"",""""), F$1&amp;""[\w &amp;]*, (\d+\.\d+)""),"""")
"),"")</f>
        <v/>
      </c>
      <c r="G557" s="3" t="str">
        <f aca="false">IFERROR(__xludf.dummyfunction("if($T557&lt;&gt;"""",REGEXEXTRACT($T557, G$1&amp;""[\w &amp;]*, (\d+\.\d+)""),"""")
"),"")</f>
        <v/>
      </c>
      <c r="H557" s="3"/>
      <c r="I557" s="3" t="str">
        <f aca="false">IFERROR(__xludf.dummyfunction("if($T557&lt;&gt;"""",REGEXEXTRACT(SUBSTITUTE ($T557,I$1&amp;"" CE"",""""), I$1&amp;""[\w &amp;]*, (\d+\.\d+)""),"""")
"),"")</f>
        <v/>
      </c>
      <c r="J557" s="3" t="str">
        <f aca="false">IFERROR(__xludf.dummyfunction("if($T557&lt;&gt;"""",REGEXEXTRACT($T557, J$1&amp;""[\w &amp;]*, (\d+\.\d+)""),"""")
"),"")</f>
        <v/>
      </c>
      <c r="K557" s="3"/>
      <c r="L557" s="3" t="str">
        <f aca="false">IFERROR(__xludf.dummyfunction("if($T557&lt;&gt;"""",REGEXEXTRACT(SUBSTITUTE ($T557,L$1&amp;"" CE"",""""), L$1&amp;""[\w &amp;]*, (\d+\.\d+)""),"""")
"),"")</f>
        <v/>
      </c>
      <c r="M557" s="3" t="str">
        <f aca="false">IFERROR(__xludf.dummyfunction("if($T557&lt;&gt;"""",REGEXEXTRACT($T557, M$1&amp;""[\w &amp;]*, (\d+\.\d+)""),"""")
"),"")</f>
        <v/>
      </c>
      <c r="N557" s="3" t="str">
        <f aca="false">IFERROR(__xludf.dummyfunction("if($T557&lt;&gt;"""",REGEXEXTRACT(SUBSTITUTE ($T557,N$1&amp;"" CE"",""""), N$1&amp;""[\w &amp;]*, (\d+\.\d+)""),"""")
"),"")</f>
        <v/>
      </c>
      <c r="O557" s="3" t="str">
        <f aca="false">IFERROR(__xludf.dummyfunction("if($T557&lt;&gt;"""",REGEXEXTRACT($T557, O$1&amp;""[\w &amp;]*, (\d+\.\d+)""),"""")
"),"")</f>
        <v/>
      </c>
      <c r="P557" s="2"/>
      <c r="Q557" s="2"/>
      <c r="R557" s="2"/>
      <c r="S557" s="2"/>
      <c r="T557" s="5"/>
      <c r="U557" s="5"/>
    </row>
    <row r="558" customFormat="false" ht="15.75" hidden="false" customHeight="false" outlineLevel="0" collapsed="false">
      <c r="A558" s="4"/>
      <c r="B558" s="2"/>
      <c r="C558" s="2"/>
      <c r="D558" s="2"/>
      <c r="E558" s="2"/>
      <c r="F558" s="3" t="str">
        <f aca="false">IFERROR(__xludf.dummyfunction("if($T558&lt;&gt;"""",REGEXEXTRACT(SUBSTITUTE ($T558,F$1&amp;"" CE"",""""), F$1&amp;""[\w &amp;]*, (\d+\.\d+)""),"""")
"),"")</f>
        <v/>
      </c>
      <c r="G558" s="3" t="str">
        <f aca="false">IFERROR(__xludf.dummyfunction("if($T558&lt;&gt;"""",REGEXEXTRACT($T558, G$1&amp;""[\w &amp;]*, (\d+\.\d+)""),"""")
"),"")</f>
        <v/>
      </c>
      <c r="H558" s="3"/>
      <c r="I558" s="3" t="str">
        <f aca="false">IFERROR(__xludf.dummyfunction("if($T558&lt;&gt;"""",REGEXEXTRACT(SUBSTITUTE ($T558,I$1&amp;"" CE"",""""), I$1&amp;""[\w &amp;]*, (\d+\.\d+)""),"""")
"),"")</f>
        <v/>
      </c>
      <c r="J558" s="3" t="str">
        <f aca="false">IFERROR(__xludf.dummyfunction("if($T558&lt;&gt;"""",REGEXEXTRACT($T558, J$1&amp;""[\w &amp;]*, (\d+\.\d+)""),"""")
"),"")</f>
        <v/>
      </c>
      <c r="K558" s="3"/>
      <c r="L558" s="3" t="str">
        <f aca="false">IFERROR(__xludf.dummyfunction("if($T558&lt;&gt;"""",REGEXEXTRACT(SUBSTITUTE ($T558,L$1&amp;"" CE"",""""), L$1&amp;""[\w &amp;]*, (\d+\.\d+)""),"""")
"),"")</f>
        <v/>
      </c>
      <c r="M558" s="3" t="str">
        <f aca="false">IFERROR(__xludf.dummyfunction("if($T558&lt;&gt;"""",REGEXEXTRACT($T558, M$1&amp;""[\w &amp;]*, (\d+\.\d+)""),"""")
"),"")</f>
        <v/>
      </c>
      <c r="N558" s="3" t="str">
        <f aca="false">IFERROR(__xludf.dummyfunction("if($T558&lt;&gt;"""",REGEXEXTRACT(SUBSTITUTE ($T558,N$1&amp;"" CE"",""""), N$1&amp;""[\w &amp;]*, (\d+\.\d+)""),"""")
"),"")</f>
        <v/>
      </c>
      <c r="O558" s="3" t="str">
        <f aca="false">IFERROR(__xludf.dummyfunction("if($T558&lt;&gt;"""",REGEXEXTRACT($T558, O$1&amp;""[\w &amp;]*, (\d+\.\d+)""),"""")
"),"")</f>
        <v/>
      </c>
      <c r="P558" s="2"/>
      <c r="Q558" s="2"/>
      <c r="R558" s="2"/>
      <c r="S558" s="2"/>
      <c r="T558" s="5"/>
      <c r="U558" s="5"/>
    </row>
    <row r="559" customFormat="false" ht="15.75" hidden="false" customHeight="false" outlineLevel="0" collapsed="false">
      <c r="A559" s="4"/>
      <c r="B559" s="2"/>
      <c r="C559" s="2"/>
      <c r="D559" s="2"/>
      <c r="E559" s="2"/>
      <c r="F559" s="3" t="str">
        <f aca="false">IFERROR(__xludf.dummyfunction("if($T559&lt;&gt;"""",REGEXEXTRACT(SUBSTITUTE ($T559,F$1&amp;"" CE"",""""), F$1&amp;""[\w &amp;]*, (\d+\.\d+)""),"""")
"),"")</f>
        <v/>
      </c>
      <c r="G559" s="3" t="str">
        <f aca="false">IFERROR(__xludf.dummyfunction("if($T559&lt;&gt;"""",REGEXEXTRACT($T559, G$1&amp;""[\w &amp;]*, (\d+\.\d+)""),"""")
"),"")</f>
        <v/>
      </c>
      <c r="H559" s="3"/>
      <c r="I559" s="3" t="str">
        <f aca="false">IFERROR(__xludf.dummyfunction("if($T559&lt;&gt;"""",REGEXEXTRACT(SUBSTITUTE ($T559,I$1&amp;"" CE"",""""), I$1&amp;""[\w &amp;]*, (\d+\.\d+)""),"""")
"),"")</f>
        <v/>
      </c>
      <c r="J559" s="3" t="str">
        <f aca="false">IFERROR(__xludf.dummyfunction("if($T559&lt;&gt;"""",REGEXEXTRACT($T559, J$1&amp;""[\w &amp;]*, (\d+\.\d+)""),"""")
"),"")</f>
        <v/>
      </c>
      <c r="K559" s="3"/>
      <c r="L559" s="3" t="str">
        <f aca="false">IFERROR(__xludf.dummyfunction("if($T559&lt;&gt;"""",REGEXEXTRACT(SUBSTITUTE ($T559,L$1&amp;"" CE"",""""), L$1&amp;""[\w &amp;]*, (\d+\.\d+)""),"""")
"),"")</f>
        <v/>
      </c>
      <c r="M559" s="3" t="str">
        <f aca="false">IFERROR(__xludf.dummyfunction("if($T559&lt;&gt;"""",REGEXEXTRACT($T559, M$1&amp;""[\w &amp;]*, (\d+\.\d+)""),"""")
"),"")</f>
        <v/>
      </c>
      <c r="N559" s="3" t="str">
        <f aca="false">IFERROR(__xludf.dummyfunction("if($T559&lt;&gt;"""",REGEXEXTRACT(SUBSTITUTE ($T559,N$1&amp;"" CE"",""""), N$1&amp;""[\w &amp;]*, (\d+\.\d+)""),"""")
"),"")</f>
        <v/>
      </c>
      <c r="O559" s="3" t="str">
        <f aca="false">IFERROR(__xludf.dummyfunction("if($T559&lt;&gt;"""",REGEXEXTRACT($T559, O$1&amp;""[\w &amp;]*, (\d+\.\d+)""),"""")
"),"")</f>
        <v/>
      </c>
      <c r="P559" s="2"/>
      <c r="Q559" s="2"/>
      <c r="R559" s="2"/>
      <c r="S559" s="2"/>
      <c r="T559" s="5"/>
      <c r="U559" s="5"/>
    </row>
    <row r="560" customFormat="false" ht="15.75" hidden="false" customHeight="false" outlineLevel="0" collapsed="false">
      <c r="A560" s="4"/>
      <c r="B560" s="2"/>
      <c r="C560" s="2"/>
      <c r="D560" s="2"/>
      <c r="E560" s="2"/>
      <c r="F560" s="3" t="str">
        <f aca="false">IFERROR(__xludf.dummyfunction("if($T560&lt;&gt;"""",REGEXEXTRACT(SUBSTITUTE ($T560,F$1&amp;"" CE"",""""), F$1&amp;""[\w &amp;]*, (\d+\.\d+)""),"""")
"),"")</f>
        <v/>
      </c>
      <c r="G560" s="3" t="str">
        <f aca="false">IFERROR(__xludf.dummyfunction("if($T560&lt;&gt;"""",REGEXEXTRACT($T560, G$1&amp;""[\w &amp;]*, (\d+\.\d+)""),"""")
"),"")</f>
        <v/>
      </c>
      <c r="H560" s="3"/>
      <c r="I560" s="3" t="str">
        <f aca="false">IFERROR(__xludf.dummyfunction("if($T560&lt;&gt;"""",REGEXEXTRACT(SUBSTITUTE ($T560,I$1&amp;"" CE"",""""), I$1&amp;""[\w &amp;]*, (\d+\.\d+)""),"""")
"),"")</f>
        <v/>
      </c>
      <c r="J560" s="3" t="str">
        <f aca="false">IFERROR(__xludf.dummyfunction("if($T560&lt;&gt;"""",REGEXEXTRACT($T560, J$1&amp;""[\w &amp;]*, (\d+\.\d+)""),"""")
"),"")</f>
        <v/>
      </c>
      <c r="K560" s="3"/>
      <c r="L560" s="3" t="str">
        <f aca="false">IFERROR(__xludf.dummyfunction("if($T560&lt;&gt;"""",REGEXEXTRACT(SUBSTITUTE ($T560,L$1&amp;"" CE"",""""), L$1&amp;""[\w &amp;]*, (\d+\.\d+)""),"""")
"),"")</f>
        <v/>
      </c>
      <c r="M560" s="3" t="str">
        <f aca="false">IFERROR(__xludf.dummyfunction("if($T560&lt;&gt;"""",REGEXEXTRACT($T560, M$1&amp;""[\w &amp;]*, (\d+\.\d+)""),"""")
"),"")</f>
        <v/>
      </c>
      <c r="N560" s="3" t="str">
        <f aca="false">IFERROR(__xludf.dummyfunction("if($T560&lt;&gt;"""",REGEXEXTRACT(SUBSTITUTE ($T560,N$1&amp;"" CE"",""""), N$1&amp;""[\w &amp;]*, (\d+\.\d+)""),"""")
"),"")</f>
        <v/>
      </c>
      <c r="O560" s="3" t="str">
        <f aca="false">IFERROR(__xludf.dummyfunction("if($T560&lt;&gt;"""",REGEXEXTRACT($T560, O$1&amp;""[\w &amp;]*, (\d+\.\d+)""),"""")
"),"")</f>
        <v/>
      </c>
      <c r="P560" s="2"/>
      <c r="Q560" s="2"/>
      <c r="R560" s="2"/>
      <c r="S560" s="2"/>
      <c r="T560" s="5"/>
      <c r="U560" s="5"/>
    </row>
    <row r="561" customFormat="false" ht="15.75" hidden="false" customHeight="false" outlineLevel="0" collapsed="false">
      <c r="A561" s="4"/>
      <c r="B561" s="2"/>
      <c r="C561" s="2"/>
      <c r="D561" s="2"/>
      <c r="E561" s="2"/>
      <c r="F561" s="3" t="str">
        <f aca="false">IFERROR(__xludf.dummyfunction("if($T561&lt;&gt;"""",REGEXEXTRACT(SUBSTITUTE ($T561,F$1&amp;"" CE"",""""), F$1&amp;""[\w &amp;]*, (\d+\.\d+)""),"""")
"),"")</f>
        <v/>
      </c>
      <c r="G561" s="3" t="str">
        <f aca="false">IFERROR(__xludf.dummyfunction("if($T561&lt;&gt;"""",REGEXEXTRACT($T561, G$1&amp;""[\w &amp;]*, (\d+\.\d+)""),"""")
"),"")</f>
        <v/>
      </c>
      <c r="H561" s="3"/>
      <c r="I561" s="3" t="str">
        <f aca="false">IFERROR(__xludf.dummyfunction("if($T561&lt;&gt;"""",REGEXEXTRACT(SUBSTITUTE ($T561,I$1&amp;"" CE"",""""), I$1&amp;""[\w &amp;]*, (\d+\.\d+)""),"""")
"),"")</f>
        <v/>
      </c>
      <c r="J561" s="3" t="str">
        <f aca="false">IFERROR(__xludf.dummyfunction("if($T561&lt;&gt;"""",REGEXEXTRACT($T561, J$1&amp;""[\w &amp;]*, (\d+\.\d+)""),"""")
"),"")</f>
        <v/>
      </c>
      <c r="K561" s="3"/>
      <c r="L561" s="3" t="str">
        <f aca="false">IFERROR(__xludf.dummyfunction("if($T561&lt;&gt;"""",REGEXEXTRACT(SUBSTITUTE ($T561,L$1&amp;"" CE"",""""), L$1&amp;""[\w &amp;]*, (\d+\.\d+)""),"""")
"),"")</f>
        <v/>
      </c>
      <c r="M561" s="3" t="str">
        <f aca="false">IFERROR(__xludf.dummyfunction("if($T561&lt;&gt;"""",REGEXEXTRACT($T561, M$1&amp;""[\w &amp;]*, (\d+\.\d+)""),"""")
"),"")</f>
        <v/>
      </c>
      <c r="N561" s="3" t="str">
        <f aca="false">IFERROR(__xludf.dummyfunction("if($T561&lt;&gt;"""",REGEXEXTRACT(SUBSTITUTE ($T561,N$1&amp;"" CE"",""""), N$1&amp;""[\w &amp;]*, (\d+\.\d+)""),"""")
"),"")</f>
        <v/>
      </c>
      <c r="O561" s="3" t="str">
        <f aca="false">IFERROR(__xludf.dummyfunction("if($T561&lt;&gt;"""",REGEXEXTRACT($T561, O$1&amp;""[\w &amp;]*, (\d+\.\d+)""),"""")
"),"")</f>
        <v/>
      </c>
      <c r="P561" s="2"/>
      <c r="Q561" s="2"/>
      <c r="R561" s="2"/>
      <c r="S561" s="2"/>
      <c r="T561" s="5"/>
      <c r="U561" s="5"/>
    </row>
    <row r="562" customFormat="false" ht="15.75" hidden="false" customHeight="false" outlineLevel="0" collapsed="false">
      <c r="A562" s="4"/>
      <c r="B562" s="2"/>
      <c r="C562" s="2"/>
      <c r="D562" s="2"/>
      <c r="E562" s="2"/>
      <c r="F562" s="3" t="str">
        <f aca="false">IFERROR(__xludf.dummyfunction("if($T562&lt;&gt;"""",REGEXEXTRACT(SUBSTITUTE ($T562,F$1&amp;"" CE"",""""), F$1&amp;""[\w &amp;]*, (\d+\.\d+)""),"""")
"),"")</f>
        <v/>
      </c>
      <c r="G562" s="3" t="str">
        <f aca="false">IFERROR(__xludf.dummyfunction("if($T562&lt;&gt;"""",REGEXEXTRACT($T562, G$1&amp;""[\w &amp;]*, (\d+\.\d+)""),"""")
"),"")</f>
        <v/>
      </c>
      <c r="H562" s="3"/>
      <c r="I562" s="3" t="str">
        <f aca="false">IFERROR(__xludf.dummyfunction("if($T562&lt;&gt;"""",REGEXEXTRACT(SUBSTITUTE ($T562,I$1&amp;"" CE"",""""), I$1&amp;""[\w &amp;]*, (\d+\.\d+)""),"""")
"),"")</f>
        <v/>
      </c>
      <c r="J562" s="3" t="str">
        <f aca="false">IFERROR(__xludf.dummyfunction("if($T562&lt;&gt;"""",REGEXEXTRACT($T562, J$1&amp;""[\w &amp;]*, (\d+\.\d+)""),"""")
"),"")</f>
        <v/>
      </c>
      <c r="K562" s="3"/>
      <c r="L562" s="3" t="str">
        <f aca="false">IFERROR(__xludf.dummyfunction("if($T562&lt;&gt;"""",REGEXEXTRACT(SUBSTITUTE ($T562,L$1&amp;"" CE"",""""), L$1&amp;""[\w &amp;]*, (\d+\.\d+)""),"""")
"),"")</f>
        <v/>
      </c>
      <c r="M562" s="3" t="str">
        <f aca="false">IFERROR(__xludf.dummyfunction("if($T562&lt;&gt;"""",REGEXEXTRACT($T562, M$1&amp;""[\w &amp;]*, (\d+\.\d+)""),"""")
"),"")</f>
        <v/>
      </c>
      <c r="N562" s="3" t="str">
        <f aca="false">IFERROR(__xludf.dummyfunction("if($T562&lt;&gt;"""",REGEXEXTRACT(SUBSTITUTE ($T562,N$1&amp;"" CE"",""""), N$1&amp;""[\w &amp;]*, (\d+\.\d+)""),"""")
"),"")</f>
        <v/>
      </c>
      <c r="O562" s="3" t="str">
        <f aca="false">IFERROR(__xludf.dummyfunction("if($T562&lt;&gt;"""",REGEXEXTRACT($T562, O$1&amp;""[\w &amp;]*, (\d+\.\d+)""),"""")
"),"")</f>
        <v/>
      </c>
      <c r="P562" s="2"/>
      <c r="Q562" s="2"/>
      <c r="R562" s="2"/>
      <c r="S562" s="2"/>
      <c r="T562" s="5"/>
      <c r="U562" s="5"/>
    </row>
    <row r="563" customFormat="false" ht="15.75" hidden="false" customHeight="false" outlineLevel="0" collapsed="false">
      <c r="A563" s="4"/>
      <c r="B563" s="2"/>
      <c r="C563" s="2"/>
      <c r="D563" s="2"/>
      <c r="E563" s="2"/>
      <c r="F563" s="3" t="str">
        <f aca="false">IFERROR(__xludf.dummyfunction("if($T563&lt;&gt;"""",REGEXEXTRACT(SUBSTITUTE ($T563,F$1&amp;"" CE"",""""), F$1&amp;""[\w &amp;]*, (\d+\.\d+)""),"""")
"),"")</f>
        <v/>
      </c>
      <c r="G563" s="3" t="str">
        <f aca="false">IFERROR(__xludf.dummyfunction("if($T563&lt;&gt;"""",REGEXEXTRACT($T563, G$1&amp;""[\w &amp;]*, (\d+\.\d+)""),"""")
"),"")</f>
        <v/>
      </c>
      <c r="H563" s="3"/>
      <c r="I563" s="3" t="str">
        <f aca="false">IFERROR(__xludf.dummyfunction("if($T563&lt;&gt;"""",REGEXEXTRACT(SUBSTITUTE ($T563,I$1&amp;"" CE"",""""), I$1&amp;""[\w &amp;]*, (\d+\.\d+)""),"""")
"),"")</f>
        <v/>
      </c>
      <c r="J563" s="3" t="str">
        <f aca="false">IFERROR(__xludf.dummyfunction("if($T563&lt;&gt;"""",REGEXEXTRACT($T563, J$1&amp;""[\w &amp;]*, (\d+\.\d+)""),"""")
"),"")</f>
        <v/>
      </c>
      <c r="K563" s="3"/>
      <c r="L563" s="3" t="str">
        <f aca="false">IFERROR(__xludf.dummyfunction("if($T563&lt;&gt;"""",REGEXEXTRACT(SUBSTITUTE ($T563,L$1&amp;"" CE"",""""), L$1&amp;""[\w &amp;]*, (\d+\.\d+)""),"""")
"),"")</f>
        <v/>
      </c>
      <c r="M563" s="3" t="str">
        <f aca="false">IFERROR(__xludf.dummyfunction("if($T563&lt;&gt;"""",REGEXEXTRACT($T563, M$1&amp;""[\w &amp;]*, (\d+\.\d+)""),"""")
"),"")</f>
        <v/>
      </c>
      <c r="N563" s="3" t="str">
        <f aca="false">IFERROR(__xludf.dummyfunction("if($T563&lt;&gt;"""",REGEXEXTRACT(SUBSTITUTE ($T563,N$1&amp;"" CE"",""""), N$1&amp;""[\w &amp;]*, (\d+\.\d+)""),"""")
"),"")</f>
        <v/>
      </c>
      <c r="O563" s="3" t="str">
        <f aca="false">IFERROR(__xludf.dummyfunction("if($T563&lt;&gt;"""",REGEXEXTRACT($T563, O$1&amp;""[\w &amp;]*, (\d+\.\d+)""),"""")
"),"")</f>
        <v/>
      </c>
      <c r="P563" s="2"/>
      <c r="Q563" s="2"/>
      <c r="R563" s="2"/>
      <c r="S563" s="2"/>
      <c r="T563" s="5"/>
      <c r="U563" s="5"/>
    </row>
    <row r="564" customFormat="false" ht="15.75" hidden="false" customHeight="false" outlineLevel="0" collapsed="false">
      <c r="A564" s="4"/>
      <c r="B564" s="2"/>
      <c r="C564" s="2"/>
      <c r="D564" s="2"/>
      <c r="E564" s="2"/>
      <c r="F564" s="3" t="str">
        <f aca="false">IFERROR(__xludf.dummyfunction("if($T564&lt;&gt;"""",REGEXEXTRACT(SUBSTITUTE ($T564,F$1&amp;"" CE"",""""), F$1&amp;""[\w &amp;]*, (\d+\.\d+)""),"""")
"),"")</f>
        <v/>
      </c>
      <c r="G564" s="3" t="str">
        <f aca="false">IFERROR(__xludf.dummyfunction("if($T564&lt;&gt;"""",REGEXEXTRACT($T564, G$1&amp;""[\w &amp;]*, (\d+\.\d+)""),"""")
"),"")</f>
        <v/>
      </c>
      <c r="H564" s="3"/>
      <c r="I564" s="3" t="str">
        <f aca="false">IFERROR(__xludf.dummyfunction("if($T564&lt;&gt;"""",REGEXEXTRACT(SUBSTITUTE ($T564,I$1&amp;"" CE"",""""), I$1&amp;""[\w &amp;]*, (\d+\.\d+)""),"""")
"),"")</f>
        <v/>
      </c>
      <c r="J564" s="3" t="str">
        <f aca="false">IFERROR(__xludf.dummyfunction("if($T564&lt;&gt;"""",REGEXEXTRACT($T564, J$1&amp;""[\w &amp;]*, (\d+\.\d+)""),"""")
"),"")</f>
        <v/>
      </c>
      <c r="K564" s="3"/>
      <c r="L564" s="3" t="str">
        <f aca="false">IFERROR(__xludf.dummyfunction("if($T564&lt;&gt;"""",REGEXEXTRACT(SUBSTITUTE ($T564,L$1&amp;"" CE"",""""), L$1&amp;""[\w &amp;]*, (\d+\.\d+)""),"""")
"),"")</f>
        <v/>
      </c>
      <c r="M564" s="3" t="str">
        <f aca="false">IFERROR(__xludf.dummyfunction("if($T564&lt;&gt;"""",REGEXEXTRACT($T564, M$1&amp;""[\w &amp;]*, (\d+\.\d+)""),"""")
"),"")</f>
        <v/>
      </c>
      <c r="N564" s="3" t="str">
        <f aca="false">IFERROR(__xludf.dummyfunction("if($T564&lt;&gt;"""",REGEXEXTRACT(SUBSTITUTE ($T564,N$1&amp;"" CE"",""""), N$1&amp;""[\w &amp;]*, (\d+\.\d+)""),"""")
"),"")</f>
        <v/>
      </c>
      <c r="O564" s="3" t="str">
        <f aca="false">IFERROR(__xludf.dummyfunction("if($T564&lt;&gt;"""",REGEXEXTRACT($T564, O$1&amp;""[\w &amp;]*, (\d+\.\d+)""),"""")
"),"")</f>
        <v/>
      </c>
      <c r="P564" s="2"/>
      <c r="Q564" s="2"/>
      <c r="R564" s="2"/>
      <c r="S564" s="2"/>
      <c r="T564" s="5"/>
      <c r="U564" s="5"/>
    </row>
    <row r="565" customFormat="false" ht="15.75" hidden="false" customHeight="false" outlineLevel="0" collapsed="false">
      <c r="A565" s="4"/>
      <c r="B565" s="2"/>
      <c r="C565" s="2"/>
      <c r="D565" s="2"/>
      <c r="E565" s="2"/>
      <c r="F565" s="3" t="str">
        <f aca="false">IFERROR(__xludf.dummyfunction("if($T565&lt;&gt;"""",REGEXEXTRACT(SUBSTITUTE ($T565,F$1&amp;"" CE"",""""), F$1&amp;""[\w &amp;]*, (\d+\.\d+)""),"""")
"),"")</f>
        <v/>
      </c>
      <c r="G565" s="3" t="str">
        <f aca="false">IFERROR(__xludf.dummyfunction("if($T565&lt;&gt;"""",REGEXEXTRACT($T565, G$1&amp;""[\w &amp;]*, (\d+\.\d+)""),"""")
"),"")</f>
        <v/>
      </c>
      <c r="H565" s="3"/>
      <c r="I565" s="3" t="str">
        <f aca="false">IFERROR(__xludf.dummyfunction("if($T565&lt;&gt;"""",REGEXEXTRACT(SUBSTITUTE ($T565,I$1&amp;"" CE"",""""), I$1&amp;""[\w &amp;]*, (\d+\.\d+)""),"""")
"),"")</f>
        <v/>
      </c>
      <c r="J565" s="3" t="str">
        <f aca="false">IFERROR(__xludf.dummyfunction("if($T565&lt;&gt;"""",REGEXEXTRACT($T565, J$1&amp;""[\w &amp;]*, (\d+\.\d+)""),"""")
"),"")</f>
        <v/>
      </c>
      <c r="K565" s="3"/>
      <c r="L565" s="3" t="str">
        <f aca="false">IFERROR(__xludf.dummyfunction("if($T565&lt;&gt;"""",REGEXEXTRACT(SUBSTITUTE ($T565,L$1&amp;"" CE"",""""), L$1&amp;""[\w &amp;]*, (\d+\.\d+)""),"""")
"),"")</f>
        <v/>
      </c>
      <c r="M565" s="3" t="str">
        <f aca="false">IFERROR(__xludf.dummyfunction("if($T565&lt;&gt;"""",REGEXEXTRACT($T565, M$1&amp;""[\w &amp;]*, (\d+\.\d+)""),"""")
"),"")</f>
        <v/>
      </c>
      <c r="N565" s="3" t="str">
        <f aca="false">IFERROR(__xludf.dummyfunction("if($T565&lt;&gt;"""",REGEXEXTRACT(SUBSTITUTE ($T565,N$1&amp;"" CE"",""""), N$1&amp;""[\w &amp;]*, (\d+\.\d+)""),"""")
"),"")</f>
        <v/>
      </c>
      <c r="O565" s="3" t="str">
        <f aca="false">IFERROR(__xludf.dummyfunction("if($T565&lt;&gt;"""",REGEXEXTRACT($T565, O$1&amp;""[\w &amp;]*, (\d+\.\d+)""),"""")
"),"")</f>
        <v/>
      </c>
      <c r="P565" s="2"/>
      <c r="Q565" s="2"/>
      <c r="R565" s="2"/>
      <c r="S565" s="2"/>
      <c r="T565" s="5"/>
      <c r="U565" s="5"/>
    </row>
    <row r="566" customFormat="false" ht="15.75" hidden="false" customHeight="false" outlineLevel="0" collapsed="false">
      <c r="A566" s="4"/>
      <c r="B566" s="2"/>
      <c r="C566" s="2"/>
      <c r="D566" s="2"/>
      <c r="E566" s="2"/>
      <c r="F566" s="3" t="str">
        <f aca="false">IFERROR(__xludf.dummyfunction("if($T566&lt;&gt;"""",REGEXEXTRACT(SUBSTITUTE ($T566,F$1&amp;"" CE"",""""), F$1&amp;""[\w &amp;]*, (\d+\.\d+)""),"""")
"),"")</f>
        <v/>
      </c>
      <c r="G566" s="3" t="str">
        <f aca="false">IFERROR(__xludf.dummyfunction("if($T566&lt;&gt;"""",REGEXEXTRACT($T566, G$1&amp;""[\w &amp;]*, (\d+\.\d+)""),"""")
"),"")</f>
        <v/>
      </c>
      <c r="H566" s="3"/>
      <c r="I566" s="3" t="str">
        <f aca="false">IFERROR(__xludf.dummyfunction("if($T566&lt;&gt;"""",REGEXEXTRACT(SUBSTITUTE ($T566,I$1&amp;"" CE"",""""), I$1&amp;""[\w &amp;]*, (\d+\.\d+)""),"""")
"),"")</f>
        <v/>
      </c>
      <c r="J566" s="3" t="str">
        <f aca="false">IFERROR(__xludf.dummyfunction("if($T566&lt;&gt;"""",REGEXEXTRACT($T566, J$1&amp;""[\w &amp;]*, (\d+\.\d+)""),"""")
"),"")</f>
        <v/>
      </c>
      <c r="K566" s="3"/>
      <c r="L566" s="3" t="str">
        <f aca="false">IFERROR(__xludf.dummyfunction("if($T566&lt;&gt;"""",REGEXEXTRACT(SUBSTITUTE ($T566,L$1&amp;"" CE"",""""), L$1&amp;""[\w &amp;]*, (\d+\.\d+)""),"""")
"),"")</f>
        <v/>
      </c>
      <c r="M566" s="3" t="str">
        <f aca="false">IFERROR(__xludf.dummyfunction("if($T566&lt;&gt;"""",REGEXEXTRACT($T566, M$1&amp;""[\w &amp;]*, (\d+\.\d+)""),"""")
"),"")</f>
        <v/>
      </c>
      <c r="N566" s="3" t="str">
        <f aca="false">IFERROR(__xludf.dummyfunction("if($T566&lt;&gt;"""",REGEXEXTRACT(SUBSTITUTE ($T566,N$1&amp;"" CE"",""""), N$1&amp;""[\w &amp;]*, (\d+\.\d+)""),"""")
"),"")</f>
        <v/>
      </c>
      <c r="O566" s="3" t="str">
        <f aca="false">IFERROR(__xludf.dummyfunction("if($T566&lt;&gt;"""",REGEXEXTRACT($T566, O$1&amp;""[\w &amp;]*, (\d+\.\d+)""),"""")
"),"")</f>
        <v/>
      </c>
      <c r="P566" s="2"/>
      <c r="Q566" s="2"/>
      <c r="R566" s="2"/>
      <c r="S566" s="2"/>
      <c r="T566" s="5"/>
      <c r="U566" s="5"/>
    </row>
    <row r="567" customFormat="false" ht="15.75" hidden="false" customHeight="false" outlineLevel="0" collapsed="false">
      <c r="A567" s="4"/>
      <c r="B567" s="2"/>
      <c r="C567" s="2"/>
      <c r="D567" s="2"/>
      <c r="E567" s="2"/>
      <c r="F567" s="3" t="str">
        <f aca="false">IFERROR(__xludf.dummyfunction("if($T567&lt;&gt;"""",REGEXEXTRACT(SUBSTITUTE ($T567,F$1&amp;"" CE"",""""), F$1&amp;""[\w &amp;]*, (\d+\.\d+)""),"""")
"),"")</f>
        <v/>
      </c>
      <c r="G567" s="3" t="str">
        <f aca="false">IFERROR(__xludf.dummyfunction("if($T567&lt;&gt;"""",REGEXEXTRACT($T567, G$1&amp;""[\w &amp;]*, (\d+\.\d+)""),"""")
"),"")</f>
        <v/>
      </c>
      <c r="H567" s="3"/>
      <c r="I567" s="3" t="str">
        <f aca="false">IFERROR(__xludf.dummyfunction("if($T567&lt;&gt;"""",REGEXEXTRACT(SUBSTITUTE ($T567,I$1&amp;"" CE"",""""), I$1&amp;""[\w &amp;]*, (\d+\.\d+)""),"""")
"),"")</f>
        <v/>
      </c>
      <c r="J567" s="3" t="str">
        <f aca="false">IFERROR(__xludf.dummyfunction("if($T567&lt;&gt;"""",REGEXEXTRACT($T567, J$1&amp;""[\w &amp;]*, (\d+\.\d+)""),"""")
"),"")</f>
        <v/>
      </c>
      <c r="K567" s="3"/>
      <c r="L567" s="3" t="str">
        <f aca="false">IFERROR(__xludf.dummyfunction("if($T567&lt;&gt;"""",REGEXEXTRACT(SUBSTITUTE ($T567,L$1&amp;"" CE"",""""), L$1&amp;""[\w &amp;]*, (\d+\.\d+)""),"""")
"),"")</f>
        <v/>
      </c>
      <c r="M567" s="3" t="str">
        <f aca="false">IFERROR(__xludf.dummyfunction("if($T567&lt;&gt;"""",REGEXEXTRACT($T567, M$1&amp;""[\w &amp;]*, (\d+\.\d+)""),"""")
"),"")</f>
        <v/>
      </c>
      <c r="N567" s="3" t="str">
        <f aca="false">IFERROR(__xludf.dummyfunction("if($T567&lt;&gt;"""",REGEXEXTRACT(SUBSTITUTE ($T567,N$1&amp;"" CE"",""""), N$1&amp;""[\w &amp;]*, (\d+\.\d+)""),"""")
"),"")</f>
        <v/>
      </c>
      <c r="O567" s="3" t="str">
        <f aca="false">IFERROR(__xludf.dummyfunction("if($T567&lt;&gt;"""",REGEXEXTRACT($T567, O$1&amp;""[\w &amp;]*, (\d+\.\d+)""),"""")
"),"")</f>
        <v/>
      </c>
      <c r="P567" s="2"/>
      <c r="Q567" s="2"/>
      <c r="R567" s="2"/>
      <c r="S567" s="2"/>
      <c r="T567" s="5"/>
      <c r="U567" s="5"/>
    </row>
    <row r="568" customFormat="false" ht="15.75" hidden="false" customHeight="false" outlineLevel="0" collapsed="false">
      <c r="A568" s="4"/>
      <c r="B568" s="2"/>
      <c r="C568" s="2"/>
      <c r="D568" s="2"/>
      <c r="E568" s="2"/>
      <c r="F568" s="3" t="str">
        <f aca="false">IFERROR(__xludf.dummyfunction("if($T568&lt;&gt;"""",REGEXEXTRACT(SUBSTITUTE ($T568,F$1&amp;"" CE"",""""), F$1&amp;""[\w &amp;]*, (\d+\.\d+)""),"""")
"),"")</f>
        <v/>
      </c>
      <c r="G568" s="3" t="str">
        <f aca="false">IFERROR(__xludf.dummyfunction("if($T568&lt;&gt;"""",REGEXEXTRACT($T568, G$1&amp;""[\w &amp;]*, (\d+\.\d+)""),"""")
"),"")</f>
        <v/>
      </c>
      <c r="H568" s="3"/>
      <c r="I568" s="3" t="str">
        <f aca="false">IFERROR(__xludf.dummyfunction("if($T568&lt;&gt;"""",REGEXEXTRACT(SUBSTITUTE ($T568,I$1&amp;"" CE"",""""), I$1&amp;""[\w &amp;]*, (\d+\.\d+)""),"""")
"),"")</f>
        <v/>
      </c>
      <c r="J568" s="3" t="str">
        <f aca="false">IFERROR(__xludf.dummyfunction("if($T568&lt;&gt;"""",REGEXEXTRACT($T568, J$1&amp;""[\w &amp;]*, (\d+\.\d+)""),"""")
"),"")</f>
        <v/>
      </c>
      <c r="K568" s="3"/>
      <c r="L568" s="3" t="str">
        <f aca="false">IFERROR(__xludf.dummyfunction("if($T568&lt;&gt;"""",REGEXEXTRACT(SUBSTITUTE ($T568,L$1&amp;"" CE"",""""), L$1&amp;""[\w &amp;]*, (\d+\.\d+)""),"""")
"),"")</f>
        <v/>
      </c>
      <c r="M568" s="3" t="str">
        <f aca="false">IFERROR(__xludf.dummyfunction("if($T568&lt;&gt;"""",REGEXEXTRACT($T568, M$1&amp;""[\w &amp;]*, (\d+\.\d+)""),"""")
"),"")</f>
        <v/>
      </c>
      <c r="N568" s="3" t="str">
        <f aca="false">IFERROR(__xludf.dummyfunction("if($T568&lt;&gt;"""",REGEXEXTRACT(SUBSTITUTE ($T568,N$1&amp;"" CE"",""""), N$1&amp;""[\w &amp;]*, (\d+\.\d+)""),"""")
"),"")</f>
        <v/>
      </c>
      <c r="O568" s="3" t="str">
        <f aca="false">IFERROR(__xludf.dummyfunction("if($T568&lt;&gt;"""",REGEXEXTRACT($T568, O$1&amp;""[\w &amp;]*, (\d+\.\d+)""),"""")
"),"")</f>
        <v/>
      </c>
      <c r="P568" s="2"/>
      <c r="Q568" s="2"/>
      <c r="R568" s="2"/>
      <c r="S568" s="2"/>
      <c r="T568" s="5"/>
      <c r="U568" s="5"/>
    </row>
    <row r="569" customFormat="false" ht="15.75" hidden="false" customHeight="false" outlineLevel="0" collapsed="false">
      <c r="A569" s="4"/>
      <c r="B569" s="2"/>
      <c r="C569" s="2"/>
      <c r="D569" s="2"/>
      <c r="E569" s="2"/>
      <c r="F569" s="3" t="str">
        <f aca="false">IFERROR(__xludf.dummyfunction("if($T569&lt;&gt;"""",REGEXEXTRACT(SUBSTITUTE ($T569,F$1&amp;"" CE"",""""), F$1&amp;""[\w &amp;]*, (\d+\.\d+)""),"""")
"),"")</f>
        <v/>
      </c>
      <c r="G569" s="3" t="str">
        <f aca="false">IFERROR(__xludf.dummyfunction("if($T569&lt;&gt;"""",REGEXEXTRACT($T569, G$1&amp;""[\w &amp;]*, (\d+\.\d+)""),"""")
"),"")</f>
        <v/>
      </c>
      <c r="H569" s="3"/>
      <c r="I569" s="3" t="str">
        <f aca="false">IFERROR(__xludf.dummyfunction("if($T569&lt;&gt;"""",REGEXEXTRACT(SUBSTITUTE ($T569,I$1&amp;"" CE"",""""), I$1&amp;""[\w &amp;]*, (\d+\.\d+)""),"""")
"),"")</f>
        <v/>
      </c>
      <c r="J569" s="3" t="str">
        <f aca="false">IFERROR(__xludf.dummyfunction("if($T569&lt;&gt;"""",REGEXEXTRACT($T569, J$1&amp;""[\w &amp;]*, (\d+\.\d+)""),"""")
"),"")</f>
        <v/>
      </c>
      <c r="K569" s="3"/>
      <c r="L569" s="3" t="str">
        <f aca="false">IFERROR(__xludf.dummyfunction("if($T569&lt;&gt;"""",REGEXEXTRACT(SUBSTITUTE ($T569,L$1&amp;"" CE"",""""), L$1&amp;""[\w &amp;]*, (\d+\.\d+)""),"""")
"),"")</f>
        <v/>
      </c>
      <c r="M569" s="3" t="str">
        <f aca="false">IFERROR(__xludf.dummyfunction("if($T569&lt;&gt;"""",REGEXEXTRACT($T569, M$1&amp;""[\w &amp;]*, (\d+\.\d+)""),"""")
"),"")</f>
        <v/>
      </c>
      <c r="N569" s="3" t="str">
        <f aca="false">IFERROR(__xludf.dummyfunction("if($T569&lt;&gt;"""",REGEXEXTRACT(SUBSTITUTE ($T569,N$1&amp;"" CE"",""""), N$1&amp;""[\w &amp;]*, (\d+\.\d+)""),"""")
"),"")</f>
        <v/>
      </c>
      <c r="O569" s="3" t="str">
        <f aca="false">IFERROR(__xludf.dummyfunction("if($T569&lt;&gt;"""",REGEXEXTRACT($T569, O$1&amp;""[\w &amp;]*, (\d+\.\d+)""),"""")
"),"")</f>
        <v/>
      </c>
      <c r="P569" s="2"/>
      <c r="Q569" s="2"/>
      <c r="R569" s="2"/>
      <c r="S569" s="2"/>
      <c r="T569" s="5"/>
      <c r="U569" s="5"/>
    </row>
    <row r="570" customFormat="false" ht="15.75" hidden="false" customHeight="false" outlineLevel="0" collapsed="false">
      <c r="A570" s="4"/>
      <c r="B570" s="2"/>
      <c r="C570" s="2"/>
      <c r="D570" s="2"/>
      <c r="E570" s="2"/>
      <c r="F570" s="3" t="str">
        <f aca="false">IFERROR(__xludf.dummyfunction("if($T570&lt;&gt;"""",REGEXEXTRACT(SUBSTITUTE ($T570,F$1&amp;"" CE"",""""), F$1&amp;""[\w &amp;]*, (\d+\.\d+)""),"""")
"),"")</f>
        <v/>
      </c>
      <c r="G570" s="3" t="str">
        <f aca="false">IFERROR(__xludf.dummyfunction("if($T570&lt;&gt;"""",REGEXEXTRACT($T570, G$1&amp;""[\w &amp;]*, (\d+\.\d+)""),"""")
"),"")</f>
        <v/>
      </c>
      <c r="H570" s="3"/>
      <c r="I570" s="3" t="str">
        <f aca="false">IFERROR(__xludf.dummyfunction("if($T570&lt;&gt;"""",REGEXEXTRACT(SUBSTITUTE ($T570,I$1&amp;"" CE"",""""), I$1&amp;""[\w &amp;]*, (\d+\.\d+)""),"""")
"),"")</f>
        <v/>
      </c>
      <c r="J570" s="3" t="str">
        <f aca="false">IFERROR(__xludf.dummyfunction("if($T570&lt;&gt;"""",REGEXEXTRACT($T570, J$1&amp;""[\w &amp;]*, (\d+\.\d+)""),"""")
"),"")</f>
        <v/>
      </c>
      <c r="K570" s="3"/>
      <c r="L570" s="3" t="str">
        <f aca="false">IFERROR(__xludf.dummyfunction("if($T570&lt;&gt;"""",REGEXEXTRACT(SUBSTITUTE ($T570,L$1&amp;"" CE"",""""), L$1&amp;""[\w &amp;]*, (\d+\.\d+)""),"""")
"),"")</f>
        <v/>
      </c>
      <c r="M570" s="3" t="str">
        <f aca="false">IFERROR(__xludf.dummyfunction("if($T570&lt;&gt;"""",REGEXEXTRACT($T570, M$1&amp;""[\w &amp;]*, (\d+\.\d+)""),"""")
"),"")</f>
        <v/>
      </c>
      <c r="N570" s="3" t="str">
        <f aca="false">IFERROR(__xludf.dummyfunction("if($T570&lt;&gt;"""",REGEXEXTRACT(SUBSTITUTE ($T570,N$1&amp;"" CE"",""""), N$1&amp;""[\w &amp;]*, (\d+\.\d+)""),"""")
"),"")</f>
        <v/>
      </c>
      <c r="O570" s="3" t="str">
        <f aca="false">IFERROR(__xludf.dummyfunction("if($T570&lt;&gt;"""",REGEXEXTRACT($T570, O$1&amp;""[\w &amp;]*, (\d+\.\d+)""),"""")
"),"")</f>
        <v/>
      </c>
      <c r="P570" s="2"/>
      <c r="Q570" s="2"/>
      <c r="R570" s="2"/>
      <c r="S570" s="2"/>
      <c r="T570" s="5"/>
      <c r="U570" s="5"/>
    </row>
    <row r="571" customFormat="false" ht="15.75" hidden="false" customHeight="false" outlineLevel="0" collapsed="false">
      <c r="A571" s="4"/>
      <c r="B571" s="2"/>
      <c r="C571" s="2"/>
      <c r="D571" s="2"/>
      <c r="E571" s="2"/>
      <c r="F571" s="3" t="str">
        <f aca="false">IFERROR(__xludf.dummyfunction("if($T571&lt;&gt;"""",REGEXEXTRACT(SUBSTITUTE ($T571,F$1&amp;"" CE"",""""), F$1&amp;""[\w &amp;]*, (\d+\.\d+)""),"""")
"),"")</f>
        <v/>
      </c>
      <c r="G571" s="3" t="str">
        <f aca="false">IFERROR(__xludf.dummyfunction("if($T571&lt;&gt;"""",REGEXEXTRACT($T571, G$1&amp;""[\w &amp;]*, (\d+\.\d+)""),"""")
"),"")</f>
        <v/>
      </c>
      <c r="H571" s="3"/>
      <c r="I571" s="3" t="str">
        <f aca="false">IFERROR(__xludf.dummyfunction("if($T571&lt;&gt;"""",REGEXEXTRACT(SUBSTITUTE ($T571,I$1&amp;"" CE"",""""), I$1&amp;""[\w &amp;]*, (\d+\.\d+)""),"""")
"),"")</f>
        <v/>
      </c>
      <c r="J571" s="3" t="str">
        <f aca="false">IFERROR(__xludf.dummyfunction("if($T571&lt;&gt;"""",REGEXEXTRACT($T571, J$1&amp;""[\w &amp;]*, (\d+\.\d+)""),"""")
"),"")</f>
        <v/>
      </c>
      <c r="K571" s="3"/>
      <c r="L571" s="3" t="str">
        <f aca="false">IFERROR(__xludf.dummyfunction("if($T571&lt;&gt;"""",REGEXEXTRACT(SUBSTITUTE ($T571,L$1&amp;"" CE"",""""), L$1&amp;""[\w &amp;]*, (\d+\.\d+)""),"""")
"),"")</f>
        <v/>
      </c>
      <c r="M571" s="3" t="str">
        <f aca="false">IFERROR(__xludf.dummyfunction("if($T571&lt;&gt;"""",REGEXEXTRACT($T571, M$1&amp;""[\w &amp;]*, (\d+\.\d+)""),"""")
"),"")</f>
        <v/>
      </c>
      <c r="N571" s="3" t="str">
        <f aca="false">IFERROR(__xludf.dummyfunction("if($T571&lt;&gt;"""",REGEXEXTRACT(SUBSTITUTE ($T571,N$1&amp;"" CE"",""""), N$1&amp;""[\w &amp;]*, (\d+\.\d+)""),"""")
"),"")</f>
        <v/>
      </c>
      <c r="O571" s="3" t="str">
        <f aca="false">IFERROR(__xludf.dummyfunction("if($T571&lt;&gt;"""",REGEXEXTRACT($T571, O$1&amp;""[\w &amp;]*, (\d+\.\d+)""),"""")
"),"")</f>
        <v/>
      </c>
      <c r="P571" s="2"/>
      <c r="Q571" s="2"/>
      <c r="R571" s="2"/>
      <c r="S571" s="2"/>
      <c r="T571" s="5"/>
      <c r="U571" s="5"/>
    </row>
    <row r="572" customFormat="false" ht="15.75" hidden="false" customHeight="false" outlineLevel="0" collapsed="false">
      <c r="A572" s="4"/>
      <c r="B572" s="2"/>
      <c r="C572" s="2"/>
      <c r="D572" s="2"/>
      <c r="E572" s="2"/>
      <c r="F572" s="3" t="str">
        <f aca="false">IFERROR(__xludf.dummyfunction("if($T572&lt;&gt;"""",REGEXEXTRACT(SUBSTITUTE ($T572,F$1&amp;"" CE"",""""), F$1&amp;""[\w &amp;]*, (\d+\.\d+)""),"""")
"),"")</f>
        <v/>
      </c>
      <c r="G572" s="3" t="str">
        <f aca="false">IFERROR(__xludf.dummyfunction("if($T572&lt;&gt;"""",REGEXEXTRACT($T572, G$1&amp;""[\w &amp;]*, (\d+\.\d+)""),"""")
"),"")</f>
        <v/>
      </c>
      <c r="H572" s="3"/>
      <c r="I572" s="3" t="str">
        <f aca="false">IFERROR(__xludf.dummyfunction("if($T572&lt;&gt;"""",REGEXEXTRACT(SUBSTITUTE ($T572,I$1&amp;"" CE"",""""), I$1&amp;""[\w &amp;]*, (\d+\.\d+)""),"""")
"),"")</f>
        <v/>
      </c>
      <c r="J572" s="3" t="str">
        <f aca="false">IFERROR(__xludf.dummyfunction("if($T572&lt;&gt;"""",REGEXEXTRACT($T572, J$1&amp;""[\w &amp;]*, (\d+\.\d+)""),"""")
"),"")</f>
        <v/>
      </c>
      <c r="K572" s="3"/>
      <c r="L572" s="3" t="str">
        <f aca="false">IFERROR(__xludf.dummyfunction("if($T572&lt;&gt;"""",REGEXEXTRACT(SUBSTITUTE ($T572,L$1&amp;"" CE"",""""), L$1&amp;""[\w &amp;]*, (\d+\.\d+)""),"""")
"),"")</f>
        <v/>
      </c>
      <c r="M572" s="3" t="str">
        <f aca="false">IFERROR(__xludf.dummyfunction("if($T572&lt;&gt;"""",REGEXEXTRACT($T572, M$1&amp;""[\w &amp;]*, (\d+\.\d+)""),"""")
"),"")</f>
        <v/>
      </c>
      <c r="N572" s="3" t="str">
        <f aca="false">IFERROR(__xludf.dummyfunction("if($T572&lt;&gt;"""",REGEXEXTRACT(SUBSTITUTE ($T572,N$1&amp;"" CE"",""""), N$1&amp;""[\w &amp;]*, (\d+\.\d+)""),"""")
"),"")</f>
        <v/>
      </c>
      <c r="O572" s="3" t="str">
        <f aca="false">IFERROR(__xludf.dummyfunction("if($T572&lt;&gt;"""",REGEXEXTRACT($T572, O$1&amp;""[\w &amp;]*, (\d+\.\d+)""),"""")
"),"")</f>
        <v/>
      </c>
      <c r="P572" s="2"/>
      <c r="Q572" s="2"/>
      <c r="R572" s="2"/>
      <c r="S572" s="2"/>
      <c r="T572" s="5"/>
      <c r="U572" s="5"/>
    </row>
    <row r="573" customFormat="false" ht="15.75" hidden="false" customHeight="false" outlineLevel="0" collapsed="false">
      <c r="A573" s="4"/>
      <c r="B573" s="2"/>
      <c r="C573" s="2"/>
      <c r="D573" s="2"/>
      <c r="E573" s="2"/>
      <c r="F573" s="3" t="str">
        <f aca="false">IFERROR(__xludf.dummyfunction("if($T573&lt;&gt;"""",REGEXEXTRACT(SUBSTITUTE ($T573,F$1&amp;"" CE"",""""), F$1&amp;""[\w &amp;]*, (\d+\.\d+)""),"""")
"),"")</f>
        <v/>
      </c>
      <c r="G573" s="3" t="str">
        <f aca="false">IFERROR(__xludf.dummyfunction("if($T573&lt;&gt;"""",REGEXEXTRACT($T573, G$1&amp;""[\w &amp;]*, (\d+\.\d+)""),"""")
"),"")</f>
        <v/>
      </c>
      <c r="H573" s="3"/>
      <c r="I573" s="3" t="str">
        <f aca="false">IFERROR(__xludf.dummyfunction("if($T573&lt;&gt;"""",REGEXEXTRACT(SUBSTITUTE ($T573,I$1&amp;"" CE"",""""), I$1&amp;""[\w &amp;]*, (\d+\.\d+)""),"""")
"),"")</f>
        <v/>
      </c>
      <c r="J573" s="3" t="str">
        <f aca="false">IFERROR(__xludf.dummyfunction("if($T573&lt;&gt;"""",REGEXEXTRACT($T573, J$1&amp;""[\w &amp;]*, (\d+\.\d+)""),"""")
"),"")</f>
        <v/>
      </c>
      <c r="K573" s="3"/>
      <c r="L573" s="3" t="str">
        <f aca="false">IFERROR(__xludf.dummyfunction("if($T573&lt;&gt;"""",REGEXEXTRACT(SUBSTITUTE ($T573,L$1&amp;"" CE"",""""), L$1&amp;""[\w &amp;]*, (\d+\.\d+)""),"""")
"),"")</f>
        <v/>
      </c>
      <c r="M573" s="3" t="str">
        <f aca="false">IFERROR(__xludf.dummyfunction("if($T573&lt;&gt;"""",REGEXEXTRACT($T573, M$1&amp;""[\w &amp;]*, (\d+\.\d+)""),"""")
"),"")</f>
        <v/>
      </c>
      <c r="N573" s="3" t="str">
        <f aca="false">IFERROR(__xludf.dummyfunction("if($T573&lt;&gt;"""",REGEXEXTRACT(SUBSTITUTE ($T573,N$1&amp;"" CE"",""""), N$1&amp;""[\w &amp;]*, (\d+\.\d+)""),"""")
"),"")</f>
        <v/>
      </c>
      <c r="O573" s="3" t="str">
        <f aca="false">IFERROR(__xludf.dummyfunction("if($T573&lt;&gt;"""",REGEXEXTRACT($T573, O$1&amp;""[\w &amp;]*, (\d+\.\d+)""),"""")
"),"")</f>
        <v/>
      </c>
      <c r="P573" s="2"/>
      <c r="Q573" s="2"/>
      <c r="R573" s="2"/>
      <c r="S573" s="2"/>
      <c r="T573" s="5"/>
      <c r="U573" s="5"/>
    </row>
    <row r="574" customFormat="false" ht="15.75" hidden="false" customHeight="false" outlineLevel="0" collapsed="false">
      <c r="A574" s="4"/>
      <c r="B574" s="2"/>
      <c r="C574" s="2"/>
      <c r="D574" s="2"/>
      <c r="E574" s="2"/>
      <c r="F574" s="3" t="str">
        <f aca="false">IFERROR(__xludf.dummyfunction("if($T574&lt;&gt;"""",REGEXEXTRACT(SUBSTITUTE ($T574,F$1&amp;"" CE"",""""), F$1&amp;""[\w &amp;]*, (\d+\.\d+)""),"""")
"),"")</f>
        <v/>
      </c>
      <c r="G574" s="3" t="str">
        <f aca="false">IFERROR(__xludf.dummyfunction("if($T574&lt;&gt;"""",REGEXEXTRACT($T574, G$1&amp;""[\w &amp;]*, (\d+\.\d+)""),"""")
"),"")</f>
        <v/>
      </c>
      <c r="H574" s="3"/>
      <c r="I574" s="3" t="str">
        <f aca="false">IFERROR(__xludf.dummyfunction("if($T574&lt;&gt;"""",REGEXEXTRACT(SUBSTITUTE ($T574,I$1&amp;"" CE"",""""), I$1&amp;""[\w &amp;]*, (\d+\.\d+)""),"""")
"),"")</f>
        <v/>
      </c>
      <c r="J574" s="3" t="str">
        <f aca="false">IFERROR(__xludf.dummyfunction("if($T574&lt;&gt;"""",REGEXEXTRACT($T574, J$1&amp;""[\w &amp;]*, (\d+\.\d+)""),"""")
"),"")</f>
        <v/>
      </c>
      <c r="K574" s="3"/>
      <c r="L574" s="3" t="str">
        <f aca="false">IFERROR(__xludf.dummyfunction("if($T574&lt;&gt;"""",REGEXEXTRACT(SUBSTITUTE ($T574,L$1&amp;"" CE"",""""), L$1&amp;""[\w &amp;]*, (\d+\.\d+)""),"""")
"),"")</f>
        <v/>
      </c>
      <c r="M574" s="3" t="str">
        <f aca="false">IFERROR(__xludf.dummyfunction("if($T574&lt;&gt;"""",REGEXEXTRACT($T574, M$1&amp;""[\w &amp;]*, (\d+\.\d+)""),"""")
"),"")</f>
        <v/>
      </c>
      <c r="N574" s="3" t="str">
        <f aca="false">IFERROR(__xludf.dummyfunction("if($T574&lt;&gt;"""",REGEXEXTRACT(SUBSTITUTE ($T574,N$1&amp;"" CE"",""""), N$1&amp;""[\w &amp;]*, (\d+\.\d+)""),"""")
"),"")</f>
        <v/>
      </c>
      <c r="O574" s="3" t="str">
        <f aca="false">IFERROR(__xludf.dummyfunction("if($T574&lt;&gt;"""",REGEXEXTRACT($T574, O$1&amp;""[\w &amp;]*, (\d+\.\d+)""),"""")
"),"")</f>
        <v/>
      </c>
      <c r="P574" s="2"/>
      <c r="Q574" s="2"/>
      <c r="R574" s="2"/>
      <c r="S574" s="2"/>
      <c r="T574" s="5"/>
      <c r="U574" s="5"/>
    </row>
    <row r="575" customFormat="false" ht="15.75" hidden="false" customHeight="false" outlineLevel="0" collapsed="false">
      <c r="A575" s="4"/>
      <c r="B575" s="2"/>
      <c r="C575" s="2"/>
      <c r="D575" s="2"/>
      <c r="E575" s="2"/>
      <c r="F575" s="3" t="str">
        <f aca="false">IFERROR(__xludf.dummyfunction("if($T575&lt;&gt;"""",REGEXEXTRACT(SUBSTITUTE ($T575,F$1&amp;"" CE"",""""), F$1&amp;""[\w &amp;]*, (\d+\.\d+)""),"""")
"),"")</f>
        <v/>
      </c>
      <c r="G575" s="3" t="str">
        <f aca="false">IFERROR(__xludf.dummyfunction("if($T575&lt;&gt;"""",REGEXEXTRACT($T575, G$1&amp;""[\w &amp;]*, (\d+\.\d+)""),"""")
"),"")</f>
        <v/>
      </c>
      <c r="H575" s="3"/>
      <c r="I575" s="3" t="str">
        <f aca="false">IFERROR(__xludf.dummyfunction("if($T575&lt;&gt;"""",REGEXEXTRACT(SUBSTITUTE ($T575,I$1&amp;"" CE"",""""), I$1&amp;""[\w &amp;]*, (\d+\.\d+)""),"""")
"),"")</f>
        <v/>
      </c>
      <c r="J575" s="3" t="str">
        <f aca="false">IFERROR(__xludf.dummyfunction("if($T575&lt;&gt;"""",REGEXEXTRACT($T575, J$1&amp;""[\w &amp;]*, (\d+\.\d+)""),"""")
"),"")</f>
        <v/>
      </c>
      <c r="K575" s="3"/>
      <c r="L575" s="3" t="str">
        <f aca="false">IFERROR(__xludf.dummyfunction("if($T575&lt;&gt;"""",REGEXEXTRACT(SUBSTITUTE ($T575,L$1&amp;"" CE"",""""), L$1&amp;""[\w &amp;]*, (\d+\.\d+)""),"""")
"),"")</f>
        <v/>
      </c>
      <c r="M575" s="3" t="str">
        <f aca="false">IFERROR(__xludf.dummyfunction("if($T575&lt;&gt;"""",REGEXEXTRACT($T575, M$1&amp;""[\w &amp;]*, (\d+\.\d+)""),"""")
"),"")</f>
        <v/>
      </c>
      <c r="N575" s="3" t="str">
        <f aca="false">IFERROR(__xludf.dummyfunction("if($T575&lt;&gt;"""",REGEXEXTRACT(SUBSTITUTE ($T575,N$1&amp;"" CE"",""""), N$1&amp;""[\w &amp;]*, (\d+\.\d+)""),"""")
"),"")</f>
        <v/>
      </c>
      <c r="O575" s="3" t="str">
        <f aca="false">IFERROR(__xludf.dummyfunction("if($T575&lt;&gt;"""",REGEXEXTRACT($T575, O$1&amp;""[\w &amp;]*, (\d+\.\d+)""),"""")
"),"")</f>
        <v/>
      </c>
      <c r="P575" s="2"/>
      <c r="Q575" s="2"/>
      <c r="R575" s="2"/>
      <c r="S575" s="2"/>
      <c r="T575" s="5"/>
      <c r="U575" s="5"/>
    </row>
    <row r="576" customFormat="false" ht="15.75" hidden="false" customHeight="false" outlineLevel="0" collapsed="false">
      <c r="A576" s="4"/>
      <c r="B576" s="2"/>
      <c r="C576" s="2"/>
      <c r="D576" s="2"/>
      <c r="E576" s="2"/>
      <c r="F576" s="3" t="str">
        <f aca="false">IFERROR(__xludf.dummyfunction("if($T576&lt;&gt;"""",REGEXEXTRACT(SUBSTITUTE ($T576,F$1&amp;"" CE"",""""), F$1&amp;""[\w &amp;]*, (\d+\.\d+)""),"""")
"),"")</f>
        <v/>
      </c>
      <c r="G576" s="3" t="str">
        <f aca="false">IFERROR(__xludf.dummyfunction("if($T576&lt;&gt;"""",REGEXEXTRACT($T576, G$1&amp;""[\w &amp;]*, (\d+\.\d+)""),"""")
"),"")</f>
        <v/>
      </c>
      <c r="H576" s="3"/>
      <c r="I576" s="3" t="str">
        <f aca="false">IFERROR(__xludf.dummyfunction("if($T576&lt;&gt;"""",REGEXEXTRACT(SUBSTITUTE ($T576,I$1&amp;"" CE"",""""), I$1&amp;""[\w &amp;]*, (\d+\.\d+)""),"""")
"),"")</f>
        <v/>
      </c>
      <c r="J576" s="3" t="str">
        <f aca="false">IFERROR(__xludf.dummyfunction("if($T576&lt;&gt;"""",REGEXEXTRACT($T576, J$1&amp;""[\w &amp;]*, (\d+\.\d+)""),"""")
"),"")</f>
        <v/>
      </c>
      <c r="K576" s="3"/>
      <c r="L576" s="3" t="str">
        <f aca="false">IFERROR(__xludf.dummyfunction("if($T576&lt;&gt;"""",REGEXEXTRACT(SUBSTITUTE ($T576,L$1&amp;"" CE"",""""), L$1&amp;""[\w &amp;]*, (\d+\.\d+)""),"""")
"),"")</f>
        <v/>
      </c>
      <c r="M576" s="3" t="str">
        <f aca="false">IFERROR(__xludf.dummyfunction("if($T576&lt;&gt;"""",REGEXEXTRACT($T576, M$1&amp;""[\w &amp;]*, (\d+\.\d+)""),"""")
"),"")</f>
        <v/>
      </c>
      <c r="N576" s="3" t="str">
        <f aca="false">IFERROR(__xludf.dummyfunction("if($T576&lt;&gt;"""",REGEXEXTRACT(SUBSTITUTE ($T576,N$1&amp;"" CE"",""""), N$1&amp;""[\w &amp;]*, (\d+\.\d+)""),"""")
"),"")</f>
        <v/>
      </c>
      <c r="O576" s="3" t="str">
        <f aca="false">IFERROR(__xludf.dummyfunction("if($T576&lt;&gt;"""",REGEXEXTRACT($T576, O$1&amp;""[\w &amp;]*, (\d+\.\d+)""),"""")
"),"")</f>
        <v/>
      </c>
      <c r="P576" s="2"/>
      <c r="Q576" s="2"/>
      <c r="R576" s="2"/>
      <c r="S576" s="2"/>
      <c r="T576" s="5"/>
      <c r="U576" s="5"/>
    </row>
    <row r="577" customFormat="false" ht="15.75" hidden="false" customHeight="false" outlineLevel="0" collapsed="false">
      <c r="A577" s="4"/>
      <c r="B577" s="2"/>
      <c r="C577" s="2"/>
      <c r="D577" s="2"/>
      <c r="E577" s="2"/>
      <c r="F577" s="3" t="str">
        <f aca="false">IFERROR(__xludf.dummyfunction("if($T577&lt;&gt;"""",REGEXEXTRACT(SUBSTITUTE ($T577,F$1&amp;"" CE"",""""), F$1&amp;""[\w &amp;]*, (\d+\.\d+)""),"""")
"),"")</f>
        <v/>
      </c>
      <c r="G577" s="3" t="str">
        <f aca="false">IFERROR(__xludf.dummyfunction("if($T577&lt;&gt;"""",REGEXEXTRACT($T577, G$1&amp;""[\w &amp;]*, (\d+\.\d+)""),"""")
"),"")</f>
        <v/>
      </c>
      <c r="H577" s="3"/>
      <c r="I577" s="3" t="str">
        <f aca="false">IFERROR(__xludf.dummyfunction("if($T577&lt;&gt;"""",REGEXEXTRACT(SUBSTITUTE ($T577,I$1&amp;"" CE"",""""), I$1&amp;""[\w &amp;]*, (\d+\.\d+)""),"""")
"),"")</f>
        <v/>
      </c>
      <c r="J577" s="3" t="str">
        <f aca="false">IFERROR(__xludf.dummyfunction("if($T577&lt;&gt;"""",REGEXEXTRACT($T577, J$1&amp;""[\w &amp;]*, (\d+\.\d+)""),"""")
"),"")</f>
        <v/>
      </c>
      <c r="K577" s="3"/>
      <c r="L577" s="3" t="str">
        <f aca="false">IFERROR(__xludf.dummyfunction("if($T577&lt;&gt;"""",REGEXEXTRACT(SUBSTITUTE ($T577,L$1&amp;"" CE"",""""), L$1&amp;""[\w &amp;]*, (\d+\.\d+)""),"""")
"),"")</f>
        <v/>
      </c>
      <c r="M577" s="3" t="str">
        <f aca="false">IFERROR(__xludf.dummyfunction("if($T577&lt;&gt;"""",REGEXEXTRACT($T577, M$1&amp;""[\w &amp;]*, (\d+\.\d+)""),"""")
"),"")</f>
        <v/>
      </c>
      <c r="N577" s="3" t="str">
        <f aca="false">IFERROR(__xludf.dummyfunction("if($T577&lt;&gt;"""",REGEXEXTRACT(SUBSTITUTE ($T577,N$1&amp;"" CE"",""""), N$1&amp;""[\w &amp;]*, (\d+\.\d+)""),"""")
"),"")</f>
        <v/>
      </c>
      <c r="O577" s="3" t="str">
        <f aca="false">IFERROR(__xludf.dummyfunction("if($T577&lt;&gt;"""",REGEXEXTRACT($T577, O$1&amp;""[\w &amp;]*, (\d+\.\d+)""),"""")
"),"")</f>
        <v/>
      </c>
      <c r="P577" s="2"/>
      <c r="Q577" s="2"/>
      <c r="R577" s="2"/>
      <c r="S577" s="2"/>
      <c r="T577" s="5"/>
      <c r="U577" s="5"/>
    </row>
    <row r="578" customFormat="false" ht="15.75" hidden="false" customHeight="false" outlineLevel="0" collapsed="false">
      <c r="A578" s="4"/>
      <c r="B578" s="2"/>
      <c r="C578" s="2"/>
      <c r="D578" s="2"/>
      <c r="E578" s="2"/>
      <c r="F578" s="3" t="str">
        <f aca="false">IFERROR(__xludf.dummyfunction("if($T578&lt;&gt;"""",REGEXEXTRACT(SUBSTITUTE ($T578,F$1&amp;"" CE"",""""), F$1&amp;""[\w &amp;]*, (\d+\.\d+)""),"""")
"),"")</f>
        <v/>
      </c>
      <c r="G578" s="3" t="str">
        <f aca="false">IFERROR(__xludf.dummyfunction("if($T578&lt;&gt;"""",REGEXEXTRACT($T578, G$1&amp;""[\w &amp;]*, (\d+\.\d+)""),"""")
"),"")</f>
        <v/>
      </c>
      <c r="H578" s="3"/>
      <c r="I578" s="3" t="str">
        <f aca="false">IFERROR(__xludf.dummyfunction("if($T578&lt;&gt;"""",REGEXEXTRACT(SUBSTITUTE ($T578,I$1&amp;"" CE"",""""), I$1&amp;""[\w &amp;]*, (\d+\.\d+)""),"""")
"),"")</f>
        <v/>
      </c>
      <c r="J578" s="3" t="str">
        <f aca="false">IFERROR(__xludf.dummyfunction("if($T578&lt;&gt;"""",REGEXEXTRACT($T578, J$1&amp;""[\w &amp;]*, (\d+\.\d+)""),"""")
"),"")</f>
        <v/>
      </c>
      <c r="K578" s="3"/>
      <c r="L578" s="3" t="str">
        <f aca="false">IFERROR(__xludf.dummyfunction("if($T578&lt;&gt;"""",REGEXEXTRACT(SUBSTITUTE ($T578,L$1&amp;"" CE"",""""), L$1&amp;""[\w &amp;]*, (\d+\.\d+)""),"""")
"),"")</f>
        <v/>
      </c>
      <c r="M578" s="3" t="str">
        <f aca="false">IFERROR(__xludf.dummyfunction("if($T578&lt;&gt;"""",REGEXEXTRACT($T578, M$1&amp;""[\w &amp;]*, (\d+\.\d+)""),"""")
"),"")</f>
        <v/>
      </c>
      <c r="N578" s="3" t="str">
        <f aca="false">IFERROR(__xludf.dummyfunction("if($T578&lt;&gt;"""",REGEXEXTRACT(SUBSTITUTE ($T578,N$1&amp;"" CE"",""""), N$1&amp;""[\w &amp;]*, (\d+\.\d+)""),"""")
"),"")</f>
        <v/>
      </c>
      <c r="O578" s="3" t="str">
        <f aca="false">IFERROR(__xludf.dummyfunction("if($T578&lt;&gt;"""",REGEXEXTRACT($T578, O$1&amp;""[\w &amp;]*, (\d+\.\d+)""),"""")
"),"")</f>
        <v/>
      </c>
      <c r="P578" s="2"/>
      <c r="Q578" s="2"/>
      <c r="R578" s="2"/>
      <c r="S578" s="2"/>
      <c r="T578" s="5"/>
      <c r="U578" s="5"/>
    </row>
    <row r="579" customFormat="false" ht="15.75" hidden="false" customHeight="false" outlineLevel="0" collapsed="false">
      <c r="A579" s="4"/>
      <c r="B579" s="2"/>
      <c r="C579" s="2"/>
      <c r="D579" s="2"/>
      <c r="E579" s="2"/>
      <c r="F579" s="3" t="str">
        <f aca="false">IFERROR(__xludf.dummyfunction("if($T579&lt;&gt;"""",REGEXEXTRACT(SUBSTITUTE ($T579,F$1&amp;"" CE"",""""), F$1&amp;""[\w &amp;]*, (\d+\.\d+)""),"""")
"),"")</f>
        <v/>
      </c>
      <c r="G579" s="3" t="str">
        <f aca="false">IFERROR(__xludf.dummyfunction("if($T579&lt;&gt;"""",REGEXEXTRACT($T579, G$1&amp;""[\w &amp;]*, (\d+\.\d+)""),"""")
"),"")</f>
        <v/>
      </c>
      <c r="H579" s="3"/>
      <c r="I579" s="3" t="str">
        <f aca="false">IFERROR(__xludf.dummyfunction("if($T579&lt;&gt;"""",REGEXEXTRACT(SUBSTITUTE ($T579,I$1&amp;"" CE"",""""), I$1&amp;""[\w &amp;]*, (\d+\.\d+)""),"""")
"),"")</f>
        <v/>
      </c>
      <c r="J579" s="3" t="str">
        <f aca="false">IFERROR(__xludf.dummyfunction("if($T579&lt;&gt;"""",REGEXEXTRACT($T579, J$1&amp;""[\w &amp;]*, (\d+\.\d+)""),"""")
"),"")</f>
        <v/>
      </c>
      <c r="K579" s="3"/>
      <c r="L579" s="3" t="str">
        <f aca="false">IFERROR(__xludf.dummyfunction("if($T579&lt;&gt;"""",REGEXEXTRACT(SUBSTITUTE ($T579,L$1&amp;"" CE"",""""), L$1&amp;""[\w &amp;]*, (\d+\.\d+)""),"""")
"),"")</f>
        <v/>
      </c>
      <c r="M579" s="3" t="str">
        <f aca="false">IFERROR(__xludf.dummyfunction("if($T579&lt;&gt;"""",REGEXEXTRACT($T579, M$1&amp;""[\w &amp;]*, (\d+\.\d+)""),"""")
"),"")</f>
        <v/>
      </c>
      <c r="N579" s="3" t="str">
        <f aca="false">IFERROR(__xludf.dummyfunction("if($T579&lt;&gt;"""",REGEXEXTRACT(SUBSTITUTE ($T579,N$1&amp;"" CE"",""""), N$1&amp;""[\w &amp;]*, (\d+\.\d+)""),"""")
"),"")</f>
        <v/>
      </c>
      <c r="O579" s="3" t="str">
        <f aca="false">IFERROR(__xludf.dummyfunction("if($T579&lt;&gt;"""",REGEXEXTRACT($T579, O$1&amp;""[\w &amp;]*, (\d+\.\d+)""),"""")
"),"")</f>
        <v/>
      </c>
      <c r="P579" s="2"/>
      <c r="Q579" s="2"/>
      <c r="R579" s="2"/>
      <c r="S579" s="2"/>
      <c r="T579" s="5"/>
      <c r="U579" s="5"/>
    </row>
    <row r="580" customFormat="false" ht="15.75" hidden="false" customHeight="false" outlineLevel="0" collapsed="false">
      <c r="A580" s="4"/>
      <c r="B580" s="2"/>
      <c r="C580" s="2"/>
      <c r="D580" s="2"/>
      <c r="E580" s="2"/>
      <c r="F580" s="3" t="str">
        <f aca="false">IFERROR(__xludf.dummyfunction("if($T580&lt;&gt;"""",REGEXEXTRACT(SUBSTITUTE ($T580,F$1&amp;"" CE"",""""), F$1&amp;""[\w &amp;]*, (\d+\.\d+)""),"""")
"),"")</f>
        <v/>
      </c>
      <c r="G580" s="3" t="str">
        <f aca="false">IFERROR(__xludf.dummyfunction("if($T580&lt;&gt;"""",REGEXEXTRACT($T580, G$1&amp;""[\w &amp;]*, (\d+\.\d+)""),"""")
"),"")</f>
        <v/>
      </c>
      <c r="H580" s="3"/>
      <c r="I580" s="3" t="str">
        <f aca="false">IFERROR(__xludf.dummyfunction("if($T580&lt;&gt;"""",REGEXEXTRACT(SUBSTITUTE ($T580,I$1&amp;"" CE"",""""), I$1&amp;""[\w &amp;]*, (\d+\.\d+)""),"""")
"),"")</f>
        <v/>
      </c>
      <c r="J580" s="3" t="str">
        <f aca="false">IFERROR(__xludf.dummyfunction("if($T580&lt;&gt;"""",REGEXEXTRACT($T580, J$1&amp;""[\w &amp;]*, (\d+\.\d+)""),"""")
"),"")</f>
        <v/>
      </c>
      <c r="K580" s="3"/>
      <c r="L580" s="3" t="str">
        <f aca="false">IFERROR(__xludf.dummyfunction("if($T580&lt;&gt;"""",REGEXEXTRACT(SUBSTITUTE ($T580,L$1&amp;"" CE"",""""), L$1&amp;""[\w &amp;]*, (\d+\.\d+)""),"""")
"),"")</f>
        <v/>
      </c>
      <c r="M580" s="3" t="str">
        <f aca="false">IFERROR(__xludf.dummyfunction("if($T580&lt;&gt;"""",REGEXEXTRACT($T580, M$1&amp;""[\w &amp;]*, (\d+\.\d+)""),"""")
"),"")</f>
        <v/>
      </c>
      <c r="N580" s="3" t="str">
        <f aca="false">IFERROR(__xludf.dummyfunction("if($T580&lt;&gt;"""",REGEXEXTRACT(SUBSTITUTE ($T580,N$1&amp;"" CE"",""""), N$1&amp;""[\w &amp;]*, (\d+\.\d+)""),"""")
"),"")</f>
        <v/>
      </c>
      <c r="O580" s="3" t="str">
        <f aca="false">IFERROR(__xludf.dummyfunction("if($T580&lt;&gt;"""",REGEXEXTRACT($T580, O$1&amp;""[\w &amp;]*, (\d+\.\d+)""),"""")
"),"")</f>
        <v/>
      </c>
      <c r="P580" s="2"/>
      <c r="Q580" s="2"/>
      <c r="R580" s="2"/>
      <c r="S580" s="2"/>
      <c r="T580" s="5"/>
      <c r="U580" s="5"/>
    </row>
    <row r="581" customFormat="false" ht="15.75" hidden="false" customHeight="false" outlineLevel="0" collapsed="false">
      <c r="A581" s="4"/>
      <c r="B581" s="2"/>
      <c r="C581" s="2"/>
      <c r="D581" s="2"/>
      <c r="E581" s="2"/>
      <c r="F581" s="3" t="str">
        <f aca="false">IFERROR(__xludf.dummyfunction("if($T581&lt;&gt;"""",REGEXEXTRACT(SUBSTITUTE ($T581,F$1&amp;"" CE"",""""), F$1&amp;""[\w &amp;]*, (\d+\.\d+)""),"""")
"),"")</f>
        <v/>
      </c>
      <c r="G581" s="3" t="str">
        <f aca="false">IFERROR(__xludf.dummyfunction("if($T581&lt;&gt;"""",REGEXEXTRACT($T581, G$1&amp;""[\w &amp;]*, (\d+\.\d+)""),"""")
"),"")</f>
        <v/>
      </c>
      <c r="H581" s="3"/>
      <c r="I581" s="3" t="str">
        <f aca="false">IFERROR(__xludf.dummyfunction("if($T581&lt;&gt;"""",REGEXEXTRACT(SUBSTITUTE ($T581,I$1&amp;"" CE"",""""), I$1&amp;""[\w &amp;]*, (\d+\.\d+)""),"""")
"),"")</f>
        <v/>
      </c>
      <c r="J581" s="3" t="str">
        <f aca="false">IFERROR(__xludf.dummyfunction("if($T581&lt;&gt;"""",REGEXEXTRACT($T581, J$1&amp;""[\w &amp;]*, (\d+\.\d+)""),"""")
"),"")</f>
        <v/>
      </c>
      <c r="K581" s="3"/>
      <c r="L581" s="3" t="str">
        <f aca="false">IFERROR(__xludf.dummyfunction("if($T581&lt;&gt;"""",REGEXEXTRACT(SUBSTITUTE ($T581,L$1&amp;"" CE"",""""), L$1&amp;""[\w &amp;]*, (\d+\.\d+)""),"""")
"),"")</f>
        <v/>
      </c>
      <c r="M581" s="3" t="str">
        <f aca="false">IFERROR(__xludf.dummyfunction("if($T581&lt;&gt;"""",REGEXEXTRACT($T581, M$1&amp;""[\w &amp;]*, (\d+\.\d+)""),"""")
"),"")</f>
        <v/>
      </c>
      <c r="N581" s="3" t="str">
        <f aca="false">IFERROR(__xludf.dummyfunction("if($T581&lt;&gt;"""",REGEXEXTRACT(SUBSTITUTE ($T581,N$1&amp;"" CE"",""""), N$1&amp;""[\w &amp;]*, (\d+\.\d+)""),"""")
"),"")</f>
        <v/>
      </c>
      <c r="O581" s="3" t="str">
        <f aca="false">IFERROR(__xludf.dummyfunction("if($T581&lt;&gt;"""",REGEXEXTRACT($T581, O$1&amp;""[\w &amp;]*, (\d+\.\d+)""),"""")
"),"")</f>
        <v/>
      </c>
      <c r="P581" s="2"/>
      <c r="Q581" s="2"/>
      <c r="R581" s="2"/>
      <c r="S581" s="2"/>
      <c r="T581" s="5"/>
      <c r="U581" s="5"/>
    </row>
    <row r="582" customFormat="false" ht="15.75" hidden="false" customHeight="false" outlineLevel="0" collapsed="false">
      <c r="A582" s="4"/>
      <c r="B582" s="2"/>
      <c r="C582" s="2"/>
      <c r="D582" s="2"/>
      <c r="E582" s="2"/>
      <c r="F582" s="3" t="str">
        <f aca="false">IFERROR(__xludf.dummyfunction("if($T582&lt;&gt;"""",REGEXEXTRACT(SUBSTITUTE ($T582,F$1&amp;"" CE"",""""), F$1&amp;""[\w &amp;]*, (\d+\.\d+)""),"""")
"),"")</f>
        <v/>
      </c>
      <c r="G582" s="3" t="str">
        <f aca="false">IFERROR(__xludf.dummyfunction("if($T582&lt;&gt;"""",REGEXEXTRACT($T582, G$1&amp;""[\w &amp;]*, (\d+\.\d+)""),"""")
"),"")</f>
        <v/>
      </c>
      <c r="H582" s="3"/>
      <c r="I582" s="3" t="str">
        <f aca="false">IFERROR(__xludf.dummyfunction("if($T582&lt;&gt;"""",REGEXEXTRACT(SUBSTITUTE ($T582,I$1&amp;"" CE"",""""), I$1&amp;""[\w &amp;]*, (\d+\.\d+)""),"""")
"),"")</f>
        <v/>
      </c>
      <c r="J582" s="3" t="str">
        <f aca="false">IFERROR(__xludf.dummyfunction("if($T582&lt;&gt;"""",REGEXEXTRACT($T582, J$1&amp;""[\w &amp;]*, (\d+\.\d+)""),"""")
"),"")</f>
        <v/>
      </c>
      <c r="K582" s="3"/>
      <c r="L582" s="3" t="str">
        <f aca="false">IFERROR(__xludf.dummyfunction("if($T582&lt;&gt;"""",REGEXEXTRACT(SUBSTITUTE ($T582,L$1&amp;"" CE"",""""), L$1&amp;""[\w &amp;]*, (\d+\.\d+)""),"""")
"),"")</f>
        <v/>
      </c>
      <c r="M582" s="3" t="str">
        <f aca="false">IFERROR(__xludf.dummyfunction("if($T582&lt;&gt;"""",REGEXEXTRACT($T582, M$1&amp;""[\w &amp;]*, (\d+\.\d+)""),"""")
"),"")</f>
        <v/>
      </c>
      <c r="N582" s="3" t="str">
        <f aca="false">IFERROR(__xludf.dummyfunction("if($T582&lt;&gt;"""",REGEXEXTRACT(SUBSTITUTE ($T582,N$1&amp;"" CE"",""""), N$1&amp;""[\w &amp;]*, (\d+\.\d+)""),"""")
"),"")</f>
        <v/>
      </c>
      <c r="O582" s="3" t="str">
        <f aca="false">IFERROR(__xludf.dummyfunction("if($T582&lt;&gt;"""",REGEXEXTRACT($T582, O$1&amp;""[\w &amp;]*, (\d+\.\d+)""),"""")
"),"")</f>
        <v/>
      </c>
      <c r="P582" s="2"/>
      <c r="Q582" s="2"/>
      <c r="R582" s="2"/>
      <c r="S582" s="2"/>
      <c r="T582" s="5"/>
      <c r="U582" s="5"/>
    </row>
    <row r="583" customFormat="false" ht="15.75" hidden="false" customHeight="false" outlineLevel="0" collapsed="false">
      <c r="A583" s="4"/>
      <c r="B583" s="2"/>
      <c r="C583" s="2"/>
      <c r="D583" s="2"/>
      <c r="E583" s="2"/>
      <c r="F583" s="3" t="str">
        <f aca="false">IFERROR(__xludf.dummyfunction("if($T583&lt;&gt;"""",REGEXEXTRACT(SUBSTITUTE ($T583,F$1&amp;"" CE"",""""), F$1&amp;""[\w &amp;]*, (\d+\.\d+)""),"""")
"),"")</f>
        <v/>
      </c>
      <c r="G583" s="3" t="str">
        <f aca="false">IFERROR(__xludf.dummyfunction("if($T583&lt;&gt;"""",REGEXEXTRACT($T583, G$1&amp;""[\w &amp;]*, (\d+\.\d+)""),"""")
"),"")</f>
        <v/>
      </c>
      <c r="H583" s="3"/>
      <c r="I583" s="3" t="str">
        <f aca="false">IFERROR(__xludf.dummyfunction("if($T583&lt;&gt;"""",REGEXEXTRACT(SUBSTITUTE ($T583,I$1&amp;"" CE"",""""), I$1&amp;""[\w &amp;]*, (\d+\.\d+)""),"""")
"),"")</f>
        <v/>
      </c>
      <c r="J583" s="3" t="str">
        <f aca="false">IFERROR(__xludf.dummyfunction("if($T583&lt;&gt;"""",REGEXEXTRACT($T583, J$1&amp;""[\w &amp;]*, (\d+\.\d+)""),"""")
"),"")</f>
        <v/>
      </c>
      <c r="K583" s="3"/>
      <c r="L583" s="3" t="str">
        <f aca="false">IFERROR(__xludf.dummyfunction("if($T583&lt;&gt;"""",REGEXEXTRACT(SUBSTITUTE ($T583,L$1&amp;"" CE"",""""), L$1&amp;""[\w &amp;]*, (\d+\.\d+)""),"""")
"),"")</f>
        <v/>
      </c>
      <c r="M583" s="3" t="str">
        <f aca="false">IFERROR(__xludf.dummyfunction("if($T583&lt;&gt;"""",REGEXEXTRACT($T583, M$1&amp;""[\w &amp;]*, (\d+\.\d+)""),"""")
"),"")</f>
        <v/>
      </c>
      <c r="N583" s="3" t="str">
        <f aca="false">IFERROR(__xludf.dummyfunction("if($T583&lt;&gt;"""",REGEXEXTRACT(SUBSTITUTE ($T583,N$1&amp;"" CE"",""""), N$1&amp;""[\w &amp;]*, (\d+\.\d+)""),"""")
"),"")</f>
        <v/>
      </c>
      <c r="O583" s="3" t="str">
        <f aca="false">IFERROR(__xludf.dummyfunction("if($T583&lt;&gt;"""",REGEXEXTRACT($T583, O$1&amp;""[\w &amp;]*, (\d+\.\d+)""),"""")
"),"")</f>
        <v/>
      </c>
      <c r="P583" s="2"/>
      <c r="Q583" s="2"/>
      <c r="R583" s="2"/>
      <c r="S583" s="2"/>
      <c r="T583" s="5"/>
      <c r="U583" s="5"/>
    </row>
    <row r="584" customFormat="false" ht="15.75" hidden="false" customHeight="false" outlineLevel="0" collapsed="false">
      <c r="A584" s="4"/>
      <c r="B584" s="2"/>
      <c r="C584" s="2"/>
      <c r="D584" s="2"/>
      <c r="E584" s="2"/>
      <c r="F584" s="3" t="str">
        <f aca="false">IFERROR(__xludf.dummyfunction("if($T584&lt;&gt;"""",REGEXEXTRACT(SUBSTITUTE ($T584,F$1&amp;"" CE"",""""), F$1&amp;""[\w &amp;]*, (\d+\.\d+)""),"""")
"),"")</f>
        <v/>
      </c>
      <c r="G584" s="3" t="str">
        <f aca="false">IFERROR(__xludf.dummyfunction("if($T584&lt;&gt;"""",REGEXEXTRACT($T584, G$1&amp;""[\w &amp;]*, (\d+\.\d+)""),"""")
"),"")</f>
        <v/>
      </c>
      <c r="H584" s="3"/>
      <c r="I584" s="3" t="str">
        <f aca="false">IFERROR(__xludf.dummyfunction("if($T584&lt;&gt;"""",REGEXEXTRACT(SUBSTITUTE ($T584,I$1&amp;"" CE"",""""), I$1&amp;""[\w &amp;]*, (\d+\.\d+)""),"""")
"),"")</f>
        <v/>
      </c>
      <c r="J584" s="3" t="str">
        <f aca="false">IFERROR(__xludf.dummyfunction("if($T584&lt;&gt;"""",REGEXEXTRACT($T584, J$1&amp;""[\w &amp;]*, (\d+\.\d+)""),"""")
"),"")</f>
        <v/>
      </c>
      <c r="K584" s="3"/>
      <c r="L584" s="3" t="str">
        <f aca="false">IFERROR(__xludf.dummyfunction("if($T584&lt;&gt;"""",REGEXEXTRACT(SUBSTITUTE ($T584,L$1&amp;"" CE"",""""), L$1&amp;""[\w &amp;]*, (\d+\.\d+)""),"""")
"),"")</f>
        <v/>
      </c>
      <c r="M584" s="3" t="str">
        <f aca="false">IFERROR(__xludf.dummyfunction("if($T584&lt;&gt;"""",REGEXEXTRACT($T584, M$1&amp;""[\w &amp;]*, (\d+\.\d+)""),"""")
"),"")</f>
        <v/>
      </c>
      <c r="N584" s="3" t="str">
        <f aca="false">IFERROR(__xludf.dummyfunction("if($T584&lt;&gt;"""",REGEXEXTRACT(SUBSTITUTE ($T584,N$1&amp;"" CE"",""""), N$1&amp;""[\w &amp;]*, (\d+\.\d+)""),"""")
"),"")</f>
        <v/>
      </c>
      <c r="O584" s="3" t="str">
        <f aca="false">IFERROR(__xludf.dummyfunction("if($T584&lt;&gt;"""",REGEXEXTRACT($T584, O$1&amp;""[\w &amp;]*, (\d+\.\d+)""),"""")
"),"")</f>
        <v/>
      </c>
      <c r="P584" s="2"/>
      <c r="Q584" s="2"/>
      <c r="R584" s="2"/>
      <c r="S584" s="2"/>
      <c r="T584" s="5"/>
      <c r="U584" s="5"/>
    </row>
    <row r="585" customFormat="false" ht="15.75" hidden="false" customHeight="false" outlineLevel="0" collapsed="false">
      <c r="A585" s="4"/>
      <c r="B585" s="2"/>
      <c r="C585" s="2"/>
      <c r="D585" s="2"/>
      <c r="E585" s="2"/>
      <c r="F585" s="3" t="str">
        <f aca="false">IFERROR(__xludf.dummyfunction("if($T585&lt;&gt;"""",REGEXEXTRACT(SUBSTITUTE ($T585,F$1&amp;"" CE"",""""), F$1&amp;""[\w &amp;]*, (\d+\.\d+)""),"""")
"),"")</f>
        <v/>
      </c>
      <c r="G585" s="3" t="str">
        <f aca="false">IFERROR(__xludf.dummyfunction("if($T585&lt;&gt;"""",REGEXEXTRACT($T585, G$1&amp;""[\w &amp;]*, (\d+\.\d+)""),"""")
"),"")</f>
        <v/>
      </c>
      <c r="H585" s="3"/>
      <c r="I585" s="3" t="str">
        <f aca="false">IFERROR(__xludf.dummyfunction("if($T585&lt;&gt;"""",REGEXEXTRACT(SUBSTITUTE ($T585,I$1&amp;"" CE"",""""), I$1&amp;""[\w &amp;]*, (\d+\.\d+)""),"""")
"),"")</f>
        <v/>
      </c>
      <c r="J585" s="3" t="str">
        <f aca="false">IFERROR(__xludf.dummyfunction("if($T585&lt;&gt;"""",REGEXEXTRACT($T585, J$1&amp;""[\w &amp;]*, (\d+\.\d+)""),"""")
"),"")</f>
        <v/>
      </c>
      <c r="K585" s="3"/>
      <c r="L585" s="3" t="str">
        <f aca="false">IFERROR(__xludf.dummyfunction("if($T585&lt;&gt;"""",REGEXEXTRACT(SUBSTITUTE ($T585,L$1&amp;"" CE"",""""), L$1&amp;""[\w &amp;]*, (\d+\.\d+)""),"""")
"),"")</f>
        <v/>
      </c>
      <c r="M585" s="3" t="str">
        <f aca="false">IFERROR(__xludf.dummyfunction("if($T585&lt;&gt;"""",REGEXEXTRACT($T585, M$1&amp;""[\w &amp;]*, (\d+\.\d+)""),"""")
"),"")</f>
        <v/>
      </c>
      <c r="N585" s="3" t="str">
        <f aca="false">IFERROR(__xludf.dummyfunction("if($T585&lt;&gt;"""",REGEXEXTRACT(SUBSTITUTE ($T585,N$1&amp;"" CE"",""""), N$1&amp;""[\w &amp;]*, (\d+\.\d+)""),"""")
"),"")</f>
        <v/>
      </c>
      <c r="O585" s="3" t="str">
        <f aca="false">IFERROR(__xludf.dummyfunction("if($T585&lt;&gt;"""",REGEXEXTRACT($T585, O$1&amp;""[\w &amp;]*, (\d+\.\d+)""),"""")
"),"")</f>
        <v/>
      </c>
      <c r="P585" s="2"/>
      <c r="Q585" s="2"/>
      <c r="R585" s="2"/>
      <c r="S585" s="2"/>
      <c r="T585" s="5"/>
      <c r="U585" s="5"/>
    </row>
    <row r="586" customFormat="false" ht="15.75" hidden="false" customHeight="false" outlineLevel="0" collapsed="false">
      <c r="A586" s="4"/>
      <c r="B586" s="2"/>
      <c r="C586" s="2"/>
      <c r="D586" s="2"/>
      <c r="E586" s="2"/>
      <c r="F586" s="3" t="str">
        <f aca="false">IFERROR(__xludf.dummyfunction("if($T586&lt;&gt;"""",REGEXEXTRACT(SUBSTITUTE ($T586,F$1&amp;"" CE"",""""), F$1&amp;""[\w &amp;]*, (\d+\.\d+)""),"""")
"),"")</f>
        <v/>
      </c>
      <c r="G586" s="3" t="str">
        <f aca="false">IFERROR(__xludf.dummyfunction("if($T586&lt;&gt;"""",REGEXEXTRACT($T586, G$1&amp;""[\w &amp;]*, (\d+\.\d+)""),"""")
"),"")</f>
        <v/>
      </c>
      <c r="H586" s="3"/>
      <c r="I586" s="3" t="str">
        <f aca="false">IFERROR(__xludf.dummyfunction("if($T586&lt;&gt;"""",REGEXEXTRACT(SUBSTITUTE ($T586,I$1&amp;"" CE"",""""), I$1&amp;""[\w &amp;]*, (\d+\.\d+)""),"""")
"),"")</f>
        <v/>
      </c>
      <c r="J586" s="3" t="str">
        <f aca="false">IFERROR(__xludf.dummyfunction("if($T586&lt;&gt;"""",REGEXEXTRACT($T586, J$1&amp;""[\w &amp;]*, (\d+\.\d+)""),"""")
"),"")</f>
        <v/>
      </c>
      <c r="K586" s="3"/>
      <c r="L586" s="3" t="str">
        <f aca="false">IFERROR(__xludf.dummyfunction("if($T586&lt;&gt;"""",REGEXEXTRACT(SUBSTITUTE ($T586,L$1&amp;"" CE"",""""), L$1&amp;""[\w &amp;]*, (\d+\.\d+)""),"""")
"),"")</f>
        <v/>
      </c>
      <c r="M586" s="3" t="str">
        <f aca="false">IFERROR(__xludf.dummyfunction("if($T586&lt;&gt;"""",REGEXEXTRACT($T586, M$1&amp;""[\w &amp;]*, (\d+\.\d+)""),"""")
"),"")</f>
        <v/>
      </c>
      <c r="N586" s="3" t="str">
        <f aca="false">IFERROR(__xludf.dummyfunction("if($T586&lt;&gt;"""",REGEXEXTRACT(SUBSTITUTE ($T586,N$1&amp;"" CE"",""""), N$1&amp;""[\w &amp;]*, (\d+\.\d+)""),"""")
"),"")</f>
        <v/>
      </c>
      <c r="O586" s="3" t="str">
        <f aca="false">IFERROR(__xludf.dummyfunction("if($T586&lt;&gt;"""",REGEXEXTRACT($T586, O$1&amp;""[\w &amp;]*, (\d+\.\d+)""),"""")
"),"")</f>
        <v/>
      </c>
      <c r="P586" s="2"/>
      <c r="Q586" s="2"/>
      <c r="R586" s="2"/>
      <c r="S586" s="2"/>
      <c r="T586" s="5"/>
      <c r="U586" s="5"/>
    </row>
    <row r="587" customFormat="false" ht="15.75" hidden="false" customHeight="false" outlineLevel="0" collapsed="false">
      <c r="A587" s="4"/>
      <c r="B587" s="2"/>
      <c r="C587" s="2"/>
      <c r="D587" s="2"/>
      <c r="E587" s="2"/>
      <c r="F587" s="3" t="str">
        <f aca="false">IFERROR(__xludf.dummyfunction("if($T587&lt;&gt;"""",REGEXEXTRACT(SUBSTITUTE ($T587,F$1&amp;"" CE"",""""), F$1&amp;""[\w &amp;]*, (\d+\.\d+)""),"""")
"),"")</f>
        <v/>
      </c>
      <c r="G587" s="3" t="str">
        <f aca="false">IFERROR(__xludf.dummyfunction("if($T587&lt;&gt;"""",REGEXEXTRACT($T587, G$1&amp;""[\w &amp;]*, (\d+\.\d+)""),"""")
"),"")</f>
        <v/>
      </c>
      <c r="H587" s="3"/>
      <c r="I587" s="3" t="str">
        <f aca="false">IFERROR(__xludf.dummyfunction("if($T587&lt;&gt;"""",REGEXEXTRACT(SUBSTITUTE ($T587,I$1&amp;"" CE"",""""), I$1&amp;""[\w &amp;]*, (\d+\.\d+)""),"""")
"),"")</f>
        <v/>
      </c>
      <c r="J587" s="3" t="str">
        <f aca="false">IFERROR(__xludf.dummyfunction("if($T587&lt;&gt;"""",REGEXEXTRACT($T587, J$1&amp;""[\w &amp;]*, (\d+\.\d+)""),"""")
"),"")</f>
        <v/>
      </c>
      <c r="K587" s="3"/>
      <c r="L587" s="3" t="str">
        <f aca="false">IFERROR(__xludf.dummyfunction("if($T587&lt;&gt;"""",REGEXEXTRACT(SUBSTITUTE ($T587,L$1&amp;"" CE"",""""), L$1&amp;""[\w &amp;]*, (\d+\.\d+)""),"""")
"),"")</f>
        <v/>
      </c>
      <c r="M587" s="3" t="str">
        <f aca="false">IFERROR(__xludf.dummyfunction("if($T587&lt;&gt;"""",REGEXEXTRACT($T587, M$1&amp;""[\w &amp;]*, (\d+\.\d+)""),"""")
"),"")</f>
        <v/>
      </c>
      <c r="N587" s="3" t="str">
        <f aca="false">IFERROR(__xludf.dummyfunction("if($T587&lt;&gt;"""",REGEXEXTRACT(SUBSTITUTE ($T587,N$1&amp;"" CE"",""""), N$1&amp;""[\w &amp;]*, (\d+\.\d+)""),"""")
"),"")</f>
        <v/>
      </c>
      <c r="O587" s="3" t="str">
        <f aca="false">IFERROR(__xludf.dummyfunction("if($T587&lt;&gt;"""",REGEXEXTRACT($T587, O$1&amp;""[\w &amp;]*, (\d+\.\d+)""),"""")
"),"")</f>
        <v/>
      </c>
      <c r="P587" s="2"/>
      <c r="Q587" s="2"/>
      <c r="R587" s="2"/>
      <c r="S587" s="2"/>
      <c r="T587" s="5"/>
      <c r="U587" s="5"/>
    </row>
    <row r="588" customFormat="false" ht="15.75" hidden="false" customHeight="false" outlineLevel="0" collapsed="false">
      <c r="A588" s="4"/>
      <c r="B588" s="2"/>
      <c r="C588" s="2"/>
      <c r="D588" s="2"/>
      <c r="E588" s="2"/>
      <c r="F588" s="3" t="str">
        <f aca="false">IFERROR(__xludf.dummyfunction("if($T588&lt;&gt;"""",REGEXEXTRACT(SUBSTITUTE ($T588,F$1&amp;"" CE"",""""), F$1&amp;""[\w &amp;]*, (\d+\.\d+)""),"""")
"),"")</f>
        <v/>
      </c>
      <c r="G588" s="3" t="str">
        <f aca="false">IFERROR(__xludf.dummyfunction("if($T588&lt;&gt;"""",REGEXEXTRACT($T588, G$1&amp;""[\w &amp;]*, (\d+\.\d+)""),"""")
"),"")</f>
        <v/>
      </c>
      <c r="H588" s="3"/>
      <c r="I588" s="3" t="str">
        <f aca="false">IFERROR(__xludf.dummyfunction("if($T588&lt;&gt;"""",REGEXEXTRACT(SUBSTITUTE ($T588,I$1&amp;"" CE"",""""), I$1&amp;""[\w &amp;]*, (\d+\.\d+)""),"""")
"),"")</f>
        <v/>
      </c>
      <c r="J588" s="3" t="str">
        <f aca="false">IFERROR(__xludf.dummyfunction("if($T588&lt;&gt;"""",REGEXEXTRACT($T588, J$1&amp;""[\w &amp;]*, (\d+\.\d+)""),"""")
"),"")</f>
        <v/>
      </c>
      <c r="K588" s="3"/>
      <c r="L588" s="3" t="str">
        <f aca="false">IFERROR(__xludf.dummyfunction("if($T588&lt;&gt;"""",REGEXEXTRACT(SUBSTITUTE ($T588,L$1&amp;"" CE"",""""), L$1&amp;""[\w &amp;]*, (\d+\.\d+)""),"""")
"),"")</f>
        <v/>
      </c>
      <c r="M588" s="3" t="str">
        <f aca="false">IFERROR(__xludf.dummyfunction("if($T588&lt;&gt;"""",REGEXEXTRACT($T588, M$1&amp;""[\w &amp;]*, (\d+\.\d+)""),"""")
"),"")</f>
        <v/>
      </c>
      <c r="N588" s="3" t="str">
        <f aca="false">IFERROR(__xludf.dummyfunction("if($T588&lt;&gt;"""",REGEXEXTRACT(SUBSTITUTE ($T588,N$1&amp;"" CE"",""""), N$1&amp;""[\w &amp;]*, (\d+\.\d+)""),"""")
"),"")</f>
        <v/>
      </c>
      <c r="O588" s="3" t="str">
        <f aca="false">IFERROR(__xludf.dummyfunction("if($T588&lt;&gt;"""",REGEXEXTRACT($T588, O$1&amp;""[\w &amp;]*, (\d+\.\d+)""),"""")
"),"")</f>
        <v/>
      </c>
      <c r="P588" s="2"/>
      <c r="Q588" s="2"/>
      <c r="R588" s="2"/>
      <c r="S588" s="2"/>
      <c r="T588" s="5"/>
      <c r="U588" s="5"/>
    </row>
    <row r="589" customFormat="false" ht="15.75" hidden="false" customHeight="false" outlineLevel="0" collapsed="false">
      <c r="A589" s="4"/>
      <c r="B589" s="2"/>
      <c r="C589" s="2"/>
      <c r="D589" s="2"/>
      <c r="E589" s="2"/>
      <c r="F589" s="3" t="str">
        <f aca="false">IFERROR(__xludf.dummyfunction("if($T589&lt;&gt;"""",REGEXEXTRACT(SUBSTITUTE ($T589,F$1&amp;"" CE"",""""), F$1&amp;""[\w &amp;]*, (\d+\.\d+)""),"""")
"),"")</f>
        <v/>
      </c>
      <c r="G589" s="3" t="str">
        <f aca="false">IFERROR(__xludf.dummyfunction("if($T589&lt;&gt;"""",REGEXEXTRACT($T589, G$1&amp;""[\w &amp;]*, (\d+\.\d+)""),"""")
"),"")</f>
        <v/>
      </c>
      <c r="H589" s="3"/>
      <c r="I589" s="3" t="str">
        <f aca="false">IFERROR(__xludf.dummyfunction("if($T589&lt;&gt;"""",REGEXEXTRACT(SUBSTITUTE ($T589,I$1&amp;"" CE"",""""), I$1&amp;""[\w &amp;]*, (\d+\.\d+)""),"""")
"),"")</f>
        <v/>
      </c>
      <c r="J589" s="3" t="str">
        <f aca="false">IFERROR(__xludf.dummyfunction("if($T589&lt;&gt;"""",REGEXEXTRACT($T589, J$1&amp;""[\w &amp;]*, (\d+\.\d+)""),"""")
"),"")</f>
        <v/>
      </c>
      <c r="K589" s="3"/>
      <c r="L589" s="3" t="str">
        <f aca="false">IFERROR(__xludf.dummyfunction("if($T589&lt;&gt;"""",REGEXEXTRACT(SUBSTITUTE ($T589,L$1&amp;"" CE"",""""), L$1&amp;""[\w &amp;]*, (\d+\.\d+)""),"""")
"),"")</f>
        <v/>
      </c>
      <c r="M589" s="3" t="str">
        <f aca="false">IFERROR(__xludf.dummyfunction("if($T589&lt;&gt;"""",REGEXEXTRACT($T589, M$1&amp;""[\w &amp;]*, (\d+\.\d+)""),"""")
"),"")</f>
        <v/>
      </c>
      <c r="N589" s="3" t="str">
        <f aca="false">IFERROR(__xludf.dummyfunction("if($T589&lt;&gt;"""",REGEXEXTRACT(SUBSTITUTE ($T589,N$1&amp;"" CE"",""""), N$1&amp;""[\w &amp;]*, (\d+\.\d+)""),"""")
"),"")</f>
        <v/>
      </c>
      <c r="O589" s="3" t="str">
        <f aca="false">IFERROR(__xludf.dummyfunction("if($T589&lt;&gt;"""",REGEXEXTRACT($T589, O$1&amp;""[\w &amp;]*, (\d+\.\d+)""),"""")
"),"")</f>
        <v/>
      </c>
      <c r="P589" s="2"/>
      <c r="Q589" s="2"/>
      <c r="R589" s="2"/>
      <c r="S589" s="2"/>
      <c r="T589" s="5"/>
      <c r="U589" s="5"/>
    </row>
    <row r="590" customFormat="false" ht="15.75" hidden="false" customHeight="false" outlineLevel="0" collapsed="false">
      <c r="A590" s="4"/>
      <c r="B590" s="2"/>
      <c r="C590" s="2"/>
      <c r="D590" s="2"/>
      <c r="E590" s="2"/>
      <c r="F590" s="3" t="str">
        <f aca="false">IFERROR(__xludf.dummyfunction("if($T590&lt;&gt;"""",REGEXEXTRACT(SUBSTITUTE ($T590,F$1&amp;"" CE"",""""), F$1&amp;""[\w &amp;]*, (\d+\.\d+)""),"""")
"),"")</f>
        <v/>
      </c>
      <c r="G590" s="3" t="str">
        <f aca="false">IFERROR(__xludf.dummyfunction("if($T590&lt;&gt;"""",REGEXEXTRACT($T590, G$1&amp;""[\w &amp;]*, (\d+\.\d+)""),"""")
"),"")</f>
        <v/>
      </c>
      <c r="H590" s="3"/>
      <c r="I590" s="3" t="str">
        <f aca="false">IFERROR(__xludf.dummyfunction("if($T590&lt;&gt;"""",REGEXEXTRACT(SUBSTITUTE ($T590,I$1&amp;"" CE"",""""), I$1&amp;""[\w &amp;]*, (\d+\.\d+)""),"""")
"),"")</f>
        <v/>
      </c>
      <c r="J590" s="3" t="str">
        <f aca="false">IFERROR(__xludf.dummyfunction("if($T590&lt;&gt;"""",REGEXEXTRACT($T590, J$1&amp;""[\w &amp;]*, (\d+\.\d+)""),"""")
"),"")</f>
        <v/>
      </c>
      <c r="K590" s="3"/>
      <c r="L590" s="3" t="str">
        <f aca="false">IFERROR(__xludf.dummyfunction("if($T590&lt;&gt;"""",REGEXEXTRACT(SUBSTITUTE ($T590,L$1&amp;"" CE"",""""), L$1&amp;""[\w &amp;]*, (\d+\.\d+)""),"""")
"),"")</f>
        <v/>
      </c>
      <c r="M590" s="3" t="str">
        <f aca="false">IFERROR(__xludf.dummyfunction("if($T590&lt;&gt;"""",REGEXEXTRACT($T590, M$1&amp;""[\w &amp;]*, (\d+\.\d+)""),"""")
"),"")</f>
        <v/>
      </c>
      <c r="N590" s="3" t="str">
        <f aca="false">IFERROR(__xludf.dummyfunction("if($T590&lt;&gt;"""",REGEXEXTRACT(SUBSTITUTE ($T590,N$1&amp;"" CE"",""""), N$1&amp;""[\w &amp;]*, (\d+\.\d+)""),"""")
"),"")</f>
        <v/>
      </c>
      <c r="O590" s="3" t="str">
        <f aca="false">IFERROR(__xludf.dummyfunction("if($T590&lt;&gt;"""",REGEXEXTRACT($T590, O$1&amp;""[\w &amp;]*, (\d+\.\d+)""),"""")
"),"")</f>
        <v/>
      </c>
      <c r="P590" s="2"/>
      <c r="Q590" s="2"/>
      <c r="R590" s="2"/>
      <c r="S590" s="2"/>
      <c r="T590" s="5"/>
      <c r="U590" s="5"/>
    </row>
    <row r="591" customFormat="false" ht="15.75" hidden="false" customHeight="false" outlineLevel="0" collapsed="false">
      <c r="A591" s="4"/>
      <c r="B591" s="2"/>
      <c r="C591" s="2"/>
      <c r="D591" s="2"/>
      <c r="E591" s="2"/>
      <c r="F591" s="3" t="str">
        <f aca="false">IFERROR(__xludf.dummyfunction("if($T591&lt;&gt;"""",REGEXEXTRACT(SUBSTITUTE ($T591,F$1&amp;"" CE"",""""), F$1&amp;""[\w &amp;]*, (\d+\.\d+)""),"""")
"),"")</f>
        <v/>
      </c>
      <c r="G591" s="3" t="str">
        <f aca="false">IFERROR(__xludf.dummyfunction("if($T591&lt;&gt;"""",REGEXEXTRACT($T591, G$1&amp;""[\w &amp;]*, (\d+\.\d+)""),"""")
"),"")</f>
        <v/>
      </c>
      <c r="H591" s="3"/>
      <c r="I591" s="3" t="str">
        <f aca="false">IFERROR(__xludf.dummyfunction("if($T591&lt;&gt;"""",REGEXEXTRACT(SUBSTITUTE ($T591,I$1&amp;"" CE"",""""), I$1&amp;""[\w &amp;]*, (\d+\.\d+)""),"""")
"),"")</f>
        <v/>
      </c>
      <c r="J591" s="3" t="str">
        <f aca="false">IFERROR(__xludf.dummyfunction("if($T591&lt;&gt;"""",REGEXEXTRACT($T591, J$1&amp;""[\w &amp;]*, (\d+\.\d+)""),"""")
"),"")</f>
        <v/>
      </c>
      <c r="K591" s="3"/>
      <c r="L591" s="3" t="str">
        <f aca="false">IFERROR(__xludf.dummyfunction("if($T591&lt;&gt;"""",REGEXEXTRACT(SUBSTITUTE ($T591,L$1&amp;"" CE"",""""), L$1&amp;""[\w &amp;]*, (\d+\.\d+)""),"""")
"),"")</f>
        <v/>
      </c>
      <c r="M591" s="3" t="str">
        <f aca="false">IFERROR(__xludf.dummyfunction("if($T591&lt;&gt;"""",REGEXEXTRACT($T591, M$1&amp;""[\w &amp;]*, (\d+\.\d+)""),"""")
"),"")</f>
        <v/>
      </c>
      <c r="N591" s="3" t="str">
        <f aca="false">IFERROR(__xludf.dummyfunction("if($T591&lt;&gt;"""",REGEXEXTRACT(SUBSTITUTE ($T591,N$1&amp;"" CE"",""""), N$1&amp;""[\w &amp;]*, (\d+\.\d+)""),"""")
"),"")</f>
        <v/>
      </c>
      <c r="O591" s="3" t="str">
        <f aca="false">IFERROR(__xludf.dummyfunction("if($T591&lt;&gt;"""",REGEXEXTRACT($T591, O$1&amp;""[\w &amp;]*, (\d+\.\d+)""),"""")
"),"")</f>
        <v/>
      </c>
      <c r="P591" s="2"/>
      <c r="Q591" s="2"/>
      <c r="R591" s="2"/>
      <c r="S591" s="2"/>
      <c r="T591" s="5"/>
      <c r="U591" s="5"/>
    </row>
    <row r="592" customFormat="false" ht="15.75" hidden="false" customHeight="false" outlineLevel="0" collapsed="false">
      <c r="A592" s="4"/>
      <c r="B592" s="2"/>
      <c r="C592" s="2"/>
      <c r="D592" s="2"/>
      <c r="E592" s="2"/>
      <c r="F592" s="3" t="str">
        <f aca="false">IFERROR(__xludf.dummyfunction("if($T592&lt;&gt;"""",REGEXEXTRACT(SUBSTITUTE ($T592,F$1&amp;"" CE"",""""), F$1&amp;""[\w &amp;]*, (\d+\.\d+)""),"""")
"),"")</f>
        <v/>
      </c>
      <c r="G592" s="3" t="str">
        <f aca="false">IFERROR(__xludf.dummyfunction("if($T592&lt;&gt;"""",REGEXEXTRACT($T592, G$1&amp;""[\w &amp;]*, (\d+\.\d+)""),"""")
"),"")</f>
        <v/>
      </c>
      <c r="H592" s="3"/>
      <c r="I592" s="3" t="str">
        <f aca="false">IFERROR(__xludf.dummyfunction("if($T592&lt;&gt;"""",REGEXEXTRACT(SUBSTITUTE ($T592,I$1&amp;"" CE"",""""), I$1&amp;""[\w &amp;]*, (\d+\.\d+)""),"""")
"),"")</f>
        <v/>
      </c>
      <c r="J592" s="3" t="str">
        <f aca="false">IFERROR(__xludf.dummyfunction("if($T592&lt;&gt;"""",REGEXEXTRACT($T592, J$1&amp;""[\w &amp;]*, (\d+\.\d+)""),"""")
"),"")</f>
        <v/>
      </c>
      <c r="K592" s="3"/>
      <c r="L592" s="3" t="str">
        <f aca="false">IFERROR(__xludf.dummyfunction("if($T592&lt;&gt;"""",REGEXEXTRACT(SUBSTITUTE ($T592,L$1&amp;"" CE"",""""), L$1&amp;""[\w &amp;]*, (\d+\.\d+)""),"""")
"),"")</f>
        <v/>
      </c>
      <c r="M592" s="3" t="str">
        <f aca="false">IFERROR(__xludf.dummyfunction("if($T592&lt;&gt;"""",REGEXEXTRACT($T592, M$1&amp;""[\w &amp;]*, (\d+\.\d+)""),"""")
"),"")</f>
        <v/>
      </c>
      <c r="N592" s="3" t="str">
        <f aca="false">IFERROR(__xludf.dummyfunction("if($T592&lt;&gt;"""",REGEXEXTRACT(SUBSTITUTE ($T592,N$1&amp;"" CE"",""""), N$1&amp;""[\w &amp;]*, (\d+\.\d+)""),"""")
"),"")</f>
        <v/>
      </c>
      <c r="O592" s="3" t="str">
        <f aca="false">IFERROR(__xludf.dummyfunction("if($T592&lt;&gt;"""",REGEXEXTRACT($T592, O$1&amp;""[\w &amp;]*, (\d+\.\d+)""),"""")
"),"")</f>
        <v/>
      </c>
      <c r="P592" s="2"/>
      <c r="Q592" s="2"/>
      <c r="R592" s="2"/>
      <c r="S592" s="2"/>
      <c r="T592" s="5"/>
      <c r="U592" s="5"/>
    </row>
    <row r="593" customFormat="false" ht="15.75" hidden="false" customHeight="false" outlineLevel="0" collapsed="false">
      <c r="A593" s="4"/>
      <c r="B593" s="2"/>
      <c r="C593" s="2"/>
      <c r="D593" s="2"/>
      <c r="E593" s="2"/>
      <c r="F593" s="3" t="str">
        <f aca="false">IFERROR(__xludf.dummyfunction("if($T593&lt;&gt;"""",REGEXEXTRACT(SUBSTITUTE ($T593,F$1&amp;"" CE"",""""), F$1&amp;""[\w &amp;]*, (\d+\.\d+)""),"""")
"),"")</f>
        <v/>
      </c>
      <c r="G593" s="3" t="str">
        <f aca="false">IFERROR(__xludf.dummyfunction("if($T593&lt;&gt;"""",REGEXEXTRACT($T593, G$1&amp;""[\w &amp;]*, (\d+\.\d+)""),"""")
"),"")</f>
        <v/>
      </c>
      <c r="H593" s="3"/>
      <c r="I593" s="3" t="str">
        <f aca="false">IFERROR(__xludf.dummyfunction("if($T593&lt;&gt;"""",REGEXEXTRACT(SUBSTITUTE ($T593,I$1&amp;"" CE"",""""), I$1&amp;""[\w &amp;]*, (\d+\.\d+)""),"""")
"),"")</f>
        <v/>
      </c>
      <c r="J593" s="3" t="str">
        <f aca="false">IFERROR(__xludf.dummyfunction("if($T593&lt;&gt;"""",REGEXEXTRACT($T593, J$1&amp;""[\w &amp;]*, (\d+\.\d+)""),"""")
"),"")</f>
        <v/>
      </c>
      <c r="K593" s="3"/>
      <c r="L593" s="3" t="str">
        <f aca="false">IFERROR(__xludf.dummyfunction("if($T593&lt;&gt;"""",REGEXEXTRACT(SUBSTITUTE ($T593,L$1&amp;"" CE"",""""), L$1&amp;""[\w &amp;]*, (\d+\.\d+)""),"""")
"),"")</f>
        <v/>
      </c>
      <c r="M593" s="3" t="str">
        <f aca="false">IFERROR(__xludf.dummyfunction("if($T593&lt;&gt;"""",REGEXEXTRACT($T593, M$1&amp;""[\w &amp;]*, (\d+\.\d+)""),"""")
"),"")</f>
        <v/>
      </c>
      <c r="N593" s="3" t="str">
        <f aca="false">IFERROR(__xludf.dummyfunction("if($T593&lt;&gt;"""",REGEXEXTRACT(SUBSTITUTE ($T593,N$1&amp;"" CE"",""""), N$1&amp;""[\w &amp;]*, (\d+\.\d+)""),"""")
"),"")</f>
        <v/>
      </c>
      <c r="O593" s="3" t="str">
        <f aca="false">IFERROR(__xludf.dummyfunction("if($T593&lt;&gt;"""",REGEXEXTRACT($T593, O$1&amp;""[\w &amp;]*, (\d+\.\d+)""),"""")
"),"")</f>
        <v/>
      </c>
      <c r="P593" s="2"/>
      <c r="Q593" s="2"/>
      <c r="R593" s="2"/>
      <c r="S593" s="2"/>
      <c r="T593" s="5"/>
      <c r="U593" s="5"/>
    </row>
    <row r="594" customFormat="false" ht="15.75" hidden="false" customHeight="false" outlineLevel="0" collapsed="false">
      <c r="A594" s="4"/>
      <c r="B594" s="2"/>
      <c r="C594" s="2"/>
      <c r="D594" s="2"/>
      <c r="E594" s="2"/>
      <c r="F594" s="3" t="str">
        <f aca="false">IFERROR(__xludf.dummyfunction("if($T594&lt;&gt;"""",REGEXEXTRACT(SUBSTITUTE ($T594,F$1&amp;"" CE"",""""), F$1&amp;""[\w &amp;]*, (\d+\.\d+)""),"""")
"),"")</f>
        <v/>
      </c>
      <c r="G594" s="3" t="str">
        <f aca="false">IFERROR(__xludf.dummyfunction("if($T594&lt;&gt;"""",REGEXEXTRACT($T594, G$1&amp;""[\w &amp;]*, (\d+\.\d+)""),"""")
"),"")</f>
        <v/>
      </c>
      <c r="H594" s="3"/>
      <c r="I594" s="3" t="str">
        <f aca="false">IFERROR(__xludf.dummyfunction("if($T594&lt;&gt;"""",REGEXEXTRACT(SUBSTITUTE ($T594,I$1&amp;"" CE"",""""), I$1&amp;""[\w &amp;]*, (\d+\.\d+)""),"""")
"),"")</f>
        <v/>
      </c>
      <c r="J594" s="3" t="str">
        <f aca="false">IFERROR(__xludf.dummyfunction("if($T594&lt;&gt;"""",REGEXEXTRACT($T594, J$1&amp;""[\w &amp;]*, (\d+\.\d+)""),"""")
"),"")</f>
        <v/>
      </c>
      <c r="K594" s="3"/>
      <c r="L594" s="3" t="str">
        <f aca="false">IFERROR(__xludf.dummyfunction("if($T594&lt;&gt;"""",REGEXEXTRACT(SUBSTITUTE ($T594,L$1&amp;"" CE"",""""), L$1&amp;""[\w &amp;]*, (\d+\.\d+)""),"""")
"),"")</f>
        <v/>
      </c>
      <c r="M594" s="3" t="str">
        <f aca="false">IFERROR(__xludf.dummyfunction("if($T594&lt;&gt;"""",REGEXEXTRACT($T594, M$1&amp;""[\w &amp;]*, (\d+\.\d+)""),"""")
"),"")</f>
        <v/>
      </c>
      <c r="N594" s="3" t="str">
        <f aca="false">IFERROR(__xludf.dummyfunction("if($T594&lt;&gt;"""",REGEXEXTRACT(SUBSTITUTE ($T594,N$1&amp;"" CE"",""""), N$1&amp;""[\w &amp;]*, (\d+\.\d+)""),"""")
"),"")</f>
        <v/>
      </c>
      <c r="O594" s="3" t="str">
        <f aca="false">IFERROR(__xludf.dummyfunction("if($T594&lt;&gt;"""",REGEXEXTRACT($T594, O$1&amp;""[\w &amp;]*, (\d+\.\d+)""),"""")
"),"")</f>
        <v/>
      </c>
      <c r="P594" s="2"/>
      <c r="Q594" s="2"/>
      <c r="R594" s="2"/>
      <c r="S594" s="2"/>
      <c r="T594" s="5"/>
      <c r="U594" s="5"/>
    </row>
    <row r="595" customFormat="false" ht="15.75" hidden="false" customHeight="false" outlineLevel="0" collapsed="false">
      <c r="A595" s="4"/>
      <c r="B595" s="2"/>
      <c r="C595" s="2"/>
      <c r="D595" s="2"/>
      <c r="E595" s="2"/>
      <c r="F595" s="3" t="str">
        <f aca="false">IFERROR(__xludf.dummyfunction("if($T595&lt;&gt;"""",REGEXEXTRACT(SUBSTITUTE ($T595,F$1&amp;"" CE"",""""), F$1&amp;""[\w &amp;]*, (\d+\.\d+)""),"""")
"),"")</f>
        <v/>
      </c>
      <c r="G595" s="3" t="str">
        <f aca="false">IFERROR(__xludf.dummyfunction("if($T595&lt;&gt;"""",REGEXEXTRACT($T595, G$1&amp;""[\w &amp;]*, (\d+\.\d+)""),"""")
"),"")</f>
        <v/>
      </c>
      <c r="H595" s="3"/>
      <c r="I595" s="3" t="str">
        <f aca="false">IFERROR(__xludf.dummyfunction("if($T595&lt;&gt;"""",REGEXEXTRACT(SUBSTITUTE ($T595,I$1&amp;"" CE"",""""), I$1&amp;""[\w &amp;]*, (\d+\.\d+)""),"""")
"),"")</f>
        <v/>
      </c>
      <c r="J595" s="3" t="str">
        <f aca="false">IFERROR(__xludf.dummyfunction("if($T595&lt;&gt;"""",REGEXEXTRACT($T595, J$1&amp;""[\w &amp;]*, (\d+\.\d+)""),"""")
"),"")</f>
        <v/>
      </c>
      <c r="K595" s="3"/>
      <c r="L595" s="3" t="str">
        <f aca="false">IFERROR(__xludf.dummyfunction("if($T595&lt;&gt;"""",REGEXEXTRACT(SUBSTITUTE ($T595,L$1&amp;"" CE"",""""), L$1&amp;""[\w &amp;]*, (\d+\.\d+)""),"""")
"),"")</f>
        <v/>
      </c>
      <c r="M595" s="3" t="str">
        <f aca="false">IFERROR(__xludf.dummyfunction("if($T595&lt;&gt;"""",REGEXEXTRACT($T595, M$1&amp;""[\w &amp;]*, (\d+\.\d+)""),"""")
"),"")</f>
        <v/>
      </c>
      <c r="N595" s="3" t="str">
        <f aca="false">IFERROR(__xludf.dummyfunction("if($T595&lt;&gt;"""",REGEXEXTRACT(SUBSTITUTE ($T595,N$1&amp;"" CE"",""""), N$1&amp;""[\w &amp;]*, (\d+\.\d+)""),"""")
"),"")</f>
        <v/>
      </c>
      <c r="O595" s="3" t="str">
        <f aca="false">IFERROR(__xludf.dummyfunction("if($T595&lt;&gt;"""",REGEXEXTRACT($T595, O$1&amp;""[\w &amp;]*, (\d+\.\d+)""),"""")
"),"")</f>
        <v/>
      </c>
      <c r="P595" s="2"/>
      <c r="Q595" s="2"/>
      <c r="R595" s="2"/>
      <c r="S595" s="2"/>
      <c r="T595" s="5"/>
      <c r="U595" s="5"/>
    </row>
    <row r="596" customFormat="false" ht="15.75" hidden="false" customHeight="false" outlineLevel="0" collapsed="false">
      <c r="A596" s="4"/>
      <c r="B596" s="2"/>
      <c r="C596" s="2"/>
      <c r="D596" s="2"/>
      <c r="E596" s="2"/>
      <c r="F596" s="3" t="str">
        <f aca="false">IFERROR(__xludf.dummyfunction("if($T596&lt;&gt;"""",REGEXEXTRACT(SUBSTITUTE ($T596,F$1&amp;"" CE"",""""), F$1&amp;""[\w &amp;]*, (\d+\.\d+)""),"""")
"),"")</f>
        <v/>
      </c>
      <c r="G596" s="3" t="str">
        <f aca="false">IFERROR(__xludf.dummyfunction("if($T596&lt;&gt;"""",REGEXEXTRACT($T596, G$1&amp;""[\w &amp;]*, (\d+\.\d+)""),"""")
"),"")</f>
        <v/>
      </c>
      <c r="H596" s="3"/>
      <c r="I596" s="3" t="str">
        <f aca="false">IFERROR(__xludf.dummyfunction("if($T596&lt;&gt;"""",REGEXEXTRACT(SUBSTITUTE ($T596,I$1&amp;"" CE"",""""), I$1&amp;""[\w &amp;]*, (\d+\.\d+)""),"""")
"),"")</f>
        <v/>
      </c>
      <c r="J596" s="3" t="str">
        <f aca="false">IFERROR(__xludf.dummyfunction("if($T596&lt;&gt;"""",REGEXEXTRACT($T596, J$1&amp;""[\w &amp;]*, (\d+\.\d+)""),"""")
"),"")</f>
        <v/>
      </c>
      <c r="K596" s="3"/>
      <c r="L596" s="3" t="str">
        <f aca="false">IFERROR(__xludf.dummyfunction("if($T596&lt;&gt;"""",REGEXEXTRACT(SUBSTITUTE ($T596,L$1&amp;"" CE"",""""), L$1&amp;""[\w &amp;]*, (\d+\.\d+)""),"""")
"),"")</f>
        <v/>
      </c>
      <c r="M596" s="3" t="str">
        <f aca="false">IFERROR(__xludf.dummyfunction("if($T596&lt;&gt;"""",REGEXEXTRACT($T596, M$1&amp;""[\w &amp;]*, (\d+\.\d+)""),"""")
"),"")</f>
        <v/>
      </c>
      <c r="N596" s="3" t="str">
        <f aca="false">IFERROR(__xludf.dummyfunction("if($T596&lt;&gt;"""",REGEXEXTRACT(SUBSTITUTE ($T596,N$1&amp;"" CE"",""""), N$1&amp;""[\w &amp;]*, (\d+\.\d+)""),"""")
"),"")</f>
        <v/>
      </c>
      <c r="O596" s="3" t="str">
        <f aca="false">IFERROR(__xludf.dummyfunction("if($T596&lt;&gt;"""",REGEXEXTRACT($T596, O$1&amp;""[\w &amp;]*, (\d+\.\d+)""),"""")
"),"")</f>
        <v/>
      </c>
      <c r="P596" s="2"/>
      <c r="Q596" s="2"/>
      <c r="R596" s="2"/>
      <c r="S596" s="2"/>
      <c r="T596" s="5"/>
      <c r="U596" s="5"/>
    </row>
    <row r="597" customFormat="false" ht="15.75" hidden="false" customHeight="false" outlineLevel="0" collapsed="false">
      <c r="A597" s="4"/>
      <c r="B597" s="2"/>
      <c r="C597" s="2"/>
      <c r="D597" s="2"/>
      <c r="E597" s="2"/>
      <c r="F597" s="3" t="str">
        <f aca="false">IFERROR(__xludf.dummyfunction("if($T597&lt;&gt;"""",REGEXEXTRACT(SUBSTITUTE ($T597,F$1&amp;"" CE"",""""), F$1&amp;""[\w &amp;]*, (\d+\.\d+)""),"""")
"),"")</f>
        <v/>
      </c>
      <c r="G597" s="3" t="str">
        <f aca="false">IFERROR(__xludf.dummyfunction("if($T597&lt;&gt;"""",REGEXEXTRACT($T597, G$1&amp;""[\w &amp;]*, (\d+\.\d+)""),"""")
"),"")</f>
        <v/>
      </c>
      <c r="H597" s="3"/>
      <c r="I597" s="3" t="str">
        <f aca="false">IFERROR(__xludf.dummyfunction("if($T597&lt;&gt;"""",REGEXEXTRACT(SUBSTITUTE ($T597,I$1&amp;"" CE"",""""), I$1&amp;""[\w &amp;]*, (\d+\.\d+)""),"""")
"),"")</f>
        <v/>
      </c>
      <c r="J597" s="3" t="str">
        <f aca="false">IFERROR(__xludf.dummyfunction("if($T597&lt;&gt;"""",REGEXEXTRACT($T597, J$1&amp;""[\w &amp;]*, (\d+\.\d+)""),"""")
"),"")</f>
        <v/>
      </c>
      <c r="K597" s="3"/>
      <c r="L597" s="3" t="str">
        <f aca="false">IFERROR(__xludf.dummyfunction("if($T597&lt;&gt;"""",REGEXEXTRACT(SUBSTITUTE ($T597,L$1&amp;"" CE"",""""), L$1&amp;""[\w &amp;]*, (\d+\.\d+)""),"""")
"),"")</f>
        <v/>
      </c>
      <c r="M597" s="3" t="str">
        <f aca="false">IFERROR(__xludf.dummyfunction("if($T597&lt;&gt;"""",REGEXEXTRACT($T597, M$1&amp;""[\w &amp;]*, (\d+\.\d+)""),"""")
"),"")</f>
        <v/>
      </c>
      <c r="N597" s="3" t="str">
        <f aca="false">IFERROR(__xludf.dummyfunction("if($T597&lt;&gt;"""",REGEXEXTRACT(SUBSTITUTE ($T597,N$1&amp;"" CE"",""""), N$1&amp;""[\w &amp;]*, (\d+\.\d+)""),"""")
"),"")</f>
        <v/>
      </c>
      <c r="O597" s="3" t="str">
        <f aca="false">IFERROR(__xludf.dummyfunction("if($T597&lt;&gt;"""",REGEXEXTRACT($T597, O$1&amp;""[\w &amp;]*, (\d+\.\d+)""),"""")
"),"")</f>
        <v/>
      </c>
      <c r="P597" s="2"/>
      <c r="Q597" s="2"/>
      <c r="R597" s="2"/>
      <c r="S597" s="2"/>
      <c r="T597" s="5"/>
      <c r="U597" s="5"/>
    </row>
    <row r="598" customFormat="false" ht="15.75" hidden="false" customHeight="false" outlineLevel="0" collapsed="false">
      <c r="A598" s="4"/>
      <c r="B598" s="2"/>
      <c r="C598" s="2"/>
      <c r="D598" s="2"/>
      <c r="E598" s="2"/>
      <c r="F598" s="3" t="str">
        <f aca="false">IFERROR(__xludf.dummyfunction("if($T598&lt;&gt;"""",REGEXEXTRACT(SUBSTITUTE ($T598,F$1&amp;"" CE"",""""), F$1&amp;""[\w &amp;]*, (\d+\.\d+)""),"""")
"),"")</f>
        <v/>
      </c>
      <c r="G598" s="3" t="str">
        <f aca="false">IFERROR(__xludf.dummyfunction("if($T598&lt;&gt;"""",REGEXEXTRACT($T598, G$1&amp;""[\w &amp;]*, (\d+\.\d+)""),"""")
"),"")</f>
        <v/>
      </c>
      <c r="H598" s="3"/>
      <c r="I598" s="3" t="str">
        <f aca="false">IFERROR(__xludf.dummyfunction("if($T598&lt;&gt;"""",REGEXEXTRACT(SUBSTITUTE ($T598,I$1&amp;"" CE"",""""), I$1&amp;""[\w &amp;]*, (\d+\.\d+)""),"""")
"),"")</f>
        <v/>
      </c>
      <c r="J598" s="3" t="str">
        <f aca="false">IFERROR(__xludf.dummyfunction("if($T598&lt;&gt;"""",REGEXEXTRACT($T598, J$1&amp;""[\w &amp;]*, (\d+\.\d+)""),"""")
"),"")</f>
        <v/>
      </c>
      <c r="K598" s="3"/>
      <c r="L598" s="3" t="str">
        <f aca="false">IFERROR(__xludf.dummyfunction("if($T598&lt;&gt;"""",REGEXEXTRACT(SUBSTITUTE ($T598,L$1&amp;"" CE"",""""), L$1&amp;""[\w &amp;]*, (\d+\.\d+)""),"""")
"),"")</f>
        <v/>
      </c>
      <c r="M598" s="3" t="str">
        <f aca="false">IFERROR(__xludf.dummyfunction("if($T598&lt;&gt;"""",REGEXEXTRACT($T598, M$1&amp;""[\w &amp;]*, (\d+\.\d+)""),"""")
"),"")</f>
        <v/>
      </c>
      <c r="N598" s="3" t="str">
        <f aca="false">IFERROR(__xludf.dummyfunction("if($T598&lt;&gt;"""",REGEXEXTRACT(SUBSTITUTE ($T598,N$1&amp;"" CE"",""""), N$1&amp;""[\w &amp;]*, (\d+\.\d+)""),"""")
"),"")</f>
        <v/>
      </c>
      <c r="O598" s="3" t="str">
        <f aca="false">IFERROR(__xludf.dummyfunction("if($T598&lt;&gt;"""",REGEXEXTRACT($T598, O$1&amp;""[\w &amp;]*, (\d+\.\d+)""),"""")
"),"")</f>
        <v/>
      </c>
      <c r="P598" s="2"/>
      <c r="Q598" s="2"/>
      <c r="R598" s="2"/>
      <c r="S598" s="2"/>
      <c r="T598" s="5"/>
      <c r="U598" s="5"/>
    </row>
    <row r="599" customFormat="false" ht="15.75" hidden="false" customHeight="false" outlineLevel="0" collapsed="false">
      <c r="A599" s="4"/>
      <c r="B599" s="2"/>
      <c r="C599" s="2"/>
      <c r="D599" s="2"/>
      <c r="E599" s="2"/>
      <c r="F599" s="3" t="str">
        <f aca="false">IFERROR(__xludf.dummyfunction("if($T599&lt;&gt;"""",REGEXEXTRACT(SUBSTITUTE ($T599,F$1&amp;"" CE"",""""), F$1&amp;""[\w &amp;]*, (\d+\.\d+)""),"""")
"),"")</f>
        <v/>
      </c>
      <c r="G599" s="3" t="str">
        <f aca="false">IFERROR(__xludf.dummyfunction("if($T599&lt;&gt;"""",REGEXEXTRACT($T599, G$1&amp;""[\w &amp;]*, (\d+\.\d+)""),"""")
"),"")</f>
        <v/>
      </c>
      <c r="H599" s="3"/>
      <c r="I599" s="3" t="str">
        <f aca="false">IFERROR(__xludf.dummyfunction("if($T599&lt;&gt;"""",REGEXEXTRACT(SUBSTITUTE ($T599,I$1&amp;"" CE"",""""), I$1&amp;""[\w &amp;]*, (\d+\.\d+)""),"""")
"),"")</f>
        <v/>
      </c>
      <c r="J599" s="3" t="str">
        <f aca="false">IFERROR(__xludf.dummyfunction("if($T599&lt;&gt;"""",REGEXEXTRACT($T599, J$1&amp;""[\w &amp;]*, (\d+\.\d+)""),"""")
"),"")</f>
        <v/>
      </c>
      <c r="K599" s="3"/>
      <c r="L599" s="3" t="str">
        <f aca="false">IFERROR(__xludf.dummyfunction("if($T599&lt;&gt;"""",REGEXEXTRACT(SUBSTITUTE ($T599,L$1&amp;"" CE"",""""), L$1&amp;""[\w &amp;]*, (\d+\.\d+)""),"""")
"),"")</f>
        <v/>
      </c>
      <c r="M599" s="3" t="str">
        <f aca="false">IFERROR(__xludf.dummyfunction("if($T599&lt;&gt;"""",REGEXEXTRACT($T599, M$1&amp;""[\w &amp;]*, (\d+\.\d+)""),"""")
"),"")</f>
        <v/>
      </c>
      <c r="N599" s="3" t="str">
        <f aca="false">IFERROR(__xludf.dummyfunction("if($T599&lt;&gt;"""",REGEXEXTRACT(SUBSTITUTE ($T599,N$1&amp;"" CE"",""""), N$1&amp;""[\w &amp;]*, (\d+\.\d+)""),"""")
"),"")</f>
        <v/>
      </c>
      <c r="O599" s="3" t="str">
        <f aca="false">IFERROR(__xludf.dummyfunction("if($T599&lt;&gt;"""",REGEXEXTRACT($T599, O$1&amp;""[\w &amp;]*, (\d+\.\d+)""),"""")
"),"")</f>
        <v/>
      </c>
      <c r="P599" s="2"/>
      <c r="Q599" s="2"/>
      <c r="R599" s="2"/>
      <c r="S599" s="2"/>
      <c r="T599" s="5"/>
      <c r="U599" s="5"/>
    </row>
    <row r="600" customFormat="false" ht="15.75" hidden="false" customHeight="false" outlineLevel="0" collapsed="false">
      <c r="A600" s="4"/>
      <c r="B600" s="2"/>
      <c r="C600" s="2"/>
      <c r="D600" s="2"/>
      <c r="E600" s="2"/>
      <c r="F600" s="3" t="str">
        <f aca="false">IFERROR(__xludf.dummyfunction("if($T600&lt;&gt;"""",REGEXEXTRACT(SUBSTITUTE ($T600,F$1&amp;"" CE"",""""), F$1&amp;""[\w &amp;]*, (\d+\.\d+)""),"""")
"),"")</f>
        <v/>
      </c>
      <c r="G600" s="3" t="str">
        <f aca="false">IFERROR(__xludf.dummyfunction("if($T600&lt;&gt;"""",REGEXEXTRACT($T600, G$1&amp;""[\w &amp;]*, (\d+\.\d+)""),"""")
"),"")</f>
        <v/>
      </c>
      <c r="H600" s="3"/>
      <c r="I600" s="3" t="str">
        <f aca="false">IFERROR(__xludf.dummyfunction("if($T600&lt;&gt;"""",REGEXEXTRACT(SUBSTITUTE ($T600,I$1&amp;"" CE"",""""), I$1&amp;""[\w &amp;]*, (\d+\.\d+)""),"""")
"),"")</f>
        <v/>
      </c>
      <c r="J600" s="3" t="str">
        <f aca="false">IFERROR(__xludf.dummyfunction("if($T600&lt;&gt;"""",REGEXEXTRACT($T600, J$1&amp;""[\w &amp;]*, (\d+\.\d+)""),"""")
"),"")</f>
        <v/>
      </c>
      <c r="K600" s="3"/>
      <c r="L600" s="3" t="str">
        <f aca="false">IFERROR(__xludf.dummyfunction("if($T600&lt;&gt;"""",REGEXEXTRACT(SUBSTITUTE ($T600,L$1&amp;"" CE"",""""), L$1&amp;""[\w &amp;]*, (\d+\.\d+)""),"""")
"),"")</f>
        <v/>
      </c>
      <c r="M600" s="3" t="str">
        <f aca="false">IFERROR(__xludf.dummyfunction("if($T600&lt;&gt;"""",REGEXEXTRACT($T600, M$1&amp;""[\w &amp;]*, (\d+\.\d+)""),"""")
"),"")</f>
        <v/>
      </c>
      <c r="N600" s="3" t="str">
        <f aca="false">IFERROR(__xludf.dummyfunction("if($T600&lt;&gt;"""",REGEXEXTRACT(SUBSTITUTE ($T600,N$1&amp;"" CE"",""""), N$1&amp;""[\w &amp;]*, (\d+\.\d+)""),"""")
"),"")</f>
        <v/>
      </c>
      <c r="O600" s="3" t="str">
        <f aca="false">IFERROR(__xludf.dummyfunction("if($T600&lt;&gt;"""",REGEXEXTRACT($T600, O$1&amp;""[\w &amp;]*, (\d+\.\d+)""),"""")
"),"")</f>
        <v/>
      </c>
      <c r="P600" s="2"/>
      <c r="Q600" s="2"/>
      <c r="R600" s="2"/>
      <c r="S600" s="2"/>
      <c r="T600" s="5"/>
      <c r="U600" s="5"/>
    </row>
    <row r="601" customFormat="false" ht="15.75" hidden="false" customHeight="false" outlineLevel="0" collapsed="false">
      <c r="A601" s="4"/>
      <c r="B601" s="2"/>
      <c r="C601" s="2"/>
      <c r="D601" s="2"/>
      <c r="E601" s="2"/>
      <c r="F601" s="3" t="str">
        <f aca="false">IFERROR(__xludf.dummyfunction("if($T601&lt;&gt;"""",REGEXEXTRACT(SUBSTITUTE ($T601,F$1&amp;"" CE"",""""), F$1&amp;""[\w &amp;]*, (\d+\.\d+)""),"""")
"),"")</f>
        <v/>
      </c>
      <c r="G601" s="3" t="str">
        <f aca="false">IFERROR(__xludf.dummyfunction("if($T601&lt;&gt;"""",REGEXEXTRACT($T601, G$1&amp;""[\w &amp;]*, (\d+\.\d+)""),"""")
"),"")</f>
        <v/>
      </c>
      <c r="H601" s="3"/>
      <c r="I601" s="3" t="str">
        <f aca="false">IFERROR(__xludf.dummyfunction("if($T601&lt;&gt;"""",REGEXEXTRACT(SUBSTITUTE ($T601,I$1&amp;"" CE"",""""), I$1&amp;""[\w &amp;]*, (\d+\.\d+)""),"""")
"),"")</f>
        <v/>
      </c>
      <c r="J601" s="3" t="str">
        <f aca="false">IFERROR(__xludf.dummyfunction("if($T601&lt;&gt;"""",REGEXEXTRACT($T601, J$1&amp;""[\w &amp;]*, (\d+\.\d+)""),"""")
"),"")</f>
        <v/>
      </c>
      <c r="K601" s="3"/>
      <c r="L601" s="3" t="str">
        <f aca="false">IFERROR(__xludf.dummyfunction("if($T601&lt;&gt;"""",REGEXEXTRACT(SUBSTITUTE ($T601,L$1&amp;"" CE"",""""), L$1&amp;""[\w &amp;]*, (\d+\.\d+)""),"""")
"),"")</f>
        <v/>
      </c>
      <c r="M601" s="3" t="str">
        <f aca="false">IFERROR(__xludf.dummyfunction("if($T601&lt;&gt;"""",REGEXEXTRACT($T601, M$1&amp;""[\w &amp;]*, (\d+\.\d+)""),"""")
"),"")</f>
        <v/>
      </c>
      <c r="N601" s="3" t="str">
        <f aca="false">IFERROR(__xludf.dummyfunction("if($T601&lt;&gt;"""",REGEXEXTRACT(SUBSTITUTE ($T601,N$1&amp;"" CE"",""""), N$1&amp;""[\w &amp;]*, (\d+\.\d+)""),"""")
"),"")</f>
        <v/>
      </c>
      <c r="O601" s="3" t="str">
        <f aca="false">IFERROR(__xludf.dummyfunction("if($T601&lt;&gt;"""",REGEXEXTRACT($T601, O$1&amp;""[\w &amp;]*, (\d+\.\d+)""),"""")
"),"")</f>
        <v/>
      </c>
      <c r="P601" s="2"/>
      <c r="Q601" s="2"/>
      <c r="R601" s="2"/>
      <c r="S601" s="2"/>
      <c r="T601" s="5"/>
      <c r="U601" s="5"/>
    </row>
    <row r="602" customFormat="false" ht="15.75" hidden="false" customHeight="false" outlineLevel="0" collapsed="false">
      <c r="A602" s="4"/>
      <c r="B602" s="2"/>
      <c r="C602" s="2"/>
      <c r="D602" s="2"/>
      <c r="E602" s="2"/>
      <c r="F602" s="3" t="str">
        <f aca="false">IFERROR(__xludf.dummyfunction("if($T602&lt;&gt;"""",REGEXEXTRACT(SUBSTITUTE ($T602,F$1&amp;"" CE"",""""), F$1&amp;""[\w &amp;]*, (\d+\.\d+)""),"""")
"),"")</f>
        <v/>
      </c>
      <c r="G602" s="3" t="str">
        <f aca="false">IFERROR(__xludf.dummyfunction("if($T602&lt;&gt;"""",REGEXEXTRACT($T602, G$1&amp;""[\w &amp;]*, (\d+\.\d+)""),"""")
"),"")</f>
        <v/>
      </c>
      <c r="H602" s="3"/>
      <c r="I602" s="3" t="str">
        <f aca="false">IFERROR(__xludf.dummyfunction("if($T602&lt;&gt;"""",REGEXEXTRACT(SUBSTITUTE ($T602,I$1&amp;"" CE"",""""), I$1&amp;""[\w &amp;]*, (\d+\.\d+)""),"""")
"),"")</f>
        <v/>
      </c>
      <c r="J602" s="3" t="str">
        <f aca="false">IFERROR(__xludf.dummyfunction("if($T602&lt;&gt;"""",REGEXEXTRACT($T602, J$1&amp;""[\w &amp;]*, (\d+\.\d+)""),"""")
"),"")</f>
        <v/>
      </c>
      <c r="K602" s="3"/>
      <c r="L602" s="3" t="str">
        <f aca="false">IFERROR(__xludf.dummyfunction("if($T602&lt;&gt;"""",REGEXEXTRACT(SUBSTITUTE ($T602,L$1&amp;"" CE"",""""), L$1&amp;""[\w &amp;]*, (\d+\.\d+)""),"""")
"),"")</f>
        <v/>
      </c>
      <c r="M602" s="3" t="str">
        <f aca="false">IFERROR(__xludf.dummyfunction("if($T602&lt;&gt;"""",REGEXEXTRACT($T602, M$1&amp;""[\w &amp;]*, (\d+\.\d+)""),"""")
"),"")</f>
        <v/>
      </c>
      <c r="N602" s="3" t="str">
        <f aca="false">IFERROR(__xludf.dummyfunction("if($T602&lt;&gt;"""",REGEXEXTRACT(SUBSTITUTE ($T602,N$1&amp;"" CE"",""""), N$1&amp;""[\w &amp;]*, (\d+\.\d+)""),"""")
"),"")</f>
        <v/>
      </c>
      <c r="O602" s="3" t="str">
        <f aca="false">IFERROR(__xludf.dummyfunction("if($T602&lt;&gt;"""",REGEXEXTRACT($T602, O$1&amp;""[\w &amp;]*, (\d+\.\d+)""),"""")
"),"")</f>
        <v/>
      </c>
      <c r="P602" s="2"/>
      <c r="Q602" s="2"/>
      <c r="R602" s="2"/>
      <c r="S602" s="2"/>
      <c r="T602" s="5"/>
      <c r="U602" s="5"/>
    </row>
    <row r="603" customFormat="false" ht="15.75" hidden="false" customHeight="false" outlineLevel="0" collapsed="false">
      <c r="A603" s="4"/>
      <c r="B603" s="2"/>
      <c r="C603" s="2"/>
      <c r="D603" s="2"/>
      <c r="E603" s="2"/>
      <c r="F603" s="3" t="str">
        <f aca="false">IFERROR(__xludf.dummyfunction("if($T603&lt;&gt;"""",REGEXEXTRACT(SUBSTITUTE ($T603,F$1&amp;"" CE"",""""), F$1&amp;""[\w &amp;]*, (\d+\.\d+)""),"""")
"),"")</f>
        <v/>
      </c>
      <c r="G603" s="3" t="str">
        <f aca="false">IFERROR(__xludf.dummyfunction("if($T603&lt;&gt;"""",REGEXEXTRACT($T603, G$1&amp;""[\w &amp;]*, (\d+\.\d+)""),"""")
"),"")</f>
        <v/>
      </c>
      <c r="H603" s="3"/>
      <c r="I603" s="3" t="str">
        <f aca="false">IFERROR(__xludf.dummyfunction("if($T603&lt;&gt;"""",REGEXEXTRACT(SUBSTITUTE ($T603,I$1&amp;"" CE"",""""), I$1&amp;""[\w &amp;]*, (\d+\.\d+)""),"""")
"),"")</f>
        <v/>
      </c>
      <c r="J603" s="3" t="str">
        <f aca="false">IFERROR(__xludf.dummyfunction("if($T603&lt;&gt;"""",REGEXEXTRACT($T603, J$1&amp;""[\w &amp;]*, (\d+\.\d+)""),"""")
"),"")</f>
        <v/>
      </c>
      <c r="K603" s="3"/>
      <c r="L603" s="3" t="str">
        <f aca="false">IFERROR(__xludf.dummyfunction("if($T603&lt;&gt;"""",REGEXEXTRACT(SUBSTITUTE ($T603,L$1&amp;"" CE"",""""), L$1&amp;""[\w &amp;]*, (\d+\.\d+)""),"""")
"),"")</f>
        <v/>
      </c>
      <c r="M603" s="3" t="str">
        <f aca="false">IFERROR(__xludf.dummyfunction("if($T603&lt;&gt;"""",REGEXEXTRACT($T603, M$1&amp;""[\w &amp;]*, (\d+\.\d+)""),"""")
"),"")</f>
        <v/>
      </c>
      <c r="N603" s="3" t="str">
        <f aca="false">IFERROR(__xludf.dummyfunction("if($T603&lt;&gt;"""",REGEXEXTRACT(SUBSTITUTE ($T603,N$1&amp;"" CE"",""""), N$1&amp;""[\w &amp;]*, (\d+\.\d+)""),"""")
"),"")</f>
        <v/>
      </c>
      <c r="O603" s="3" t="str">
        <f aca="false">IFERROR(__xludf.dummyfunction("if($T603&lt;&gt;"""",REGEXEXTRACT($T603, O$1&amp;""[\w &amp;]*, (\d+\.\d+)""),"""")
"),"")</f>
        <v/>
      </c>
      <c r="P603" s="2"/>
      <c r="Q603" s="2"/>
      <c r="R603" s="2"/>
      <c r="S603" s="2"/>
      <c r="T603" s="5"/>
      <c r="U603" s="5"/>
    </row>
    <row r="604" customFormat="false" ht="15.75" hidden="false" customHeight="false" outlineLevel="0" collapsed="false">
      <c r="A604" s="4"/>
      <c r="B604" s="2"/>
      <c r="C604" s="2"/>
      <c r="D604" s="2"/>
      <c r="E604" s="2"/>
      <c r="F604" s="3" t="str">
        <f aca="false">IFERROR(__xludf.dummyfunction("if($T604&lt;&gt;"""",REGEXEXTRACT(SUBSTITUTE ($T604,F$1&amp;"" CE"",""""), F$1&amp;""[\w &amp;]*, (\d+\.\d+)""),"""")
"),"")</f>
        <v/>
      </c>
      <c r="G604" s="3" t="str">
        <f aca="false">IFERROR(__xludf.dummyfunction("if($T604&lt;&gt;"""",REGEXEXTRACT($T604, G$1&amp;""[\w &amp;]*, (\d+\.\d+)""),"""")
"),"")</f>
        <v/>
      </c>
      <c r="H604" s="3"/>
      <c r="I604" s="3" t="str">
        <f aca="false">IFERROR(__xludf.dummyfunction("if($T604&lt;&gt;"""",REGEXEXTRACT(SUBSTITUTE ($T604,I$1&amp;"" CE"",""""), I$1&amp;""[\w &amp;]*, (\d+\.\d+)""),"""")
"),"")</f>
        <v/>
      </c>
      <c r="J604" s="3" t="str">
        <f aca="false">IFERROR(__xludf.dummyfunction("if($T604&lt;&gt;"""",REGEXEXTRACT($T604, J$1&amp;""[\w &amp;]*, (\d+\.\d+)""),"""")
"),"")</f>
        <v/>
      </c>
      <c r="K604" s="3"/>
      <c r="L604" s="3" t="str">
        <f aca="false">IFERROR(__xludf.dummyfunction("if($T604&lt;&gt;"""",REGEXEXTRACT(SUBSTITUTE ($T604,L$1&amp;"" CE"",""""), L$1&amp;""[\w &amp;]*, (\d+\.\d+)""),"""")
"),"")</f>
        <v/>
      </c>
      <c r="M604" s="3" t="str">
        <f aca="false">IFERROR(__xludf.dummyfunction("if($T604&lt;&gt;"""",REGEXEXTRACT($T604, M$1&amp;""[\w &amp;]*, (\d+\.\d+)""),"""")
"),"")</f>
        <v/>
      </c>
      <c r="N604" s="3" t="str">
        <f aca="false">IFERROR(__xludf.dummyfunction("if($T604&lt;&gt;"""",REGEXEXTRACT(SUBSTITUTE ($T604,N$1&amp;"" CE"",""""), N$1&amp;""[\w &amp;]*, (\d+\.\d+)""),"""")
"),"")</f>
        <v/>
      </c>
      <c r="O604" s="3" t="str">
        <f aca="false">IFERROR(__xludf.dummyfunction("if($T604&lt;&gt;"""",REGEXEXTRACT($T604, O$1&amp;""[\w &amp;]*, (\d+\.\d+)""),"""")
"),"")</f>
        <v/>
      </c>
      <c r="P604" s="2"/>
      <c r="Q604" s="2"/>
      <c r="R604" s="2"/>
      <c r="S604" s="2"/>
      <c r="T604" s="5"/>
      <c r="U604" s="5"/>
    </row>
    <row r="605" customFormat="false" ht="15.75" hidden="false" customHeight="false" outlineLevel="0" collapsed="false">
      <c r="A605" s="4"/>
      <c r="B605" s="2"/>
      <c r="C605" s="2"/>
      <c r="D605" s="2"/>
      <c r="E605" s="2"/>
      <c r="F605" s="3" t="str">
        <f aca="false">IFERROR(__xludf.dummyfunction("if($T605&lt;&gt;"""",REGEXEXTRACT(SUBSTITUTE ($T605,F$1&amp;"" CE"",""""), F$1&amp;""[\w &amp;]*, (\d+\.\d+)""),"""")
"),"")</f>
        <v/>
      </c>
      <c r="G605" s="3" t="str">
        <f aca="false">IFERROR(__xludf.dummyfunction("if($T605&lt;&gt;"""",REGEXEXTRACT($T605, G$1&amp;""[\w &amp;]*, (\d+\.\d+)""),"""")
"),"")</f>
        <v/>
      </c>
      <c r="H605" s="3"/>
      <c r="I605" s="3" t="str">
        <f aca="false">IFERROR(__xludf.dummyfunction("if($T605&lt;&gt;"""",REGEXEXTRACT(SUBSTITUTE ($T605,I$1&amp;"" CE"",""""), I$1&amp;""[\w &amp;]*, (\d+\.\d+)""),"""")
"),"")</f>
        <v/>
      </c>
      <c r="J605" s="3" t="str">
        <f aca="false">IFERROR(__xludf.dummyfunction("if($T605&lt;&gt;"""",REGEXEXTRACT($T605, J$1&amp;""[\w &amp;]*, (\d+\.\d+)""),"""")
"),"")</f>
        <v/>
      </c>
      <c r="K605" s="3"/>
      <c r="L605" s="3" t="str">
        <f aca="false">IFERROR(__xludf.dummyfunction("if($T605&lt;&gt;"""",REGEXEXTRACT(SUBSTITUTE ($T605,L$1&amp;"" CE"",""""), L$1&amp;""[\w &amp;]*, (\d+\.\d+)""),"""")
"),"")</f>
        <v/>
      </c>
      <c r="M605" s="3" t="str">
        <f aca="false">IFERROR(__xludf.dummyfunction("if($T605&lt;&gt;"""",REGEXEXTRACT($T605, M$1&amp;""[\w &amp;]*, (\d+\.\d+)""),"""")
"),"")</f>
        <v/>
      </c>
      <c r="N605" s="3" t="str">
        <f aca="false">IFERROR(__xludf.dummyfunction("if($T605&lt;&gt;"""",REGEXEXTRACT(SUBSTITUTE ($T605,N$1&amp;"" CE"",""""), N$1&amp;""[\w &amp;]*, (\d+\.\d+)""),"""")
"),"")</f>
        <v/>
      </c>
      <c r="O605" s="3" t="str">
        <f aca="false">IFERROR(__xludf.dummyfunction("if($T605&lt;&gt;"""",REGEXEXTRACT($T605, O$1&amp;""[\w &amp;]*, (\d+\.\d+)""),"""")
"),"")</f>
        <v/>
      </c>
      <c r="P605" s="2"/>
      <c r="Q605" s="2"/>
      <c r="R605" s="2"/>
      <c r="S605" s="2"/>
      <c r="T605" s="5"/>
      <c r="U605" s="5"/>
    </row>
    <row r="606" customFormat="false" ht="15.75" hidden="false" customHeight="false" outlineLevel="0" collapsed="false">
      <c r="A606" s="4"/>
      <c r="B606" s="2"/>
      <c r="C606" s="2"/>
      <c r="D606" s="2"/>
      <c r="E606" s="2"/>
      <c r="F606" s="3" t="str">
        <f aca="false">IFERROR(__xludf.dummyfunction("if($T606&lt;&gt;"""",REGEXEXTRACT(SUBSTITUTE ($T606,F$1&amp;"" CE"",""""), F$1&amp;""[\w &amp;]*, (\d+\.\d+)""),"""")
"),"")</f>
        <v/>
      </c>
      <c r="G606" s="3" t="str">
        <f aca="false">IFERROR(__xludf.dummyfunction("if($T606&lt;&gt;"""",REGEXEXTRACT($T606, G$1&amp;""[\w &amp;]*, (\d+\.\d+)""),"""")
"),"")</f>
        <v/>
      </c>
      <c r="H606" s="3"/>
      <c r="I606" s="3" t="str">
        <f aca="false">IFERROR(__xludf.dummyfunction("if($T606&lt;&gt;"""",REGEXEXTRACT(SUBSTITUTE ($T606,I$1&amp;"" CE"",""""), I$1&amp;""[\w &amp;]*, (\d+\.\d+)""),"""")
"),"")</f>
        <v/>
      </c>
      <c r="J606" s="3" t="str">
        <f aca="false">IFERROR(__xludf.dummyfunction("if($T606&lt;&gt;"""",REGEXEXTRACT($T606, J$1&amp;""[\w &amp;]*, (\d+\.\d+)""),"""")
"),"")</f>
        <v/>
      </c>
      <c r="K606" s="3"/>
      <c r="L606" s="3" t="str">
        <f aca="false">IFERROR(__xludf.dummyfunction("if($T606&lt;&gt;"""",REGEXEXTRACT(SUBSTITUTE ($T606,L$1&amp;"" CE"",""""), L$1&amp;""[\w &amp;]*, (\d+\.\d+)""),"""")
"),"")</f>
        <v/>
      </c>
      <c r="M606" s="3" t="str">
        <f aca="false">IFERROR(__xludf.dummyfunction("if($T606&lt;&gt;"""",REGEXEXTRACT($T606, M$1&amp;""[\w &amp;]*, (\d+\.\d+)""),"""")
"),"")</f>
        <v/>
      </c>
      <c r="N606" s="3" t="str">
        <f aca="false">IFERROR(__xludf.dummyfunction("if($T606&lt;&gt;"""",REGEXEXTRACT(SUBSTITUTE ($T606,N$1&amp;"" CE"",""""), N$1&amp;""[\w &amp;]*, (\d+\.\d+)""),"""")
"),"")</f>
        <v/>
      </c>
      <c r="O606" s="3" t="str">
        <f aca="false">IFERROR(__xludf.dummyfunction("if($T606&lt;&gt;"""",REGEXEXTRACT($T606, O$1&amp;""[\w &amp;]*, (\d+\.\d+)""),"""")
"),"")</f>
        <v/>
      </c>
      <c r="P606" s="2"/>
      <c r="Q606" s="2"/>
      <c r="R606" s="2"/>
      <c r="S606" s="2"/>
      <c r="T606" s="5"/>
      <c r="U606" s="5"/>
    </row>
    <row r="607" customFormat="false" ht="15.75" hidden="false" customHeight="false" outlineLevel="0" collapsed="false">
      <c r="A607" s="4"/>
      <c r="B607" s="2"/>
      <c r="C607" s="2"/>
      <c r="D607" s="2"/>
      <c r="E607" s="2"/>
      <c r="F607" s="3" t="str">
        <f aca="false">IFERROR(__xludf.dummyfunction("if($T607&lt;&gt;"""",REGEXEXTRACT(SUBSTITUTE ($T607,F$1&amp;"" CE"",""""), F$1&amp;""[\w &amp;]*, (\d+\.\d+)""),"""")
"),"")</f>
        <v/>
      </c>
      <c r="G607" s="3" t="str">
        <f aca="false">IFERROR(__xludf.dummyfunction("if($T607&lt;&gt;"""",REGEXEXTRACT($T607, G$1&amp;""[\w &amp;]*, (\d+\.\d+)""),"""")
"),"")</f>
        <v/>
      </c>
      <c r="H607" s="3"/>
      <c r="I607" s="3" t="str">
        <f aca="false">IFERROR(__xludf.dummyfunction("if($T607&lt;&gt;"""",REGEXEXTRACT(SUBSTITUTE ($T607,I$1&amp;"" CE"",""""), I$1&amp;""[\w &amp;]*, (\d+\.\d+)""),"""")
"),"")</f>
        <v/>
      </c>
      <c r="J607" s="3" t="str">
        <f aca="false">IFERROR(__xludf.dummyfunction("if($T607&lt;&gt;"""",REGEXEXTRACT($T607, J$1&amp;""[\w &amp;]*, (\d+\.\d+)""),"""")
"),"")</f>
        <v/>
      </c>
      <c r="K607" s="3"/>
      <c r="L607" s="3" t="str">
        <f aca="false">IFERROR(__xludf.dummyfunction("if($T607&lt;&gt;"""",REGEXEXTRACT(SUBSTITUTE ($T607,L$1&amp;"" CE"",""""), L$1&amp;""[\w &amp;]*, (\d+\.\d+)""),"""")
"),"")</f>
        <v/>
      </c>
      <c r="M607" s="3" t="str">
        <f aca="false">IFERROR(__xludf.dummyfunction("if($T607&lt;&gt;"""",REGEXEXTRACT($T607, M$1&amp;""[\w &amp;]*, (\d+\.\d+)""),"""")
"),"")</f>
        <v/>
      </c>
      <c r="N607" s="3" t="str">
        <f aca="false">IFERROR(__xludf.dummyfunction("if($T607&lt;&gt;"""",REGEXEXTRACT(SUBSTITUTE ($T607,N$1&amp;"" CE"",""""), N$1&amp;""[\w &amp;]*, (\d+\.\d+)""),"""")
"),"")</f>
        <v/>
      </c>
      <c r="O607" s="3" t="str">
        <f aca="false">IFERROR(__xludf.dummyfunction("if($T607&lt;&gt;"""",REGEXEXTRACT($T607, O$1&amp;""[\w &amp;]*, (\d+\.\d+)""),"""")
"),"")</f>
        <v/>
      </c>
      <c r="P607" s="2"/>
      <c r="Q607" s="2"/>
      <c r="R607" s="2"/>
      <c r="S607" s="2"/>
      <c r="T607" s="5"/>
      <c r="U607" s="5"/>
    </row>
    <row r="608" customFormat="false" ht="15.75" hidden="false" customHeight="false" outlineLevel="0" collapsed="false">
      <c r="A608" s="4"/>
      <c r="B608" s="2"/>
      <c r="C608" s="2"/>
      <c r="D608" s="2"/>
      <c r="E608" s="2"/>
      <c r="F608" s="3" t="str">
        <f aca="false">IFERROR(__xludf.dummyfunction("if($T608&lt;&gt;"""",REGEXEXTRACT(SUBSTITUTE ($T608,F$1&amp;"" CE"",""""), F$1&amp;""[\w &amp;]*, (\d+\.\d+)""),"""")
"),"")</f>
        <v/>
      </c>
      <c r="G608" s="3" t="str">
        <f aca="false">IFERROR(__xludf.dummyfunction("if($T608&lt;&gt;"""",REGEXEXTRACT($T608, G$1&amp;""[\w &amp;]*, (\d+\.\d+)""),"""")
"),"")</f>
        <v/>
      </c>
      <c r="H608" s="3"/>
      <c r="I608" s="3" t="str">
        <f aca="false">IFERROR(__xludf.dummyfunction("if($T608&lt;&gt;"""",REGEXEXTRACT(SUBSTITUTE ($T608,I$1&amp;"" CE"",""""), I$1&amp;""[\w &amp;]*, (\d+\.\d+)""),"""")
"),"")</f>
        <v/>
      </c>
      <c r="J608" s="3" t="str">
        <f aca="false">IFERROR(__xludf.dummyfunction("if($T608&lt;&gt;"""",REGEXEXTRACT($T608, J$1&amp;""[\w &amp;]*, (\d+\.\d+)""),"""")
"),"")</f>
        <v/>
      </c>
      <c r="K608" s="3"/>
      <c r="L608" s="3" t="str">
        <f aca="false">IFERROR(__xludf.dummyfunction("if($T608&lt;&gt;"""",REGEXEXTRACT(SUBSTITUTE ($T608,L$1&amp;"" CE"",""""), L$1&amp;""[\w &amp;]*, (\d+\.\d+)""),"""")
"),"")</f>
        <v/>
      </c>
      <c r="M608" s="3" t="str">
        <f aca="false">IFERROR(__xludf.dummyfunction("if($T608&lt;&gt;"""",REGEXEXTRACT($T608, M$1&amp;""[\w &amp;]*, (\d+\.\d+)""),"""")
"),"")</f>
        <v/>
      </c>
      <c r="N608" s="3" t="str">
        <f aca="false">IFERROR(__xludf.dummyfunction("if($T608&lt;&gt;"""",REGEXEXTRACT(SUBSTITUTE ($T608,N$1&amp;"" CE"",""""), N$1&amp;""[\w &amp;]*, (\d+\.\d+)""),"""")
"),"")</f>
        <v/>
      </c>
      <c r="O608" s="3" t="str">
        <f aca="false">IFERROR(__xludf.dummyfunction("if($T608&lt;&gt;"""",REGEXEXTRACT($T608, O$1&amp;""[\w &amp;]*, (\d+\.\d+)""),"""")
"),"")</f>
        <v/>
      </c>
      <c r="P608" s="2"/>
      <c r="Q608" s="2"/>
      <c r="R608" s="2"/>
      <c r="S608" s="2"/>
      <c r="T608" s="5"/>
      <c r="U608" s="5"/>
    </row>
    <row r="609" customFormat="false" ht="15.75" hidden="false" customHeight="false" outlineLevel="0" collapsed="false">
      <c r="A609" s="4"/>
      <c r="B609" s="2"/>
      <c r="C609" s="2"/>
      <c r="D609" s="2"/>
      <c r="E609" s="2"/>
      <c r="F609" s="3" t="str">
        <f aca="false">IFERROR(__xludf.dummyfunction("if($T609&lt;&gt;"""",REGEXEXTRACT(SUBSTITUTE ($T609,F$1&amp;"" CE"",""""), F$1&amp;""[\w &amp;]*, (\d+\.\d+)""),"""")
"),"")</f>
        <v/>
      </c>
      <c r="G609" s="3" t="str">
        <f aca="false">IFERROR(__xludf.dummyfunction("if($T609&lt;&gt;"""",REGEXEXTRACT($T609, G$1&amp;""[\w &amp;]*, (\d+\.\d+)""),"""")
"),"")</f>
        <v/>
      </c>
      <c r="H609" s="3"/>
      <c r="I609" s="3" t="str">
        <f aca="false">IFERROR(__xludf.dummyfunction("if($T609&lt;&gt;"""",REGEXEXTRACT(SUBSTITUTE ($T609,I$1&amp;"" CE"",""""), I$1&amp;""[\w &amp;]*, (\d+\.\d+)""),"""")
"),"")</f>
        <v/>
      </c>
      <c r="J609" s="3" t="str">
        <f aca="false">IFERROR(__xludf.dummyfunction("if($T609&lt;&gt;"""",REGEXEXTRACT($T609, J$1&amp;""[\w &amp;]*, (\d+\.\d+)""),"""")
"),"")</f>
        <v/>
      </c>
      <c r="K609" s="3"/>
      <c r="L609" s="3" t="str">
        <f aca="false">IFERROR(__xludf.dummyfunction("if($T609&lt;&gt;"""",REGEXEXTRACT(SUBSTITUTE ($T609,L$1&amp;"" CE"",""""), L$1&amp;""[\w &amp;]*, (\d+\.\d+)""),"""")
"),"")</f>
        <v/>
      </c>
      <c r="M609" s="3" t="str">
        <f aca="false">IFERROR(__xludf.dummyfunction("if($T609&lt;&gt;"""",REGEXEXTRACT($T609, M$1&amp;""[\w &amp;]*, (\d+\.\d+)""),"""")
"),"")</f>
        <v/>
      </c>
      <c r="N609" s="3" t="str">
        <f aca="false">IFERROR(__xludf.dummyfunction("if($T609&lt;&gt;"""",REGEXEXTRACT(SUBSTITUTE ($T609,N$1&amp;"" CE"",""""), N$1&amp;""[\w &amp;]*, (\d+\.\d+)""),"""")
"),"")</f>
        <v/>
      </c>
      <c r="O609" s="3" t="str">
        <f aca="false">IFERROR(__xludf.dummyfunction("if($T609&lt;&gt;"""",REGEXEXTRACT($T609, O$1&amp;""[\w &amp;]*, (\d+\.\d+)""),"""")
"),"")</f>
        <v/>
      </c>
      <c r="P609" s="2"/>
      <c r="Q609" s="2"/>
      <c r="R609" s="2"/>
      <c r="S609" s="2"/>
      <c r="T609" s="5"/>
      <c r="U609" s="5"/>
    </row>
    <row r="610" customFormat="false" ht="15.75" hidden="false" customHeight="false" outlineLevel="0" collapsed="false">
      <c r="A610" s="4"/>
      <c r="B610" s="2"/>
      <c r="C610" s="2"/>
      <c r="D610" s="2"/>
      <c r="E610" s="2"/>
      <c r="F610" s="3" t="str">
        <f aca="false">IFERROR(__xludf.dummyfunction("if($T610&lt;&gt;"""",REGEXEXTRACT(SUBSTITUTE ($T610,F$1&amp;"" CE"",""""), F$1&amp;""[\w &amp;]*, (\d+\.\d+)""),"""")
"),"")</f>
        <v/>
      </c>
      <c r="G610" s="3" t="str">
        <f aca="false">IFERROR(__xludf.dummyfunction("if($T610&lt;&gt;"""",REGEXEXTRACT($T610, G$1&amp;""[\w &amp;]*, (\d+\.\d+)""),"""")
"),"")</f>
        <v/>
      </c>
      <c r="H610" s="3"/>
      <c r="I610" s="3" t="str">
        <f aca="false">IFERROR(__xludf.dummyfunction("if($T610&lt;&gt;"""",REGEXEXTRACT(SUBSTITUTE ($T610,I$1&amp;"" CE"",""""), I$1&amp;""[\w &amp;]*, (\d+\.\d+)""),"""")
"),"")</f>
        <v/>
      </c>
      <c r="J610" s="3" t="str">
        <f aca="false">IFERROR(__xludf.dummyfunction("if($T610&lt;&gt;"""",REGEXEXTRACT($T610, J$1&amp;""[\w &amp;]*, (\d+\.\d+)""),"""")
"),"")</f>
        <v/>
      </c>
      <c r="K610" s="3"/>
      <c r="L610" s="3" t="str">
        <f aca="false">IFERROR(__xludf.dummyfunction("if($T610&lt;&gt;"""",REGEXEXTRACT(SUBSTITUTE ($T610,L$1&amp;"" CE"",""""), L$1&amp;""[\w &amp;]*, (\d+\.\d+)""),"""")
"),"")</f>
        <v/>
      </c>
      <c r="M610" s="3" t="str">
        <f aca="false">IFERROR(__xludf.dummyfunction("if($T610&lt;&gt;"""",REGEXEXTRACT($T610, M$1&amp;""[\w &amp;]*, (\d+\.\d+)""),"""")
"),"")</f>
        <v/>
      </c>
      <c r="N610" s="3" t="str">
        <f aca="false">IFERROR(__xludf.dummyfunction("if($T610&lt;&gt;"""",REGEXEXTRACT(SUBSTITUTE ($T610,N$1&amp;"" CE"",""""), N$1&amp;""[\w &amp;]*, (\d+\.\d+)""),"""")
"),"")</f>
        <v/>
      </c>
      <c r="O610" s="3" t="str">
        <f aca="false">IFERROR(__xludf.dummyfunction("if($T610&lt;&gt;"""",REGEXEXTRACT($T610, O$1&amp;""[\w &amp;]*, (\d+\.\d+)""),"""")
"),"")</f>
        <v/>
      </c>
      <c r="P610" s="2"/>
      <c r="Q610" s="2"/>
      <c r="R610" s="2"/>
      <c r="S610" s="2"/>
      <c r="T610" s="5"/>
      <c r="U610" s="5"/>
    </row>
    <row r="611" customFormat="false" ht="15.75" hidden="false" customHeight="false" outlineLevel="0" collapsed="false">
      <c r="A611" s="4"/>
      <c r="B611" s="2"/>
      <c r="C611" s="2"/>
      <c r="D611" s="2"/>
      <c r="E611" s="2"/>
      <c r="F611" s="3" t="str">
        <f aca="false">IFERROR(__xludf.dummyfunction("if($T611&lt;&gt;"""",REGEXEXTRACT(SUBSTITUTE ($T611,F$1&amp;"" CE"",""""), F$1&amp;""[\w &amp;]*, (\d+\.\d+)""),"""")
"),"")</f>
        <v/>
      </c>
      <c r="G611" s="3" t="str">
        <f aca="false">IFERROR(__xludf.dummyfunction("if($T611&lt;&gt;"""",REGEXEXTRACT($T611, G$1&amp;""[\w &amp;]*, (\d+\.\d+)""),"""")
"),"")</f>
        <v/>
      </c>
      <c r="H611" s="3"/>
      <c r="I611" s="3" t="str">
        <f aca="false">IFERROR(__xludf.dummyfunction("if($T611&lt;&gt;"""",REGEXEXTRACT(SUBSTITUTE ($T611,I$1&amp;"" CE"",""""), I$1&amp;""[\w &amp;]*, (\d+\.\d+)""),"""")
"),"")</f>
        <v/>
      </c>
      <c r="J611" s="3" t="str">
        <f aca="false">IFERROR(__xludf.dummyfunction("if($T611&lt;&gt;"""",REGEXEXTRACT($T611, J$1&amp;""[\w &amp;]*, (\d+\.\d+)""),"""")
"),"")</f>
        <v/>
      </c>
      <c r="K611" s="3"/>
      <c r="L611" s="3" t="str">
        <f aca="false">IFERROR(__xludf.dummyfunction("if($T611&lt;&gt;"""",REGEXEXTRACT(SUBSTITUTE ($T611,L$1&amp;"" CE"",""""), L$1&amp;""[\w &amp;]*, (\d+\.\d+)""),"""")
"),"")</f>
        <v/>
      </c>
      <c r="M611" s="3" t="str">
        <f aca="false">IFERROR(__xludf.dummyfunction("if($T611&lt;&gt;"""",REGEXEXTRACT($T611, M$1&amp;""[\w &amp;]*, (\d+\.\d+)""),"""")
"),"")</f>
        <v/>
      </c>
      <c r="N611" s="3" t="str">
        <f aca="false">IFERROR(__xludf.dummyfunction("if($T611&lt;&gt;"""",REGEXEXTRACT(SUBSTITUTE ($T611,N$1&amp;"" CE"",""""), N$1&amp;""[\w &amp;]*, (\d+\.\d+)""),"""")
"),"")</f>
        <v/>
      </c>
      <c r="O611" s="3" t="str">
        <f aca="false">IFERROR(__xludf.dummyfunction("if($T611&lt;&gt;"""",REGEXEXTRACT($T611, O$1&amp;""[\w &amp;]*, (\d+\.\d+)""),"""")
"),"")</f>
        <v/>
      </c>
      <c r="P611" s="2"/>
      <c r="Q611" s="2"/>
      <c r="R611" s="2"/>
      <c r="S611" s="2"/>
      <c r="T611" s="5"/>
      <c r="U611" s="5"/>
    </row>
    <row r="612" customFormat="false" ht="15.75" hidden="false" customHeight="false" outlineLevel="0" collapsed="false">
      <c r="A612" s="4"/>
      <c r="B612" s="2"/>
      <c r="C612" s="2"/>
      <c r="D612" s="2"/>
      <c r="E612" s="2"/>
      <c r="F612" s="3" t="str">
        <f aca="false">IFERROR(__xludf.dummyfunction("if($T612&lt;&gt;"""",REGEXEXTRACT(SUBSTITUTE ($T612,F$1&amp;"" CE"",""""), F$1&amp;""[\w &amp;]*, (\d+\.\d+)""),"""")
"),"")</f>
        <v/>
      </c>
      <c r="G612" s="3" t="str">
        <f aca="false">IFERROR(__xludf.dummyfunction("if($T612&lt;&gt;"""",REGEXEXTRACT($T612, G$1&amp;""[\w &amp;]*, (\d+\.\d+)""),"""")
"),"")</f>
        <v/>
      </c>
      <c r="H612" s="3"/>
      <c r="I612" s="3" t="str">
        <f aca="false">IFERROR(__xludf.dummyfunction("if($T612&lt;&gt;"""",REGEXEXTRACT(SUBSTITUTE ($T612,I$1&amp;"" CE"",""""), I$1&amp;""[\w &amp;]*, (\d+\.\d+)""),"""")
"),"")</f>
        <v/>
      </c>
      <c r="J612" s="3" t="str">
        <f aca="false">IFERROR(__xludf.dummyfunction("if($T612&lt;&gt;"""",REGEXEXTRACT($T612, J$1&amp;""[\w &amp;]*, (\d+\.\d+)""),"""")
"),"")</f>
        <v/>
      </c>
      <c r="K612" s="3"/>
      <c r="L612" s="3" t="str">
        <f aca="false">IFERROR(__xludf.dummyfunction("if($T612&lt;&gt;"""",REGEXEXTRACT(SUBSTITUTE ($T612,L$1&amp;"" CE"",""""), L$1&amp;""[\w &amp;]*, (\d+\.\d+)""),"""")
"),"")</f>
        <v/>
      </c>
      <c r="M612" s="3" t="str">
        <f aca="false">IFERROR(__xludf.dummyfunction("if($T612&lt;&gt;"""",REGEXEXTRACT($T612, M$1&amp;""[\w &amp;]*, (\d+\.\d+)""),"""")
"),"")</f>
        <v/>
      </c>
      <c r="N612" s="3" t="str">
        <f aca="false">IFERROR(__xludf.dummyfunction("if($T612&lt;&gt;"""",REGEXEXTRACT(SUBSTITUTE ($T612,N$1&amp;"" CE"",""""), N$1&amp;""[\w &amp;]*, (\d+\.\d+)""),"""")
"),"")</f>
        <v/>
      </c>
      <c r="O612" s="3" t="str">
        <f aca="false">IFERROR(__xludf.dummyfunction("if($T612&lt;&gt;"""",REGEXEXTRACT($T612, O$1&amp;""[\w &amp;]*, (\d+\.\d+)""),"""")
"),"")</f>
        <v/>
      </c>
      <c r="P612" s="2"/>
      <c r="Q612" s="2"/>
      <c r="R612" s="2"/>
      <c r="S612" s="2"/>
      <c r="T612" s="5"/>
      <c r="U612" s="5"/>
    </row>
    <row r="613" customFormat="false" ht="15.75" hidden="false" customHeight="false" outlineLevel="0" collapsed="false">
      <c r="A613" s="4"/>
      <c r="B613" s="2"/>
      <c r="C613" s="2"/>
      <c r="D613" s="2"/>
      <c r="E613" s="2"/>
      <c r="F613" s="3" t="str">
        <f aca="false">IFERROR(__xludf.dummyfunction("if($T613&lt;&gt;"""",REGEXEXTRACT(SUBSTITUTE ($T613,F$1&amp;"" CE"",""""), F$1&amp;""[\w &amp;]*, (\d+\.\d+)""),"""")
"),"")</f>
        <v/>
      </c>
      <c r="G613" s="3" t="str">
        <f aca="false">IFERROR(__xludf.dummyfunction("if($T613&lt;&gt;"""",REGEXEXTRACT($T613, G$1&amp;""[\w &amp;]*, (\d+\.\d+)""),"""")
"),"")</f>
        <v/>
      </c>
      <c r="H613" s="3"/>
      <c r="I613" s="3" t="str">
        <f aca="false">IFERROR(__xludf.dummyfunction("if($T613&lt;&gt;"""",REGEXEXTRACT(SUBSTITUTE ($T613,I$1&amp;"" CE"",""""), I$1&amp;""[\w &amp;]*, (\d+\.\d+)""),"""")
"),"")</f>
        <v/>
      </c>
      <c r="J613" s="3" t="str">
        <f aca="false">IFERROR(__xludf.dummyfunction("if($T613&lt;&gt;"""",REGEXEXTRACT($T613, J$1&amp;""[\w &amp;]*, (\d+\.\d+)""),"""")
"),"")</f>
        <v/>
      </c>
      <c r="K613" s="3"/>
      <c r="L613" s="3" t="str">
        <f aca="false">IFERROR(__xludf.dummyfunction("if($T613&lt;&gt;"""",REGEXEXTRACT(SUBSTITUTE ($T613,L$1&amp;"" CE"",""""), L$1&amp;""[\w &amp;]*, (\d+\.\d+)""),"""")
"),"")</f>
        <v/>
      </c>
      <c r="M613" s="3" t="str">
        <f aca="false">IFERROR(__xludf.dummyfunction("if($T613&lt;&gt;"""",REGEXEXTRACT($T613, M$1&amp;""[\w &amp;]*, (\d+\.\d+)""),"""")
"),"")</f>
        <v/>
      </c>
      <c r="N613" s="3" t="str">
        <f aca="false">IFERROR(__xludf.dummyfunction("if($T613&lt;&gt;"""",REGEXEXTRACT(SUBSTITUTE ($T613,N$1&amp;"" CE"",""""), N$1&amp;""[\w &amp;]*, (\d+\.\d+)""),"""")
"),"")</f>
        <v/>
      </c>
      <c r="O613" s="3" t="str">
        <f aca="false">IFERROR(__xludf.dummyfunction("if($T613&lt;&gt;"""",REGEXEXTRACT($T613, O$1&amp;""[\w &amp;]*, (\d+\.\d+)""),"""")
"),"")</f>
        <v/>
      </c>
      <c r="P613" s="2"/>
      <c r="Q613" s="2"/>
      <c r="R613" s="2"/>
      <c r="S613" s="2"/>
      <c r="T613" s="5"/>
      <c r="U613" s="5"/>
    </row>
    <row r="614" customFormat="false" ht="15.75" hidden="false" customHeight="false" outlineLevel="0" collapsed="false">
      <c r="A614" s="4"/>
      <c r="B614" s="2"/>
      <c r="C614" s="2"/>
      <c r="D614" s="2"/>
      <c r="E614" s="2"/>
      <c r="F614" s="3" t="str">
        <f aca="false">IFERROR(__xludf.dummyfunction("if($T614&lt;&gt;"""",REGEXEXTRACT(SUBSTITUTE ($T614,F$1&amp;"" CE"",""""), F$1&amp;""[\w &amp;]*, (\d+\.\d+)""),"""")
"),"")</f>
        <v/>
      </c>
      <c r="G614" s="3" t="str">
        <f aca="false">IFERROR(__xludf.dummyfunction("if($T614&lt;&gt;"""",REGEXEXTRACT($T614, G$1&amp;""[\w &amp;]*, (\d+\.\d+)""),"""")
"),"")</f>
        <v/>
      </c>
      <c r="H614" s="3"/>
      <c r="I614" s="3" t="str">
        <f aca="false">IFERROR(__xludf.dummyfunction("if($T614&lt;&gt;"""",REGEXEXTRACT(SUBSTITUTE ($T614,I$1&amp;"" CE"",""""), I$1&amp;""[\w &amp;]*, (\d+\.\d+)""),"""")
"),"")</f>
        <v/>
      </c>
      <c r="J614" s="3" t="str">
        <f aca="false">IFERROR(__xludf.dummyfunction("if($T614&lt;&gt;"""",REGEXEXTRACT($T614, J$1&amp;""[\w &amp;]*, (\d+\.\d+)""),"""")
"),"")</f>
        <v/>
      </c>
      <c r="K614" s="3"/>
      <c r="L614" s="3" t="str">
        <f aca="false">IFERROR(__xludf.dummyfunction("if($T614&lt;&gt;"""",REGEXEXTRACT(SUBSTITUTE ($T614,L$1&amp;"" CE"",""""), L$1&amp;""[\w &amp;]*, (\d+\.\d+)""),"""")
"),"")</f>
        <v/>
      </c>
      <c r="M614" s="3" t="str">
        <f aca="false">IFERROR(__xludf.dummyfunction("if($T614&lt;&gt;"""",REGEXEXTRACT($T614, M$1&amp;""[\w &amp;]*, (\d+\.\d+)""),"""")
"),"")</f>
        <v/>
      </c>
      <c r="N614" s="3" t="str">
        <f aca="false">IFERROR(__xludf.dummyfunction("if($T614&lt;&gt;"""",REGEXEXTRACT(SUBSTITUTE ($T614,N$1&amp;"" CE"",""""), N$1&amp;""[\w &amp;]*, (\d+\.\d+)""),"""")
"),"")</f>
        <v/>
      </c>
      <c r="O614" s="3" t="str">
        <f aca="false">IFERROR(__xludf.dummyfunction("if($T614&lt;&gt;"""",REGEXEXTRACT($T614, O$1&amp;""[\w &amp;]*, (\d+\.\d+)""),"""")
"),"")</f>
        <v/>
      </c>
      <c r="P614" s="2"/>
      <c r="Q614" s="2"/>
      <c r="R614" s="2"/>
      <c r="S614" s="2"/>
      <c r="T614" s="5"/>
      <c r="U614" s="5"/>
    </row>
    <row r="615" customFormat="false" ht="15.75" hidden="false" customHeight="false" outlineLevel="0" collapsed="false">
      <c r="A615" s="4"/>
      <c r="B615" s="2"/>
      <c r="C615" s="2"/>
      <c r="D615" s="2"/>
      <c r="E615" s="2"/>
      <c r="F615" s="3" t="str">
        <f aca="false">IFERROR(__xludf.dummyfunction("if($T615&lt;&gt;"""",REGEXEXTRACT(SUBSTITUTE ($T615,F$1&amp;"" CE"",""""), F$1&amp;""[\w &amp;]*, (\d+\.\d+)""),"""")
"),"")</f>
        <v/>
      </c>
      <c r="G615" s="3" t="str">
        <f aca="false">IFERROR(__xludf.dummyfunction("if($T615&lt;&gt;"""",REGEXEXTRACT($T615, G$1&amp;""[\w &amp;]*, (\d+\.\d+)""),"""")
"),"")</f>
        <v/>
      </c>
      <c r="H615" s="3"/>
      <c r="I615" s="3" t="str">
        <f aca="false">IFERROR(__xludf.dummyfunction("if($T615&lt;&gt;"""",REGEXEXTRACT(SUBSTITUTE ($T615,I$1&amp;"" CE"",""""), I$1&amp;""[\w &amp;]*, (\d+\.\d+)""),"""")
"),"")</f>
        <v/>
      </c>
      <c r="J615" s="3" t="str">
        <f aca="false">IFERROR(__xludf.dummyfunction("if($T615&lt;&gt;"""",REGEXEXTRACT($T615, J$1&amp;""[\w &amp;]*, (\d+\.\d+)""),"""")
"),"")</f>
        <v/>
      </c>
      <c r="K615" s="3"/>
      <c r="L615" s="3" t="str">
        <f aca="false">IFERROR(__xludf.dummyfunction("if($T615&lt;&gt;"""",REGEXEXTRACT(SUBSTITUTE ($T615,L$1&amp;"" CE"",""""), L$1&amp;""[\w &amp;]*, (\d+\.\d+)""),"""")
"),"")</f>
        <v/>
      </c>
      <c r="M615" s="3" t="str">
        <f aca="false">IFERROR(__xludf.dummyfunction("if($T615&lt;&gt;"""",REGEXEXTRACT($T615, M$1&amp;""[\w &amp;]*, (\d+\.\d+)""),"""")
"),"")</f>
        <v/>
      </c>
      <c r="N615" s="3" t="str">
        <f aca="false">IFERROR(__xludf.dummyfunction("if($T615&lt;&gt;"""",REGEXEXTRACT(SUBSTITUTE ($T615,N$1&amp;"" CE"",""""), N$1&amp;""[\w &amp;]*, (\d+\.\d+)""),"""")
"),"")</f>
        <v/>
      </c>
      <c r="O615" s="3" t="str">
        <f aca="false">IFERROR(__xludf.dummyfunction("if($T615&lt;&gt;"""",REGEXEXTRACT($T615, O$1&amp;""[\w &amp;]*, (\d+\.\d+)""),"""")
"),"")</f>
        <v/>
      </c>
      <c r="P615" s="2"/>
      <c r="Q615" s="2"/>
      <c r="R615" s="2"/>
      <c r="S615" s="2"/>
      <c r="T615" s="5"/>
      <c r="U615" s="5"/>
    </row>
    <row r="616" customFormat="false" ht="15.75" hidden="false" customHeight="false" outlineLevel="0" collapsed="false">
      <c r="A616" s="4"/>
      <c r="B616" s="2"/>
      <c r="C616" s="2"/>
      <c r="D616" s="2"/>
      <c r="E616" s="2"/>
      <c r="F616" s="3" t="str">
        <f aca="false">IFERROR(__xludf.dummyfunction("if($T616&lt;&gt;"""",REGEXEXTRACT(SUBSTITUTE ($T616,F$1&amp;"" CE"",""""), F$1&amp;""[\w &amp;]*, (\d+\.\d+)""),"""")
"),"")</f>
        <v/>
      </c>
      <c r="G616" s="3" t="str">
        <f aca="false">IFERROR(__xludf.dummyfunction("if($T616&lt;&gt;"""",REGEXEXTRACT($T616, G$1&amp;""[\w &amp;]*, (\d+\.\d+)""),"""")
"),"")</f>
        <v/>
      </c>
      <c r="H616" s="3"/>
      <c r="I616" s="3" t="str">
        <f aca="false">IFERROR(__xludf.dummyfunction("if($T616&lt;&gt;"""",REGEXEXTRACT(SUBSTITUTE ($T616,I$1&amp;"" CE"",""""), I$1&amp;""[\w &amp;]*, (\d+\.\d+)""),"""")
"),"")</f>
        <v/>
      </c>
      <c r="J616" s="3" t="str">
        <f aca="false">IFERROR(__xludf.dummyfunction("if($T616&lt;&gt;"""",REGEXEXTRACT($T616, J$1&amp;""[\w &amp;]*, (\d+\.\d+)""),"""")
"),"")</f>
        <v/>
      </c>
      <c r="K616" s="3"/>
      <c r="L616" s="3" t="str">
        <f aca="false">IFERROR(__xludf.dummyfunction("if($T616&lt;&gt;"""",REGEXEXTRACT(SUBSTITUTE ($T616,L$1&amp;"" CE"",""""), L$1&amp;""[\w &amp;]*, (\d+\.\d+)""),"""")
"),"")</f>
        <v/>
      </c>
      <c r="M616" s="3" t="str">
        <f aca="false">IFERROR(__xludf.dummyfunction("if($T616&lt;&gt;"""",REGEXEXTRACT($T616, M$1&amp;""[\w &amp;]*, (\d+\.\d+)""),"""")
"),"")</f>
        <v/>
      </c>
      <c r="N616" s="3" t="str">
        <f aca="false">IFERROR(__xludf.dummyfunction("if($T616&lt;&gt;"""",REGEXEXTRACT(SUBSTITUTE ($T616,N$1&amp;"" CE"",""""), N$1&amp;""[\w &amp;]*, (\d+\.\d+)""),"""")
"),"")</f>
        <v/>
      </c>
      <c r="O616" s="3" t="str">
        <f aca="false">IFERROR(__xludf.dummyfunction("if($T616&lt;&gt;"""",REGEXEXTRACT($T616, O$1&amp;""[\w &amp;]*, (\d+\.\d+)""),"""")
"),"")</f>
        <v/>
      </c>
      <c r="P616" s="2"/>
      <c r="Q616" s="2"/>
      <c r="R616" s="2"/>
      <c r="S616" s="2"/>
      <c r="T616" s="5"/>
      <c r="U616" s="5"/>
    </row>
    <row r="617" customFormat="false" ht="15.75" hidden="false" customHeight="false" outlineLevel="0" collapsed="false">
      <c r="A617" s="4"/>
      <c r="B617" s="2"/>
      <c r="C617" s="2"/>
      <c r="D617" s="2"/>
      <c r="E617" s="2"/>
      <c r="F617" s="3" t="str">
        <f aca="false">IFERROR(__xludf.dummyfunction("if($T617&lt;&gt;"""",REGEXEXTRACT(SUBSTITUTE ($T617,F$1&amp;"" CE"",""""), F$1&amp;""[\w &amp;]*, (\d+\.\d+)""),"""")
"),"")</f>
        <v/>
      </c>
      <c r="G617" s="3" t="str">
        <f aca="false">IFERROR(__xludf.dummyfunction("if($T617&lt;&gt;"""",REGEXEXTRACT($T617, G$1&amp;""[\w &amp;]*, (\d+\.\d+)""),"""")
"),"")</f>
        <v/>
      </c>
      <c r="H617" s="3"/>
      <c r="I617" s="3" t="str">
        <f aca="false">IFERROR(__xludf.dummyfunction("if($T617&lt;&gt;"""",REGEXEXTRACT(SUBSTITUTE ($T617,I$1&amp;"" CE"",""""), I$1&amp;""[\w &amp;]*, (\d+\.\d+)""),"""")
"),"")</f>
        <v/>
      </c>
      <c r="J617" s="3" t="str">
        <f aca="false">IFERROR(__xludf.dummyfunction("if($T617&lt;&gt;"""",REGEXEXTRACT($T617, J$1&amp;""[\w &amp;]*, (\d+\.\d+)""),"""")
"),"")</f>
        <v/>
      </c>
      <c r="K617" s="3"/>
      <c r="L617" s="3" t="str">
        <f aca="false">IFERROR(__xludf.dummyfunction("if($T617&lt;&gt;"""",REGEXEXTRACT(SUBSTITUTE ($T617,L$1&amp;"" CE"",""""), L$1&amp;""[\w &amp;]*, (\d+\.\d+)""),"""")
"),"")</f>
        <v/>
      </c>
      <c r="M617" s="3" t="str">
        <f aca="false">IFERROR(__xludf.dummyfunction("if($T617&lt;&gt;"""",REGEXEXTRACT($T617, M$1&amp;""[\w &amp;]*, (\d+\.\d+)""),"""")
"),"")</f>
        <v/>
      </c>
      <c r="N617" s="3" t="str">
        <f aca="false">IFERROR(__xludf.dummyfunction("if($T617&lt;&gt;"""",REGEXEXTRACT(SUBSTITUTE ($T617,N$1&amp;"" CE"",""""), N$1&amp;""[\w &amp;]*, (\d+\.\d+)""),"""")
"),"")</f>
        <v/>
      </c>
      <c r="O617" s="3" t="str">
        <f aca="false">IFERROR(__xludf.dummyfunction("if($T617&lt;&gt;"""",REGEXEXTRACT($T617, O$1&amp;""[\w &amp;]*, (\d+\.\d+)""),"""")
"),"")</f>
        <v/>
      </c>
      <c r="P617" s="2"/>
      <c r="Q617" s="2"/>
      <c r="R617" s="2"/>
      <c r="S617" s="2"/>
      <c r="T617" s="5"/>
      <c r="U617" s="5"/>
    </row>
    <row r="618" customFormat="false" ht="15.75" hidden="false" customHeight="false" outlineLevel="0" collapsed="false">
      <c r="A618" s="4"/>
      <c r="B618" s="2"/>
      <c r="C618" s="2"/>
      <c r="D618" s="2"/>
      <c r="E618" s="2"/>
      <c r="F618" s="3" t="str">
        <f aca="false">IFERROR(__xludf.dummyfunction("if($T618&lt;&gt;"""",REGEXEXTRACT(SUBSTITUTE ($T618,F$1&amp;"" CE"",""""), F$1&amp;""[\w &amp;]*, (\d+\.\d+)""),"""")
"),"")</f>
        <v/>
      </c>
      <c r="G618" s="3" t="str">
        <f aca="false">IFERROR(__xludf.dummyfunction("if($T618&lt;&gt;"""",REGEXEXTRACT($T618, G$1&amp;""[\w &amp;]*, (\d+\.\d+)""),"""")
"),"")</f>
        <v/>
      </c>
      <c r="H618" s="3"/>
      <c r="I618" s="3" t="str">
        <f aca="false">IFERROR(__xludf.dummyfunction("if($T618&lt;&gt;"""",REGEXEXTRACT(SUBSTITUTE ($T618,I$1&amp;"" CE"",""""), I$1&amp;""[\w &amp;]*, (\d+\.\d+)""),"""")
"),"")</f>
        <v/>
      </c>
      <c r="J618" s="3" t="str">
        <f aca="false">IFERROR(__xludf.dummyfunction("if($T618&lt;&gt;"""",REGEXEXTRACT($T618, J$1&amp;""[\w &amp;]*, (\d+\.\d+)""),"""")
"),"")</f>
        <v/>
      </c>
      <c r="K618" s="3"/>
      <c r="L618" s="3" t="str">
        <f aca="false">IFERROR(__xludf.dummyfunction("if($T618&lt;&gt;"""",REGEXEXTRACT(SUBSTITUTE ($T618,L$1&amp;"" CE"",""""), L$1&amp;""[\w &amp;]*, (\d+\.\d+)""),"""")
"),"")</f>
        <v/>
      </c>
      <c r="M618" s="3" t="str">
        <f aca="false">IFERROR(__xludf.dummyfunction("if($T618&lt;&gt;"""",REGEXEXTRACT($T618, M$1&amp;""[\w &amp;]*, (\d+\.\d+)""),"""")
"),"")</f>
        <v/>
      </c>
      <c r="N618" s="3" t="str">
        <f aca="false">IFERROR(__xludf.dummyfunction("if($T618&lt;&gt;"""",REGEXEXTRACT(SUBSTITUTE ($T618,N$1&amp;"" CE"",""""), N$1&amp;""[\w &amp;]*, (\d+\.\d+)""),"""")
"),"")</f>
        <v/>
      </c>
      <c r="O618" s="3" t="str">
        <f aca="false">IFERROR(__xludf.dummyfunction("if($T618&lt;&gt;"""",REGEXEXTRACT($T618, O$1&amp;""[\w &amp;]*, (\d+\.\d+)""),"""")
"),"")</f>
        <v/>
      </c>
      <c r="P618" s="2"/>
      <c r="Q618" s="2"/>
      <c r="R618" s="2"/>
      <c r="S618" s="2"/>
      <c r="T618" s="5"/>
      <c r="U618" s="5"/>
    </row>
    <row r="619" customFormat="false" ht="15.75" hidden="false" customHeight="false" outlineLevel="0" collapsed="false">
      <c r="A619" s="4"/>
      <c r="B619" s="2"/>
      <c r="C619" s="2"/>
      <c r="D619" s="2"/>
      <c r="E619" s="2"/>
      <c r="F619" s="3" t="str">
        <f aca="false">IFERROR(__xludf.dummyfunction("if($T619&lt;&gt;"""",REGEXEXTRACT(SUBSTITUTE ($T619,F$1&amp;"" CE"",""""), F$1&amp;""[\w &amp;]*, (\d+\.\d+)""),"""")
"),"")</f>
        <v/>
      </c>
      <c r="G619" s="3" t="str">
        <f aca="false">IFERROR(__xludf.dummyfunction("if($T619&lt;&gt;"""",REGEXEXTRACT($T619, G$1&amp;""[\w &amp;]*, (\d+\.\d+)""),"""")
"),"")</f>
        <v/>
      </c>
      <c r="H619" s="3"/>
      <c r="I619" s="3" t="str">
        <f aca="false">IFERROR(__xludf.dummyfunction("if($T619&lt;&gt;"""",REGEXEXTRACT(SUBSTITUTE ($T619,I$1&amp;"" CE"",""""), I$1&amp;""[\w &amp;]*, (\d+\.\d+)""),"""")
"),"")</f>
        <v/>
      </c>
      <c r="J619" s="3" t="str">
        <f aca="false">IFERROR(__xludf.dummyfunction("if($T619&lt;&gt;"""",REGEXEXTRACT($T619, J$1&amp;""[\w &amp;]*, (\d+\.\d+)""),"""")
"),"")</f>
        <v/>
      </c>
      <c r="K619" s="3"/>
      <c r="L619" s="3" t="str">
        <f aca="false">IFERROR(__xludf.dummyfunction("if($T619&lt;&gt;"""",REGEXEXTRACT(SUBSTITUTE ($T619,L$1&amp;"" CE"",""""), L$1&amp;""[\w &amp;]*, (\d+\.\d+)""),"""")
"),"")</f>
        <v/>
      </c>
      <c r="M619" s="3" t="str">
        <f aca="false">IFERROR(__xludf.dummyfunction("if($T619&lt;&gt;"""",REGEXEXTRACT($T619, M$1&amp;""[\w &amp;]*, (\d+\.\d+)""),"""")
"),"")</f>
        <v/>
      </c>
      <c r="N619" s="3" t="str">
        <f aca="false">IFERROR(__xludf.dummyfunction("if($T619&lt;&gt;"""",REGEXEXTRACT(SUBSTITUTE ($T619,N$1&amp;"" CE"",""""), N$1&amp;""[\w &amp;]*, (\d+\.\d+)""),"""")
"),"")</f>
        <v/>
      </c>
      <c r="O619" s="3" t="str">
        <f aca="false">IFERROR(__xludf.dummyfunction("if($T619&lt;&gt;"""",REGEXEXTRACT($T619, O$1&amp;""[\w &amp;]*, (\d+\.\d+)""),"""")
"),"")</f>
        <v/>
      </c>
      <c r="P619" s="2"/>
      <c r="Q619" s="2"/>
      <c r="R619" s="2"/>
      <c r="S619" s="2"/>
      <c r="T619" s="5"/>
      <c r="U619" s="5"/>
    </row>
    <row r="620" customFormat="false" ht="15.75" hidden="false" customHeight="false" outlineLevel="0" collapsed="false">
      <c r="A620" s="4"/>
      <c r="B620" s="2"/>
      <c r="C620" s="2"/>
      <c r="D620" s="2"/>
      <c r="E620" s="2"/>
      <c r="F620" s="3" t="str">
        <f aca="false">IFERROR(__xludf.dummyfunction("if($T620&lt;&gt;"""",REGEXEXTRACT(SUBSTITUTE ($T620,F$1&amp;"" CE"",""""), F$1&amp;""[\w &amp;]*, (\d+\.\d+)""),"""")
"),"")</f>
        <v/>
      </c>
      <c r="G620" s="3" t="str">
        <f aca="false">IFERROR(__xludf.dummyfunction("if($T620&lt;&gt;"""",REGEXEXTRACT($T620, G$1&amp;""[\w &amp;]*, (\d+\.\d+)""),"""")
"),"")</f>
        <v/>
      </c>
      <c r="H620" s="3"/>
      <c r="I620" s="3" t="str">
        <f aca="false">IFERROR(__xludf.dummyfunction("if($T620&lt;&gt;"""",REGEXEXTRACT(SUBSTITUTE ($T620,I$1&amp;"" CE"",""""), I$1&amp;""[\w &amp;]*, (\d+\.\d+)""),"""")
"),"")</f>
        <v/>
      </c>
      <c r="J620" s="3" t="str">
        <f aca="false">IFERROR(__xludf.dummyfunction("if($T620&lt;&gt;"""",REGEXEXTRACT($T620, J$1&amp;""[\w &amp;]*, (\d+\.\d+)""),"""")
"),"")</f>
        <v/>
      </c>
      <c r="K620" s="3"/>
      <c r="L620" s="3" t="str">
        <f aca="false">IFERROR(__xludf.dummyfunction("if($T620&lt;&gt;"""",REGEXEXTRACT(SUBSTITUTE ($T620,L$1&amp;"" CE"",""""), L$1&amp;""[\w &amp;]*, (\d+\.\d+)""),"""")
"),"")</f>
        <v/>
      </c>
      <c r="M620" s="3" t="str">
        <f aca="false">IFERROR(__xludf.dummyfunction("if($T620&lt;&gt;"""",REGEXEXTRACT($T620, M$1&amp;""[\w &amp;]*, (\d+\.\d+)""),"""")
"),"")</f>
        <v/>
      </c>
      <c r="N620" s="3" t="str">
        <f aca="false">IFERROR(__xludf.dummyfunction("if($T620&lt;&gt;"""",REGEXEXTRACT(SUBSTITUTE ($T620,N$1&amp;"" CE"",""""), N$1&amp;""[\w &amp;]*, (\d+\.\d+)""),"""")
"),"")</f>
        <v/>
      </c>
      <c r="O620" s="3" t="str">
        <f aca="false">IFERROR(__xludf.dummyfunction("if($T620&lt;&gt;"""",REGEXEXTRACT($T620, O$1&amp;""[\w &amp;]*, (\d+\.\d+)""),"""")
"),"")</f>
        <v/>
      </c>
      <c r="P620" s="2"/>
      <c r="Q620" s="2"/>
      <c r="R620" s="2"/>
      <c r="S620" s="2"/>
      <c r="T620" s="5"/>
      <c r="U620" s="5"/>
    </row>
    <row r="621" customFormat="false" ht="15.75" hidden="false" customHeight="false" outlineLevel="0" collapsed="false">
      <c r="A621" s="4"/>
      <c r="B621" s="2"/>
      <c r="C621" s="2"/>
      <c r="D621" s="2"/>
      <c r="E621" s="2"/>
      <c r="F621" s="3" t="str">
        <f aca="false">IFERROR(__xludf.dummyfunction("if($T621&lt;&gt;"""",REGEXEXTRACT(SUBSTITUTE ($T621,F$1&amp;"" CE"",""""), F$1&amp;""[\w &amp;]*, (\d+\.\d+)""),"""")
"),"")</f>
        <v/>
      </c>
      <c r="G621" s="3" t="str">
        <f aca="false">IFERROR(__xludf.dummyfunction("if($T621&lt;&gt;"""",REGEXEXTRACT($T621, G$1&amp;""[\w &amp;]*, (\d+\.\d+)""),"""")
"),"")</f>
        <v/>
      </c>
      <c r="H621" s="3"/>
      <c r="I621" s="3" t="str">
        <f aca="false">IFERROR(__xludf.dummyfunction("if($T621&lt;&gt;"""",REGEXEXTRACT(SUBSTITUTE ($T621,I$1&amp;"" CE"",""""), I$1&amp;""[\w &amp;]*, (\d+\.\d+)""),"""")
"),"")</f>
        <v/>
      </c>
      <c r="J621" s="3" t="str">
        <f aca="false">IFERROR(__xludf.dummyfunction("if($T621&lt;&gt;"""",REGEXEXTRACT($T621, J$1&amp;""[\w &amp;]*, (\d+\.\d+)""),"""")
"),"")</f>
        <v/>
      </c>
      <c r="K621" s="3"/>
      <c r="L621" s="3" t="str">
        <f aca="false">IFERROR(__xludf.dummyfunction("if($T621&lt;&gt;"""",REGEXEXTRACT(SUBSTITUTE ($T621,L$1&amp;"" CE"",""""), L$1&amp;""[\w &amp;]*, (\d+\.\d+)""),"""")
"),"")</f>
        <v/>
      </c>
      <c r="M621" s="3" t="str">
        <f aca="false">IFERROR(__xludf.dummyfunction("if($T621&lt;&gt;"""",REGEXEXTRACT($T621, M$1&amp;""[\w &amp;]*, (\d+\.\d+)""),"""")
"),"")</f>
        <v/>
      </c>
      <c r="N621" s="3" t="str">
        <f aca="false">IFERROR(__xludf.dummyfunction("if($T621&lt;&gt;"""",REGEXEXTRACT(SUBSTITUTE ($T621,N$1&amp;"" CE"",""""), N$1&amp;""[\w &amp;]*, (\d+\.\d+)""),"""")
"),"")</f>
        <v/>
      </c>
      <c r="O621" s="3" t="str">
        <f aca="false">IFERROR(__xludf.dummyfunction("if($T621&lt;&gt;"""",REGEXEXTRACT($T621, O$1&amp;""[\w &amp;]*, (\d+\.\d+)""),"""")
"),"")</f>
        <v/>
      </c>
      <c r="P621" s="2"/>
      <c r="Q621" s="2"/>
      <c r="R621" s="2"/>
      <c r="S621" s="2"/>
      <c r="T621" s="5"/>
      <c r="U621" s="5"/>
    </row>
    <row r="622" customFormat="false" ht="15.75" hidden="false" customHeight="false" outlineLevel="0" collapsed="false">
      <c r="A622" s="4"/>
      <c r="B622" s="2"/>
      <c r="C622" s="2"/>
      <c r="D622" s="2"/>
      <c r="E622" s="2"/>
      <c r="F622" s="3" t="str">
        <f aca="false">IFERROR(__xludf.dummyfunction("if($T622&lt;&gt;"""",REGEXEXTRACT(SUBSTITUTE ($T622,F$1&amp;"" CE"",""""), F$1&amp;""[\w &amp;]*, (\d+\.\d+)""),"""")
"),"")</f>
        <v/>
      </c>
      <c r="G622" s="3" t="str">
        <f aca="false">IFERROR(__xludf.dummyfunction("if($T622&lt;&gt;"""",REGEXEXTRACT($T622, G$1&amp;""[\w &amp;]*, (\d+\.\d+)""),"""")
"),"")</f>
        <v/>
      </c>
      <c r="H622" s="3"/>
      <c r="I622" s="3" t="str">
        <f aca="false">IFERROR(__xludf.dummyfunction("if($T622&lt;&gt;"""",REGEXEXTRACT(SUBSTITUTE ($T622,I$1&amp;"" CE"",""""), I$1&amp;""[\w &amp;]*, (\d+\.\d+)""),"""")
"),"")</f>
        <v/>
      </c>
      <c r="J622" s="3" t="str">
        <f aca="false">IFERROR(__xludf.dummyfunction("if($T622&lt;&gt;"""",REGEXEXTRACT($T622, J$1&amp;""[\w &amp;]*, (\d+\.\d+)""),"""")
"),"")</f>
        <v/>
      </c>
      <c r="K622" s="3"/>
      <c r="L622" s="3" t="str">
        <f aca="false">IFERROR(__xludf.dummyfunction("if($T622&lt;&gt;"""",REGEXEXTRACT(SUBSTITUTE ($T622,L$1&amp;"" CE"",""""), L$1&amp;""[\w &amp;]*, (\d+\.\d+)""),"""")
"),"")</f>
        <v/>
      </c>
      <c r="M622" s="3" t="str">
        <f aca="false">IFERROR(__xludf.dummyfunction("if($T622&lt;&gt;"""",REGEXEXTRACT($T622, M$1&amp;""[\w &amp;]*, (\d+\.\d+)""),"""")
"),"")</f>
        <v/>
      </c>
      <c r="N622" s="3" t="str">
        <f aca="false">IFERROR(__xludf.dummyfunction("if($T622&lt;&gt;"""",REGEXEXTRACT(SUBSTITUTE ($T622,N$1&amp;"" CE"",""""), N$1&amp;""[\w &amp;]*, (\d+\.\d+)""),"""")
"),"")</f>
        <v/>
      </c>
      <c r="O622" s="3" t="str">
        <f aca="false">IFERROR(__xludf.dummyfunction("if($T622&lt;&gt;"""",REGEXEXTRACT($T622, O$1&amp;""[\w &amp;]*, (\d+\.\d+)""),"""")
"),"")</f>
        <v/>
      </c>
      <c r="P622" s="2"/>
      <c r="Q622" s="2"/>
      <c r="R622" s="2"/>
      <c r="S622" s="2"/>
      <c r="T622" s="5"/>
      <c r="U622" s="5"/>
    </row>
    <row r="623" customFormat="false" ht="15.75" hidden="false" customHeight="false" outlineLevel="0" collapsed="false">
      <c r="A623" s="4"/>
      <c r="B623" s="2"/>
      <c r="C623" s="2"/>
      <c r="D623" s="2"/>
      <c r="E623" s="2"/>
      <c r="F623" s="3" t="str">
        <f aca="false">IFERROR(__xludf.dummyfunction("if($T623&lt;&gt;"""",REGEXEXTRACT(SUBSTITUTE ($T623,F$1&amp;"" CE"",""""), F$1&amp;""[\w &amp;]*, (\d+\.\d+)""),"""")
"),"")</f>
        <v/>
      </c>
      <c r="G623" s="3" t="str">
        <f aca="false">IFERROR(__xludf.dummyfunction("if($T623&lt;&gt;"""",REGEXEXTRACT($T623, G$1&amp;""[\w &amp;]*, (\d+\.\d+)""),"""")
"),"")</f>
        <v/>
      </c>
      <c r="H623" s="3"/>
      <c r="I623" s="3" t="str">
        <f aca="false">IFERROR(__xludf.dummyfunction("if($T623&lt;&gt;"""",REGEXEXTRACT(SUBSTITUTE ($T623,I$1&amp;"" CE"",""""), I$1&amp;""[\w &amp;]*, (\d+\.\d+)""),"""")
"),"")</f>
        <v/>
      </c>
      <c r="J623" s="3" t="str">
        <f aca="false">IFERROR(__xludf.dummyfunction("if($T623&lt;&gt;"""",REGEXEXTRACT($T623, J$1&amp;""[\w &amp;]*, (\d+\.\d+)""),"""")
"),"")</f>
        <v/>
      </c>
      <c r="K623" s="3"/>
      <c r="L623" s="3" t="str">
        <f aca="false">IFERROR(__xludf.dummyfunction("if($T623&lt;&gt;"""",REGEXEXTRACT(SUBSTITUTE ($T623,L$1&amp;"" CE"",""""), L$1&amp;""[\w &amp;]*, (\d+\.\d+)""),"""")
"),"")</f>
        <v/>
      </c>
      <c r="M623" s="3" t="str">
        <f aca="false">IFERROR(__xludf.dummyfunction("if($T623&lt;&gt;"""",REGEXEXTRACT($T623, M$1&amp;""[\w &amp;]*, (\d+\.\d+)""),"""")
"),"")</f>
        <v/>
      </c>
      <c r="N623" s="3" t="str">
        <f aca="false">IFERROR(__xludf.dummyfunction("if($T623&lt;&gt;"""",REGEXEXTRACT(SUBSTITUTE ($T623,N$1&amp;"" CE"",""""), N$1&amp;""[\w &amp;]*, (\d+\.\d+)""),"""")
"),"")</f>
        <v/>
      </c>
      <c r="O623" s="3" t="str">
        <f aca="false">IFERROR(__xludf.dummyfunction("if($T623&lt;&gt;"""",REGEXEXTRACT($T623, O$1&amp;""[\w &amp;]*, (\d+\.\d+)""),"""")
"),"")</f>
        <v/>
      </c>
      <c r="P623" s="2"/>
      <c r="Q623" s="2"/>
      <c r="R623" s="2"/>
      <c r="S623" s="2"/>
      <c r="T623" s="5"/>
      <c r="U623" s="5"/>
    </row>
    <row r="624" customFormat="false" ht="15.75" hidden="false" customHeight="false" outlineLevel="0" collapsed="false">
      <c r="A624" s="4"/>
      <c r="B624" s="2"/>
      <c r="C624" s="2"/>
      <c r="D624" s="2"/>
      <c r="E624" s="2"/>
      <c r="F624" s="3" t="str">
        <f aca="false">IFERROR(__xludf.dummyfunction("if($T624&lt;&gt;"""",REGEXEXTRACT(SUBSTITUTE ($T624,F$1&amp;"" CE"",""""), F$1&amp;""[\w &amp;]*, (\d+\.\d+)""),"""")
"),"")</f>
        <v/>
      </c>
      <c r="G624" s="3" t="str">
        <f aca="false">IFERROR(__xludf.dummyfunction("if($T624&lt;&gt;"""",REGEXEXTRACT($T624, G$1&amp;""[\w &amp;]*, (\d+\.\d+)""),"""")
"),"")</f>
        <v/>
      </c>
      <c r="H624" s="3"/>
      <c r="I624" s="3" t="str">
        <f aca="false">IFERROR(__xludf.dummyfunction("if($T624&lt;&gt;"""",REGEXEXTRACT(SUBSTITUTE ($T624,I$1&amp;"" CE"",""""), I$1&amp;""[\w &amp;]*, (\d+\.\d+)""),"""")
"),"")</f>
        <v/>
      </c>
      <c r="J624" s="3" t="str">
        <f aca="false">IFERROR(__xludf.dummyfunction("if($T624&lt;&gt;"""",REGEXEXTRACT($T624, J$1&amp;""[\w &amp;]*, (\d+\.\d+)""),"""")
"),"")</f>
        <v/>
      </c>
      <c r="K624" s="3"/>
      <c r="L624" s="3" t="str">
        <f aca="false">IFERROR(__xludf.dummyfunction("if($T624&lt;&gt;"""",REGEXEXTRACT(SUBSTITUTE ($T624,L$1&amp;"" CE"",""""), L$1&amp;""[\w &amp;]*, (\d+\.\d+)""),"""")
"),"")</f>
        <v/>
      </c>
      <c r="M624" s="3" t="str">
        <f aca="false">IFERROR(__xludf.dummyfunction("if($T624&lt;&gt;"""",REGEXEXTRACT($T624, M$1&amp;""[\w &amp;]*, (\d+\.\d+)""),"""")
"),"")</f>
        <v/>
      </c>
      <c r="N624" s="3" t="str">
        <f aca="false">IFERROR(__xludf.dummyfunction("if($T624&lt;&gt;"""",REGEXEXTRACT(SUBSTITUTE ($T624,N$1&amp;"" CE"",""""), N$1&amp;""[\w &amp;]*, (\d+\.\d+)""),"""")
"),"")</f>
        <v/>
      </c>
      <c r="O624" s="3" t="str">
        <f aca="false">IFERROR(__xludf.dummyfunction("if($T624&lt;&gt;"""",REGEXEXTRACT($T624, O$1&amp;""[\w &amp;]*, (\d+\.\d+)""),"""")
"),"")</f>
        <v/>
      </c>
      <c r="P624" s="2"/>
      <c r="Q624" s="2"/>
      <c r="R624" s="2"/>
      <c r="S624" s="2"/>
      <c r="T624" s="5"/>
      <c r="U624" s="5"/>
    </row>
    <row r="625" customFormat="false" ht="15.75" hidden="false" customHeight="false" outlineLevel="0" collapsed="false">
      <c r="A625" s="4"/>
      <c r="B625" s="2"/>
      <c r="C625" s="2"/>
      <c r="D625" s="2"/>
      <c r="E625" s="2"/>
      <c r="F625" s="3" t="str">
        <f aca="false">IFERROR(__xludf.dummyfunction("if($T625&lt;&gt;"""",REGEXEXTRACT(SUBSTITUTE ($T625,F$1&amp;"" CE"",""""), F$1&amp;""[\w &amp;]*, (\d+\.\d+)""),"""")
"),"")</f>
        <v/>
      </c>
      <c r="G625" s="3" t="str">
        <f aca="false">IFERROR(__xludf.dummyfunction("if($T625&lt;&gt;"""",REGEXEXTRACT($T625, G$1&amp;""[\w &amp;]*, (\d+\.\d+)""),"""")
"),"")</f>
        <v/>
      </c>
      <c r="H625" s="3"/>
      <c r="I625" s="3" t="str">
        <f aca="false">IFERROR(__xludf.dummyfunction("if($T625&lt;&gt;"""",REGEXEXTRACT(SUBSTITUTE ($T625,I$1&amp;"" CE"",""""), I$1&amp;""[\w &amp;]*, (\d+\.\d+)""),"""")
"),"")</f>
        <v/>
      </c>
      <c r="J625" s="3" t="str">
        <f aca="false">IFERROR(__xludf.dummyfunction("if($T625&lt;&gt;"""",REGEXEXTRACT($T625, J$1&amp;""[\w &amp;]*, (\d+\.\d+)""),"""")
"),"")</f>
        <v/>
      </c>
      <c r="K625" s="3"/>
      <c r="L625" s="3" t="str">
        <f aca="false">IFERROR(__xludf.dummyfunction("if($T625&lt;&gt;"""",REGEXEXTRACT(SUBSTITUTE ($T625,L$1&amp;"" CE"",""""), L$1&amp;""[\w &amp;]*, (\d+\.\d+)""),"""")
"),"")</f>
        <v/>
      </c>
      <c r="M625" s="3" t="str">
        <f aca="false">IFERROR(__xludf.dummyfunction("if($T625&lt;&gt;"""",REGEXEXTRACT($T625, M$1&amp;""[\w &amp;]*, (\d+\.\d+)""),"""")
"),"")</f>
        <v/>
      </c>
      <c r="N625" s="3" t="str">
        <f aca="false">IFERROR(__xludf.dummyfunction("if($T625&lt;&gt;"""",REGEXEXTRACT(SUBSTITUTE ($T625,N$1&amp;"" CE"",""""), N$1&amp;""[\w &amp;]*, (\d+\.\d+)""),"""")
"),"")</f>
        <v/>
      </c>
      <c r="O625" s="3" t="str">
        <f aca="false">IFERROR(__xludf.dummyfunction("if($T625&lt;&gt;"""",REGEXEXTRACT($T625, O$1&amp;""[\w &amp;]*, (\d+\.\d+)""),"""")
"),"")</f>
        <v/>
      </c>
      <c r="P625" s="2"/>
      <c r="Q625" s="2"/>
      <c r="R625" s="2"/>
      <c r="S625" s="2"/>
      <c r="T625" s="5"/>
      <c r="U625" s="5"/>
    </row>
    <row r="626" customFormat="false" ht="15.75" hidden="false" customHeight="false" outlineLevel="0" collapsed="false">
      <c r="A626" s="4"/>
      <c r="B626" s="2"/>
      <c r="C626" s="2"/>
      <c r="D626" s="2"/>
      <c r="E626" s="2"/>
      <c r="F626" s="3" t="str">
        <f aca="false">IFERROR(__xludf.dummyfunction("if($T626&lt;&gt;"""",REGEXEXTRACT(SUBSTITUTE ($T626,F$1&amp;"" CE"",""""), F$1&amp;""[\w &amp;]*, (\d+\.\d+)""),"""")
"),"")</f>
        <v/>
      </c>
      <c r="G626" s="3" t="str">
        <f aca="false">IFERROR(__xludf.dummyfunction("if($T626&lt;&gt;"""",REGEXEXTRACT($T626, G$1&amp;""[\w &amp;]*, (\d+\.\d+)""),"""")
"),"")</f>
        <v/>
      </c>
      <c r="H626" s="3"/>
      <c r="I626" s="3" t="str">
        <f aca="false">IFERROR(__xludf.dummyfunction("if($T626&lt;&gt;"""",REGEXEXTRACT(SUBSTITUTE ($T626,I$1&amp;"" CE"",""""), I$1&amp;""[\w &amp;]*, (\d+\.\d+)""),"""")
"),"")</f>
        <v/>
      </c>
      <c r="J626" s="3" t="str">
        <f aca="false">IFERROR(__xludf.dummyfunction("if($T626&lt;&gt;"""",REGEXEXTRACT($T626, J$1&amp;""[\w &amp;]*, (\d+\.\d+)""),"""")
"),"")</f>
        <v/>
      </c>
      <c r="K626" s="3"/>
      <c r="L626" s="3" t="str">
        <f aca="false">IFERROR(__xludf.dummyfunction("if($T626&lt;&gt;"""",REGEXEXTRACT(SUBSTITUTE ($T626,L$1&amp;"" CE"",""""), L$1&amp;""[\w &amp;]*, (\d+\.\d+)""),"""")
"),"")</f>
        <v/>
      </c>
      <c r="M626" s="3" t="str">
        <f aca="false">IFERROR(__xludf.dummyfunction("if($T626&lt;&gt;"""",REGEXEXTRACT($T626, M$1&amp;""[\w &amp;]*, (\d+\.\d+)""),"""")
"),"")</f>
        <v/>
      </c>
      <c r="N626" s="3" t="str">
        <f aca="false">IFERROR(__xludf.dummyfunction("if($T626&lt;&gt;"""",REGEXEXTRACT(SUBSTITUTE ($T626,N$1&amp;"" CE"",""""), N$1&amp;""[\w &amp;]*, (\d+\.\d+)""),"""")
"),"")</f>
        <v/>
      </c>
      <c r="O626" s="3" t="str">
        <f aca="false">IFERROR(__xludf.dummyfunction("if($T626&lt;&gt;"""",REGEXEXTRACT($T626, O$1&amp;""[\w &amp;]*, (\d+\.\d+)""),"""")
"),"")</f>
        <v/>
      </c>
      <c r="P626" s="2"/>
      <c r="Q626" s="2"/>
      <c r="R626" s="2"/>
      <c r="S626" s="2"/>
      <c r="T626" s="5"/>
      <c r="U626" s="5"/>
    </row>
    <row r="627" customFormat="false" ht="15.75" hidden="false" customHeight="false" outlineLevel="0" collapsed="false">
      <c r="A627" s="4"/>
      <c r="B627" s="2"/>
      <c r="C627" s="2"/>
      <c r="D627" s="2"/>
      <c r="E627" s="2"/>
      <c r="F627" s="3" t="str">
        <f aca="false">IFERROR(__xludf.dummyfunction("if($T627&lt;&gt;"""",REGEXEXTRACT(SUBSTITUTE ($T627,F$1&amp;"" CE"",""""), F$1&amp;""[\w &amp;]*, (\d+\.\d+)""),"""")
"),"")</f>
        <v/>
      </c>
      <c r="G627" s="3" t="str">
        <f aca="false">IFERROR(__xludf.dummyfunction("if($T627&lt;&gt;"""",REGEXEXTRACT($T627, G$1&amp;""[\w &amp;]*, (\d+\.\d+)""),"""")
"),"")</f>
        <v/>
      </c>
      <c r="H627" s="3"/>
      <c r="I627" s="3" t="str">
        <f aca="false">IFERROR(__xludf.dummyfunction("if($T627&lt;&gt;"""",REGEXEXTRACT(SUBSTITUTE ($T627,I$1&amp;"" CE"",""""), I$1&amp;""[\w &amp;]*, (\d+\.\d+)""),"""")
"),"")</f>
        <v/>
      </c>
      <c r="J627" s="3" t="str">
        <f aca="false">IFERROR(__xludf.dummyfunction("if($T627&lt;&gt;"""",REGEXEXTRACT($T627, J$1&amp;""[\w &amp;]*, (\d+\.\d+)""),"""")
"),"")</f>
        <v/>
      </c>
      <c r="K627" s="3"/>
      <c r="L627" s="3" t="str">
        <f aca="false">IFERROR(__xludf.dummyfunction("if($T627&lt;&gt;"""",REGEXEXTRACT(SUBSTITUTE ($T627,L$1&amp;"" CE"",""""), L$1&amp;""[\w &amp;]*, (\d+\.\d+)""),"""")
"),"")</f>
        <v/>
      </c>
      <c r="M627" s="3" t="str">
        <f aca="false">IFERROR(__xludf.dummyfunction("if($T627&lt;&gt;"""",REGEXEXTRACT($T627, M$1&amp;""[\w &amp;]*, (\d+\.\d+)""),"""")
"),"")</f>
        <v/>
      </c>
      <c r="N627" s="3" t="str">
        <f aca="false">IFERROR(__xludf.dummyfunction("if($T627&lt;&gt;"""",REGEXEXTRACT(SUBSTITUTE ($T627,N$1&amp;"" CE"",""""), N$1&amp;""[\w &amp;]*, (\d+\.\d+)""),"""")
"),"")</f>
        <v/>
      </c>
      <c r="O627" s="3" t="str">
        <f aca="false">IFERROR(__xludf.dummyfunction("if($T627&lt;&gt;"""",REGEXEXTRACT($T627, O$1&amp;""[\w &amp;]*, (\d+\.\d+)""),"""")
"),"")</f>
        <v/>
      </c>
      <c r="P627" s="2"/>
      <c r="Q627" s="2"/>
      <c r="R627" s="2"/>
      <c r="S627" s="2"/>
      <c r="T627" s="5"/>
      <c r="U627" s="5"/>
    </row>
    <row r="628" customFormat="false" ht="15.75" hidden="false" customHeight="false" outlineLevel="0" collapsed="false">
      <c r="A628" s="4"/>
      <c r="B628" s="2"/>
      <c r="C628" s="2"/>
      <c r="D628" s="2"/>
      <c r="E628" s="2"/>
      <c r="F628" s="3" t="str">
        <f aca="false">IFERROR(__xludf.dummyfunction("if($T628&lt;&gt;"""",REGEXEXTRACT(SUBSTITUTE ($T628,F$1&amp;"" CE"",""""), F$1&amp;""[\w &amp;]*, (\d+\.\d+)""),"""")
"),"")</f>
        <v/>
      </c>
      <c r="G628" s="3" t="str">
        <f aca="false">IFERROR(__xludf.dummyfunction("if($T628&lt;&gt;"""",REGEXEXTRACT($T628, G$1&amp;""[\w &amp;]*, (\d+\.\d+)""),"""")
"),"")</f>
        <v/>
      </c>
      <c r="H628" s="3"/>
      <c r="I628" s="3" t="str">
        <f aca="false">IFERROR(__xludf.dummyfunction("if($T628&lt;&gt;"""",REGEXEXTRACT(SUBSTITUTE ($T628,I$1&amp;"" CE"",""""), I$1&amp;""[\w &amp;]*, (\d+\.\d+)""),"""")
"),"")</f>
        <v/>
      </c>
      <c r="J628" s="3" t="str">
        <f aca="false">IFERROR(__xludf.dummyfunction("if($T628&lt;&gt;"""",REGEXEXTRACT($T628, J$1&amp;""[\w &amp;]*, (\d+\.\d+)""),"""")
"),"")</f>
        <v/>
      </c>
      <c r="K628" s="3"/>
      <c r="L628" s="3" t="str">
        <f aca="false">IFERROR(__xludf.dummyfunction("if($T628&lt;&gt;"""",REGEXEXTRACT(SUBSTITUTE ($T628,L$1&amp;"" CE"",""""), L$1&amp;""[\w &amp;]*, (\d+\.\d+)""),"""")
"),"")</f>
        <v/>
      </c>
      <c r="M628" s="3" t="str">
        <f aca="false">IFERROR(__xludf.dummyfunction("if($T628&lt;&gt;"""",REGEXEXTRACT($T628, M$1&amp;""[\w &amp;]*, (\d+\.\d+)""),"""")
"),"")</f>
        <v/>
      </c>
      <c r="N628" s="3" t="str">
        <f aca="false">IFERROR(__xludf.dummyfunction("if($T628&lt;&gt;"""",REGEXEXTRACT(SUBSTITUTE ($T628,N$1&amp;"" CE"",""""), N$1&amp;""[\w &amp;]*, (\d+\.\d+)""),"""")
"),"")</f>
        <v/>
      </c>
      <c r="O628" s="3" t="str">
        <f aca="false">IFERROR(__xludf.dummyfunction("if($T628&lt;&gt;"""",REGEXEXTRACT($T628, O$1&amp;""[\w &amp;]*, (\d+\.\d+)""),"""")
"),"")</f>
        <v/>
      </c>
      <c r="P628" s="2"/>
      <c r="Q628" s="2"/>
      <c r="R628" s="2"/>
      <c r="S628" s="2"/>
      <c r="T628" s="5"/>
      <c r="U628" s="5"/>
    </row>
    <row r="629" customFormat="false" ht="15.75" hidden="false" customHeight="false" outlineLevel="0" collapsed="false">
      <c r="A629" s="4"/>
      <c r="B629" s="2"/>
      <c r="C629" s="2"/>
      <c r="D629" s="2"/>
      <c r="E629" s="2"/>
      <c r="F629" s="3" t="str">
        <f aca="false">IFERROR(__xludf.dummyfunction("if($T629&lt;&gt;"""",REGEXEXTRACT(SUBSTITUTE ($T629,F$1&amp;"" CE"",""""), F$1&amp;""[\w &amp;]*, (\d+\.\d+)""),"""")
"),"")</f>
        <v/>
      </c>
      <c r="G629" s="3" t="str">
        <f aca="false">IFERROR(__xludf.dummyfunction("if($T629&lt;&gt;"""",REGEXEXTRACT($T629, G$1&amp;""[\w &amp;]*, (\d+\.\d+)""),"""")
"),"")</f>
        <v/>
      </c>
      <c r="H629" s="3"/>
      <c r="I629" s="3" t="str">
        <f aca="false">IFERROR(__xludf.dummyfunction("if($T629&lt;&gt;"""",REGEXEXTRACT(SUBSTITUTE ($T629,I$1&amp;"" CE"",""""), I$1&amp;""[\w &amp;]*, (\d+\.\d+)""),"""")
"),"")</f>
        <v/>
      </c>
      <c r="J629" s="3" t="str">
        <f aca="false">IFERROR(__xludf.dummyfunction("if($T629&lt;&gt;"""",REGEXEXTRACT($T629, J$1&amp;""[\w &amp;]*, (\d+\.\d+)""),"""")
"),"")</f>
        <v/>
      </c>
      <c r="K629" s="3"/>
      <c r="L629" s="3" t="str">
        <f aca="false">IFERROR(__xludf.dummyfunction("if($T629&lt;&gt;"""",REGEXEXTRACT(SUBSTITUTE ($T629,L$1&amp;"" CE"",""""), L$1&amp;""[\w &amp;]*, (\d+\.\d+)""),"""")
"),"")</f>
        <v/>
      </c>
      <c r="M629" s="3" t="str">
        <f aca="false">IFERROR(__xludf.dummyfunction("if($T629&lt;&gt;"""",REGEXEXTRACT($T629, M$1&amp;""[\w &amp;]*, (\d+\.\d+)""),"""")
"),"")</f>
        <v/>
      </c>
      <c r="N629" s="3" t="str">
        <f aca="false">IFERROR(__xludf.dummyfunction("if($T629&lt;&gt;"""",REGEXEXTRACT(SUBSTITUTE ($T629,N$1&amp;"" CE"",""""), N$1&amp;""[\w &amp;]*, (\d+\.\d+)""),"""")
"),"")</f>
        <v/>
      </c>
      <c r="O629" s="3" t="str">
        <f aca="false">IFERROR(__xludf.dummyfunction("if($T629&lt;&gt;"""",REGEXEXTRACT($T629, O$1&amp;""[\w &amp;]*, (\d+\.\d+)""),"""")
"),"")</f>
        <v/>
      </c>
      <c r="P629" s="2"/>
      <c r="Q629" s="2"/>
      <c r="R629" s="2"/>
      <c r="S629" s="2"/>
      <c r="T629" s="5"/>
      <c r="U629" s="5"/>
    </row>
    <row r="630" customFormat="false" ht="15.75" hidden="false" customHeight="false" outlineLevel="0" collapsed="false">
      <c r="A630" s="4"/>
      <c r="B630" s="2"/>
      <c r="C630" s="2"/>
      <c r="D630" s="2"/>
      <c r="E630" s="2"/>
      <c r="F630" s="3" t="str">
        <f aca="false">IFERROR(__xludf.dummyfunction("if($T630&lt;&gt;"""",REGEXEXTRACT(SUBSTITUTE ($T630,F$1&amp;"" CE"",""""), F$1&amp;""[\w &amp;]*, (\d+\.\d+)""),"""")
"),"")</f>
        <v/>
      </c>
      <c r="G630" s="3" t="str">
        <f aca="false">IFERROR(__xludf.dummyfunction("if($T630&lt;&gt;"""",REGEXEXTRACT($T630, G$1&amp;""[\w &amp;]*, (\d+\.\d+)""),"""")
"),"")</f>
        <v/>
      </c>
      <c r="H630" s="3"/>
      <c r="I630" s="3" t="str">
        <f aca="false">IFERROR(__xludf.dummyfunction("if($T630&lt;&gt;"""",REGEXEXTRACT(SUBSTITUTE ($T630,I$1&amp;"" CE"",""""), I$1&amp;""[\w &amp;]*, (\d+\.\d+)""),"""")
"),"")</f>
        <v/>
      </c>
      <c r="J630" s="3" t="str">
        <f aca="false">IFERROR(__xludf.dummyfunction("if($T630&lt;&gt;"""",REGEXEXTRACT($T630, J$1&amp;""[\w &amp;]*, (\d+\.\d+)""),"""")
"),"")</f>
        <v/>
      </c>
      <c r="K630" s="3"/>
      <c r="L630" s="3" t="str">
        <f aca="false">IFERROR(__xludf.dummyfunction("if($T630&lt;&gt;"""",REGEXEXTRACT(SUBSTITUTE ($T630,L$1&amp;"" CE"",""""), L$1&amp;""[\w &amp;]*, (\d+\.\d+)""),"""")
"),"")</f>
        <v/>
      </c>
      <c r="M630" s="3" t="str">
        <f aca="false">IFERROR(__xludf.dummyfunction("if($T630&lt;&gt;"""",REGEXEXTRACT($T630, M$1&amp;""[\w &amp;]*, (\d+\.\d+)""),"""")
"),"")</f>
        <v/>
      </c>
      <c r="N630" s="3" t="str">
        <f aca="false">IFERROR(__xludf.dummyfunction("if($T630&lt;&gt;"""",REGEXEXTRACT(SUBSTITUTE ($T630,N$1&amp;"" CE"",""""), N$1&amp;""[\w &amp;]*, (\d+\.\d+)""),"""")
"),"")</f>
        <v/>
      </c>
      <c r="O630" s="3" t="str">
        <f aca="false">IFERROR(__xludf.dummyfunction("if($T630&lt;&gt;"""",REGEXEXTRACT($T630, O$1&amp;""[\w &amp;]*, (\d+\.\d+)""),"""")
"),"")</f>
        <v/>
      </c>
      <c r="P630" s="2"/>
      <c r="Q630" s="2"/>
      <c r="R630" s="2"/>
      <c r="S630" s="2"/>
      <c r="T630" s="5"/>
      <c r="U630" s="5"/>
    </row>
    <row r="631" customFormat="false" ht="15.75" hidden="false" customHeight="false" outlineLevel="0" collapsed="false">
      <c r="A631" s="4"/>
      <c r="B631" s="2"/>
      <c r="C631" s="2"/>
      <c r="D631" s="2"/>
      <c r="E631" s="2"/>
      <c r="F631" s="3" t="str">
        <f aca="false">IFERROR(__xludf.dummyfunction("if($T631&lt;&gt;"""",REGEXEXTRACT(SUBSTITUTE ($T631,F$1&amp;"" CE"",""""), F$1&amp;""[\w &amp;]*, (\d+\.\d+)""),"""")
"),"")</f>
        <v/>
      </c>
      <c r="G631" s="3" t="str">
        <f aca="false">IFERROR(__xludf.dummyfunction("if($T631&lt;&gt;"""",REGEXEXTRACT($T631, G$1&amp;""[\w &amp;]*, (\d+\.\d+)""),"""")
"),"")</f>
        <v/>
      </c>
      <c r="H631" s="3"/>
      <c r="I631" s="3" t="str">
        <f aca="false">IFERROR(__xludf.dummyfunction("if($T631&lt;&gt;"""",REGEXEXTRACT(SUBSTITUTE ($T631,I$1&amp;"" CE"",""""), I$1&amp;""[\w &amp;]*, (\d+\.\d+)""),"""")
"),"")</f>
        <v/>
      </c>
      <c r="J631" s="3" t="str">
        <f aca="false">IFERROR(__xludf.dummyfunction("if($T631&lt;&gt;"""",REGEXEXTRACT($T631, J$1&amp;""[\w &amp;]*, (\d+\.\d+)""),"""")
"),"")</f>
        <v/>
      </c>
      <c r="K631" s="3"/>
      <c r="L631" s="3" t="str">
        <f aca="false">IFERROR(__xludf.dummyfunction("if($T631&lt;&gt;"""",REGEXEXTRACT(SUBSTITUTE ($T631,L$1&amp;"" CE"",""""), L$1&amp;""[\w &amp;]*, (\d+\.\d+)""),"""")
"),"")</f>
        <v/>
      </c>
      <c r="M631" s="3" t="str">
        <f aca="false">IFERROR(__xludf.dummyfunction("if($T631&lt;&gt;"""",REGEXEXTRACT($T631, M$1&amp;""[\w &amp;]*, (\d+\.\d+)""),"""")
"),"")</f>
        <v/>
      </c>
      <c r="N631" s="3" t="str">
        <f aca="false">IFERROR(__xludf.dummyfunction("if($T631&lt;&gt;"""",REGEXEXTRACT(SUBSTITUTE ($T631,N$1&amp;"" CE"",""""), N$1&amp;""[\w &amp;]*, (\d+\.\d+)""),"""")
"),"")</f>
        <v/>
      </c>
      <c r="O631" s="3" t="str">
        <f aca="false">IFERROR(__xludf.dummyfunction("if($T631&lt;&gt;"""",REGEXEXTRACT($T631, O$1&amp;""[\w &amp;]*, (\d+\.\d+)""),"""")
"),"")</f>
        <v/>
      </c>
      <c r="P631" s="2"/>
      <c r="Q631" s="2"/>
      <c r="R631" s="2"/>
      <c r="S631" s="2"/>
      <c r="T631" s="5"/>
      <c r="U631" s="5"/>
    </row>
    <row r="632" customFormat="false" ht="15.75" hidden="false" customHeight="false" outlineLevel="0" collapsed="false">
      <c r="A632" s="4"/>
      <c r="B632" s="2"/>
      <c r="C632" s="2"/>
      <c r="D632" s="2"/>
      <c r="E632" s="2"/>
      <c r="F632" s="3" t="str">
        <f aca="false">IFERROR(__xludf.dummyfunction("if($T632&lt;&gt;"""",REGEXEXTRACT(SUBSTITUTE ($T632,F$1&amp;"" CE"",""""), F$1&amp;""[\w &amp;]*, (\d+\.\d+)""),"""")
"),"")</f>
        <v/>
      </c>
      <c r="G632" s="3" t="str">
        <f aca="false">IFERROR(__xludf.dummyfunction("if($T632&lt;&gt;"""",REGEXEXTRACT($T632, G$1&amp;""[\w &amp;]*, (\d+\.\d+)""),"""")
"),"")</f>
        <v/>
      </c>
      <c r="H632" s="3"/>
      <c r="I632" s="3" t="str">
        <f aca="false">IFERROR(__xludf.dummyfunction("if($T632&lt;&gt;"""",REGEXEXTRACT(SUBSTITUTE ($T632,I$1&amp;"" CE"",""""), I$1&amp;""[\w &amp;]*, (\d+\.\d+)""),"""")
"),"")</f>
        <v/>
      </c>
      <c r="J632" s="3" t="str">
        <f aca="false">IFERROR(__xludf.dummyfunction("if($T632&lt;&gt;"""",REGEXEXTRACT($T632, J$1&amp;""[\w &amp;]*, (\d+\.\d+)""),"""")
"),"")</f>
        <v/>
      </c>
      <c r="K632" s="3"/>
      <c r="L632" s="3" t="str">
        <f aca="false">IFERROR(__xludf.dummyfunction("if($T632&lt;&gt;"""",REGEXEXTRACT(SUBSTITUTE ($T632,L$1&amp;"" CE"",""""), L$1&amp;""[\w &amp;]*, (\d+\.\d+)""),"""")
"),"")</f>
        <v/>
      </c>
      <c r="M632" s="3" t="str">
        <f aca="false">IFERROR(__xludf.dummyfunction("if($T632&lt;&gt;"""",REGEXEXTRACT($T632, M$1&amp;""[\w &amp;]*, (\d+\.\d+)""),"""")
"),"")</f>
        <v/>
      </c>
      <c r="N632" s="3" t="str">
        <f aca="false">IFERROR(__xludf.dummyfunction("if($T632&lt;&gt;"""",REGEXEXTRACT(SUBSTITUTE ($T632,N$1&amp;"" CE"",""""), N$1&amp;""[\w &amp;]*, (\d+\.\d+)""),"""")
"),"")</f>
        <v/>
      </c>
      <c r="O632" s="3" t="str">
        <f aca="false">IFERROR(__xludf.dummyfunction("if($T632&lt;&gt;"""",REGEXEXTRACT($T632, O$1&amp;""[\w &amp;]*, (\d+\.\d+)""),"""")
"),"")</f>
        <v/>
      </c>
      <c r="P632" s="2"/>
      <c r="Q632" s="2"/>
      <c r="R632" s="2"/>
      <c r="S632" s="2"/>
      <c r="T632" s="5"/>
      <c r="U632" s="5"/>
    </row>
    <row r="633" customFormat="false" ht="15.75" hidden="false" customHeight="false" outlineLevel="0" collapsed="false">
      <c r="A633" s="4"/>
      <c r="B633" s="2"/>
      <c r="C633" s="2"/>
      <c r="D633" s="2"/>
      <c r="E633" s="2"/>
      <c r="F633" s="3" t="str">
        <f aca="false">IFERROR(__xludf.dummyfunction("if($T633&lt;&gt;"""",REGEXEXTRACT(SUBSTITUTE ($T633,F$1&amp;"" CE"",""""), F$1&amp;""[\w &amp;]*, (\d+\.\d+)""),"""")
"),"")</f>
        <v/>
      </c>
      <c r="G633" s="3" t="str">
        <f aca="false">IFERROR(__xludf.dummyfunction("if($T633&lt;&gt;"""",REGEXEXTRACT($T633, G$1&amp;""[\w &amp;]*, (\d+\.\d+)""),"""")
"),"")</f>
        <v/>
      </c>
      <c r="H633" s="3"/>
      <c r="I633" s="3" t="str">
        <f aca="false">IFERROR(__xludf.dummyfunction("if($T633&lt;&gt;"""",REGEXEXTRACT(SUBSTITUTE ($T633,I$1&amp;"" CE"",""""), I$1&amp;""[\w &amp;]*, (\d+\.\d+)""),"""")
"),"")</f>
        <v/>
      </c>
      <c r="J633" s="3" t="str">
        <f aca="false">IFERROR(__xludf.dummyfunction("if($T633&lt;&gt;"""",REGEXEXTRACT($T633, J$1&amp;""[\w &amp;]*, (\d+\.\d+)""),"""")
"),"")</f>
        <v/>
      </c>
      <c r="K633" s="3"/>
      <c r="L633" s="3" t="str">
        <f aca="false">IFERROR(__xludf.dummyfunction("if($T633&lt;&gt;"""",REGEXEXTRACT(SUBSTITUTE ($T633,L$1&amp;"" CE"",""""), L$1&amp;""[\w &amp;]*, (\d+\.\d+)""),"""")
"),"")</f>
        <v/>
      </c>
      <c r="M633" s="3" t="str">
        <f aca="false">IFERROR(__xludf.dummyfunction("if($T633&lt;&gt;"""",REGEXEXTRACT($T633, M$1&amp;""[\w &amp;]*, (\d+\.\d+)""),"""")
"),"")</f>
        <v/>
      </c>
      <c r="N633" s="3" t="str">
        <f aca="false">IFERROR(__xludf.dummyfunction("if($T633&lt;&gt;"""",REGEXEXTRACT(SUBSTITUTE ($T633,N$1&amp;"" CE"",""""), N$1&amp;""[\w &amp;]*, (\d+\.\d+)""),"""")
"),"")</f>
        <v/>
      </c>
      <c r="O633" s="3" t="str">
        <f aca="false">IFERROR(__xludf.dummyfunction("if($T633&lt;&gt;"""",REGEXEXTRACT($T633, O$1&amp;""[\w &amp;]*, (\d+\.\d+)""),"""")
"),"")</f>
        <v/>
      </c>
      <c r="P633" s="2"/>
      <c r="Q633" s="2"/>
      <c r="R633" s="2"/>
      <c r="S633" s="2"/>
      <c r="T633" s="5"/>
      <c r="U633" s="5"/>
    </row>
    <row r="634" customFormat="false" ht="15.75" hidden="false" customHeight="false" outlineLevel="0" collapsed="false">
      <c r="A634" s="4"/>
      <c r="B634" s="2"/>
      <c r="C634" s="2"/>
      <c r="D634" s="2"/>
      <c r="E634" s="2"/>
      <c r="F634" s="3" t="str">
        <f aca="false">IFERROR(__xludf.dummyfunction("if($T634&lt;&gt;"""",REGEXEXTRACT(SUBSTITUTE ($T634,F$1&amp;"" CE"",""""), F$1&amp;""[\w &amp;]*, (\d+\.\d+)""),"""")
"),"")</f>
        <v/>
      </c>
      <c r="G634" s="3" t="str">
        <f aca="false">IFERROR(__xludf.dummyfunction("if($T634&lt;&gt;"""",REGEXEXTRACT($T634, G$1&amp;""[\w &amp;]*, (\d+\.\d+)""),"""")
"),"")</f>
        <v/>
      </c>
      <c r="H634" s="3"/>
      <c r="I634" s="3" t="str">
        <f aca="false">IFERROR(__xludf.dummyfunction("if($T634&lt;&gt;"""",REGEXEXTRACT(SUBSTITUTE ($T634,I$1&amp;"" CE"",""""), I$1&amp;""[\w &amp;]*, (\d+\.\d+)""),"""")
"),"")</f>
        <v/>
      </c>
      <c r="J634" s="3" t="str">
        <f aca="false">IFERROR(__xludf.dummyfunction("if($T634&lt;&gt;"""",REGEXEXTRACT($T634, J$1&amp;""[\w &amp;]*, (\d+\.\d+)""),"""")
"),"")</f>
        <v/>
      </c>
      <c r="K634" s="3"/>
      <c r="L634" s="3" t="str">
        <f aca="false">IFERROR(__xludf.dummyfunction("if($T634&lt;&gt;"""",REGEXEXTRACT(SUBSTITUTE ($T634,L$1&amp;"" CE"",""""), L$1&amp;""[\w &amp;]*, (\d+\.\d+)""),"""")
"),"")</f>
        <v/>
      </c>
      <c r="M634" s="3" t="str">
        <f aca="false">IFERROR(__xludf.dummyfunction("if($T634&lt;&gt;"""",REGEXEXTRACT($T634, M$1&amp;""[\w &amp;]*, (\d+\.\d+)""),"""")
"),"")</f>
        <v/>
      </c>
      <c r="N634" s="3" t="str">
        <f aca="false">IFERROR(__xludf.dummyfunction("if($T634&lt;&gt;"""",REGEXEXTRACT(SUBSTITUTE ($T634,N$1&amp;"" CE"",""""), N$1&amp;""[\w &amp;]*, (\d+\.\d+)""),"""")
"),"")</f>
        <v/>
      </c>
      <c r="O634" s="3" t="str">
        <f aca="false">IFERROR(__xludf.dummyfunction("if($T634&lt;&gt;"""",REGEXEXTRACT($T634, O$1&amp;""[\w &amp;]*, (\d+\.\d+)""),"""")
"),"")</f>
        <v/>
      </c>
      <c r="P634" s="2"/>
      <c r="Q634" s="2"/>
      <c r="R634" s="2"/>
      <c r="S634" s="2"/>
      <c r="T634" s="5"/>
      <c r="U634" s="5"/>
    </row>
    <row r="635" customFormat="false" ht="15.75" hidden="false" customHeight="false" outlineLevel="0" collapsed="false">
      <c r="A635" s="4"/>
      <c r="B635" s="2"/>
      <c r="C635" s="2"/>
      <c r="D635" s="2"/>
      <c r="E635" s="2"/>
      <c r="F635" s="3" t="str">
        <f aca="false">IFERROR(__xludf.dummyfunction("if($T635&lt;&gt;"""",REGEXEXTRACT(SUBSTITUTE ($T635,F$1&amp;"" CE"",""""), F$1&amp;""[\w &amp;]*, (\d+\.\d+)""),"""")
"),"")</f>
        <v/>
      </c>
      <c r="G635" s="3" t="str">
        <f aca="false">IFERROR(__xludf.dummyfunction("if($T635&lt;&gt;"""",REGEXEXTRACT($T635, G$1&amp;""[\w &amp;]*, (\d+\.\d+)""),"""")
"),"")</f>
        <v/>
      </c>
      <c r="H635" s="3"/>
      <c r="I635" s="3" t="str">
        <f aca="false">IFERROR(__xludf.dummyfunction("if($T635&lt;&gt;"""",REGEXEXTRACT(SUBSTITUTE ($T635,I$1&amp;"" CE"",""""), I$1&amp;""[\w &amp;]*, (\d+\.\d+)""),"""")
"),"")</f>
        <v/>
      </c>
      <c r="J635" s="3" t="str">
        <f aca="false">IFERROR(__xludf.dummyfunction("if($T635&lt;&gt;"""",REGEXEXTRACT($T635, J$1&amp;""[\w &amp;]*, (\d+\.\d+)""),"""")
"),"")</f>
        <v/>
      </c>
      <c r="K635" s="3"/>
      <c r="L635" s="3" t="str">
        <f aca="false">IFERROR(__xludf.dummyfunction("if($T635&lt;&gt;"""",REGEXEXTRACT(SUBSTITUTE ($T635,L$1&amp;"" CE"",""""), L$1&amp;""[\w &amp;]*, (\d+\.\d+)""),"""")
"),"")</f>
        <v/>
      </c>
      <c r="M635" s="3" t="str">
        <f aca="false">IFERROR(__xludf.dummyfunction("if($T635&lt;&gt;"""",REGEXEXTRACT($T635, M$1&amp;""[\w &amp;]*, (\d+\.\d+)""),"""")
"),"")</f>
        <v/>
      </c>
      <c r="N635" s="3" t="str">
        <f aca="false">IFERROR(__xludf.dummyfunction("if($T635&lt;&gt;"""",REGEXEXTRACT(SUBSTITUTE ($T635,N$1&amp;"" CE"",""""), N$1&amp;""[\w &amp;]*, (\d+\.\d+)""),"""")
"),"")</f>
        <v/>
      </c>
      <c r="O635" s="3" t="str">
        <f aca="false">IFERROR(__xludf.dummyfunction("if($T635&lt;&gt;"""",REGEXEXTRACT($T635, O$1&amp;""[\w &amp;]*, (\d+\.\d+)""),"""")
"),"")</f>
        <v/>
      </c>
      <c r="P635" s="2"/>
      <c r="Q635" s="2"/>
      <c r="R635" s="2"/>
      <c r="S635" s="2"/>
      <c r="T635" s="5"/>
      <c r="U635" s="5"/>
    </row>
    <row r="636" customFormat="false" ht="15.75" hidden="false" customHeight="false" outlineLevel="0" collapsed="false">
      <c r="A636" s="4"/>
      <c r="B636" s="2"/>
      <c r="C636" s="2"/>
      <c r="D636" s="2"/>
      <c r="E636" s="2"/>
      <c r="F636" s="3" t="str">
        <f aca="false">IFERROR(__xludf.dummyfunction("if($T636&lt;&gt;"""",REGEXEXTRACT(SUBSTITUTE ($T636,F$1&amp;"" CE"",""""), F$1&amp;""[\w &amp;]*, (\d+\.\d+)""),"""")
"),"")</f>
        <v/>
      </c>
      <c r="G636" s="3" t="str">
        <f aca="false">IFERROR(__xludf.dummyfunction("if($T636&lt;&gt;"""",REGEXEXTRACT($T636, G$1&amp;""[\w &amp;]*, (\d+\.\d+)""),"""")
"),"")</f>
        <v/>
      </c>
      <c r="H636" s="3"/>
      <c r="I636" s="3" t="str">
        <f aca="false">IFERROR(__xludf.dummyfunction("if($T636&lt;&gt;"""",REGEXEXTRACT(SUBSTITUTE ($T636,I$1&amp;"" CE"",""""), I$1&amp;""[\w &amp;]*, (\d+\.\d+)""),"""")
"),"")</f>
        <v/>
      </c>
      <c r="J636" s="3" t="str">
        <f aca="false">IFERROR(__xludf.dummyfunction("if($T636&lt;&gt;"""",REGEXEXTRACT($T636, J$1&amp;""[\w &amp;]*, (\d+\.\d+)""),"""")
"),"")</f>
        <v/>
      </c>
      <c r="K636" s="3"/>
      <c r="L636" s="3" t="str">
        <f aca="false">IFERROR(__xludf.dummyfunction("if($T636&lt;&gt;"""",REGEXEXTRACT(SUBSTITUTE ($T636,L$1&amp;"" CE"",""""), L$1&amp;""[\w &amp;]*, (\d+\.\d+)""),"""")
"),"")</f>
        <v/>
      </c>
      <c r="M636" s="3" t="str">
        <f aca="false">IFERROR(__xludf.dummyfunction("if($T636&lt;&gt;"""",REGEXEXTRACT($T636, M$1&amp;""[\w &amp;]*, (\d+\.\d+)""),"""")
"),"")</f>
        <v/>
      </c>
      <c r="N636" s="3" t="str">
        <f aca="false">IFERROR(__xludf.dummyfunction("if($T636&lt;&gt;"""",REGEXEXTRACT(SUBSTITUTE ($T636,N$1&amp;"" CE"",""""), N$1&amp;""[\w &amp;]*, (\d+\.\d+)""),"""")
"),"")</f>
        <v/>
      </c>
      <c r="O636" s="3" t="str">
        <f aca="false">IFERROR(__xludf.dummyfunction("if($T636&lt;&gt;"""",REGEXEXTRACT($T636, O$1&amp;""[\w &amp;]*, (\d+\.\d+)""),"""")
"),"")</f>
        <v/>
      </c>
      <c r="P636" s="2"/>
      <c r="Q636" s="2"/>
      <c r="R636" s="2"/>
      <c r="S636" s="2"/>
      <c r="T636" s="5"/>
      <c r="U636" s="5"/>
    </row>
    <row r="637" customFormat="false" ht="15.75" hidden="false" customHeight="false" outlineLevel="0" collapsed="false">
      <c r="A637" s="4"/>
      <c r="B637" s="2"/>
      <c r="C637" s="2"/>
      <c r="D637" s="2"/>
      <c r="E637" s="2"/>
      <c r="F637" s="3" t="str">
        <f aca="false">IFERROR(__xludf.dummyfunction("if($T637&lt;&gt;"""",REGEXEXTRACT(SUBSTITUTE ($T637,F$1&amp;"" CE"",""""), F$1&amp;""[\w &amp;]*, (\d+\.\d+)""),"""")
"),"")</f>
        <v/>
      </c>
      <c r="G637" s="3" t="str">
        <f aca="false">IFERROR(__xludf.dummyfunction("if($T637&lt;&gt;"""",REGEXEXTRACT($T637, G$1&amp;""[\w &amp;]*, (\d+\.\d+)""),"""")
"),"")</f>
        <v/>
      </c>
      <c r="H637" s="3"/>
      <c r="I637" s="3" t="str">
        <f aca="false">IFERROR(__xludf.dummyfunction("if($T637&lt;&gt;"""",REGEXEXTRACT(SUBSTITUTE ($T637,I$1&amp;"" CE"",""""), I$1&amp;""[\w &amp;]*, (\d+\.\d+)""),"""")
"),"")</f>
        <v/>
      </c>
      <c r="J637" s="3" t="str">
        <f aca="false">IFERROR(__xludf.dummyfunction("if($T637&lt;&gt;"""",REGEXEXTRACT($T637, J$1&amp;""[\w &amp;]*, (\d+\.\d+)""),"""")
"),"")</f>
        <v/>
      </c>
      <c r="K637" s="3"/>
      <c r="L637" s="3" t="str">
        <f aca="false">IFERROR(__xludf.dummyfunction("if($T637&lt;&gt;"""",REGEXEXTRACT(SUBSTITUTE ($T637,L$1&amp;"" CE"",""""), L$1&amp;""[\w &amp;]*, (\d+\.\d+)""),"""")
"),"")</f>
        <v/>
      </c>
      <c r="M637" s="3" t="str">
        <f aca="false">IFERROR(__xludf.dummyfunction("if($T637&lt;&gt;"""",REGEXEXTRACT($T637, M$1&amp;""[\w &amp;]*, (\d+\.\d+)""),"""")
"),"")</f>
        <v/>
      </c>
      <c r="N637" s="3" t="str">
        <f aca="false">IFERROR(__xludf.dummyfunction("if($T637&lt;&gt;"""",REGEXEXTRACT(SUBSTITUTE ($T637,N$1&amp;"" CE"",""""), N$1&amp;""[\w &amp;]*, (\d+\.\d+)""),"""")
"),"")</f>
        <v/>
      </c>
      <c r="O637" s="3" t="str">
        <f aca="false">IFERROR(__xludf.dummyfunction("if($T637&lt;&gt;"""",REGEXEXTRACT($T637, O$1&amp;""[\w &amp;]*, (\d+\.\d+)""),"""")
"),"")</f>
        <v/>
      </c>
      <c r="P637" s="2"/>
      <c r="Q637" s="2"/>
      <c r="R637" s="2"/>
      <c r="S637" s="2"/>
      <c r="T637" s="5"/>
      <c r="U637" s="5"/>
    </row>
    <row r="638" customFormat="false" ht="15.75" hidden="false" customHeight="false" outlineLevel="0" collapsed="false">
      <c r="A638" s="4"/>
      <c r="B638" s="2"/>
      <c r="C638" s="2"/>
      <c r="D638" s="2"/>
      <c r="E638" s="2"/>
      <c r="F638" s="3" t="str">
        <f aca="false">IFERROR(__xludf.dummyfunction("if($T638&lt;&gt;"""",REGEXEXTRACT(SUBSTITUTE ($T638,F$1&amp;"" CE"",""""), F$1&amp;""[\w &amp;]*, (\d+\.\d+)""),"""")
"),"")</f>
        <v/>
      </c>
      <c r="G638" s="3" t="str">
        <f aca="false">IFERROR(__xludf.dummyfunction("if($T638&lt;&gt;"""",REGEXEXTRACT($T638, G$1&amp;""[\w &amp;]*, (\d+\.\d+)""),"""")
"),"")</f>
        <v/>
      </c>
      <c r="H638" s="3"/>
      <c r="I638" s="3" t="str">
        <f aca="false">IFERROR(__xludf.dummyfunction("if($T638&lt;&gt;"""",REGEXEXTRACT(SUBSTITUTE ($T638,I$1&amp;"" CE"",""""), I$1&amp;""[\w &amp;]*, (\d+\.\d+)""),"""")
"),"")</f>
        <v/>
      </c>
      <c r="J638" s="3" t="str">
        <f aca="false">IFERROR(__xludf.dummyfunction("if($T638&lt;&gt;"""",REGEXEXTRACT($T638, J$1&amp;""[\w &amp;]*, (\d+\.\d+)""),"""")
"),"")</f>
        <v/>
      </c>
      <c r="K638" s="3"/>
      <c r="L638" s="3" t="str">
        <f aca="false">IFERROR(__xludf.dummyfunction("if($T638&lt;&gt;"""",REGEXEXTRACT(SUBSTITUTE ($T638,L$1&amp;"" CE"",""""), L$1&amp;""[\w &amp;]*, (\d+\.\d+)""),"""")
"),"")</f>
        <v/>
      </c>
      <c r="M638" s="3" t="str">
        <f aca="false">IFERROR(__xludf.dummyfunction("if($T638&lt;&gt;"""",REGEXEXTRACT($T638, M$1&amp;""[\w &amp;]*, (\d+\.\d+)""),"""")
"),"")</f>
        <v/>
      </c>
      <c r="N638" s="3" t="str">
        <f aca="false">IFERROR(__xludf.dummyfunction("if($T638&lt;&gt;"""",REGEXEXTRACT(SUBSTITUTE ($T638,N$1&amp;"" CE"",""""), N$1&amp;""[\w &amp;]*, (\d+\.\d+)""),"""")
"),"")</f>
        <v/>
      </c>
      <c r="O638" s="3" t="str">
        <f aca="false">IFERROR(__xludf.dummyfunction("if($T638&lt;&gt;"""",REGEXEXTRACT($T638, O$1&amp;""[\w &amp;]*, (\d+\.\d+)""),"""")
"),"")</f>
        <v/>
      </c>
      <c r="P638" s="2"/>
      <c r="Q638" s="2"/>
      <c r="R638" s="2"/>
      <c r="S638" s="2"/>
      <c r="T638" s="5"/>
      <c r="U638" s="5"/>
    </row>
    <row r="639" customFormat="false" ht="15.75" hidden="false" customHeight="false" outlineLevel="0" collapsed="false">
      <c r="A639" s="4"/>
      <c r="B639" s="2"/>
      <c r="C639" s="2"/>
      <c r="D639" s="2"/>
      <c r="E639" s="2"/>
      <c r="F639" s="3" t="str">
        <f aca="false">IFERROR(__xludf.dummyfunction("if($T639&lt;&gt;"""",REGEXEXTRACT(SUBSTITUTE ($T639,F$1&amp;"" CE"",""""), F$1&amp;""[\w &amp;]*, (\d+\.\d+)""),"""")
"),"")</f>
        <v/>
      </c>
      <c r="G639" s="3" t="str">
        <f aca="false">IFERROR(__xludf.dummyfunction("if($T639&lt;&gt;"""",REGEXEXTRACT($T639, G$1&amp;""[\w &amp;]*, (\d+\.\d+)""),"""")
"),"")</f>
        <v/>
      </c>
      <c r="H639" s="3"/>
      <c r="I639" s="3" t="str">
        <f aca="false">IFERROR(__xludf.dummyfunction("if($T639&lt;&gt;"""",REGEXEXTRACT(SUBSTITUTE ($T639,I$1&amp;"" CE"",""""), I$1&amp;""[\w &amp;]*, (\d+\.\d+)""),"""")
"),"")</f>
        <v/>
      </c>
      <c r="J639" s="3" t="str">
        <f aca="false">IFERROR(__xludf.dummyfunction("if($T639&lt;&gt;"""",REGEXEXTRACT($T639, J$1&amp;""[\w &amp;]*, (\d+\.\d+)""),"""")
"),"")</f>
        <v/>
      </c>
      <c r="K639" s="3"/>
      <c r="L639" s="3" t="str">
        <f aca="false">IFERROR(__xludf.dummyfunction("if($T639&lt;&gt;"""",REGEXEXTRACT(SUBSTITUTE ($T639,L$1&amp;"" CE"",""""), L$1&amp;""[\w &amp;]*, (\d+\.\d+)""),"""")
"),"")</f>
        <v/>
      </c>
      <c r="M639" s="3" t="str">
        <f aca="false">IFERROR(__xludf.dummyfunction("if($T639&lt;&gt;"""",REGEXEXTRACT($T639, M$1&amp;""[\w &amp;]*, (\d+\.\d+)""),"""")
"),"")</f>
        <v/>
      </c>
      <c r="N639" s="3" t="str">
        <f aca="false">IFERROR(__xludf.dummyfunction("if($T639&lt;&gt;"""",REGEXEXTRACT(SUBSTITUTE ($T639,N$1&amp;"" CE"",""""), N$1&amp;""[\w &amp;]*, (\d+\.\d+)""),"""")
"),"")</f>
        <v/>
      </c>
      <c r="O639" s="3" t="str">
        <f aca="false">IFERROR(__xludf.dummyfunction("if($T639&lt;&gt;"""",REGEXEXTRACT($T639, O$1&amp;""[\w &amp;]*, (\d+\.\d+)""),"""")
"),"")</f>
        <v/>
      </c>
      <c r="P639" s="2"/>
      <c r="Q639" s="2"/>
      <c r="R639" s="2"/>
      <c r="S639" s="2"/>
      <c r="T639" s="5"/>
      <c r="U639" s="5"/>
    </row>
    <row r="640" customFormat="false" ht="15.75" hidden="false" customHeight="false" outlineLevel="0" collapsed="false">
      <c r="A640" s="4"/>
      <c r="B640" s="2"/>
      <c r="C640" s="2"/>
      <c r="D640" s="2"/>
      <c r="E640" s="2"/>
      <c r="F640" s="3" t="str">
        <f aca="false">IFERROR(__xludf.dummyfunction("if($T640&lt;&gt;"""",REGEXEXTRACT(SUBSTITUTE ($T640,F$1&amp;"" CE"",""""), F$1&amp;""[\w &amp;]*, (\d+\.\d+)""),"""")
"),"")</f>
        <v/>
      </c>
      <c r="G640" s="3" t="str">
        <f aca="false">IFERROR(__xludf.dummyfunction("if($T640&lt;&gt;"""",REGEXEXTRACT($T640, G$1&amp;""[\w &amp;]*, (\d+\.\d+)""),"""")
"),"")</f>
        <v/>
      </c>
      <c r="H640" s="3"/>
      <c r="I640" s="3" t="str">
        <f aca="false">IFERROR(__xludf.dummyfunction("if($T640&lt;&gt;"""",REGEXEXTRACT(SUBSTITUTE ($T640,I$1&amp;"" CE"",""""), I$1&amp;""[\w &amp;]*, (\d+\.\d+)""),"""")
"),"")</f>
        <v/>
      </c>
      <c r="J640" s="3" t="str">
        <f aca="false">IFERROR(__xludf.dummyfunction("if($T640&lt;&gt;"""",REGEXEXTRACT($T640, J$1&amp;""[\w &amp;]*, (\d+\.\d+)""),"""")
"),"")</f>
        <v/>
      </c>
      <c r="K640" s="3"/>
      <c r="L640" s="3" t="str">
        <f aca="false">IFERROR(__xludf.dummyfunction("if($T640&lt;&gt;"""",REGEXEXTRACT(SUBSTITUTE ($T640,L$1&amp;"" CE"",""""), L$1&amp;""[\w &amp;]*, (\d+\.\d+)""),"""")
"),"")</f>
        <v/>
      </c>
      <c r="M640" s="3" t="str">
        <f aca="false">IFERROR(__xludf.dummyfunction("if($T640&lt;&gt;"""",REGEXEXTRACT($T640, M$1&amp;""[\w &amp;]*, (\d+\.\d+)""),"""")
"),"")</f>
        <v/>
      </c>
      <c r="N640" s="3" t="str">
        <f aca="false">IFERROR(__xludf.dummyfunction("if($T640&lt;&gt;"""",REGEXEXTRACT(SUBSTITUTE ($T640,N$1&amp;"" CE"",""""), N$1&amp;""[\w &amp;]*, (\d+\.\d+)""),"""")
"),"")</f>
        <v/>
      </c>
      <c r="O640" s="3" t="str">
        <f aca="false">IFERROR(__xludf.dummyfunction("if($T640&lt;&gt;"""",REGEXEXTRACT($T640, O$1&amp;""[\w &amp;]*, (\d+\.\d+)""),"""")
"),"")</f>
        <v/>
      </c>
      <c r="P640" s="2"/>
      <c r="Q640" s="2"/>
      <c r="R640" s="2"/>
      <c r="S640" s="2"/>
      <c r="T640" s="5"/>
      <c r="U640" s="5"/>
    </row>
    <row r="641" customFormat="false" ht="15.75" hidden="false" customHeight="false" outlineLevel="0" collapsed="false">
      <c r="A641" s="4"/>
      <c r="B641" s="2"/>
      <c r="C641" s="2"/>
      <c r="D641" s="2"/>
      <c r="E641" s="2"/>
      <c r="F641" s="3" t="str">
        <f aca="false">IFERROR(__xludf.dummyfunction("if($T641&lt;&gt;"""",REGEXEXTRACT(SUBSTITUTE ($T641,F$1&amp;"" CE"",""""), F$1&amp;""[\w &amp;]*, (\d+\.\d+)""),"""")
"),"")</f>
        <v/>
      </c>
      <c r="G641" s="3" t="str">
        <f aca="false">IFERROR(__xludf.dummyfunction("if($T641&lt;&gt;"""",REGEXEXTRACT($T641, G$1&amp;""[\w &amp;]*, (\d+\.\d+)""),"""")
"),"")</f>
        <v/>
      </c>
      <c r="H641" s="3"/>
      <c r="I641" s="3" t="str">
        <f aca="false">IFERROR(__xludf.dummyfunction("if($T641&lt;&gt;"""",REGEXEXTRACT(SUBSTITUTE ($T641,I$1&amp;"" CE"",""""), I$1&amp;""[\w &amp;]*, (\d+\.\d+)""),"""")
"),"")</f>
        <v/>
      </c>
      <c r="J641" s="3" t="str">
        <f aca="false">IFERROR(__xludf.dummyfunction("if($T641&lt;&gt;"""",REGEXEXTRACT($T641, J$1&amp;""[\w &amp;]*, (\d+\.\d+)""),"""")
"),"")</f>
        <v/>
      </c>
      <c r="K641" s="3"/>
      <c r="L641" s="3" t="str">
        <f aca="false">IFERROR(__xludf.dummyfunction("if($T641&lt;&gt;"""",REGEXEXTRACT(SUBSTITUTE ($T641,L$1&amp;"" CE"",""""), L$1&amp;""[\w &amp;]*, (\d+\.\d+)""),"""")
"),"")</f>
        <v/>
      </c>
      <c r="M641" s="3" t="str">
        <f aca="false">IFERROR(__xludf.dummyfunction("if($T641&lt;&gt;"""",REGEXEXTRACT($T641, M$1&amp;""[\w &amp;]*, (\d+\.\d+)""),"""")
"),"")</f>
        <v/>
      </c>
      <c r="N641" s="3" t="str">
        <f aca="false">IFERROR(__xludf.dummyfunction("if($T641&lt;&gt;"""",REGEXEXTRACT(SUBSTITUTE ($T641,N$1&amp;"" CE"",""""), N$1&amp;""[\w &amp;]*, (\d+\.\d+)""),"""")
"),"")</f>
        <v/>
      </c>
      <c r="O641" s="3" t="str">
        <f aca="false">IFERROR(__xludf.dummyfunction("if($T641&lt;&gt;"""",REGEXEXTRACT($T641, O$1&amp;""[\w &amp;]*, (\d+\.\d+)""),"""")
"),"")</f>
        <v/>
      </c>
      <c r="P641" s="2"/>
      <c r="Q641" s="2"/>
      <c r="R641" s="2"/>
      <c r="S641" s="2"/>
      <c r="T641" s="5"/>
      <c r="U641" s="5"/>
    </row>
    <row r="642" customFormat="false" ht="15.75" hidden="false" customHeight="false" outlineLevel="0" collapsed="false">
      <c r="A642" s="4"/>
      <c r="B642" s="2"/>
      <c r="C642" s="2"/>
      <c r="D642" s="2"/>
      <c r="E642" s="2"/>
      <c r="F642" s="3" t="str">
        <f aca="false">IFERROR(__xludf.dummyfunction("if($T642&lt;&gt;"""",REGEXEXTRACT(SUBSTITUTE ($T642,F$1&amp;"" CE"",""""), F$1&amp;""[\w &amp;]*, (\d+\.\d+)""),"""")
"),"")</f>
        <v/>
      </c>
      <c r="G642" s="3" t="str">
        <f aca="false">IFERROR(__xludf.dummyfunction("if($T642&lt;&gt;"""",REGEXEXTRACT($T642, G$1&amp;""[\w &amp;]*, (\d+\.\d+)""),"""")
"),"")</f>
        <v/>
      </c>
      <c r="H642" s="3"/>
      <c r="I642" s="3" t="str">
        <f aca="false">IFERROR(__xludf.dummyfunction("if($T642&lt;&gt;"""",REGEXEXTRACT(SUBSTITUTE ($T642,I$1&amp;"" CE"",""""), I$1&amp;""[\w &amp;]*, (\d+\.\d+)""),"""")
"),"")</f>
        <v/>
      </c>
      <c r="J642" s="3" t="str">
        <f aca="false">IFERROR(__xludf.dummyfunction("if($T642&lt;&gt;"""",REGEXEXTRACT($T642, J$1&amp;""[\w &amp;]*, (\d+\.\d+)""),"""")
"),"")</f>
        <v/>
      </c>
      <c r="K642" s="3"/>
      <c r="L642" s="3" t="str">
        <f aca="false">IFERROR(__xludf.dummyfunction("if($T642&lt;&gt;"""",REGEXEXTRACT(SUBSTITUTE ($T642,L$1&amp;"" CE"",""""), L$1&amp;""[\w &amp;]*, (\d+\.\d+)""),"""")
"),"")</f>
        <v/>
      </c>
      <c r="M642" s="3" t="str">
        <f aca="false">IFERROR(__xludf.dummyfunction("if($T642&lt;&gt;"""",REGEXEXTRACT($T642, M$1&amp;""[\w &amp;]*, (\d+\.\d+)""),"""")
"),"")</f>
        <v/>
      </c>
      <c r="N642" s="3" t="str">
        <f aca="false">IFERROR(__xludf.dummyfunction("if($T642&lt;&gt;"""",REGEXEXTRACT(SUBSTITUTE ($T642,N$1&amp;"" CE"",""""), N$1&amp;""[\w &amp;]*, (\d+\.\d+)""),"""")
"),"")</f>
        <v/>
      </c>
      <c r="O642" s="3" t="str">
        <f aca="false">IFERROR(__xludf.dummyfunction("if($T642&lt;&gt;"""",REGEXEXTRACT($T642, O$1&amp;""[\w &amp;]*, (\d+\.\d+)""),"""")
"),"")</f>
        <v/>
      </c>
      <c r="P642" s="2"/>
      <c r="Q642" s="2"/>
      <c r="R642" s="2"/>
      <c r="S642" s="2"/>
      <c r="T642" s="5"/>
      <c r="U642" s="5"/>
    </row>
    <row r="643" customFormat="false" ht="15.75" hidden="false" customHeight="false" outlineLevel="0" collapsed="false">
      <c r="A643" s="4"/>
      <c r="B643" s="2"/>
      <c r="C643" s="2"/>
      <c r="D643" s="2"/>
      <c r="E643" s="2"/>
      <c r="F643" s="3" t="str">
        <f aca="false">IFERROR(__xludf.dummyfunction("if($T643&lt;&gt;"""",REGEXEXTRACT(SUBSTITUTE ($T643,F$1&amp;"" CE"",""""), F$1&amp;""[\w &amp;]*, (\d+\.\d+)""),"""")
"),"")</f>
        <v/>
      </c>
      <c r="G643" s="3" t="str">
        <f aca="false">IFERROR(__xludf.dummyfunction("if($T643&lt;&gt;"""",REGEXEXTRACT($T643, G$1&amp;""[\w &amp;]*, (\d+\.\d+)""),"""")
"),"")</f>
        <v/>
      </c>
      <c r="H643" s="3"/>
      <c r="I643" s="3" t="str">
        <f aca="false">IFERROR(__xludf.dummyfunction("if($T643&lt;&gt;"""",REGEXEXTRACT(SUBSTITUTE ($T643,I$1&amp;"" CE"",""""), I$1&amp;""[\w &amp;]*, (\d+\.\d+)""),"""")
"),"")</f>
        <v/>
      </c>
      <c r="J643" s="3" t="str">
        <f aca="false">IFERROR(__xludf.dummyfunction("if($T643&lt;&gt;"""",REGEXEXTRACT($T643, J$1&amp;""[\w &amp;]*, (\d+\.\d+)""),"""")
"),"")</f>
        <v/>
      </c>
      <c r="K643" s="3"/>
      <c r="L643" s="3" t="str">
        <f aca="false">IFERROR(__xludf.dummyfunction("if($T643&lt;&gt;"""",REGEXEXTRACT(SUBSTITUTE ($T643,L$1&amp;"" CE"",""""), L$1&amp;""[\w &amp;]*, (\d+\.\d+)""),"""")
"),"")</f>
        <v/>
      </c>
      <c r="M643" s="3" t="str">
        <f aca="false">IFERROR(__xludf.dummyfunction("if($T643&lt;&gt;"""",REGEXEXTRACT($T643, M$1&amp;""[\w &amp;]*, (\d+\.\d+)""),"""")
"),"")</f>
        <v/>
      </c>
      <c r="N643" s="3" t="str">
        <f aca="false">IFERROR(__xludf.dummyfunction("if($T643&lt;&gt;"""",REGEXEXTRACT(SUBSTITUTE ($T643,N$1&amp;"" CE"",""""), N$1&amp;""[\w &amp;]*, (\d+\.\d+)""),"""")
"),"")</f>
        <v/>
      </c>
      <c r="O643" s="3" t="str">
        <f aca="false">IFERROR(__xludf.dummyfunction("if($T643&lt;&gt;"""",REGEXEXTRACT($T643, O$1&amp;""[\w &amp;]*, (\d+\.\d+)""),"""")
"),"")</f>
        <v/>
      </c>
      <c r="P643" s="2"/>
      <c r="Q643" s="2"/>
      <c r="R643" s="2"/>
      <c r="S643" s="2"/>
      <c r="T643" s="5"/>
      <c r="U643" s="5"/>
    </row>
    <row r="644" customFormat="false" ht="15.75" hidden="false" customHeight="false" outlineLevel="0" collapsed="false">
      <c r="A644" s="4"/>
      <c r="B644" s="2"/>
      <c r="C644" s="2"/>
      <c r="D644" s="2"/>
      <c r="E644" s="2"/>
      <c r="F644" s="3" t="str">
        <f aca="false">IFERROR(__xludf.dummyfunction("if($T644&lt;&gt;"""",REGEXEXTRACT(SUBSTITUTE ($T644,F$1&amp;"" CE"",""""), F$1&amp;""[\w &amp;]*, (\d+\.\d+)""),"""")
"),"")</f>
        <v/>
      </c>
      <c r="G644" s="3" t="str">
        <f aca="false">IFERROR(__xludf.dummyfunction("if($T644&lt;&gt;"""",REGEXEXTRACT($T644, G$1&amp;""[\w &amp;]*, (\d+\.\d+)""),"""")
"),"")</f>
        <v/>
      </c>
      <c r="H644" s="3"/>
      <c r="I644" s="3" t="str">
        <f aca="false">IFERROR(__xludf.dummyfunction("if($T644&lt;&gt;"""",REGEXEXTRACT(SUBSTITUTE ($T644,I$1&amp;"" CE"",""""), I$1&amp;""[\w &amp;]*, (\d+\.\d+)""),"""")
"),"")</f>
        <v/>
      </c>
      <c r="J644" s="3" t="str">
        <f aca="false">IFERROR(__xludf.dummyfunction("if($T644&lt;&gt;"""",REGEXEXTRACT($T644, J$1&amp;""[\w &amp;]*, (\d+\.\d+)""),"""")
"),"")</f>
        <v/>
      </c>
      <c r="K644" s="3"/>
      <c r="L644" s="3" t="str">
        <f aca="false">IFERROR(__xludf.dummyfunction("if($T644&lt;&gt;"""",REGEXEXTRACT(SUBSTITUTE ($T644,L$1&amp;"" CE"",""""), L$1&amp;""[\w &amp;]*, (\d+\.\d+)""),"""")
"),"")</f>
        <v/>
      </c>
      <c r="M644" s="3" t="str">
        <f aca="false">IFERROR(__xludf.dummyfunction("if($T644&lt;&gt;"""",REGEXEXTRACT($T644, M$1&amp;""[\w &amp;]*, (\d+\.\d+)""),"""")
"),"")</f>
        <v/>
      </c>
      <c r="N644" s="3" t="str">
        <f aca="false">IFERROR(__xludf.dummyfunction("if($T644&lt;&gt;"""",REGEXEXTRACT(SUBSTITUTE ($T644,N$1&amp;"" CE"",""""), N$1&amp;""[\w &amp;]*, (\d+\.\d+)""),"""")
"),"")</f>
        <v/>
      </c>
      <c r="O644" s="3" t="str">
        <f aca="false">IFERROR(__xludf.dummyfunction("if($T644&lt;&gt;"""",REGEXEXTRACT($T644, O$1&amp;""[\w &amp;]*, (\d+\.\d+)""),"""")
"),"")</f>
        <v/>
      </c>
      <c r="P644" s="2"/>
      <c r="Q644" s="2"/>
      <c r="R644" s="2"/>
      <c r="S644" s="2"/>
      <c r="T644" s="5"/>
      <c r="U644" s="5"/>
    </row>
    <row r="645" customFormat="false" ht="15.75" hidden="false" customHeight="false" outlineLevel="0" collapsed="false">
      <c r="A645" s="4"/>
      <c r="B645" s="2"/>
      <c r="C645" s="2"/>
      <c r="D645" s="2"/>
      <c r="E645" s="2"/>
      <c r="F645" s="3" t="str">
        <f aca="false">IFERROR(__xludf.dummyfunction("if($T645&lt;&gt;"""",REGEXEXTRACT(SUBSTITUTE ($T645,F$1&amp;"" CE"",""""), F$1&amp;""[\w &amp;]*, (\d+\.\d+)""),"""")
"),"")</f>
        <v/>
      </c>
      <c r="G645" s="3" t="str">
        <f aca="false">IFERROR(__xludf.dummyfunction("if($T645&lt;&gt;"""",REGEXEXTRACT($T645, G$1&amp;""[\w &amp;]*, (\d+\.\d+)""),"""")
"),"")</f>
        <v/>
      </c>
      <c r="H645" s="3"/>
      <c r="I645" s="3" t="str">
        <f aca="false">IFERROR(__xludf.dummyfunction("if($T645&lt;&gt;"""",REGEXEXTRACT(SUBSTITUTE ($T645,I$1&amp;"" CE"",""""), I$1&amp;""[\w &amp;]*, (\d+\.\d+)""),"""")
"),"")</f>
        <v/>
      </c>
      <c r="J645" s="3" t="str">
        <f aca="false">IFERROR(__xludf.dummyfunction("if($T645&lt;&gt;"""",REGEXEXTRACT($T645, J$1&amp;""[\w &amp;]*, (\d+\.\d+)""),"""")
"),"")</f>
        <v/>
      </c>
      <c r="K645" s="3"/>
      <c r="L645" s="3" t="str">
        <f aca="false">IFERROR(__xludf.dummyfunction("if($T645&lt;&gt;"""",REGEXEXTRACT(SUBSTITUTE ($T645,L$1&amp;"" CE"",""""), L$1&amp;""[\w &amp;]*, (\d+\.\d+)""),"""")
"),"")</f>
        <v/>
      </c>
      <c r="M645" s="3" t="str">
        <f aca="false">IFERROR(__xludf.dummyfunction("if($T645&lt;&gt;"""",REGEXEXTRACT($T645, M$1&amp;""[\w &amp;]*, (\d+\.\d+)""),"""")
"),"")</f>
        <v/>
      </c>
      <c r="N645" s="3" t="str">
        <f aca="false">IFERROR(__xludf.dummyfunction("if($T645&lt;&gt;"""",REGEXEXTRACT(SUBSTITUTE ($T645,N$1&amp;"" CE"",""""), N$1&amp;""[\w &amp;]*, (\d+\.\d+)""),"""")
"),"")</f>
        <v/>
      </c>
      <c r="O645" s="3" t="str">
        <f aca="false">IFERROR(__xludf.dummyfunction("if($T645&lt;&gt;"""",REGEXEXTRACT($T645, O$1&amp;""[\w &amp;]*, (\d+\.\d+)""),"""")
"),"")</f>
        <v/>
      </c>
      <c r="P645" s="2"/>
      <c r="Q645" s="2"/>
      <c r="R645" s="2"/>
      <c r="S645" s="2"/>
      <c r="T645" s="5"/>
      <c r="U645" s="5"/>
    </row>
    <row r="646" customFormat="false" ht="15.75" hidden="false" customHeight="false" outlineLevel="0" collapsed="false">
      <c r="A646" s="4"/>
      <c r="B646" s="2"/>
      <c r="C646" s="2"/>
      <c r="D646" s="2"/>
      <c r="E646" s="2"/>
      <c r="F646" s="3" t="str">
        <f aca="false">IFERROR(__xludf.dummyfunction("if($T646&lt;&gt;"""",REGEXEXTRACT(SUBSTITUTE ($T646,F$1&amp;"" CE"",""""), F$1&amp;""[\w &amp;]*, (\d+\.\d+)""),"""")
"),"")</f>
        <v/>
      </c>
      <c r="G646" s="3" t="str">
        <f aca="false">IFERROR(__xludf.dummyfunction("if($T646&lt;&gt;"""",REGEXEXTRACT($T646, G$1&amp;""[\w &amp;]*, (\d+\.\d+)""),"""")
"),"")</f>
        <v/>
      </c>
      <c r="H646" s="3"/>
      <c r="I646" s="3" t="str">
        <f aca="false">IFERROR(__xludf.dummyfunction("if($T646&lt;&gt;"""",REGEXEXTRACT(SUBSTITUTE ($T646,I$1&amp;"" CE"",""""), I$1&amp;""[\w &amp;]*, (\d+\.\d+)""),"""")
"),"")</f>
        <v/>
      </c>
      <c r="J646" s="3" t="str">
        <f aca="false">IFERROR(__xludf.dummyfunction("if($T646&lt;&gt;"""",REGEXEXTRACT($T646, J$1&amp;""[\w &amp;]*, (\d+\.\d+)""),"""")
"),"")</f>
        <v/>
      </c>
      <c r="K646" s="3"/>
      <c r="L646" s="3" t="str">
        <f aca="false">IFERROR(__xludf.dummyfunction("if($T646&lt;&gt;"""",REGEXEXTRACT(SUBSTITUTE ($T646,L$1&amp;"" CE"",""""), L$1&amp;""[\w &amp;]*, (\d+\.\d+)""),"""")
"),"")</f>
        <v/>
      </c>
      <c r="M646" s="3" t="str">
        <f aca="false">IFERROR(__xludf.dummyfunction("if($T646&lt;&gt;"""",REGEXEXTRACT($T646, M$1&amp;""[\w &amp;]*, (\d+\.\d+)""),"""")
"),"")</f>
        <v/>
      </c>
      <c r="N646" s="3" t="str">
        <f aca="false">IFERROR(__xludf.dummyfunction("if($T646&lt;&gt;"""",REGEXEXTRACT(SUBSTITUTE ($T646,N$1&amp;"" CE"",""""), N$1&amp;""[\w &amp;]*, (\d+\.\d+)""),"""")
"),"")</f>
        <v/>
      </c>
      <c r="O646" s="3" t="str">
        <f aca="false">IFERROR(__xludf.dummyfunction("if($T646&lt;&gt;"""",REGEXEXTRACT($T646, O$1&amp;""[\w &amp;]*, (\d+\.\d+)""),"""")
"),"")</f>
        <v/>
      </c>
      <c r="P646" s="2"/>
      <c r="Q646" s="2"/>
      <c r="R646" s="2"/>
      <c r="S646" s="2"/>
      <c r="T646" s="5"/>
      <c r="U646" s="5"/>
    </row>
    <row r="647" customFormat="false" ht="15.75" hidden="false" customHeight="false" outlineLevel="0" collapsed="false">
      <c r="A647" s="4"/>
      <c r="B647" s="2"/>
      <c r="C647" s="2"/>
      <c r="D647" s="2"/>
      <c r="E647" s="2"/>
      <c r="F647" s="3" t="str">
        <f aca="false">IFERROR(__xludf.dummyfunction("if($T647&lt;&gt;"""",REGEXEXTRACT(SUBSTITUTE ($T647,F$1&amp;"" CE"",""""), F$1&amp;""[\w &amp;]*, (\d+\.\d+)""),"""")
"),"")</f>
        <v/>
      </c>
      <c r="G647" s="3" t="str">
        <f aca="false">IFERROR(__xludf.dummyfunction("if($T647&lt;&gt;"""",REGEXEXTRACT($T647, G$1&amp;""[\w &amp;]*, (\d+\.\d+)""),"""")
"),"")</f>
        <v/>
      </c>
      <c r="H647" s="3"/>
      <c r="I647" s="3" t="str">
        <f aca="false">IFERROR(__xludf.dummyfunction("if($T647&lt;&gt;"""",REGEXEXTRACT(SUBSTITUTE ($T647,I$1&amp;"" CE"",""""), I$1&amp;""[\w &amp;]*, (\d+\.\d+)""),"""")
"),"")</f>
        <v/>
      </c>
      <c r="J647" s="3" t="str">
        <f aca="false">IFERROR(__xludf.dummyfunction("if($T647&lt;&gt;"""",REGEXEXTRACT($T647, J$1&amp;""[\w &amp;]*, (\d+\.\d+)""),"""")
"),"")</f>
        <v/>
      </c>
      <c r="K647" s="3"/>
      <c r="L647" s="3" t="str">
        <f aca="false">IFERROR(__xludf.dummyfunction("if($T647&lt;&gt;"""",REGEXEXTRACT(SUBSTITUTE ($T647,L$1&amp;"" CE"",""""), L$1&amp;""[\w &amp;]*, (\d+\.\d+)""),"""")
"),"")</f>
        <v/>
      </c>
      <c r="M647" s="3" t="str">
        <f aca="false">IFERROR(__xludf.dummyfunction("if($T647&lt;&gt;"""",REGEXEXTRACT($T647, M$1&amp;""[\w &amp;]*, (\d+\.\d+)""),"""")
"),"")</f>
        <v/>
      </c>
      <c r="N647" s="3" t="str">
        <f aca="false">IFERROR(__xludf.dummyfunction("if($T647&lt;&gt;"""",REGEXEXTRACT(SUBSTITUTE ($T647,N$1&amp;"" CE"",""""), N$1&amp;""[\w &amp;]*, (\d+\.\d+)""),"""")
"),"")</f>
        <v/>
      </c>
      <c r="O647" s="3" t="str">
        <f aca="false">IFERROR(__xludf.dummyfunction("if($T647&lt;&gt;"""",REGEXEXTRACT($T647, O$1&amp;""[\w &amp;]*, (\d+\.\d+)""),"""")
"),"")</f>
        <v/>
      </c>
      <c r="P647" s="2"/>
      <c r="Q647" s="2"/>
      <c r="R647" s="2"/>
      <c r="S647" s="2"/>
      <c r="T647" s="5"/>
      <c r="U647" s="5"/>
    </row>
    <row r="648" customFormat="false" ht="15.75" hidden="false" customHeight="false" outlineLevel="0" collapsed="false">
      <c r="A648" s="4"/>
      <c r="B648" s="2"/>
      <c r="C648" s="2"/>
      <c r="D648" s="2"/>
      <c r="E648" s="2"/>
      <c r="F648" s="3" t="str">
        <f aca="false">IFERROR(__xludf.dummyfunction("if($T648&lt;&gt;"""",REGEXEXTRACT(SUBSTITUTE ($T648,F$1&amp;"" CE"",""""), F$1&amp;""[\w &amp;]*, (\d+\.\d+)""),"""")
"),"")</f>
        <v/>
      </c>
      <c r="G648" s="3" t="str">
        <f aca="false">IFERROR(__xludf.dummyfunction("if($T648&lt;&gt;"""",REGEXEXTRACT($T648, G$1&amp;""[\w &amp;]*, (\d+\.\d+)""),"""")
"),"")</f>
        <v/>
      </c>
      <c r="H648" s="3"/>
      <c r="I648" s="3" t="str">
        <f aca="false">IFERROR(__xludf.dummyfunction("if($T648&lt;&gt;"""",REGEXEXTRACT(SUBSTITUTE ($T648,I$1&amp;"" CE"",""""), I$1&amp;""[\w &amp;]*, (\d+\.\d+)""),"""")
"),"")</f>
        <v/>
      </c>
      <c r="J648" s="3" t="str">
        <f aca="false">IFERROR(__xludf.dummyfunction("if($T648&lt;&gt;"""",REGEXEXTRACT($T648, J$1&amp;""[\w &amp;]*, (\d+\.\d+)""),"""")
"),"")</f>
        <v/>
      </c>
      <c r="K648" s="3"/>
      <c r="L648" s="3" t="str">
        <f aca="false">IFERROR(__xludf.dummyfunction("if($T648&lt;&gt;"""",REGEXEXTRACT(SUBSTITUTE ($T648,L$1&amp;"" CE"",""""), L$1&amp;""[\w &amp;]*, (\d+\.\d+)""),"""")
"),"")</f>
        <v/>
      </c>
      <c r="M648" s="3" t="str">
        <f aca="false">IFERROR(__xludf.dummyfunction("if($T648&lt;&gt;"""",REGEXEXTRACT($T648, M$1&amp;""[\w &amp;]*, (\d+\.\d+)""),"""")
"),"")</f>
        <v/>
      </c>
      <c r="N648" s="3" t="str">
        <f aca="false">IFERROR(__xludf.dummyfunction("if($T648&lt;&gt;"""",REGEXEXTRACT(SUBSTITUTE ($T648,N$1&amp;"" CE"",""""), N$1&amp;""[\w &amp;]*, (\d+\.\d+)""),"""")
"),"")</f>
        <v/>
      </c>
      <c r="O648" s="3" t="str">
        <f aca="false">IFERROR(__xludf.dummyfunction("if($T648&lt;&gt;"""",REGEXEXTRACT($T648, O$1&amp;""[\w &amp;]*, (\d+\.\d+)""),"""")
"),"")</f>
        <v/>
      </c>
      <c r="P648" s="2"/>
      <c r="Q648" s="2"/>
      <c r="R648" s="2"/>
      <c r="S648" s="2"/>
      <c r="T648" s="5"/>
      <c r="U648" s="5"/>
    </row>
    <row r="649" customFormat="false" ht="15.75" hidden="false" customHeight="false" outlineLevel="0" collapsed="false">
      <c r="A649" s="4"/>
      <c r="B649" s="2"/>
      <c r="C649" s="2"/>
      <c r="D649" s="2"/>
      <c r="E649" s="2"/>
      <c r="F649" s="3" t="str">
        <f aca="false">IFERROR(__xludf.dummyfunction("if($T649&lt;&gt;"""",REGEXEXTRACT(SUBSTITUTE ($T649,F$1&amp;"" CE"",""""), F$1&amp;""[\w &amp;]*, (\d+\.\d+)""),"""")
"),"")</f>
        <v/>
      </c>
      <c r="G649" s="3" t="str">
        <f aca="false">IFERROR(__xludf.dummyfunction("if($T649&lt;&gt;"""",REGEXEXTRACT($T649, G$1&amp;""[\w &amp;]*, (\d+\.\d+)""),"""")
"),"")</f>
        <v/>
      </c>
      <c r="H649" s="3"/>
      <c r="I649" s="3" t="str">
        <f aca="false">IFERROR(__xludf.dummyfunction("if($T649&lt;&gt;"""",REGEXEXTRACT(SUBSTITUTE ($T649,I$1&amp;"" CE"",""""), I$1&amp;""[\w &amp;]*, (\d+\.\d+)""),"""")
"),"")</f>
        <v/>
      </c>
      <c r="J649" s="3" t="str">
        <f aca="false">IFERROR(__xludf.dummyfunction("if($T649&lt;&gt;"""",REGEXEXTRACT($T649, J$1&amp;""[\w &amp;]*, (\d+\.\d+)""),"""")
"),"")</f>
        <v/>
      </c>
      <c r="K649" s="3"/>
      <c r="L649" s="3" t="str">
        <f aca="false">IFERROR(__xludf.dummyfunction("if($T649&lt;&gt;"""",REGEXEXTRACT(SUBSTITUTE ($T649,L$1&amp;"" CE"",""""), L$1&amp;""[\w &amp;]*, (\d+\.\d+)""),"""")
"),"")</f>
        <v/>
      </c>
      <c r="M649" s="3" t="str">
        <f aca="false">IFERROR(__xludf.dummyfunction("if($T649&lt;&gt;"""",REGEXEXTRACT($T649, M$1&amp;""[\w &amp;]*, (\d+\.\d+)""),"""")
"),"")</f>
        <v/>
      </c>
      <c r="N649" s="3" t="str">
        <f aca="false">IFERROR(__xludf.dummyfunction("if($T649&lt;&gt;"""",REGEXEXTRACT(SUBSTITUTE ($T649,N$1&amp;"" CE"",""""), N$1&amp;""[\w &amp;]*, (\d+\.\d+)""),"""")
"),"")</f>
        <v/>
      </c>
      <c r="O649" s="3" t="str">
        <f aca="false">IFERROR(__xludf.dummyfunction("if($T649&lt;&gt;"""",REGEXEXTRACT($T649, O$1&amp;""[\w &amp;]*, (\d+\.\d+)""),"""")
"),"")</f>
        <v/>
      </c>
      <c r="P649" s="2"/>
      <c r="Q649" s="2"/>
      <c r="R649" s="2"/>
      <c r="S649" s="2"/>
      <c r="T649" s="5"/>
      <c r="U649" s="5"/>
    </row>
    <row r="650" customFormat="false" ht="15.75" hidden="false" customHeight="false" outlineLevel="0" collapsed="false">
      <c r="A650" s="4"/>
      <c r="B650" s="2"/>
      <c r="C650" s="2"/>
      <c r="D650" s="2"/>
      <c r="E650" s="2"/>
      <c r="F650" s="3" t="str">
        <f aca="false">IFERROR(__xludf.dummyfunction("if($T650&lt;&gt;"""",REGEXEXTRACT(SUBSTITUTE ($T650,F$1&amp;"" CE"",""""), F$1&amp;""[\w &amp;]*, (\d+\.\d+)""),"""")
"),"")</f>
        <v/>
      </c>
      <c r="G650" s="3" t="str">
        <f aca="false">IFERROR(__xludf.dummyfunction("if($T650&lt;&gt;"""",REGEXEXTRACT($T650, G$1&amp;""[\w &amp;]*, (\d+\.\d+)""),"""")
"),"")</f>
        <v/>
      </c>
      <c r="H650" s="3"/>
      <c r="I650" s="3" t="str">
        <f aca="false">IFERROR(__xludf.dummyfunction("if($T650&lt;&gt;"""",REGEXEXTRACT(SUBSTITUTE ($T650,I$1&amp;"" CE"",""""), I$1&amp;""[\w &amp;]*, (\d+\.\d+)""),"""")
"),"")</f>
        <v/>
      </c>
      <c r="J650" s="3" t="str">
        <f aca="false">IFERROR(__xludf.dummyfunction("if($T650&lt;&gt;"""",REGEXEXTRACT($T650, J$1&amp;""[\w &amp;]*, (\d+\.\d+)""),"""")
"),"")</f>
        <v/>
      </c>
      <c r="K650" s="3"/>
      <c r="L650" s="3" t="str">
        <f aca="false">IFERROR(__xludf.dummyfunction("if($T650&lt;&gt;"""",REGEXEXTRACT(SUBSTITUTE ($T650,L$1&amp;"" CE"",""""), L$1&amp;""[\w &amp;]*, (\d+\.\d+)""),"""")
"),"")</f>
        <v/>
      </c>
      <c r="M650" s="3" t="str">
        <f aca="false">IFERROR(__xludf.dummyfunction("if($T650&lt;&gt;"""",REGEXEXTRACT($T650, M$1&amp;""[\w &amp;]*, (\d+\.\d+)""),"""")
"),"")</f>
        <v/>
      </c>
      <c r="N650" s="3" t="str">
        <f aca="false">IFERROR(__xludf.dummyfunction("if($T650&lt;&gt;"""",REGEXEXTRACT(SUBSTITUTE ($T650,N$1&amp;"" CE"",""""), N$1&amp;""[\w &amp;]*, (\d+\.\d+)""),"""")
"),"")</f>
        <v/>
      </c>
      <c r="O650" s="3" t="str">
        <f aca="false">IFERROR(__xludf.dummyfunction("if($T650&lt;&gt;"""",REGEXEXTRACT($T650, O$1&amp;""[\w &amp;]*, (\d+\.\d+)""),"""")
"),"")</f>
        <v/>
      </c>
      <c r="P650" s="2"/>
      <c r="Q650" s="2"/>
      <c r="R650" s="2"/>
      <c r="S650" s="2"/>
      <c r="T650" s="5"/>
      <c r="U650" s="5"/>
    </row>
    <row r="651" customFormat="false" ht="15.75" hidden="false" customHeight="false" outlineLevel="0" collapsed="false">
      <c r="A651" s="4"/>
      <c r="B651" s="2"/>
      <c r="C651" s="2"/>
      <c r="D651" s="2"/>
      <c r="E651" s="2"/>
      <c r="F651" s="3" t="str">
        <f aca="false">IFERROR(__xludf.dummyfunction("if($T651&lt;&gt;"""",REGEXEXTRACT(SUBSTITUTE ($T651,F$1&amp;"" CE"",""""), F$1&amp;""[\w &amp;]*, (\d+\.\d+)""),"""")
"),"")</f>
        <v/>
      </c>
      <c r="G651" s="3" t="str">
        <f aca="false">IFERROR(__xludf.dummyfunction("if($T651&lt;&gt;"""",REGEXEXTRACT($T651, G$1&amp;""[\w &amp;]*, (\d+\.\d+)""),"""")
"),"")</f>
        <v/>
      </c>
      <c r="H651" s="3"/>
      <c r="I651" s="3" t="str">
        <f aca="false">IFERROR(__xludf.dummyfunction("if($T651&lt;&gt;"""",REGEXEXTRACT(SUBSTITUTE ($T651,I$1&amp;"" CE"",""""), I$1&amp;""[\w &amp;]*, (\d+\.\d+)""),"""")
"),"")</f>
        <v/>
      </c>
      <c r="J651" s="3" t="str">
        <f aca="false">IFERROR(__xludf.dummyfunction("if($T651&lt;&gt;"""",REGEXEXTRACT($T651, J$1&amp;""[\w &amp;]*, (\d+\.\d+)""),"""")
"),"")</f>
        <v/>
      </c>
      <c r="K651" s="3"/>
      <c r="L651" s="3" t="str">
        <f aca="false">IFERROR(__xludf.dummyfunction("if($T651&lt;&gt;"""",REGEXEXTRACT(SUBSTITUTE ($T651,L$1&amp;"" CE"",""""), L$1&amp;""[\w &amp;]*, (\d+\.\d+)""),"""")
"),"")</f>
        <v/>
      </c>
      <c r="M651" s="3" t="str">
        <f aca="false">IFERROR(__xludf.dummyfunction("if($T651&lt;&gt;"""",REGEXEXTRACT($T651, M$1&amp;""[\w &amp;]*, (\d+\.\d+)""),"""")
"),"")</f>
        <v/>
      </c>
      <c r="N651" s="3" t="str">
        <f aca="false">IFERROR(__xludf.dummyfunction("if($T651&lt;&gt;"""",REGEXEXTRACT(SUBSTITUTE ($T651,N$1&amp;"" CE"",""""), N$1&amp;""[\w &amp;]*, (\d+\.\d+)""),"""")
"),"")</f>
        <v/>
      </c>
      <c r="O651" s="3" t="str">
        <f aca="false">IFERROR(__xludf.dummyfunction("if($T651&lt;&gt;"""",REGEXEXTRACT($T651, O$1&amp;""[\w &amp;]*, (\d+\.\d+)""),"""")
"),"")</f>
        <v/>
      </c>
      <c r="P651" s="2"/>
      <c r="Q651" s="2"/>
      <c r="R651" s="2"/>
      <c r="S651" s="2"/>
      <c r="T651" s="5"/>
      <c r="U651" s="5"/>
    </row>
    <row r="652" customFormat="false" ht="15.75" hidden="false" customHeight="false" outlineLevel="0" collapsed="false">
      <c r="A652" s="4"/>
      <c r="B652" s="2"/>
      <c r="C652" s="2"/>
      <c r="D652" s="2"/>
      <c r="E652" s="2"/>
      <c r="F652" s="3" t="str">
        <f aca="false">IFERROR(__xludf.dummyfunction("if($T652&lt;&gt;"""",REGEXEXTRACT(SUBSTITUTE ($T652,F$1&amp;"" CE"",""""), F$1&amp;""[\w &amp;]*, (\d+\.\d+)""),"""")
"),"")</f>
        <v/>
      </c>
      <c r="G652" s="3" t="str">
        <f aca="false">IFERROR(__xludf.dummyfunction("if($T652&lt;&gt;"""",REGEXEXTRACT($T652, G$1&amp;""[\w &amp;]*, (\d+\.\d+)""),"""")
"),"")</f>
        <v/>
      </c>
      <c r="H652" s="3"/>
      <c r="I652" s="3" t="str">
        <f aca="false">IFERROR(__xludf.dummyfunction("if($T652&lt;&gt;"""",REGEXEXTRACT(SUBSTITUTE ($T652,I$1&amp;"" CE"",""""), I$1&amp;""[\w &amp;]*, (\d+\.\d+)""),"""")
"),"")</f>
        <v/>
      </c>
      <c r="J652" s="3" t="str">
        <f aca="false">IFERROR(__xludf.dummyfunction("if($T652&lt;&gt;"""",REGEXEXTRACT($T652, J$1&amp;""[\w &amp;]*, (\d+\.\d+)""),"""")
"),"")</f>
        <v/>
      </c>
      <c r="K652" s="3"/>
      <c r="L652" s="3" t="str">
        <f aca="false">IFERROR(__xludf.dummyfunction("if($T652&lt;&gt;"""",REGEXEXTRACT(SUBSTITUTE ($T652,L$1&amp;"" CE"",""""), L$1&amp;""[\w &amp;]*, (\d+\.\d+)""),"""")
"),"")</f>
        <v/>
      </c>
      <c r="M652" s="3" t="str">
        <f aca="false">IFERROR(__xludf.dummyfunction("if($T652&lt;&gt;"""",REGEXEXTRACT($T652, M$1&amp;""[\w &amp;]*, (\d+\.\d+)""),"""")
"),"")</f>
        <v/>
      </c>
      <c r="N652" s="3" t="str">
        <f aca="false">IFERROR(__xludf.dummyfunction("if($T652&lt;&gt;"""",REGEXEXTRACT(SUBSTITUTE ($T652,N$1&amp;"" CE"",""""), N$1&amp;""[\w &amp;]*, (\d+\.\d+)""),"""")
"),"")</f>
        <v/>
      </c>
      <c r="O652" s="3" t="str">
        <f aca="false">IFERROR(__xludf.dummyfunction("if($T652&lt;&gt;"""",REGEXEXTRACT($T652, O$1&amp;""[\w &amp;]*, (\d+\.\d+)""),"""")
"),"")</f>
        <v/>
      </c>
      <c r="P652" s="2"/>
      <c r="Q652" s="2"/>
      <c r="R652" s="2"/>
      <c r="S652" s="2"/>
      <c r="T652" s="5"/>
      <c r="U652" s="5"/>
    </row>
    <row r="653" customFormat="false" ht="15.75" hidden="false" customHeight="false" outlineLevel="0" collapsed="false">
      <c r="A653" s="4"/>
      <c r="B653" s="2"/>
      <c r="C653" s="2"/>
      <c r="D653" s="2"/>
      <c r="E653" s="2"/>
      <c r="F653" s="3" t="str">
        <f aca="false">IFERROR(__xludf.dummyfunction("if($T653&lt;&gt;"""",REGEXEXTRACT(SUBSTITUTE ($T653,F$1&amp;"" CE"",""""), F$1&amp;""[\w &amp;]*, (\d+\.\d+)""),"""")
"),"")</f>
        <v/>
      </c>
      <c r="G653" s="3" t="str">
        <f aca="false">IFERROR(__xludf.dummyfunction("if($T653&lt;&gt;"""",REGEXEXTRACT($T653, G$1&amp;""[\w &amp;]*, (\d+\.\d+)""),"""")
"),"")</f>
        <v/>
      </c>
      <c r="H653" s="3"/>
      <c r="I653" s="3" t="str">
        <f aca="false">IFERROR(__xludf.dummyfunction("if($T653&lt;&gt;"""",REGEXEXTRACT(SUBSTITUTE ($T653,I$1&amp;"" CE"",""""), I$1&amp;""[\w &amp;]*, (\d+\.\d+)""),"""")
"),"")</f>
        <v/>
      </c>
      <c r="J653" s="3" t="str">
        <f aca="false">IFERROR(__xludf.dummyfunction("if($T653&lt;&gt;"""",REGEXEXTRACT($T653, J$1&amp;""[\w &amp;]*, (\d+\.\d+)""),"""")
"),"")</f>
        <v/>
      </c>
      <c r="K653" s="3"/>
      <c r="L653" s="3" t="str">
        <f aca="false">IFERROR(__xludf.dummyfunction("if($T653&lt;&gt;"""",REGEXEXTRACT(SUBSTITUTE ($T653,L$1&amp;"" CE"",""""), L$1&amp;""[\w &amp;]*, (\d+\.\d+)""),"""")
"),"")</f>
        <v/>
      </c>
      <c r="M653" s="3" t="str">
        <f aca="false">IFERROR(__xludf.dummyfunction("if($T653&lt;&gt;"""",REGEXEXTRACT($T653, M$1&amp;""[\w &amp;]*, (\d+\.\d+)""),"""")
"),"")</f>
        <v/>
      </c>
      <c r="N653" s="3" t="str">
        <f aca="false">IFERROR(__xludf.dummyfunction("if($T653&lt;&gt;"""",REGEXEXTRACT(SUBSTITUTE ($T653,N$1&amp;"" CE"",""""), N$1&amp;""[\w &amp;]*, (\d+\.\d+)""),"""")
"),"")</f>
        <v/>
      </c>
      <c r="O653" s="3" t="str">
        <f aca="false">IFERROR(__xludf.dummyfunction("if($T653&lt;&gt;"""",REGEXEXTRACT($T653, O$1&amp;""[\w &amp;]*, (\d+\.\d+)""),"""")
"),"")</f>
        <v/>
      </c>
      <c r="P653" s="2"/>
      <c r="Q653" s="2"/>
      <c r="R653" s="2"/>
      <c r="S653" s="2"/>
      <c r="T653" s="5"/>
      <c r="U653" s="5"/>
    </row>
    <row r="654" customFormat="false" ht="15.75" hidden="false" customHeight="false" outlineLevel="0" collapsed="false">
      <c r="A654" s="4"/>
      <c r="B654" s="2"/>
      <c r="C654" s="2"/>
      <c r="D654" s="2"/>
      <c r="E654" s="2"/>
      <c r="F654" s="3" t="str">
        <f aca="false">IFERROR(__xludf.dummyfunction("if($T654&lt;&gt;"""",REGEXEXTRACT(SUBSTITUTE ($T654,F$1&amp;"" CE"",""""), F$1&amp;""[\w &amp;]*, (\d+\.\d+)""),"""")
"),"")</f>
        <v/>
      </c>
      <c r="G654" s="3" t="str">
        <f aca="false">IFERROR(__xludf.dummyfunction("if($T654&lt;&gt;"""",REGEXEXTRACT($T654, G$1&amp;""[\w &amp;]*, (\d+\.\d+)""),"""")
"),"")</f>
        <v/>
      </c>
      <c r="H654" s="3"/>
      <c r="I654" s="3" t="str">
        <f aca="false">IFERROR(__xludf.dummyfunction("if($T654&lt;&gt;"""",REGEXEXTRACT(SUBSTITUTE ($T654,I$1&amp;"" CE"",""""), I$1&amp;""[\w &amp;]*, (\d+\.\d+)""),"""")
"),"")</f>
        <v/>
      </c>
      <c r="J654" s="3" t="str">
        <f aca="false">IFERROR(__xludf.dummyfunction("if($T654&lt;&gt;"""",REGEXEXTRACT($T654, J$1&amp;""[\w &amp;]*, (\d+\.\d+)""),"""")
"),"")</f>
        <v/>
      </c>
      <c r="K654" s="3"/>
      <c r="L654" s="3" t="str">
        <f aca="false">IFERROR(__xludf.dummyfunction("if($T654&lt;&gt;"""",REGEXEXTRACT(SUBSTITUTE ($T654,L$1&amp;"" CE"",""""), L$1&amp;""[\w &amp;]*, (\d+\.\d+)""),"""")
"),"")</f>
        <v/>
      </c>
      <c r="M654" s="3" t="str">
        <f aca="false">IFERROR(__xludf.dummyfunction("if($T654&lt;&gt;"""",REGEXEXTRACT($T654, M$1&amp;""[\w &amp;]*, (\d+\.\d+)""),"""")
"),"")</f>
        <v/>
      </c>
      <c r="N654" s="3" t="str">
        <f aca="false">IFERROR(__xludf.dummyfunction("if($T654&lt;&gt;"""",REGEXEXTRACT(SUBSTITUTE ($T654,N$1&amp;"" CE"",""""), N$1&amp;""[\w &amp;]*, (\d+\.\d+)""),"""")
"),"")</f>
        <v/>
      </c>
      <c r="O654" s="3" t="str">
        <f aca="false">IFERROR(__xludf.dummyfunction("if($T654&lt;&gt;"""",REGEXEXTRACT($T654, O$1&amp;""[\w &amp;]*, (\d+\.\d+)""),"""")
"),"")</f>
        <v/>
      </c>
      <c r="P654" s="2"/>
      <c r="Q654" s="2"/>
      <c r="R654" s="2"/>
      <c r="S654" s="2"/>
      <c r="T654" s="5"/>
      <c r="U654" s="5"/>
    </row>
    <row r="655" customFormat="false" ht="15.75" hidden="false" customHeight="false" outlineLevel="0" collapsed="false">
      <c r="A655" s="4"/>
      <c r="B655" s="2"/>
      <c r="C655" s="2"/>
      <c r="D655" s="2"/>
      <c r="E655" s="2"/>
      <c r="F655" s="3" t="str">
        <f aca="false">IFERROR(__xludf.dummyfunction("if($T655&lt;&gt;"""",REGEXEXTRACT(SUBSTITUTE ($T655,F$1&amp;"" CE"",""""), F$1&amp;""[\w &amp;]*, (\d+\.\d+)""),"""")
"),"")</f>
        <v/>
      </c>
      <c r="G655" s="3" t="str">
        <f aca="false">IFERROR(__xludf.dummyfunction("if($T655&lt;&gt;"""",REGEXEXTRACT($T655, G$1&amp;""[\w &amp;]*, (\d+\.\d+)""),"""")
"),"")</f>
        <v/>
      </c>
      <c r="H655" s="3"/>
      <c r="I655" s="3" t="str">
        <f aca="false">IFERROR(__xludf.dummyfunction("if($T655&lt;&gt;"""",REGEXEXTRACT(SUBSTITUTE ($T655,I$1&amp;"" CE"",""""), I$1&amp;""[\w &amp;]*, (\d+\.\d+)""),"""")
"),"")</f>
        <v/>
      </c>
      <c r="J655" s="3" t="str">
        <f aca="false">IFERROR(__xludf.dummyfunction("if($T655&lt;&gt;"""",REGEXEXTRACT($T655, J$1&amp;""[\w &amp;]*, (\d+\.\d+)""),"""")
"),"")</f>
        <v/>
      </c>
      <c r="K655" s="3"/>
      <c r="L655" s="3" t="str">
        <f aca="false">IFERROR(__xludf.dummyfunction("if($T655&lt;&gt;"""",REGEXEXTRACT(SUBSTITUTE ($T655,L$1&amp;"" CE"",""""), L$1&amp;""[\w &amp;]*, (\d+\.\d+)""),"""")
"),"")</f>
        <v/>
      </c>
      <c r="M655" s="3" t="str">
        <f aca="false">IFERROR(__xludf.dummyfunction("if($T655&lt;&gt;"""",REGEXEXTRACT($T655, M$1&amp;""[\w &amp;]*, (\d+\.\d+)""),"""")
"),"")</f>
        <v/>
      </c>
      <c r="N655" s="3" t="str">
        <f aca="false">IFERROR(__xludf.dummyfunction("if($T655&lt;&gt;"""",REGEXEXTRACT(SUBSTITUTE ($T655,N$1&amp;"" CE"",""""), N$1&amp;""[\w &amp;]*, (\d+\.\d+)""),"""")
"),"")</f>
        <v/>
      </c>
      <c r="O655" s="3" t="str">
        <f aca="false">IFERROR(__xludf.dummyfunction("if($T655&lt;&gt;"""",REGEXEXTRACT($T655, O$1&amp;""[\w &amp;]*, (\d+\.\d+)""),"""")
"),"")</f>
        <v/>
      </c>
      <c r="P655" s="2"/>
      <c r="Q655" s="2"/>
      <c r="R655" s="2"/>
      <c r="S655" s="2"/>
      <c r="T655" s="5"/>
      <c r="U655" s="5"/>
    </row>
    <row r="656" customFormat="false" ht="15.75" hidden="false" customHeight="false" outlineLevel="0" collapsed="false">
      <c r="A656" s="4"/>
      <c r="B656" s="2"/>
      <c r="C656" s="2"/>
      <c r="D656" s="2"/>
      <c r="E656" s="2"/>
      <c r="F656" s="3" t="str">
        <f aca="false">IFERROR(__xludf.dummyfunction("if($T656&lt;&gt;"""",REGEXEXTRACT(SUBSTITUTE ($T656,F$1&amp;"" CE"",""""), F$1&amp;""[\w &amp;]*, (\d+\.\d+)""),"""")
"),"")</f>
        <v/>
      </c>
      <c r="G656" s="3" t="str">
        <f aca="false">IFERROR(__xludf.dummyfunction("if($T656&lt;&gt;"""",REGEXEXTRACT($T656, G$1&amp;""[\w &amp;]*, (\d+\.\d+)""),"""")
"),"")</f>
        <v/>
      </c>
      <c r="H656" s="3"/>
      <c r="I656" s="3" t="str">
        <f aca="false">IFERROR(__xludf.dummyfunction("if($T656&lt;&gt;"""",REGEXEXTRACT(SUBSTITUTE ($T656,I$1&amp;"" CE"",""""), I$1&amp;""[\w &amp;]*, (\d+\.\d+)""),"""")
"),"")</f>
        <v/>
      </c>
      <c r="J656" s="3" t="str">
        <f aca="false">IFERROR(__xludf.dummyfunction("if($T656&lt;&gt;"""",REGEXEXTRACT($T656, J$1&amp;""[\w &amp;]*, (\d+\.\d+)""),"""")
"),"")</f>
        <v/>
      </c>
      <c r="K656" s="3"/>
      <c r="L656" s="3" t="str">
        <f aca="false">IFERROR(__xludf.dummyfunction("if($T656&lt;&gt;"""",REGEXEXTRACT(SUBSTITUTE ($T656,L$1&amp;"" CE"",""""), L$1&amp;""[\w &amp;]*, (\d+\.\d+)""),"""")
"),"")</f>
        <v/>
      </c>
      <c r="M656" s="3" t="str">
        <f aca="false">IFERROR(__xludf.dummyfunction("if($T656&lt;&gt;"""",REGEXEXTRACT($T656, M$1&amp;""[\w &amp;]*, (\d+\.\d+)""),"""")
"),"")</f>
        <v/>
      </c>
      <c r="N656" s="3" t="str">
        <f aca="false">IFERROR(__xludf.dummyfunction("if($T656&lt;&gt;"""",REGEXEXTRACT(SUBSTITUTE ($T656,N$1&amp;"" CE"",""""), N$1&amp;""[\w &amp;]*, (\d+\.\d+)""),"""")
"),"")</f>
        <v/>
      </c>
      <c r="O656" s="3" t="str">
        <f aca="false">IFERROR(__xludf.dummyfunction("if($T656&lt;&gt;"""",REGEXEXTRACT($T656, O$1&amp;""[\w &amp;]*, (\d+\.\d+)""),"""")
"),"")</f>
        <v/>
      </c>
      <c r="P656" s="2"/>
      <c r="Q656" s="2"/>
      <c r="R656" s="2"/>
      <c r="S656" s="2"/>
      <c r="T656" s="5"/>
      <c r="U656" s="5"/>
    </row>
    <row r="657" customFormat="false" ht="15.75" hidden="false" customHeight="false" outlineLevel="0" collapsed="false">
      <c r="A657" s="4"/>
      <c r="B657" s="2"/>
      <c r="C657" s="2"/>
      <c r="D657" s="2"/>
      <c r="E657" s="2"/>
      <c r="F657" s="3" t="str">
        <f aca="false">IFERROR(__xludf.dummyfunction("if($T657&lt;&gt;"""",REGEXEXTRACT(SUBSTITUTE ($T657,F$1&amp;"" CE"",""""), F$1&amp;""[\w &amp;]*, (\d+\.\d+)""),"""")
"),"")</f>
        <v/>
      </c>
      <c r="G657" s="3" t="str">
        <f aca="false">IFERROR(__xludf.dummyfunction("if($T657&lt;&gt;"""",REGEXEXTRACT($T657, G$1&amp;""[\w &amp;]*, (\d+\.\d+)""),"""")
"),"")</f>
        <v/>
      </c>
      <c r="H657" s="3"/>
      <c r="I657" s="3" t="str">
        <f aca="false">IFERROR(__xludf.dummyfunction("if($T657&lt;&gt;"""",REGEXEXTRACT(SUBSTITUTE ($T657,I$1&amp;"" CE"",""""), I$1&amp;""[\w &amp;]*, (\d+\.\d+)""),"""")
"),"")</f>
        <v/>
      </c>
      <c r="J657" s="3" t="str">
        <f aca="false">IFERROR(__xludf.dummyfunction("if($T657&lt;&gt;"""",REGEXEXTRACT($T657, J$1&amp;""[\w &amp;]*, (\d+\.\d+)""),"""")
"),"")</f>
        <v/>
      </c>
      <c r="K657" s="3"/>
      <c r="L657" s="3" t="str">
        <f aca="false">IFERROR(__xludf.dummyfunction("if($T657&lt;&gt;"""",REGEXEXTRACT(SUBSTITUTE ($T657,L$1&amp;"" CE"",""""), L$1&amp;""[\w &amp;]*, (\d+\.\d+)""),"""")
"),"")</f>
        <v/>
      </c>
      <c r="M657" s="3" t="str">
        <f aca="false">IFERROR(__xludf.dummyfunction("if($T657&lt;&gt;"""",REGEXEXTRACT($T657, M$1&amp;""[\w &amp;]*, (\d+\.\d+)""),"""")
"),"")</f>
        <v/>
      </c>
      <c r="N657" s="3" t="str">
        <f aca="false">IFERROR(__xludf.dummyfunction("if($T657&lt;&gt;"""",REGEXEXTRACT(SUBSTITUTE ($T657,N$1&amp;"" CE"",""""), N$1&amp;""[\w &amp;]*, (\d+\.\d+)""),"""")
"),"")</f>
        <v/>
      </c>
      <c r="O657" s="3" t="str">
        <f aca="false">IFERROR(__xludf.dummyfunction("if($T657&lt;&gt;"""",REGEXEXTRACT($T657, O$1&amp;""[\w &amp;]*, (\d+\.\d+)""),"""")
"),"")</f>
        <v/>
      </c>
      <c r="P657" s="2"/>
      <c r="Q657" s="2"/>
      <c r="R657" s="2"/>
      <c r="S657" s="2"/>
      <c r="T657" s="5"/>
      <c r="U657" s="5"/>
    </row>
    <row r="658" customFormat="false" ht="15.75" hidden="false" customHeight="false" outlineLevel="0" collapsed="false">
      <c r="A658" s="4"/>
      <c r="B658" s="2"/>
      <c r="C658" s="2"/>
      <c r="D658" s="2"/>
      <c r="E658" s="2"/>
      <c r="F658" s="3" t="str">
        <f aca="false">IFERROR(__xludf.dummyfunction("if($T658&lt;&gt;"""",REGEXEXTRACT(SUBSTITUTE ($T658,F$1&amp;"" CE"",""""), F$1&amp;""[\w &amp;]*, (\d+\.\d+)""),"""")
"),"")</f>
        <v/>
      </c>
      <c r="G658" s="3" t="str">
        <f aca="false">IFERROR(__xludf.dummyfunction("if($T658&lt;&gt;"""",REGEXEXTRACT($T658, G$1&amp;""[\w &amp;]*, (\d+\.\d+)""),"""")
"),"")</f>
        <v/>
      </c>
      <c r="H658" s="3"/>
      <c r="I658" s="3" t="str">
        <f aca="false">IFERROR(__xludf.dummyfunction("if($T658&lt;&gt;"""",REGEXEXTRACT(SUBSTITUTE ($T658,I$1&amp;"" CE"",""""), I$1&amp;""[\w &amp;]*, (\d+\.\d+)""),"""")
"),"")</f>
        <v/>
      </c>
      <c r="J658" s="3" t="str">
        <f aca="false">IFERROR(__xludf.dummyfunction("if($T658&lt;&gt;"""",REGEXEXTRACT($T658, J$1&amp;""[\w &amp;]*, (\d+\.\d+)""),"""")
"),"")</f>
        <v/>
      </c>
      <c r="K658" s="3"/>
      <c r="L658" s="3" t="str">
        <f aca="false">IFERROR(__xludf.dummyfunction("if($T658&lt;&gt;"""",REGEXEXTRACT(SUBSTITUTE ($T658,L$1&amp;"" CE"",""""), L$1&amp;""[\w &amp;]*, (\d+\.\d+)""),"""")
"),"")</f>
        <v/>
      </c>
      <c r="M658" s="3" t="str">
        <f aca="false">IFERROR(__xludf.dummyfunction("if($T658&lt;&gt;"""",REGEXEXTRACT($T658, M$1&amp;""[\w &amp;]*, (\d+\.\d+)""),"""")
"),"")</f>
        <v/>
      </c>
      <c r="N658" s="3" t="str">
        <f aca="false">IFERROR(__xludf.dummyfunction("if($T658&lt;&gt;"""",REGEXEXTRACT(SUBSTITUTE ($T658,N$1&amp;"" CE"",""""), N$1&amp;""[\w &amp;]*, (\d+\.\d+)""),"""")
"),"")</f>
        <v/>
      </c>
      <c r="O658" s="3" t="str">
        <f aca="false">IFERROR(__xludf.dummyfunction("if($T658&lt;&gt;"""",REGEXEXTRACT($T658, O$1&amp;""[\w &amp;]*, (\d+\.\d+)""),"""")
"),"")</f>
        <v/>
      </c>
      <c r="P658" s="2"/>
      <c r="Q658" s="2"/>
      <c r="R658" s="2"/>
      <c r="S658" s="2"/>
      <c r="T658" s="5"/>
      <c r="U658" s="5"/>
    </row>
    <row r="659" customFormat="false" ht="15.75" hidden="false" customHeight="false" outlineLevel="0" collapsed="false">
      <c r="A659" s="4"/>
      <c r="B659" s="2"/>
      <c r="C659" s="2"/>
      <c r="D659" s="2"/>
      <c r="E659" s="2"/>
      <c r="F659" s="3" t="str">
        <f aca="false">IFERROR(__xludf.dummyfunction("if($T659&lt;&gt;"""",REGEXEXTRACT(SUBSTITUTE ($T659,F$1&amp;"" CE"",""""), F$1&amp;""[\w &amp;]*, (\d+\.\d+)""),"""")
"),"")</f>
        <v/>
      </c>
      <c r="G659" s="3" t="str">
        <f aca="false">IFERROR(__xludf.dummyfunction("if($T659&lt;&gt;"""",REGEXEXTRACT($T659, G$1&amp;""[\w &amp;]*, (\d+\.\d+)""),"""")
"),"")</f>
        <v/>
      </c>
      <c r="H659" s="3"/>
      <c r="I659" s="3" t="str">
        <f aca="false">IFERROR(__xludf.dummyfunction("if($T659&lt;&gt;"""",REGEXEXTRACT(SUBSTITUTE ($T659,I$1&amp;"" CE"",""""), I$1&amp;""[\w &amp;]*, (\d+\.\d+)""),"""")
"),"")</f>
        <v/>
      </c>
      <c r="J659" s="3" t="str">
        <f aca="false">IFERROR(__xludf.dummyfunction("if($T659&lt;&gt;"""",REGEXEXTRACT($T659, J$1&amp;""[\w &amp;]*, (\d+\.\d+)""),"""")
"),"")</f>
        <v/>
      </c>
      <c r="K659" s="3"/>
      <c r="L659" s="3" t="str">
        <f aca="false">IFERROR(__xludf.dummyfunction("if($T659&lt;&gt;"""",REGEXEXTRACT(SUBSTITUTE ($T659,L$1&amp;"" CE"",""""), L$1&amp;""[\w &amp;]*, (\d+\.\d+)""),"""")
"),"")</f>
        <v/>
      </c>
      <c r="M659" s="3" t="str">
        <f aca="false">IFERROR(__xludf.dummyfunction("if($T659&lt;&gt;"""",REGEXEXTRACT($T659, M$1&amp;""[\w &amp;]*, (\d+\.\d+)""),"""")
"),"")</f>
        <v/>
      </c>
      <c r="N659" s="3" t="str">
        <f aca="false">IFERROR(__xludf.dummyfunction("if($T659&lt;&gt;"""",REGEXEXTRACT(SUBSTITUTE ($T659,N$1&amp;"" CE"",""""), N$1&amp;""[\w &amp;]*, (\d+\.\d+)""),"""")
"),"")</f>
        <v/>
      </c>
      <c r="O659" s="3" t="str">
        <f aca="false">IFERROR(__xludf.dummyfunction("if($T659&lt;&gt;"""",REGEXEXTRACT($T659, O$1&amp;""[\w &amp;]*, (\d+\.\d+)""),"""")
"),"")</f>
        <v/>
      </c>
      <c r="P659" s="2"/>
      <c r="Q659" s="2"/>
      <c r="R659" s="2"/>
      <c r="S659" s="2"/>
      <c r="T659" s="5"/>
      <c r="U659" s="5"/>
    </row>
    <row r="660" customFormat="false" ht="15.75" hidden="false" customHeight="false" outlineLevel="0" collapsed="false">
      <c r="A660" s="4"/>
      <c r="B660" s="2"/>
      <c r="C660" s="2"/>
      <c r="D660" s="2"/>
      <c r="E660" s="2"/>
      <c r="F660" s="3" t="str">
        <f aca="false">IFERROR(__xludf.dummyfunction("if($T660&lt;&gt;"""",REGEXEXTRACT(SUBSTITUTE ($T660,F$1&amp;"" CE"",""""), F$1&amp;""[\w &amp;]*, (\d+\.\d+)""),"""")
"),"")</f>
        <v/>
      </c>
      <c r="G660" s="3" t="str">
        <f aca="false">IFERROR(__xludf.dummyfunction("if($T660&lt;&gt;"""",REGEXEXTRACT($T660, G$1&amp;""[\w &amp;]*, (\d+\.\d+)""),"""")
"),"")</f>
        <v/>
      </c>
      <c r="H660" s="3"/>
      <c r="I660" s="3" t="str">
        <f aca="false">IFERROR(__xludf.dummyfunction("if($T660&lt;&gt;"""",REGEXEXTRACT(SUBSTITUTE ($T660,I$1&amp;"" CE"",""""), I$1&amp;""[\w &amp;]*, (\d+\.\d+)""),"""")
"),"")</f>
        <v/>
      </c>
      <c r="J660" s="3" t="str">
        <f aca="false">IFERROR(__xludf.dummyfunction("if($T660&lt;&gt;"""",REGEXEXTRACT($T660, J$1&amp;""[\w &amp;]*, (\d+\.\d+)""),"""")
"),"")</f>
        <v/>
      </c>
      <c r="K660" s="3"/>
      <c r="L660" s="3" t="str">
        <f aca="false">IFERROR(__xludf.dummyfunction("if($T660&lt;&gt;"""",REGEXEXTRACT(SUBSTITUTE ($T660,L$1&amp;"" CE"",""""), L$1&amp;""[\w &amp;]*, (\d+\.\d+)""),"""")
"),"")</f>
        <v/>
      </c>
      <c r="M660" s="3" t="str">
        <f aca="false">IFERROR(__xludf.dummyfunction("if($T660&lt;&gt;"""",REGEXEXTRACT($T660, M$1&amp;""[\w &amp;]*, (\d+\.\d+)""),"""")
"),"")</f>
        <v/>
      </c>
      <c r="N660" s="3" t="str">
        <f aca="false">IFERROR(__xludf.dummyfunction("if($T660&lt;&gt;"""",REGEXEXTRACT(SUBSTITUTE ($T660,N$1&amp;"" CE"",""""), N$1&amp;""[\w &amp;]*, (\d+\.\d+)""),"""")
"),"")</f>
        <v/>
      </c>
      <c r="O660" s="3" t="str">
        <f aca="false">IFERROR(__xludf.dummyfunction("if($T660&lt;&gt;"""",REGEXEXTRACT($T660, O$1&amp;""[\w &amp;]*, (\d+\.\d+)""),"""")
"),"")</f>
        <v/>
      </c>
      <c r="P660" s="2"/>
      <c r="Q660" s="2"/>
      <c r="R660" s="2"/>
      <c r="S660" s="2"/>
      <c r="T660" s="5"/>
      <c r="U660" s="5"/>
    </row>
    <row r="661" customFormat="false" ht="15.75" hidden="false" customHeight="false" outlineLevel="0" collapsed="false">
      <c r="A661" s="4"/>
      <c r="B661" s="2"/>
      <c r="C661" s="2"/>
      <c r="D661" s="2"/>
      <c r="E661" s="2"/>
      <c r="F661" s="3" t="str">
        <f aca="false">IFERROR(__xludf.dummyfunction("if($T661&lt;&gt;"""",REGEXEXTRACT(SUBSTITUTE ($T661,F$1&amp;"" CE"",""""), F$1&amp;""[\w &amp;]*, (\d+\.\d+)""),"""")
"),"")</f>
        <v/>
      </c>
      <c r="G661" s="3" t="str">
        <f aca="false">IFERROR(__xludf.dummyfunction("if($T661&lt;&gt;"""",REGEXEXTRACT($T661, G$1&amp;""[\w &amp;]*, (\d+\.\d+)""),"""")
"),"")</f>
        <v/>
      </c>
      <c r="H661" s="3"/>
      <c r="I661" s="3" t="str">
        <f aca="false">IFERROR(__xludf.dummyfunction("if($T661&lt;&gt;"""",REGEXEXTRACT(SUBSTITUTE ($T661,I$1&amp;"" CE"",""""), I$1&amp;""[\w &amp;]*, (\d+\.\d+)""),"""")
"),"")</f>
        <v/>
      </c>
      <c r="J661" s="3" t="str">
        <f aca="false">IFERROR(__xludf.dummyfunction("if($T661&lt;&gt;"""",REGEXEXTRACT($T661, J$1&amp;""[\w &amp;]*, (\d+\.\d+)""),"""")
"),"")</f>
        <v/>
      </c>
      <c r="K661" s="3"/>
      <c r="L661" s="3" t="str">
        <f aca="false">IFERROR(__xludf.dummyfunction("if($T661&lt;&gt;"""",REGEXEXTRACT(SUBSTITUTE ($T661,L$1&amp;"" CE"",""""), L$1&amp;""[\w &amp;]*, (\d+\.\d+)""),"""")
"),"")</f>
        <v/>
      </c>
      <c r="M661" s="3" t="str">
        <f aca="false">IFERROR(__xludf.dummyfunction("if($T661&lt;&gt;"""",REGEXEXTRACT($T661, M$1&amp;""[\w &amp;]*, (\d+\.\d+)""),"""")
"),"")</f>
        <v/>
      </c>
      <c r="N661" s="3" t="str">
        <f aca="false">IFERROR(__xludf.dummyfunction("if($T661&lt;&gt;"""",REGEXEXTRACT(SUBSTITUTE ($T661,N$1&amp;"" CE"",""""), N$1&amp;""[\w &amp;]*, (\d+\.\d+)""),"""")
"),"")</f>
        <v/>
      </c>
      <c r="O661" s="3" t="str">
        <f aca="false">IFERROR(__xludf.dummyfunction("if($T661&lt;&gt;"""",REGEXEXTRACT($T661, O$1&amp;""[\w &amp;]*, (\d+\.\d+)""),"""")
"),"")</f>
        <v/>
      </c>
      <c r="P661" s="2"/>
      <c r="Q661" s="2"/>
      <c r="R661" s="2"/>
      <c r="S661" s="2"/>
      <c r="T661" s="5"/>
      <c r="U661" s="5"/>
    </row>
    <row r="662" customFormat="false" ht="15.75" hidden="false" customHeight="false" outlineLevel="0" collapsed="false">
      <c r="A662" s="4"/>
      <c r="B662" s="2"/>
      <c r="C662" s="2"/>
      <c r="D662" s="2"/>
      <c r="E662" s="2"/>
      <c r="F662" s="3" t="str">
        <f aca="false">IFERROR(__xludf.dummyfunction("if($T662&lt;&gt;"""",REGEXEXTRACT(SUBSTITUTE ($T662,F$1&amp;"" CE"",""""), F$1&amp;""[\w &amp;]*, (\d+\.\d+)""),"""")
"),"")</f>
        <v/>
      </c>
      <c r="G662" s="3" t="str">
        <f aca="false">IFERROR(__xludf.dummyfunction("if($T662&lt;&gt;"""",REGEXEXTRACT($T662, G$1&amp;""[\w &amp;]*, (\d+\.\d+)""),"""")
"),"")</f>
        <v/>
      </c>
      <c r="H662" s="3"/>
      <c r="I662" s="3" t="str">
        <f aca="false">IFERROR(__xludf.dummyfunction("if($T662&lt;&gt;"""",REGEXEXTRACT(SUBSTITUTE ($T662,I$1&amp;"" CE"",""""), I$1&amp;""[\w &amp;]*, (\d+\.\d+)""),"""")
"),"")</f>
        <v/>
      </c>
      <c r="J662" s="3" t="str">
        <f aca="false">IFERROR(__xludf.dummyfunction("if($T662&lt;&gt;"""",REGEXEXTRACT($T662, J$1&amp;""[\w &amp;]*, (\d+\.\d+)""),"""")
"),"")</f>
        <v/>
      </c>
      <c r="K662" s="3"/>
      <c r="L662" s="3" t="str">
        <f aca="false">IFERROR(__xludf.dummyfunction("if($T662&lt;&gt;"""",REGEXEXTRACT(SUBSTITUTE ($T662,L$1&amp;"" CE"",""""), L$1&amp;""[\w &amp;]*, (\d+\.\d+)""),"""")
"),"")</f>
        <v/>
      </c>
      <c r="M662" s="3" t="str">
        <f aca="false">IFERROR(__xludf.dummyfunction("if($T662&lt;&gt;"""",REGEXEXTRACT($T662, M$1&amp;""[\w &amp;]*, (\d+\.\d+)""),"""")
"),"")</f>
        <v/>
      </c>
      <c r="N662" s="3" t="str">
        <f aca="false">IFERROR(__xludf.dummyfunction("if($T662&lt;&gt;"""",REGEXEXTRACT(SUBSTITUTE ($T662,N$1&amp;"" CE"",""""), N$1&amp;""[\w &amp;]*, (\d+\.\d+)""),"""")
"),"")</f>
        <v/>
      </c>
      <c r="O662" s="3" t="str">
        <f aca="false">IFERROR(__xludf.dummyfunction("if($T662&lt;&gt;"""",REGEXEXTRACT($T662, O$1&amp;""[\w &amp;]*, (\d+\.\d+)""),"""")
"),"")</f>
        <v/>
      </c>
      <c r="P662" s="2"/>
      <c r="Q662" s="2"/>
      <c r="R662" s="2"/>
      <c r="S662" s="2"/>
      <c r="T662" s="5"/>
      <c r="U662" s="5"/>
    </row>
    <row r="663" customFormat="false" ht="15.75" hidden="false" customHeight="false" outlineLevel="0" collapsed="false">
      <c r="A663" s="4"/>
      <c r="B663" s="2"/>
      <c r="C663" s="2"/>
      <c r="D663" s="2"/>
      <c r="E663" s="2"/>
      <c r="F663" s="3" t="str">
        <f aca="false">IFERROR(__xludf.dummyfunction("if($T663&lt;&gt;"""",REGEXEXTRACT(SUBSTITUTE ($T663,F$1&amp;"" CE"",""""), F$1&amp;""[\w &amp;]*, (\d+\.\d+)""),"""")
"),"")</f>
        <v/>
      </c>
      <c r="G663" s="3" t="str">
        <f aca="false">IFERROR(__xludf.dummyfunction("if($T663&lt;&gt;"""",REGEXEXTRACT($T663, G$1&amp;""[\w &amp;]*, (\d+\.\d+)""),"""")
"),"")</f>
        <v/>
      </c>
      <c r="H663" s="3"/>
      <c r="I663" s="3" t="str">
        <f aca="false">IFERROR(__xludf.dummyfunction("if($T663&lt;&gt;"""",REGEXEXTRACT(SUBSTITUTE ($T663,I$1&amp;"" CE"",""""), I$1&amp;""[\w &amp;]*, (\d+\.\d+)""),"""")
"),"")</f>
        <v/>
      </c>
      <c r="J663" s="3" t="str">
        <f aca="false">IFERROR(__xludf.dummyfunction("if($T663&lt;&gt;"""",REGEXEXTRACT($T663, J$1&amp;""[\w &amp;]*, (\d+\.\d+)""),"""")
"),"")</f>
        <v/>
      </c>
      <c r="K663" s="3"/>
      <c r="L663" s="3" t="str">
        <f aca="false">IFERROR(__xludf.dummyfunction("if($T663&lt;&gt;"""",REGEXEXTRACT(SUBSTITUTE ($T663,L$1&amp;"" CE"",""""), L$1&amp;""[\w &amp;]*, (\d+\.\d+)""),"""")
"),"")</f>
        <v/>
      </c>
      <c r="M663" s="3" t="str">
        <f aca="false">IFERROR(__xludf.dummyfunction("if($T663&lt;&gt;"""",REGEXEXTRACT($T663, M$1&amp;""[\w &amp;]*, (\d+\.\d+)""),"""")
"),"")</f>
        <v/>
      </c>
      <c r="N663" s="3" t="str">
        <f aca="false">IFERROR(__xludf.dummyfunction("if($T663&lt;&gt;"""",REGEXEXTRACT(SUBSTITUTE ($T663,N$1&amp;"" CE"",""""), N$1&amp;""[\w &amp;]*, (\d+\.\d+)""),"""")
"),"")</f>
        <v/>
      </c>
      <c r="O663" s="3" t="str">
        <f aca="false">IFERROR(__xludf.dummyfunction("if($T663&lt;&gt;"""",REGEXEXTRACT($T663, O$1&amp;""[\w &amp;]*, (\d+\.\d+)""),"""")
"),"")</f>
        <v/>
      </c>
      <c r="P663" s="2"/>
      <c r="Q663" s="2"/>
      <c r="R663" s="2"/>
      <c r="S663" s="2"/>
      <c r="T663" s="5"/>
      <c r="U663" s="5"/>
    </row>
    <row r="664" customFormat="false" ht="15.75" hidden="false" customHeight="false" outlineLevel="0" collapsed="false">
      <c r="A664" s="4"/>
      <c r="B664" s="2"/>
      <c r="C664" s="2"/>
      <c r="D664" s="2"/>
      <c r="E664" s="2"/>
      <c r="F664" s="3" t="str">
        <f aca="false">IFERROR(__xludf.dummyfunction("if($T664&lt;&gt;"""",REGEXEXTRACT(SUBSTITUTE ($T664,F$1&amp;"" CE"",""""), F$1&amp;""[\w &amp;]*, (\d+\.\d+)""),"""")
"),"")</f>
        <v/>
      </c>
      <c r="G664" s="3" t="str">
        <f aca="false">IFERROR(__xludf.dummyfunction("if($T664&lt;&gt;"""",REGEXEXTRACT($T664, G$1&amp;""[\w &amp;]*, (\d+\.\d+)""),"""")
"),"")</f>
        <v/>
      </c>
      <c r="H664" s="3"/>
      <c r="I664" s="3" t="str">
        <f aca="false">IFERROR(__xludf.dummyfunction("if($T664&lt;&gt;"""",REGEXEXTRACT(SUBSTITUTE ($T664,I$1&amp;"" CE"",""""), I$1&amp;""[\w &amp;]*, (\d+\.\d+)""),"""")
"),"")</f>
        <v/>
      </c>
      <c r="J664" s="3" t="str">
        <f aca="false">IFERROR(__xludf.dummyfunction("if($T664&lt;&gt;"""",REGEXEXTRACT($T664, J$1&amp;""[\w &amp;]*, (\d+\.\d+)""),"""")
"),"")</f>
        <v/>
      </c>
      <c r="K664" s="3"/>
      <c r="L664" s="3" t="str">
        <f aca="false">IFERROR(__xludf.dummyfunction("if($T664&lt;&gt;"""",REGEXEXTRACT(SUBSTITUTE ($T664,L$1&amp;"" CE"",""""), L$1&amp;""[\w &amp;]*, (\d+\.\d+)""),"""")
"),"")</f>
        <v/>
      </c>
      <c r="M664" s="3" t="str">
        <f aca="false">IFERROR(__xludf.dummyfunction("if($T664&lt;&gt;"""",REGEXEXTRACT($T664, M$1&amp;""[\w &amp;]*, (\d+\.\d+)""),"""")
"),"")</f>
        <v/>
      </c>
      <c r="N664" s="3" t="str">
        <f aca="false">IFERROR(__xludf.dummyfunction("if($T664&lt;&gt;"""",REGEXEXTRACT(SUBSTITUTE ($T664,N$1&amp;"" CE"",""""), N$1&amp;""[\w &amp;]*, (\d+\.\d+)""),"""")
"),"")</f>
        <v/>
      </c>
      <c r="O664" s="3" t="str">
        <f aca="false">IFERROR(__xludf.dummyfunction("if($T664&lt;&gt;"""",REGEXEXTRACT($T664, O$1&amp;""[\w &amp;]*, (\d+\.\d+)""),"""")
"),"")</f>
        <v/>
      </c>
      <c r="P664" s="2"/>
      <c r="Q664" s="2"/>
      <c r="R664" s="2"/>
      <c r="S664" s="2"/>
      <c r="T664" s="5"/>
      <c r="U664" s="5"/>
    </row>
    <row r="665" customFormat="false" ht="15.75" hidden="false" customHeight="false" outlineLevel="0" collapsed="false">
      <c r="A665" s="4"/>
      <c r="B665" s="2"/>
      <c r="C665" s="2"/>
      <c r="D665" s="2"/>
      <c r="E665" s="2"/>
      <c r="F665" s="3" t="str">
        <f aca="false">IFERROR(__xludf.dummyfunction("if($T665&lt;&gt;"""",REGEXEXTRACT(SUBSTITUTE ($T665,F$1&amp;"" CE"",""""), F$1&amp;""[\w &amp;]*, (\d+\.\d+)""),"""")
"),"")</f>
        <v/>
      </c>
      <c r="G665" s="3" t="str">
        <f aca="false">IFERROR(__xludf.dummyfunction("if($T665&lt;&gt;"""",REGEXEXTRACT($T665, G$1&amp;""[\w &amp;]*, (\d+\.\d+)""),"""")
"),"")</f>
        <v/>
      </c>
      <c r="H665" s="3"/>
      <c r="I665" s="3" t="str">
        <f aca="false">IFERROR(__xludf.dummyfunction("if($T665&lt;&gt;"""",REGEXEXTRACT(SUBSTITUTE ($T665,I$1&amp;"" CE"",""""), I$1&amp;""[\w &amp;]*, (\d+\.\d+)""),"""")
"),"")</f>
        <v/>
      </c>
      <c r="J665" s="3" t="str">
        <f aca="false">IFERROR(__xludf.dummyfunction("if($T665&lt;&gt;"""",REGEXEXTRACT($T665, J$1&amp;""[\w &amp;]*, (\d+\.\d+)""),"""")
"),"")</f>
        <v/>
      </c>
      <c r="K665" s="3"/>
      <c r="L665" s="3" t="str">
        <f aca="false">IFERROR(__xludf.dummyfunction("if($T665&lt;&gt;"""",REGEXEXTRACT(SUBSTITUTE ($T665,L$1&amp;"" CE"",""""), L$1&amp;""[\w &amp;]*, (\d+\.\d+)""),"""")
"),"")</f>
        <v/>
      </c>
      <c r="M665" s="3" t="str">
        <f aca="false">IFERROR(__xludf.dummyfunction("if($T665&lt;&gt;"""",REGEXEXTRACT($T665, M$1&amp;""[\w &amp;]*, (\d+\.\d+)""),"""")
"),"")</f>
        <v/>
      </c>
      <c r="N665" s="3" t="str">
        <f aca="false">IFERROR(__xludf.dummyfunction("if($T665&lt;&gt;"""",REGEXEXTRACT(SUBSTITUTE ($T665,N$1&amp;"" CE"",""""), N$1&amp;""[\w &amp;]*, (\d+\.\d+)""),"""")
"),"")</f>
        <v/>
      </c>
      <c r="O665" s="3" t="str">
        <f aca="false">IFERROR(__xludf.dummyfunction("if($T665&lt;&gt;"""",REGEXEXTRACT($T665, O$1&amp;""[\w &amp;]*, (\d+\.\d+)""),"""")
"),"")</f>
        <v/>
      </c>
      <c r="P665" s="2"/>
      <c r="Q665" s="2"/>
      <c r="R665" s="2"/>
      <c r="S665" s="2"/>
      <c r="T665" s="5"/>
      <c r="U665" s="5"/>
    </row>
    <row r="666" customFormat="false" ht="15.75" hidden="false" customHeight="false" outlineLevel="0" collapsed="false">
      <c r="A666" s="4"/>
      <c r="B666" s="2"/>
      <c r="C666" s="2"/>
      <c r="D666" s="2"/>
      <c r="E666" s="2"/>
      <c r="F666" s="3" t="str">
        <f aca="false">IFERROR(__xludf.dummyfunction("if($T666&lt;&gt;"""",REGEXEXTRACT(SUBSTITUTE ($T666,F$1&amp;"" CE"",""""), F$1&amp;""[\w &amp;]*, (\d+\.\d+)""),"""")
"),"")</f>
        <v/>
      </c>
      <c r="G666" s="3" t="str">
        <f aca="false">IFERROR(__xludf.dummyfunction("if($T666&lt;&gt;"""",REGEXEXTRACT($T666, G$1&amp;""[\w &amp;]*, (\d+\.\d+)""),"""")
"),"")</f>
        <v/>
      </c>
      <c r="H666" s="3"/>
      <c r="I666" s="3" t="str">
        <f aca="false">IFERROR(__xludf.dummyfunction("if($T666&lt;&gt;"""",REGEXEXTRACT(SUBSTITUTE ($T666,I$1&amp;"" CE"",""""), I$1&amp;""[\w &amp;]*, (\d+\.\d+)""),"""")
"),"")</f>
        <v/>
      </c>
      <c r="J666" s="3" t="str">
        <f aca="false">IFERROR(__xludf.dummyfunction("if($T666&lt;&gt;"""",REGEXEXTRACT($T666, J$1&amp;""[\w &amp;]*, (\d+\.\d+)""),"""")
"),"")</f>
        <v/>
      </c>
      <c r="K666" s="3"/>
      <c r="L666" s="3" t="str">
        <f aca="false">IFERROR(__xludf.dummyfunction("if($T666&lt;&gt;"""",REGEXEXTRACT(SUBSTITUTE ($T666,L$1&amp;"" CE"",""""), L$1&amp;""[\w &amp;]*, (\d+\.\d+)""),"""")
"),"")</f>
        <v/>
      </c>
      <c r="M666" s="3" t="str">
        <f aca="false">IFERROR(__xludf.dummyfunction("if($T666&lt;&gt;"""",REGEXEXTRACT($T666, M$1&amp;""[\w &amp;]*, (\d+\.\d+)""),"""")
"),"")</f>
        <v/>
      </c>
      <c r="N666" s="3" t="str">
        <f aca="false">IFERROR(__xludf.dummyfunction("if($T666&lt;&gt;"""",REGEXEXTRACT(SUBSTITUTE ($T666,N$1&amp;"" CE"",""""), N$1&amp;""[\w &amp;]*, (\d+\.\d+)""),"""")
"),"")</f>
        <v/>
      </c>
      <c r="O666" s="3" t="str">
        <f aca="false">IFERROR(__xludf.dummyfunction("if($T666&lt;&gt;"""",REGEXEXTRACT($T666, O$1&amp;""[\w &amp;]*, (\d+\.\d+)""),"""")
"),"")</f>
        <v/>
      </c>
      <c r="P666" s="2"/>
      <c r="Q666" s="2"/>
      <c r="R666" s="2"/>
      <c r="S666" s="2"/>
      <c r="T666" s="5"/>
      <c r="U666" s="5"/>
    </row>
    <row r="667" customFormat="false" ht="15.75" hidden="false" customHeight="false" outlineLevel="0" collapsed="false">
      <c r="A667" s="4"/>
      <c r="B667" s="2"/>
      <c r="C667" s="2"/>
      <c r="D667" s="2"/>
      <c r="E667" s="2"/>
      <c r="F667" s="3" t="str">
        <f aca="false">IFERROR(__xludf.dummyfunction("if($T667&lt;&gt;"""",REGEXEXTRACT(SUBSTITUTE ($T667,F$1&amp;"" CE"",""""), F$1&amp;""[\w &amp;]*, (\d+\.\d+)""),"""")
"),"")</f>
        <v/>
      </c>
      <c r="G667" s="3" t="str">
        <f aca="false">IFERROR(__xludf.dummyfunction("if($T667&lt;&gt;"""",REGEXEXTRACT($T667, G$1&amp;""[\w &amp;]*, (\d+\.\d+)""),"""")
"),"")</f>
        <v/>
      </c>
      <c r="H667" s="3"/>
      <c r="I667" s="3" t="str">
        <f aca="false">IFERROR(__xludf.dummyfunction("if($T667&lt;&gt;"""",REGEXEXTRACT(SUBSTITUTE ($T667,I$1&amp;"" CE"",""""), I$1&amp;""[\w &amp;]*, (\d+\.\d+)""),"""")
"),"")</f>
        <v/>
      </c>
      <c r="J667" s="3" t="str">
        <f aca="false">IFERROR(__xludf.dummyfunction("if($T667&lt;&gt;"""",REGEXEXTRACT($T667, J$1&amp;""[\w &amp;]*, (\d+\.\d+)""),"""")
"),"")</f>
        <v/>
      </c>
      <c r="K667" s="3"/>
      <c r="L667" s="3" t="str">
        <f aca="false">IFERROR(__xludf.dummyfunction("if($T667&lt;&gt;"""",REGEXEXTRACT(SUBSTITUTE ($T667,L$1&amp;"" CE"",""""), L$1&amp;""[\w &amp;]*, (\d+\.\d+)""),"""")
"),"")</f>
        <v/>
      </c>
      <c r="M667" s="3" t="str">
        <f aca="false">IFERROR(__xludf.dummyfunction("if($T667&lt;&gt;"""",REGEXEXTRACT($T667, M$1&amp;""[\w &amp;]*, (\d+\.\d+)""),"""")
"),"")</f>
        <v/>
      </c>
      <c r="N667" s="3" t="str">
        <f aca="false">IFERROR(__xludf.dummyfunction("if($T667&lt;&gt;"""",REGEXEXTRACT(SUBSTITUTE ($T667,N$1&amp;"" CE"",""""), N$1&amp;""[\w &amp;]*, (\d+\.\d+)""),"""")
"),"")</f>
        <v/>
      </c>
      <c r="O667" s="3" t="str">
        <f aca="false">IFERROR(__xludf.dummyfunction("if($T667&lt;&gt;"""",REGEXEXTRACT($T667, O$1&amp;""[\w &amp;]*, (\d+\.\d+)""),"""")
"),"")</f>
        <v/>
      </c>
      <c r="P667" s="2"/>
      <c r="Q667" s="2"/>
      <c r="R667" s="2"/>
      <c r="S667" s="2"/>
      <c r="T667" s="5"/>
      <c r="U667" s="5"/>
    </row>
    <row r="668" customFormat="false" ht="15.75" hidden="false" customHeight="false" outlineLevel="0" collapsed="false">
      <c r="A668" s="4"/>
      <c r="B668" s="2"/>
      <c r="C668" s="2"/>
      <c r="D668" s="2"/>
      <c r="E668" s="2"/>
      <c r="F668" s="3" t="str">
        <f aca="false">IFERROR(__xludf.dummyfunction("if($T668&lt;&gt;"""",REGEXEXTRACT(SUBSTITUTE ($T668,F$1&amp;"" CE"",""""), F$1&amp;""[\w &amp;]*, (\d+\.\d+)""),"""")
"),"")</f>
        <v/>
      </c>
      <c r="G668" s="3" t="str">
        <f aca="false">IFERROR(__xludf.dummyfunction("if($T668&lt;&gt;"""",REGEXEXTRACT($T668, G$1&amp;""[\w &amp;]*, (\d+\.\d+)""),"""")
"),"")</f>
        <v/>
      </c>
      <c r="H668" s="3"/>
      <c r="I668" s="3" t="str">
        <f aca="false">IFERROR(__xludf.dummyfunction("if($T668&lt;&gt;"""",REGEXEXTRACT(SUBSTITUTE ($T668,I$1&amp;"" CE"",""""), I$1&amp;""[\w &amp;]*, (\d+\.\d+)""),"""")
"),"")</f>
        <v/>
      </c>
      <c r="J668" s="3" t="str">
        <f aca="false">IFERROR(__xludf.dummyfunction("if($T668&lt;&gt;"""",REGEXEXTRACT($T668, J$1&amp;""[\w &amp;]*, (\d+\.\d+)""),"""")
"),"")</f>
        <v/>
      </c>
      <c r="K668" s="3"/>
      <c r="L668" s="3" t="str">
        <f aca="false">IFERROR(__xludf.dummyfunction("if($T668&lt;&gt;"""",REGEXEXTRACT(SUBSTITUTE ($T668,L$1&amp;"" CE"",""""), L$1&amp;""[\w &amp;]*, (\d+\.\d+)""),"""")
"),"")</f>
        <v/>
      </c>
      <c r="M668" s="3" t="str">
        <f aca="false">IFERROR(__xludf.dummyfunction("if($T668&lt;&gt;"""",REGEXEXTRACT($T668, M$1&amp;""[\w &amp;]*, (\d+\.\d+)""),"""")
"),"")</f>
        <v/>
      </c>
      <c r="N668" s="3" t="str">
        <f aca="false">IFERROR(__xludf.dummyfunction("if($T668&lt;&gt;"""",REGEXEXTRACT(SUBSTITUTE ($T668,N$1&amp;"" CE"",""""), N$1&amp;""[\w &amp;]*, (\d+\.\d+)""),"""")
"),"")</f>
        <v/>
      </c>
      <c r="O668" s="3" t="str">
        <f aca="false">IFERROR(__xludf.dummyfunction("if($T668&lt;&gt;"""",REGEXEXTRACT($T668, O$1&amp;""[\w &amp;]*, (\d+\.\d+)""),"""")
"),"")</f>
        <v/>
      </c>
      <c r="P668" s="2"/>
      <c r="Q668" s="2"/>
      <c r="R668" s="2"/>
      <c r="S668" s="2"/>
      <c r="T668" s="5"/>
      <c r="U668" s="5"/>
    </row>
    <row r="669" customFormat="false" ht="15.75" hidden="false" customHeight="false" outlineLevel="0" collapsed="false">
      <c r="A669" s="4"/>
      <c r="B669" s="2"/>
      <c r="C669" s="2"/>
      <c r="D669" s="2"/>
      <c r="E669" s="2"/>
      <c r="F669" s="3" t="str">
        <f aca="false">IFERROR(__xludf.dummyfunction("if($T669&lt;&gt;"""",REGEXEXTRACT(SUBSTITUTE ($T669,F$1&amp;"" CE"",""""), F$1&amp;""[\w &amp;]*, (\d+\.\d+)""),"""")
"),"")</f>
        <v/>
      </c>
      <c r="G669" s="3" t="str">
        <f aca="false">IFERROR(__xludf.dummyfunction("if($T669&lt;&gt;"""",REGEXEXTRACT($T669, G$1&amp;""[\w &amp;]*, (\d+\.\d+)""),"""")
"),"")</f>
        <v/>
      </c>
      <c r="H669" s="3"/>
      <c r="I669" s="3" t="str">
        <f aca="false">IFERROR(__xludf.dummyfunction("if($T669&lt;&gt;"""",REGEXEXTRACT(SUBSTITUTE ($T669,I$1&amp;"" CE"",""""), I$1&amp;""[\w &amp;]*, (\d+\.\d+)""),"""")
"),"")</f>
        <v/>
      </c>
      <c r="J669" s="3" t="str">
        <f aca="false">IFERROR(__xludf.dummyfunction("if($T669&lt;&gt;"""",REGEXEXTRACT($T669, J$1&amp;""[\w &amp;]*, (\d+\.\d+)""),"""")
"),"")</f>
        <v/>
      </c>
      <c r="K669" s="3"/>
      <c r="L669" s="3" t="str">
        <f aca="false">IFERROR(__xludf.dummyfunction("if($T669&lt;&gt;"""",REGEXEXTRACT(SUBSTITUTE ($T669,L$1&amp;"" CE"",""""), L$1&amp;""[\w &amp;]*, (\d+\.\d+)""),"""")
"),"")</f>
        <v/>
      </c>
      <c r="M669" s="3" t="str">
        <f aca="false">IFERROR(__xludf.dummyfunction("if($T669&lt;&gt;"""",REGEXEXTRACT($T669, M$1&amp;""[\w &amp;]*, (\d+\.\d+)""),"""")
"),"")</f>
        <v/>
      </c>
      <c r="N669" s="3" t="str">
        <f aca="false">IFERROR(__xludf.dummyfunction("if($T669&lt;&gt;"""",REGEXEXTRACT(SUBSTITUTE ($T669,N$1&amp;"" CE"",""""), N$1&amp;""[\w &amp;]*, (\d+\.\d+)""),"""")
"),"")</f>
        <v/>
      </c>
      <c r="O669" s="3" t="str">
        <f aca="false">IFERROR(__xludf.dummyfunction("if($T669&lt;&gt;"""",REGEXEXTRACT($T669, O$1&amp;""[\w &amp;]*, (\d+\.\d+)""),"""")
"),"")</f>
        <v/>
      </c>
      <c r="P669" s="2"/>
      <c r="Q669" s="2"/>
      <c r="R669" s="2"/>
      <c r="S669" s="2"/>
      <c r="T669" s="5"/>
      <c r="U669" s="5"/>
    </row>
    <row r="670" customFormat="false" ht="15.75" hidden="false" customHeight="false" outlineLevel="0" collapsed="false">
      <c r="A670" s="4"/>
      <c r="B670" s="2"/>
      <c r="C670" s="2"/>
      <c r="D670" s="2"/>
      <c r="E670" s="2"/>
      <c r="F670" s="3" t="str">
        <f aca="false">IFERROR(__xludf.dummyfunction("if($T670&lt;&gt;"""",REGEXEXTRACT(SUBSTITUTE ($T670,F$1&amp;"" CE"",""""), F$1&amp;""[\w &amp;]*, (\d+\.\d+)""),"""")
"),"")</f>
        <v/>
      </c>
      <c r="G670" s="3" t="str">
        <f aca="false">IFERROR(__xludf.dummyfunction("if($T670&lt;&gt;"""",REGEXEXTRACT($T670, G$1&amp;""[\w &amp;]*, (\d+\.\d+)""),"""")
"),"")</f>
        <v/>
      </c>
      <c r="H670" s="3"/>
      <c r="I670" s="3" t="str">
        <f aca="false">IFERROR(__xludf.dummyfunction("if($T670&lt;&gt;"""",REGEXEXTRACT(SUBSTITUTE ($T670,I$1&amp;"" CE"",""""), I$1&amp;""[\w &amp;]*, (\d+\.\d+)""),"""")
"),"")</f>
        <v/>
      </c>
      <c r="J670" s="3" t="str">
        <f aca="false">IFERROR(__xludf.dummyfunction("if($T670&lt;&gt;"""",REGEXEXTRACT($T670, J$1&amp;""[\w &amp;]*, (\d+\.\d+)""),"""")
"),"")</f>
        <v/>
      </c>
      <c r="K670" s="3"/>
      <c r="L670" s="3" t="str">
        <f aca="false">IFERROR(__xludf.dummyfunction("if($T670&lt;&gt;"""",REGEXEXTRACT(SUBSTITUTE ($T670,L$1&amp;"" CE"",""""), L$1&amp;""[\w &amp;]*, (\d+\.\d+)""),"""")
"),"")</f>
        <v/>
      </c>
      <c r="M670" s="3" t="str">
        <f aca="false">IFERROR(__xludf.dummyfunction("if($T670&lt;&gt;"""",REGEXEXTRACT($T670, M$1&amp;""[\w &amp;]*, (\d+\.\d+)""),"""")
"),"")</f>
        <v/>
      </c>
      <c r="N670" s="3" t="str">
        <f aca="false">IFERROR(__xludf.dummyfunction("if($T670&lt;&gt;"""",REGEXEXTRACT(SUBSTITUTE ($T670,N$1&amp;"" CE"",""""), N$1&amp;""[\w &amp;]*, (\d+\.\d+)""),"""")
"),"")</f>
        <v/>
      </c>
      <c r="O670" s="3" t="str">
        <f aca="false">IFERROR(__xludf.dummyfunction("if($T670&lt;&gt;"""",REGEXEXTRACT($T670, O$1&amp;""[\w &amp;]*, (\d+\.\d+)""),"""")
"),"")</f>
        <v/>
      </c>
      <c r="P670" s="2"/>
      <c r="Q670" s="2"/>
      <c r="R670" s="2"/>
      <c r="S670" s="2"/>
      <c r="T670" s="5"/>
      <c r="U670" s="5"/>
    </row>
    <row r="671" customFormat="false" ht="15.75" hidden="false" customHeight="false" outlineLevel="0" collapsed="false">
      <c r="A671" s="4"/>
      <c r="B671" s="2"/>
      <c r="C671" s="2"/>
      <c r="D671" s="2"/>
      <c r="E671" s="2"/>
      <c r="F671" s="3" t="str">
        <f aca="false">IFERROR(__xludf.dummyfunction("if($T671&lt;&gt;"""",REGEXEXTRACT(SUBSTITUTE ($T671,F$1&amp;"" CE"",""""), F$1&amp;""[\w &amp;]*, (\d+\.\d+)""),"""")
"),"")</f>
        <v/>
      </c>
      <c r="G671" s="3" t="str">
        <f aca="false">IFERROR(__xludf.dummyfunction("if($T671&lt;&gt;"""",REGEXEXTRACT($T671, G$1&amp;""[\w &amp;]*, (\d+\.\d+)""),"""")
"),"")</f>
        <v/>
      </c>
      <c r="H671" s="3"/>
      <c r="I671" s="3" t="str">
        <f aca="false">IFERROR(__xludf.dummyfunction("if($T671&lt;&gt;"""",REGEXEXTRACT(SUBSTITUTE ($T671,I$1&amp;"" CE"",""""), I$1&amp;""[\w &amp;]*, (\d+\.\d+)""),"""")
"),"")</f>
        <v/>
      </c>
      <c r="J671" s="3" t="str">
        <f aca="false">IFERROR(__xludf.dummyfunction("if($T671&lt;&gt;"""",REGEXEXTRACT($T671, J$1&amp;""[\w &amp;]*, (\d+\.\d+)""),"""")
"),"")</f>
        <v/>
      </c>
      <c r="K671" s="3"/>
      <c r="L671" s="3" t="str">
        <f aca="false">IFERROR(__xludf.dummyfunction("if($T671&lt;&gt;"""",REGEXEXTRACT(SUBSTITUTE ($T671,L$1&amp;"" CE"",""""), L$1&amp;""[\w &amp;]*, (\d+\.\d+)""),"""")
"),"")</f>
        <v/>
      </c>
      <c r="M671" s="3" t="str">
        <f aca="false">IFERROR(__xludf.dummyfunction("if($T671&lt;&gt;"""",REGEXEXTRACT($T671, M$1&amp;""[\w &amp;]*, (\d+\.\d+)""),"""")
"),"")</f>
        <v/>
      </c>
      <c r="N671" s="3" t="str">
        <f aca="false">IFERROR(__xludf.dummyfunction("if($T671&lt;&gt;"""",REGEXEXTRACT(SUBSTITUTE ($T671,N$1&amp;"" CE"",""""), N$1&amp;""[\w &amp;]*, (\d+\.\d+)""),"""")
"),"")</f>
        <v/>
      </c>
      <c r="O671" s="3" t="str">
        <f aca="false">IFERROR(__xludf.dummyfunction("if($T671&lt;&gt;"""",REGEXEXTRACT($T671, O$1&amp;""[\w &amp;]*, (\d+\.\d+)""),"""")
"),"")</f>
        <v/>
      </c>
      <c r="P671" s="2"/>
      <c r="Q671" s="2"/>
      <c r="R671" s="2"/>
      <c r="S671" s="2"/>
      <c r="T671" s="5"/>
      <c r="U671" s="5"/>
    </row>
    <row r="672" customFormat="false" ht="15.75" hidden="false" customHeight="false" outlineLevel="0" collapsed="false">
      <c r="A672" s="4"/>
      <c r="B672" s="2"/>
      <c r="C672" s="2"/>
      <c r="D672" s="2"/>
      <c r="E672" s="2"/>
      <c r="F672" s="3" t="str">
        <f aca="false">IFERROR(__xludf.dummyfunction("if($T672&lt;&gt;"""",REGEXEXTRACT(SUBSTITUTE ($T672,F$1&amp;"" CE"",""""), F$1&amp;""[\w &amp;]*, (\d+\.\d+)""),"""")
"),"")</f>
        <v/>
      </c>
      <c r="G672" s="3" t="str">
        <f aca="false">IFERROR(__xludf.dummyfunction("if($T672&lt;&gt;"""",REGEXEXTRACT($T672, G$1&amp;""[\w &amp;]*, (\d+\.\d+)""),"""")
"),"")</f>
        <v/>
      </c>
      <c r="H672" s="3"/>
      <c r="I672" s="3" t="str">
        <f aca="false">IFERROR(__xludf.dummyfunction("if($T672&lt;&gt;"""",REGEXEXTRACT(SUBSTITUTE ($T672,I$1&amp;"" CE"",""""), I$1&amp;""[\w &amp;]*, (\d+\.\d+)""),"""")
"),"")</f>
        <v/>
      </c>
      <c r="J672" s="3" t="str">
        <f aca="false">IFERROR(__xludf.dummyfunction("if($T672&lt;&gt;"""",REGEXEXTRACT($T672, J$1&amp;""[\w &amp;]*, (\d+\.\d+)""),"""")
"),"")</f>
        <v/>
      </c>
      <c r="K672" s="3"/>
      <c r="L672" s="3" t="str">
        <f aca="false">IFERROR(__xludf.dummyfunction("if($T672&lt;&gt;"""",REGEXEXTRACT(SUBSTITUTE ($T672,L$1&amp;"" CE"",""""), L$1&amp;""[\w &amp;]*, (\d+\.\d+)""),"""")
"),"")</f>
        <v/>
      </c>
      <c r="M672" s="3" t="str">
        <f aca="false">IFERROR(__xludf.dummyfunction("if($T672&lt;&gt;"""",REGEXEXTRACT($T672, M$1&amp;""[\w &amp;]*, (\d+\.\d+)""),"""")
"),"")</f>
        <v/>
      </c>
      <c r="N672" s="3" t="str">
        <f aca="false">IFERROR(__xludf.dummyfunction("if($T672&lt;&gt;"""",REGEXEXTRACT(SUBSTITUTE ($T672,N$1&amp;"" CE"",""""), N$1&amp;""[\w &amp;]*, (\d+\.\d+)""),"""")
"),"")</f>
        <v/>
      </c>
      <c r="O672" s="3" t="str">
        <f aca="false">IFERROR(__xludf.dummyfunction("if($T672&lt;&gt;"""",REGEXEXTRACT($T672, O$1&amp;""[\w &amp;]*, (\d+\.\d+)""),"""")
"),"")</f>
        <v/>
      </c>
      <c r="P672" s="2"/>
      <c r="Q672" s="2"/>
      <c r="R672" s="2"/>
      <c r="S672" s="2"/>
      <c r="T672" s="5"/>
      <c r="U672" s="5"/>
    </row>
    <row r="673" customFormat="false" ht="15.75" hidden="false" customHeight="false" outlineLevel="0" collapsed="false">
      <c r="A673" s="4"/>
      <c r="B673" s="2"/>
      <c r="C673" s="2"/>
      <c r="D673" s="2"/>
      <c r="E673" s="2"/>
      <c r="F673" s="3" t="str">
        <f aca="false">IFERROR(__xludf.dummyfunction("if($T673&lt;&gt;"""",REGEXEXTRACT(SUBSTITUTE ($T673,F$1&amp;"" CE"",""""), F$1&amp;""[\w &amp;]*, (\d+\.\d+)""),"""")
"),"")</f>
        <v/>
      </c>
      <c r="G673" s="3" t="str">
        <f aca="false">IFERROR(__xludf.dummyfunction("if($T673&lt;&gt;"""",REGEXEXTRACT($T673, G$1&amp;""[\w &amp;]*, (\d+\.\d+)""),"""")
"),"")</f>
        <v/>
      </c>
      <c r="H673" s="3"/>
      <c r="I673" s="3" t="str">
        <f aca="false">IFERROR(__xludf.dummyfunction("if($T673&lt;&gt;"""",REGEXEXTRACT(SUBSTITUTE ($T673,I$1&amp;"" CE"",""""), I$1&amp;""[\w &amp;]*, (\d+\.\d+)""),"""")
"),"")</f>
        <v/>
      </c>
      <c r="J673" s="3" t="str">
        <f aca="false">IFERROR(__xludf.dummyfunction("if($T673&lt;&gt;"""",REGEXEXTRACT($T673, J$1&amp;""[\w &amp;]*, (\d+\.\d+)""),"""")
"),"")</f>
        <v/>
      </c>
      <c r="K673" s="3"/>
      <c r="L673" s="3" t="str">
        <f aca="false">IFERROR(__xludf.dummyfunction("if($T673&lt;&gt;"""",REGEXEXTRACT(SUBSTITUTE ($T673,L$1&amp;"" CE"",""""), L$1&amp;""[\w &amp;]*, (\d+\.\d+)""),"""")
"),"")</f>
        <v/>
      </c>
      <c r="M673" s="3" t="str">
        <f aca="false">IFERROR(__xludf.dummyfunction("if($T673&lt;&gt;"""",REGEXEXTRACT($T673, M$1&amp;""[\w &amp;]*, (\d+\.\d+)""),"""")
"),"")</f>
        <v/>
      </c>
      <c r="N673" s="3" t="str">
        <f aca="false">IFERROR(__xludf.dummyfunction("if($T673&lt;&gt;"""",REGEXEXTRACT(SUBSTITUTE ($T673,N$1&amp;"" CE"",""""), N$1&amp;""[\w &amp;]*, (\d+\.\d+)""),"""")
"),"")</f>
        <v/>
      </c>
      <c r="O673" s="3" t="str">
        <f aca="false">IFERROR(__xludf.dummyfunction("if($T673&lt;&gt;"""",REGEXEXTRACT($T673, O$1&amp;""[\w &amp;]*, (\d+\.\d+)""),"""")
"),"")</f>
        <v/>
      </c>
      <c r="P673" s="2"/>
      <c r="Q673" s="2"/>
      <c r="R673" s="2"/>
      <c r="S673" s="2"/>
      <c r="T673" s="5"/>
      <c r="U673" s="5"/>
    </row>
    <row r="674" customFormat="false" ht="15.75" hidden="false" customHeight="false" outlineLevel="0" collapsed="false">
      <c r="A674" s="4"/>
      <c r="B674" s="2"/>
      <c r="C674" s="2"/>
      <c r="D674" s="2"/>
      <c r="E674" s="2"/>
      <c r="F674" s="3" t="str">
        <f aca="false">IFERROR(__xludf.dummyfunction("if($T674&lt;&gt;"""",REGEXEXTRACT(SUBSTITUTE ($T674,F$1&amp;"" CE"",""""), F$1&amp;""[\w &amp;]*, (\d+\.\d+)""),"""")
"),"")</f>
        <v/>
      </c>
      <c r="G674" s="3" t="str">
        <f aca="false">IFERROR(__xludf.dummyfunction("if($T674&lt;&gt;"""",REGEXEXTRACT($T674, G$1&amp;""[\w &amp;]*, (\d+\.\d+)""),"""")
"),"")</f>
        <v/>
      </c>
      <c r="H674" s="3"/>
      <c r="I674" s="3" t="str">
        <f aca="false">IFERROR(__xludf.dummyfunction("if($T674&lt;&gt;"""",REGEXEXTRACT(SUBSTITUTE ($T674,I$1&amp;"" CE"",""""), I$1&amp;""[\w &amp;]*, (\d+\.\d+)""),"""")
"),"")</f>
        <v/>
      </c>
      <c r="J674" s="3" t="str">
        <f aca="false">IFERROR(__xludf.dummyfunction("if($T674&lt;&gt;"""",REGEXEXTRACT($T674, J$1&amp;""[\w &amp;]*, (\d+\.\d+)""),"""")
"),"")</f>
        <v/>
      </c>
      <c r="K674" s="3"/>
      <c r="L674" s="3" t="str">
        <f aca="false">IFERROR(__xludf.dummyfunction("if($T674&lt;&gt;"""",REGEXEXTRACT(SUBSTITUTE ($T674,L$1&amp;"" CE"",""""), L$1&amp;""[\w &amp;]*, (\d+\.\d+)""),"""")
"),"")</f>
        <v/>
      </c>
      <c r="M674" s="3" t="str">
        <f aca="false">IFERROR(__xludf.dummyfunction("if($T674&lt;&gt;"""",REGEXEXTRACT($T674, M$1&amp;""[\w &amp;]*, (\d+\.\d+)""),"""")
"),"")</f>
        <v/>
      </c>
      <c r="N674" s="3" t="str">
        <f aca="false">IFERROR(__xludf.dummyfunction("if($T674&lt;&gt;"""",REGEXEXTRACT(SUBSTITUTE ($T674,N$1&amp;"" CE"",""""), N$1&amp;""[\w &amp;]*, (\d+\.\d+)""),"""")
"),"")</f>
        <v/>
      </c>
      <c r="O674" s="3" t="str">
        <f aca="false">IFERROR(__xludf.dummyfunction("if($T674&lt;&gt;"""",REGEXEXTRACT($T674, O$1&amp;""[\w &amp;]*, (\d+\.\d+)""),"""")
"),"")</f>
        <v/>
      </c>
      <c r="P674" s="2"/>
      <c r="Q674" s="2"/>
      <c r="R674" s="2"/>
      <c r="S674" s="2"/>
      <c r="T674" s="5"/>
      <c r="U674" s="5"/>
    </row>
    <row r="675" customFormat="false" ht="15.75" hidden="false" customHeight="false" outlineLevel="0" collapsed="false">
      <c r="A675" s="4"/>
      <c r="B675" s="2"/>
      <c r="C675" s="2"/>
      <c r="D675" s="2"/>
      <c r="E675" s="2"/>
      <c r="F675" s="3" t="str">
        <f aca="false">IFERROR(__xludf.dummyfunction("if($T675&lt;&gt;"""",REGEXEXTRACT(SUBSTITUTE ($T675,F$1&amp;"" CE"",""""), F$1&amp;""[\w &amp;]*, (\d+\.\d+)""),"""")
"),"")</f>
        <v/>
      </c>
      <c r="G675" s="3" t="str">
        <f aca="false">IFERROR(__xludf.dummyfunction("if($T675&lt;&gt;"""",REGEXEXTRACT($T675, G$1&amp;""[\w &amp;]*, (\d+\.\d+)""),"""")
"),"")</f>
        <v/>
      </c>
      <c r="H675" s="3"/>
      <c r="I675" s="3" t="str">
        <f aca="false">IFERROR(__xludf.dummyfunction("if($T675&lt;&gt;"""",REGEXEXTRACT(SUBSTITUTE ($T675,I$1&amp;"" CE"",""""), I$1&amp;""[\w &amp;]*, (\d+\.\d+)""),"""")
"),"")</f>
        <v/>
      </c>
      <c r="J675" s="3" t="str">
        <f aca="false">IFERROR(__xludf.dummyfunction("if($T675&lt;&gt;"""",REGEXEXTRACT($T675, J$1&amp;""[\w &amp;]*, (\d+\.\d+)""),"""")
"),"")</f>
        <v/>
      </c>
      <c r="K675" s="3"/>
      <c r="L675" s="3" t="str">
        <f aca="false">IFERROR(__xludf.dummyfunction("if($T675&lt;&gt;"""",REGEXEXTRACT(SUBSTITUTE ($T675,L$1&amp;"" CE"",""""), L$1&amp;""[\w &amp;]*, (\d+\.\d+)""),"""")
"),"")</f>
        <v/>
      </c>
      <c r="M675" s="3" t="str">
        <f aca="false">IFERROR(__xludf.dummyfunction("if($T675&lt;&gt;"""",REGEXEXTRACT($T675, M$1&amp;""[\w &amp;]*, (\d+\.\d+)""),"""")
"),"")</f>
        <v/>
      </c>
      <c r="N675" s="3" t="str">
        <f aca="false">IFERROR(__xludf.dummyfunction("if($T675&lt;&gt;"""",REGEXEXTRACT(SUBSTITUTE ($T675,N$1&amp;"" CE"",""""), N$1&amp;""[\w &amp;]*, (\d+\.\d+)""),"""")
"),"")</f>
        <v/>
      </c>
      <c r="O675" s="3" t="str">
        <f aca="false">IFERROR(__xludf.dummyfunction("if($T675&lt;&gt;"""",REGEXEXTRACT($T675, O$1&amp;""[\w &amp;]*, (\d+\.\d+)""),"""")
"),"")</f>
        <v/>
      </c>
      <c r="P675" s="2"/>
      <c r="Q675" s="2"/>
      <c r="R675" s="2"/>
      <c r="S675" s="2"/>
      <c r="T675" s="5"/>
      <c r="U675" s="5"/>
    </row>
    <row r="676" customFormat="false" ht="15.75" hidden="false" customHeight="false" outlineLevel="0" collapsed="false">
      <c r="A676" s="4"/>
      <c r="B676" s="2"/>
      <c r="C676" s="2"/>
      <c r="D676" s="2"/>
      <c r="E676" s="2"/>
      <c r="F676" s="3" t="str">
        <f aca="false">IFERROR(__xludf.dummyfunction("if($T676&lt;&gt;"""",REGEXEXTRACT(SUBSTITUTE ($T676,F$1&amp;"" CE"",""""), F$1&amp;""[\w &amp;]*, (\d+\.\d+)""),"""")
"),"")</f>
        <v/>
      </c>
      <c r="G676" s="3" t="str">
        <f aca="false">IFERROR(__xludf.dummyfunction("if($T676&lt;&gt;"""",REGEXEXTRACT($T676, G$1&amp;""[\w &amp;]*, (\d+\.\d+)""),"""")
"),"")</f>
        <v/>
      </c>
      <c r="H676" s="3"/>
      <c r="I676" s="3" t="str">
        <f aca="false">IFERROR(__xludf.dummyfunction("if($T676&lt;&gt;"""",REGEXEXTRACT(SUBSTITUTE ($T676,I$1&amp;"" CE"",""""), I$1&amp;""[\w &amp;]*, (\d+\.\d+)""),"""")
"),"")</f>
        <v/>
      </c>
      <c r="J676" s="3" t="str">
        <f aca="false">IFERROR(__xludf.dummyfunction("if($T676&lt;&gt;"""",REGEXEXTRACT($T676, J$1&amp;""[\w &amp;]*, (\d+\.\d+)""),"""")
"),"")</f>
        <v/>
      </c>
      <c r="K676" s="3"/>
      <c r="L676" s="3" t="str">
        <f aca="false">IFERROR(__xludf.dummyfunction("if($T676&lt;&gt;"""",REGEXEXTRACT(SUBSTITUTE ($T676,L$1&amp;"" CE"",""""), L$1&amp;""[\w &amp;]*, (\d+\.\d+)""),"""")
"),"")</f>
        <v/>
      </c>
      <c r="M676" s="3" t="str">
        <f aca="false">IFERROR(__xludf.dummyfunction("if($T676&lt;&gt;"""",REGEXEXTRACT($T676, M$1&amp;""[\w &amp;]*, (\d+\.\d+)""),"""")
"),"")</f>
        <v/>
      </c>
      <c r="N676" s="3" t="str">
        <f aca="false">IFERROR(__xludf.dummyfunction("if($T676&lt;&gt;"""",REGEXEXTRACT(SUBSTITUTE ($T676,N$1&amp;"" CE"",""""), N$1&amp;""[\w &amp;]*, (\d+\.\d+)""),"""")
"),"")</f>
        <v/>
      </c>
      <c r="O676" s="3" t="str">
        <f aca="false">IFERROR(__xludf.dummyfunction("if($T676&lt;&gt;"""",REGEXEXTRACT($T676, O$1&amp;""[\w &amp;]*, (\d+\.\d+)""),"""")
"),"")</f>
        <v/>
      </c>
      <c r="P676" s="2"/>
      <c r="Q676" s="2"/>
      <c r="R676" s="2"/>
      <c r="S676" s="2"/>
      <c r="T676" s="5"/>
      <c r="U676" s="5"/>
    </row>
    <row r="677" customFormat="false" ht="15.75" hidden="false" customHeight="false" outlineLevel="0" collapsed="false">
      <c r="A677" s="4"/>
      <c r="B677" s="2"/>
      <c r="C677" s="2"/>
      <c r="D677" s="2"/>
      <c r="E677" s="2"/>
      <c r="F677" s="3" t="str">
        <f aca="false">IFERROR(__xludf.dummyfunction("if($T677&lt;&gt;"""",REGEXEXTRACT(SUBSTITUTE ($T677,F$1&amp;"" CE"",""""), F$1&amp;""[\w &amp;]*, (\d+\.\d+)""),"""")
"),"")</f>
        <v/>
      </c>
      <c r="G677" s="3" t="str">
        <f aca="false">IFERROR(__xludf.dummyfunction("if($T677&lt;&gt;"""",REGEXEXTRACT($T677, G$1&amp;""[\w &amp;]*, (\d+\.\d+)""),"""")
"),"")</f>
        <v/>
      </c>
      <c r="H677" s="3"/>
      <c r="I677" s="3" t="str">
        <f aca="false">IFERROR(__xludf.dummyfunction("if($T677&lt;&gt;"""",REGEXEXTRACT(SUBSTITUTE ($T677,I$1&amp;"" CE"",""""), I$1&amp;""[\w &amp;]*, (\d+\.\d+)""),"""")
"),"")</f>
        <v/>
      </c>
      <c r="J677" s="3" t="str">
        <f aca="false">IFERROR(__xludf.dummyfunction("if($T677&lt;&gt;"""",REGEXEXTRACT($T677, J$1&amp;""[\w &amp;]*, (\d+\.\d+)""),"""")
"),"")</f>
        <v/>
      </c>
      <c r="K677" s="3"/>
      <c r="L677" s="3" t="str">
        <f aca="false">IFERROR(__xludf.dummyfunction("if($T677&lt;&gt;"""",REGEXEXTRACT(SUBSTITUTE ($T677,L$1&amp;"" CE"",""""), L$1&amp;""[\w &amp;]*, (\d+\.\d+)""),"""")
"),"")</f>
        <v/>
      </c>
      <c r="M677" s="3" t="str">
        <f aca="false">IFERROR(__xludf.dummyfunction("if($T677&lt;&gt;"""",REGEXEXTRACT($T677, M$1&amp;""[\w &amp;]*, (\d+\.\d+)""),"""")
"),"")</f>
        <v/>
      </c>
      <c r="N677" s="3" t="str">
        <f aca="false">IFERROR(__xludf.dummyfunction("if($T677&lt;&gt;"""",REGEXEXTRACT(SUBSTITUTE ($T677,N$1&amp;"" CE"",""""), N$1&amp;""[\w &amp;]*, (\d+\.\d+)""),"""")
"),"")</f>
        <v/>
      </c>
      <c r="O677" s="3" t="str">
        <f aca="false">IFERROR(__xludf.dummyfunction("if($T677&lt;&gt;"""",REGEXEXTRACT($T677, O$1&amp;""[\w &amp;]*, (\d+\.\d+)""),"""")
"),"")</f>
        <v/>
      </c>
      <c r="P677" s="2"/>
      <c r="Q677" s="2"/>
      <c r="R677" s="2"/>
      <c r="S677" s="2"/>
      <c r="T677" s="5"/>
      <c r="U677" s="5"/>
    </row>
    <row r="678" customFormat="false" ht="15.75" hidden="false" customHeight="false" outlineLevel="0" collapsed="false">
      <c r="A678" s="4"/>
      <c r="B678" s="2"/>
      <c r="C678" s="2"/>
      <c r="D678" s="2"/>
      <c r="E678" s="2"/>
      <c r="F678" s="3" t="str">
        <f aca="false">IFERROR(__xludf.dummyfunction("if($T678&lt;&gt;"""",REGEXEXTRACT(SUBSTITUTE ($T678,F$1&amp;"" CE"",""""), F$1&amp;""[\w &amp;]*, (\d+\.\d+)""),"""")
"),"")</f>
        <v/>
      </c>
      <c r="G678" s="3" t="str">
        <f aca="false">IFERROR(__xludf.dummyfunction("if($T678&lt;&gt;"""",REGEXEXTRACT($T678, G$1&amp;""[\w &amp;]*, (\d+\.\d+)""),"""")
"),"")</f>
        <v/>
      </c>
      <c r="H678" s="3"/>
      <c r="I678" s="3" t="str">
        <f aca="false">IFERROR(__xludf.dummyfunction("if($T678&lt;&gt;"""",REGEXEXTRACT(SUBSTITUTE ($T678,I$1&amp;"" CE"",""""), I$1&amp;""[\w &amp;]*, (\d+\.\d+)""),"""")
"),"")</f>
        <v/>
      </c>
      <c r="J678" s="3" t="str">
        <f aca="false">IFERROR(__xludf.dummyfunction("if($T678&lt;&gt;"""",REGEXEXTRACT($T678, J$1&amp;""[\w &amp;]*, (\d+\.\d+)""),"""")
"),"")</f>
        <v/>
      </c>
      <c r="K678" s="3"/>
      <c r="L678" s="3" t="str">
        <f aca="false">IFERROR(__xludf.dummyfunction("if($T678&lt;&gt;"""",REGEXEXTRACT(SUBSTITUTE ($T678,L$1&amp;"" CE"",""""), L$1&amp;""[\w &amp;]*, (\d+\.\d+)""),"""")
"),"")</f>
        <v/>
      </c>
      <c r="M678" s="3" t="str">
        <f aca="false">IFERROR(__xludf.dummyfunction("if($T678&lt;&gt;"""",REGEXEXTRACT($T678, M$1&amp;""[\w &amp;]*, (\d+\.\d+)""),"""")
"),"")</f>
        <v/>
      </c>
      <c r="N678" s="3" t="str">
        <f aca="false">IFERROR(__xludf.dummyfunction("if($T678&lt;&gt;"""",REGEXEXTRACT(SUBSTITUTE ($T678,N$1&amp;"" CE"",""""), N$1&amp;""[\w &amp;]*, (\d+\.\d+)""),"""")
"),"")</f>
        <v/>
      </c>
      <c r="O678" s="3" t="str">
        <f aca="false">IFERROR(__xludf.dummyfunction("if($T678&lt;&gt;"""",REGEXEXTRACT($T678, O$1&amp;""[\w &amp;]*, (\d+\.\d+)""),"""")
"),"")</f>
        <v/>
      </c>
      <c r="P678" s="2"/>
      <c r="Q678" s="2"/>
      <c r="R678" s="2"/>
      <c r="S678" s="2"/>
      <c r="T678" s="5"/>
      <c r="U678" s="5"/>
    </row>
    <row r="679" customFormat="false" ht="15.75" hidden="false" customHeight="false" outlineLevel="0" collapsed="false">
      <c r="A679" s="4"/>
      <c r="B679" s="2"/>
      <c r="C679" s="2"/>
      <c r="D679" s="2"/>
      <c r="E679" s="2"/>
      <c r="F679" s="3" t="str">
        <f aca="false">IFERROR(__xludf.dummyfunction("if($T679&lt;&gt;"""",REGEXEXTRACT(SUBSTITUTE ($T679,F$1&amp;"" CE"",""""), F$1&amp;""[\w &amp;]*, (\d+\.\d+)""),"""")
"),"")</f>
        <v/>
      </c>
      <c r="G679" s="3" t="str">
        <f aca="false">IFERROR(__xludf.dummyfunction("if($T679&lt;&gt;"""",REGEXEXTRACT($T679, G$1&amp;""[\w &amp;]*, (\d+\.\d+)""),"""")
"),"")</f>
        <v/>
      </c>
      <c r="H679" s="3"/>
      <c r="I679" s="3" t="str">
        <f aca="false">IFERROR(__xludf.dummyfunction("if($T679&lt;&gt;"""",REGEXEXTRACT(SUBSTITUTE ($T679,I$1&amp;"" CE"",""""), I$1&amp;""[\w &amp;]*, (\d+\.\d+)""),"""")
"),"")</f>
        <v/>
      </c>
      <c r="J679" s="3" t="str">
        <f aca="false">IFERROR(__xludf.dummyfunction("if($T679&lt;&gt;"""",REGEXEXTRACT($T679, J$1&amp;""[\w &amp;]*, (\d+\.\d+)""),"""")
"),"")</f>
        <v/>
      </c>
      <c r="K679" s="3"/>
      <c r="L679" s="3" t="str">
        <f aca="false">IFERROR(__xludf.dummyfunction("if($T679&lt;&gt;"""",REGEXEXTRACT(SUBSTITUTE ($T679,L$1&amp;"" CE"",""""), L$1&amp;""[\w &amp;]*, (\d+\.\d+)""),"""")
"),"")</f>
        <v/>
      </c>
      <c r="M679" s="3" t="str">
        <f aca="false">IFERROR(__xludf.dummyfunction("if($T679&lt;&gt;"""",REGEXEXTRACT($T679, M$1&amp;""[\w &amp;]*, (\d+\.\d+)""),"""")
"),"")</f>
        <v/>
      </c>
      <c r="N679" s="3" t="str">
        <f aca="false">IFERROR(__xludf.dummyfunction("if($T679&lt;&gt;"""",REGEXEXTRACT(SUBSTITUTE ($T679,N$1&amp;"" CE"",""""), N$1&amp;""[\w &amp;]*, (\d+\.\d+)""),"""")
"),"")</f>
        <v/>
      </c>
      <c r="O679" s="3" t="str">
        <f aca="false">IFERROR(__xludf.dummyfunction("if($T679&lt;&gt;"""",REGEXEXTRACT($T679, O$1&amp;""[\w &amp;]*, (\d+\.\d+)""),"""")
"),"")</f>
        <v/>
      </c>
      <c r="P679" s="2"/>
      <c r="Q679" s="2"/>
      <c r="R679" s="2"/>
      <c r="S679" s="2"/>
      <c r="T679" s="5"/>
      <c r="U679" s="5"/>
    </row>
    <row r="680" customFormat="false" ht="15.75" hidden="false" customHeight="false" outlineLevel="0" collapsed="false">
      <c r="A680" s="4"/>
      <c r="B680" s="2"/>
      <c r="C680" s="2"/>
      <c r="D680" s="2"/>
      <c r="E680" s="2"/>
      <c r="F680" s="3" t="str">
        <f aca="false">IFERROR(__xludf.dummyfunction("if($T680&lt;&gt;"""",REGEXEXTRACT(SUBSTITUTE ($T680,F$1&amp;"" CE"",""""), F$1&amp;""[\w &amp;]*, (\d+\.\d+)""),"""")
"),"")</f>
        <v/>
      </c>
      <c r="G680" s="3" t="str">
        <f aca="false">IFERROR(__xludf.dummyfunction("if($T680&lt;&gt;"""",REGEXEXTRACT($T680, G$1&amp;""[\w &amp;]*, (\d+\.\d+)""),"""")
"),"")</f>
        <v/>
      </c>
      <c r="H680" s="3"/>
      <c r="I680" s="3" t="str">
        <f aca="false">IFERROR(__xludf.dummyfunction("if($T680&lt;&gt;"""",REGEXEXTRACT(SUBSTITUTE ($T680,I$1&amp;"" CE"",""""), I$1&amp;""[\w &amp;]*, (\d+\.\d+)""),"""")
"),"")</f>
        <v/>
      </c>
      <c r="J680" s="3" t="str">
        <f aca="false">IFERROR(__xludf.dummyfunction("if($T680&lt;&gt;"""",REGEXEXTRACT($T680, J$1&amp;""[\w &amp;]*, (\d+\.\d+)""),"""")
"),"")</f>
        <v/>
      </c>
      <c r="K680" s="3"/>
      <c r="L680" s="3" t="str">
        <f aca="false">IFERROR(__xludf.dummyfunction("if($T680&lt;&gt;"""",REGEXEXTRACT(SUBSTITUTE ($T680,L$1&amp;"" CE"",""""), L$1&amp;""[\w &amp;]*, (\d+\.\d+)""),"""")
"),"")</f>
        <v/>
      </c>
      <c r="M680" s="3" t="str">
        <f aca="false">IFERROR(__xludf.dummyfunction("if($T680&lt;&gt;"""",REGEXEXTRACT($T680, M$1&amp;""[\w &amp;]*, (\d+\.\d+)""),"""")
"),"")</f>
        <v/>
      </c>
      <c r="N680" s="3" t="str">
        <f aca="false">IFERROR(__xludf.dummyfunction("if($T680&lt;&gt;"""",REGEXEXTRACT(SUBSTITUTE ($T680,N$1&amp;"" CE"",""""), N$1&amp;""[\w &amp;]*, (\d+\.\d+)""),"""")
"),"")</f>
        <v/>
      </c>
      <c r="O680" s="3" t="str">
        <f aca="false">IFERROR(__xludf.dummyfunction("if($T680&lt;&gt;"""",REGEXEXTRACT($T680, O$1&amp;""[\w &amp;]*, (\d+\.\d+)""),"""")
"),"")</f>
        <v/>
      </c>
      <c r="P680" s="2"/>
      <c r="Q680" s="2"/>
      <c r="R680" s="2"/>
      <c r="S680" s="2"/>
      <c r="T680" s="5"/>
      <c r="U680" s="5"/>
    </row>
    <row r="681" customFormat="false" ht="15.75" hidden="false" customHeight="false" outlineLevel="0" collapsed="false">
      <c r="A681" s="4"/>
      <c r="B681" s="2"/>
      <c r="C681" s="2"/>
      <c r="D681" s="2"/>
      <c r="E681" s="2"/>
      <c r="F681" s="3" t="str">
        <f aca="false">IFERROR(__xludf.dummyfunction("if($T681&lt;&gt;"""",REGEXEXTRACT(SUBSTITUTE ($T681,F$1&amp;"" CE"",""""), F$1&amp;""[\w &amp;]*, (\d+\.\d+)""),"""")
"),"")</f>
        <v/>
      </c>
      <c r="G681" s="3" t="str">
        <f aca="false">IFERROR(__xludf.dummyfunction("if($T681&lt;&gt;"""",REGEXEXTRACT($T681, G$1&amp;""[\w &amp;]*, (\d+\.\d+)""),"""")
"),"")</f>
        <v/>
      </c>
      <c r="H681" s="3"/>
      <c r="I681" s="3" t="str">
        <f aca="false">IFERROR(__xludf.dummyfunction("if($T681&lt;&gt;"""",REGEXEXTRACT(SUBSTITUTE ($T681,I$1&amp;"" CE"",""""), I$1&amp;""[\w &amp;]*, (\d+\.\d+)""),"""")
"),"")</f>
        <v/>
      </c>
      <c r="J681" s="3" t="str">
        <f aca="false">IFERROR(__xludf.dummyfunction("if($T681&lt;&gt;"""",REGEXEXTRACT($T681, J$1&amp;""[\w &amp;]*, (\d+\.\d+)""),"""")
"),"")</f>
        <v/>
      </c>
      <c r="K681" s="3"/>
      <c r="L681" s="3" t="str">
        <f aca="false">IFERROR(__xludf.dummyfunction("if($T681&lt;&gt;"""",REGEXEXTRACT(SUBSTITUTE ($T681,L$1&amp;"" CE"",""""), L$1&amp;""[\w &amp;]*, (\d+\.\d+)""),"""")
"),"")</f>
        <v/>
      </c>
      <c r="M681" s="3" t="str">
        <f aca="false">IFERROR(__xludf.dummyfunction("if($T681&lt;&gt;"""",REGEXEXTRACT($T681, M$1&amp;""[\w &amp;]*, (\d+\.\d+)""),"""")
"),"")</f>
        <v/>
      </c>
      <c r="N681" s="3" t="str">
        <f aca="false">IFERROR(__xludf.dummyfunction("if($T681&lt;&gt;"""",REGEXEXTRACT(SUBSTITUTE ($T681,N$1&amp;"" CE"",""""), N$1&amp;""[\w &amp;]*, (\d+\.\d+)""),"""")
"),"")</f>
        <v/>
      </c>
      <c r="O681" s="3" t="str">
        <f aca="false">IFERROR(__xludf.dummyfunction("if($T681&lt;&gt;"""",REGEXEXTRACT($T681, O$1&amp;""[\w &amp;]*, (\d+\.\d+)""),"""")
"),"")</f>
        <v/>
      </c>
      <c r="P681" s="2"/>
      <c r="Q681" s="2"/>
      <c r="R681" s="2"/>
      <c r="S681" s="2"/>
      <c r="T681" s="5"/>
      <c r="U681" s="5"/>
    </row>
    <row r="682" customFormat="false" ht="15.75" hidden="false" customHeight="false" outlineLevel="0" collapsed="false">
      <c r="A682" s="4"/>
      <c r="B682" s="2"/>
      <c r="C682" s="2"/>
      <c r="D682" s="2"/>
      <c r="E682" s="2"/>
      <c r="F682" s="3" t="str">
        <f aca="false">IFERROR(__xludf.dummyfunction("if($T682&lt;&gt;"""",REGEXEXTRACT(SUBSTITUTE ($T682,F$1&amp;"" CE"",""""), F$1&amp;""[\w &amp;]*, (\d+\.\d+)""),"""")
"),"")</f>
        <v/>
      </c>
      <c r="G682" s="3" t="str">
        <f aca="false">IFERROR(__xludf.dummyfunction("if($T682&lt;&gt;"""",REGEXEXTRACT($T682, G$1&amp;""[\w &amp;]*, (\d+\.\d+)""),"""")
"),"")</f>
        <v/>
      </c>
      <c r="H682" s="3"/>
      <c r="I682" s="3" t="str">
        <f aca="false">IFERROR(__xludf.dummyfunction("if($T682&lt;&gt;"""",REGEXEXTRACT(SUBSTITUTE ($T682,I$1&amp;"" CE"",""""), I$1&amp;""[\w &amp;]*, (\d+\.\d+)""),"""")
"),"")</f>
        <v/>
      </c>
      <c r="J682" s="3" t="str">
        <f aca="false">IFERROR(__xludf.dummyfunction("if($T682&lt;&gt;"""",REGEXEXTRACT($T682, J$1&amp;""[\w &amp;]*, (\d+\.\d+)""),"""")
"),"")</f>
        <v/>
      </c>
      <c r="K682" s="3"/>
      <c r="L682" s="3" t="str">
        <f aca="false">IFERROR(__xludf.dummyfunction("if($T682&lt;&gt;"""",REGEXEXTRACT(SUBSTITUTE ($T682,L$1&amp;"" CE"",""""), L$1&amp;""[\w &amp;]*, (\d+\.\d+)""),"""")
"),"")</f>
        <v/>
      </c>
      <c r="M682" s="3" t="str">
        <f aca="false">IFERROR(__xludf.dummyfunction("if($T682&lt;&gt;"""",REGEXEXTRACT($T682, M$1&amp;""[\w &amp;]*, (\d+\.\d+)""),"""")
"),"")</f>
        <v/>
      </c>
      <c r="N682" s="3" t="str">
        <f aca="false">IFERROR(__xludf.dummyfunction("if($T682&lt;&gt;"""",REGEXEXTRACT(SUBSTITUTE ($T682,N$1&amp;"" CE"",""""), N$1&amp;""[\w &amp;]*, (\d+\.\d+)""),"""")
"),"")</f>
        <v/>
      </c>
      <c r="O682" s="3" t="str">
        <f aca="false">IFERROR(__xludf.dummyfunction("if($T682&lt;&gt;"""",REGEXEXTRACT($T682, O$1&amp;""[\w &amp;]*, (\d+\.\d+)""),"""")
"),"")</f>
        <v/>
      </c>
      <c r="P682" s="2"/>
      <c r="Q682" s="2"/>
      <c r="R682" s="2"/>
      <c r="S682" s="2"/>
      <c r="T682" s="5"/>
      <c r="U682" s="5"/>
    </row>
    <row r="683" customFormat="false" ht="15.75" hidden="false" customHeight="false" outlineLevel="0" collapsed="false">
      <c r="A683" s="4"/>
      <c r="B683" s="2"/>
      <c r="C683" s="2"/>
      <c r="D683" s="2"/>
      <c r="E683" s="2"/>
      <c r="F683" s="3" t="str">
        <f aca="false">IFERROR(__xludf.dummyfunction("if($T683&lt;&gt;"""",REGEXEXTRACT(SUBSTITUTE ($T683,F$1&amp;"" CE"",""""), F$1&amp;""[\w &amp;]*, (\d+\.\d+)""),"""")
"),"")</f>
        <v/>
      </c>
      <c r="G683" s="3" t="str">
        <f aca="false">IFERROR(__xludf.dummyfunction("if($T683&lt;&gt;"""",REGEXEXTRACT($T683, G$1&amp;""[\w &amp;]*, (\d+\.\d+)""),"""")
"),"")</f>
        <v/>
      </c>
      <c r="H683" s="3"/>
      <c r="I683" s="3" t="str">
        <f aca="false">IFERROR(__xludf.dummyfunction("if($T683&lt;&gt;"""",REGEXEXTRACT(SUBSTITUTE ($T683,I$1&amp;"" CE"",""""), I$1&amp;""[\w &amp;]*, (\d+\.\d+)""),"""")
"),"")</f>
        <v/>
      </c>
      <c r="J683" s="3" t="str">
        <f aca="false">IFERROR(__xludf.dummyfunction("if($T683&lt;&gt;"""",REGEXEXTRACT($T683, J$1&amp;""[\w &amp;]*, (\d+\.\d+)""),"""")
"),"")</f>
        <v/>
      </c>
      <c r="K683" s="3"/>
      <c r="L683" s="3" t="str">
        <f aca="false">IFERROR(__xludf.dummyfunction("if($T683&lt;&gt;"""",REGEXEXTRACT(SUBSTITUTE ($T683,L$1&amp;"" CE"",""""), L$1&amp;""[\w &amp;]*, (\d+\.\d+)""),"""")
"),"")</f>
        <v/>
      </c>
      <c r="M683" s="3" t="str">
        <f aca="false">IFERROR(__xludf.dummyfunction("if($T683&lt;&gt;"""",REGEXEXTRACT($T683, M$1&amp;""[\w &amp;]*, (\d+\.\d+)""),"""")
"),"")</f>
        <v/>
      </c>
      <c r="N683" s="3" t="str">
        <f aca="false">IFERROR(__xludf.dummyfunction("if($T683&lt;&gt;"""",REGEXEXTRACT(SUBSTITUTE ($T683,N$1&amp;"" CE"",""""), N$1&amp;""[\w &amp;]*, (\d+\.\d+)""),"""")
"),"")</f>
        <v/>
      </c>
      <c r="O683" s="3" t="str">
        <f aca="false">IFERROR(__xludf.dummyfunction("if($T683&lt;&gt;"""",REGEXEXTRACT($T683, O$1&amp;""[\w &amp;]*, (\d+\.\d+)""),"""")
"),"")</f>
        <v/>
      </c>
      <c r="P683" s="2"/>
      <c r="Q683" s="2"/>
      <c r="R683" s="2"/>
      <c r="S683" s="2"/>
      <c r="T683" s="5"/>
      <c r="U683" s="5"/>
    </row>
    <row r="684" customFormat="false" ht="15.75" hidden="false" customHeight="false" outlineLevel="0" collapsed="false">
      <c r="A684" s="4"/>
      <c r="B684" s="2"/>
      <c r="C684" s="2"/>
      <c r="D684" s="2"/>
      <c r="E684" s="2"/>
      <c r="F684" s="3" t="str">
        <f aca="false">IFERROR(__xludf.dummyfunction("if($T684&lt;&gt;"""",REGEXEXTRACT(SUBSTITUTE ($T684,F$1&amp;"" CE"",""""), F$1&amp;""[\w &amp;]*, (\d+\.\d+)""),"""")
"),"")</f>
        <v/>
      </c>
      <c r="G684" s="3" t="str">
        <f aca="false">IFERROR(__xludf.dummyfunction("if($T684&lt;&gt;"""",REGEXEXTRACT($T684, G$1&amp;""[\w &amp;]*, (\d+\.\d+)""),"""")
"),"")</f>
        <v/>
      </c>
      <c r="H684" s="3"/>
      <c r="I684" s="3" t="str">
        <f aca="false">IFERROR(__xludf.dummyfunction("if($T684&lt;&gt;"""",REGEXEXTRACT(SUBSTITUTE ($T684,I$1&amp;"" CE"",""""), I$1&amp;""[\w &amp;]*, (\d+\.\d+)""),"""")
"),"")</f>
        <v/>
      </c>
      <c r="J684" s="3" t="str">
        <f aca="false">IFERROR(__xludf.dummyfunction("if($T684&lt;&gt;"""",REGEXEXTRACT($T684, J$1&amp;""[\w &amp;]*, (\d+\.\d+)""),"""")
"),"")</f>
        <v/>
      </c>
      <c r="K684" s="3"/>
      <c r="L684" s="3" t="str">
        <f aca="false">IFERROR(__xludf.dummyfunction("if($T684&lt;&gt;"""",REGEXEXTRACT(SUBSTITUTE ($T684,L$1&amp;"" CE"",""""), L$1&amp;""[\w &amp;]*, (\d+\.\d+)""),"""")
"),"")</f>
        <v/>
      </c>
      <c r="M684" s="3" t="str">
        <f aca="false">IFERROR(__xludf.dummyfunction("if($T684&lt;&gt;"""",REGEXEXTRACT($T684, M$1&amp;""[\w &amp;]*, (\d+\.\d+)""),"""")
"),"")</f>
        <v/>
      </c>
      <c r="N684" s="3" t="str">
        <f aca="false">IFERROR(__xludf.dummyfunction("if($T684&lt;&gt;"""",REGEXEXTRACT(SUBSTITUTE ($T684,N$1&amp;"" CE"",""""), N$1&amp;""[\w &amp;]*, (\d+\.\d+)""),"""")
"),"")</f>
        <v/>
      </c>
      <c r="O684" s="3" t="str">
        <f aca="false">IFERROR(__xludf.dummyfunction("if($T684&lt;&gt;"""",REGEXEXTRACT($T684, O$1&amp;""[\w &amp;]*, (\d+\.\d+)""),"""")
"),"")</f>
        <v/>
      </c>
      <c r="P684" s="2"/>
      <c r="Q684" s="2"/>
      <c r="R684" s="2"/>
      <c r="S684" s="2"/>
      <c r="T684" s="5"/>
      <c r="U684" s="5"/>
    </row>
    <row r="685" customFormat="false" ht="15.75" hidden="false" customHeight="false" outlineLevel="0" collapsed="false">
      <c r="A685" s="4"/>
      <c r="B685" s="2"/>
      <c r="C685" s="2"/>
      <c r="D685" s="2"/>
      <c r="E685" s="2"/>
      <c r="F685" s="3" t="str">
        <f aca="false">IFERROR(__xludf.dummyfunction("if($T685&lt;&gt;"""",REGEXEXTRACT(SUBSTITUTE ($T685,F$1&amp;"" CE"",""""), F$1&amp;""[\w &amp;]*, (\d+\.\d+)""),"""")
"),"")</f>
        <v/>
      </c>
      <c r="G685" s="3" t="str">
        <f aca="false">IFERROR(__xludf.dummyfunction("if($T685&lt;&gt;"""",REGEXEXTRACT($T685, G$1&amp;""[\w &amp;]*, (\d+\.\d+)""),"""")
"),"")</f>
        <v/>
      </c>
      <c r="H685" s="3"/>
      <c r="I685" s="3" t="str">
        <f aca="false">IFERROR(__xludf.dummyfunction("if($T685&lt;&gt;"""",REGEXEXTRACT(SUBSTITUTE ($T685,I$1&amp;"" CE"",""""), I$1&amp;""[\w &amp;]*, (\d+\.\d+)""),"""")
"),"")</f>
        <v/>
      </c>
      <c r="J685" s="3" t="str">
        <f aca="false">IFERROR(__xludf.dummyfunction("if($T685&lt;&gt;"""",REGEXEXTRACT($T685, J$1&amp;""[\w &amp;]*, (\d+\.\d+)""),"""")
"),"")</f>
        <v/>
      </c>
      <c r="K685" s="3"/>
      <c r="L685" s="3" t="str">
        <f aca="false">IFERROR(__xludf.dummyfunction("if($T685&lt;&gt;"""",REGEXEXTRACT(SUBSTITUTE ($T685,L$1&amp;"" CE"",""""), L$1&amp;""[\w &amp;]*, (\d+\.\d+)""),"""")
"),"")</f>
        <v/>
      </c>
      <c r="M685" s="3" t="str">
        <f aca="false">IFERROR(__xludf.dummyfunction("if($T685&lt;&gt;"""",REGEXEXTRACT($T685, M$1&amp;""[\w &amp;]*, (\d+\.\d+)""),"""")
"),"")</f>
        <v/>
      </c>
      <c r="N685" s="3" t="str">
        <f aca="false">IFERROR(__xludf.dummyfunction("if($T685&lt;&gt;"""",REGEXEXTRACT(SUBSTITUTE ($T685,N$1&amp;"" CE"",""""), N$1&amp;""[\w &amp;]*, (\d+\.\d+)""),"""")
"),"")</f>
        <v/>
      </c>
      <c r="O685" s="3" t="str">
        <f aca="false">IFERROR(__xludf.dummyfunction("if($T685&lt;&gt;"""",REGEXEXTRACT($T685, O$1&amp;""[\w &amp;]*, (\d+\.\d+)""),"""")
"),"")</f>
        <v/>
      </c>
      <c r="P685" s="2"/>
      <c r="Q685" s="2"/>
      <c r="R685" s="2"/>
      <c r="S685" s="2"/>
      <c r="T685" s="5"/>
      <c r="U685" s="5"/>
    </row>
    <row r="686" customFormat="false" ht="15.75" hidden="false" customHeight="false" outlineLevel="0" collapsed="false">
      <c r="A686" s="4"/>
      <c r="B686" s="2"/>
      <c r="C686" s="2"/>
      <c r="D686" s="2"/>
      <c r="E686" s="2"/>
      <c r="F686" s="3" t="str">
        <f aca="false">IFERROR(__xludf.dummyfunction("if($T686&lt;&gt;"""",REGEXEXTRACT(SUBSTITUTE ($T686,F$1&amp;"" CE"",""""), F$1&amp;""[\w &amp;]*, (\d+\.\d+)""),"""")
"),"")</f>
        <v/>
      </c>
      <c r="G686" s="3" t="str">
        <f aca="false">IFERROR(__xludf.dummyfunction("if($T686&lt;&gt;"""",REGEXEXTRACT($T686, G$1&amp;""[\w &amp;]*, (\d+\.\d+)""),"""")
"),"")</f>
        <v/>
      </c>
      <c r="H686" s="3"/>
      <c r="I686" s="3" t="str">
        <f aca="false">IFERROR(__xludf.dummyfunction("if($T686&lt;&gt;"""",REGEXEXTRACT(SUBSTITUTE ($T686,I$1&amp;"" CE"",""""), I$1&amp;""[\w &amp;]*, (\d+\.\d+)""),"""")
"),"")</f>
        <v/>
      </c>
      <c r="J686" s="3" t="str">
        <f aca="false">IFERROR(__xludf.dummyfunction("if($T686&lt;&gt;"""",REGEXEXTRACT($T686, J$1&amp;""[\w &amp;]*, (\d+\.\d+)""),"""")
"),"")</f>
        <v/>
      </c>
      <c r="K686" s="3"/>
      <c r="L686" s="3" t="str">
        <f aca="false">IFERROR(__xludf.dummyfunction("if($T686&lt;&gt;"""",REGEXEXTRACT(SUBSTITUTE ($T686,L$1&amp;"" CE"",""""), L$1&amp;""[\w &amp;]*, (\d+\.\d+)""),"""")
"),"")</f>
        <v/>
      </c>
      <c r="M686" s="3" t="str">
        <f aca="false">IFERROR(__xludf.dummyfunction("if($T686&lt;&gt;"""",REGEXEXTRACT($T686, M$1&amp;""[\w &amp;]*, (\d+\.\d+)""),"""")
"),"")</f>
        <v/>
      </c>
      <c r="N686" s="3" t="str">
        <f aca="false">IFERROR(__xludf.dummyfunction("if($T686&lt;&gt;"""",REGEXEXTRACT(SUBSTITUTE ($T686,N$1&amp;"" CE"",""""), N$1&amp;""[\w &amp;]*, (\d+\.\d+)""),"""")
"),"")</f>
        <v/>
      </c>
      <c r="O686" s="3" t="str">
        <f aca="false">IFERROR(__xludf.dummyfunction("if($T686&lt;&gt;"""",REGEXEXTRACT($T686, O$1&amp;""[\w &amp;]*, (\d+\.\d+)""),"""")
"),"")</f>
        <v/>
      </c>
      <c r="P686" s="2"/>
      <c r="Q686" s="2"/>
      <c r="R686" s="2"/>
      <c r="S686" s="2"/>
      <c r="T686" s="5"/>
      <c r="U686" s="5"/>
    </row>
    <row r="687" customFormat="false" ht="15.75" hidden="false" customHeight="false" outlineLevel="0" collapsed="false">
      <c r="A687" s="4"/>
      <c r="B687" s="2"/>
      <c r="C687" s="2"/>
      <c r="D687" s="2"/>
      <c r="E687" s="2"/>
      <c r="F687" s="3" t="str">
        <f aca="false">IFERROR(__xludf.dummyfunction("if($T687&lt;&gt;"""",REGEXEXTRACT(SUBSTITUTE ($T687,F$1&amp;"" CE"",""""), F$1&amp;""[\w &amp;]*, (\d+\.\d+)""),"""")
"),"")</f>
        <v/>
      </c>
      <c r="G687" s="3" t="str">
        <f aca="false">IFERROR(__xludf.dummyfunction("if($T687&lt;&gt;"""",REGEXEXTRACT($T687, G$1&amp;""[\w &amp;]*, (\d+\.\d+)""),"""")
"),"")</f>
        <v/>
      </c>
      <c r="H687" s="3"/>
      <c r="I687" s="3" t="str">
        <f aca="false">IFERROR(__xludf.dummyfunction("if($T687&lt;&gt;"""",REGEXEXTRACT(SUBSTITUTE ($T687,I$1&amp;"" CE"",""""), I$1&amp;""[\w &amp;]*, (\d+\.\d+)""),"""")
"),"")</f>
        <v/>
      </c>
      <c r="J687" s="3" t="str">
        <f aca="false">IFERROR(__xludf.dummyfunction("if($T687&lt;&gt;"""",REGEXEXTRACT($T687, J$1&amp;""[\w &amp;]*, (\d+\.\d+)""),"""")
"),"")</f>
        <v/>
      </c>
      <c r="K687" s="3"/>
      <c r="L687" s="3" t="str">
        <f aca="false">IFERROR(__xludf.dummyfunction("if($T687&lt;&gt;"""",REGEXEXTRACT(SUBSTITUTE ($T687,L$1&amp;"" CE"",""""), L$1&amp;""[\w &amp;]*, (\d+\.\d+)""),"""")
"),"")</f>
        <v/>
      </c>
      <c r="M687" s="3" t="str">
        <f aca="false">IFERROR(__xludf.dummyfunction("if($T687&lt;&gt;"""",REGEXEXTRACT($T687, M$1&amp;""[\w &amp;]*, (\d+\.\d+)""),"""")
"),"")</f>
        <v/>
      </c>
      <c r="N687" s="3" t="str">
        <f aca="false">IFERROR(__xludf.dummyfunction("if($T687&lt;&gt;"""",REGEXEXTRACT(SUBSTITUTE ($T687,N$1&amp;"" CE"",""""), N$1&amp;""[\w &amp;]*, (\d+\.\d+)""),"""")
"),"")</f>
        <v/>
      </c>
      <c r="O687" s="3" t="str">
        <f aca="false">IFERROR(__xludf.dummyfunction("if($T687&lt;&gt;"""",REGEXEXTRACT($T687, O$1&amp;""[\w &amp;]*, (\d+\.\d+)""),"""")
"),"")</f>
        <v/>
      </c>
      <c r="P687" s="2"/>
      <c r="Q687" s="2"/>
      <c r="R687" s="2"/>
      <c r="S687" s="2"/>
      <c r="T687" s="5"/>
      <c r="U687" s="5"/>
    </row>
    <row r="688" customFormat="false" ht="15.75" hidden="false" customHeight="false" outlineLevel="0" collapsed="false">
      <c r="A688" s="4"/>
      <c r="B688" s="2"/>
      <c r="C688" s="2"/>
      <c r="D688" s="2"/>
      <c r="E688" s="2"/>
      <c r="F688" s="3" t="str">
        <f aca="false">IFERROR(__xludf.dummyfunction("if($T688&lt;&gt;"""",REGEXEXTRACT(SUBSTITUTE ($T688,F$1&amp;"" CE"",""""), F$1&amp;""[\w &amp;]*, (\d+\.\d+)""),"""")
"),"")</f>
        <v/>
      </c>
      <c r="G688" s="3" t="str">
        <f aca="false">IFERROR(__xludf.dummyfunction("if($T688&lt;&gt;"""",REGEXEXTRACT($T688, G$1&amp;""[\w &amp;]*, (\d+\.\d+)""),"""")
"),"")</f>
        <v/>
      </c>
      <c r="H688" s="3"/>
      <c r="I688" s="3" t="str">
        <f aca="false">IFERROR(__xludf.dummyfunction("if($T688&lt;&gt;"""",REGEXEXTRACT(SUBSTITUTE ($T688,I$1&amp;"" CE"",""""), I$1&amp;""[\w &amp;]*, (\d+\.\d+)""),"""")
"),"")</f>
        <v/>
      </c>
      <c r="J688" s="3" t="str">
        <f aca="false">IFERROR(__xludf.dummyfunction("if($T688&lt;&gt;"""",REGEXEXTRACT($T688, J$1&amp;""[\w &amp;]*, (\d+\.\d+)""),"""")
"),"")</f>
        <v/>
      </c>
      <c r="K688" s="3"/>
      <c r="L688" s="3" t="str">
        <f aca="false">IFERROR(__xludf.dummyfunction("if($T688&lt;&gt;"""",REGEXEXTRACT(SUBSTITUTE ($T688,L$1&amp;"" CE"",""""), L$1&amp;""[\w &amp;]*, (\d+\.\d+)""),"""")
"),"")</f>
        <v/>
      </c>
      <c r="M688" s="3" t="str">
        <f aca="false">IFERROR(__xludf.dummyfunction("if($T688&lt;&gt;"""",REGEXEXTRACT($T688, M$1&amp;""[\w &amp;]*, (\d+\.\d+)""),"""")
"),"")</f>
        <v/>
      </c>
      <c r="N688" s="3" t="str">
        <f aca="false">IFERROR(__xludf.dummyfunction("if($T688&lt;&gt;"""",REGEXEXTRACT(SUBSTITUTE ($T688,N$1&amp;"" CE"",""""), N$1&amp;""[\w &amp;]*, (\d+\.\d+)""),"""")
"),"")</f>
        <v/>
      </c>
      <c r="O688" s="3" t="str">
        <f aca="false">IFERROR(__xludf.dummyfunction("if($T688&lt;&gt;"""",REGEXEXTRACT($T688, O$1&amp;""[\w &amp;]*, (\d+\.\d+)""),"""")
"),"")</f>
        <v/>
      </c>
      <c r="P688" s="2"/>
      <c r="Q688" s="2"/>
      <c r="R688" s="2"/>
      <c r="S688" s="2"/>
      <c r="T688" s="5"/>
      <c r="U688" s="5"/>
    </row>
    <row r="689" customFormat="false" ht="15.75" hidden="false" customHeight="false" outlineLevel="0" collapsed="false">
      <c r="A689" s="4"/>
      <c r="B689" s="2"/>
      <c r="C689" s="2"/>
      <c r="D689" s="2"/>
      <c r="E689" s="2"/>
      <c r="F689" s="3" t="str">
        <f aca="false">IFERROR(__xludf.dummyfunction("if($T689&lt;&gt;"""",REGEXEXTRACT(SUBSTITUTE ($T689,F$1&amp;"" CE"",""""), F$1&amp;""[\w &amp;]*, (\d+\.\d+)""),"""")
"),"")</f>
        <v/>
      </c>
      <c r="G689" s="3" t="str">
        <f aca="false">IFERROR(__xludf.dummyfunction("if($T689&lt;&gt;"""",REGEXEXTRACT($T689, G$1&amp;""[\w &amp;]*, (\d+\.\d+)""),"""")
"),"")</f>
        <v/>
      </c>
      <c r="H689" s="3"/>
      <c r="I689" s="3" t="str">
        <f aca="false">IFERROR(__xludf.dummyfunction("if($T689&lt;&gt;"""",REGEXEXTRACT(SUBSTITUTE ($T689,I$1&amp;"" CE"",""""), I$1&amp;""[\w &amp;]*, (\d+\.\d+)""),"""")
"),"")</f>
        <v/>
      </c>
      <c r="J689" s="3" t="str">
        <f aca="false">IFERROR(__xludf.dummyfunction("if($T689&lt;&gt;"""",REGEXEXTRACT($T689, J$1&amp;""[\w &amp;]*, (\d+\.\d+)""),"""")
"),"")</f>
        <v/>
      </c>
      <c r="K689" s="3"/>
      <c r="L689" s="3" t="str">
        <f aca="false">IFERROR(__xludf.dummyfunction("if($T689&lt;&gt;"""",REGEXEXTRACT(SUBSTITUTE ($T689,L$1&amp;"" CE"",""""), L$1&amp;""[\w &amp;]*, (\d+\.\d+)""),"""")
"),"")</f>
        <v/>
      </c>
      <c r="M689" s="3" t="str">
        <f aca="false">IFERROR(__xludf.dummyfunction("if($T689&lt;&gt;"""",REGEXEXTRACT($T689, M$1&amp;""[\w &amp;]*, (\d+\.\d+)""),"""")
"),"")</f>
        <v/>
      </c>
      <c r="N689" s="3" t="str">
        <f aca="false">IFERROR(__xludf.dummyfunction("if($T689&lt;&gt;"""",REGEXEXTRACT(SUBSTITUTE ($T689,N$1&amp;"" CE"",""""), N$1&amp;""[\w &amp;]*, (\d+\.\d+)""),"""")
"),"")</f>
        <v/>
      </c>
      <c r="O689" s="3" t="str">
        <f aca="false">IFERROR(__xludf.dummyfunction("if($T689&lt;&gt;"""",REGEXEXTRACT($T689, O$1&amp;""[\w &amp;]*, (\d+\.\d+)""),"""")
"),"")</f>
        <v/>
      </c>
      <c r="P689" s="2"/>
      <c r="Q689" s="2"/>
      <c r="R689" s="2"/>
      <c r="S689" s="2"/>
      <c r="T689" s="5"/>
      <c r="U689" s="5"/>
    </row>
    <row r="690" customFormat="false" ht="15.75" hidden="false" customHeight="false" outlineLevel="0" collapsed="false">
      <c r="A690" s="4"/>
      <c r="B690" s="2"/>
      <c r="C690" s="2"/>
      <c r="D690" s="2"/>
      <c r="E690" s="2"/>
      <c r="F690" s="3" t="str">
        <f aca="false">IFERROR(__xludf.dummyfunction("if($T690&lt;&gt;"""",REGEXEXTRACT(SUBSTITUTE ($T690,F$1&amp;"" CE"",""""), F$1&amp;""[\w &amp;]*, (\d+\.\d+)""),"""")
"),"")</f>
        <v/>
      </c>
      <c r="G690" s="3" t="str">
        <f aca="false">IFERROR(__xludf.dummyfunction("if($T690&lt;&gt;"""",REGEXEXTRACT($T690, G$1&amp;""[\w &amp;]*, (\d+\.\d+)""),"""")
"),"")</f>
        <v/>
      </c>
      <c r="H690" s="3"/>
      <c r="I690" s="3" t="str">
        <f aca="false">IFERROR(__xludf.dummyfunction("if($T690&lt;&gt;"""",REGEXEXTRACT(SUBSTITUTE ($T690,I$1&amp;"" CE"",""""), I$1&amp;""[\w &amp;]*, (\d+\.\d+)""),"""")
"),"")</f>
        <v/>
      </c>
      <c r="J690" s="3" t="str">
        <f aca="false">IFERROR(__xludf.dummyfunction("if($T690&lt;&gt;"""",REGEXEXTRACT($T690, J$1&amp;""[\w &amp;]*, (\d+\.\d+)""),"""")
"),"")</f>
        <v/>
      </c>
      <c r="K690" s="3"/>
      <c r="L690" s="3" t="str">
        <f aca="false">IFERROR(__xludf.dummyfunction("if($T690&lt;&gt;"""",REGEXEXTRACT(SUBSTITUTE ($T690,L$1&amp;"" CE"",""""), L$1&amp;""[\w &amp;]*, (\d+\.\d+)""),"""")
"),"")</f>
        <v/>
      </c>
      <c r="M690" s="3" t="str">
        <f aca="false">IFERROR(__xludf.dummyfunction("if($T690&lt;&gt;"""",REGEXEXTRACT($T690, M$1&amp;""[\w &amp;]*, (\d+\.\d+)""),"""")
"),"")</f>
        <v/>
      </c>
      <c r="N690" s="3" t="str">
        <f aca="false">IFERROR(__xludf.dummyfunction("if($T690&lt;&gt;"""",REGEXEXTRACT(SUBSTITUTE ($T690,N$1&amp;"" CE"",""""), N$1&amp;""[\w &amp;]*, (\d+\.\d+)""),"""")
"),"")</f>
        <v/>
      </c>
      <c r="O690" s="3" t="str">
        <f aca="false">IFERROR(__xludf.dummyfunction("if($T690&lt;&gt;"""",REGEXEXTRACT($T690, O$1&amp;""[\w &amp;]*, (\d+\.\d+)""),"""")
"),"")</f>
        <v/>
      </c>
      <c r="P690" s="2"/>
      <c r="Q690" s="2"/>
      <c r="R690" s="2"/>
      <c r="S690" s="2"/>
      <c r="T690" s="5"/>
      <c r="U690" s="5"/>
    </row>
    <row r="691" customFormat="false" ht="15.75" hidden="false" customHeight="false" outlineLevel="0" collapsed="false">
      <c r="A691" s="4"/>
      <c r="B691" s="2"/>
      <c r="C691" s="2"/>
      <c r="D691" s="2"/>
      <c r="E691" s="2"/>
      <c r="F691" s="3" t="str">
        <f aca="false">IFERROR(__xludf.dummyfunction("if($T691&lt;&gt;"""",REGEXEXTRACT(SUBSTITUTE ($T691,F$1&amp;"" CE"",""""), F$1&amp;""[\w &amp;]*, (\d+\.\d+)""),"""")
"),"")</f>
        <v/>
      </c>
      <c r="G691" s="3" t="str">
        <f aca="false">IFERROR(__xludf.dummyfunction("if($T691&lt;&gt;"""",REGEXEXTRACT($T691, G$1&amp;""[\w &amp;]*, (\d+\.\d+)""),"""")
"),"")</f>
        <v/>
      </c>
      <c r="H691" s="3"/>
      <c r="I691" s="3" t="str">
        <f aca="false">IFERROR(__xludf.dummyfunction("if($T691&lt;&gt;"""",REGEXEXTRACT(SUBSTITUTE ($T691,I$1&amp;"" CE"",""""), I$1&amp;""[\w &amp;]*, (\d+\.\d+)""),"""")
"),"")</f>
        <v/>
      </c>
      <c r="J691" s="3" t="str">
        <f aca="false">IFERROR(__xludf.dummyfunction("if($T691&lt;&gt;"""",REGEXEXTRACT($T691, J$1&amp;""[\w &amp;]*, (\d+\.\d+)""),"""")
"),"")</f>
        <v/>
      </c>
      <c r="K691" s="3"/>
      <c r="L691" s="3" t="str">
        <f aca="false">IFERROR(__xludf.dummyfunction("if($T691&lt;&gt;"""",REGEXEXTRACT(SUBSTITUTE ($T691,L$1&amp;"" CE"",""""), L$1&amp;""[\w &amp;]*, (\d+\.\d+)""),"""")
"),"")</f>
        <v/>
      </c>
      <c r="M691" s="3" t="str">
        <f aca="false">IFERROR(__xludf.dummyfunction("if($T691&lt;&gt;"""",REGEXEXTRACT($T691, M$1&amp;""[\w &amp;]*, (\d+\.\d+)""),"""")
"),"")</f>
        <v/>
      </c>
      <c r="N691" s="3" t="str">
        <f aca="false">IFERROR(__xludf.dummyfunction("if($T691&lt;&gt;"""",REGEXEXTRACT(SUBSTITUTE ($T691,N$1&amp;"" CE"",""""), N$1&amp;""[\w &amp;]*, (\d+\.\d+)""),"""")
"),"")</f>
        <v/>
      </c>
      <c r="O691" s="3" t="str">
        <f aca="false">IFERROR(__xludf.dummyfunction("if($T691&lt;&gt;"""",REGEXEXTRACT($T691, O$1&amp;""[\w &amp;]*, (\d+\.\d+)""),"""")
"),"")</f>
        <v/>
      </c>
      <c r="P691" s="2"/>
      <c r="Q691" s="2"/>
      <c r="R691" s="2"/>
      <c r="S691" s="2"/>
      <c r="T691" s="5"/>
      <c r="U691" s="5"/>
    </row>
    <row r="692" customFormat="false" ht="15.75" hidden="false" customHeight="false" outlineLevel="0" collapsed="false">
      <c r="A692" s="4"/>
      <c r="B692" s="2"/>
      <c r="C692" s="2"/>
      <c r="D692" s="2"/>
      <c r="E692" s="2"/>
      <c r="F692" s="3" t="str">
        <f aca="false">IFERROR(__xludf.dummyfunction("if($T692&lt;&gt;"""",REGEXEXTRACT(SUBSTITUTE ($T692,F$1&amp;"" CE"",""""), F$1&amp;""[\w &amp;]*, (\d+\.\d+)""),"""")
"),"")</f>
        <v/>
      </c>
      <c r="G692" s="3" t="str">
        <f aca="false">IFERROR(__xludf.dummyfunction("if($T692&lt;&gt;"""",REGEXEXTRACT($T692, G$1&amp;""[\w &amp;]*, (\d+\.\d+)""),"""")
"),"")</f>
        <v/>
      </c>
      <c r="H692" s="3"/>
      <c r="I692" s="3" t="str">
        <f aca="false">IFERROR(__xludf.dummyfunction("if($T692&lt;&gt;"""",REGEXEXTRACT(SUBSTITUTE ($T692,I$1&amp;"" CE"",""""), I$1&amp;""[\w &amp;]*, (\d+\.\d+)""),"""")
"),"")</f>
        <v/>
      </c>
      <c r="J692" s="3" t="str">
        <f aca="false">IFERROR(__xludf.dummyfunction("if($T692&lt;&gt;"""",REGEXEXTRACT($T692, J$1&amp;""[\w &amp;]*, (\d+\.\d+)""),"""")
"),"")</f>
        <v/>
      </c>
      <c r="K692" s="3"/>
      <c r="L692" s="3" t="str">
        <f aca="false">IFERROR(__xludf.dummyfunction("if($T692&lt;&gt;"""",REGEXEXTRACT(SUBSTITUTE ($T692,L$1&amp;"" CE"",""""), L$1&amp;""[\w &amp;]*, (\d+\.\d+)""),"""")
"),"")</f>
        <v/>
      </c>
      <c r="M692" s="3" t="str">
        <f aca="false">IFERROR(__xludf.dummyfunction("if($T692&lt;&gt;"""",REGEXEXTRACT($T692, M$1&amp;""[\w &amp;]*, (\d+\.\d+)""),"""")
"),"")</f>
        <v/>
      </c>
      <c r="N692" s="3" t="str">
        <f aca="false">IFERROR(__xludf.dummyfunction("if($T692&lt;&gt;"""",REGEXEXTRACT(SUBSTITUTE ($T692,N$1&amp;"" CE"",""""), N$1&amp;""[\w &amp;]*, (\d+\.\d+)""),"""")
"),"")</f>
        <v/>
      </c>
      <c r="O692" s="3" t="str">
        <f aca="false">IFERROR(__xludf.dummyfunction("if($T692&lt;&gt;"""",REGEXEXTRACT($T692, O$1&amp;""[\w &amp;]*, (\d+\.\d+)""),"""")
"),"")</f>
        <v/>
      </c>
      <c r="P692" s="2"/>
      <c r="Q692" s="2"/>
      <c r="R692" s="2"/>
      <c r="S692" s="2"/>
      <c r="T692" s="5"/>
      <c r="U692" s="5"/>
    </row>
    <row r="693" customFormat="false" ht="15.75" hidden="false" customHeight="false" outlineLevel="0" collapsed="false">
      <c r="A693" s="4"/>
      <c r="B693" s="2"/>
      <c r="C693" s="2"/>
      <c r="D693" s="2"/>
      <c r="E693" s="2"/>
      <c r="F693" s="3" t="str">
        <f aca="false">IFERROR(__xludf.dummyfunction("if($T693&lt;&gt;"""",REGEXEXTRACT(SUBSTITUTE ($T693,F$1&amp;"" CE"",""""), F$1&amp;""[\w &amp;]*, (\d+\.\d+)""),"""")
"),"")</f>
        <v/>
      </c>
      <c r="G693" s="3" t="str">
        <f aca="false">IFERROR(__xludf.dummyfunction("if($T693&lt;&gt;"""",REGEXEXTRACT($T693, G$1&amp;""[\w &amp;]*, (\d+\.\d+)""),"""")
"),"")</f>
        <v/>
      </c>
      <c r="H693" s="3"/>
      <c r="I693" s="3" t="str">
        <f aca="false">IFERROR(__xludf.dummyfunction("if($T693&lt;&gt;"""",REGEXEXTRACT(SUBSTITUTE ($T693,I$1&amp;"" CE"",""""), I$1&amp;""[\w &amp;]*, (\d+\.\d+)""),"""")
"),"")</f>
        <v/>
      </c>
      <c r="J693" s="3" t="str">
        <f aca="false">IFERROR(__xludf.dummyfunction("if($T693&lt;&gt;"""",REGEXEXTRACT($T693, J$1&amp;""[\w &amp;]*, (\d+\.\d+)""),"""")
"),"")</f>
        <v/>
      </c>
      <c r="K693" s="3"/>
      <c r="L693" s="3" t="str">
        <f aca="false">IFERROR(__xludf.dummyfunction("if($T693&lt;&gt;"""",REGEXEXTRACT(SUBSTITUTE ($T693,L$1&amp;"" CE"",""""), L$1&amp;""[\w &amp;]*, (\d+\.\d+)""),"""")
"),"")</f>
        <v/>
      </c>
      <c r="M693" s="3" t="str">
        <f aca="false">IFERROR(__xludf.dummyfunction("if($T693&lt;&gt;"""",REGEXEXTRACT($T693, M$1&amp;""[\w &amp;]*, (\d+\.\d+)""),"""")
"),"")</f>
        <v/>
      </c>
      <c r="N693" s="3" t="str">
        <f aca="false">IFERROR(__xludf.dummyfunction("if($T693&lt;&gt;"""",REGEXEXTRACT(SUBSTITUTE ($T693,N$1&amp;"" CE"",""""), N$1&amp;""[\w &amp;]*, (\d+\.\d+)""),"""")
"),"")</f>
        <v/>
      </c>
      <c r="O693" s="3" t="str">
        <f aca="false">IFERROR(__xludf.dummyfunction("if($T693&lt;&gt;"""",REGEXEXTRACT($T693, O$1&amp;""[\w &amp;]*, (\d+\.\d+)""),"""")
"),"")</f>
        <v/>
      </c>
      <c r="P693" s="2"/>
      <c r="Q693" s="2"/>
      <c r="R693" s="2"/>
      <c r="S693" s="2"/>
      <c r="T693" s="5"/>
      <c r="U693" s="5"/>
    </row>
    <row r="694" customFormat="false" ht="15.75" hidden="false" customHeight="false" outlineLevel="0" collapsed="false">
      <c r="A694" s="4"/>
      <c r="B694" s="2"/>
      <c r="C694" s="2"/>
      <c r="D694" s="2"/>
      <c r="E694" s="2"/>
      <c r="F694" s="3" t="str">
        <f aca="false">IFERROR(__xludf.dummyfunction("if($T694&lt;&gt;"""",REGEXEXTRACT(SUBSTITUTE ($T694,F$1&amp;"" CE"",""""), F$1&amp;""[\w &amp;]*, (\d+\.\d+)""),"""")
"),"")</f>
        <v/>
      </c>
      <c r="G694" s="3" t="str">
        <f aca="false">IFERROR(__xludf.dummyfunction("if($T694&lt;&gt;"""",REGEXEXTRACT($T694, G$1&amp;""[\w &amp;]*, (\d+\.\d+)""),"""")
"),"")</f>
        <v/>
      </c>
      <c r="H694" s="3"/>
      <c r="I694" s="3" t="str">
        <f aca="false">IFERROR(__xludf.dummyfunction("if($T694&lt;&gt;"""",REGEXEXTRACT(SUBSTITUTE ($T694,I$1&amp;"" CE"",""""), I$1&amp;""[\w &amp;]*, (\d+\.\d+)""),"""")
"),"")</f>
        <v/>
      </c>
      <c r="J694" s="3" t="str">
        <f aca="false">IFERROR(__xludf.dummyfunction("if($T694&lt;&gt;"""",REGEXEXTRACT($T694, J$1&amp;""[\w &amp;]*, (\d+\.\d+)""),"""")
"),"")</f>
        <v/>
      </c>
      <c r="K694" s="3"/>
      <c r="L694" s="3" t="str">
        <f aca="false">IFERROR(__xludf.dummyfunction("if($T694&lt;&gt;"""",REGEXEXTRACT(SUBSTITUTE ($T694,L$1&amp;"" CE"",""""), L$1&amp;""[\w &amp;]*, (\d+\.\d+)""),"""")
"),"")</f>
        <v/>
      </c>
      <c r="M694" s="3" t="str">
        <f aca="false">IFERROR(__xludf.dummyfunction("if($T694&lt;&gt;"""",REGEXEXTRACT($T694, M$1&amp;""[\w &amp;]*, (\d+\.\d+)""),"""")
"),"")</f>
        <v/>
      </c>
      <c r="N694" s="3" t="str">
        <f aca="false">IFERROR(__xludf.dummyfunction("if($T694&lt;&gt;"""",REGEXEXTRACT(SUBSTITUTE ($T694,N$1&amp;"" CE"",""""), N$1&amp;""[\w &amp;]*, (\d+\.\d+)""),"""")
"),"")</f>
        <v/>
      </c>
      <c r="O694" s="3" t="str">
        <f aca="false">IFERROR(__xludf.dummyfunction("if($T694&lt;&gt;"""",REGEXEXTRACT($T694, O$1&amp;""[\w &amp;]*, (\d+\.\d+)""),"""")
"),"")</f>
        <v/>
      </c>
      <c r="P694" s="2"/>
      <c r="Q694" s="2"/>
      <c r="R694" s="2"/>
      <c r="S694" s="2"/>
      <c r="T694" s="5"/>
      <c r="U694" s="5"/>
    </row>
    <row r="695" customFormat="false" ht="15.75" hidden="false" customHeight="false" outlineLevel="0" collapsed="false">
      <c r="A695" s="4"/>
      <c r="B695" s="2"/>
      <c r="C695" s="2"/>
      <c r="D695" s="2"/>
      <c r="E695" s="2"/>
      <c r="F695" s="3" t="str">
        <f aca="false">IFERROR(__xludf.dummyfunction("if($T695&lt;&gt;"""",REGEXEXTRACT(SUBSTITUTE ($T695,F$1&amp;"" CE"",""""), F$1&amp;""[\w &amp;]*, (\d+\.\d+)""),"""")
"),"")</f>
        <v/>
      </c>
      <c r="G695" s="3" t="str">
        <f aca="false">IFERROR(__xludf.dummyfunction("if($T695&lt;&gt;"""",REGEXEXTRACT($T695, G$1&amp;""[\w &amp;]*, (\d+\.\d+)""),"""")
"),"")</f>
        <v/>
      </c>
      <c r="H695" s="3"/>
      <c r="I695" s="3" t="str">
        <f aca="false">IFERROR(__xludf.dummyfunction("if($T695&lt;&gt;"""",REGEXEXTRACT(SUBSTITUTE ($T695,I$1&amp;"" CE"",""""), I$1&amp;""[\w &amp;]*, (\d+\.\d+)""),"""")
"),"")</f>
        <v/>
      </c>
      <c r="J695" s="3" t="str">
        <f aca="false">IFERROR(__xludf.dummyfunction("if($T695&lt;&gt;"""",REGEXEXTRACT($T695, J$1&amp;""[\w &amp;]*, (\d+\.\d+)""),"""")
"),"")</f>
        <v/>
      </c>
      <c r="K695" s="3"/>
      <c r="L695" s="3" t="str">
        <f aca="false">IFERROR(__xludf.dummyfunction("if($T695&lt;&gt;"""",REGEXEXTRACT(SUBSTITUTE ($T695,L$1&amp;"" CE"",""""), L$1&amp;""[\w &amp;]*, (\d+\.\d+)""),"""")
"),"")</f>
        <v/>
      </c>
      <c r="M695" s="3" t="str">
        <f aca="false">IFERROR(__xludf.dummyfunction("if($T695&lt;&gt;"""",REGEXEXTRACT($T695, M$1&amp;""[\w &amp;]*, (\d+\.\d+)""),"""")
"),"")</f>
        <v/>
      </c>
      <c r="N695" s="3" t="str">
        <f aca="false">IFERROR(__xludf.dummyfunction("if($T695&lt;&gt;"""",REGEXEXTRACT(SUBSTITUTE ($T695,N$1&amp;"" CE"",""""), N$1&amp;""[\w &amp;]*, (\d+\.\d+)""),"""")
"),"")</f>
        <v/>
      </c>
      <c r="O695" s="3" t="str">
        <f aca="false">IFERROR(__xludf.dummyfunction("if($T695&lt;&gt;"""",REGEXEXTRACT($T695, O$1&amp;""[\w &amp;]*, (\d+\.\d+)""),"""")
"),"")</f>
        <v/>
      </c>
      <c r="P695" s="2"/>
      <c r="Q695" s="2"/>
      <c r="R695" s="2"/>
      <c r="S695" s="2"/>
      <c r="T695" s="5"/>
      <c r="U695" s="5"/>
    </row>
    <row r="696" customFormat="false" ht="15.75" hidden="false" customHeight="false" outlineLevel="0" collapsed="false">
      <c r="A696" s="4"/>
      <c r="B696" s="2"/>
      <c r="C696" s="2"/>
      <c r="D696" s="2"/>
      <c r="E696" s="2"/>
      <c r="F696" s="3" t="str">
        <f aca="false">IFERROR(__xludf.dummyfunction("if($T696&lt;&gt;"""",REGEXEXTRACT(SUBSTITUTE ($T696,F$1&amp;"" CE"",""""), F$1&amp;""[\w &amp;]*, (\d+\.\d+)""),"""")
"),"")</f>
        <v/>
      </c>
      <c r="G696" s="3" t="str">
        <f aca="false">IFERROR(__xludf.dummyfunction("if($T696&lt;&gt;"""",REGEXEXTRACT($T696, G$1&amp;""[\w &amp;]*, (\d+\.\d+)""),"""")
"),"")</f>
        <v/>
      </c>
      <c r="H696" s="3"/>
      <c r="I696" s="3" t="str">
        <f aca="false">IFERROR(__xludf.dummyfunction("if($T696&lt;&gt;"""",REGEXEXTRACT(SUBSTITUTE ($T696,I$1&amp;"" CE"",""""), I$1&amp;""[\w &amp;]*, (\d+\.\d+)""),"""")
"),"")</f>
        <v/>
      </c>
      <c r="J696" s="3" t="str">
        <f aca="false">IFERROR(__xludf.dummyfunction("if($T696&lt;&gt;"""",REGEXEXTRACT($T696, J$1&amp;""[\w &amp;]*, (\d+\.\d+)""),"""")
"),"")</f>
        <v/>
      </c>
      <c r="K696" s="3"/>
      <c r="L696" s="3" t="str">
        <f aca="false">IFERROR(__xludf.dummyfunction("if($T696&lt;&gt;"""",REGEXEXTRACT(SUBSTITUTE ($T696,L$1&amp;"" CE"",""""), L$1&amp;""[\w &amp;]*, (\d+\.\d+)""),"""")
"),"")</f>
        <v/>
      </c>
      <c r="M696" s="3" t="str">
        <f aca="false">IFERROR(__xludf.dummyfunction("if($T696&lt;&gt;"""",REGEXEXTRACT($T696, M$1&amp;""[\w &amp;]*, (\d+\.\d+)""),"""")
"),"")</f>
        <v/>
      </c>
      <c r="N696" s="3" t="str">
        <f aca="false">IFERROR(__xludf.dummyfunction("if($T696&lt;&gt;"""",REGEXEXTRACT(SUBSTITUTE ($T696,N$1&amp;"" CE"",""""), N$1&amp;""[\w &amp;]*, (\d+\.\d+)""),"""")
"),"")</f>
        <v/>
      </c>
      <c r="O696" s="3" t="str">
        <f aca="false">IFERROR(__xludf.dummyfunction("if($T696&lt;&gt;"""",REGEXEXTRACT($T696, O$1&amp;""[\w &amp;]*, (\d+\.\d+)""),"""")
"),"")</f>
        <v/>
      </c>
      <c r="P696" s="2"/>
      <c r="Q696" s="2"/>
      <c r="R696" s="2"/>
      <c r="S696" s="2"/>
      <c r="T696" s="5"/>
      <c r="U696" s="5"/>
    </row>
    <row r="697" customFormat="false" ht="15.75" hidden="false" customHeight="false" outlineLevel="0" collapsed="false">
      <c r="A697" s="4"/>
      <c r="B697" s="2"/>
      <c r="C697" s="2"/>
      <c r="D697" s="2"/>
      <c r="E697" s="2"/>
      <c r="F697" s="3" t="str">
        <f aca="false">IFERROR(__xludf.dummyfunction("if($T697&lt;&gt;"""",REGEXEXTRACT(SUBSTITUTE ($T697,F$1&amp;"" CE"",""""), F$1&amp;""[\w &amp;]*, (\d+\.\d+)""),"""")
"),"")</f>
        <v/>
      </c>
      <c r="G697" s="3" t="str">
        <f aca="false">IFERROR(__xludf.dummyfunction("if($T697&lt;&gt;"""",REGEXEXTRACT($T697, G$1&amp;""[\w &amp;]*, (\d+\.\d+)""),"""")
"),"")</f>
        <v/>
      </c>
      <c r="H697" s="3"/>
      <c r="I697" s="3" t="str">
        <f aca="false">IFERROR(__xludf.dummyfunction("if($T697&lt;&gt;"""",REGEXEXTRACT(SUBSTITUTE ($T697,I$1&amp;"" CE"",""""), I$1&amp;""[\w &amp;]*, (\d+\.\d+)""),"""")
"),"")</f>
        <v/>
      </c>
      <c r="J697" s="3" t="str">
        <f aca="false">IFERROR(__xludf.dummyfunction("if($T697&lt;&gt;"""",REGEXEXTRACT($T697, J$1&amp;""[\w &amp;]*, (\d+\.\d+)""),"""")
"),"")</f>
        <v/>
      </c>
      <c r="K697" s="3"/>
      <c r="L697" s="3" t="str">
        <f aca="false">IFERROR(__xludf.dummyfunction("if($T697&lt;&gt;"""",REGEXEXTRACT(SUBSTITUTE ($T697,L$1&amp;"" CE"",""""), L$1&amp;""[\w &amp;]*, (\d+\.\d+)""),"""")
"),"")</f>
        <v/>
      </c>
      <c r="M697" s="3" t="str">
        <f aca="false">IFERROR(__xludf.dummyfunction("if($T697&lt;&gt;"""",REGEXEXTRACT($T697, M$1&amp;""[\w &amp;]*, (\d+\.\d+)""),"""")
"),"")</f>
        <v/>
      </c>
      <c r="N697" s="3" t="str">
        <f aca="false">IFERROR(__xludf.dummyfunction("if($T697&lt;&gt;"""",REGEXEXTRACT(SUBSTITUTE ($T697,N$1&amp;"" CE"",""""), N$1&amp;""[\w &amp;]*, (\d+\.\d+)""),"""")
"),"")</f>
        <v/>
      </c>
      <c r="O697" s="3" t="str">
        <f aca="false">IFERROR(__xludf.dummyfunction("if($T697&lt;&gt;"""",REGEXEXTRACT($T697, O$1&amp;""[\w &amp;]*, (\d+\.\d+)""),"""")
"),"")</f>
        <v/>
      </c>
      <c r="P697" s="2"/>
      <c r="Q697" s="2"/>
      <c r="R697" s="2"/>
      <c r="S697" s="2"/>
      <c r="T697" s="5"/>
      <c r="U697" s="5"/>
    </row>
    <row r="698" customFormat="false" ht="15.75" hidden="false" customHeight="false" outlineLevel="0" collapsed="false">
      <c r="A698" s="4"/>
      <c r="B698" s="2"/>
      <c r="C698" s="2"/>
      <c r="D698" s="2"/>
      <c r="E698" s="2"/>
      <c r="F698" s="3" t="str">
        <f aca="false">IFERROR(__xludf.dummyfunction("if($T698&lt;&gt;"""",REGEXEXTRACT(SUBSTITUTE ($T698,F$1&amp;"" CE"",""""), F$1&amp;""[\w &amp;]*, (\d+\.\d+)""),"""")
"),"")</f>
        <v/>
      </c>
      <c r="G698" s="3" t="str">
        <f aca="false">IFERROR(__xludf.dummyfunction("if($T698&lt;&gt;"""",REGEXEXTRACT($T698, G$1&amp;""[\w &amp;]*, (\d+\.\d+)""),"""")
"),"")</f>
        <v/>
      </c>
      <c r="H698" s="3"/>
      <c r="I698" s="3" t="str">
        <f aca="false">IFERROR(__xludf.dummyfunction("if($T698&lt;&gt;"""",REGEXEXTRACT(SUBSTITUTE ($T698,I$1&amp;"" CE"",""""), I$1&amp;""[\w &amp;]*, (\d+\.\d+)""),"""")
"),"")</f>
        <v/>
      </c>
      <c r="J698" s="3" t="str">
        <f aca="false">IFERROR(__xludf.dummyfunction("if($T698&lt;&gt;"""",REGEXEXTRACT($T698, J$1&amp;""[\w &amp;]*, (\d+\.\d+)""),"""")
"),"")</f>
        <v/>
      </c>
      <c r="K698" s="3"/>
      <c r="L698" s="3" t="str">
        <f aca="false">IFERROR(__xludf.dummyfunction("if($T698&lt;&gt;"""",REGEXEXTRACT(SUBSTITUTE ($T698,L$1&amp;"" CE"",""""), L$1&amp;""[\w &amp;]*, (\d+\.\d+)""),"""")
"),"")</f>
        <v/>
      </c>
      <c r="M698" s="3" t="str">
        <f aca="false">IFERROR(__xludf.dummyfunction("if($T698&lt;&gt;"""",REGEXEXTRACT($T698, M$1&amp;""[\w &amp;]*, (\d+\.\d+)""),"""")
"),"")</f>
        <v/>
      </c>
      <c r="N698" s="3" t="str">
        <f aca="false">IFERROR(__xludf.dummyfunction("if($T698&lt;&gt;"""",REGEXEXTRACT(SUBSTITUTE ($T698,N$1&amp;"" CE"",""""), N$1&amp;""[\w &amp;]*, (\d+\.\d+)""),"""")
"),"")</f>
        <v/>
      </c>
      <c r="O698" s="3" t="str">
        <f aca="false">IFERROR(__xludf.dummyfunction("if($T698&lt;&gt;"""",REGEXEXTRACT($T698, O$1&amp;""[\w &amp;]*, (\d+\.\d+)""),"""")
"),"")</f>
        <v/>
      </c>
      <c r="P698" s="2"/>
      <c r="Q698" s="2"/>
      <c r="R698" s="2"/>
      <c r="S698" s="2"/>
      <c r="T698" s="5"/>
      <c r="U698" s="5"/>
    </row>
    <row r="699" customFormat="false" ht="15.75" hidden="false" customHeight="false" outlineLevel="0" collapsed="false">
      <c r="A699" s="4"/>
      <c r="B699" s="2"/>
      <c r="C699" s="2"/>
      <c r="D699" s="2"/>
      <c r="E699" s="2"/>
      <c r="F699" s="3" t="str">
        <f aca="false">IFERROR(__xludf.dummyfunction("if($T699&lt;&gt;"""",REGEXEXTRACT(SUBSTITUTE ($T699,F$1&amp;"" CE"",""""), F$1&amp;""[\w &amp;]*, (\d+\.\d+)""),"""")
"),"")</f>
        <v/>
      </c>
      <c r="G699" s="3" t="str">
        <f aca="false">IFERROR(__xludf.dummyfunction("if($T699&lt;&gt;"""",REGEXEXTRACT($T699, G$1&amp;""[\w &amp;]*, (\d+\.\d+)""),"""")
"),"")</f>
        <v/>
      </c>
      <c r="H699" s="3"/>
      <c r="I699" s="3" t="str">
        <f aca="false">IFERROR(__xludf.dummyfunction("if($T699&lt;&gt;"""",REGEXEXTRACT(SUBSTITUTE ($T699,I$1&amp;"" CE"",""""), I$1&amp;""[\w &amp;]*, (\d+\.\d+)""),"""")
"),"")</f>
        <v/>
      </c>
      <c r="J699" s="3" t="str">
        <f aca="false">IFERROR(__xludf.dummyfunction("if($T699&lt;&gt;"""",REGEXEXTRACT($T699, J$1&amp;""[\w &amp;]*, (\d+\.\d+)""),"""")
"),"")</f>
        <v/>
      </c>
      <c r="K699" s="3"/>
      <c r="L699" s="3" t="str">
        <f aca="false">IFERROR(__xludf.dummyfunction("if($T699&lt;&gt;"""",REGEXEXTRACT(SUBSTITUTE ($T699,L$1&amp;"" CE"",""""), L$1&amp;""[\w &amp;]*, (\d+\.\d+)""),"""")
"),"")</f>
        <v/>
      </c>
      <c r="M699" s="3" t="str">
        <f aca="false">IFERROR(__xludf.dummyfunction("if($T699&lt;&gt;"""",REGEXEXTRACT($T699, M$1&amp;""[\w &amp;]*, (\d+\.\d+)""),"""")
"),"")</f>
        <v/>
      </c>
      <c r="N699" s="3" t="str">
        <f aca="false">IFERROR(__xludf.dummyfunction("if($T699&lt;&gt;"""",REGEXEXTRACT(SUBSTITUTE ($T699,N$1&amp;"" CE"",""""), N$1&amp;""[\w &amp;]*, (\d+\.\d+)""),"""")
"),"")</f>
        <v/>
      </c>
      <c r="O699" s="3" t="str">
        <f aca="false">IFERROR(__xludf.dummyfunction("if($T699&lt;&gt;"""",REGEXEXTRACT($T699, O$1&amp;""[\w &amp;]*, (\d+\.\d+)""),"""")
"),"")</f>
        <v/>
      </c>
      <c r="P699" s="2"/>
      <c r="Q699" s="2"/>
      <c r="R699" s="2"/>
      <c r="S699" s="2"/>
      <c r="T699" s="5"/>
      <c r="U699" s="5"/>
    </row>
    <row r="700" customFormat="false" ht="15.75" hidden="false" customHeight="false" outlineLevel="0" collapsed="false">
      <c r="A700" s="4"/>
      <c r="B700" s="2"/>
      <c r="C700" s="2"/>
      <c r="D700" s="2"/>
      <c r="E700" s="2"/>
      <c r="F700" s="3" t="str">
        <f aca="false">IFERROR(__xludf.dummyfunction("if($T700&lt;&gt;"""",REGEXEXTRACT(SUBSTITUTE ($T700,F$1&amp;"" CE"",""""), F$1&amp;""[\w &amp;]*, (\d+\.\d+)""),"""")
"),"")</f>
        <v/>
      </c>
      <c r="G700" s="3" t="str">
        <f aca="false">IFERROR(__xludf.dummyfunction("if($T700&lt;&gt;"""",REGEXEXTRACT($T700, G$1&amp;""[\w &amp;]*, (\d+\.\d+)""),"""")
"),"")</f>
        <v/>
      </c>
      <c r="H700" s="3"/>
      <c r="I700" s="3" t="str">
        <f aca="false">IFERROR(__xludf.dummyfunction("if($T700&lt;&gt;"""",REGEXEXTRACT(SUBSTITUTE ($T700,I$1&amp;"" CE"",""""), I$1&amp;""[\w &amp;]*, (\d+\.\d+)""),"""")
"),"")</f>
        <v/>
      </c>
      <c r="J700" s="3" t="str">
        <f aca="false">IFERROR(__xludf.dummyfunction("if($T700&lt;&gt;"""",REGEXEXTRACT($T700, J$1&amp;""[\w &amp;]*, (\d+\.\d+)""),"""")
"),"")</f>
        <v/>
      </c>
      <c r="K700" s="3"/>
      <c r="L700" s="3" t="str">
        <f aca="false">IFERROR(__xludf.dummyfunction("if($T700&lt;&gt;"""",REGEXEXTRACT(SUBSTITUTE ($T700,L$1&amp;"" CE"",""""), L$1&amp;""[\w &amp;]*, (\d+\.\d+)""),"""")
"),"")</f>
        <v/>
      </c>
      <c r="M700" s="3" t="str">
        <f aca="false">IFERROR(__xludf.dummyfunction("if($T700&lt;&gt;"""",REGEXEXTRACT($T700, M$1&amp;""[\w &amp;]*, (\d+\.\d+)""),"""")
"),"")</f>
        <v/>
      </c>
      <c r="N700" s="3" t="str">
        <f aca="false">IFERROR(__xludf.dummyfunction("if($T700&lt;&gt;"""",REGEXEXTRACT(SUBSTITUTE ($T700,N$1&amp;"" CE"",""""), N$1&amp;""[\w &amp;]*, (\d+\.\d+)""),"""")
"),"")</f>
        <v/>
      </c>
      <c r="O700" s="3" t="str">
        <f aca="false">IFERROR(__xludf.dummyfunction("if($T700&lt;&gt;"""",REGEXEXTRACT($T700, O$1&amp;""[\w &amp;]*, (\d+\.\d+)""),"""")
"),"")</f>
        <v/>
      </c>
      <c r="P700" s="2"/>
      <c r="Q700" s="2"/>
      <c r="R700" s="2"/>
      <c r="S700" s="2"/>
      <c r="T700" s="5"/>
      <c r="U700" s="5"/>
    </row>
    <row r="701" customFormat="false" ht="15.75" hidden="false" customHeight="false" outlineLevel="0" collapsed="false">
      <c r="A701" s="4"/>
      <c r="B701" s="2"/>
      <c r="C701" s="2"/>
      <c r="D701" s="2"/>
      <c r="E701" s="2"/>
      <c r="F701" s="3" t="str">
        <f aca="false">IFERROR(__xludf.dummyfunction("if($T701&lt;&gt;"""",REGEXEXTRACT(SUBSTITUTE ($T701,F$1&amp;"" CE"",""""), F$1&amp;""[\w &amp;]*, (\d+\.\d+)""),"""")
"),"")</f>
        <v/>
      </c>
      <c r="G701" s="3" t="str">
        <f aca="false">IFERROR(__xludf.dummyfunction("if($T701&lt;&gt;"""",REGEXEXTRACT($T701, G$1&amp;""[\w &amp;]*, (\d+\.\d+)""),"""")
"),"")</f>
        <v/>
      </c>
      <c r="H701" s="3"/>
      <c r="I701" s="3" t="str">
        <f aca="false">IFERROR(__xludf.dummyfunction("if($T701&lt;&gt;"""",REGEXEXTRACT(SUBSTITUTE ($T701,I$1&amp;"" CE"",""""), I$1&amp;""[\w &amp;]*, (\d+\.\d+)""),"""")
"),"")</f>
        <v/>
      </c>
      <c r="J701" s="3" t="str">
        <f aca="false">IFERROR(__xludf.dummyfunction("if($T701&lt;&gt;"""",REGEXEXTRACT($T701, J$1&amp;""[\w &amp;]*, (\d+\.\d+)""),"""")
"),"")</f>
        <v/>
      </c>
      <c r="K701" s="3"/>
      <c r="L701" s="3" t="str">
        <f aca="false">IFERROR(__xludf.dummyfunction("if($T701&lt;&gt;"""",REGEXEXTRACT(SUBSTITUTE ($T701,L$1&amp;"" CE"",""""), L$1&amp;""[\w &amp;]*, (\d+\.\d+)""),"""")
"),"")</f>
        <v/>
      </c>
      <c r="M701" s="3" t="str">
        <f aca="false">IFERROR(__xludf.dummyfunction("if($T701&lt;&gt;"""",REGEXEXTRACT($T701, M$1&amp;""[\w &amp;]*, (\d+\.\d+)""),"""")
"),"")</f>
        <v/>
      </c>
      <c r="N701" s="3" t="str">
        <f aca="false">IFERROR(__xludf.dummyfunction("if($T701&lt;&gt;"""",REGEXEXTRACT(SUBSTITUTE ($T701,N$1&amp;"" CE"",""""), N$1&amp;""[\w &amp;]*, (\d+\.\d+)""),"""")
"),"")</f>
        <v/>
      </c>
      <c r="O701" s="3" t="str">
        <f aca="false">IFERROR(__xludf.dummyfunction("if($T701&lt;&gt;"""",REGEXEXTRACT($T701, O$1&amp;""[\w &amp;]*, (\d+\.\d+)""),"""")
"),"")</f>
        <v/>
      </c>
      <c r="P701" s="2"/>
      <c r="Q701" s="2"/>
      <c r="R701" s="2"/>
      <c r="S701" s="2"/>
      <c r="T701" s="5"/>
      <c r="U701" s="5"/>
    </row>
    <row r="702" customFormat="false" ht="15.75" hidden="false" customHeight="false" outlineLevel="0" collapsed="false">
      <c r="A702" s="4"/>
      <c r="B702" s="2"/>
      <c r="C702" s="2"/>
      <c r="D702" s="2"/>
      <c r="E702" s="2"/>
      <c r="F702" s="3" t="str">
        <f aca="false">IFERROR(__xludf.dummyfunction("if($T702&lt;&gt;"""",REGEXEXTRACT(SUBSTITUTE ($T702,F$1&amp;"" CE"",""""), F$1&amp;""[\w &amp;]*, (\d+\.\d+)""),"""")
"),"")</f>
        <v/>
      </c>
      <c r="G702" s="3" t="str">
        <f aca="false">IFERROR(__xludf.dummyfunction("if($T702&lt;&gt;"""",REGEXEXTRACT($T702, G$1&amp;""[\w &amp;]*, (\d+\.\d+)""),"""")
"),"")</f>
        <v/>
      </c>
      <c r="H702" s="3"/>
      <c r="I702" s="3" t="str">
        <f aca="false">IFERROR(__xludf.dummyfunction("if($T702&lt;&gt;"""",REGEXEXTRACT(SUBSTITUTE ($T702,I$1&amp;"" CE"",""""), I$1&amp;""[\w &amp;]*, (\d+\.\d+)""),"""")
"),"")</f>
        <v/>
      </c>
      <c r="J702" s="3" t="str">
        <f aca="false">IFERROR(__xludf.dummyfunction("if($T702&lt;&gt;"""",REGEXEXTRACT($T702, J$1&amp;""[\w &amp;]*, (\d+\.\d+)""),"""")
"),"")</f>
        <v/>
      </c>
      <c r="K702" s="3"/>
      <c r="L702" s="3" t="str">
        <f aca="false">IFERROR(__xludf.dummyfunction("if($T702&lt;&gt;"""",REGEXEXTRACT(SUBSTITUTE ($T702,L$1&amp;"" CE"",""""), L$1&amp;""[\w &amp;]*, (\d+\.\d+)""),"""")
"),"")</f>
        <v/>
      </c>
      <c r="M702" s="3" t="str">
        <f aca="false">IFERROR(__xludf.dummyfunction("if($T702&lt;&gt;"""",REGEXEXTRACT($T702, M$1&amp;""[\w &amp;]*, (\d+\.\d+)""),"""")
"),"")</f>
        <v/>
      </c>
      <c r="N702" s="3" t="str">
        <f aca="false">IFERROR(__xludf.dummyfunction("if($T702&lt;&gt;"""",REGEXEXTRACT(SUBSTITUTE ($T702,N$1&amp;"" CE"",""""), N$1&amp;""[\w &amp;]*, (\d+\.\d+)""),"""")
"),"")</f>
        <v/>
      </c>
      <c r="O702" s="3" t="str">
        <f aca="false">IFERROR(__xludf.dummyfunction("if($T702&lt;&gt;"""",REGEXEXTRACT($T702, O$1&amp;""[\w &amp;]*, (\d+\.\d+)""),"""")
"),"")</f>
        <v/>
      </c>
      <c r="P702" s="2"/>
      <c r="Q702" s="2"/>
      <c r="R702" s="2"/>
      <c r="S702" s="2"/>
      <c r="T702" s="5"/>
      <c r="U702" s="5"/>
    </row>
    <row r="703" customFormat="false" ht="15.75" hidden="false" customHeight="false" outlineLevel="0" collapsed="false">
      <c r="A703" s="4"/>
      <c r="B703" s="2"/>
      <c r="C703" s="2"/>
      <c r="D703" s="2"/>
      <c r="E703" s="2"/>
      <c r="F703" s="3" t="str">
        <f aca="false">IFERROR(__xludf.dummyfunction("if($T703&lt;&gt;"""",REGEXEXTRACT(SUBSTITUTE ($T703,F$1&amp;"" CE"",""""), F$1&amp;""[\w &amp;]*, (\d+\.\d+)""),"""")
"),"")</f>
        <v/>
      </c>
      <c r="G703" s="3" t="str">
        <f aca="false">IFERROR(__xludf.dummyfunction("if($T703&lt;&gt;"""",REGEXEXTRACT($T703, G$1&amp;""[\w &amp;]*, (\d+\.\d+)""),"""")
"),"")</f>
        <v/>
      </c>
      <c r="H703" s="3"/>
      <c r="I703" s="3" t="str">
        <f aca="false">IFERROR(__xludf.dummyfunction("if($T703&lt;&gt;"""",REGEXEXTRACT(SUBSTITUTE ($T703,I$1&amp;"" CE"",""""), I$1&amp;""[\w &amp;]*, (\d+\.\d+)""),"""")
"),"")</f>
        <v/>
      </c>
      <c r="J703" s="3" t="str">
        <f aca="false">IFERROR(__xludf.dummyfunction("if($T703&lt;&gt;"""",REGEXEXTRACT($T703, J$1&amp;""[\w &amp;]*, (\d+\.\d+)""),"""")
"),"")</f>
        <v/>
      </c>
      <c r="K703" s="3"/>
      <c r="L703" s="3" t="str">
        <f aca="false">IFERROR(__xludf.dummyfunction("if($T703&lt;&gt;"""",REGEXEXTRACT(SUBSTITUTE ($T703,L$1&amp;"" CE"",""""), L$1&amp;""[\w &amp;]*, (\d+\.\d+)""),"""")
"),"")</f>
        <v/>
      </c>
      <c r="M703" s="3" t="str">
        <f aca="false">IFERROR(__xludf.dummyfunction("if($T703&lt;&gt;"""",REGEXEXTRACT($T703, M$1&amp;""[\w &amp;]*, (\d+\.\d+)""),"""")
"),"")</f>
        <v/>
      </c>
      <c r="N703" s="3" t="str">
        <f aca="false">IFERROR(__xludf.dummyfunction("if($T703&lt;&gt;"""",REGEXEXTRACT(SUBSTITUTE ($T703,N$1&amp;"" CE"",""""), N$1&amp;""[\w &amp;]*, (\d+\.\d+)""),"""")
"),"")</f>
        <v/>
      </c>
      <c r="O703" s="3" t="str">
        <f aca="false">IFERROR(__xludf.dummyfunction("if($T703&lt;&gt;"""",REGEXEXTRACT($T703, O$1&amp;""[\w &amp;]*, (\d+\.\d+)""),"""")
"),"")</f>
        <v/>
      </c>
      <c r="P703" s="2"/>
      <c r="Q703" s="2"/>
      <c r="R703" s="2"/>
      <c r="S703" s="2"/>
      <c r="T703" s="5"/>
      <c r="U703" s="5"/>
    </row>
    <row r="704" customFormat="false" ht="15.75" hidden="false" customHeight="false" outlineLevel="0" collapsed="false">
      <c r="A704" s="4"/>
      <c r="B704" s="2"/>
      <c r="C704" s="2"/>
      <c r="D704" s="2"/>
      <c r="E704" s="2"/>
      <c r="F704" s="3" t="str">
        <f aca="false">IFERROR(__xludf.dummyfunction("if($T704&lt;&gt;"""",REGEXEXTRACT(SUBSTITUTE ($T704,F$1&amp;"" CE"",""""), F$1&amp;""[\w &amp;]*, (\d+\.\d+)""),"""")
"),"")</f>
        <v/>
      </c>
      <c r="G704" s="3" t="str">
        <f aca="false">IFERROR(__xludf.dummyfunction("if($T704&lt;&gt;"""",REGEXEXTRACT($T704, G$1&amp;""[\w &amp;]*, (\d+\.\d+)""),"""")
"),"")</f>
        <v/>
      </c>
      <c r="H704" s="3"/>
      <c r="I704" s="3" t="str">
        <f aca="false">IFERROR(__xludf.dummyfunction("if($T704&lt;&gt;"""",REGEXEXTRACT(SUBSTITUTE ($T704,I$1&amp;"" CE"",""""), I$1&amp;""[\w &amp;]*, (\d+\.\d+)""),"""")
"),"")</f>
        <v/>
      </c>
      <c r="J704" s="3" t="str">
        <f aca="false">IFERROR(__xludf.dummyfunction("if($T704&lt;&gt;"""",REGEXEXTRACT($T704, J$1&amp;""[\w &amp;]*, (\d+\.\d+)""),"""")
"),"")</f>
        <v/>
      </c>
      <c r="K704" s="3"/>
      <c r="L704" s="3" t="str">
        <f aca="false">IFERROR(__xludf.dummyfunction("if($T704&lt;&gt;"""",REGEXEXTRACT(SUBSTITUTE ($T704,L$1&amp;"" CE"",""""), L$1&amp;""[\w &amp;]*, (\d+\.\d+)""),"""")
"),"")</f>
        <v/>
      </c>
      <c r="M704" s="3" t="str">
        <f aca="false">IFERROR(__xludf.dummyfunction("if($T704&lt;&gt;"""",REGEXEXTRACT($T704, M$1&amp;""[\w &amp;]*, (\d+\.\d+)""),"""")
"),"")</f>
        <v/>
      </c>
      <c r="N704" s="3" t="str">
        <f aca="false">IFERROR(__xludf.dummyfunction("if($T704&lt;&gt;"""",REGEXEXTRACT(SUBSTITUTE ($T704,N$1&amp;"" CE"",""""), N$1&amp;""[\w &amp;]*, (\d+\.\d+)""),"""")
"),"")</f>
        <v/>
      </c>
      <c r="O704" s="3" t="str">
        <f aca="false">IFERROR(__xludf.dummyfunction("if($T704&lt;&gt;"""",REGEXEXTRACT($T704, O$1&amp;""[\w &amp;]*, (\d+\.\d+)""),"""")
"),"")</f>
        <v/>
      </c>
      <c r="P704" s="2"/>
      <c r="Q704" s="2"/>
      <c r="R704" s="2"/>
      <c r="S704" s="2"/>
      <c r="T704" s="5"/>
      <c r="U704" s="5"/>
    </row>
    <row r="705" customFormat="false" ht="15.75" hidden="false" customHeight="false" outlineLevel="0" collapsed="false">
      <c r="A705" s="4"/>
      <c r="B705" s="2"/>
      <c r="C705" s="2"/>
      <c r="D705" s="2"/>
      <c r="E705" s="2"/>
      <c r="F705" s="3" t="str">
        <f aca="false">IFERROR(__xludf.dummyfunction("if($T705&lt;&gt;"""",REGEXEXTRACT(SUBSTITUTE ($T705,F$1&amp;"" CE"",""""), F$1&amp;""[\w &amp;]*, (\d+\.\d+)""),"""")
"),"")</f>
        <v/>
      </c>
      <c r="G705" s="3" t="str">
        <f aca="false">IFERROR(__xludf.dummyfunction("if($T705&lt;&gt;"""",REGEXEXTRACT($T705, G$1&amp;""[\w &amp;]*, (\d+\.\d+)""),"""")
"),"")</f>
        <v/>
      </c>
      <c r="H705" s="3"/>
      <c r="I705" s="3" t="str">
        <f aca="false">IFERROR(__xludf.dummyfunction("if($T705&lt;&gt;"""",REGEXEXTRACT(SUBSTITUTE ($T705,I$1&amp;"" CE"",""""), I$1&amp;""[\w &amp;]*, (\d+\.\d+)""),"""")
"),"")</f>
        <v/>
      </c>
      <c r="J705" s="3" t="str">
        <f aca="false">IFERROR(__xludf.dummyfunction("if($T705&lt;&gt;"""",REGEXEXTRACT($T705, J$1&amp;""[\w &amp;]*, (\d+\.\d+)""),"""")
"),"")</f>
        <v/>
      </c>
      <c r="K705" s="3"/>
      <c r="L705" s="3" t="str">
        <f aca="false">IFERROR(__xludf.dummyfunction("if($T705&lt;&gt;"""",REGEXEXTRACT(SUBSTITUTE ($T705,L$1&amp;"" CE"",""""), L$1&amp;""[\w &amp;]*, (\d+\.\d+)""),"""")
"),"")</f>
        <v/>
      </c>
      <c r="M705" s="3" t="str">
        <f aca="false">IFERROR(__xludf.dummyfunction("if($T705&lt;&gt;"""",REGEXEXTRACT($T705, M$1&amp;""[\w &amp;]*, (\d+\.\d+)""),"""")
"),"")</f>
        <v/>
      </c>
      <c r="N705" s="3" t="str">
        <f aca="false">IFERROR(__xludf.dummyfunction("if($T705&lt;&gt;"""",REGEXEXTRACT(SUBSTITUTE ($T705,N$1&amp;"" CE"",""""), N$1&amp;""[\w &amp;]*, (\d+\.\d+)""),"""")
"),"")</f>
        <v/>
      </c>
      <c r="O705" s="3" t="str">
        <f aca="false">IFERROR(__xludf.dummyfunction("if($T705&lt;&gt;"""",REGEXEXTRACT($T705, O$1&amp;""[\w &amp;]*, (\d+\.\d+)""),"""")
"),"")</f>
        <v/>
      </c>
      <c r="P705" s="2"/>
      <c r="Q705" s="2"/>
      <c r="R705" s="2"/>
      <c r="S705" s="2"/>
      <c r="T705" s="5"/>
      <c r="U705" s="5"/>
    </row>
    <row r="706" customFormat="false" ht="15.75" hidden="false" customHeight="false" outlineLevel="0" collapsed="false">
      <c r="A706" s="4"/>
      <c r="B706" s="2"/>
      <c r="C706" s="2"/>
      <c r="D706" s="2"/>
      <c r="E706" s="2"/>
      <c r="F706" s="3" t="str">
        <f aca="false">IFERROR(__xludf.dummyfunction("if($T706&lt;&gt;"""",REGEXEXTRACT(SUBSTITUTE ($T706,F$1&amp;"" CE"",""""), F$1&amp;""[\w &amp;]*, (\d+\.\d+)""),"""")
"),"")</f>
        <v/>
      </c>
      <c r="G706" s="3" t="str">
        <f aca="false">IFERROR(__xludf.dummyfunction("if($T706&lt;&gt;"""",REGEXEXTRACT($T706, G$1&amp;""[\w &amp;]*, (\d+\.\d+)""),"""")
"),"")</f>
        <v/>
      </c>
      <c r="H706" s="3"/>
      <c r="I706" s="3" t="str">
        <f aca="false">IFERROR(__xludf.dummyfunction("if($T706&lt;&gt;"""",REGEXEXTRACT(SUBSTITUTE ($T706,I$1&amp;"" CE"",""""), I$1&amp;""[\w &amp;]*, (\d+\.\d+)""),"""")
"),"")</f>
        <v/>
      </c>
      <c r="J706" s="3" t="str">
        <f aca="false">IFERROR(__xludf.dummyfunction("if($T706&lt;&gt;"""",REGEXEXTRACT($T706, J$1&amp;""[\w &amp;]*, (\d+\.\d+)""),"""")
"),"")</f>
        <v/>
      </c>
      <c r="K706" s="3"/>
      <c r="L706" s="3" t="str">
        <f aca="false">IFERROR(__xludf.dummyfunction("if($T706&lt;&gt;"""",REGEXEXTRACT(SUBSTITUTE ($T706,L$1&amp;"" CE"",""""), L$1&amp;""[\w &amp;]*, (\d+\.\d+)""),"""")
"),"")</f>
        <v/>
      </c>
      <c r="M706" s="3" t="str">
        <f aca="false">IFERROR(__xludf.dummyfunction("if($T706&lt;&gt;"""",REGEXEXTRACT($T706, M$1&amp;""[\w &amp;]*, (\d+\.\d+)""),"""")
"),"")</f>
        <v/>
      </c>
      <c r="N706" s="3" t="str">
        <f aca="false">IFERROR(__xludf.dummyfunction("if($T706&lt;&gt;"""",REGEXEXTRACT(SUBSTITUTE ($T706,N$1&amp;"" CE"",""""), N$1&amp;""[\w &amp;]*, (\d+\.\d+)""),"""")
"),"")</f>
        <v/>
      </c>
      <c r="O706" s="3" t="str">
        <f aca="false">IFERROR(__xludf.dummyfunction("if($T706&lt;&gt;"""",REGEXEXTRACT($T706, O$1&amp;""[\w &amp;]*, (\d+\.\d+)""),"""")
"),"")</f>
        <v/>
      </c>
      <c r="P706" s="2"/>
      <c r="Q706" s="2"/>
      <c r="R706" s="2"/>
      <c r="S706" s="2"/>
      <c r="T706" s="5"/>
      <c r="U706" s="5"/>
    </row>
    <row r="707" customFormat="false" ht="15.75" hidden="false" customHeight="false" outlineLevel="0" collapsed="false">
      <c r="A707" s="4"/>
      <c r="B707" s="2"/>
      <c r="C707" s="2"/>
      <c r="D707" s="2"/>
      <c r="E707" s="2"/>
      <c r="F707" s="3" t="str">
        <f aca="false">IFERROR(__xludf.dummyfunction("if($T707&lt;&gt;"""",REGEXEXTRACT(SUBSTITUTE ($T707,F$1&amp;"" CE"",""""), F$1&amp;""[\w &amp;]*, (\d+\.\d+)""),"""")
"),"")</f>
        <v/>
      </c>
      <c r="G707" s="3" t="str">
        <f aca="false">IFERROR(__xludf.dummyfunction("if($T707&lt;&gt;"""",REGEXEXTRACT($T707, G$1&amp;""[\w &amp;]*, (\d+\.\d+)""),"""")
"),"")</f>
        <v/>
      </c>
      <c r="H707" s="3"/>
      <c r="I707" s="3" t="str">
        <f aca="false">IFERROR(__xludf.dummyfunction("if($T707&lt;&gt;"""",REGEXEXTRACT(SUBSTITUTE ($T707,I$1&amp;"" CE"",""""), I$1&amp;""[\w &amp;]*, (\d+\.\d+)""),"""")
"),"")</f>
        <v/>
      </c>
      <c r="J707" s="3" t="str">
        <f aca="false">IFERROR(__xludf.dummyfunction("if($T707&lt;&gt;"""",REGEXEXTRACT($T707, J$1&amp;""[\w &amp;]*, (\d+\.\d+)""),"""")
"),"")</f>
        <v/>
      </c>
      <c r="K707" s="3"/>
      <c r="L707" s="3" t="str">
        <f aca="false">IFERROR(__xludf.dummyfunction("if($T707&lt;&gt;"""",REGEXEXTRACT(SUBSTITUTE ($T707,L$1&amp;"" CE"",""""), L$1&amp;""[\w &amp;]*, (\d+\.\d+)""),"""")
"),"")</f>
        <v/>
      </c>
      <c r="M707" s="3" t="str">
        <f aca="false">IFERROR(__xludf.dummyfunction("if($T707&lt;&gt;"""",REGEXEXTRACT($T707, M$1&amp;""[\w &amp;]*, (\d+\.\d+)""),"""")
"),"")</f>
        <v/>
      </c>
      <c r="N707" s="3" t="str">
        <f aca="false">IFERROR(__xludf.dummyfunction("if($T707&lt;&gt;"""",REGEXEXTRACT(SUBSTITUTE ($T707,N$1&amp;"" CE"",""""), N$1&amp;""[\w &amp;]*, (\d+\.\d+)""),"""")
"),"")</f>
        <v/>
      </c>
      <c r="O707" s="3" t="str">
        <f aca="false">IFERROR(__xludf.dummyfunction("if($T707&lt;&gt;"""",REGEXEXTRACT($T707, O$1&amp;""[\w &amp;]*, (\d+\.\d+)""),"""")
"),"")</f>
        <v/>
      </c>
      <c r="P707" s="2"/>
      <c r="Q707" s="2"/>
      <c r="R707" s="2"/>
      <c r="S707" s="2"/>
      <c r="T707" s="5"/>
      <c r="U707" s="5"/>
    </row>
    <row r="708" customFormat="false" ht="15.75" hidden="false" customHeight="false" outlineLevel="0" collapsed="false">
      <c r="A708" s="4"/>
      <c r="B708" s="2"/>
      <c r="C708" s="2"/>
      <c r="D708" s="2"/>
      <c r="E708" s="2"/>
      <c r="F708" s="3" t="str">
        <f aca="false">IFERROR(__xludf.dummyfunction("if($T708&lt;&gt;"""",REGEXEXTRACT(SUBSTITUTE ($T708,F$1&amp;"" CE"",""""), F$1&amp;""[\w &amp;]*, (\d+\.\d+)""),"""")
"),"")</f>
        <v/>
      </c>
      <c r="G708" s="3" t="str">
        <f aca="false">IFERROR(__xludf.dummyfunction("if($T708&lt;&gt;"""",REGEXEXTRACT($T708, G$1&amp;""[\w &amp;]*, (\d+\.\d+)""),"""")
"),"")</f>
        <v/>
      </c>
      <c r="H708" s="3"/>
      <c r="I708" s="3" t="str">
        <f aca="false">IFERROR(__xludf.dummyfunction("if($T708&lt;&gt;"""",REGEXEXTRACT(SUBSTITUTE ($T708,I$1&amp;"" CE"",""""), I$1&amp;""[\w &amp;]*, (\d+\.\d+)""),"""")
"),"")</f>
        <v/>
      </c>
      <c r="J708" s="3" t="str">
        <f aca="false">IFERROR(__xludf.dummyfunction("if($T708&lt;&gt;"""",REGEXEXTRACT($T708, J$1&amp;""[\w &amp;]*, (\d+\.\d+)""),"""")
"),"")</f>
        <v/>
      </c>
      <c r="K708" s="3"/>
      <c r="L708" s="3" t="str">
        <f aca="false">IFERROR(__xludf.dummyfunction("if($T708&lt;&gt;"""",REGEXEXTRACT(SUBSTITUTE ($T708,L$1&amp;"" CE"",""""), L$1&amp;""[\w &amp;]*, (\d+\.\d+)""),"""")
"),"")</f>
        <v/>
      </c>
      <c r="M708" s="3" t="str">
        <f aca="false">IFERROR(__xludf.dummyfunction("if($T708&lt;&gt;"""",REGEXEXTRACT($T708, M$1&amp;""[\w &amp;]*, (\d+\.\d+)""),"""")
"),"")</f>
        <v/>
      </c>
      <c r="N708" s="3" t="str">
        <f aca="false">IFERROR(__xludf.dummyfunction("if($T708&lt;&gt;"""",REGEXEXTRACT(SUBSTITUTE ($T708,N$1&amp;"" CE"",""""), N$1&amp;""[\w &amp;]*, (\d+\.\d+)""),"""")
"),"")</f>
        <v/>
      </c>
      <c r="O708" s="3" t="str">
        <f aca="false">IFERROR(__xludf.dummyfunction("if($T708&lt;&gt;"""",REGEXEXTRACT($T708, O$1&amp;""[\w &amp;]*, (\d+\.\d+)""),"""")
"),"")</f>
        <v/>
      </c>
      <c r="P708" s="2"/>
      <c r="Q708" s="2"/>
      <c r="R708" s="2"/>
      <c r="S708" s="2"/>
      <c r="T708" s="5"/>
      <c r="U708" s="5"/>
    </row>
    <row r="709" customFormat="false" ht="15.75" hidden="false" customHeight="false" outlineLevel="0" collapsed="false">
      <c r="A709" s="4"/>
      <c r="B709" s="2"/>
      <c r="C709" s="2"/>
      <c r="D709" s="2"/>
      <c r="E709" s="2"/>
      <c r="F709" s="3" t="str">
        <f aca="false">IFERROR(__xludf.dummyfunction("if($T709&lt;&gt;"""",REGEXEXTRACT(SUBSTITUTE ($T709,F$1&amp;"" CE"",""""), F$1&amp;""[\w &amp;]*, (\d+\.\d+)""),"""")
"),"")</f>
        <v/>
      </c>
      <c r="G709" s="3" t="str">
        <f aca="false">IFERROR(__xludf.dummyfunction("if($T709&lt;&gt;"""",REGEXEXTRACT($T709, G$1&amp;""[\w &amp;]*, (\d+\.\d+)""),"""")
"),"")</f>
        <v/>
      </c>
      <c r="H709" s="3"/>
      <c r="I709" s="3" t="str">
        <f aca="false">IFERROR(__xludf.dummyfunction("if($T709&lt;&gt;"""",REGEXEXTRACT(SUBSTITUTE ($T709,I$1&amp;"" CE"",""""), I$1&amp;""[\w &amp;]*, (\d+\.\d+)""),"""")
"),"")</f>
        <v/>
      </c>
      <c r="J709" s="3" t="str">
        <f aca="false">IFERROR(__xludf.dummyfunction("if($T709&lt;&gt;"""",REGEXEXTRACT($T709, J$1&amp;""[\w &amp;]*, (\d+\.\d+)""),"""")
"),"")</f>
        <v/>
      </c>
      <c r="K709" s="3"/>
      <c r="L709" s="3" t="str">
        <f aca="false">IFERROR(__xludf.dummyfunction("if($T709&lt;&gt;"""",REGEXEXTRACT(SUBSTITUTE ($T709,L$1&amp;"" CE"",""""), L$1&amp;""[\w &amp;]*, (\d+\.\d+)""),"""")
"),"")</f>
        <v/>
      </c>
      <c r="M709" s="3" t="str">
        <f aca="false">IFERROR(__xludf.dummyfunction("if($T709&lt;&gt;"""",REGEXEXTRACT($T709, M$1&amp;""[\w &amp;]*, (\d+\.\d+)""),"""")
"),"")</f>
        <v/>
      </c>
      <c r="N709" s="3" t="str">
        <f aca="false">IFERROR(__xludf.dummyfunction("if($T709&lt;&gt;"""",REGEXEXTRACT(SUBSTITUTE ($T709,N$1&amp;"" CE"",""""), N$1&amp;""[\w &amp;]*, (\d+\.\d+)""),"""")
"),"")</f>
        <v/>
      </c>
      <c r="O709" s="3" t="str">
        <f aca="false">IFERROR(__xludf.dummyfunction("if($T709&lt;&gt;"""",REGEXEXTRACT($T709, O$1&amp;""[\w &amp;]*, (\d+\.\d+)""),"""")
"),"")</f>
        <v/>
      </c>
      <c r="P709" s="2"/>
      <c r="Q709" s="2"/>
      <c r="R709" s="2"/>
      <c r="S709" s="2"/>
      <c r="T709" s="5"/>
      <c r="U709" s="5"/>
    </row>
    <row r="710" customFormat="false" ht="15.75" hidden="false" customHeight="false" outlineLevel="0" collapsed="false">
      <c r="A710" s="4"/>
      <c r="B710" s="2"/>
      <c r="C710" s="2"/>
      <c r="D710" s="2"/>
      <c r="E710" s="2"/>
      <c r="F710" s="3" t="str">
        <f aca="false">IFERROR(__xludf.dummyfunction("if($T710&lt;&gt;"""",REGEXEXTRACT(SUBSTITUTE ($T710,F$1&amp;"" CE"",""""), F$1&amp;""[\w &amp;]*, (\d+\.\d+)""),"""")
"),"")</f>
        <v/>
      </c>
      <c r="G710" s="3" t="str">
        <f aca="false">IFERROR(__xludf.dummyfunction("if($T710&lt;&gt;"""",REGEXEXTRACT($T710, G$1&amp;""[\w &amp;]*, (\d+\.\d+)""),"""")
"),"")</f>
        <v/>
      </c>
      <c r="H710" s="3"/>
      <c r="I710" s="3" t="str">
        <f aca="false">IFERROR(__xludf.dummyfunction("if($T710&lt;&gt;"""",REGEXEXTRACT(SUBSTITUTE ($T710,I$1&amp;"" CE"",""""), I$1&amp;""[\w &amp;]*, (\d+\.\d+)""),"""")
"),"")</f>
        <v/>
      </c>
      <c r="J710" s="3" t="str">
        <f aca="false">IFERROR(__xludf.dummyfunction("if($T710&lt;&gt;"""",REGEXEXTRACT($T710, J$1&amp;""[\w &amp;]*, (\d+\.\d+)""),"""")
"),"")</f>
        <v/>
      </c>
      <c r="K710" s="3"/>
      <c r="L710" s="3" t="str">
        <f aca="false">IFERROR(__xludf.dummyfunction("if($T710&lt;&gt;"""",REGEXEXTRACT(SUBSTITUTE ($T710,L$1&amp;"" CE"",""""), L$1&amp;""[\w &amp;]*, (\d+\.\d+)""),"""")
"),"")</f>
        <v/>
      </c>
      <c r="M710" s="3" t="str">
        <f aca="false">IFERROR(__xludf.dummyfunction("if($T710&lt;&gt;"""",REGEXEXTRACT($T710, M$1&amp;""[\w &amp;]*, (\d+\.\d+)""),"""")
"),"")</f>
        <v/>
      </c>
      <c r="N710" s="3" t="str">
        <f aca="false">IFERROR(__xludf.dummyfunction("if($T710&lt;&gt;"""",REGEXEXTRACT(SUBSTITUTE ($T710,N$1&amp;"" CE"",""""), N$1&amp;""[\w &amp;]*, (\d+\.\d+)""),"""")
"),"")</f>
        <v/>
      </c>
      <c r="O710" s="3" t="str">
        <f aca="false">IFERROR(__xludf.dummyfunction("if($T710&lt;&gt;"""",REGEXEXTRACT($T710, O$1&amp;""[\w &amp;]*, (\d+\.\d+)""),"""")
"),"")</f>
        <v/>
      </c>
      <c r="P710" s="2"/>
      <c r="Q710" s="2"/>
      <c r="R710" s="2"/>
      <c r="S710" s="2"/>
      <c r="T710" s="5"/>
      <c r="U710" s="5"/>
    </row>
    <row r="711" customFormat="false" ht="15.75" hidden="false" customHeight="false" outlineLevel="0" collapsed="false">
      <c r="A711" s="4"/>
      <c r="B711" s="2"/>
      <c r="C711" s="2"/>
      <c r="D711" s="2"/>
      <c r="E711" s="2"/>
      <c r="F711" s="3" t="str">
        <f aca="false">IFERROR(__xludf.dummyfunction("if($T711&lt;&gt;"""",REGEXEXTRACT(SUBSTITUTE ($T711,F$1&amp;"" CE"",""""), F$1&amp;""[\w &amp;]*, (\d+\.\d+)""),"""")
"),"")</f>
        <v/>
      </c>
      <c r="G711" s="3" t="str">
        <f aca="false">IFERROR(__xludf.dummyfunction("if($T711&lt;&gt;"""",REGEXEXTRACT($T711, G$1&amp;""[\w &amp;]*, (\d+\.\d+)""),"""")
"),"")</f>
        <v/>
      </c>
      <c r="H711" s="3"/>
      <c r="I711" s="3" t="str">
        <f aca="false">IFERROR(__xludf.dummyfunction("if($T711&lt;&gt;"""",REGEXEXTRACT(SUBSTITUTE ($T711,I$1&amp;"" CE"",""""), I$1&amp;""[\w &amp;]*, (\d+\.\d+)""),"""")
"),"")</f>
        <v/>
      </c>
      <c r="J711" s="3" t="str">
        <f aca="false">IFERROR(__xludf.dummyfunction("if($T711&lt;&gt;"""",REGEXEXTRACT($T711, J$1&amp;""[\w &amp;]*, (\d+\.\d+)""),"""")
"),"")</f>
        <v/>
      </c>
      <c r="K711" s="3"/>
      <c r="L711" s="3" t="str">
        <f aca="false">IFERROR(__xludf.dummyfunction("if($T711&lt;&gt;"""",REGEXEXTRACT(SUBSTITUTE ($T711,L$1&amp;"" CE"",""""), L$1&amp;""[\w &amp;]*, (\d+\.\d+)""),"""")
"),"")</f>
        <v/>
      </c>
      <c r="M711" s="3" t="str">
        <f aca="false">IFERROR(__xludf.dummyfunction("if($T711&lt;&gt;"""",REGEXEXTRACT($T711, M$1&amp;""[\w &amp;]*, (\d+\.\d+)""),"""")
"),"")</f>
        <v/>
      </c>
      <c r="N711" s="3" t="str">
        <f aca="false">IFERROR(__xludf.dummyfunction("if($T711&lt;&gt;"""",REGEXEXTRACT(SUBSTITUTE ($T711,N$1&amp;"" CE"",""""), N$1&amp;""[\w &amp;]*, (\d+\.\d+)""),"""")
"),"")</f>
        <v/>
      </c>
      <c r="O711" s="3" t="str">
        <f aca="false">IFERROR(__xludf.dummyfunction("if($T711&lt;&gt;"""",REGEXEXTRACT($T711, O$1&amp;""[\w &amp;]*, (\d+\.\d+)""),"""")
"),"")</f>
        <v/>
      </c>
      <c r="P711" s="2"/>
      <c r="Q711" s="2"/>
      <c r="R711" s="2"/>
      <c r="S711" s="2"/>
      <c r="T711" s="5"/>
      <c r="U711" s="5"/>
    </row>
    <row r="712" customFormat="false" ht="15.75" hidden="false" customHeight="false" outlineLevel="0" collapsed="false">
      <c r="A712" s="4"/>
      <c r="B712" s="2"/>
      <c r="C712" s="2"/>
      <c r="D712" s="2"/>
      <c r="E712" s="2"/>
      <c r="F712" s="3" t="str">
        <f aca="false">IFERROR(__xludf.dummyfunction("if($T712&lt;&gt;"""",REGEXEXTRACT(SUBSTITUTE ($T712,F$1&amp;"" CE"",""""), F$1&amp;""[\w &amp;]*, (\d+\.\d+)""),"""")
"),"")</f>
        <v/>
      </c>
      <c r="G712" s="3" t="str">
        <f aca="false">IFERROR(__xludf.dummyfunction("if($T712&lt;&gt;"""",REGEXEXTRACT($T712, G$1&amp;""[\w &amp;]*, (\d+\.\d+)""),"""")
"),"")</f>
        <v/>
      </c>
      <c r="H712" s="3"/>
      <c r="I712" s="3" t="str">
        <f aca="false">IFERROR(__xludf.dummyfunction("if($T712&lt;&gt;"""",REGEXEXTRACT(SUBSTITUTE ($T712,I$1&amp;"" CE"",""""), I$1&amp;""[\w &amp;]*, (\d+\.\d+)""),"""")
"),"")</f>
        <v/>
      </c>
      <c r="J712" s="3" t="str">
        <f aca="false">IFERROR(__xludf.dummyfunction("if($T712&lt;&gt;"""",REGEXEXTRACT($T712, J$1&amp;""[\w &amp;]*, (\d+\.\d+)""),"""")
"),"")</f>
        <v/>
      </c>
      <c r="K712" s="3"/>
      <c r="L712" s="3" t="str">
        <f aca="false">IFERROR(__xludf.dummyfunction("if($T712&lt;&gt;"""",REGEXEXTRACT(SUBSTITUTE ($T712,L$1&amp;"" CE"",""""), L$1&amp;""[\w &amp;]*, (\d+\.\d+)""),"""")
"),"")</f>
        <v/>
      </c>
      <c r="M712" s="3" t="str">
        <f aca="false">IFERROR(__xludf.dummyfunction("if($T712&lt;&gt;"""",REGEXEXTRACT($T712, M$1&amp;""[\w &amp;]*, (\d+\.\d+)""),"""")
"),"")</f>
        <v/>
      </c>
      <c r="N712" s="3" t="str">
        <f aca="false">IFERROR(__xludf.dummyfunction("if($T712&lt;&gt;"""",REGEXEXTRACT(SUBSTITUTE ($T712,N$1&amp;"" CE"",""""), N$1&amp;""[\w &amp;]*, (\d+\.\d+)""),"""")
"),"")</f>
        <v/>
      </c>
      <c r="O712" s="3" t="str">
        <f aca="false">IFERROR(__xludf.dummyfunction("if($T712&lt;&gt;"""",REGEXEXTRACT($T712, O$1&amp;""[\w &amp;]*, (\d+\.\d+)""),"""")
"),"")</f>
        <v/>
      </c>
      <c r="P712" s="2"/>
      <c r="Q712" s="2"/>
      <c r="R712" s="2"/>
      <c r="S712" s="2"/>
      <c r="T712" s="5"/>
      <c r="U712" s="5"/>
    </row>
    <row r="713" customFormat="false" ht="15.75" hidden="false" customHeight="false" outlineLevel="0" collapsed="false">
      <c r="A713" s="4"/>
      <c r="B713" s="2"/>
      <c r="C713" s="2"/>
      <c r="D713" s="2"/>
      <c r="E713" s="2"/>
      <c r="F713" s="3" t="str">
        <f aca="false">IFERROR(__xludf.dummyfunction("if($T713&lt;&gt;"""",REGEXEXTRACT(SUBSTITUTE ($T713,F$1&amp;"" CE"",""""), F$1&amp;""[\w &amp;]*, (\d+\.\d+)""),"""")
"),"")</f>
        <v/>
      </c>
      <c r="G713" s="3" t="str">
        <f aca="false">IFERROR(__xludf.dummyfunction("if($T713&lt;&gt;"""",REGEXEXTRACT($T713, G$1&amp;""[\w &amp;]*, (\d+\.\d+)""),"""")
"),"")</f>
        <v/>
      </c>
      <c r="H713" s="3"/>
      <c r="I713" s="3" t="str">
        <f aca="false">IFERROR(__xludf.dummyfunction("if($T713&lt;&gt;"""",REGEXEXTRACT(SUBSTITUTE ($T713,I$1&amp;"" CE"",""""), I$1&amp;""[\w &amp;]*, (\d+\.\d+)""),"""")
"),"")</f>
        <v/>
      </c>
      <c r="J713" s="3" t="str">
        <f aca="false">IFERROR(__xludf.dummyfunction("if($T713&lt;&gt;"""",REGEXEXTRACT($T713, J$1&amp;""[\w &amp;]*, (\d+\.\d+)""),"""")
"),"")</f>
        <v/>
      </c>
      <c r="K713" s="3"/>
      <c r="L713" s="3" t="str">
        <f aca="false">IFERROR(__xludf.dummyfunction("if($T713&lt;&gt;"""",REGEXEXTRACT(SUBSTITUTE ($T713,L$1&amp;"" CE"",""""), L$1&amp;""[\w &amp;]*, (\d+\.\d+)""),"""")
"),"")</f>
        <v/>
      </c>
      <c r="M713" s="3" t="str">
        <f aca="false">IFERROR(__xludf.dummyfunction("if($T713&lt;&gt;"""",REGEXEXTRACT($T713, M$1&amp;""[\w &amp;]*, (\d+\.\d+)""),"""")
"),"")</f>
        <v/>
      </c>
      <c r="N713" s="3" t="str">
        <f aca="false">IFERROR(__xludf.dummyfunction("if($T713&lt;&gt;"""",REGEXEXTRACT(SUBSTITUTE ($T713,N$1&amp;"" CE"",""""), N$1&amp;""[\w &amp;]*, (\d+\.\d+)""),"""")
"),"")</f>
        <v/>
      </c>
      <c r="O713" s="3" t="str">
        <f aca="false">IFERROR(__xludf.dummyfunction("if($T713&lt;&gt;"""",REGEXEXTRACT($T713, O$1&amp;""[\w &amp;]*, (\d+\.\d+)""),"""")
"),"")</f>
        <v/>
      </c>
      <c r="P713" s="2"/>
      <c r="Q713" s="2"/>
      <c r="R713" s="2"/>
      <c r="S713" s="2"/>
      <c r="T713" s="5"/>
      <c r="U713" s="5"/>
    </row>
    <row r="714" customFormat="false" ht="15.75" hidden="false" customHeight="false" outlineLevel="0" collapsed="false">
      <c r="A714" s="4"/>
      <c r="B714" s="2"/>
      <c r="C714" s="2"/>
      <c r="D714" s="2"/>
      <c r="E714" s="2"/>
      <c r="F714" s="3" t="str">
        <f aca="false">IFERROR(__xludf.dummyfunction("if($T714&lt;&gt;"""",REGEXEXTRACT(SUBSTITUTE ($T714,F$1&amp;"" CE"",""""), F$1&amp;""[\w &amp;]*, (\d+\.\d+)""),"""")
"),"")</f>
        <v/>
      </c>
      <c r="G714" s="3" t="str">
        <f aca="false">IFERROR(__xludf.dummyfunction("if($T714&lt;&gt;"""",REGEXEXTRACT($T714, G$1&amp;""[\w &amp;]*, (\d+\.\d+)""),"""")
"),"")</f>
        <v/>
      </c>
      <c r="H714" s="3"/>
      <c r="I714" s="3" t="str">
        <f aca="false">IFERROR(__xludf.dummyfunction("if($T714&lt;&gt;"""",REGEXEXTRACT(SUBSTITUTE ($T714,I$1&amp;"" CE"",""""), I$1&amp;""[\w &amp;]*, (\d+\.\d+)""),"""")
"),"")</f>
        <v/>
      </c>
      <c r="J714" s="3" t="str">
        <f aca="false">IFERROR(__xludf.dummyfunction("if($T714&lt;&gt;"""",REGEXEXTRACT($T714, J$1&amp;""[\w &amp;]*, (\d+\.\d+)""),"""")
"),"")</f>
        <v/>
      </c>
      <c r="K714" s="3"/>
      <c r="L714" s="3" t="str">
        <f aca="false">IFERROR(__xludf.dummyfunction("if($T714&lt;&gt;"""",REGEXEXTRACT(SUBSTITUTE ($T714,L$1&amp;"" CE"",""""), L$1&amp;""[\w &amp;]*, (\d+\.\d+)""),"""")
"),"")</f>
        <v/>
      </c>
      <c r="M714" s="3" t="str">
        <f aca="false">IFERROR(__xludf.dummyfunction("if($T714&lt;&gt;"""",REGEXEXTRACT($T714, M$1&amp;""[\w &amp;]*, (\d+\.\d+)""),"""")
"),"")</f>
        <v/>
      </c>
      <c r="N714" s="3" t="str">
        <f aca="false">IFERROR(__xludf.dummyfunction("if($T714&lt;&gt;"""",REGEXEXTRACT(SUBSTITUTE ($T714,N$1&amp;"" CE"",""""), N$1&amp;""[\w &amp;]*, (\d+\.\d+)""),"""")
"),"")</f>
        <v/>
      </c>
      <c r="O714" s="3" t="str">
        <f aca="false">IFERROR(__xludf.dummyfunction("if($T714&lt;&gt;"""",REGEXEXTRACT($T714, O$1&amp;""[\w &amp;]*, (\d+\.\d+)""),"""")
"),"")</f>
        <v/>
      </c>
      <c r="P714" s="2"/>
      <c r="Q714" s="2"/>
      <c r="R714" s="2"/>
      <c r="S714" s="2"/>
      <c r="T714" s="5"/>
      <c r="U714" s="5"/>
    </row>
    <row r="715" customFormat="false" ht="15.75" hidden="false" customHeight="false" outlineLevel="0" collapsed="false">
      <c r="A715" s="4"/>
      <c r="B715" s="2"/>
      <c r="C715" s="2"/>
      <c r="D715" s="2"/>
      <c r="E715" s="2"/>
      <c r="F715" s="3" t="str">
        <f aca="false">IFERROR(__xludf.dummyfunction("if($T715&lt;&gt;"""",REGEXEXTRACT(SUBSTITUTE ($T715,F$1&amp;"" CE"",""""), F$1&amp;""[\w &amp;]*, (\d+\.\d+)""),"""")
"),"")</f>
        <v/>
      </c>
      <c r="G715" s="3" t="str">
        <f aca="false">IFERROR(__xludf.dummyfunction("if($T715&lt;&gt;"""",REGEXEXTRACT($T715, G$1&amp;""[\w &amp;]*, (\d+\.\d+)""),"""")
"),"")</f>
        <v/>
      </c>
      <c r="H715" s="3"/>
      <c r="I715" s="3" t="str">
        <f aca="false">IFERROR(__xludf.dummyfunction("if($T715&lt;&gt;"""",REGEXEXTRACT(SUBSTITUTE ($T715,I$1&amp;"" CE"",""""), I$1&amp;""[\w &amp;]*, (\d+\.\d+)""),"""")
"),"")</f>
        <v/>
      </c>
      <c r="J715" s="3" t="str">
        <f aca="false">IFERROR(__xludf.dummyfunction("if($T715&lt;&gt;"""",REGEXEXTRACT($T715, J$1&amp;""[\w &amp;]*, (\d+\.\d+)""),"""")
"),"")</f>
        <v/>
      </c>
      <c r="K715" s="3"/>
      <c r="L715" s="3" t="str">
        <f aca="false">IFERROR(__xludf.dummyfunction("if($T715&lt;&gt;"""",REGEXEXTRACT(SUBSTITUTE ($T715,L$1&amp;"" CE"",""""), L$1&amp;""[\w &amp;]*, (\d+\.\d+)""),"""")
"),"")</f>
        <v/>
      </c>
      <c r="M715" s="3" t="str">
        <f aca="false">IFERROR(__xludf.dummyfunction("if($T715&lt;&gt;"""",REGEXEXTRACT($T715, M$1&amp;""[\w &amp;]*, (\d+\.\d+)""),"""")
"),"")</f>
        <v/>
      </c>
      <c r="N715" s="3" t="str">
        <f aca="false">IFERROR(__xludf.dummyfunction("if($T715&lt;&gt;"""",REGEXEXTRACT(SUBSTITUTE ($T715,N$1&amp;"" CE"",""""), N$1&amp;""[\w &amp;]*, (\d+\.\d+)""),"""")
"),"")</f>
        <v/>
      </c>
      <c r="O715" s="3" t="str">
        <f aca="false">IFERROR(__xludf.dummyfunction("if($T715&lt;&gt;"""",REGEXEXTRACT($T715, O$1&amp;""[\w &amp;]*, (\d+\.\d+)""),"""")
"),"")</f>
        <v/>
      </c>
      <c r="P715" s="2"/>
      <c r="Q715" s="2"/>
      <c r="R715" s="2"/>
      <c r="S715" s="2"/>
      <c r="T715" s="5"/>
      <c r="U715" s="5"/>
    </row>
    <row r="716" customFormat="false" ht="15.75" hidden="false" customHeight="false" outlineLevel="0" collapsed="false">
      <c r="A716" s="4"/>
      <c r="B716" s="2"/>
      <c r="C716" s="2"/>
      <c r="D716" s="2"/>
      <c r="E716" s="2"/>
      <c r="F716" s="3" t="str">
        <f aca="false">IFERROR(__xludf.dummyfunction("if($T716&lt;&gt;"""",REGEXEXTRACT(SUBSTITUTE ($T716,F$1&amp;"" CE"",""""), F$1&amp;""[\w &amp;]*, (\d+\.\d+)""),"""")
"),"")</f>
        <v/>
      </c>
      <c r="G716" s="3" t="str">
        <f aca="false">IFERROR(__xludf.dummyfunction("if($T716&lt;&gt;"""",REGEXEXTRACT($T716, G$1&amp;""[\w &amp;]*, (\d+\.\d+)""),"""")
"),"")</f>
        <v/>
      </c>
      <c r="H716" s="3"/>
      <c r="I716" s="3" t="str">
        <f aca="false">IFERROR(__xludf.dummyfunction("if($T716&lt;&gt;"""",REGEXEXTRACT(SUBSTITUTE ($T716,I$1&amp;"" CE"",""""), I$1&amp;""[\w &amp;]*, (\d+\.\d+)""),"""")
"),"")</f>
        <v/>
      </c>
      <c r="J716" s="3" t="str">
        <f aca="false">IFERROR(__xludf.dummyfunction("if($T716&lt;&gt;"""",REGEXEXTRACT($T716, J$1&amp;""[\w &amp;]*, (\d+\.\d+)""),"""")
"),"")</f>
        <v/>
      </c>
      <c r="K716" s="3"/>
      <c r="L716" s="3" t="str">
        <f aca="false">IFERROR(__xludf.dummyfunction("if($T716&lt;&gt;"""",REGEXEXTRACT(SUBSTITUTE ($T716,L$1&amp;"" CE"",""""), L$1&amp;""[\w &amp;]*, (\d+\.\d+)""),"""")
"),"")</f>
        <v/>
      </c>
      <c r="M716" s="3" t="str">
        <f aca="false">IFERROR(__xludf.dummyfunction("if($T716&lt;&gt;"""",REGEXEXTRACT($T716, M$1&amp;""[\w &amp;]*, (\d+\.\d+)""),"""")
"),"")</f>
        <v/>
      </c>
      <c r="N716" s="3" t="str">
        <f aca="false">IFERROR(__xludf.dummyfunction("if($T716&lt;&gt;"""",REGEXEXTRACT(SUBSTITUTE ($T716,N$1&amp;"" CE"",""""), N$1&amp;""[\w &amp;]*, (\d+\.\d+)""),"""")
"),"")</f>
        <v/>
      </c>
      <c r="O716" s="3" t="str">
        <f aca="false">IFERROR(__xludf.dummyfunction("if($T716&lt;&gt;"""",REGEXEXTRACT($T716, O$1&amp;""[\w &amp;]*, (\d+\.\d+)""),"""")
"),"")</f>
        <v/>
      </c>
      <c r="P716" s="2"/>
      <c r="Q716" s="2"/>
      <c r="R716" s="2"/>
      <c r="S716" s="2"/>
      <c r="T716" s="5"/>
      <c r="U716" s="5"/>
    </row>
    <row r="717" customFormat="false" ht="15.75" hidden="false" customHeight="false" outlineLevel="0" collapsed="false">
      <c r="A717" s="4"/>
      <c r="B717" s="2"/>
      <c r="C717" s="2"/>
      <c r="D717" s="2"/>
      <c r="E717" s="2"/>
      <c r="F717" s="3" t="str">
        <f aca="false">IFERROR(__xludf.dummyfunction("if($T717&lt;&gt;"""",REGEXEXTRACT(SUBSTITUTE ($T717,F$1&amp;"" CE"",""""), F$1&amp;""[\w &amp;]*, (\d+\.\d+)""),"""")
"),"")</f>
        <v/>
      </c>
      <c r="G717" s="3" t="str">
        <f aca="false">IFERROR(__xludf.dummyfunction("if($T717&lt;&gt;"""",REGEXEXTRACT($T717, G$1&amp;""[\w &amp;]*, (\d+\.\d+)""),"""")
"),"")</f>
        <v/>
      </c>
      <c r="H717" s="3"/>
      <c r="I717" s="3" t="str">
        <f aca="false">IFERROR(__xludf.dummyfunction("if($T717&lt;&gt;"""",REGEXEXTRACT(SUBSTITUTE ($T717,I$1&amp;"" CE"",""""), I$1&amp;""[\w &amp;]*, (\d+\.\d+)""),"""")
"),"")</f>
        <v/>
      </c>
      <c r="J717" s="3" t="str">
        <f aca="false">IFERROR(__xludf.dummyfunction("if($T717&lt;&gt;"""",REGEXEXTRACT($T717, J$1&amp;""[\w &amp;]*, (\d+\.\d+)""),"""")
"),"")</f>
        <v/>
      </c>
      <c r="K717" s="3"/>
      <c r="L717" s="3" t="str">
        <f aca="false">IFERROR(__xludf.dummyfunction("if($T717&lt;&gt;"""",REGEXEXTRACT(SUBSTITUTE ($T717,L$1&amp;"" CE"",""""), L$1&amp;""[\w &amp;]*, (\d+\.\d+)""),"""")
"),"")</f>
        <v/>
      </c>
      <c r="M717" s="3" t="str">
        <f aca="false">IFERROR(__xludf.dummyfunction("if($T717&lt;&gt;"""",REGEXEXTRACT($T717, M$1&amp;""[\w &amp;]*, (\d+\.\d+)""),"""")
"),"")</f>
        <v/>
      </c>
      <c r="N717" s="3" t="str">
        <f aca="false">IFERROR(__xludf.dummyfunction("if($T717&lt;&gt;"""",REGEXEXTRACT(SUBSTITUTE ($T717,N$1&amp;"" CE"",""""), N$1&amp;""[\w &amp;]*, (\d+\.\d+)""),"""")
"),"")</f>
        <v/>
      </c>
      <c r="O717" s="3" t="str">
        <f aca="false">IFERROR(__xludf.dummyfunction("if($T717&lt;&gt;"""",REGEXEXTRACT($T717, O$1&amp;""[\w &amp;]*, (\d+\.\d+)""),"""")
"),"")</f>
        <v/>
      </c>
      <c r="P717" s="2"/>
      <c r="Q717" s="2"/>
      <c r="R717" s="2"/>
      <c r="S717" s="2"/>
      <c r="T717" s="5"/>
      <c r="U717" s="5"/>
    </row>
    <row r="718" customFormat="false" ht="15.75" hidden="false" customHeight="false" outlineLevel="0" collapsed="false">
      <c r="A718" s="4"/>
      <c r="B718" s="2"/>
      <c r="C718" s="2"/>
      <c r="D718" s="2"/>
      <c r="E718" s="2"/>
      <c r="F718" s="3" t="str">
        <f aca="false">IFERROR(__xludf.dummyfunction("if($T718&lt;&gt;"""",REGEXEXTRACT(SUBSTITUTE ($T718,F$1&amp;"" CE"",""""), F$1&amp;""[\w &amp;]*, (\d+\.\d+)""),"""")
"),"")</f>
        <v/>
      </c>
      <c r="G718" s="3" t="str">
        <f aca="false">IFERROR(__xludf.dummyfunction("if($T718&lt;&gt;"""",REGEXEXTRACT($T718, G$1&amp;""[\w &amp;]*, (\d+\.\d+)""),"""")
"),"")</f>
        <v/>
      </c>
      <c r="H718" s="3"/>
      <c r="I718" s="3" t="str">
        <f aca="false">IFERROR(__xludf.dummyfunction("if($T718&lt;&gt;"""",REGEXEXTRACT(SUBSTITUTE ($T718,I$1&amp;"" CE"",""""), I$1&amp;""[\w &amp;]*, (\d+\.\d+)""),"""")
"),"")</f>
        <v/>
      </c>
      <c r="J718" s="3" t="str">
        <f aca="false">IFERROR(__xludf.dummyfunction("if($T718&lt;&gt;"""",REGEXEXTRACT($T718, J$1&amp;""[\w &amp;]*, (\d+\.\d+)""),"""")
"),"")</f>
        <v/>
      </c>
      <c r="K718" s="3"/>
      <c r="L718" s="3" t="str">
        <f aca="false">IFERROR(__xludf.dummyfunction("if($T718&lt;&gt;"""",REGEXEXTRACT(SUBSTITUTE ($T718,L$1&amp;"" CE"",""""), L$1&amp;""[\w &amp;]*, (\d+\.\d+)""),"""")
"),"")</f>
        <v/>
      </c>
      <c r="M718" s="3" t="str">
        <f aca="false">IFERROR(__xludf.dummyfunction("if($T718&lt;&gt;"""",REGEXEXTRACT($T718, M$1&amp;""[\w &amp;]*, (\d+\.\d+)""),"""")
"),"")</f>
        <v/>
      </c>
      <c r="N718" s="3" t="str">
        <f aca="false">IFERROR(__xludf.dummyfunction("if($T718&lt;&gt;"""",REGEXEXTRACT(SUBSTITUTE ($T718,N$1&amp;"" CE"",""""), N$1&amp;""[\w &amp;]*, (\d+\.\d+)""),"""")
"),"")</f>
        <v/>
      </c>
      <c r="O718" s="3" t="str">
        <f aca="false">IFERROR(__xludf.dummyfunction("if($T718&lt;&gt;"""",REGEXEXTRACT($T718, O$1&amp;""[\w &amp;]*, (\d+\.\d+)""),"""")
"),"")</f>
        <v/>
      </c>
      <c r="P718" s="2"/>
      <c r="Q718" s="2"/>
      <c r="R718" s="2"/>
      <c r="S718" s="2"/>
      <c r="T718" s="5"/>
      <c r="U718" s="5"/>
    </row>
    <row r="719" customFormat="false" ht="15.75" hidden="false" customHeight="false" outlineLevel="0" collapsed="false">
      <c r="A719" s="4"/>
      <c r="B719" s="2"/>
      <c r="C719" s="2"/>
      <c r="D719" s="2"/>
      <c r="E719" s="2"/>
      <c r="F719" s="3" t="str">
        <f aca="false">IFERROR(__xludf.dummyfunction("if($T719&lt;&gt;"""",REGEXEXTRACT(SUBSTITUTE ($T719,F$1&amp;"" CE"",""""), F$1&amp;""[\w &amp;]*, (\d+\.\d+)""),"""")
"),"")</f>
        <v/>
      </c>
      <c r="G719" s="3" t="str">
        <f aca="false">IFERROR(__xludf.dummyfunction("if($T719&lt;&gt;"""",REGEXEXTRACT($T719, G$1&amp;""[\w &amp;]*, (\d+\.\d+)""),"""")
"),"")</f>
        <v/>
      </c>
      <c r="H719" s="3"/>
      <c r="I719" s="3" t="str">
        <f aca="false">IFERROR(__xludf.dummyfunction("if($T719&lt;&gt;"""",REGEXEXTRACT(SUBSTITUTE ($T719,I$1&amp;"" CE"",""""), I$1&amp;""[\w &amp;]*, (\d+\.\d+)""),"""")
"),"")</f>
        <v/>
      </c>
      <c r="J719" s="3" t="str">
        <f aca="false">IFERROR(__xludf.dummyfunction("if($T719&lt;&gt;"""",REGEXEXTRACT($T719, J$1&amp;""[\w &amp;]*, (\d+\.\d+)""),"""")
"),"")</f>
        <v/>
      </c>
      <c r="K719" s="3"/>
      <c r="L719" s="3" t="str">
        <f aca="false">IFERROR(__xludf.dummyfunction("if($T719&lt;&gt;"""",REGEXEXTRACT(SUBSTITUTE ($T719,L$1&amp;"" CE"",""""), L$1&amp;""[\w &amp;]*, (\d+\.\d+)""),"""")
"),"")</f>
        <v/>
      </c>
      <c r="M719" s="3" t="str">
        <f aca="false">IFERROR(__xludf.dummyfunction("if($T719&lt;&gt;"""",REGEXEXTRACT($T719, M$1&amp;""[\w &amp;]*, (\d+\.\d+)""),"""")
"),"")</f>
        <v/>
      </c>
      <c r="N719" s="3" t="str">
        <f aca="false">IFERROR(__xludf.dummyfunction("if($T719&lt;&gt;"""",REGEXEXTRACT(SUBSTITUTE ($T719,N$1&amp;"" CE"",""""), N$1&amp;""[\w &amp;]*, (\d+\.\d+)""),"""")
"),"")</f>
        <v/>
      </c>
      <c r="O719" s="3" t="str">
        <f aca="false">IFERROR(__xludf.dummyfunction("if($T719&lt;&gt;"""",REGEXEXTRACT($T719, O$1&amp;""[\w &amp;]*, (\d+\.\d+)""),"""")
"),"")</f>
        <v/>
      </c>
      <c r="P719" s="2"/>
      <c r="Q719" s="2"/>
      <c r="R719" s="2"/>
      <c r="S719" s="2"/>
      <c r="T719" s="5"/>
      <c r="U719" s="5"/>
    </row>
    <row r="720" customFormat="false" ht="15.75" hidden="false" customHeight="false" outlineLevel="0" collapsed="false">
      <c r="A720" s="4"/>
      <c r="B720" s="2"/>
      <c r="C720" s="2"/>
      <c r="D720" s="2"/>
      <c r="E720" s="2"/>
      <c r="F720" s="3" t="str">
        <f aca="false">IFERROR(__xludf.dummyfunction("if($T720&lt;&gt;"""",REGEXEXTRACT(SUBSTITUTE ($T720,F$1&amp;"" CE"",""""), F$1&amp;""[\w &amp;]*, (\d+\.\d+)""),"""")
"),"")</f>
        <v/>
      </c>
      <c r="G720" s="3" t="str">
        <f aca="false">IFERROR(__xludf.dummyfunction("if($T720&lt;&gt;"""",REGEXEXTRACT($T720, G$1&amp;""[\w &amp;]*, (\d+\.\d+)""),"""")
"),"")</f>
        <v/>
      </c>
      <c r="H720" s="3"/>
      <c r="I720" s="3" t="str">
        <f aca="false">IFERROR(__xludf.dummyfunction("if($T720&lt;&gt;"""",REGEXEXTRACT(SUBSTITUTE ($T720,I$1&amp;"" CE"",""""), I$1&amp;""[\w &amp;]*, (\d+\.\d+)""),"""")
"),"")</f>
        <v/>
      </c>
      <c r="J720" s="3" t="str">
        <f aca="false">IFERROR(__xludf.dummyfunction("if($T720&lt;&gt;"""",REGEXEXTRACT($T720, J$1&amp;""[\w &amp;]*, (\d+\.\d+)""),"""")
"),"")</f>
        <v/>
      </c>
      <c r="K720" s="3"/>
      <c r="L720" s="3" t="str">
        <f aca="false">IFERROR(__xludf.dummyfunction("if($T720&lt;&gt;"""",REGEXEXTRACT(SUBSTITUTE ($T720,L$1&amp;"" CE"",""""), L$1&amp;""[\w &amp;]*, (\d+\.\d+)""),"""")
"),"")</f>
        <v/>
      </c>
      <c r="M720" s="3" t="str">
        <f aca="false">IFERROR(__xludf.dummyfunction("if($T720&lt;&gt;"""",REGEXEXTRACT($T720, M$1&amp;""[\w &amp;]*, (\d+\.\d+)""),"""")
"),"")</f>
        <v/>
      </c>
      <c r="N720" s="3" t="str">
        <f aca="false">IFERROR(__xludf.dummyfunction("if($T720&lt;&gt;"""",REGEXEXTRACT(SUBSTITUTE ($T720,N$1&amp;"" CE"",""""), N$1&amp;""[\w &amp;]*, (\d+\.\d+)""),"""")
"),"")</f>
        <v/>
      </c>
      <c r="O720" s="3" t="str">
        <f aca="false">IFERROR(__xludf.dummyfunction("if($T720&lt;&gt;"""",REGEXEXTRACT($T720, O$1&amp;""[\w &amp;]*, (\d+\.\d+)""),"""")
"),"")</f>
        <v/>
      </c>
      <c r="P720" s="2"/>
      <c r="Q720" s="2"/>
      <c r="R720" s="2"/>
      <c r="S720" s="2"/>
      <c r="T720" s="5"/>
      <c r="U720" s="5"/>
    </row>
    <row r="721" customFormat="false" ht="15.75" hidden="false" customHeight="false" outlineLevel="0" collapsed="false">
      <c r="A721" s="4"/>
      <c r="B721" s="2"/>
      <c r="C721" s="2"/>
      <c r="D721" s="2"/>
      <c r="E721" s="2"/>
      <c r="F721" s="3" t="str">
        <f aca="false">IFERROR(__xludf.dummyfunction("if($T721&lt;&gt;"""",REGEXEXTRACT(SUBSTITUTE ($T721,F$1&amp;"" CE"",""""), F$1&amp;""[\w &amp;]*, (\d+\.\d+)""),"""")
"),"")</f>
        <v/>
      </c>
      <c r="G721" s="3" t="str">
        <f aca="false">IFERROR(__xludf.dummyfunction("if($T721&lt;&gt;"""",REGEXEXTRACT($T721, G$1&amp;""[\w &amp;]*, (\d+\.\d+)""),"""")
"),"")</f>
        <v/>
      </c>
      <c r="H721" s="3"/>
      <c r="I721" s="3" t="str">
        <f aca="false">IFERROR(__xludf.dummyfunction("if($T721&lt;&gt;"""",REGEXEXTRACT(SUBSTITUTE ($T721,I$1&amp;"" CE"",""""), I$1&amp;""[\w &amp;]*, (\d+\.\d+)""),"""")
"),"")</f>
        <v/>
      </c>
      <c r="J721" s="3" t="str">
        <f aca="false">IFERROR(__xludf.dummyfunction("if($T721&lt;&gt;"""",REGEXEXTRACT($T721, J$1&amp;""[\w &amp;]*, (\d+\.\d+)""),"""")
"),"")</f>
        <v/>
      </c>
      <c r="K721" s="3"/>
      <c r="L721" s="3" t="str">
        <f aca="false">IFERROR(__xludf.dummyfunction("if($T721&lt;&gt;"""",REGEXEXTRACT(SUBSTITUTE ($T721,L$1&amp;"" CE"",""""), L$1&amp;""[\w &amp;]*, (\d+\.\d+)""),"""")
"),"")</f>
        <v/>
      </c>
      <c r="M721" s="3" t="str">
        <f aca="false">IFERROR(__xludf.dummyfunction("if($T721&lt;&gt;"""",REGEXEXTRACT($T721, M$1&amp;""[\w &amp;]*, (\d+\.\d+)""),"""")
"),"")</f>
        <v/>
      </c>
      <c r="N721" s="3" t="str">
        <f aca="false">IFERROR(__xludf.dummyfunction("if($T721&lt;&gt;"""",REGEXEXTRACT(SUBSTITUTE ($T721,N$1&amp;"" CE"",""""), N$1&amp;""[\w &amp;]*, (\d+\.\d+)""),"""")
"),"")</f>
        <v/>
      </c>
      <c r="O721" s="3" t="str">
        <f aca="false">IFERROR(__xludf.dummyfunction("if($T721&lt;&gt;"""",REGEXEXTRACT($T721, O$1&amp;""[\w &amp;]*, (\d+\.\d+)""),"""")
"),"")</f>
        <v/>
      </c>
      <c r="P721" s="2"/>
      <c r="Q721" s="2"/>
      <c r="R721" s="2"/>
      <c r="S721" s="2"/>
      <c r="T721" s="5"/>
      <c r="U721" s="5"/>
    </row>
    <row r="722" customFormat="false" ht="15.75" hidden="false" customHeight="false" outlineLevel="0" collapsed="false">
      <c r="A722" s="4"/>
      <c r="B722" s="2"/>
      <c r="C722" s="2"/>
      <c r="D722" s="2"/>
      <c r="E722" s="2"/>
      <c r="F722" s="3" t="str">
        <f aca="false">IFERROR(__xludf.dummyfunction("if($T722&lt;&gt;"""",REGEXEXTRACT(SUBSTITUTE ($T722,F$1&amp;"" CE"",""""), F$1&amp;""[\w &amp;]*, (\d+\.\d+)""),"""")
"),"")</f>
        <v/>
      </c>
      <c r="G722" s="3" t="str">
        <f aca="false">IFERROR(__xludf.dummyfunction("if($T722&lt;&gt;"""",REGEXEXTRACT($T722, G$1&amp;""[\w &amp;]*, (\d+\.\d+)""),"""")
"),"")</f>
        <v/>
      </c>
      <c r="H722" s="3"/>
      <c r="I722" s="3" t="str">
        <f aca="false">IFERROR(__xludf.dummyfunction("if($T722&lt;&gt;"""",REGEXEXTRACT(SUBSTITUTE ($T722,I$1&amp;"" CE"",""""), I$1&amp;""[\w &amp;]*, (\d+\.\d+)""),"""")
"),"")</f>
        <v/>
      </c>
      <c r="J722" s="3" t="str">
        <f aca="false">IFERROR(__xludf.dummyfunction("if($T722&lt;&gt;"""",REGEXEXTRACT($T722, J$1&amp;""[\w &amp;]*, (\d+\.\d+)""),"""")
"),"")</f>
        <v/>
      </c>
      <c r="K722" s="3"/>
      <c r="L722" s="3" t="str">
        <f aca="false">IFERROR(__xludf.dummyfunction("if($T722&lt;&gt;"""",REGEXEXTRACT(SUBSTITUTE ($T722,L$1&amp;"" CE"",""""), L$1&amp;""[\w &amp;]*, (\d+\.\d+)""),"""")
"),"")</f>
        <v/>
      </c>
      <c r="M722" s="3" t="str">
        <f aca="false">IFERROR(__xludf.dummyfunction("if($T722&lt;&gt;"""",REGEXEXTRACT($T722, M$1&amp;""[\w &amp;]*, (\d+\.\d+)""),"""")
"),"")</f>
        <v/>
      </c>
      <c r="N722" s="3" t="str">
        <f aca="false">IFERROR(__xludf.dummyfunction("if($T722&lt;&gt;"""",REGEXEXTRACT(SUBSTITUTE ($T722,N$1&amp;"" CE"",""""), N$1&amp;""[\w &amp;]*, (\d+\.\d+)""),"""")
"),"")</f>
        <v/>
      </c>
      <c r="O722" s="3" t="str">
        <f aca="false">IFERROR(__xludf.dummyfunction("if($T722&lt;&gt;"""",REGEXEXTRACT($T722, O$1&amp;""[\w &amp;]*, (\d+\.\d+)""),"""")
"),"")</f>
        <v/>
      </c>
      <c r="P722" s="2"/>
      <c r="Q722" s="2"/>
      <c r="R722" s="2"/>
      <c r="S722" s="2"/>
      <c r="T722" s="5"/>
      <c r="U722" s="5"/>
    </row>
    <row r="723" customFormat="false" ht="15.75" hidden="false" customHeight="false" outlineLevel="0" collapsed="false">
      <c r="A723" s="4"/>
      <c r="B723" s="2"/>
      <c r="C723" s="2"/>
      <c r="D723" s="2"/>
      <c r="E723" s="2"/>
      <c r="F723" s="3" t="str">
        <f aca="false">IFERROR(__xludf.dummyfunction("if($T723&lt;&gt;"""",REGEXEXTRACT(SUBSTITUTE ($T723,F$1&amp;"" CE"",""""), F$1&amp;""[\w &amp;]*, (\d+\.\d+)""),"""")
"),"")</f>
        <v/>
      </c>
      <c r="G723" s="3" t="str">
        <f aca="false">IFERROR(__xludf.dummyfunction("if($T723&lt;&gt;"""",REGEXEXTRACT($T723, G$1&amp;""[\w &amp;]*, (\d+\.\d+)""),"""")
"),"")</f>
        <v/>
      </c>
      <c r="H723" s="3"/>
      <c r="I723" s="3" t="str">
        <f aca="false">IFERROR(__xludf.dummyfunction("if($T723&lt;&gt;"""",REGEXEXTRACT(SUBSTITUTE ($T723,I$1&amp;"" CE"",""""), I$1&amp;""[\w &amp;]*, (\d+\.\d+)""),"""")
"),"")</f>
        <v/>
      </c>
      <c r="J723" s="3" t="str">
        <f aca="false">IFERROR(__xludf.dummyfunction("if($T723&lt;&gt;"""",REGEXEXTRACT($T723, J$1&amp;""[\w &amp;]*, (\d+\.\d+)""),"""")
"),"")</f>
        <v/>
      </c>
      <c r="K723" s="3"/>
      <c r="L723" s="3" t="str">
        <f aca="false">IFERROR(__xludf.dummyfunction("if($T723&lt;&gt;"""",REGEXEXTRACT(SUBSTITUTE ($T723,L$1&amp;"" CE"",""""), L$1&amp;""[\w &amp;]*, (\d+\.\d+)""),"""")
"),"")</f>
        <v/>
      </c>
      <c r="M723" s="3" t="str">
        <f aca="false">IFERROR(__xludf.dummyfunction("if($T723&lt;&gt;"""",REGEXEXTRACT($T723, M$1&amp;""[\w &amp;]*, (\d+\.\d+)""),"""")
"),"")</f>
        <v/>
      </c>
      <c r="N723" s="3" t="str">
        <f aca="false">IFERROR(__xludf.dummyfunction("if($T723&lt;&gt;"""",REGEXEXTRACT(SUBSTITUTE ($T723,N$1&amp;"" CE"",""""), N$1&amp;""[\w &amp;]*, (\d+\.\d+)""),"""")
"),"")</f>
        <v/>
      </c>
      <c r="O723" s="3" t="str">
        <f aca="false">IFERROR(__xludf.dummyfunction("if($T723&lt;&gt;"""",REGEXEXTRACT($T723, O$1&amp;""[\w &amp;]*, (\d+\.\d+)""),"""")
"),"")</f>
        <v/>
      </c>
      <c r="P723" s="2"/>
      <c r="Q723" s="2"/>
      <c r="R723" s="2"/>
      <c r="S723" s="2"/>
      <c r="T723" s="5"/>
      <c r="U723" s="5"/>
    </row>
    <row r="724" customFormat="false" ht="15.75" hidden="false" customHeight="false" outlineLevel="0" collapsed="false">
      <c r="A724" s="4"/>
      <c r="B724" s="2"/>
      <c r="C724" s="2"/>
      <c r="D724" s="2"/>
      <c r="E724" s="2"/>
      <c r="F724" s="3" t="str">
        <f aca="false">IFERROR(__xludf.dummyfunction("if($T724&lt;&gt;"""",REGEXEXTRACT(SUBSTITUTE ($T724,F$1&amp;"" CE"",""""), F$1&amp;""[\w &amp;]*, (\d+\.\d+)""),"""")
"),"")</f>
        <v/>
      </c>
      <c r="G724" s="3" t="str">
        <f aca="false">IFERROR(__xludf.dummyfunction("if($T724&lt;&gt;"""",REGEXEXTRACT($T724, G$1&amp;""[\w &amp;]*, (\d+\.\d+)""),"""")
"),"")</f>
        <v/>
      </c>
      <c r="H724" s="3"/>
      <c r="I724" s="3" t="str">
        <f aca="false">IFERROR(__xludf.dummyfunction("if($T724&lt;&gt;"""",REGEXEXTRACT(SUBSTITUTE ($T724,I$1&amp;"" CE"",""""), I$1&amp;""[\w &amp;]*, (\d+\.\d+)""),"""")
"),"")</f>
        <v/>
      </c>
      <c r="J724" s="3" t="str">
        <f aca="false">IFERROR(__xludf.dummyfunction("if($T724&lt;&gt;"""",REGEXEXTRACT($T724, J$1&amp;""[\w &amp;]*, (\d+\.\d+)""),"""")
"),"")</f>
        <v/>
      </c>
      <c r="K724" s="3"/>
      <c r="L724" s="3" t="str">
        <f aca="false">IFERROR(__xludf.dummyfunction("if($T724&lt;&gt;"""",REGEXEXTRACT(SUBSTITUTE ($T724,L$1&amp;"" CE"",""""), L$1&amp;""[\w &amp;]*, (\d+\.\d+)""),"""")
"),"")</f>
        <v/>
      </c>
      <c r="M724" s="3" t="str">
        <f aca="false">IFERROR(__xludf.dummyfunction("if($T724&lt;&gt;"""",REGEXEXTRACT($T724, M$1&amp;""[\w &amp;]*, (\d+\.\d+)""),"""")
"),"")</f>
        <v/>
      </c>
      <c r="N724" s="3" t="str">
        <f aca="false">IFERROR(__xludf.dummyfunction("if($T724&lt;&gt;"""",REGEXEXTRACT(SUBSTITUTE ($T724,N$1&amp;"" CE"",""""), N$1&amp;""[\w &amp;]*, (\d+\.\d+)""),"""")
"),"")</f>
        <v/>
      </c>
      <c r="O724" s="3" t="str">
        <f aca="false">IFERROR(__xludf.dummyfunction("if($T724&lt;&gt;"""",REGEXEXTRACT($T724, O$1&amp;""[\w &amp;]*, (\d+\.\d+)""),"""")
"),"")</f>
        <v/>
      </c>
      <c r="P724" s="2"/>
      <c r="Q724" s="2"/>
      <c r="R724" s="2"/>
      <c r="S724" s="2"/>
      <c r="T724" s="5"/>
      <c r="U724" s="5"/>
    </row>
    <row r="725" customFormat="false" ht="15.75" hidden="false" customHeight="false" outlineLevel="0" collapsed="false">
      <c r="A725" s="4"/>
      <c r="B725" s="2"/>
      <c r="C725" s="2"/>
      <c r="D725" s="2"/>
      <c r="E725" s="2"/>
      <c r="F725" s="3" t="str">
        <f aca="false">IFERROR(__xludf.dummyfunction("if($T725&lt;&gt;"""",REGEXEXTRACT(SUBSTITUTE ($T725,F$1&amp;"" CE"",""""), F$1&amp;""[\w &amp;]*, (\d+\.\d+)""),"""")
"),"")</f>
        <v/>
      </c>
      <c r="G725" s="3" t="str">
        <f aca="false">IFERROR(__xludf.dummyfunction("if($T725&lt;&gt;"""",REGEXEXTRACT($T725, G$1&amp;""[\w &amp;]*, (\d+\.\d+)""),"""")
"),"")</f>
        <v/>
      </c>
      <c r="H725" s="3"/>
      <c r="I725" s="3" t="str">
        <f aca="false">IFERROR(__xludf.dummyfunction("if($T725&lt;&gt;"""",REGEXEXTRACT(SUBSTITUTE ($T725,I$1&amp;"" CE"",""""), I$1&amp;""[\w &amp;]*, (\d+\.\d+)""),"""")
"),"")</f>
        <v/>
      </c>
      <c r="J725" s="3" t="str">
        <f aca="false">IFERROR(__xludf.dummyfunction("if($T725&lt;&gt;"""",REGEXEXTRACT($T725, J$1&amp;""[\w &amp;]*, (\d+\.\d+)""),"""")
"),"")</f>
        <v/>
      </c>
      <c r="K725" s="3"/>
      <c r="L725" s="3" t="str">
        <f aca="false">IFERROR(__xludf.dummyfunction("if($T725&lt;&gt;"""",REGEXEXTRACT(SUBSTITUTE ($T725,L$1&amp;"" CE"",""""), L$1&amp;""[\w &amp;]*, (\d+\.\d+)""),"""")
"),"")</f>
        <v/>
      </c>
      <c r="M725" s="3" t="str">
        <f aca="false">IFERROR(__xludf.dummyfunction("if($T725&lt;&gt;"""",REGEXEXTRACT($T725, M$1&amp;""[\w &amp;]*, (\d+\.\d+)""),"""")
"),"")</f>
        <v/>
      </c>
      <c r="N725" s="3" t="str">
        <f aca="false">IFERROR(__xludf.dummyfunction("if($T725&lt;&gt;"""",REGEXEXTRACT(SUBSTITUTE ($T725,N$1&amp;"" CE"",""""), N$1&amp;""[\w &amp;]*, (\d+\.\d+)""),"""")
"),"")</f>
        <v/>
      </c>
      <c r="O725" s="3" t="str">
        <f aca="false">IFERROR(__xludf.dummyfunction("if($T725&lt;&gt;"""",REGEXEXTRACT($T725, O$1&amp;""[\w &amp;]*, (\d+\.\d+)""),"""")
"),"")</f>
        <v/>
      </c>
      <c r="P725" s="2"/>
      <c r="Q725" s="2"/>
      <c r="R725" s="2"/>
      <c r="S725" s="2"/>
      <c r="T725" s="5"/>
      <c r="U725" s="5"/>
    </row>
    <row r="726" customFormat="false" ht="15.75" hidden="false" customHeight="false" outlineLevel="0" collapsed="false">
      <c r="A726" s="4"/>
      <c r="B726" s="2"/>
      <c r="C726" s="2"/>
      <c r="D726" s="2"/>
      <c r="E726" s="2"/>
      <c r="F726" s="3" t="str">
        <f aca="false">IFERROR(__xludf.dummyfunction("if($T726&lt;&gt;"""",REGEXEXTRACT(SUBSTITUTE ($T726,F$1&amp;"" CE"",""""), F$1&amp;""[\w &amp;]*, (\d+\.\d+)""),"""")
"),"")</f>
        <v/>
      </c>
      <c r="G726" s="3" t="str">
        <f aca="false">IFERROR(__xludf.dummyfunction("if($T726&lt;&gt;"""",REGEXEXTRACT($T726, G$1&amp;""[\w &amp;]*, (\d+\.\d+)""),"""")
"),"")</f>
        <v/>
      </c>
      <c r="H726" s="3"/>
      <c r="I726" s="3" t="str">
        <f aca="false">IFERROR(__xludf.dummyfunction("if($T726&lt;&gt;"""",REGEXEXTRACT(SUBSTITUTE ($T726,I$1&amp;"" CE"",""""), I$1&amp;""[\w &amp;]*, (\d+\.\d+)""),"""")
"),"")</f>
        <v/>
      </c>
      <c r="J726" s="3" t="str">
        <f aca="false">IFERROR(__xludf.dummyfunction("if($T726&lt;&gt;"""",REGEXEXTRACT($T726, J$1&amp;""[\w &amp;]*, (\d+\.\d+)""),"""")
"),"")</f>
        <v/>
      </c>
      <c r="K726" s="3"/>
      <c r="L726" s="3" t="str">
        <f aca="false">IFERROR(__xludf.dummyfunction("if($T726&lt;&gt;"""",REGEXEXTRACT(SUBSTITUTE ($T726,L$1&amp;"" CE"",""""), L$1&amp;""[\w &amp;]*, (\d+\.\d+)""),"""")
"),"")</f>
        <v/>
      </c>
      <c r="M726" s="3" t="str">
        <f aca="false">IFERROR(__xludf.dummyfunction("if($T726&lt;&gt;"""",REGEXEXTRACT($T726, M$1&amp;""[\w &amp;]*, (\d+\.\d+)""),"""")
"),"")</f>
        <v/>
      </c>
      <c r="N726" s="3" t="str">
        <f aca="false">IFERROR(__xludf.dummyfunction("if($T726&lt;&gt;"""",REGEXEXTRACT(SUBSTITUTE ($T726,N$1&amp;"" CE"",""""), N$1&amp;""[\w &amp;]*, (\d+\.\d+)""),"""")
"),"")</f>
        <v/>
      </c>
      <c r="O726" s="3" t="str">
        <f aca="false">IFERROR(__xludf.dummyfunction("if($T726&lt;&gt;"""",REGEXEXTRACT($T726, O$1&amp;""[\w &amp;]*, (\d+\.\d+)""),"""")
"),"")</f>
        <v/>
      </c>
      <c r="P726" s="2"/>
      <c r="Q726" s="2"/>
      <c r="R726" s="2"/>
      <c r="S726" s="2"/>
      <c r="T726" s="5"/>
      <c r="U726" s="5"/>
    </row>
    <row r="727" customFormat="false" ht="15.75" hidden="false" customHeight="false" outlineLevel="0" collapsed="false">
      <c r="A727" s="4"/>
      <c r="B727" s="2"/>
      <c r="C727" s="2"/>
      <c r="D727" s="2"/>
      <c r="E727" s="2"/>
      <c r="F727" s="3" t="str">
        <f aca="false">IFERROR(__xludf.dummyfunction("if($T727&lt;&gt;"""",REGEXEXTRACT(SUBSTITUTE ($T727,F$1&amp;"" CE"",""""), F$1&amp;""[\w &amp;]*, (\d+\.\d+)""),"""")
"),"")</f>
        <v/>
      </c>
      <c r="G727" s="3" t="str">
        <f aca="false">IFERROR(__xludf.dummyfunction("if($T727&lt;&gt;"""",REGEXEXTRACT($T727, G$1&amp;""[\w &amp;]*, (\d+\.\d+)""),"""")
"),"")</f>
        <v/>
      </c>
      <c r="H727" s="3"/>
      <c r="I727" s="3" t="str">
        <f aca="false">IFERROR(__xludf.dummyfunction("if($T727&lt;&gt;"""",REGEXEXTRACT(SUBSTITUTE ($T727,I$1&amp;"" CE"",""""), I$1&amp;""[\w &amp;]*, (\d+\.\d+)""),"""")
"),"")</f>
        <v/>
      </c>
      <c r="J727" s="3" t="str">
        <f aca="false">IFERROR(__xludf.dummyfunction("if($T727&lt;&gt;"""",REGEXEXTRACT($T727, J$1&amp;""[\w &amp;]*, (\d+\.\d+)""),"""")
"),"")</f>
        <v/>
      </c>
      <c r="K727" s="3"/>
      <c r="L727" s="3" t="str">
        <f aca="false">IFERROR(__xludf.dummyfunction("if($T727&lt;&gt;"""",REGEXEXTRACT(SUBSTITUTE ($T727,L$1&amp;"" CE"",""""), L$1&amp;""[\w &amp;]*, (\d+\.\d+)""),"""")
"),"")</f>
        <v/>
      </c>
      <c r="M727" s="3" t="str">
        <f aca="false">IFERROR(__xludf.dummyfunction("if($T727&lt;&gt;"""",REGEXEXTRACT($T727, M$1&amp;""[\w &amp;]*, (\d+\.\d+)""),"""")
"),"")</f>
        <v/>
      </c>
      <c r="N727" s="3" t="str">
        <f aca="false">IFERROR(__xludf.dummyfunction("if($T727&lt;&gt;"""",REGEXEXTRACT(SUBSTITUTE ($T727,N$1&amp;"" CE"",""""), N$1&amp;""[\w &amp;]*, (\d+\.\d+)""),"""")
"),"")</f>
        <v/>
      </c>
      <c r="O727" s="3" t="str">
        <f aca="false">IFERROR(__xludf.dummyfunction("if($T727&lt;&gt;"""",REGEXEXTRACT($T727, O$1&amp;""[\w &amp;]*, (\d+\.\d+)""),"""")
"),"")</f>
        <v/>
      </c>
      <c r="P727" s="2"/>
      <c r="Q727" s="2"/>
      <c r="R727" s="2"/>
      <c r="S727" s="2"/>
      <c r="T727" s="5"/>
      <c r="U727" s="5"/>
    </row>
    <row r="728" customFormat="false" ht="15.75" hidden="false" customHeight="false" outlineLevel="0" collapsed="false">
      <c r="A728" s="4"/>
      <c r="B728" s="2"/>
      <c r="C728" s="2"/>
      <c r="D728" s="2"/>
      <c r="E728" s="2"/>
      <c r="F728" s="3" t="str">
        <f aca="false">IFERROR(__xludf.dummyfunction("if($T728&lt;&gt;"""",REGEXEXTRACT(SUBSTITUTE ($T728,F$1&amp;"" CE"",""""), F$1&amp;""[\w &amp;]*, (\d+\.\d+)""),"""")
"),"")</f>
        <v/>
      </c>
      <c r="G728" s="3" t="str">
        <f aca="false">IFERROR(__xludf.dummyfunction("if($T728&lt;&gt;"""",REGEXEXTRACT($T728, G$1&amp;""[\w &amp;]*, (\d+\.\d+)""),"""")
"),"")</f>
        <v/>
      </c>
      <c r="H728" s="3"/>
      <c r="I728" s="3" t="str">
        <f aca="false">IFERROR(__xludf.dummyfunction("if($T728&lt;&gt;"""",REGEXEXTRACT(SUBSTITUTE ($T728,I$1&amp;"" CE"",""""), I$1&amp;""[\w &amp;]*, (\d+\.\d+)""),"""")
"),"")</f>
        <v/>
      </c>
      <c r="J728" s="3" t="str">
        <f aca="false">IFERROR(__xludf.dummyfunction("if($T728&lt;&gt;"""",REGEXEXTRACT($T728, J$1&amp;""[\w &amp;]*, (\d+\.\d+)""),"""")
"),"")</f>
        <v/>
      </c>
      <c r="K728" s="3"/>
      <c r="L728" s="3" t="str">
        <f aca="false">IFERROR(__xludf.dummyfunction("if($T728&lt;&gt;"""",REGEXEXTRACT(SUBSTITUTE ($T728,L$1&amp;"" CE"",""""), L$1&amp;""[\w &amp;]*, (\d+\.\d+)""),"""")
"),"")</f>
        <v/>
      </c>
      <c r="M728" s="3" t="str">
        <f aca="false">IFERROR(__xludf.dummyfunction("if($T728&lt;&gt;"""",REGEXEXTRACT($T728, M$1&amp;""[\w &amp;]*, (\d+\.\d+)""),"""")
"),"")</f>
        <v/>
      </c>
      <c r="N728" s="3" t="str">
        <f aca="false">IFERROR(__xludf.dummyfunction("if($T728&lt;&gt;"""",REGEXEXTRACT(SUBSTITUTE ($T728,N$1&amp;"" CE"",""""), N$1&amp;""[\w &amp;]*, (\d+\.\d+)""),"""")
"),"")</f>
        <v/>
      </c>
      <c r="O728" s="3" t="str">
        <f aca="false">IFERROR(__xludf.dummyfunction("if($T728&lt;&gt;"""",REGEXEXTRACT($T728, O$1&amp;""[\w &amp;]*, (\d+\.\d+)""),"""")
"),"")</f>
        <v/>
      </c>
      <c r="P728" s="2"/>
      <c r="Q728" s="2"/>
      <c r="R728" s="2"/>
      <c r="S728" s="2"/>
      <c r="T728" s="5"/>
      <c r="U728" s="5"/>
    </row>
    <row r="729" customFormat="false" ht="15.75" hidden="false" customHeight="false" outlineLevel="0" collapsed="false">
      <c r="A729" s="4"/>
      <c r="B729" s="2"/>
      <c r="C729" s="2"/>
      <c r="D729" s="2"/>
      <c r="E729" s="2"/>
      <c r="F729" s="3" t="str">
        <f aca="false">IFERROR(__xludf.dummyfunction("if($T729&lt;&gt;"""",REGEXEXTRACT(SUBSTITUTE ($T729,F$1&amp;"" CE"",""""), F$1&amp;""[\w &amp;]*, (\d+\.\d+)""),"""")
"),"")</f>
        <v/>
      </c>
      <c r="G729" s="3" t="str">
        <f aca="false">IFERROR(__xludf.dummyfunction("if($T729&lt;&gt;"""",REGEXEXTRACT($T729, G$1&amp;""[\w &amp;]*, (\d+\.\d+)""),"""")
"),"")</f>
        <v/>
      </c>
      <c r="H729" s="3"/>
      <c r="I729" s="3" t="str">
        <f aca="false">IFERROR(__xludf.dummyfunction("if($T729&lt;&gt;"""",REGEXEXTRACT(SUBSTITUTE ($T729,I$1&amp;"" CE"",""""), I$1&amp;""[\w &amp;]*, (\d+\.\d+)""),"""")
"),"")</f>
        <v/>
      </c>
      <c r="J729" s="3" t="str">
        <f aca="false">IFERROR(__xludf.dummyfunction("if($T729&lt;&gt;"""",REGEXEXTRACT($T729, J$1&amp;""[\w &amp;]*, (\d+\.\d+)""),"""")
"),"")</f>
        <v/>
      </c>
      <c r="K729" s="3"/>
      <c r="L729" s="3" t="str">
        <f aca="false">IFERROR(__xludf.dummyfunction("if($T729&lt;&gt;"""",REGEXEXTRACT(SUBSTITUTE ($T729,L$1&amp;"" CE"",""""), L$1&amp;""[\w &amp;]*, (\d+\.\d+)""),"""")
"),"")</f>
        <v/>
      </c>
      <c r="M729" s="3" t="str">
        <f aca="false">IFERROR(__xludf.dummyfunction("if($T729&lt;&gt;"""",REGEXEXTRACT($T729, M$1&amp;""[\w &amp;]*, (\d+\.\d+)""),"""")
"),"")</f>
        <v/>
      </c>
      <c r="N729" s="3" t="str">
        <f aca="false">IFERROR(__xludf.dummyfunction("if($T729&lt;&gt;"""",REGEXEXTRACT(SUBSTITUTE ($T729,N$1&amp;"" CE"",""""), N$1&amp;""[\w &amp;]*, (\d+\.\d+)""),"""")
"),"")</f>
        <v/>
      </c>
      <c r="O729" s="3" t="str">
        <f aca="false">IFERROR(__xludf.dummyfunction("if($T729&lt;&gt;"""",REGEXEXTRACT($T729, O$1&amp;""[\w &amp;]*, (\d+\.\d+)""),"""")
"),"")</f>
        <v/>
      </c>
      <c r="P729" s="2"/>
      <c r="Q729" s="2"/>
      <c r="R729" s="2"/>
      <c r="S729" s="2"/>
      <c r="T729" s="5"/>
      <c r="U729" s="5"/>
    </row>
    <row r="730" customFormat="false" ht="15.75" hidden="false" customHeight="false" outlineLevel="0" collapsed="false">
      <c r="A730" s="4"/>
      <c r="B730" s="2"/>
      <c r="C730" s="2"/>
      <c r="D730" s="2"/>
      <c r="E730" s="2"/>
      <c r="F730" s="3" t="str">
        <f aca="false">IFERROR(__xludf.dummyfunction("if($T730&lt;&gt;"""",REGEXEXTRACT(SUBSTITUTE ($T730,F$1&amp;"" CE"",""""), F$1&amp;""[\w &amp;]*, (\d+\.\d+)""),"""")
"),"")</f>
        <v/>
      </c>
      <c r="G730" s="3" t="str">
        <f aca="false">IFERROR(__xludf.dummyfunction("if($T730&lt;&gt;"""",REGEXEXTRACT($T730, G$1&amp;""[\w &amp;]*, (\d+\.\d+)""),"""")
"),"")</f>
        <v/>
      </c>
      <c r="H730" s="3"/>
      <c r="I730" s="3" t="str">
        <f aca="false">IFERROR(__xludf.dummyfunction("if($T730&lt;&gt;"""",REGEXEXTRACT(SUBSTITUTE ($T730,I$1&amp;"" CE"",""""), I$1&amp;""[\w &amp;]*, (\d+\.\d+)""),"""")
"),"")</f>
        <v/>
      </c>
      <c r="J730" s="3" t="str">
        <f aca="false">IFERROR(__xludf.dummyfunction("if($T730&lt;&gt;"""",REGEXEXTRACT($T730, J$1&amp;""[\w &amp;]*, (\d+\.\d+)""),"""")
"),"")</f>
        <v/>
      </c>
      <c r="K730" s="3"/>
      <c r="L730" s="3" t="str">
        <f aca="false">IFERROR(__xludf.dummyfunction("if($T730&lt;&gt;"""",REGEXEXTRACT(SUBSTITUTE ($T730,L$1&amp;"" CE"",""""), L$1&amp;""[\w &amp;]*, (\d+\.\d+)""),"""")
"),"")</f>
        <v/>
      </c>
      <c r="M730" s="3" t="str">
        <f aca="false">IFERROR(__xludf.dummyfunction("if($T730&lt;&gt;"""",REGEXEXTRACT($T730, M$1&amp;""[\w &amp;]*, (\d+\.\d+)""),"""")
"),"")</f>
        <v/>
      </c>
      <c r="N730" s="3" t="str">
        <f aca="false">IFERROR(__xludf.dummyfunction("if($T730&lt;&gt;"""",REGEXEXTRACT(SUBSTITUTE ($T730,N$1&amp;"" CE"",""""), N$1&amp;""[\w &amp;]*, (\d+\.\d+)""),"""")
"),"")</f>
        <v/>
      </c>
      <c r="O730" s="3" t="str">
        <f aca="false">IFERROR(__xludf.dummyfunction("if($T730&lt;&gt;"""",REGEXEXTRACT($T730, O$1&amp;""[\w &amp;]*, (\d+\.\d+)""),"""")
"),"")</f>
        <v/>
      </c>
      <c r="P730" s="2"/>
      <c r="Q730" s="2"/>
      <c r="R730" s="2"/>
      <c r="S730" s="2"/>
      <c r="T730" s="5"/>
      <c r="U730" s="5"/>
    </row>
    <row r="731" customFormat="false" ht="15.75" hidden="false" customHeight="false" outlineLevel="0" collapsed="false">
      <c r="A731" s="4"/>
      <c r="B731" s="2"/>
      <c r="C731" s="2"/>
      <c r="D731" s="2"/>
      <c r="E731" s="2"/>
      <c r="F731" s="3" t="str">
        <f aca="false">IFERROR(__xludf.dummyfunction("if($T731&lt;&gt;"""",REGEXEXTRACT(SUBSTITUTE ($T731,F$1&amp;"" CE"",""""), F$1&amp;""[\w &amp;]*, (\d+\.\d+)""),"""")
"),"")</f>
        <v/>
      </c>
      <c r="G731" s="3" t="str">
        <f aca="false">IFERROR(__xludf.dummyfunction("if($T731&lt;&gt;"""",REGEXEXTRACT($T731, G$1&amp;""[\w &amp;]*, (\d+\.\d+)""),"""")
"),"")</f>
        <v/>
      </c>
      <c r="H731" s="3"/>
      <c r="I731" s="3" t="str">
        <f aca="false">IFERROR(__xludf.dummyfunction("if($T731&lt;&gt;"""",REGEXEXTRACT(SUBSTITUTE ($T731,I$1&amp;"" CE"",""""), I$1&amp;""[\w &amp;]*, (\d+\.\d+)""),"""")
"),"")</f>
        <v/>
      </c>
      <c r="J731" s="3" t="str">
        <f aca="false">IFERROR(__xludf.dummyfunction("if($T731&lt;&gt;"""",REGEXEXTRACT($T731, J$1&amp;""[\w &amp;]*, (\d+\.\d+)""),"""")
"),"")</f>
        <v/>
      </c>
      <c r="K731" s="3"/>
      <c r="L731" s="3" t="str">
        <f aca="false">IFERROR(__xludf.dummyfunction("if($T731&lt;&gt;"""",REGEXEXTRACT(SUBSTITUTE ($T731,L$1&amp;"" CE"",""""), L$1&amp;""[\w &amp;]*, (\d+\.\d+)""),"""")
"),"")</f>
        <v/>
      </c>
      <c r="M731" s="3" t="str">
        <f aca="false">IFERROR(__xludf.dummyfunction("if($T731&lt;&gt;"""",REGEXEXTRACT($T731, M$1&amp;""[\w &amp;]*, (\d+\.\d+)""),"""")
"),"")</f>
        <v/>
      </c>
      <c r="N731" s="3" t="str">
        <f aca="false">IFERROR(__xludf.dummyfunction("if($T731&lt;&gt;"""",REGEXEXTRACT(SUBSTITUTE ($T731,N$1&amp;"" CE"",""""), N$1&amp;""[\w &amp;]*, (\d+\.\d+)""),"""")
"),"")</f>
        <v/>
      </c>
      <c r="O731" s="3" t="str">
        <f aca="false">IFERROR(__xludf.dummyfunction("if($T731&lt;&gt;"""",REGEXEXTRACT($T731, O$1&amp;""[\w &amp;]*, (\d+\.\d+)""),"""")
"),"")</f>
        <v/>
      </c>
      <c r="P731" s="2"/>
      <c r="Q731" s="2"/>
      <c r="R731" s="2"/>
      <c r="S731" s="2"/>
      <c r="T731" s="5"/>
      <c r="U731" s="5"/>
    </row>
    <row r="732" customFormat="false" ht="15.75" hidden="false" customHeight="false" outlineLevel="0" collapsed="false">
      <c r="A732" s="4"/>
      <c r="B732" s="2"/>
      <c r="C732" s="2"/>
      <c r="D732" s="2"/>
      <c r="E732" s="2"/>
      <c r="F732" s="3" t="str">
        <f aca="false">IFERROR(__xludf.dummyfunction("if($T732&lt;&gt;"""",REGEXEXTRACT(SUBSTITUTE ($T732,F$1&amp;"" CE"",""""), F$1&amp;""[\w &amp;]*, (\d+\.\d+)""),"""")
"),"")</f>
        <v/>
      </c>
      <c r="G732" s="3" t="str">
        <f aca="false">IFERROR(__xludf.dummyfunction("if($T732&lt;&gt;"""",REGEXEXTRACT($T732, G$1&amp;""[\w &amp;]*, (\d+\.\d+)""),"""")
"),"")</f>
        <v/>
      </c>
      <c r="H732" s="3"/>
      <c r="I732" s="3" t="str">
        <f aca="false">IFERROR(__xludf.dummyfunction("if($T732&lt;&gt;"""",REGEXEXTRACT(SUBSTITUTE ($T732,I$1&amp;"" CE"",""""), I$1&amp;""[\w &amp;]*, (\d+\.\d+)""),"""")
"),"")</f>
        <v/>
      </c>
      <c r="J732" s="3" t="str">
        <f aca="false">IFERROR(__xludf.dummyfunction("if($T732&lt;&gt;"""",REGEXEXTRACT($T732, J$1&amp;""[\w &amp;]*, (\d+\.\d+)""),"""")
"),"")</f>
        <v/>
      </c>
      <c r="K732" s="3"/>
      <c r="L732" s="3" t="str">
        <f aca="false">IFERROR(__xludf.dummyfunction("if($T732&lt;&gt;"""",REGEXEXTRACT(SUBSTITUTE ($T732,L$1&amp;"" CE"",""""), L$1&amp;""[\w &amp;]*, (\d+\.\d+)""),"""")
"),"")</f>
        <v/>
      </c>
      <c r="M732" s="3" t="str">
        <f aca="false">IFERROR(__xludf.dummyfunction("if($T732&lt;&gt;"""",REGEXEXTRACT($T732, M$1&amp;""[\w &amp;]*, (\d+\.\d+)""),"""")
"),"")</f>
        <v/>
      </c>
      <c r="N732" s="3" t="str">
        <f aca="false">IFERROR(__xludf.dummyfunction("if($T732&lt;&gt;"""",REGEXEXTRACT(SUBSTITUTE ($T732,N$1&amp;"" CE"",""""), N$1&amp;""[\w &amp;]*, (\d+\.\d+)""),"""")
"),"")</f>
        <v/>
      </c>
      <c r="O732" s="3" t="str">
        <f aca="false">IFERROR(__xludf.dummyfunction("if($T732&lt;&gt;"""",REGEXEXTRACT($T732, O$1&amp;""[\w &amp;]*, (\d+\.\d+)""),"""")
"),"")</f>
        <v/>
      </c>
      <c r="P732" s="2"/>
      <c r="Q732" s="2"/>
      <c r="R732" s="2"/>
      <c r="S732" s="2"/>
      <c r="T732" s="5"/>
      <c r="U732" s="5"/>
    </row>
    <row r="733" customFormat="false" ht="15.75" hidden="false" customHeight="false" outlineLevel="0" collapsed="false">
      <c r="A733" s="4"/>
      <c r="B733" s="2"/>
      <c r="C733" s="2"/>
      <c r="D733" s="2"/>
      <c r="E733" s="2"/>
      <c r="F733" s="3" t="str">
        <f aca="false">IFERROR(__xludf.dummyfunction("if($T733&lt;&gt;"""",REGEXEXTRACT(SUBSTITUTE ($T733,F$1&amp;"" CE"",""""), F$1&amp;""[\w &amp;]*, (\d+\.\d+)""),"""")
"),"")</f>
        <v/>
      </c>
      <c r="G733" s="3" t="str">
        <f aca="false">IFERROR(__xludf.dummyfunction("if($T733&lt;&gt;"""",REGEXEXTRACT($T733, G$1&amp;""[\w &amp;]*, (\d+\.\d+)""),"""")
"),"")</f>
        <v/>
      </c>
      <c r="H733" s="3"/>
      <c r="I733" s="3" t="str">
        <f aca="false">IFERROR(__xludf.dummyfunction("if($T733&lt;&gt;"""",REGEXEXTRACT(SUBSTITUTE ($T733,I$1&amp;"" CE"",""""), I$1&amp;""[\w &amp;]*, (\d+\.\d+)""),"""")
"),"")</f>
        <v/>
      </c>
      <c r="J733" s="3" t="str">
        <f aca="false">IFERROR(__xludf.dummyfunction("if($T733&lt;&gt;"""",REGEXEXTRACT($T733, J$1&amp;""[\w &amp;]*, (\d+\.\d+)""),"""")
"),"")</f>
        <v/>
      </c>
      <c r="K733" s="3"/>
      <c r="L733" s="3" t="str">
        <f aca="false">IFERROR(__xludf.dummyfunction("if($T733&lt;&gt;"""",REGEXEXTRACT(SUBSTITUTE ($T733,L$1&amp;"" CE"",""""), L$1&amp;""[\w &amp;]*, (\d+\.\d+)""),"""")
"),"")</f>
        <v/>
      </c>
      <c r="M733" s="3" t="str">
        <f aca="false">IFERROR(__xludf.dummyfunction("if($T733&lt;&gt;"""",REGEXEXTRACT($T733, M$1&amp;""[\w &amp;]*, (\d+\.\d+)""),"""")
"),"")</f>
        <v/>
      </c>
      <c r="N733" s="3" t="str">
        <f aca="false">IFERROR(__xludf.dummyfunction("if($T733&lt;&gt;"""",REGEXEXTRACT(SUBSTITUTE ($T733,N$1&amp;"" CE"",""""), N$1&amp;""[\w &amp;]*, (\d+\.\d+)""),"""")
"),"")</f>
        <v/>
      </c>
      <c r="O733" s="3" t="str">
        <f aca="false">IFERROR(__xludf.dummyfunction("if($T733&lt;&gt;"""",REGEXEXTRACT($T733, O$1&amp;""[\w &amp;]*, (\d+\.\d+)""),"""")
"),"")</f>
        <v/>
      </c>
      <c r="P733" s="2"/>
      <c r="Q733" s="2"/>
      <c r="R733" s="2"/>
      <c r="S733" s="2"/>
      <c r="T733" s="5"/>
      <c r="U733" s="5"/>
    </row>
    <row r="734" customFormat="false" ht="15.75" hidden="false" customHeight="false" outlineLevel="0" collapsed="false">
      <c r="A734" s="4"/>
      <c r="B734" s="2"/>
      <c r="C734" s="2"/>
      <c r="D734" s="2"/>
      <c r="E734" s="2"/>
      <c r="F734" s="3" t="str">
        <f aca="false">IFERROR(__xludf.dummyfunction("if($T734&lt;&gt;"""",REGEXEXTRACT(SUBSTITUTE ($T734,F$1&amp;"" CE"",""""), F$1&amp;""[\w &amp;]*, (\d+\.\d+)""),"""")
"),"")</f>
        <v/>
      </c>
      <c r="G734" s="3" t="str">
        <f aca="false">IFERROR(__xludf.dummyfunction("if($T734&lt;&gt;"""",REGEXEXTRACT($T734, G$1&amp;""[\w &amp;]*, (\d+\.\d+)""),"""")
"),"")</f>
        <v/>
      </c>
      <c r="H734" s="3"/>
      <c r="I734" s="3" t="str">
        <f aca="false">IFERROR(__xludf.dummyfunction("if($T734&lt;&gt;"""",REGEXEXTRACT(SUBSTITUTE ($T734,I$1&amp;"" CE"",""""), I$1&amp;""[\w &amp;]*, (\d+\.\d+)""),"""")
"),"")</f>
        <v/>
      </c>
      <c r="J734" s="3" t="str">
        <f aca="false">IFERROR(__xludf.dummyfunction("if($T734&lt;&gt;"""",REGEXEXTRACT($T734, J$1&amp;""[\w &amp;]*, (\d+\.\d+)""),"""")
"),"")</f>
        <v/>
      </c>
      <c r="K734" s="3"/>
      <c r="L734" s="3" t="str">
        <f aca="false">IFERROR(__xludf.dummyfunction("if($T734&lt;&gt;"""",REGEXEXTRACT(SUBSTITUTE ($T734,L$1&amp;"" CE"",""""), L$1&amp;""[\w &amp;]*, (\d+\.\d+)""),"""")
"),"")</f>
        <v/>
      </c>
      <c r="M734" s="3" t="str">
        <f aca="false">IFERROR(__xludf.dummyfunction("if($T734&lt;&gt;"""",REGEXEXTRACT($T734, M$1&amp;""[\w &amp;]*, (\d+\.\d+)""),"""")
"),"")</f>
        <v/>
      </c>
      <c r="N734" s="3" t="str">
        <f aca="false">IFERROR(__xludf.dummyfunction("if($T734&lt;&gt;"""",REGEXEXTRACT(SUBSTITUTE ($T734,N$1&amp;"" CE"",""""), N$1&amp;""[\w &amp;]*, (\d+\.\d+)""),"""")
"),"")</f>
        <v/>
      </c>
      <c r="O734" s="3" t="str">
        <f aca="false">IFERROR(__xludf.dummyfunction("if($T734&lt;&gt;"""",REGEXEXTRACT($T734, O$1&amp;""[\w &amp;]*, (\d+\.\d+)""),"""")
"),"")</f>
        <v/>
      </c>
      <c r="P734" s="2"/>
      <c r="Q734" s="2"/>
      <c r="R734" s="2"/>
      <c r="S734" s="2"/>
      <c r="T734" s="5"/>
      <c r="U734" s="5"/>
    </row>
    <row r="735" customFormat="false" ht="15.75" hidden="false" customHeight="false" outlineLevel="0" collapsed="false">
      <c r="A735" s="4"/>
      <c r="B735" s="2"/>
      <c r="C735" s="2"/>
      <c r="D735" s="2"/>
      <c r="E735" s="2"/>
      <c r="F735" s="3" t="str">
        <f aca="false">IFERROR(__xludf.dummyfunction("if($T735&lt;&gt;"""",REGEXEXTRACT(SUBSTITUTE ($T735,F$1&amp;"" CE"",""""), F$1&amp;""[\w &amp;]*, (\d+\.\d+)""),"""")
"),"")</f>
        <v/>
      </c>
      <c r="G735" s="3" t="str">
        <f aca="false">IFERROR(__xludf.dummyfunction("if($T735&lt;&gt;"""",REGEXEXTRACT($T735, G$1&amp;""[\w &amp;]*, (\d+\.\d+)""),"""")
"),"")</f>
        <v/>
      </c>
      <c r="H735" s="3"/>
      <c r="I735" s="3" t="str">
        <f aca="false">IFERROR(__xludf.dummyfunction("if($T735&lt;&gt;"""",REGEXEXTRACT(SUBSTITUTE ($T735,I$1&amp;"" CE"",""""), I$1&amp;""[\w &amp;]*, (\d+\.\d+)""),"""")
"),"")</f>
        <v/>
      </c>
      <c r="J735" s="3" t="str">
        <f aca="false">IFERROR(__xludf.dummyfunction("if($T735&lt;&gt;"""",REGEXEXTRACT($T735, J$1&amp;""[\w &amp;]*, (\d+\.\d+)""),"""")
"),"")</f>
        <v/>
      </c>
      <c r="K735" s="3"/>
      <c r="L735" s="3" t="str">
        <f aca="false">IFERROR(__xludf.dummyfunction("if($T735&lt;&gt;"""",REGEXEXTRACT(SUBSTITUTE ($T735,L$1&amp;"" CE"",""""), L$1&amp;""[\w &amp;]*, (\d+\.\d+)""),"""")
"),"")</f>
        <v/>
      </c>
      <c r="M735" s="3" t="str">
        <f aca="false">IFERROR(__xludf.dummyfunction("if($T735&lt;&gt;"""",REGEXEXTRACT($T735, M$1&amp;""[\w &amp;]*, (\d+\.\d+)""),"""")
"),"")</f>
        <v/>
      </c>
      <c r="N735" s="3" t="str">
        <f aca="false">IFERROR(__xludf.dummyfunction("if($T735&lt;&gt;"""",REGEXEXTRACT(SUBSTITUTE ($T735,N$1&amp;"" CE"",""""), N$1&amp;""[\w &amp;]*, (\d+\.\d+)""),"""")
"),"")</f>
        <v/>
      </c>
      <c r="O735" s="3" t="str">
        <f aca="false">IFERROR(__xludf.dummyfunction("if($T735&lt;&gt;"""",REGEXEXTRACT($T735, O$1&amp;""[\w &amp;]*, (\d+\.\d+)""),"""")
"),"")</f>
        <v/>
      </c>
      <c r="P735" s="2"/>
      <c r="Q735" s="2"/>
      <c r="R735" s="2"/>
      <c r="S735" s="2"/>
      <c r="T735" s="5"/>
      <c r="U735" s="5"/>
    </row>
    <row r="736" customFormat="false" ht="15.75" hidden="false" customHeight="false" outlineLevel="0" collapsed="false">
      <c r="A736" s="4"/>
      <c r="B736" s="2"/>
      <c r="C736" s="2"/>
      <c r="D736" s="2"/>
      <c r="E736" s="2"/>
      <c r="F736" s="3" t="str">
        <f aca="false">IFERROR(__xludf.dummyfunction("if($T736&lt;&gt;"""",REGEXEXTRACT(SUBSTITUTE ($T736,F$1&amp;"" CE"",""""), F$1&amp;""[\w &amp;]*, (\d+\.\d+)""),"""")
"),"")</f>
        <v/>
      </c>
      <c r="G736" s="3" t="str">
        <f aca="false">IFERROR(__xludf.dummyfunction("if($T736&lt;&gt;"""",REGEXEXTRACT($T736, G$1&amp;""[\w &amp;]*, (\d+\.\d+)""),"""")
"),"")</f>
        <v/>
      </c>
      <c r="H736" s="3"/>
      <c r="I736" s="3" t="str">
        <f aca="false">IFERROR(__xludf.dummyfunction("if($T736&lt;&gt;"""",REGEXEXTRACT(SUBSTITUTE ($T736,I$1&amp;"" CE"",""""), I$1&amp;""[\w &amp;]*, (\d+\.\d+)""),"""")
"),"")</f>
        <v/>
      </c>
      <c r="J736" s="3" t="str">
        <f aca="false">IFERROR(__xludf.dummyfunction("if($T736&lt;&gt;"""",REGEXEXTRACT($T736, J$1&amp;""[\w &amp;]*, (\d+\.\d+)""),"""")
"),"")</f>
        <v/>
      </c>
      <c r="K736" s="3"/>
      <c r="L736" s="3" t="str">
        <f aca="false">IFERROR(__xludf.dummyfunction("if($T736&lt;&gt;"""",REGEXEXTRACT(SUBSTITUTE ($T736,L$1&amp;"" CE"",""""), L$1&amp;""[\w &amp;]*, (\d+\.\d+)""),"""")
"),"")</f>
        <v/>
      </c>
      <c r="M736" s="3" t="str">
        <f aca="false">IFERROR(__xludf.dummyfunction("if($T736&lt;&gt;"""",REGEXEXTRACT($T736, M$1&amp;""[\w &amp;]*, (\d+\.\d+)""),"""")
"),"")</f>
        <v/>
      </c>
      <c r="N736" s="3" t="str">
        <f aca="false">IFERROR(__xludf.dummyfunction("if($T736&lt;&gt;"""",REGEXEXTRACT(SUBSTITUTE ($T736,N$1&amp;"" CE"",""""), N$1&amp;""[\w &amp;]*, (\d+\.\d+)""),"""")
"),"")</f>
        <v/>
      </c>
      <c r="O736" s="3" t="str">
        <f aca="false">IFERROR(__xludf.dummyfunction("if($T736&lt;&gt;"""",REGEXEXTRACT($T736, O$1&amp;""[\w &amp;]*, (\d+\.\d+)""),"""")
"),"")</f>
        <v/>
      </c>
      <c r="P736" s="2"/>
      <c r="Q736" s="2"/>
      <c r="R736" s="2"/>
      <c r="S736" s="2"/>
      <c r="T736" s="5"/>
      <c r="U736" s="5"/>
    </row>
    <row r="737" customFormat="false" ht="15.75" hidden="false" customHeight="false" outlineLevel="0" collapsed="false">
      <c r="A737" s="4"/>
      <c r="B737" s="2"/>
      <c r="C737" s="2"/>
      <c r="D737" s="2"/>
      <c r="E737" s="2"/>
      <c r="F737" s="3" t="str">
        <f aca="false">IFERROR(__xludf.dummyfunction("if($T737&lt;&gt;"""",REGEXEXTRACT(SUBSTITUTE ($T737,F$1&amp;"" CE"",""""), F$1&amp;""[\w &amp;]*, (\d+\.\d+)""),"""")
"),"")</f>
        <v/>
      </c>
      <c r="G737" s="3" t="str">
        <f aca="false">IFERROR(__xludf.dummyfunction("if($T737&lt;&gt;"""",REGEXEXTRACT($T737, G$1&amp;""[\w &amp;]*, (\d+\.\d+)""),"""")
"),"")</f>
        <v/>
      </c>
      <c r="H737" s="3"/>
      <c r="I737" s="3" t="str">
        <f aca="false">IFERROR(__xludf.dummyfunction("if($T737&lt;&gt;"""",REGEXEXTRACT(SUBSTITUTE ($T737,I$1&amp;"" CE"",""""), I$1&amp;""[\w &amp;]*, (\d+\.\d+)""),"""")
"),"")</f>
        <v/>
      </c>
      <c r="J737" s="3" t="str">
        <f aca="false">IFERROR(__xludf.dummyfunction("if($T737&lt;&gt;"""",REGEXEXTRACT($T737, J$1&amp;""[\w &amp;]*, (\d+\.\d+)""),"""")
"),"")</f>
        <v/>
      </c>
      <c r="K737" s="3"/>
      <c r="L737" s="3" t="str">
        <f aca="false">IFERROR(__xludf.dummyfunction("if($T737&lt;&gt;"""",REGEXEXTRACT(SUBSTITUTE ($T737,L$1&amp;"" CE"",""""), L$1&amp;""[\w &amp;]*, (\d+\.\d+)""),"""")
"),"")</f>
        <v/>
      </c>
      <c r="M737" s="3" t="str">
        <f aca="false">IFERROR(__xludf.dummyfunction("if($T737&lt;&gt;"""",REGEXEXTRACT($T737, M$1&amp;""[\w &amp;]*, (\d+\.\d+)""),"""")
"),"")</f>
        <v/>
      </c>
      <c r="N737" s="3" t="str">
        <f aca="false">IFERROR(__xludf.dummyfunction("if($T737&lt;&gt;"""",REGEXEXTRACT(SUBSTITUTE ($T737,N$1&amp;"" CE"",""""), N$1&amp;""[\w &amp;]*, (\d+\.\d+)""),"""")
"),"")</f>
        <v/>
      </c>
      <c r="O737" s="3" t="str">
        <f aca="false">IFERROR(__xludf.dummyfunction("if($T737&lt;&gt;"""",REGEXEXTRACT($T737, O$1&amp;""[\w &amp;]*, (\d+\.\d+)""),"""")
"),"")</f>
        <v/>
      </c>
      <c r="P737" s="2"/>
      <c r="Q737" s="2"/>
      <c r="R737" s="2"/>
      <c r="S737" s="2"/>
      <c r="T737" s="5"/>
      <c r="U737" s="5"/>
    </row>
    <row r="738" customFormat="false" ht="15.75" hidden="false" customHeight="false" outlineLevel="0" collapsed="false">
      <c r="A738" s="4"/>
      <c r="B738" s="2"/>
      <c r="C738" s="2"/>
      <c r="D738" s="2"/>
      <c r="E738" s="2"/>
      <c r="F738" s="3" t="str">
        <f aca="false">IFERROR(__xludf.dummyfunction("if($T738&lt;&gt;"""",REGEXEXTRACT(SUBSTITUTE ($T738,F$1&amp;"" CE"",""""), F$1&amp;""[\w &amp;]*, (\d+\.\d+)""),"""")
"),"")</f>
        <v/>
      </c>
      <c r="G738" s="3" t="str">
        <f aca="false">IFERROR(__xludf.dummyfunction("if($T738&lt;&gt;"""",REGEXEXTRACT($T738, G$1&amp;""[\w &amp;]*, (\d+\.\d+)""),"""")
"),"")</f>
        <v/>
      </c>
      <c r="H738" s="3"/>
      <c r="I738" s="3" t="str">
        <f aca="false">IFERROR(__xludf.dummyfunction("if($T738&lt;&gt;"""",REGEXEXTRACT(SUBSTITUTE ($T738,I$1&amp;"" CE"",""""), I$1&amp;""[\w &amp;]*, (\d+\.\d+)""),"""")
"),"")</f>
        <v/>
      </c>
      <c r="J738" s="3" t="str">
        <f aca="false">IFERROR(__xludf.dummyfunction("if($T738&lt;&gt;"""",REGEXEXTRACT($T738, J$1&amp;""[\w &amp;]*, (\d+\.\d+)""),"""")
"),"")</f>
        <v/>
      </c>
      <c r="K738" s="3"/>
      <c r="L738" s="3" t="str">
        <f aca="false">IFERROR(__xludf.dummyfunction("if($T738&lt;&gt;"""",REGEXEXTRACT(SUBSTITUTE ($T738,L$1&amp;"" CE"",""""), L$1&amp;""[\w &amp;]*, (\d+\.\d+)""),"""")
"),"")</f>
        <v/>
      </c>
      <c r="M738" s="3" t="str">
        <f aca="false">IFERROR(__xludf.dummyfunction("if($T738&lt;&gt;"""",REGEXEXTRACT($T738, M$1&amp;""[\w &amp;]*, (\d+\.\d+)""),"""")
"),"")</f>
        <v/>
      </c>
      <c r="N738" s="3" t="str">
        <f aca="false">IFERROR(__xludf.dummyfunction("if($T738&lt;&gt;"""",REGEXEXTRACT(SUBSTITUTE ($T738,N$1&amp;"" CE"",""""), N$1&amp;""[\w &amp;]*, (\d+\.\d+)""),"""")
"),"")</f>
        <v/>
      </c>
      <c r="O738" s="3" t="str">
        <f aca="false">IFERROR(__xludf.dummyfunction("if($T738&lt;&gt;"""",REGEXEXTRACT($T738, O$1&amp;""[\w &amp;]*, (\d+\.\d+)""),"""")
"),"")</f>
        <v/>
      </c>
      <c r="P738" s="2"/>
      <c r="Q738" s="2"/>
      <c r="R738" s="2"/>
      <c r="S738" s="2"/>
      <c r="T738" s="5"/>
      <c r="U738" s="5"/>
    </row>
    <row r="739" customFormat="false" ht="15.75" hidden="false" customHeight="false" outlineLevel="0" collapsed="false">
      <c r="A739" s="4"/>
      <c r="B739" s="2"/>
      <c r="C739" s="2"/>
      <c r="D739" s="2"/>
      <c r="E739" s="2"/>
      <c r="F739" s="3" t="str">
        <f aca="false">IFERROR(__xludf.dummyfunction("if($T739&lt;&gt;"""",REGEXEXTRACT(SUBSTITUTE ($T739,F$1&amp;"" CE"",""""), F$1&amp;""[\w &amp;]*, (\d+\.\d+)""),"""")
"),"")</f>
        <v/>
      </c>
      <c r="G739" s="3" t="str">
        <f aca="false">IFERROR(__xludf.dummyfunction("if($T739&lt;&gt;"""",REGEXEXTRACT($T739, G$1&amp;""[\w &amp;]*, (\d+\.\d+)""),"""")
"),"")</f>
        <v/>
      </c>
      <c r="H739" s="3"/>
      <c r="I739" s="3" t="str">
        <f aca="false">IFERROR(__xludf.dummyfunction("if($T739&lt;&gt;"""",REGEXEXTRACT(SUBSTITUTE ($T739,I$1&amp;"" CE"",""""), I$1&amp;""[\w &amp;]*, (\d+\.\d+)""),"""")
"),"")</f>
        <v/>
      </c>
      <c r="J739" s="3" t="str">
        <f aca="false">IFERROR(__xludf.dummyfunction("if($T739&lt;&gt;"""",REGEXEXTRACT($T739, J$1&amp;""[\w &amp;]*, (\d+\.\d+)""),"""")
"),"")</f>
        <v/>
      </c>
      <c r="K739" s="3"/>
      <c r="L739" s="3" t="str">
        <f aca="false">IFERROR(__xludf.dummyfunction("if($T739&lt;&gt;"""",REGEXEXTRACT(SUBSTITUTE ($T739,L$1&amp;"" CE"",""""), L$1&amp;""[\w &amp;]*, (\d+\.\d+)""),"""")
"),"")</f>
        <v/>
      </c>
      <c r="M739" s="3" t="str">
        <f aca="false">IFERROR(__xludf.dummyfunction("if($T739&lt;&gt;"""",REGEXEXTRACT($T739, M$1&amp;""[\w &amp;]*, (\d+\.\d+)""),"""")
"),"")</f>
        <v/>
      </c>
      <c r="N739" s="3" t="str">
        <f aca="false">IFERROR(__xludf.dummyfunction("if($T739&lt;&gt;"""",REGEXEXTRACT(SUBSTITUTE ($T739,N$1&amp;"" CE"",""""), N$1&amp;""[\w &amp;]*, (\d+\.\d+)""),"""")
"),"")</f>
        <v/>
      </c>
      <c r="O739" s="3" t="str">
        <f aca="false">IFERROR(__xludf.dummyfunction("if($T739&lt;&gt;"""",REGEXEXTRACT($T739, O$1&amp;""[\w &amp;]*, (\d+\.\d+)""),"""")
"),"")</f>
        <v/>
      </c>
      <c r="P739" s="2"/>
      <c r="Q739" s="2"/>
      <c r="R739" s="2"/>
      <c r="S739" s="2"/>
      <c r="T739" s="5"/>
      <c r="U739" s="5"/>
    </row>
    <row r="740" customFormat="false" ht="15.75" hidden="false" customHeight="false" outlineLevel="0" collapsed="false">
      <c r="A740" s="4"/>
      <c r="B740" s="2"/>
      <c r="C740" s="2"/>
      <c r="D740" s="2"/>
      <c r="E740" s="2"/>
      <c r="F740" s="3" t="str">
        <f aca="false">IFERROR(__xludf.dummyfunction("if($T740&lt;&gt;"""",REGEXEXTRACT(SUBSTITUTE ($T740,F$1&amp;"" CE"",""""), F$1&amp;""[\w &amp;]*, (\d+\.\d+)""),"""")
"),"")</f>
        <v/>
      </c>
      <c r="G740" s="3" t="str">
        <f aca="false">IFERROR(__xludf.dummyfunction("if($T740&lt;&gt;"""",REGEXEXTRACT($T740, G$1&amp;""[\w &amp;]*, (\d+\.\d+)""),"""")
"),"")</f>
        <v/>
      </c>
      <c r="H740" s="3"/>
      <c r="I740" s="3" t="str">
        <f aca="false">IFERROR(__xludf.dummyfunction("if($T740&lt;&gt;"""",REGEXEXTRACT(SUBSTITUTE ($T740,I$1&amp;"" CE"",""""), I$1&amp;""[\w &amp;]*, (\d+\.\d+)""),"""")
"),"")</f>
        <v/>
      </c>
      <c r="J740" s="3" t="str">
        <f aca="false">IFERROR(__xludf.dummyfunction("if($T740&lt;&gt;"""",REGEXEXTRACT($T740, J$1&amp;""[\w &amp;]*, (\d+\.\d+)""),"""")
"),"")</f>
        <v/>
      </c>
      <c r="K740" s="3"/>
      <c r="L740" s="3" t="str">
        <f aca="false">IFERROR(__xludf.dummyfunction("if($T740&lt;&gt;"""",REGEXEXTRACT(SUBSTITUTE ($T740,L$1&amp;"" CE"",""""), L$1&amp;""[\w &amp;]*, (\d+\.\d+)""),"""")
"),"")</f>
        <v/>
      </c>
      <c r="M740" s="3" t="str">
        <f aca="false">IFERROR(__xludf.dummyfunction("if($T740&lt;&gt;"""",REGEXEXTRACT($T740, M$1&amp;""[\w &amp;]*, (\d+\.\d+)""),"""")
"),"")</f>
        <v/>
      </c>
      <c r="N740" s="3" t="str">
        <f aca="false">IFERROR(__xludf.dummyfunction("if($T740&lt;&gt;"""",REGEXEXTRACT(SUBSTITUTE ($T740,N$1&amp;"" CE"",""""), N$1&amp;""[\w &amp;]*, (\d+\.\d+)""),"""")
"),"")</f>
        <v/>
      </c>
      <c r="O740" s="3" t="str">
        <f aca="false">IFERROR(__xludf.dummyfunction("if($T740&lt;&gt;"""",REGEXEXTRACT($T740, O$1&amp;""[\w &amp;]*, (\d+\.\d+)""),"""")
"),"")</f>
        <v/>
      </c>
      <c r="P740" s="2"/>
      <c r="Q740" s="2"/>
      <c r="R740" s="2"/>
      <c r="S740" s="2"/>
      <c r="T740" s="5"/>
      <c r="U740" s="5"/>
    </row>
    <row r="741" customFormat="false" ht="15.75" hidden="false" customHeight="false" outlineLevel="0" collapsed="false">
      <c r="A741" s="4"/>
      <c r="B741" s="2"/>
      <c r="C741" s="2"/>
      <c r="D741" s="2"/>
      <c r="E741" s="2"/>
      <c r="F741" s="3" t="str">
        <f aca="false">IFERROR(__xludf.dummyfunction("if($T741&lt;&gt;"""",REGEXEXTRACT(SUBSTITUTE ($T741,F$1&amp;"" CE"",""""), F$1&amp;""[\w &amp;]*, (\d+\.\d+)""),"""")
"),"")</f>
        <v/>
      </c>
      <c r="G741" s="3" t="str">
        <f aca="false">IFERROR(__xludf.dummyfunction("if($T741&lt;&gt;"""",REGEXEXTRACT($T741, G$1&amp;""[\w &amp;]*, (\d+\.\d+)""),"""")
"),"")</f>
        <v/>
      </c>
      <c r="H741" s="3"/>
      <c r="I741" s="3" t="str">
        <f aca="false">IFERROR(__xludf.dummyfunction("if($T741&lt;&gt;"""",REGEXEXTRACT(SUBSTITUTE ($T741,I$1&amp;"" CE"",""""), I$1&amp;""[\w &amp;]*, (\d+\.\d+)""),"""")
"),"")</f>
        <v/>
      </c>
      <c r="J741" s="3" t="str">
        <f aca="false">IFERROR(__xludf.dummyfunction("if($T741&lt;&gt;"""",REGEXEXTRACT($T741, J$1&amp;""[\w &amp;]*, (\d+\.\d+)""),"""")
"),"")</f>
        <v/>
      </c>
      <c r="K741" s="3"/>
      <c r="L741" s="3" t="str">
        <f aca="false">IFERROR(__xludf.dummyfunction("if($T741&lt;&gt;"""",REGEXEXTRACT(SUBSTITUTE ($T741,L$1&amp;"" CE"",""""), L$1&amp;""[\w &amp;]*, (\d+\.\d+)""),"""")
"),"")</f>
        <v/>
      </c>
      <c r="M741" s="3" t="str">
        <f aca="false">IFERROR(__xludf.dummyfunction("if($T741&lt;&gt;"""",REGEXEXTRACT($T741, M$1&amp;""[\w &amp;]*, (\d+\.\d+)""),"""")
"),"")</f>
        <v/>
      </c>
      <c r="N741" s="3" t="str">
        <f aca="false">IFERROR(__xludf.dummyfunction("if($T741&lt;&gt;"""",REGEXEXTRACT(SUBSTITUTE ($T741,N$1&amp;"" CE"",""""), N$1&amp;""[\w &amp;]*, (\d+\.\d+)""),"""")
"),"")</f>
        <v/>
      </c>
      <c r="O741" s="3" t="str">
        <f aca="false">IFERROR(__xludf.dummyfunction("if($T741&lt;&gt;"""",REGEXEXTRACT($T741, O$1&amp;""[\w &amp;]*, (\d+\.\d+)""),"""")
"),"")</f>
        <v/>
      </c>
      <c r="P741" s="2"/>
      <c r="Q741" s="2"/>
      <c r="R741" s="2"/>
      <c r="S741" s="2"/>
      <c r="T741" s="5"/>
      <c r="U741" s="5"/>
    </row>
    <row r="742" customFormat="false" ht="15.75" hidden="false" customHeight="false" outlineLevel="0" collapsed="false">
      <c r="A742" s="4"/>
      <c r="B742" s="2"/>
      <c r="C742" s="2"/>
      <c r="D742" s="2"/>
      <c r="E742" s="2"/>
      <c r="F742" s="3" t="str">
        <f aca="false">IFERROR(__xludf.dummyfunction("if($T742&lt;&gt;"""",REGEXEXTRACT(SUBSTITUTE ($T742,F$1&amp;"" CE"",""""), F$1&amp;""[\w &amp;]*, (\d+\.\d+)""),"""")
"),"")</f>
        <v/>
      </c>
      <c r="G742" s="3" t="str">
        <f aca="false">IFERROR(__xludf.dummyfunction("if($T742&lt;&gt;"""",REGEXEXTRACT($T742, G$1&amp;""[\w &amp;]*, (\d+\.\d+)""),"""")
"),"")</f>
        <v/>
      </c>
      <c r="H742" s="3"/>
      <c r="I742" s="3" t="str">
        <f aca="false">IFERROR(__xludf.dummyfunction("if($T742&lt;&gt;"""",REGEXEXTRACT(SUBSTITUTE ($T742,I$1&amp;"" CE"",""""), I$1&amp;""[\w &amp;]*, (\d+\.\d+)""),"""")
"),"")</f>
        <v/>
      </c>
      <c r="J742" s="3" t="str">
        <f aca="false">IFERROR(__xludf.dummyfunction("if($T742&lt;&gt;"""",REGEXEXTRACT($T742, J$1&amp;""[\w &amp;]*, (\d+\.\d+)""),"""")
"),"")</f>
        <v/>
      </c>
      <c r="K742" s="3"/>
      <c r="L742" s="3" t="str">
        <f aca="false">IFERROR(__xludf.dummyfunction("if($T742&lt;&gt;"""",REGEXEXTRACT(SUBSTITUTE ($T742,L$1&amp;"" CE"",""""), L$1&amp;""[\w &amp;]*, (\d+\.\d+)""),"""")
"),"")</f>
        <v/>
      </c>
      <c r="M742" s="3" t="str">
        <f aca="false">IFERROR(__xludf.dummyfunction("if($T742&lt;&gt;"""",REGEXEXTRACT($T742, M$1&amp;""[\w &amp;]*, (\d+\.\d+)""),"""")
"),"")</f>
        <v/>
      </c>
      <c r="N742" s="3" t="str">
        <f aca="false">IFERROR(__xludf.dummyfunction("if($T742&lt;&gt;"""",REGEXEXTRACT(SUBSTITUTE ($T742,N$1&amp;"" CE"",""""), N$1&amp;""[\w &amp;]*, (\d+\.\d+)""),"""")
"),"")</f>
        <v/>
      </c>
      <c r="O742" s="3" t="str">
        <f aca="false">IFERROR(__xludf.dummyfunction("if($T742&lt;&gt;"""",REGEXEXTRACT($T742, O$1&amp;""[\w &amp;]*, (\d+\.\d+)""),"""")
"),"")</f>
        <v/>
      </c>
      <c r="P742" s="2"/>
      <c r="Q742" s="2"/>
      <c r="R742" s="2"/>
      <c r="S742" s="2"/>
      <c r="T742" s="5"/>
      <c r="U742" s="5"/>
    </row>
    <row r="743" customFormat="false" ht="15.75" hidden="false" customHeight="false" outlineLevel="0" collapsed="false">
      <c r="A743" s="4"/>
      <c r="B743" s="2"/>
      <c r="C743" s="2"/>
      <c r="D743" s="2"/>
      <c r="E743" s="2"/>
      <c r="F743" s="3" t="str">
        <f aca="false">IFERROR(__xludf.dummyfunction("if($T743&lt;&gt;"""",REGEXEXTRACT(SUBSTITUTE ($T743,F$1&amp;"" CE"",""""), F$1&amp;""[\w &amp;]*, (\d+\.\d+)""),"""")
"),"")</f>
        <v/>
      </c>
      <c r="G743" s="3" t="str">
        <f aca="false">IFERROR(__xludf.dummyfunction("if($T743&lt;&gt;"""",REGEXEXTRACT($T743, G$1&amp;""[\w &amp;]*, (\d+\.\d+)""),"""")
"),"")</f>
        <v/>
      </c>
      <c r="H743" s="3"/>
      <c r="I743" s="3" t="str">
        <f aca="false">IFERROR(__xludf.dummyfunction("if($T743&lt;&gt;"""",REGEXEXTRACT(SUBSTITUTE ($T743,I$1&amp;"" CE"",""""), I$1&amp;""[\w &amp;]*, (\d+\.\d+)""),"""")
"),"")</f>
        <v/>
      </c>
      <c r="J743" s="3" t="str">
        <f aca="false">IFERROR(__xludf.dummyfunction("if($T743&lt;&gt;"""",REGEXEXTRACT($T743, J$1&amp;""[\w &amp;]*, (\d+\.\d+)""),"""")
"),"")</f>
        <v/>
      </c>
      <c r="K743" s="3"/>
      <c r="L743" s="3" t="str">
        <f aca="false">IFERROR(__xludf.dummyfunction("if($T743&lt;&gt;"""",REGEXEXTRACT(SUBSTITUTE ($T743,L$1&amp;"" CE"",""""), L$1&amp;""[\w &amp;]*, (\d+\.\d+)""),"""")
"),"")</f>
        <v/>
      </c>
      <c r="M743" s="3" t="str">
        <f aca="false">IFERROR(__xludf.dummyfunction("if($T743&lt;&gt;"""",REGEXEXTRACT($T743, M$1&amp;""[\w &amp;]*, (\d+\.\d+)""),"""")
"),"")</f>
        <v/>
      </c>
      <c r="N743" s="3" t="str">
        <f aca="false">IFERROR(__xludf.dummyfunction("if($T743&lt;&gt;"""",REGEXEXTRACT(SUBSTITUTE ($T743,N$1&amp;"" CE"",""""), N$1&amp;""[\w &amp;]*, (\d+\.\d+)""),"""")
"),"")</f>
        <v/>
      </c>
      <c r="O743" s="3" t="str">
        <f aca="false">IFERROR(__xludf.dummyfunction("if($T743&lt;&gt;"""",REGEXEXTRACT($T743, O$1&amp;""[\w &amp;]*, (\d+\.\d+)""),"""")
"),"")</f>
        <v/>
      </c>
      <c r="P743" s="2"/>
      <c r="Q743" s="2"/>
      <c r="R743" s="2"/>
      <c r="S743" s="2"/>
      <c r="T743" s="5"/>
      <c r="U743" s="5"/>
    </row>
    <row r="744" customFormat="false" ht="15.75" hidden="false" customHeight="false" outlineLevel="0" collapsed="false">
      <c r="A744" s="4"/>
      <c r="B744" s="2"/>
      <c r="C744" s="2"/>
      <c r="D744" s="2"/>
      <c r="E744" s="2"/>
      <c r="F744" s="3" t="str">
        <f aca="false">IFERROR(__xludf.dummyfunction("if($T744&lt;&gt;"""",REGEXEXTRACT(SUBSTITUTE ($T744,F$1&amp;"" CE"",""""), F$1&amp;""[\w &amp;]*, (\d+\.\d+)""),"""")
"),"")</f>
        <v/>
      </c>
      <c r="G744" s="3" t="str">
        <f aca="false">IFERROR(__xludf.dummyfunction("if($T744&lt;&gt;"""",REGEXEXTRACT($T744, G$1&amp;""[\w &amp;]*, (\d+\.\d+)""),"""")
"),"")</f>
        <v/>
      </c>
      <c r="H744" s="3"/>
      <c r="I744" s="3" t="str">
        <f aca="false">IFERROR(__xludf.dummyfunction("if($T744&lt;&gt;"""",REGEXEXTRACT(SUBSTITUTE ($T744,I$1&amp;"" CE"",""""), I$1&amp;""[\w &amp;]*, (\d+\.\d+)""),"""")
"),"")</f>
        <v/>
      </c>
      <c r="J744" s="3" t="str">
        <f aca="false">IFERROR(__xludf.dummyfunction("if($T744&lt;&gt;"""",REGEXEXTRACT($T744, J$1&amp;""[\w &amp;]*, (\d+\.\d+)""),"""")
"),"")</f>
        <v/>
      </c>
      <c r="K744" s="3"/>
      <c r="L744" s="3" t="str">
        <f aca="false">IFERROR(__xludf.dummyfunction("if($T744&lt;&gt;"""",REGEXEXTRACT(SUBSTITUTE ($T744,L$1&amp;"" CE"",""""), L$1&amp;""[\w &amp;]*, (\d+\.\d+)""),"""")
"),"")</f>
        <v/>
      </c>
      <c r="M744" s="3" t="str">
        <f aca="false">IFERROR(__xludf.dummyfunction("if($T744&lt;&gt;"""",REGEXEXTRACT($T744, M$1&amp;""[\w &amp;]*, (\d+\.\d+)""),"""")
"),"")</f>
        <v/>
      </c>
      <c r="N744" s="3" t="str">
        <f aca="false">IFERROR(__xludf.dummyfunction("if($T744&lt;&gt;"""",REGEXEXTRACT(SUBSTITUTE ($T744,N$1&amp;"" CE"",""""), N$1&amp;""[\w &amp;]*, (\d+\.\d+)""),"""")
"),"")</f>
        <v/>
      </c>
      <c r="O744" s="3" t="str">
        <f aca="false">IFERROR(__xludf.dummyfunction("if($T744&lt;&gt;"""",REGEXEXTRACT($T744, O$1&amp;""[\w &amp;]*, (\d+\.\d+)""),"""")
"),"")</f>
        <v/>
      </c>
      <c r="P744" s="2"/>
      <c r="Q744" s="2"/>
      <c r="R744" s="2"/>
      <c r="S744" s="2"/>
      <c r="T744" s="5"/>
      <c r="U744" s="5"/>
    </row>
    <row r="745" customFormat="false" ht="15.75" hidden="false" customHeight="false" outlineLevel="0" collapsed="false">
      <c r="A745" s="4"/>
      <c r="B745" s="2"/>
      <c r="C745" s="2"/>
      <c r="D745" s="2"/>
      <c r="E745" s="2"/>
      <c r="F745" s="3" t="str">
        <f aca="false">IFERROR(__xludf.dummyfunction("if($T745&lt;&gt;"""",REGEXEXTRACT(SUBSTITUTE ($T745,F$1&amp;"" CE"",""""), F$1&amp;""[\w &amp;]*, (\d+\.\d+)""),"""")
"),"")</f>
        <v/>
      </c>
      <c r="G745" s="3" t="str">
        <f aca="false">IFERROR(__xludf.dummyfunction("if($T745&lt;&gt;"""",REGEXEXTRACT($T745, G$1&amp;""[\w &amp;]*, (\d+\.\d+)""),"""")
"),"")</f>
        <v/>
      </c>
      <c r="H745" s="3"/>
      <c r="I745" s="3" t="str">
        <f aca="false">IFERROR(__xludf.dummyfunction("if($T745&lt;&gt;"""",REGEXEXTRACT(SUBSTITUTE ($T745,I$1&amp;"" CE"",""""), I$1&amp;""[\w &amp;]*, (\d+\.\d+)""),"""")
"),"")</f>
        <v/>
      </c>
      <c r="J745" s="3" t="str">
        <f aca="false">IFERROR(__xludf.dummyfunction("if($T745&lt;&gt;"""",REGEXEXTRACT($T745, J$1&amp;""[\w &amp;]*, (\d+\.\d+)""),"""")
"),"")</f>
        <v/>
      </c>
      <c r="K745" s="3"/>
      <c r="L745" s="3" t="str">
        <f aca="false">IFERROR(__xludf.dummyfunction("if($T745&lt;&gt;"""",REGEXEXTRACT(SUBSTITUTE ($T745,L$1&amp;"" CE"",""""), L$1&amp;""[\w &amp;]*, (\d+\.\d+)""),"""")
"),"")</f>
        <v/>
      </c>
      <c r="M745" s="3" t="str">
        <f aca="false">IFERROR(__xludf.dummyfunction("if($T745&lt;&gt;"""",REGEXEXTRACT($T745, M$1&amp;""[\w &amp;]*, (\d+\.\d+)""),"""")
"),"")</f>
        <v/>
      </c>
      <c r="N745" s="3" t="str">
        <f aca="false">IFERROR(__xludf.dummyfunction("if($T745&lt;&gt;"""",REGEXEXTRACT(SUBSTITUTE ($T745,N$1&amp;"" CE"",""""), N$1&amp;""[\w &amp;]*, (\d+\.\d+)""),"""")
"),"")</f>
        <v/>
      </c>
      <c r="O745" s="3" t="str">
        <f aca="false">IFERROR(__xludf.dummyfunction("if($T745&lt;&gt;"""",REGEXEXTRACT($T745, O$1&amp;""[\w &amp;]*, (\d+\.\d+)""),"""")
"),"")</f>
        <v/>
      </c>
      <c r="P745" s="2"/>
      <c r="Q745" s="2"/>
      <c r="R745" s="2"/>
      <c r="S745" s="2"/>
      <c r="T745" s="5"/>
      <c r="U745" s="5"/>
    </row>
    <row r="746" customFormat="false" ht="15.75" hidden="false" customHeight="false" outlineLevel="0" collapsed="false">
      <c r="A746" s="4"/>
      <c r="B746" s="2"/>
      <c r="C746" s="2"/>
      <c r="D746" s="2"/>
      <c r="E746" s="2"/>
      <c r="F746" s="3" t="str">
        <f aca="false">IFERROR(__xludf.dummyfunction("if($T746&lt;&gt;"""",REGEXEXTRACT(SUBSTITUTE ($T746,F$1&amp;"" CE"",""""), F$1&amp;""[\w &amp;]*, (\d+\.\d+)""),"""")
"),"")</f>
        <v/>
      </c>
      <c r="G746" s="3" t="str">
        <f aca="false">IFERROR(__xludf.dummyfunction("if($T746&lt;&gt;"""",REGEXEXTRACT($T746, G$1&amp;""[\w &amp;]*, (\d+\.\d+)""),"""")
"),"")</f>
        <v/>
      </c>
      <c r="H746" s="3"/>
      <c r="I746" s="3" t="str">
        <f aca="false">IFERROR(__xludf.dummyfunction("if($T746&lt;&gt;"""",REGEXEXTRACT(SUBSTITUTE ($T746,I$1&amp;"" CE"",""""), I$1&amp;""[\w &amp;]*, (\d+\.\d+)""),"""")
"),"")</f>
        <v/>
      </c>
      <c r="J746" s="3" t="str">
        <f aca="false">IFERROR(__xludf.dummyfunction("if($T746&lt;&gt;"""",REGEXEXTRACT($T746, J$1&amp;""[\w &amp;]*, (\d+\.\d+)""),"""")
"),"")</f>
        <v/>
      </c>
      <c r="K746" s="3"/>
      <c r="L746" s="3" t="str">
        <f aca="false">IFERROR(__xludf.dummyfunction("if($T746&lt;&gt;"""",REGEXEXTRACT(SUBSTITUTE ($T746,L$1&amp;"" CE"",""""), L$1&amp;""[\w &amp;]*, (\d+\.\d+)""),"""")
"),"")</f>
        <v/>
      </c>
      <c r="M746" s="3" t="str">
        <f aca="false">IFERROR(__xludf.dummyfunction("if($T746&lt;&gt;"""",REGEXEXTRACT($T746, M$1&amp;""[\w &amp;]*, (\d+\.\d+)""),"""")
"),"")</f>
        <v/>
      </c>
      <c r="N746" s="3" t="str">
        <f aca="false">IFERROR(__xludf.dummyfunction("if($T746&lt;&gt;"""",REGEXEXTRACT(SUBSTITUTE ($T746,N$1&amp;"" CE"",""""), N$1&amp;""[\w &amp;]*, (\d+\.\d+)""),"""")
"),"")</f>
        <v/>
      </c>
      <c r="O746" s="3" t="str">
        <f aca="false">IFERROR(__xludf.dummyfunction("if($T746&lt;&gt;"""",REGEXEXTRACT($T746, O$1&amp;""[\w &amp;]*, (\d+\.\d+)""),"""")
"),"")</f>
        <v/>
      </c>
      <c r="P746" s="2"/>
      <c r="Q746" s="2"/>
      <c r="R746" s="2"/>
      <c r="S746" s="2"/>
      <c r="T746" s="5"/>
      <c r="U746" s="5"/>
    </row>
    <row r="747" customFormat="false" ht="15.75" hidden="false" customHeight="false" outlineLevel="0" collapsed="false">
      <c r="A747" s="4"/>
      <c r="B747" s="2"/>
      <c r="C747" s="2"/>
      <c r="D747" s="2"/>
      <c r="E747" s="2"/>
      <c r="F747" s="3" t="str">
        <f aca="false">IFERROR(__xludf.dummyfunction("if($T747&lt;&gt;"""",REGEXEXTRACT(SUBSTITUTE ($T747,F$1&amp;"" CE"",""""), F$1&amp;""[\w &amp;]*, (\d+\.\d+)""),"""")
"),"")</f>
        <v/>
      </c>
      <c r="G747" s="3" t="str">
        <f aca="false">IFERROR(__xludf.dummyfunction("if($T747&lt;&gt;"""",REGEXEXTRACT($T747, G$1&amp;""[\w &amp;]*, (\d+\.\d+)""),"""")
"),"")</f>
        <v/>
      </c>
      <c r="H747" s="3"/>
      <c r="I747" s="3" t="str">
        <f aca="false">IFERROR(__xludf.dummyfunction("if($T747&lt;&gt;"""",REGEXEXTRACT(SUBSTITUTE ($T747,I$1&amp;"" CE"",""""), I$1&amp;""[\w &amp;]*, (\d+\.\d+)""),"""")
"),"")</f>
        <v/>
      </c>
      <c r="J747" s="3" t="str">
        <f aca="false">IFERROR(__xludf.dummyfunction("if($T747&lt;&gt;"""",REGEXEXTRACT($T747, J$1&amp;""[\w &amp;]*, (\d+\.\d+)""),"""")
"),"")</f>
        <v/>
      </c>
      <c r="K747" s="3"/>
      <c r="L747" s="3" t="str">
        <f aca="false">IFERROR(__xludf.dummyfunction("if($T747&lt;&gt;"""",REGEXEXTRACT(SUBSTITUTE ($T747,L$1&amp;"" CE"",""""), L$1&amp;""[\w &amp;]*, (\d+\.\d+)""),"""")
"),"")</f>
        <v/>
      </c>
      <c r="M747" s="3" t="str">
        <f aca="false">IFERROR(__xludf.dummyfunction("if($T747&lt;&gt;"""",REGEXEXTRACT($T747, M$1&amp;""[\w &amp;]*, (\d+\.\d+)""),"""")
"),"")</f>
        <v/>
      </c>
      <c r="N747" s="3" t="str">
        <f aca="false">IFERROR(__xludf.dummyfunction("if($T747&lt;&gt;"""",REGEXEXTRACT(SUBSTITUTE ($T747,N$1&amp;"" CE"",""""), N$1&amp;""[\w &amp;]*, (\d+\.\d+)""),"""")
"),"")</f>
        <v/>
      </c>
      <c r="O747" s="3" t="str">
        <f aca="false">IFERROR(__xludf.dummyfunction("if($T747&lt;&gt;"""",REGEXEXTRACT($T747, O$1&amp;""[\w &amp;]*, (\d+\.\d+)""),"""")
"),"")</f>
        <v/>
      </c>
      <c r="P747" s="2"/>
      <c r="Q747" s="2"/>
      <c r="R747" s="2"/>
      <c r="S747" s="2"/>
      <c r="T747" s="5"/>
      <c r="U747" s="5"/>
    </row>
    <row r="748" customFormat="false" ht="15.75" hidden="false" customHeight="false" outlineLevel="0" collapsed="false">
      <c r="A748" s="4"/>
      <c r="B748" s="2"/>
      <c r="C748" s="2"/>
      <c r="D748" s="2"/>
      <c r="E748" s="2"/>
      <c r="F748" s="3" t="str">
        <f aca="false">IFERROR(__xludf.dummyfunction("if($T748&lt;&gt;"""",REGEXEXTRACT(SUBSTITUTE ($T748,F$1&amp;"" CE"",""""), F$1&amp;""[\w &amp;]*, (\d+\.\d+)""),"""")
"),"")</f>
        <v/>
      </c>
      <c r="G748" s="3" t="str">
        <f aca="false">IFERROR(__xludf.dummyfunction("if($T748&lt;&gt;"""",REGEXEXTRACT($T748, G$1&amp;""[\w &amp;]*, (\d+\.\d+)""),"""")
"),"")</f>
        <v/>
      </c>
      <c r="H748" s="3"/>
      <c r="I748" s="3" t="str">
        <f aca="false">IFERROR(__xludf.dummyfunction("if($T748&lt;&gt;"""",REGEXEXTRACT(SUBSTITUTE ($T748,I$1&amp;"" CE"",""""), I$1&amp;""[\w &amp;]*, (\d+\.\d+)""),"""")
"),"")</f>
        <v/>
      </c>
      <c r="J748" s="3" t="str">
        <f aca="false">IFERROR(__xludf.dummyfunction("if($T748&lt;&gt;"""",REGEXEXTRACT($T748, J$1&amp;""[\w &amp;]*, (\d+\.\d+)""),"""")
"),"")</f>
        <v/>
      </c>
      <c r="K748" s="3"/>
      <c r="L748" s="3" t="str">
        <f aca="false">IFERROR(__xludf.dummyfunction("if($T748&lt;&gt;"""",REGEXEXTRACT(SUBSTITUTE ($T748,L$1&amp;"" CE"",""""), L$1&amp;""[\w &amp;]*, (\d+\.\d+)""),"""")
"),"")</f>
        <v/>
      </c>
      <c r="M748" s="3" t="str">
        <f aca="false">IFERROR(__xludf.dummyfunction("if($T748&lt;&gt;"""",REGEXEXTRACT($T748, M$1&amp;""[\w &amp;]*, (\d+\.\d+)""),"""")
"),"")</f>
        <v/>
      </c>
      <c r="N748" s="3" t="str">
        <f aca="false">IFERROR(__xludf.dummyfunction("if($T748&lt;&gt;"""",REGEXEXTRACT(SUBSTITUTE ($T748,N$1&amp;"" CE"",""""), N$1&amp;""[\w &amp;]*, (\d+\.\d+)""),"""")
"),"")</f>
        <v/>
      </c>
      <c r="O748" s="3" t="str">
        <f aca="false">IFERROR(__xludf.dummyfunction("if($T748&lt;&gt;"""",REGEXEXTRACT($T748, O$1&amp;""[\w &amp;]*, (\d+\.\d+)""),"""")
"),"")</f>
        <v/>
      </c>
      <c r="P748" s="2"/>
      <c r="Q748" s="2"/>
      <c r="R748" s="2"/>
      <c r="S748" s="2"/>
      <c r="T748" s="5"/>
      <c r="U748" s="5"/>
    </row>
    <row r="749" customFormat="false" ht="15.75" hidden="false" customHeight="false" outlineLevel="0" collapsed="false">
      <c r="A749" s="4"/>
      <c r="B749" s="2"/>
      <c r="C749" s="2"/>
      <c r="D749" s="2"/>
      <c r="E749" s="2"/>
      <c r="F749" s="3" t="str">
        <f aca="false">IFERROR(__xludf.dummyfunction("if($T749&lt;&gt;"""",REGEXEXTRACT(SUBSTITUTE ($T749,F$1&amp;"" CE"",""""), F$1&amp;""[\w &amp;]*, (\d+\.\d+)""),"""")
"),"")</f>
        <v/>
      </c>
      <c r="G749" s="3" t="str">
        <f aca="false">IFERROR(__xludf.dummyfunction("if($T749&lt;&gt;"""",REGEXEXTRACT($T749, G$1&amp;""[\w &amp;]*, (\d+\.\d+)""),"""")
"),"")</f>
        <v/>
      </c>
      <c r="H749" s="3"/>
      <c r="I749" s="3" t="str">
        <f aca="false">IFERROR(__xludf.dummyfunction("if($T749&lt;&gt;"""",REGEXEXTRACT(SUBSTITUTE ($T749,I$1&amp;"" CE"",""""), I$1&amp;""[\w &amp;]*, (\d+\.\d+)""),"""")
"),"")</f>
        <v/>
      </c>
      <c r="J749" s="3" t="str">
        <f aca="false">IFERROR(__xludf.dummyfunction("if($T749&lt;&gt;"""",REGEXEXTRACT($T749, J$1&amp;""[\w &amp;]*, (\d+\.\d+)""),"""")
"),"")</f>
        <v/>
      </c>
      <c r="K749" s="3"/>
      <c r="L749" s="3" t="str">
        <f aca="false">IFERROR(__xludf.dummyfunction("if($T749&lt;&gt;"""",REGEXEXTRACT(SUBSTITUTE ($T749,L$1&amp;"" CE"",""""), L$1&amp;""[\w &amp;]*, (\d+\.\d+)""),"""")
"),"")</f>
        <v/>
      </c>
      <c r="M749" s="3" t="str">
        <f aca="false">IFERROR(__xludf.dummyfunction("if($T749&lt;&gt;"""",REGEXEXTRACT($T749, M$1&amp;""[\w &amp;]*, (\d+\.\d+)""),"""")
"),"")</f>
        <v/>
      </c>
      <c r="N749" s="3" t="str">
        <f aca="false">IFERROR(__xludf.dummyfunction("if($T749&lt;&gt;"""",REGEXEXTRACT(SUBSTITUTE ($T749,N$1&amp;"" CE"",""""), N$1&amp;""[\w &amp;]*, (\d+\.\d+)""),"""")
"),"")</f>
        <v/>
      </c>
      <c r="O749" s="3" t="str">
        <f aca="false">IFERROR(__xludf.dummyfunction("if($T749&lt;&gt;"""",REGEXEXTRACT($T749, O$1&amp;""[\w &amp;]*, (\d+\.\d+)""),"""")
"),"")</f>
        <v/>
      </c>
      <c r="P749" s="2"/>
      <c r="Q749" s="2"/>
      <c r="R749" s="2"/>
      <c r="S749" s="2"/>
      <c r="T749" s="5"/>
      <c r="U749" s="5"/>
    </row>
    <row r="750" customFormat="false" ht="15.75" hidden="false" customHeight="false" outlineLevel="0" collapsed="false">
      <c r="A750" s="4"/>
      <c r="B750" s="2"/>
      <c r="C750" s="2"/>
      <c r="D750" s="2"/>
      <c r="E750" s="2"/>
      <c r="F750" s="3" t="str">
        <f aca="false">IFERROR(__xludf.dummyfunction("if($T750&lt;&gt;"""",REGEXEXTRACT(SUBSTITUTE ($T750,F$1&amp;"" CE"",""""), F$1&amp;""[\w &amp;]*, (\d+\.\d+)""),"""")
"),"")</f>
        <v/>
      </c>
      <c r="G750" s="3" t="str">
        <f aca="false">IFERROR(__xludf.dummyfunction("if($T750&lt;&gt;"""",REGEXEXTRACT($T750, G$1&amp;""[\w &amp;]*, (\d+\.\d+)""),"""")
"),"")</f>
        <v/>
      </c>
      <c r="H750" s="3"/>
      <c r="I750" s="3" t="str">
        <f aca="false">IFERROR(__xludf.dummyfunction("if($T750&lt;&gt;"""",REGEXEXTRACT(SUBSTITUTE ($T750,I$1&amp;"" CE"",""""), I$1&amp;""[\w &amp;]*, (\d+\.\d+)""),"""")
"),"")</f>
        <v/>
      </c>
      <c r="J750" s="3" t="str">
        <f aca="false">IFERROR(__xludf.dummyfunction("if($T750&lt;&gt;"""",REGEXEXTRACT($T750, J$1&amp;""[\w &amp;]*, (\d+\.\d+)""),"""")
"),"")</f>
        <v/>
      </c>
      <c r="K750" s="3"/>
      <c r="L750" s="3" t="str">
        <f aca="false">IFERROR(__xludf.dummyfunction("if($T750&lt;&gt;"""",REGEXEXTRACT(SUBSTITUTE ($T750,L$1&amp;"" CE"",""""), L$1&amp;""[\w &amp;]*, (\d+\.\d+)""),"""")
"),"")</f>
        <v/>
      </c>
      <c r="M750" s="3" t="str">
        <f aca="false">IFERROR(__xludf.dummyfunction("if($T750&lt;&gt;"""",REGEXEXTRACT($T750, M$1&amp;""[\w &amp;]*, (\d+\.\d+)""),"""")
"),"")</f>
        <v/>
      </c>
      <c r="N750" s="3" t="str">
        <f aca="false">IFERROR(__xludf.dummyfunction("if($T750&lt;&gt;"""",REGEXEXTRACT(SUBSTITUTE ($T750,N$1&amp;"" CE"",""""), N$1&amp;""[\w &amp;]*, (\d+\.\d+)""),"""")
"),"")</f>
        <v/>
      </c>
      <c r="O750" s="3" t="str">
        <f aca="false">IFERROR(__xludf.dummyfunction("if($T750&lt;&gt;"""",REGEXEXTRACT($T750, O$1&amp;""[\w &amp;]*, (\d+\.\d+)""),"""")
"),"")</f>
        <v/>
      </c>
      <c r="P750" s="2"/>
      <c r="Q750" s="2"/>
      <c r="R750" s="2"/>
      <c r="S750" s="2"/>
      <c r="T750" s="5"/>
      <c r="U750" s="5"/>
    </row>
    <row r="751" customFormat="false" ht="15.75" hidden="false" customHeight="false" outlineLevel="0" collapsed="false">
      <c r="A751" s="4"/>
      <c r="B751" s="2"/>
      <c r="C751" s="2"/>
      <c r="D751" s="2"/>
      <c r="E751" s="2"/>
      <c r="F751" s="3" t="str">
        <f aca="false">IFERROR(__xludf.dummyfunction("if($T751&lt;&gt;"""",REGEXEXTRACT(SUBSTITUTE ($T751,F$1&amp;"" CE"",""""), F$1&amp;""[\w &amp;]*, (\d+\.\d+)""),"""")
"),"")</f>
        <v/>
      </c>
      <c r="G751" s="3" t="str">
        <f aca="false">IFERROR(__xludf.dummyfunction("if($T751&lt;&gt;"""",REGEXEXTRACT($T751, G$1&amp;""[\w &amp;]*, (\d+\.\d+)""),"""")
"),"")</f>
        <v/>
      </c>
      <c r="H751" s="3"/>
      <c r="I751" s="3" t="str">
        <f aca="false">IFERROR(__xludf.dummyfunction("if($T751&lt;&gt;"""",REGEXEXTRACT(SUBSTITUTE ($T751,I$1&amp;"" CE"",""""), I$1&amp;""[\w &amp;]*, (\d+\.\d+)""),"""")
"),"")</f>
        <v/>
      </c>
      <c r="J751" s="3" t="str">
        <f aca="false">IFERROR(__xludf.dummyfunction("if($T751&lt;&gt;"""",REGEXEXTRACT($T751, J$1&amp;""[\w &amp;]*, (\d+\.\d+)""),"""")
"),"")</f>
        <v/>
      </c>
      <c r="K751" s="3"/>
      <c r="L751" s="3" t="str">
        <f aca="false">IFERROR(__xludf.dummyfunction("if($T751&lt;&gt;"""",REGEXEXTRACT(SUBSTITUTE ($T751,L$1&amp;"" CE"",""""), L$1&amp;""[\w &amp;]*, (\d+\.\d+)""),"""")
"),"")</f>
        <v/>
      </c>
      <c r="M751" s="3" t="str">
        <f aca="false">IFERROR(__xludf.dummyfunction("if($T751&lt;&gt;"""",REGEXEXTRACT($T751, M$1&amp;""[\w &amp;]*, (\d+\.\d+)""),"""")
"),"")</f>
        <v/>
      </c>
      <c r="N751" s="3" t="str">
        <f aca="false">IFERROR(__xludf.dummyfunction("if($T751&lt;&gt;"""",REGEXEXTRACT(SUBSTITUTE ($T751,N$1&amp;"" CE"",""""), N$1&amp;""[\w &amp;]*, (\d+\.\d+)""),"""")
"),"")</f>
        <v/>
      </c>
      <c r="O751" s="3" t="str">
        <f aca="false">IFERROR(__xludf.dummyfunction("if($T751&lt;&gt;"""",REGEXEXTRACT($T751, O$1&amp;""[\w &amp;]*, (\d+\.\d+)""),"""")
"),"")</f>
        <v/>
      </c>
      <c r="P751" s="2"/>
      <c r="Q751" s="2"/>
      <c r="R751" s="2"/>
      <c r="S751" s="2"/>
      <c r="T751" s="5"/>
      <c r="U751" s="5"/>
    </row>
    <row r="752" customFormat="false" ht="15.75" hidden="false" customHeight="false" outlineLevel="0" collapsed="false">
      <c r="A752" s="4"/>
      <c r="B752" s="2"/>
      <c r="C752" s="2"/>
      <c r="D752" s="2"/>
      <c r="E752" s="2"/>
      <c r="F752" s="3" t="str">
        <f aca="false">IFERROR(__xludf.dummyfunction("if($T752&lt;&gt;"""",REGEXEXTRACT(SUBSTITUTE ($T752,F$1&amp;"" CE"",""""), F$1&amp;""[\w &amp;]*, (\d+\.\d+)""),"""")
"),"")</f>
        <v/>
      </c>
      <c r="G752" s="3" t="str">
        <f aca="false">IFERROR(__xludf.dummyfunction("if($T752&lt;&gt;"""",REGEXEXTRACT($T752, G$1&amp;""[\w &amp;]*, (\d+\.\d+)""),"""")
"),"")</f>
        <v/>
      </c>
      <c r="H752" s="3"/>
      <c r="I752" s="3" t="str">
        <f aca="false">IFERROR(__xludf.dummyfunction("if($T752&lt;&gt;"""",REGEXEXTRACT(SUBSTITUTE ($T752,I$1&amp;"" CE"",""""), I$1&amp;""[\w &amp;]*, (\d+\.\d+)""),"""")
"),"")</f>
        <v/>
      </c>
      <c r="J752" s="3" t="str">
        <f aca="false">IFERROR(__xludf.dummyfunction("if($T752&lt;&gt;"""",REGEXEXTRACT($T752, J$1&amp;""[\w &amp;]*, (\d+\.\d+)""),"""")
"),"")</f>
        <v/>
      </c>
      <c r="K752" s="3"/>
      <c r="L752" s="3" t="str">
        <f aca="false">IFERROR(__xludf.dummyfunction("if($T752&lt;&gt;"""",REGEXEXTRACT(SUBSTITUTE ($T752,L$1&amp;"" CE"",""""), L$1&amp;""[\w &amp;]*, (\d+\.\d+)""),"""")
"),"")</f>
        <v/>
      </c>
      <c r="M752" s="3" t="str">
        <f aca="false">IFERROR(__xludf.dummyfunction("if($T752&lt;&gt;"""",REGEXEXTRACT($T752, M$1&amp;""[\w &amp;]*, (\d+\.\d+)""),"""")
"),"")</f>
        <v/>
      </c>
      <c r="N752" s="3" t="str">
        <f aca="false">IFERROR(__xludf.dummyfunction("if($T752&lt;&gt;"""",REGEXEXTRACT(SUBSTITUTE ($T752,N$1&amp;"" CE"",""""), N$1&amp;""[\w &amp;]*, (\d+\.\d+)""),"""")
"),"")</f>
        <v/>
      </c>
      <c r="O752" s="3" t="str">
        <f aca="false">IFERROR(__xludf.dummyfunction("if($T752&lt;&gt;"""",REGEXEXTRACT($T752, O$1&amp;""[\w &amp;]*, (\d+\.\d+)""),"""")
"),"")</f>
        <v/>
      </c>
      <c r="P752" s="2"/>
      <c r="Q752" s="2"/>
      <c r="R752" s="2"/>
      <c r="S752" s="2"/>
      <c r="T752" s="5"/>
      <c r="U752" s="5"/>
    </row>
    <row r="753" customFormat="false" ht="15.75" hidden="false" customHeight="false" outlineLevel="0" collapsed="false">
      <c r="A753" s="4"/>
      <c r="B753" s="2"/>
      <c r="C753" s="2"/>
      <c r="D753" s="2"/>
      <c r="E753" s="2"/>
      <c r="F753" s="3" t="str">
        <f aca="false">IFERROR(__xludf.dummyfunction("if($T753&lt;&gt;"""",REGEXEXTRACT(SUBSTITUTE ($T753,F$1&amp;"" CE"",""""), F$1&amp;""[\w &amp;]*, (\d+\.\d+)""),"""")
"),"")</f>
        <v/>
      </c>
      <c r="G753" s="3" t="str">
        <f aca="false">IFERROR(__xludf.dummyfunction("if($T753&lt;&gt;"""",REGEXEXTRACT($T753, G$1&amp;""[\w &amp;]*, (\d+\.\d+)""),"""")
"),"")</f>
        <v/>
      </c>
      <c r="H753" s="3"/>
      <c r="I753" s="3" t="str">
        <f aca="false">IFERROR(__xludf.dummyfunction("if($T753&lt;&gt;"""",REGEXEXTRACT(SUBSTITUTE ($T753,I$1&amp;"" CE"",""""), I$1&amp;""[\w &amp;]*, (\d+\.\d+)""),"""")
"),"")</f>
        <v/>
      </c>
      <c r="J753" s="3" t="str">
        <f aca="false">IFERROR(__xludf.dummyfunction("if($T753&lt;&gt;"""",REGEXEXTRACT($T753, J$1&amp;""[\w &amp;]*, (\d+\.\d+)""),"""")
"),"")</f>
        <v/>
      </c>
      <c r="K753" s="3"/>
      <c r="L753" s="3" t="str">
        <f aca="false">IFERROR(__xludf.dummyfunction("if($T753&lt;&gt;"""",REGEXEXTRACT(SUBSTITUTE ($T753,L$1&amp;"" CE"",""""), L$1&amp;""[\w &amp;]*, (\d+\.\d+)""),"""")
"),"")</f>
        <v/>
      </c>
      <c r="M753" s="3" t="str">
        <f aca="false">IFERROR(__xludf.dummyfunction("if($T753&lt;&gt;"""",REGEXEXTRACT($T753, M$1&amp;""[\w &amp;]*, (\d+\.\d+)""),"""")
"),"")</f>
        <v/>
      </c>
      <c r="N753" s="3" t="str">
        <f aca="false">IFERROR(__xludf.dummyfunction("if($T753&lt;&gt;"""",REGEXEXTRACT(SUBSTITUTE ($T753,N$1&amp;"" CE"",""""), N$1&amp;""[\w &amp;]*, (\d+\.\d+)""),"""")
"),"")</f>
        <v/>
      </c>
      <c r="O753" s="3" t="str">
        <f aca="false">IFERROR(__xludf.dummyfunction("if($T753&lt;&gt;"""",REGEXEXTRACT($T753, O$1&amp;""[\w &amp;]*, (\d+\.\d+)""),"""")
"),"")</f>
        <v/>
      </c>
      <c r="P753" s="2"/>
      <c r="Q753" s="2"/>
      <c r="R753" s="2"/>
      <c r="S753" s="2"/>
      <c r="T753" s="5"/>
      <c r="U753" s="5"/>
    </row>
    <row r="754" customFormat="false" ht="15.75" hidden="false" customHeight="false" outlineLevel="0" collapsed="false">
      <c r="A754" s="4"/>
      <c r="B754" s="2"/>
      <c r="C754" s="2"/>
      <c r="D754" s="2"/>
      <c r="E754" s="2"/>
      <c r="F754" s="3" t="str">
        <f aca="false">IFERROR(__xludf.dummyfunction("if($T754&lt;&gt;"""",REGEXEXTRACT(SUBSTITUTE ($T754,F$1&amp;"" CE"",""""), F$1&amp;""[\w &amp;]*, (\d+\.\d+)""),"""")
"),"")</f>
        <v/>
      </c>
      <c r="G754" s="3" t="str">
        <f aca="false">IFERROR(__xludf.dummyfunction("if($T754&lt;&gt;"""",REGEXEXTRACT($T754, G$1&amp;""[\w &amp;]*, (\d+\.\d+)""),"""")
"),"")</f>
        <v/>
      </c>
      <c r="H754" s="3"/>
      <c r="I754" s="3" t="str">
        <f aca="false">IFERROR(__xludf.dummyfunction("if($T754&lt;&gt;"""",REGEXEXTRACT(SUBSTITUTE ($T754,I$1&amp;"" CE"",""""), I$1&amp;""[\w &amp;]*, (\d+\.\d+)""),"""")
"),"")</f>
        <v/>
      </c>
      <c r="J754" s="3" t="str">
        <f aca="false">IFERROR(__xludf.dummyfunction("if($T754&lt;&gt;"""",REGEXEXTRACT($T754, J$1&amp;""[\w &amp;]*, (\d+\.\d+)""),"""")
"),"")</f>
        <v/>
      </c>
      <c r="K754" s="3"/>
      <c r="L754" s="3" t="str">
        <f aca="false">IFERROR(__xludf.dummyfunction("if($T754&lt;&gt;"""",REGEXEXTRACT(SUBSTITUTE ($T754,L$1&amp;"" CE"",""""), L$1&amp;""[\w &amp;]*, (\d+\.\d+)""),"""")
"),"")</f>
        <v/>
      </c>
      <c r="M754" s="3" t="str">
        <f aca="false">IFERROR(__xludf.dummyfunction("if($T754&lt;&gt;"""",REGEXEXTRACT($T754, M$1&amp;""[\w &amp;]*, (\d+\.\d+)""),"""")
"),"")</f>
        <v/>
      </c>
      <c r="N754" s="3" t="str">
        <f aca="false">IFERROR(__xludf.dummyfunction("if($T754&lt;&gt;"""",REGEXEXTRACT(SUBSTITUTE ($T754,N$1&amp;"" CE"",""""), N$1&amp;""[\w &amp;]*, (\d+\.\d+)""),"""")
"),"")</f>
        <v/>
      </c>
      <c r="O754" s="3" t="str">
        <f aca="false">IFERROR(__xludf.dummyfunction("if($T754&lt;&gt;"""",REGEXEXTRACT($T754, O$1&amp;""[\w &amp;]*, (\d+\.\d+)""),"""")
"),"")</f>
        <v/>
      </c>
      <c r="P754" s="2"/>
      <c r="Q754" s="2"/>
      <c r="R754" s="2"/>
      <c r="S754" s="2"/>
      <c r="T754" s="5"/>
      <c r="U754" s="5"/>
    </row>
    <row r="755" customFormat="false" ht="15.75" hidden="false" customHeight="false" outlineLevel="0" collapsed="false">
      <c r="A755" s="4"/>
      <c r="B755" s="2"/>
      <c r="C755" s="2"/>
      <c r="D755" s="2"/>
      <c r="E755" s="2"/>
      <c r="F755" s="3" t="str">
        <f aca="false">IFERROR(__xludf.dummyfunction("if($T755&lt;&gt;"""",REGEXEXTRACT(SUBSTITUTE ($T755,F$1&amp;"" CE"",""""), F$1&amp;""[\w &amp;]*, (\d+\.\d+)""),"""")
"),"")</f>
        <v/>
      </c>
      <c r="G755" s="3" t="str">
        <f aca="false">IFERROR(__xludf.dummyfunction("if($T755&lt;&gt;"""",REGEXEXTRACT($T755, G$1&amp;""[\w &amp;]*, (\d+\.\d+)""),"""")
"),"")</f>
        <v/>
      </c>
      <c r="H755" s="3"/>
      <c r="I755" s="3" t="str">
        <f aca="false">IFERROR(__xludf.dummyfunction("if($T755&lt;&gt;"""",REGEXEXTRACT(SUBSTITUTE ($T755,I$1&amp;"" CE"",""""), I$1&amp;""[\w &amp;]*, (\d+\.\d+)""),"""")
"),"")</f>
        <v/>
      </c>
      <c r="J755" s="3" t="str">
        <f aca="false">IFERROR(__xludf.dummyfunction("if($T755&lt;&gt;"""",REGEXEXTRACT($T755, J$1&amp;""[\w &amp;]*, (\d+\.\d+)""),"""")
"),"")</f>
        <v/>
      </c>
      <c r="K755" s="3"/>
      <c r="L755" s="3" t="str">
        <f aca="false">IFERROR(__xludf.dummyfunction("if($T755&lt;&gt;"""",REGEXEXTRACT(SUBSTITUTE ($T755,L$1&amp;"" CE"",""""), L$1&amp;""[\w &amp;]*, (\d+\.\d+)""),"""")
"),"")</f>
        <v/>
      </c>
      <c r="M755" s="3" t="str">
        <f aca="false">IFERROR(__xludf.dummyfunction("if($T755&lt;&gt;"""",REGEXEXTRACT($T755, M$1&amp;""[\w &amp;]*, (\d+\.\d+)""),"""")
"),"")</f>
        <v/>
      </c>
      <c r="N755" s="3" t="str">
        <f aca="false">IFERROR(__xludf.dummyfunction("if($T755&lt;&gt;"""",REGEXEXTRACT(SUBSTITUTE ($T755,N$1&amp;"" CE"",""""), N$1&amp;""[\w &amp;]*, (\d+\.\d+)""),"""")
"),"")</f>
        <v/>
      </c>
      <c r="O755" s="3" t="str">
        <f aca="false">IFERROR(__xludf.dummyfunction("if($T755&lt;&gt;"""",REGEXEXTRACT($T755, O$1&amp;""[\w &amp;]*, (\d+\.\d+)""),"""")
"),"")</f>
        <v/>
      </c>
      <c r="P755" s="2"/>
      <c r="Q755" s="2"/>
      <c r="R755" s="2"/>
      <c r="S755" s="2"/>
      <c r="T755" s="5"/>
      <c r="U755" s="5"/>
    </row>
    <row r="756" customFormat="false" ht="15.75" hidden="false" customHeight="false" outlineLevel="0" collapsed="false">
      <c r="A756" s="4"/>
      <c r="B756" s="2"/>
      <c r="C756" s="2"/>
      <c r="D756" s="2"/>
      <c r="E756" s="2"/>
      <c r="F756" s="3" t="str">
        <f aca="false">IFERROR(__xludf.dummyfunction("if($T756&lt;&gt;"""",REGEXEXTRACT(SUBSTITUTE ($T756,F$1&amp;"" CE"",""""), F$1&amp;""[\w &amp;]*, (\d+\.\d+)""),"""")
"),"")</f>
        <v/>
      </c>
      <c r="G756" s="3" t="str">
        <f aca="false">IFERROR(__xludf.dummyfunction("if($T756&lt;&gt;"""",REGEXEXTRACT($T756, G$1&amp;""[\w &amp;]*, (\d+\.\d+)""),"""")
"),"")</f>
        <v/>
      </c>
      <c r="H756" s="3"/>
      <c r="I756" s="3" t="str">
        <f aca="false">IFERROR(__xludf.dummyfunction("if($T756&lt;&gt;"""",REGEXEXTRACT(SUBSTITUTE ($T756,I$1&amp;"" CE"",""""), I$1&amp;""[\w &amp;]*, (\d+\.\d+)""),"""")
"),"")</f>
        <v/>
      </c>
      <c r="J756" s="3" t="str">
        <f aca="false">IFERROR(__xludf.dummyfunction("if($T756&lt;&gt;"""",REGEXEXTRACT($T756, J$1&amp;""[\w &amp;]*, (\d+\.\d+)""),"""")
"),"")</f>
        <v/>
      </c>
      <c r="K756" s="3"/>
      <c r="L756" s="3" t="str">
        <f aca="false">IFERROR(__xludf.dummyfunction("if($T756&lt;&gt;"""",REGEXEXTRACT(SUBSTITUTE ($T756,L$1&amp;"" CE"",""""), L$1&amp;""[\w &amp;]*, (\d+\.\d+)""),"""")
"),"")</f>
        <v/>
      </c>
      <c r="M756" s="3" t="str">
        <f aca="false">IFERROR(__xludf.dummyfunction("if($T756&lt;&gt;"""",REGEXEXTRACT($T756, M$1&amp;""[\w &amp;]*, (\d+\.\d+)""),"""")
"),"")</f>
        <v/>
      </c>
      <c r="N756" s="3" t="str">
        <f aca="false">IFERROR(__xludf.dummyfunction("if($T756&lt;&gt;"""",REGEXEXTRACT(SUBSTITUTE ($T756,N$1&amp;"" CE"",""""), N$1&amp;""[\w &amp;]*, (\d+\.\d+)""),"""")
"),"")</f>
        <v/>
      </c>
      <c r="O756" s="3" t="str">
        <f aca="false">IFERROR(__xludf.dummyfunction("if($T756&lt;&gt;"""",REGEXEXTRACT($T756, O$1&amp;""[\w &amp;]*, (\d+\.\d+)""),"""")
"),"")</f>
        <v/>
      </c>
      <c r="P756" s="2"/>
      <c r="Q756" s="2"/>
      <c r="R756" s="2"/>
      <c r="S756" s="2"/>
      <c r="T756" s="5"/>
      <c r="U756" s="5"/>
    </row>
    <row r="757" customFormat="false" ht="15.75" hidden="false" customHeight="false" outlineLevel="0" collapsed="false">
      <c r="A757" s="4"/>
      <c r="B757" s="2"/>
      <c r="C757" s="2"/>
      <c r="D757" s="2"/>
      <c r="E757" s="2"/>
      <c r="F757" s="3" t="str">
        <f aca="false">IFERROR(__xludf.dummyfunction("if($T757&lt;&gt;"""",REGEXEXTRACT(SUBSTITUTE ($T757,F$1&amp;"" CE"",""""), F$1&amp;""[\w &amp;]*, (\d+\.\d+)""),"""")
"),"")</f>
        <v/>
      </c>
      <c r="G757" s="3" t="str">
        <f aca="false">IFERROR(__xludf.dummyfunction("if($T757&lt;&gt;"""",REGEXEXTRACT($T757, G$1&amp;""[\w &amp;]*, (\d+\.\d+)""),"""")
"),"")</f>
        <v/>
      </c>
      <c r="H757" s="3"/>
      <c r="I757" s="3" t="str">
        <f aca="false">IFERROR(__xludf.dummyfunction("if($T757&lt;&gt;"""",REGEXEXTRACT(SUBSTITUTE ($T757,I$1&amp;"" CE"",""""), I$1&amp;""[\w &amp;]*, (\d+\.\d+)""),"""")
"),"")</f>
        <v/>
      </c>
      <c r="J757" s="3" t="str">
        <f aca="false">IFERROR(__xludf.dummyfunction("if($T757&lt;&gt;"""",REGEXEXTRACT($T757, J$1&amp;""[\w &amp;]*, (\d+\.\d+)""),"""")
"),"")</f>
        <v/>
      </c>
      <c r="K757" s="3"/>
      <c r="L757" s="3" t="str">
        <f aca="false">IFERROR(__xludf.dummyfunction("if($T757&lt;&gt;"""",REGEXEXTRACT(SUBSTITUTE ($T757,L$1&amp;"" CE"",""""), L$1&amp;""[\w &amp;]*, (\d+\.\d+)""),"""")
"),"")</f>
        <v/>
      </c>
      <c r="M757" s="3" t="str">
        <f aca="false">IFERROR(__xludf.dummyfunction("if($T757&lt;&gt;"""",REGEXEXTRACT($T757, M$1&amp;""[\w &amp;]*, (\d+\.\d+)""),"""")
"),"")</f>
        <v/>
      </c>
      <c r="N757" s="3" t="str">
        <f aca="false">IFERROR(__xludf.dummyfunction("if($T757&lt;&gt;"""",REGEXEXTRACT(SUBSTITUTE ($T757,N$1&amp;"" CE"",""""), N$1&amp;""[\w &amp;]*, (\d+\.\d+)""),"""")
"),"")</f>
        <v/>
      </c>
      <c r="O757" s="3" t="str">
        <f aca="false">IFERROR(__xludf.dummyfunction("if($T757&lt;&gt;"""",REGEXEXTRACT($T757, O$1&amp;""[\w &amp;]*, (\d+\.\d+)""),"""")
"),"")</f>
        <v/>
      </c>
      <c r="P757" s="2"/>
      <c r="Q757" s="2"/>
      <c r="R757" s="2"/>
      <c r="S757" s="2"/>
      <c r="T757" s="5"/>
      <c r="U757" s="5"/>
    </row>
    <row r="758" customFormat="false" ht="15.75" hidden="false" customHeight="false" outlineLevel="0" collapsed="false">
      <c r="A758" s="4"/>
      <c r="B758" s="2"/>
      <c r="C758" s="2"/>
      <c r="D758" s="2"/>
      <c r="E758" s="2"/>
      <c r="F758" s="3" t="str">
        <f aca="false">IFERROR(__xludf.dummyfunction("if($T758&lt;&gt;"""",REGEXEXTRACT(SUBSTITUTE ($T758,F$1&amp;"" CE"",""""), F$1&amp;""[\w &amp;]*, (\d+\.\d+)""),"""")
"),"")</f>
        <v/>
      </c>
      <c r="G758" s="3" t="str">
        <f aca="false">IFERROR(__xludf.dummyfunction("if($T758&lt;&gt;"""",REGEXEXTRACT($T758, G$1&amp;""[\w &amp;]*, (\d+\.\d+)""),"""")
"),"")</f>
        <v/>
      </c>
      <c r="H758" s="3"/>
      <c r="I758" s="3" t="str">
        <f aca="false">IFERROR(__xludf.dummyfunction("if($T758&lt;&gt;"""",REGEXEXTRACT(SUBSTITUTE ($T758,I$1&amp;"" CE"",""""), I$1&amp;""[\w &amp;]*, (\d+\.\d+)""),"""")
"),"")</f>
        <v/>
      </c>
      <c r="J758" s="3" t="str">
        <f aca="false">IFERROR(__xludf.dummyfunction("if($T758&lt;&gt;"""",REGEXEXTRACT($T758, J$1&amp;""[\w &amp;]*, (\d+\.\d+)""),"""")
"),"")</f>
        <v/>
      </c>
      <c r="K758" s="3"/>
      <c r="L758" s="3" t="str">
        <f aca="false">IFERROR(__xludf.dummyfunction("if($T758&lt;&gt;"""",REGEXEXTRACT(SUBSTITUTE ($T758,L$1&amp;"" CE"",""""), L$1&amp;""[\w &amp;]*, (\d+\.\d+)""),"""")
"),"")</f>
        <v/>
      </c>
      <c r="M758" s="3" t="str">
        <f aca="false">IFERROR(__xludf.dummyfunction("if($T758&lt;&gt;"""",REGEXEXTRACT($T758, M$1&amp;""[\w &amp;]*, (\d+\.\d+)""),"""")
"),"")</f>
        <v/>
      </c>
      <c r="N758" s="3" t="str">
        <f aca="false">IFERROR(__xludf.dummyfunction("if($T758&lt;&gt;"""",REGEXEXTRACT(SUBSTITUTE ($T758,N$1&amp;"" CE"",""""), N$1&amp;""[\w &amp;]*, (\d+\.\d+)""),"""")
"),"")</f>
        <v/>
      </c>
      <c r="O758" s="3" t="str">
        <f aca="false">IFERROR(__xludf.dummyfunction("if($T758&lt;&gt;"""",REGEXEXTRACT($T758, O$1&amp;""[\w &amp;]*, (\d+\.\d+)""),"""")
"),"")</f>
        <v/>
      </c>
      <c r="P758" s="2"/>
      <c r="Q758" s="2"/>
      <c r="R758" s="2"/>
      <c r="S758" s="2"/>
      <c r="T758" s="5"/>
      <c r="U758" s="5"/>
    </row>
    <row r="759" customFormat="false" ht="15.75" hidden="false" customHeight="false" outlineLevel="0" collapsed="false">
      <c r="A759" s="4"/>
      <c r="B759" s="2"/>
      <c r="C759" s="2"/>
      <c r="D759" s="2"/>
      <c r="E759" s="2"/>
      <c r="F759" s="3" t="str">
        <f aca="false">IFERROR(__xludf.dummyfunction("if($T759&lt;&gt;"""",REGEXEXTRACT(SUBSTITUTE ($T759,F$1&amp;"" CE"",""""), F$1&amp;""[\w &amp;]*, (\d+\.\d+)""),"""")
"),"")</f>
        <v/>
      </c>
      <c r="G759" s="3" t="str">
        <f aca="false">IFERROR(__xludf.dummyfunction("if($T759&lt;&gt;"""",REGEXEXTRACT($T759, G$1&amp;""[\w &amp;]*, (\d+\.\d+)""),"""")
"),"")</f>
        <v/>
      </c>
      <c r="H759" s="3"/>
      <c r="I759" s="3" t="str">
        <f aca="false">IFERROR(__xludf.dummyfunction("if($T759&lt;&gt;"""",REGEXEXTRACT(SUBSTITUTE ($T759,I$1&amp;"" CE"",""""), I$1&amp;""[\w &amp;]*, (\d+\.\d+)""),"""")
"),"")</f>
        <v/>
      </c>
      <c r="J759" s="3" t="str">
        <f aca="false">IFERROR(__xludf.dummyfunction("if($T759&lt;&gt;"""",REGEXEXTRACT($T759, J$1&amp;""[\w &amp;]*, (\d+\.\d+)""),"""")
"),"")</f>
        <v/>
      </c>
      <c r="K759" s="3"/>
      <c r="L759" s="3" t="str">
        <f aca="false">IFERROR(__xludf.dummyfunction("if($T759&lt;&gt;"""",REGEXEXTRACT(SUBSTITUTE ($T759,L$1&amp;"" CE"",""""), L$1&amp;""[\w &amp;]*, (\d+\.\d+)""),"""")
"),"")</f>
        <v/>
      </c>
      <c r="M759" s="3" t="str">
        <f aca="false">IFERROR(__xludf.dummyfunction("if($T759&lt;&gt;"""",REGEXEXTRACT($T759, M$1&amp;""[\w &amp;]*, (\d+\.\d+)""),"""")
"),"")</f>
        <v/>
      </c>
      <c r="N759" s="3" t="str">
        <f aca="false">IFERROR(__xludf.dummyfunction("if($T759&lt;&gt;"""",REGEXEXTRACT(SUBSTITUTE ($T759,N$1&amp;"" CE"",""""), N$1&amp;""[\w &amp;]*, (\d+\.\d+)""),"""")
"),"")</f>
        <v/>
      </c>
      <c r="O759" s="3" t="str">
        <f aca="false">IFERROR(__xludf.dummyfunction("if($T759&lt;&gt;"""",REGEXEXTRACT($T759, O$1&amp;""[\w &amp;]*, (\d+\.\d+)""),"""")
"),"")</f>
        <v/>
      </c>
      <c r="P759" s="2"/>
      <c r="Q759" s="2"/>
      <c r="R759" s="2"/>
      <c r="S759" s="2"/>
      <c r="T759" s="5"/>
      <c r="U759" s="5"/>
    </row>
    <row r="760" customFormat="false" ht="15.75" hidden="false" customHeight="false" outlineLevel="0" collapsed="false">
      <c r="A760" s="4"/>
      <c r="B760" s="2"/>
      <c r="C760" s="2"/>
      <c r="D760" s="2"/>
      <c r="E760" s="2"/>
      <c r="F760" s="3" t="str">
        <f aca="false">IFERROR(__xludf.dummyfunction("if($T760&lt;&gt;"""",REGEXEXTRACT(SUBSTITUTE ($T760,F$1&amp;"" CE"",""""), F$1&amp;""[\w &amp;]*, (\d+\.\d+)""),"""")
"),"")</f>
        <v/>
      </c>
      <c r="G760" s="3" t="str">
        <f aca="false">IFERROR(__xludf.dummyfunction("if($T760&lt;&gt;"""",REGEXEXTRACT($T760, G$1&amp;""[\w &amp;]*, (\d+\.\d+)""),"""")
"),"")</f>
        <v/>
      </c>
      <c r="H760" s="3"/>
      <c r="I760" s="3" t="str">
        <f aca="false">IFERROR(__xludf.dummyfunction("if($T760&lt;&gt;"""",REGEXEXTRACT(SUBSTITUTE ($T760,I$1&amp;"" CE"",""""), I$1&amp;""[\w &amp;]*, (\d+\.\d+)""),"""")
"),"")</f>
        <v/>
      </c>
      <c r="J760" s="3" t="str">
        <f aca="false">IFERROR(__xludf.dummyfunction("if($T760&lt;&gt;"""",REGEXEXTRACT($T760, J$1&amp;""[\w &amp;]*, (\d+\.\d+)""),"""")
"),"")</f>
        <v/>
      </c>
      <c r="K760" s="3"/>
      <c r="L760" s="3" t="str">
        <f aca="false">IFERROR(__xludf.dummyfunction("if($T760&lt;&gt;"""",REGEXEXTRACT(SUBSTITUTE ($T760,L$1&amp;"" CE"",""""), L$1&amp;""[\w &amp;]*, (\d+\.\d+)""),"""")
"),"")</f>
        <v/>
      </c>
      <c r="M760" s="3" t="str">
        <f aca="false">IFERROR(__xludf.dummyfunction("if($T760&lt;&gt;"""",REGEXEXTRACT($T760, M$1&amp;""[\w &amp;]*, (\d+\.\d+)""),"""")
"),"")</f>
        <v/>
      </c>
      <c r="N760" s="3" t="str">
        <f aca="false">IFERROR(__xludf.dummyfunction("if($T760&lt;&gt;"""",REGEXEXTRACT(SUBSTITUTE ($T760,N$1&amp;"" CE"",""""), N$1&amp;""[\w &amp;]*, (\d+\.\d+)""),"""")
"),"")</f>
        <v/>
      </c>
      <c r="O760" s="3" t="str">
        <f aca="false">IFERROR(__xludf.dummyfunction("if($T760&lt;&gt;"""",REGEXEXTRACT($T760, O$1&amp;""[\w &amp;]*, (\d+\.\d+)""),"""")
"),"")</f>
        <v/>
      </c>
      <c r="P760" s="2"/>
      <c r="Q760" s="2"/>
      <c r="R760" s="2"/>
      <c r="S760" s="2"/>
      <c r="T760" s="5"/>
      <c r="U760" s="5"/>
    </row>
    <row r="761" customFormat="false" ht="15.75" hidden="false" customHeight="false" outlineLevel="0" collapsed="false">
      <c r="A761" s="4"/>
      <c r="B761" s="2"/>
      <c r="C761" s="2"/>
      <c r="D761" s="2"/>
      <c r="E761" s="2"/>
      <c r="F761" s="3" t="str">
        <f aca="false">IFERROR(__xludf.dummyfunction("if($T761&lt;&gt;"""",REGEXEXTRACT(SUBSTITUTE ($T761,F$1&amp;"" CE"",""""), F$1&amp;""[\w &amp;]*, (\d+\.\d+)""),"""")
"),"")</f>
        <v/>
      </c>
      <c r="G761" s="3" t="str">
        <f aca="false">IFERROR(__xludf.dummyfunction("if($T761&lt;&gt;"""",REGEXEXTRACT($T761, G$1&amp;""[\w &amp;]*, (\d+\.\d+)""),"""")
"),"")</f>
        <v/>
      </c>
      <c r="H761" s="3"/>
      <c r="I761" s="3" t="str">
        <f aca="false">IFERROR(__xludf.dummyfunction("if($T761&lt;&gt;"""",REGEXEXTRACT(SUBSTITUTE ($T761,I$1&amp;"" CE"",""""), I$1&amp;""[\w &amp;]*, (\d+\.\d+)""),"""")
"),"")</f>
        <v/>
      </c>
      <c r="J761" s="3" t="str">
        <f aca="false">IFERROR(__xludf.dummyfunction("if($T761&lt;&gt;"""",REGEXEXTRACT($T761, J$1&amp;""[\w &amp;]*, (\d+\.\d+)""),"""")
"),"")</f>
        <v/>
      </c>
      <c r="K761" s="3"/>
      <c r="L761" s="3" t="str">
        <f aca="false">IFERROR(__xludf.dummyfunction("if($T761&lt;&gt;"""",REGEXEXTRACT(SUBSTITUTE ($T761,L$1&amp;"" CE"",""""), L$1&amp;""[\w &amp;]*, (\d+\.\d+)""),"""")
"),"")</f>
        <v/>
      </c>
      <c r="M761" s="3" t="str">
        <f aca="false">IFERROR(__xludf.dummyfunction("if($T761&lt;&gt;"""",REGEXEXTRACT($T761, M$1&amp;""[\w &amp;]*, (\d+\.\d+)""),"""")
"),"")</f>
        <v/>
      </c>
      <c r="N761" s="3" t="str">
        <f aca="false">IFERROR(__xludf.dummyfunction("if($T761&lt;&gt;"""",REGEXEXTRACT(SUBSTITUTE ($T761,N$1&amp;"" CE"",""""), N$1&amp;""[\w &amp;]*, (\d+\.\d+)""),"""")
"),"")</f>
        <v/>
      </c>
      <c r="O761" s="3" t="str">
        <f aca="false">IFERROR(__xludf.dummyfunction("if($T761&lt;&gt;"""",REGEXEXTRACT($T761, O$1&amp;""[\w &amp;]*, (\d+\.\d+)""),"""")
"),"")</f>
        <v/>
      </c>
      <c r="P761" s="2"/>
      <c r="Q761" s="2"/>
      <c r="R761" s="2"/>
      <c r="S761" s="2"/>
      <c r="T761" s="5"/>
      <c r="U761" s="5"/>
    </row>
    <row r="762" customFormat="false" ht="15.75" hidden="false" customHeight="false" outlineLevel="0" collapsed="false">
      <c r="A762" s="4"/>
      <c r="B762" s="2"/>
      <c r="C762" s="2"/>
      <c r="D762" s="2"/>
      <c r="E762" s="2"/>
      <c r="F762" s="3" t="str">
        <f aca="false">IFERROR(__xludf.dummyfunction("if($T762&lt;&gt;"""",REGEXEXTRACT(SUBSTITUTE ($T762,F$1&amp;"" CE"",""""), F$1&amp;""[\w &amp;]*, (\d+\.\d+)""),"""")
"),"")</f>
        <v/>
      </c>
      <c r="G762" s="3" t="str">
        <f aca="false">IFERROR(__xludf.dummyfunction("if($T762&lt;&gt;"""",REGEXEXTRACT($T762, G$1&amp;""[\w &amp;]*, (\d+\.\d+)""),"""")
"),"")</f>
        <v/>
      </c>
      <c r="H762" s="3"/>
      <c r="I762" s="3" t="str">
        <f aca="false">IFERROR(__xludf.dummyfunction("if($T762&lt;&gt;"""",REGEXEXTRACT(SUBSTITUTE ($T762,I$1&amp;"" CE"",""""), I$1&amp;""[\w &amp;]*, (\d+\.\d+)""),"""")
"),"")</f>
        <v/>
      </c>
      <c r="J762" s="3" t="str">
        <f aca="false">IFERROR(__xludf.dummyfunction("if($T762&lt;&gt;"""",REGEXEXTRACT($T762, J$1&amp;""[\w &amp;]*, (\d+\.\d+)""),"""")
"),"")</f>
        <v/>
      </c>
      <c r="K762" s="3"/>
      <c r="L762" s="3" t="str">
        <f aca="false">IFERROR(__xludf.dummyfunction("if($T762&lt;&gt;"""",REGEXEXTRACT(SUBSTITUTE ($T762,L$1&amp;"" CE"",""""), L$1&amp;""[\w &amp;]*, (\d+\.\d+)""),"""")
"),"")</f>
        <v/>
      </c>
      <c r="M762" s="3" t="str">
        <f aca="false">IFERROR(__xludf.dummyfunction("if($T762&lt;&gt;"""",REGEXEXTRACT($T762, M$1&amp;""[\w &amp;]*, (\d+\.\d+)""),"""")
"),"")</f>
        <v/>
      </c>
      <c r="N762" s="3" t="str">
        <f aca="false">IFERROR(__xludf.dummyfunction("if($T762&lt;&gt;"""",REGEXEXTRACT(SUBSTITUTE ($T762,N$1&amp;"" CE"",""""), N$1&amp;""[\w &amp;]*, (\d+\.\d+)""),"""")
"),"")</f>
        <v/>
      </c>
      <c r="O762" s="3" t="str">
        <f aca="false">IFERROR(__xludf.dummyfunction("if($T762&lt;&gt;"""",REGEXEXTRACT($T762, O$1&amp;""[\w &amp;]*, (\d+\.\d+)""),"""")
"),"")</f>
        <v/>
      </c>
      <c r="P762" s="2"/>
      <c r="Q762" s="2"/>
      <c r="R762" s="2"/>
      <c r="S762" s="2"/>
      <c r="T762" s="5"/>
      <c r="U762" s="5"/>
    </row>
    <row r="763" customFormat="false" ht="15.75" hidden="false" customHeight="false" outlineLevel="0" collapsed="false">
      <c r="A763" s="4"/>
      <c r="B763" s="2"/>
      <c r="C763" s="2"/>
      <c r="D763" s="2"/>
      <c r="E763" s="2"/>
      <c r="F763" s="3" t="str">
        <f aca="false">IFERROR(__xludf.dummyfunction("if($T763&lt;&gt;"""",REGEXEXTRACT(SUBSTITUTE ($T763,F$1&amp;"" CE"",""""), F$1&amp;""[\w &amp;]*, (\d+\.\d+)""),"""")
"),"")</f>
        <v/>
      </c>
      <c r="G763" s="3" t="str">
        <f aca="false">IFERROR(__xludf.dummyfunction("if($T763&lt;&gt;"""",REGEXEXTRACT($T763, G$1&amp;""[\w &amp;]*, (\d+\.\d+)""),"""")
"),"")</f>
        <v/>
      </c>
      <c r="H763" s="3"/>
      <c r="I763" s="3" t="str">
        <f aca="false">IFERROR(__xludf.dummyfunction("if($T763&lt;&gt;"""",REGEXEXTRACT(SUBSTITUTE ($T763,I$1&amp;"" CE"",""""), I$1&amp;""[\w &amp;]*, (\d+\.\d+)""),"""")
"),"")</f>
        <v/>
      </c>
      <c r="J763" s="3" t="str">
        <f aca="false">IFERROR(__xludf.dummyfunction("if($T763&lt;&gt;"""",REGEXEXTRACT($T763, J$1&amp;""[\w &amp;]*, (\d+\.\d+)""),"""")
"),"")</f>
        <v/>
      </c>
      <c r="K763" s="3"/>
      <c r="L763" s="3" t="str">
        <f aca="false">IFERROR(__xludf.dummyfunction("if($T763&lt;&gt;"""",REGEXEXTRACT(SUBSTITUTE ($T763,L$1&amp;"" CE"",""""), L$1&amp;""[\w &amp;]*, (\d+\.\d+)""),"""")
"),"")</f>
        <v/>
      </c>
      <c r="M763" s="3" t="str">
        <f aca="false">IFERROR(__xludf.dummyfunction("if($T763&lt;&gt;"""",REGEXEXTRACT($T763, M$1&amp;""[\w &amp;]*, (\d+\.\d+)""),"""")
"),"")</f>
        <v/>
      </c>
      <c r="N763" s="3" t="str">
        <f aca="false">IFERROR(__xludf.dummyfunction("if($T763&lt;&gt;"""",REGEXEXTRACT(SUBSTITUTE ($T763,N$1&amp;"" CE"",""""), N$1&amp;""[\w &amp;]*, (\d+\.\d+)""),"""")
"),"")</f>
        <v/>
      </c>
      <c r="O763" s="3" t="str">
        <f aca="false">IFERROR(__xludf.dummyfunction("if($T763&lt;&gt;"""",REGEXEXTRACT($T763, O$1&amp;""[\w &amp;]*, (\d+\.\d+)""),"""")
"),"")</f>
        <v/>
      </c>
      <c r="P763" s="2"/>
      <c r="Q763" s="2"/>
      <c r="R763" s="2"/>
      <c r="S763" s="2"/>
      <c r="T763" s="5"/>
      <c r="U763" s="5"/>
    </row>
    <row r="764" customFormat="false" ht="15.75" hidden="false" customHeight="false" outlineLevel="0" collapsed="false">
      <c r="A764" s="4"/>
      <c r="B764" s="2"/>
      <c r="C764" s="2"/>
      <c r="D764" s="2"/>
      <c r="E764" s="2"/>
      <c r="F764" s="3" t="str">
        <f aca="false">IFERROR(__xludf.dummyfunction("if($T764&lt;&gt;"""",REGEXEXTRACT(SUBSTITUTE ($T764,F$1&amp;"" CE"",""""), F$1&amp;""[\w &amp;]*, (\d+\.\d+)""),"""")
"),"")</f>
        <v/>
      </c>
      <c r="G764" s="3" t="str">
        <f aca="false">IFERROR(__xludf.dummyfunction("if($T764&lt;&gt;"""",REGEXEXTRACT($T764, G$1&amp;""[\w &amp;]*, (\d+\.\d+)""),"""")
"),"")</f>
        <v/>
      </c>
      <c r="H764" s="3"/>
      <c r="I764" s="3" t="str">
        <f aca="false">IFERROR(__xludf.dummyfunction("if($T764&lt;&gt;"""",REGEXEXTRACT(SUBSTITUTE ($T764,I$1&amp;"" CE"",""""), I$1&amp;""[\w &amp;]*, (\d+\.\d+)""),"""")
"),"")</f>
        <v/>
      </c>
      <c r="J764" s="3" t="str">
        <f aca="false">IFERROR(__xludf.dummyfunction("if($T764&lt;&gt;"""",REGEXEXTRACT($T764, J$1&amp;""[\w &amp;]*, (\d+\.\d+)""),"""")
"),"")</f>
        <v/>
      </c>
      <c r="K764" s="3"/>
      <c r="L764" s="3" t="str">
        <f aca="false">IFERROR(__xludf.dummyfunction("if($T764&lt;&gt;"""",REGEXEXTRACT(SUBSTITUTE ($T764,L$1&amp;"" CE"",""""), L$1&amp;""[\w &amp;]*, (\d+\.\d+)""),"""")
"),"")</f>
        <v/>
      </c>
      <c r="M764" s="3" t="str">
        <f aca="false">IFERROR(__xludf.dummyfunction("if($T764&lt;&gt;"""",REGEXEXTRACT($T764, M$1&amp;""[\w &amp;]*, (\d+\.\d+)""),"""")
"),"")</f>
        <v/>
      </c>
      <c r="N764" s="3" t="str">
        <f aca="false">IFERROR(__xludf.dummyfunction("if($T764&lt;&gt;"""",REGEXEXTRACT(SUBSTITUTE ($T764,N$1&amp;"" CE"",""""), N$1&amp;""[\w &amp;]*, (\d+\.\d+)""),"""")
"),"")</f>
        <v/>
      </c>
      <c r="O764" s="3" t="str">
        <f aca="false">IFERROR(__xludf.dummyfunction("if($T764&lt;&gt;"""",REGEXEXTRACT($T764, O$1&amp;""[\w &amp;]*, (\d+\.\d+)""),"""")
"),"")</f>
        <v/>
      </c>
      <c r="P764" s="2"/>
      <c r="Q764" s="2"/>
      <c r="R764" s="2"/>
      <c r="S764" s="2"/>
      <c r="T764" s="5"/>
      <c r="U764" s="5"/>
    </row>
    <row r="765" customFormat="false" ht="15.75" hidden="false" customHeight="false" outlineLevel="0" collapsed="false">
      <c r="A765" s="4"/>
      <c r="B765" s="2"/>
      <c r="C765" s="2"/>
      <c r="D765" s="2"/>
      <c r="E765" s="2"/>
      <c r="F765" s="3" t="str">
        <f aca="false">IFERROR(__xludf.dummyfunction("if($T765&lt;&gt;"""",REGEXEXTRACT(SUBSTITUTE ($T765,F$1&amp;"" CE"",""""), F$1&amp;""[\w &amp;]*, (\d+\.\d+)""),"""")
"),"")</f>
        <v/>
      </c>
      <c r="G765" s="3" t="str">
        <f aca="false">IFERROR(__xludf.dummyfunction("if($T765&lt;&gt;"""",REGEXEXTRACT($T765, G$1&amp;""[\w &amp;]*, (\d+\.\d+)""),"""")
"),"")</f>
        <v/>
      </c>
      <c r="H765" s="3"/>
      <c r="I765" s="3" t="str">
        <f aca="false">IFERROR(__xludf.dummyfunction("if($T765&lt;&gt;"""",REGEXEXTRACT(SUBSTITUTE ($T765,I$1&amp;"" CE"",""""), I$1&amp;""[\w &amp;]*, (\d+\.\d+)""),"""")
"),"")</f>
        <v/>
      </c>
      <c r="J765" s="3" t="str">
        <f aca="false">IFERROR(__xludf.dummyfunction("if($T765&lt;&gt;"""",REGEXEXTRACT($T765, J$1&amp;""[\w &amp;]*, (\d+\.\d+)""),"""")
"),"")</f>
        <v/>
      </c>
      <c r="K765" s="3"/>
      <c r="L765" s="3" t="str">
        <f aca="false">IFERROR(__xludf.dummyfunction("if($T765&lt;&gt;"""",REGEXEXTRACT(SUBSTITUTE ($T765,L$1&amp;"" CE"",""""), L$1&amp;""[\w &amp;]*, (\d+\.\d+)""),"""")
"),"")</f>
        <v/>
      </c>
      <c r="M765" s="3" t="str">
        <f aca="false">IFERROR(__xludf.dummyfunction("if($T765&lt;&gt;"""",REGEXEXTRACT($T765, M$1&amp;""[\w &amp;]*, (\d+\.\d+)""),"""")
"),"")</f>
        <v/>
      </c>
      <c r="N765" s="3" t="str">
        <f aca="false">IFERROR(__xludf.dummyfunction("if($T765&lt;&gt;"""",REGEXEXTRACT(SUBSTITUTE ($T765,N$1&amp;"" CE"",""""), N$1&amp;""[\w &amp;]*, (\d+\.\d+)""),"""")
"),"")</f>
        <v/>
      </c>
      <c r="O765" s="3" t="str">
        <f aca="false">IFERROR(__xludf.dummyfunction("if($T765&lt;&gt;"""",REGEXEXTRACT($T765, O$1&amp;""[\w &amp;]*, (\d+\.\d+)""),"""")
"),"")</f>
        <v/>
      </c>
      <c r="P765" s="2"/>
      <c r="Q765" s="2"/>
      <c r="R765" s="2"/>
      <c r="S765" s="2"/>
      <c r="T765" s="5"/>
      <c r="U765" s="5"/>
    </row>
    <row r="766" customFormat="false" ht="15.75" hidden="false" customHeight="false" outlineLevel="0" collapsed="false">
      <c r="A766" s="4"/>
      <c r="B766" s="2"/>
      <c r="C766" s="2"/>
      <c r="D766" s="2"/>
      <c r="E766" s="2"/>
      <c r="F766" s="3" t="str">
        <f aca="false">IFERROR(__xludf.dummyfunction("if($T766&lt;&gt;"""",REGEXEXTRACT(SUBSTITUTE ($T766,F$1&amp;"" CE"",""""), F$1&amp;""[\w &amp;]*, (\d+\.\d+)""),"""")
"),"")</f>
        <v/>
      </c>
      <c r="G766" s="3" t="str">
        <f aca="false">IFERROR(__xludf.dummyfunction("if($T766&lt;&gt;"""",REGEXEXTRACT($T766, G$1&amp;""[\w &amp;]*, (\d+\.\d+)""),"""")
"),"")</f>
        <v/>
      </c>
      <c r="H766" s="3"/>
      <c r="I766" s="3" t="str">
        <f aca="false">IFERROR(__xludf.dummyfunction("if($T766&lt;&gt;"""",REGEXEXTRACT(SUBSTITUTE ($T766,I$1&amp;"" CE"",""""), I$1&amp;""[\w &amp;]*, (\d+\.\d+)""),"""")
"),"")</f>
        <v/>
      </c>
      <c r="J766" s="3" t="str">
        <f aca="false">IFERROR(__xludf.dummyfunction("if($T766&lt;&gt;"""",REGEXEXTRACT($T766, J$1&amp;""[\w &amp;]*, (\d+\.\d+)""),"""")
"),"")</f>
        <v/>
      </c>
      <c r="K766" s="3"/>
      <c r="L766" s="3" t="str">
        <f aca="false">IFERROR(__xludf.dummyfunction("if($T766&lt;&gt;"""",REGEXEXTRACT(SUBSTITUTE ($T766,L$1&amp;"" CE"",""""), L$1&amp;""[\w &amp;]*, (\d+\.\d+)""),"""")
"),"")</f>
        <v/>
      </c>
      <c r="M766" s="3" t="str">
        <f aca="false">IFERROR(__xludf.dummyfunction("if($T766&lt;&gt;"""",REGEXEXTRACT($T766, M$1&amp;""[\w &amp;]*, (\d+\.\d+)""),"""")
"),"")</f>
        <v/>
      </c>
      <c r="N766" s="3" t="str">
        <f aca="false">IFERROR(__xludf.dummyfunction("if($T766&lt;&gt;"""",REGEXEXTRACT(SUBSTITUTE ($T766,N$1&amp;"" CE"",""""), N$1&amp;""[\w &amp;]*, (\d+\.\d+)""),"""")
"),"")</f>
        <v/>
      </c>
      <c r="O766" s="3" t="str">
        <f aca="false">IFERROR(__xludf.dummyfunction("if($T766&lt;&gt;"""",REGEXEXTRACT($T766, O$1&amp;""[\w &amp;]*, (\d+\.\d+)""),"""")
"),"")</f>
        <v/>
      </c>
      <c r="P766" s="2"/>
      <c r="Q766" s="2"/>
      <c r="R766" s="2"/>
      <c r="S766" s="2"/>
      <c r="T766" s="5"/>
      <c r="U766" s="5"/>
    </row>
    <row r="767" customFormat="false" ht="15.75" hidden="false" customHeight="false" outlineLevel="0" collapsed="false">
      <c r="A767" s="4"/>
      <c r="B767" s="2"/>
      <c r="C767" s="2"/>
      <c r="D767" s="2"/>
      <c r="E767" s="2"/>
      <c r="F767" s="3" t="str">
        <f aca="false">IFERROR(__xludf.dummyfunction("if($T767&lt;&gt;"""",REGEXEXTRACT(SUBSTITUTE ($T767,F$1&amp;"" CE"",""""), F$1&amp;""[\w &amp;]*, (\d+\.\d+)""),"""")
"),"")</f>
        <v/>
      </c>
      <c r="G767" s="3" t="str">
        <f aca="false">IFERROR(__xludf.dummyfunction("if($T767&lt;&gt;"""",REGEXEXTRACT($T767, G$1&amp;""[\w &amp;]*, (\d+\.\d+)""),"""")
"),"")</f>
        <v/>
      </c>
      <c r="H767" s="3"/>
      <c r="I767" s="3" t="str">
        <f aca="false">IFERROR(__xludf.dummyfunction("if($T767&lt;&gt;"""",REGEXEXTRACT(SUBSTITUTE ($T767,I$1&amp;"" CE"",""""), I$1&amp;""[\w &amp;]*, (\d+\.\d+)""),"""")
"),"")</f>
        <v/>
      </c>
      <c r="J767" s="3" t="str">
        <f aca="false">IFERROR(__xludf.dummyfunction("if($T767&lt;&gt;"""",REGEXEXTRACT($T767, J$1&amp;""[\w &amp;]*, (\d+\.\d+)""),"""")
"),"")</f>
        <v/>
      </c>
      <c r="K767" s="3"/>
      <c r="L767" s="3" t="str">
        <f aca="false">IFERROR(__xludf.dummyfunction("if($T767&lt;&gt;"""",REGEXEXTRACT(SUBSTITUTE ($T767,L$1&amp;"" CE"",""""), L$1&amp;""[\w &amp;]*, (\d+\.\d+)""),"""")
"),"")</f>
        <v/>
      </c>
      <c r="M767" s="3" t="str">
        <f aca="false">IFERROR(__xludf.dummyfunction("if($T767&lt;&gt;"""",REGEXEXTRACT($T767, M$1&amp;""[\w &amp;]*, (\d+\.\d+)""),"""")
"),"")</f>
        <v/>
      </c>
      <c r="N767" s="3" t="str">
        <f aca="false">IFERROR(__xludf.dummyfunction("if($T767&lt;&gt;"""",REGEXEXTRACT(SUBSTITUTE ($T767,N$1&amp;"" CE"",""""), N$1&amp;""[\w &amp;]*, (\d+\.\d+)""),"""")
"),"")</f>
        <v/>
      </c>
      <c r="O767" s="3" t="str">
        <f aca="false">IFERROR(__xludf.dummyfunction("if($T767&lt;&gt;"""",REGEXEXTRACT($T767, O$1&amp;""[\w &amp;]*, (\d+\.\d+)""),"""")
"),"")</f>
        <v/>
      </c>
      <c r="P767" s="2"/>
      <c r="Q767" s="2"/>
      <c r="R767" s="2"/>
      <c r="S767" s="2"/>
      <c r="T767" s="5"/>
      <c r="U767" s="5"/>
    </row>
    <row r="768" customFormat="false" ht="15.75" hidden="false" customHeight="false" outlineLevel="0" collapsed="false">
      <c r="A768" s="4"/>
      <c r="B768" s="2"/>
      <c r="C768" s="2"/>
      <c r="D768" s="2"/>
      <c r="E768" s="2"/>
      <c r="F768" s="3" t="str">
        <f aca="false">IFERROR(__xludf.dummyfunction("if($T768&lt;&gt;"""",REGEXEXTRACT(SUBSTITUTE ($T768,F$1&amp;"" CE"",""""), F$1&amp;""[\w &amp;]*, (\d+\.\d+)""),"""")
"),"")</f>
        <v/>
      </c>
      <c r="G768" s="3" t="str">
        <f aca="false">IFERROR(__xludf.dummyfunction("if($T768&lt;&gt;"""",REGEXEXTRACT($T768, G$1&amp;""[\w &amp;]*, (\d+\.\d+)""),"""")
"),"")</f>
        <v/>
      </c>
      <c r="H768" s="3"/>
      <c r="I768" s="3" t="str">
        <f aca="false">IFERROR(__xludf.dummyfunction("if($T768&lt;&gt;"""",REGEXEXTRACT(SUBSTITUTE ($T768,I$1&amp;"" CE"",""""), I$1&amp;""[\w &amp;]*, (\d+\.\d+)""),"""")
"),"")</f>
        <v/>
      </c>
      <c r="J768" s="3" t="str">
        <f aca="false">IFERROR(__xludf.dummyfunction("if($T768&lt;&gt;"""",REGEXEXTRACT($T768, J$1&amp;""[\w &amp;]*, (\d+\.\d+)""),"""")
"),"")</f>
        <v/>
      </c>
      <c r="K768" s="3"/>
      <c r="L768" s="3" t="str">
        <f aca="false">IFERROR(__xludf.dummyfunction("if($T768&lt;&gt;"""",REGEXEXTRACT(SUBSTITUTE ($T768,L$1&amp;"" CE"",""""), L$1&amp;""[\w &amp;]*, (\d+\.\d+)""),"""")
"),"")</f>
        <v/>
      </c>
      <c r="M768" s="3" t="str">
        <f aca="false">IFERROR(__xludf.dummyfunction("if($T768&lt;&gt;"""",REGEXEXTRACT($T768, M$1&amp;""[\w &amp;]*, (\d+\.\d+)""),"""")
"),"")</f>
        <v/>
      </c>
      <c r="N768" s="3" t="str">
        <f aca="false">IFERROR(__xludf.dummyfunction("if($T768&lt;&gt;"""",REGEXEXTRACT(SUBSTITUTE ($T768,N$1&amp;"" CE"",""""), N$1&amp;""[\w &amp;]*, (\d+\.\d+)""),"""")
"),"")</f>
        <v/>
      </c>
      <c r="O768" s="3" t="str">
        <f aca="false">IFERROR(__xludf.dummyfunction("if($T768&lt;&gt;"""",REGEXEXTRACT($T768, O$1&amp;""[\w &amp;]*, (\d+\.\d+)""),"""")
"),"")</f>
        <v/>
      </c>
      <c r="P768" s="2"/>
      <c r="Q768" s="2"/>
      <c r="R768" s="2"/>
      <c r="S768" s="2"/>
      <c r="T768" s="5"/>
      <c r="U768" s="5"/>
    </row>
    <row r="769" customFormat="false" ht="15.75" hidden="false" customHeight="false" outlineLevel="0" collapsed="false">
      <c r="A769" s="4"/>
      <c r="B769" s="2"/>
      <c r="C769" s="2"/>
      <c r="D769" s="2"/>
      <c r="E769" s="2"/>
      <c r="F769" s="3" t="str">
        <f aca="false">IFERROR(__xludf.dummyfunction("if($T769&lt;&gt;"""",REGEXEXTRACT(SUBSTITUTE ($T769,F$1&amp;"" CE"",""""), F$1&amp;""[\w &amp;]*, (\d+\.\d+)""),"""")
"),"")</f>
        <v/>
      </c>
      <c r="G769" s="3" t="str">
        <f aca="false">IFERROR(__xludf.dummyfunction("if($T769&lt;&gt;"""",REGEXEXTRACT($T769, G$1&amp;""[\w &amp;]*, (\d+\.\d+)""),"""")
"),"")</f>
        <v/>
      </c>
      <c r="H769" s="3"/>
      <c r="I769" s="3" t="str">
        <f aca="false">IFERROR(__xludf.dummyfunction("if($T769&lt;&gt;"""",REGEXEXTRACT(SUBSTITUTE ($T769,I$1&amp;"" CE"",""""), I$1&amp;""[\w &amp;]*, (\d+\.\d+)""),"""")
"),"")</f>
        <v/>
      </c>
      <c r="J769" s="3" t="str">
        <f aca="false">IFERROR(__xludf.dummyfunction("if($T769&lt;&gt;"""",REGEXEXTRACT($T769, J$1&amp;""[\w &amp;]*, (\d+\.\d+)""),"""")
"),"")</f>
        <v/>
      </c>
      <c r="K769" s="3"/>
      <c r="L769" s="3" t="str">
        <f aca="false">IFERROR(__xludf.dummyfunction("if($T769&lt;&gt;"""",REGEXEXTRACT(SUBSTITUTE ($T769,L$1&amp;"" CE"",""""), L$1&amp;""[\w &amp;]*, (\d+\.\d+)""),"""")
"),"")</f>
        <v/>
      </c>
      <c r="M769" s="3" t="str">
        <f aca="false">IFERROR(__xludf.dummyfunction("if($T769&lt;&gt;"""",REGEXEXTRACT($T769, M$1&amp;""[\w &amp;]*, (\d+\.\d+)""),"""")
"),"")</f>
        <v/>
      </c>
      <c r="N769" s="3" t="str">
        <f aca="false">IFERROR(__xludf.dummyfunction("if($T769&lt;&gt;"""",REGEXEXTRACT(SUBSTITUTE ($T769,N$1&amp;"" CE"",""""), N$1&amp;""[\w &amp;]*, (\d+\.\d+)""),"""")
"),"")</f>
        <v/>
      </c>
      <c r="O769" s="3" t="str">
        <f aca="false">IFERROR(__xludf.dummyfunction("if($T769&lt;&gt;"""",REGEXEXTRACT($T769, O$1&amp;""[\w &amp;]*, (\d+\.\d+)""),"""")
"),"")</f>
        <v/>
      </c>
      <c r="P769" s="2"/>
      <c r="Q769" s="2"/>
      <c r="R769" s="2"/>
      <c r="S769" s="2"/>
      <c r="T769" s="5"/>
      <c r="U769" s="5"/>
    </row>
    <row r="770" customFormat="false" ht="15.75" hidden="false" customHeight="false" outlineLevel="0" collapsed="false">
      <c r="A770" s="4"/>
      <c r="B770" s="2"/>
      <c r="C770" s="2"/>
      <c r="D770" s="2"/>
      <c r="E770" s="2"/>
      <c r="F770" s="3" t="str">
        <f aca="false">IFERROR(__xludf.dummyfunction("if($T770&lt;&gt;"""",REGEXEXTRACT(SUBSTITUTE ($T770,F$1&amp;"" CE"",""""), F$1&amp;""[\w &amp;]*, (\d+\.\d+)""),"""")
"),"")</f>
        <v/>
      </c>
      <c r="G770" s="3" t="str">
        <f aca="false">IFERROR(__xludf.dummyfunction("if($T770&lt;&gt;"""",REGEXEXTRACT($T770, G$1&amp;""[\w &amp;]*, (\d+\.\d+)""),"""")
"),"")</f>
        <v/>
      </c>
      <c r="H770" s="3"/>
      <c r="I770" s="3" t="str">
        <f aca="false">IFERROR(__xludf.dummyfunction("if($T770&lt;&gt;"""",REGEXEXTRACT(SUBSTITUTE ($T770,I$1&amp;"" CE"",""""), I$1&amp;""[\w &amp;]*, (\d+\.\d+)""),"""")
"),"")</f>
        <v/>
      </c>
      <c r="J770" s="3" t="str">
        <f aca="false">IFERROR(__xludf.dummyfunction("if($T770&lt;&gt;"""",REGEXEXTRACT($T770, J$1&amp;""[\w &amp;]*, (\d+\.\d+)""),"""")
"),"")</f>
        <v/>
      </c>
      <c r="K770" s="3"/>
      <c r="L770" s="3" t="str">
        <f aca="false">IFERROR(__xludf.dummyfunction("if($T770&lt;&gt;"""",REGEXEXTRACT(SUBSTITUTE ($T770,L$1&amp;"" CE"",""""), L$1&amp;""[\w &amp;]*, (\d+\.\d+)""),"""")
"),"")</f>
        <v/>
      </c>
      <c r="M770" s="3" t="str">
        <f aca="false">IFERROR(__xludf.dummyfunction("if($T770&lt;&gt;"""",REGEXEXTRACT($T770, M$1&amp;""[\w &amp;]*, (\d+\.\d+)""),"""")
"),"")</f>
        <v/>
      </c>
      <c r="N770" s="3" t="str">
        <f aca="false">IFERROR(__xludf.dummyfunction("if($T770&lt;&gt;"""",REGEXEXTRACT(SUBSTITUTE ($T770,N$1&amp;"" CE"",""""), N$1&amp;""[\w &amp;]*, (\d+\.\d+)""),"""")
"),"")</f>
        <v/>
      </c>
      <c r="O770" s="3" t="str">
        <f aca="false">IFERROR(__xludf.dummyfunction("if($T770&lt;&gt;"""",REGEXEXTRACT($T770, O$1&amp;""[\w &amp;]*, (\d+\.\d+)""),"""")
"),"")</f>
        <v/>
      </c>
      <c r="P770" s="2"/>
      <c r="Q770" s="2"/>
      <c r="R770" s="2"/>
      <c r="S770" s="2"/>
      <c r="T770" s="5"/>
      <c r="U770" s="5"/>
    </row>
    <row r="771" customFormat="false" ht="15.75" hidden="false" customHeight="false" outlineLevel="0" collapsed="false">
      <c r="A771" s="4"/>
      <c r="B771" s="2"/>
      <c r="C771" s="2"/>
      <c r="D771" s="2"/>
      <c r="E771" s="2"/>
      <c r="F771" s="3" t="str">
        <f aca="false">IFERROR(__xludf.dummyfunction("if($T771&lt;&gt;"""",REGEXEXTRACT(SUBSTITUTE ($T771,F$1&amp;"" CE"",""""), F$1&amp;""[\w &amp;]*, (\d+\.\d+)""),"""")
"),"")</f>
        <v/>
      </c>
      <c r="G771" s="3" t="str">
        <f aca="false">IFERROR(__xludf.dummyfunction("if($T771&lt;&gt;"""",REGEXEXTRACT($T771, G$1&amp;""[\w &amp;]*, (\d+\.\d+)""),"""")
"),"")</f>
        <v/>
      </c>
      <c r="H771" s="3"/>
      <c r="I771" s="3" t="str">
        <f aca="false">IFERROR(__xludf.dummyfunction("if($T771&lt;&gt;"""",REGEXEXTRACT(SUBSTITUTE ($T771,I$1&amp;"" CE"",""""), I$1&amp;""[\w &amp;]*, (\d+\.\d+)""),"""")
"),"")</f>
        <v/>
      </c>
      <c r="J771" s="3" t="str">
        <f aca="false">IFERROR(__xludf.dummyfunction("if($T771&lt;&gt;"""",REGEXEXTRACT($T771, J$1&amp;""[\w &amp;]*, (\d+\.\d+)""),"""")
"),"")</f>
        <v/>
      </c>
      <c r="K771" s="3"/>
      <c r="L771" s="3" t="str">
        <f aca="false">IFERROR(__xludf.dummyfunction("if($T771&lt;&gt;"""",REGEXEXTRACT(SUBSTITUTE ($T771,L$1&amp;"" CE"",""""), L$1&amp;""[\w &amp;]*, (\d+\.\d+)""),"""")
"),"")</f>
        <v/>
      </c>
      <c r="M771" s="3" t="str">
        <f aca="false">IFERROR(__xludf.dummyfunction("if($T771&lt;&gt;"""",REGEXEXTRACT($T771, M$1&amp;""[\w &amp;]*, (\d+\.\d+)""),"""")
"),"")</f>
        <v/>
      </c>
      <c r="N771" s="3" t="str">
        <f aca="false">IFERROR(__xludf.dummyfunction("if($T771&lt;&gt;"""",REGEXEXTRACT(SUBSTITUTE ($T771,N$1&amp;"" CE"",""""), N$1&amp;""[\w &amp;]*, (\d+\.\d+)""),"""")
"),"")</f>
        <v/>
      </c>
      <c r="O771" s="3" t="str">
        <f aca="false">IFERROR(__xludf.dummyfunction("if($T771&lt;&gt;"""",REGEXEXTRACT($T771, O$1&amp;""[\w &amp;]*, (\d+\.\d+)""),"""")
"),"")</f>
        <v/>
      </c>
      <c r="P771" s="2"/>
      <c r="Q771" s="2"/>
      <c r="R771" s="2"/>
      <c r="S771" s="2"/>
      <c r="T771" s="5"/>
      <c r="U771" s="5"/>
    </row>
    <row r="772" customFormat="false" ht="15.75" hidden="false" customHeight="false" outlineLevel="0" collapsed="false">
      <c r="A772" s="4"/>
      <c r="B772" s="2"/>
      <c r="C772" s="2"/>
      <c r="D772" s="2"/>
      <c r="E772" s="2"/>
      <c r="F772" s="3" t="str">
        <f aca="false">IFERROR(__xludf.dummyfunction("if($T772&lt;&gt;"""",REGEXEXTRACT(SUBSTITUTE ($T772,F$1&amp;"" CE"",""""), F$1&amp;""[\w &amp;]*, (\d+\.\d+)""),"""")
"),"")</f>
        <v/>
      </c>
      <c r="G772" s="3" t="str">
        <f aca="false">IFERROR(__xludf.dummyfunction("if($T772&lt;&gt;"""",REGEXEXTRACT($T772, G$1&amp;""[\w &amp;]*, (\d+\.\d+)""),"""")
"),"")</f>
        <v/>
      </c>
      <c r="H772" s="3"/>
      <c r="I772" s="3" t="str">
        <f aca="false">IFERROR(__xludf.dummyfunction("if($T772&lt;&gt;"""",REGEXEXTRACT(SUBSTITUTE ($T772,I$1&amp;"" CE"",""""), I$1&amp;""[\w &amp;]*, (\d+\.\d+)""),"""")
"),"")</f>
        <v/>
      </c>
      <c r="J772" s="3" t="str">
        <f aca="false">IFERROR(__xludf.dummyfunction("if($T772&lt;&gt;"""",REGEXEXTRACT($T772, J$1&amp;""[\w &amp;]*, (\d+\.\d+)""),"""")
"),"")</f>
        <v/>
      </c>
      <c r="K772" s="3"/>
      <c r="L772" s="3" t="str">
        <f aca="false">IFERROR(__xludf.dummyfunction("if($T772&lt;&gt;"""",REGEXEXTRACT(SUBSTITUTE ($T772,L$1&amp;"" CE"",""""), L$1&amp;""[\w &amp;]*, (\d+\.\d+)""),"""")
"),"")</f>
        <v/>
      </c>
      <c r="M772" s="3" t="str">
        <f aca="false">IFERROR(__xludf.dummyfunction("if($T772&lt;&gt;"""",REGEXEXTRACT($T772, M$1&amp;""[\w &amp;]*, (\d+\.\d+)""),"""")
"),"")</f>
        <v/>
      </c>
      <c r="N772" s="3" t="str">
        <f aca="false">IFERROR(__xludf.dummyfunction("if($T772&lt;&gt;"""",REGEXEXTRACT(SUBSTITUTE ($T772,N$1&amp;"" CE"",""""), N$1&amp;""[\w &amp;]*, (\d+\.\d+)""),"""")
"),"")</f>
        <v/>
      </c>
      <c r="O772" s="3" t="str">
        <f aca="false">IFERROR(__xludf.dummyfunction("if($T772&lt;&gt;"""",REGEXEXTRACT($T772, O$1&amp;""[\w &amp;]*, (\d+\.\d+)""),"""")
"),"")</f>
        <v/>
      </c>
      <c r="P772" s="2"/>
      <c r="Q772" s="2"/>
      <c r="R772" s="2"/>
      <c r="S772" s="2"/>
      <c r="T772" s="5"/>
      <c r="U772" s="5"/>
    </row>
    <row r="773" customFormat="false" ht="15.75" hidden="false" customHeight="false" outlineLevel="0" collapsed="false">
      <c r="A773" s="4"/>
      <c r="B773" s="2"/>
      <c r="C773" s="2"/>
      <c r="D773" s="2"/>
      <c r="E773" s="2"/>
      <c r="F773" s="3" t="str">
        <f aca="false">IFERROR(__xludf.dummyfunction("if($T773&lt;&gt;"""",REGEXEXTRACT(SUBSTITUTE ($T773,F$1&amp;"" CE"",""""), F$1&amp;""[\w &amp;]*, (\d+\.\d+)""),"""")
"),"")</f>
        <v/>
      </c>
      <c r="G773" s="3" t="str">
        <f aca="false">IFERROR(__xludf.dummyfunction("if($T773&lt;&gt;"""",REGEXEXTRACT($T773, G$1&amp;""[\w &amp;]*, (\d+\.\d+)""),"""")
"),"")</f>
        <v/>
      </c>
      <c r="H773" s="3"/>
      <c r="I773" s="3" t="str">
        <f aca="false">IFERROR(__xludf.dummyfunction("if($T773&lt;&gt;"""",REGEXEXTRACT(SUBSTITUTE ($T773,I$1&amp;"" CE"",""""), I$1&amp;""[\w &amp;]*, (\d+\.\d+)""),"""")
"),"")</f>
        <v/>
      </c>
      <c r="J773" s="3" t="str">
        <f aca="false">IFERROR(__xludf.dummyfunction("if($T773&lt;&gt;"""",REGEXEXTRACT($T773, J$1&amp;""[\w &amp;]*, (\d+\.\d+)""),"""")
"),"")</f>
        <v/>
      </c>
      <c r="K773" s="3"/>
      <c r="L773" s="3" t="str">
        <f aca="false">IFERROR(__xludf.dummyfunction("if($T773&lt;&gt;"""",REGEXEXTRACT(SUBSTITUTE ($T773,L$1&amp;"" CE"",""""), L$1&amp;""[\w &amp;]*, (\d+\.\d+)""),"""")
"),"")</f>
        <v/>
      </c>
      <c r="M773" s="3" t="str">
        <f aca="false">IFERROR(__xludf.dummyfunction("if($T773&lt;&gt;"""",REGEXEXTRACT($T773, M$1&amp;""[\w &amp;]*, (\d+\.\d+)""),"""")
"),"")</f>
        <v/>
      </c>
      <c r="N773" s="3" t="str">
        <f aca="false">IFERROR(__xludf.dummyfunction("if($T773&lt;&gt;"""",REGEXEXTRACT(SUBSTITUTE ($T773,N$1&amp;"" CE"",""""), N$1&amp;""[\w &amp;]*, (\d+\.\d+)""),"""")
"),"")</f>
        <v/>
      </c>
      <c r="O773" s="3" t="str">
        <f aca="false">IFERROR(__xludf.dummyfunction("if($T773&lt;&gt;"""",REGEXEXTRACT($T773, O$1&amp;""[\w &amp;]*, (\d+\.\d+)""),"""")
"),"")</f>
        <v/>
      </c>
      <c r="P773" s="2"/>
      <c r="Q773" s="2"/>
      <c r="R773" s="2"/>
      <c r="S773" s="2"/>
      <c r="T773" s="5"/>
      <c r="U773" s="5"/>
    </row>
    <row r="774" customFormat="false" ht="15.75" hidden="false" customHeight="false" outlineLevel="0" collapsed="false">
      <c r="A774" s="4"/>
      <c r="B774" s="2"/>
      <c r="C774" s="2"/>
      <c r="D774" s="2"/>
      <c r="E774" s="2"/>
      <c r="F774" s="3" t="str">
        <f aca="false">IFERROR(__xludf.dummyfunction("if($T774&lt;&gt;"""",REGEXEXTRACT(SUBSTITUTE ($T774,F$1&amp;"" CE"",""""), F$1&amp;""[\w &amp;]*, (\d+\.\d+)""),"""")
"),"")</f>
        <v/>
      </c>
      <c r="G774" s="3" t="str">
        <f aca="false">IFERROR(__xludf.dummyfunction("if($T774&lt;&gt;"""",REGEXEXTRACT($T774, G$1&amp;""[\w &amp;]*, (\d+\.\d+)""),"""")
"),"")</f>
        <v/>
      </c>
      <c r="H774" s="3"/>
      <c r="I774" s="3" t="str">
        <f aca="false">IFERROR(__xludf.dummyfunction("if($T774&lt;&gt;"""",REGEXEXTRACT(SUBSTITUTE ($T774,I$1&amp;"" CE"",""""), I$1&amp;""[\w &amp;]*, (\d+\.\d+)""),"""")
"),"")</f>
        <v/>
      </c>
      <c r="J774" s="3" t="str">
        <f aca="false">IFERROR(__xludf.dummyfunction("if($T774&lt;&gt;"""",REGEXEXTRACT($T774, J$1&amp;""[\w &amp;]*, (\d+\.\d+)""),"""")
"),"")</f>
        <v/>
      </c>
      <c r="K774" s="3"/>
      <c r="L774" s="3" t="str">
        <f aca="false">IFERROR(__xludf.dummyfunction("if($T774&lt;&gt;"""",REGEXEXTRACT(SUBSTITUTE ($T774,L$1&amp;"" CE"",""""), L$1&amp;""[\w &amp;]*, (\d+\.\d+)""),"""")
"),"")</f>
        <v/>
      </c>
      <c r="M774" s="3" t="str">
        <f aca="false">IFERROR(__xludf.dummyfunction("if($T774&lt;&gt;"""",REGEXEXTRACT($T774, M$1&amp;""[\w &amp;]*, (\d+\.\d+)""),"""")
"),"")</f>
        <v/>
      </c>
      <c r="N774" s="3" t="str">
        <f aca="false">IFERROR(__xludf.dummyfunction("if($T774&lt;&gt;"""",REGEXEXTRACT(SUBSTITUTE ($T774,N$1&amp;"" CE"",""""), N$1&amp;""[\w &amp;]*, (\d+\.\d+)""),"""")
"),"")</f>
        <v/>
      </c>
      <c r="O774" s="3" t="str">
        <f aca="false">IFERROR(__xludf.dummyfunction("if($T774&lt;&gt;"""",REGEXEXTRACT($T774, O$1&amp;""[\w &amp;]*, (\d+\.\d+)""),"""")
"),"")</f>
        <v/>
      </c>
      <c r="P774" s="2"/>
      <c r="Q774" s="2"/>
      <c r="R774" s="2"/>
      <c r="S774" s="2"/>
      <c r="T774" s="5"/>
      <c r="U774" s="5"/>
    </row>
    <row r="775" customFormat="false" ht="15.75" hidden="false" customHeight="false" outlineLevel="0" collapsed="false">
      <c r="A775" s="4"/>
      <c r="B775" s="2"/>
      <c r="C775" s="2"/>
      <c r="D775" s="2"/>
      <c r="E775" s="2"/>
      <c r="F775" s="3" t="str">
        <f aca="false">IFERROR(__xludf.dummyfunction("if($T775&lt;&gt;"""",REGEXEXTRACT(SUBSTITUTE ($T775,F$1&amp;"" CE"",""""), F$1&amp;""[\w &amp;]*, (\d+\.\d+)""),"""")
"),"")</f>
        <v/>
      </c>
      <c r="G775" s="3" t="str">
        <f aca="false">IFERROR(__xludf.dummyfunction("if($T775&lt;&gt;"""",REGEXEXTRACT($T775, G$1&amp;""[\w &amp;]*, (\d+\.\d+)""),"""")
"),"")</f>
        <v/>
      </c>
      <c r="H775" s="3"/>
      <c r="I775" s="3" t="str">
        <f aca="false">IFERROR(__xludf.dummyfunction("if($T775&lt;&gt;"""",REGEXEXTRACT(SUBSTITUTE ($T775,I$1&amp;"" CE"",""""), I$1&amp;""[\w &amp;]*, (\d+\.\d+)""),"""")
"),"")</f>
        <v/>
      </c>
      <c r="J775" s="3" t="str">
        <f aca="false">IFERROR(__xludf.dummyfunction("if($T775&lt;&gt;"""",REGEXEXTRACT($T775, J$1&amp;""[\w &amp;]*, (\d+\.\d+)""),"""")
"),"")</f>
        <v/>
      </c>
      <c r="K775" s="3"/>
      <c r="L775" s="3" t="str">
        <f aca="false">IFERROR(__xludf.dummyfunction("if($T775&lt;&gt;"""",REGEXEXTRACT(SUBSTITUTE ($T775,L$1&amp;"" CE"",""""), L$1&amp;""[\w &amp;]*, (\d+\.\d+)""),"""")
"),"")</f>
        <v/>
      </c>
      <c r="M775" s="3" t="str">
        <f aca="false">IFERROR(__xludf.dummyfunction("if($T775&lt;&gt;"""",REGEXEXTRACT($T775, M$1&amp;""[\w &amp;]*, (\d+\.\d+)""),"""")
"),"")</f>
        <v/>
      </c>
      <c r="N775" s="3" t="str">
        <f aca="false">IFERROR(__xludf.dummyfunction("if($T775&lt;&gt;"""",REGEXEXTRACT(SUBSTITUTE ($T775,N$1&amp;"" CE"",""""), N$1&amp;""[\w &amp;]*, (\d+\.\d+)""),"""")
"),"")</f>
        <v/>
      </c>
      <c r="O775" s="3" t="str">
        <f aca="false">IFERROR(__xludf.dummyfunction("if($T775&lt;&gt;"""",REGEXEXTRACT($T775, O$1&amp;""[\w &amp;]*, (\d+\.\d+)""),"""")
"),"")</f>
        <v/>
      </c>
      <c r="P775" s="2"/>
      <c r="Q775" s="2"/>
      <c r="R775" s="2"/>
      <c r="S775" s="2"/>
      <c r="T775" s="5"/>
      <c r="U775" s="5"/>
    </row>
    <row r="776" customFormat="false" ht="15.75" hidden="false" customHeight="false" outlineLevel="0" collapsed="false">
      <c r="A776" s="4"/>
      <c r="B776" s="2"/>
      <c r="C776" s="2"/>
      <c r="D776" s="2"/>
      <c r="E776" s="2"/>
      <c r="F776" s="3" t="str">
        <f aca="false">IFERROR(__xludf.dummyfunction("if($T776&lt;&gt;"""",REGEXEXTRACT(SUBSTITUTE ($T776,F$1&amp;"" CE"",""""), F$1&amp;""[\w &amp;]*, (\d+\.\d+)""),"""")
"),"")</f>
        <v/>
      </c>
      <c r="G776" s="3" t="str">
        <f aca="false">IFERROR(__xludf.dummyfunction("if($T776&lt;&gt;"""",REGEXEXTRACT($T776, G$1&amp;""[\w &amp;]*, (\d+\.\d+)""),"""")
"),"")</f>
        <v/>
      </c>
      <c r="H776" s="3"/>
      <c r="I776" s="3" t="str">
        <f aca="false">IFERROR(__xludf.dummyfunction("if($T776&lt;&gt;"""",REGEXEXTRACT(SUBSTITUTE ($T776,I$1&amp;"" CE"",""""), I$1&amp;""[\w &amp;]*, (\d+\.\d+)""),"""")
"),"")</f>
        <v/>
      </c>
      <c r="J776" s="3" t="str">
        <f aca="false">IFERROR(__xludf.dummyfunction("if($T776&lt;&gt;"""",REGEXEXTRACT($T776, J$1&amp;""[\w &amp;]*, (\d+\.\d+)""),"""")
"),"")</f>
        <v/>
      </c>
      <c r="K776" s="3"/>
      <c r="L776" s="3" t="str">
        <f aca="false">IFERROR(__xludf.dummyfunction("if($T776&lt;&gt;"""",REGEXEXTRACT(SUBSTITUTE ($T776,L$1&amp;"" CE"",""""), L$1&amp;""[\w &amp;]*, (\d+\.\d+)""),"""")
"),"")</f>
        <v/>
      </c>
      <c r="M776" s="3" t="str">
        <f aca="false">IFERROR(__xludf.dummyfunction("if($T776&lt;&gt;"""",REGEXEXTRACT($T776, M$1&amp;""[\w &amp;]*, (\d+\.\d+)""),"""")
"),"")</f>
        <v/>
      </c>
      <c r="N776" s="3" t="str">
        <f aca="false">IFERROR(__xludf.dummyfunction("if($T776&lt;&gt;"""",REGEXEXTRACT(SUBSTITUTE ($T776,N$1&amp;"" CE"",""""), N$1&amp;""[\w &amp;]*, (\d+\.\d+)""),"""")
"),"")</f>
        <v/>
      </c>
      <c r="O776" s="3" t="str">
        <f aca="false">IFERROR(__xludf.dummyfunction("if($T776&lt;&gt;"""",REGEXEXTRACT($T776, O$1&amp;""[\w &amp;]*, (\d+\.\d+)""),"""")
"),"")</f>
        <v/>
      </c>
      <c r="P776" s="2"/>
      <c r="Q776" s="2"/>
      <c r="R776" s="2"/>
      <c r="S776" s="2"/>
      <c r="T776" s="5"/>
      <c r="U776" s="5"/>
    </row>
    <row r="777" customFormat="false" ht="15.75" hidden="false" customHeight="false" outlineLevel="0" collapsed="false">
      <c r="A777" s="4"/>
      <c r="B777" s="2"/>
      <c r="C777" s="2"/>
      <c r="D777" s="2"/>
      <c r="E777" s="2"/>
      <c r="F777" s="3" t="str">
        <f aca="false">IFERROR(__xludf.dummyfunction("if($T777&lt;&gt;"""",REGEXEXTRACT(SUBSTITUTE ($T777,F$1&amp;"" CE"",""""), F$1&amp;""[\w &amp;]*, (\d+\.\d+)""),"""")
"),"")</f>
        <v/>
      </c>
      <c r="G777" s="3" t="str">
        <f aca="false">IFERROR(__xludf.dummyfunction("if($T777&lt;&gt;"""",REGEXEXTRACT($T777, G$1&amp;""[\w &amp;]*, (\d+\.\d+)""),"""")
"),"")</f>
        <v/>
      </c>
      <c r="H777" s="3"/>
      <c r="I777" s="3" t="str">
        <f aca="false">IFERROR(__xludf.dummyfunction("if($T777&lt;&gt;"""",REGEXEXTRACT(SUBSTITUTE ($T777,I$1&amp;"" CE"",""""), I$1&amp;""[\w &amp;]*, (\d+\.\d+)""),"""")
"),"")</f>
        <v/>
      </c>
      <c r="J777" s="3" t="str">
        <f aca="false">IFERROR(__xludf.dummyfunction("if($T777&lt;&gt;"""",REGEXEXTRACT($T777, J$1&amp;""[\w &amp;]*, (\d+\.\d+)""),"""")
"),"")</f>
        <v/>
      </c>
      <c r="K777" s="3"/>
      <c r="L777" s="3" t="str">
        <f aca="false">IFERROR(__xludf.dummyfunction("if($T777&lt;&gt;"""",REGEXEXTRACT(SUBSTITUTE ($T777,L$1&amp;"" CE"",""""), L$1&amp;""[\w &amp;]*, (\d+\.\d+)""),"""")
"),"")</f>
        <v/>
      </c>
      <c r="M777" s="3" t="str">
        <f aca="false">IFERROR(__xludf.dummyfunction("if($T777&lt;&gt;"""",REGEXEXTRACT($T777, M$1&amp;""[\w &amp;]*, (\d+\.\d+)""),"""")
"),"")</f>
        <v/>
      </c>
      <c r="N777" s="3" t="str">
        <f aca="false">IFERROR(__xludf.dummyfunction("if($T777&lt;&gt;"""",REGEXEXTRACT(SUBSTITUTE ($T777,N$1&amp;"" CE"",""""), N$1&amp;""[\w &amp;]*, (\d+\.\d+)""),"""")
"),"")</f>
        <v/>
      </c>
      <c r="O777" s="3" t="str">
        <f aca="false">IFERROR(__xludf.dummyfunction("if($T777&lt;&gt;"""",REGEXEXTRACT($T777, O$1&amp;""[\w &amp;]*, (\d+\.\d+)""),"""")
"),"")</f>
        <v/>
      </c>
      <c r="P777" s="2"/>
      <c r="Q777" s="2"/>
      <c r="R777" s="2"/>
      <c r="S777" s="2"/>
      <c r="T777" s="5"/>
      <c r="U777" s="5"/>
    </row>
    <row r="778" customFormat="false" ht="15.75" hidden="false" customHeight="false" outlineLevel="0" collapsed="false">
      <c r="A778" s="4"/>
      <c r="B778" s="2"/>
      <c r="C778" s="2"/>
      <c r="D778" s="2"/>
      <c r="E778" s="2"/>
      <c r="F778" s="3" t="str">
        <f aca="false">IFERROR(__xludf.dummyfunction("if($T778&lt;&gt;"""",REGEXEXTRACT(SUBSTITUTE ($T778,F$1&amp;"" CE"",""""), F$1&amp;""[\w &amp;]*, (\d+\.\d+)""),"""")
"),"")</f>
        <v/>
      </c>
      <c r="G778" s="3" t="str">
        <f aca="false">IFERROR(__xludf.dummyfunction("if($T778&lt;&gt;"""",REGEXEXTRACT($T778, G$1&amp;""[\w &amp;]*, (\d+\.\d+)""),"""")
"),"")</f>
        <v/>
      </c>
      <c r="H778" s="3"/>
      <c r="I778" s="3" t="str">
        <f aca="false">IFERROR(__xludf.dummyfunction("if($T778&lt;&gt;"""",REGEXEXTRACT(SUBSTITUTE ($T778,I$1&amp;"" CE"",""""), I$1&amp;""[\w &amp;]*, (\d+\.\d+)""),"""")
"),"")</f>
        <v/>
      </c>
      <c r="J778" s="3" t="str">
        <f aca="false">IFERROR(__xludf.dummyfunction("if($T778&lt;&gt;"""",REGEXEXTRACT($T778, J$1&amp;""[\w &amp;]*, (\d+\.\d+)""),"""")
"),"")</f>
        <v/>
      </c>
      <c r="K778" s="3"/>
      <c r="L778" s="3" t="str">
        <f aca="false">IFERROR(__xludf.dummyfunction("if($T778&lt;&gt;"""",REGEXEXTRACT(SUBSTITUTE ($T778,L$1&amp;"" CE"",""""), L$1&amp;""[\w &amp;]*, (\d+\.\d+)""),"""")
"),"")</f>
        <v/>
      </c>
      <c r="M778" s="3" t="str">
        <f aca="false">IFERROR(__xludf.dummyfunction("if($T778&lt;&gt;"""",REGEXEXTRACT($T778, M$1&amp;""[\w &amp;]*, (\d+\.\d+)""),"""")
"),"")</f>
        <v/>
      </c>
      <c r="N778" s="3" t="str">
        <f aca="false">IFERROR(__xludf.dummyfunction("if($T778&lt;&gt;"""",REGEXEXTRACT(SUBSTITUTE ($T778,N$1&amp;"" CE"",""""), N$1&amp;""[\w &amp;]*, (\d+\.\d+)""),"""")
"),"")</f>
        <v/>
      </c>
      <c r="O778" s="3" t="str">
        <f aca="false">IFERROR(__xludf.dummyfunction("if($T778&lt;&gt;"""",REGEXEXTRACT($T778, O$1&amp;""[\w &amp;]*, (\d+\.\d+)""),"""")
"),"")</f>
        <v/>
      </c>
      <c r="P778" s="2"/>
      <c r="Q778" s="2"/>
      <c r="R778" s="2"/>
      <c r="S778" s="2"/>
      <c r="T778" s="5"/>
      <c r="U778" s="5"/>
    </row>
    <row r="779" customFormat="false" ht="15.75" hidden="false" customHeight="false" outlineLevel="0" collapsed="false">
      <c r="A779" s="4"/>
      <c r="B779" s="2"/>
      <c r="C779" s="2"/>
      <c r="D779" s="2"/>
      <c r="E779" s="2"/>
      <c r="F779" s="3" t="str">
        <f aca="false">IFERROR(__xludf.dummyfunction("if($T779&lt;&gt;"""",REGEXEXTRACT(SUBSTITUTE ($T779,F$1&amp;"" CE"",""""), F$1&amp;""[\w &amp;]*, (\d+\.\d+)""),"""")
"),"")</f>
        <v/>
      </c>
      <c r="G779" s="3" t="str">
        <f aca="false">IFERROR(__xludf.dummyfunction("if($T779&lt;&gt;"""",REGEXEXTRACT($T779, G$1&amp;""[\w &amp;]*, (\d+\.\d+)""),"""")
"),"")</f>
        <v/>
      </c>
      <c r="H779" s="3"/>
      <c r="I779" s="3" t="str">
        <f aca="false">IFERROR(__xludf.dummyfunction("if($T779&lt;&gt;"""",REGEXEXTRACT(SUBSTITUTE ($T779,I$1&amp;"" CE"",""""), I$1&amp;""[\w &amp;]*, (\d+\.\d+)""),"""")
"),"")</f>
        <v/>
      </c>
      <c r="J779" s="3" t="str">
        <f aca="false">IFERROR(__xludf.dummyfunction("if($T779&lt;&gt;"""",REGEXEXTRACT($T779, J$1&amp;""[\w &amp;]*, (\d+\.\d+)""),"""")
"),"")</f>
        <v/>
      </c>
      <c r="K779" s="3"/>
      <c r="L779" s="3" t="str">
        <f aca="false">IFERROR(__xludf.dummyfunction("if($T779&lt;&gt;"""",REGEXEXTRACT(SUBSTITUTE ($T779,L$1&amp;"" CE"",""""), L$1&amp;""[\w &amp;]*, (\d+\.\d+)""),"""")
"),"")</f>
        <v/>
      </c>
      <c r="M779" s="3" t="str">
        <f aca="false">IFERROR(__xludf.dummyfunction("if($T779&lt;&gt;"""",REGEXEXTRACT($T779, M$1&amp;""[\w &amp;]*, (\d+\.\d+)""),"""")
"),"")</f>
        <v/>
      </c>
      <c r="N779" s="3" t="str">
        <f aca="false">IFERROR(__xludf.dummyfunction("if($T779&lt;&gt;"""",REGEXEXTRACT(SUBSTITUTE ($T779,N$1&amp;"" CE"",""""), N$1&amp;""[\w &amp;]*, (\d+\.\d+)""),"""")
"),"")</f>
        <v/>
      </c>
      <c r="O779" s="3" t="str">
        <f aca="false">IFERROR(__xludf.dummyfunction("if($T779&lt;&gt;"""",REGEXEXTRACT($T779, O$1&amp;""[\w &amp;]*, (\d+\.\d+)""),"""")
"),"")</f>
        <v/>
      </c>
      <c r="P779" s="2"/>
      <c r="Q779" s="2"/>
      <c r="R779" s="2"/>
      <c r="S779" s="2"/>
      <c r="T779" s="5"/>
      <c r="U779" s="5"/>
    </row>
    <row r="780" customFormat="false" ht="15.75" hidden="false" customHeight="false" outlineLevel="0" collapsed="false">
      <c r="A780" s="4"/>
      <c r="B780" s="2"/>
      <c r="C780" s="2"/>
      <c r="D780" s="2"/>
      <c r="E780" s="2"/>
      <c r="F780" s="3" t="str">
        <f aca="false">IFERROR(__xludf.dummyfunction("if($T780&lt;&gt;"""",REGEXEXTRACT(SUBSTITUTE ($T780,F$1&amp;"" CE"",""""), F$1&amp;""[\w &amp;]*, (\d+\.\d+)""),"""")
"),"")</f>
        <v/>
      </c>
      <c r="G780" s="3" t="str">
        <f aca="false">IFERROR(__xludf.dummyfunction("if($T780&lt;&gt;"""",REGEXEXTRACT($T780, G$1&amp;""[\w &amp;]*, (\d+\.\d+)""),"""")
"),"")</f>
        <v/>
      </c>
      <c r="H780" s="3"/>
      <c r="I780" s="3" t="str">
        <f aca="false">IFERROR(__xludf.dummyfunction("if($T780&lt;&gt;"""",REGEXEXTRACT(SUBSTITUTE ($T780,I$1&amp;"" CE"",""""), I$1&amp;""[\w &amp;]*, (\d+\.\d+)""),"""")
"),"")</f>
        <v/>
      </c>
      <c r="J780" s="3" t="str">
        <f aca="false">IFERROR(__xludf.dummyfunction("if($T780&lt;&gt;"""",REGEXEXTRACT($T780, J$1&amp;""[\w &amp;]*, (\d+\.\d+)""),"""")
"),"")</f>
        <v/>
      </c>
      <c r="K780" s="3"/>
      <c r="L780" s="3" t="str">
        <f aca="false">IFERROR(__xludf.dummyfunction("if($T780&lt;&gt;"""",REGEXEXTRACT(SUBSTITUTE ($T780,L$1&amp;"" CE"",""""), L$1&amp;""[\w &amp;]*, (\d+\.\d+)""),"""")
"),"")</f>
        <v/>
      </c>
      <c r="M780" s="3" t="str">
        <f aca="false">IFERROR(__xludf.dummyfunction("if($T780&lt;&gt;"""",REGEXEXTRACT($T780, M$1&amp;""[\w &amp;]*, (\d+\.\d+)""),"""")
"),"")</f>
        <v/>
      </c>
      <c r="N780" s="3" t="str">
        <f aca="false">IFERROR(__xludf.dummyfunction("if($T780&lt;&gt;"""",REGEXEXTRACT(SUBSTITUTE ($T780,N$1&amp;"" CE"",""""), N$1&amp;""[\w &amp;]*, (\d+\.\d+)""),"""")
"),"")</f>
        <v/>
      </c>
      <c r="O780" s="3" t="str">
        <f aca="false">IFERROR(__xludf.dummyfunction("if($T780&lt;&gt;"""",REGEXEXTRACT($T780, O$1&amp;""[\w &amp;]*, (\d+\.\d+)""),"""")
"),"")</f>
        <v/>
      </c>
      <c r="P780" s="2"/>
      <c r="Q780" s="2"/>
      <c r="R780" s="2"/>
      <c r="S780" s="2"/>
      <c r="T780" s="5"/>
      <c r="U780" s="5"/>
    </row>
    <row r="781" customFormat="false" ht="15.75" hidden="false" customHeight="false" outlineLevel="0" collapsed="false">
      <c r="A781" s="4"/>
      <c r="B781" s="2"/>
      <c r="C781" s="2"/>
      <c r="D781" s="2"/>
      <c r="E781" s="2"/>
      <c r="F781" s="3" t="str">
        <f aca="false">IFERROR(__xludf.dummyfunction("if($T781&lt;&gt;"""",REGEXEXTRACT(SUBSTITUTE ($T781,F$1&amp;"" CE"",""""), F$1&amp;""[\w &amp;]*, (\d+\.\d+)""),"""")
"),"")</f>
        <v/>
      </c>
      <c r="G781" s="3" t="str">
        <f aca="false">IFERROR(__xludf.dummyfunction("if($T781&lt;&gt;"""",REGEXEXTRACT($T781, G$1&amp;""[\w &amp;]*, (\d+\.\d+)""),"""")
"),"")</f>
        <v/>
      </c>
      <c r="H781" s="3"/>
      <c r="I781" s="3" t="str">
        <f aca="false">IFERROR(__xludf.dummyfunction("if($T781&lt;&gt;"""",REGEXEXTRACT(SUBSTITUTE ($T781,I$1&amp;"" CE"",""""), I$1&amp;""[\w &amp;]*, (\d+\.\d+)""),"""")
"),"")</f>
        <v/>
      </c>
      <c r="J781" s="3" t="str">
        <f aca="false">IFERROR(__xludf.dummyfunction("if($T781&lt;&gt;"""",REGEXEXTRACT($T781, J$1&amp;""[\w &amp;]*, (\d+\.\d+)""),"""")
"),"")</f>
        <v/>
      </c>
      <c r="K781" s="3"/>
      <c r="L781" s="3" t="str">
        <f aca="false">IFERROR(__xludf.dummyfunction("if($T781&lt;&gt;"""",REGEXEXTRACT(SUBSTITUTE ($T781,L$1&amp;"" CE"",""""), L$1&amp;""[\w &amp;]*, (\d+\.\d+)""),"""")
"),"")</f>
        <v/>
      </c>
      <c r="M781" s="3" t="str">
        <f aca="false">IFERROR(__xludf.dummyfunction("if($T781&lt;&gt;"""",REGEXEXTRACT($T781, M$1&amp;""[\w &amp;]*, (\d+\.\d+)""),"""")
"),"")</f>
        <v/>
      </c>
      <c r="N781" s="3" t="str">
        <f aca="false">IFERROR(__xludf.dummyfunction("if($T781&lt;&gt;"""",REGEXEXTRACT(SUBSTITUTE ($T781,N$1&amp;"" CE"",""""), N$1&amp;""[\w &amp;]*, (\d+\.\d+)""),"""")
"),"")</f>
        <v/>
      </c>
      <c r="O781" s="3" t="str">
        <f aca="false">IFERROR(__xludf.dummyfunction("if($T781&lt;&gt;"""",REGEXEXTRACT($T781, O$1&amp;""[\w &amp;]*, (\d+\.\d+)""),"""")
"),"")</f>
        <v/>
      </c>
      <c r="P781" s="2"/>
      <c r="Q781" s="2"/>
      <c r="R781" s="2"/>
      <c r="S781" s="2"/>
      <c r="T781" s="5"/>
      <c r="U781" s="5"/>
    </row>
    <row r="782" customFormat="false" ht="15.75" hidden="false" customHeight="false" outlineLevel="0" collapsed="false">
      <c r="A782" s="4"/>
      <c r="B782" s="2"/>
      <c r="C782" s="2"/>
      <c r="D782" s="2"/>
      <c r="E782" s="2"/>
      <c r="F782" s="3" t="str">
        <f aca="false">IFERROR(__xludf.dummyfunction("if($T782&lt;&gt;"""",REGEXEXTRACT(SUBSTITUTE ($T782,F$1&amp;"" CE"",""""), F$1&amp;""[\w &amp;]*, (\d+\.\d+)""),"""")
"),"")</f>
        <v/>
      </c>
      <c r="G782" s="3" t="str">
        <f aca="false">IFERROR(__xludf.dummyfunction("if($T782&lt;&gt;"""",REGEXEXTRACT($T782, G$1&amp;""[\w &amp;]*, (\d+\.\d+)""),"""")
"),"")</f>
        <v/>
      </c>
      <c r="H782" s="3"/>
      <c r="I782" s="3" t="str">
        <f aca="false">IFERROR(__xludf.dummyfunction("if($T782&lt;&gt;"""",REGEXEXTRACT(SUBSTITUTE ($T782,I$1&amp;"" CE"",""""), I$1&amp;""[\w &amp;]*, (\d+\.\d+)""),"""")
"),"")</f>
        <v/>
      </c>
      <c r="J782" s="3" t="str">
        <f aca="false">IFERROR(__xludf.dummyfunction("if($T782&lt;&gt;"""",REGEXEXTRACT($T782, J$1&amp;""[\w &amp;]*, (\d+\.\d+)""),"""")
"),"")</f>
        <v/>
      </c>
      <c r="K782" s="3"/>
      <c r="L782" s="3" t="str">
        <f aca="false">IFERROR(__xludf.dummyfunction("if($T782&lt;&gt;"""",REGEXEXTRACT(SUBSTITUTE ($T782,L$1&amp;"" CE"",""""), L$1&amp;""[\w &amp;]*, (\d+\.\d+)""),"""")
"),"")</f>
        <v/>
      </c>
      <c r="M782" s="3" t="str">
        <f aca="false">IFERROR(__xludf.dummyfunction("if($T782&lt;&gt;"""",REGEXEXTRACT($T782, M$1&amp;""[\w &amp;]*, (\d+\.\d+)""),"""")
"),"")</f>
        <v/>
      </c>
      <c r="N782" s="3" t="str">
        <f aca="false">IFERROR(__xludf.dummyfunction("if($T782&lt;&gt;"""",REGEXEXTRACT(SUBSTITUTE ($T782,N$1&amp;"" CE"",""""), N$1&amp;""[\w &amp;]*, (\d+\.\d+)""),"""")
"),"")</f>
        <v/>
      </c>
      <c r="O782" s="3" t="str">
        <f aca="false">IFERROR(__xludf.dummyfunction("if($T782&lt;&gt;"""",REGEXEXTRACT($T782, O$1&amp;""[\w &amp;]*, (\d+\.\d+)""),"""")
"),"")</f>
        <v/>
      </c>
      <c r="P782" s="2"/>
      <c r="Q782" s="2"/>
      <c r="R782" s="2"/>
      <c r="S782" s="2"/>
      <c r="T782" s="5"/>
      <c r="U782" s="5"/>
    </row>
    <row r="783" customFormat="false" ht="15.75" hidden="false" customHeight="false" outlineLevel="0" collapsed="false">
      <c r="A783" s="4"/>
      <c r="B783" s="2"/>
      <c r="C783" s="2"/>
      <c r="D783" s="2"/>
      <c r="E783" s="2"/>
      <c r="F783" s="3" t="str">
        <f aca="false">IFERROR(__xludf.dummyfunction("if($T783&lt;&gt;"""",REGEXEXTRACT(SUBSTITUTE ($T783,F$1&amp;"" CE"",""""), F$1&amp;""[\w &amp;]*, (\d+\.\d+)""),"""")
"),"")</f>
        <v/>
      </c>
      <c r="G783" s="3" t="str">
        <f aca="false">IFERROR(__xludf.dummyfunction("if($T783&lt;&gt;"""",REGEXEXTRACT($T783, G$1&amp;""[\w &amp;]*, (\d+\.\d+)""),"""")
"),"")</f>
        <v/>
      </c>
      <c r="H783" s="3"/>
      <c r="I783" s="3" t="str">
        <f aca="false">IFERROR(__xludf.dummyfunction("if($T783&lt;&gt;"""",REGEXEXTRACT(SUBSTITUTE ($T783,I$1&amp;"" CE"",""""), I$1&amp;""[\w &amp;]*, (\d+\.\d+)""),"""")
"),"")</f>
        <v/>
      </c>
      <c r="J783" s="3" t="str">
        <f aca="false">IFERROR(__xludf.dummyfunction("if($T783&lt;&gt;"""",REGEXEXTRACT($T783, J$1&amp;""[\w &amp;]*, (\d+\.\d+)""),"""")
"),"")</f>
        <v/>
      </c>
      <c r="K783" s="3"/>
      <c r="L783" s="3" t="str">
        <f aca="false">IFERROR(__xludf.dummyfunction("if($T783&lt;&gt;"""",REGEXEXTRACT(SUBSTITUTE ($T783,L$1&amp;"" CE"",""""), L$1&amp;""[\w &amp;]*, (\d+\.\d+)""),"""")
"),"")</f>
        <v/>
      </c>
      <c r="M783" s="3" t="str">
        <f aca="false">IFERROR(__xludf.dummyfunction("if($T783&lt;&gt;"""",REGEXEXTRACT($T783, M$1&amp;""[\w &amp;]*, (\d+\.\d+)""),"""")
"),"")</f>
        <v/>
      </c>
      <c r="N783" s="3" t="str">
        <f aca="false">IFERROR(__xludf.dummyfunction("if($T783&lt;&gt;"""",REGEXEXTRACT(SUBSTITUTE ($T783,N$1&amp;"" CE"",""""), N$1&amp;""[\w &amp;]*, (\d+\.\d+)""),"""")
"),"")</f>
        <v/>
      </c>
      <c r="O783" s="3" t="str">
        <f aca="false">IFERROR(__xludf.dummyfunction("if($T783&lt;&gt;"""",REGEXEXTRACT($T783, O$1&amp;""[\w &amp;]*, (\d+\.\d+)""),"""")
"),"")</f>
        <v/>
      </c>
      <c r="P783" s="2"/>
      <c r="Q783" s="2"/>
      <c r="R783" s="2"/>
      <c r="S783" s="2"/>
      <c r="T783" s="5"/>
      <c r="U783" s="5"/>
    </row>
    <row r="784" customFormat="false" ht="15.75" hidden="false" customHeight="false" outlineLevel="0" collapsed="false">
      <c r="A784" s="4"/>
      <c r="B784" s="2"/>
      <c r="C784" s="2"/>
      <c r="D784" s="2"/>
      <c r="E784" s="2"/>
      <c r="F784" s="3" t="str">
        <f aca="false">IFERROR(__xludf.dummyfunction("if($T784&lt;&gt;"""",REGEXEXTRACT(SUBSTITUTE ($T784,F$1&amp;"" CE"",""""), F$1&amp;""[\w &amp;]*, (\d+\.\d+)""),"""")
"),"")</f>
        <v/>
      </c>
      <c r="G784" s="3" t="str">
        <f aca="false">IFERROR(__xludf.dummyfunction("if($T784&lt;&gt;"""",REGEXEXTRACT($T784, G$1&amp;""[\w &amp;]*, (\d+\.\d+)""),"""")
"),"")</f>
        <v/>
      </c>
      <c r="H784" s="3"/>
      <c r="I784" s="3" t="str">
        <f aca="false">IFERROR(__xludf.dummyfunction("if($T784&lt;&gt;"""",REGEXEXTRACT(SUBSTITUTE ($T784,I$1&amp;"" CE"",""""), I$1&amp;""[\w &amp;]*, (\d+\.\d+)""),"""")
"),"")</f>
        <v/>
      </c>
      <c r="J784" s="3" t="str">
        <f aca="false">IFERROR(__xludf.dummyfunction("if($T784&lt;&gt;"""",REGEXEXTRACT($T784, J$1&amp;""[\w &amp;]*, (\d+\.\d+)""),"""")
"),"")</f>
        <v/>
      </c>
      <c r="K784" s="3"/>
      <c r="L784" s="3" t="str">
        <f aca="false">IFERROR(__xludf.dummyfunction("if($T784&lt;&gt;"""",REGEXEXTRACT(SUBSTITUTE ($T784,L$1&amp;"" CE"",""""), L$1&amp;""[\w &amp;]*, (\d+\.\d+)""),"""")
"),"")</f>
        <v/>
      </c>
      <c r="M784" s="3" t="str">
        <f aca="false">IFERROR(__xludf.dummyfunction("if($T784&lt;&gt;"""",REGEXEXTRACT($T784, M$1&amp;""[\w &amp;]*, (\d+\.\d+)""),"""")
"),"")</f>
        <v/>
      </c>
      <c r="N784" s="3" t="str">
        <f aca="false">IFERROR(__xludf.dummyfunction("if($T784&lt;&gt;"""",REGEXEXTRACT(SUBSTITUTE ($T784,N$1&amp;"" CE"",""""), N$1&amp;""[\w &amp;]*, (\d+\.\d+)""),"""")
"),"")</f>
        <v/>
      </c>
      <c r="O784" s="3" t="str">
        <f aca="false">IFERROR(__xludf.dummyfunction("if($T784&lt;&gt;"""",REGEXEXTRACT($T784, O$1&amp;""[\w &amp;]*, (\d+\.\d+)""),"""")
"),"")</f>
        <v/>
      </c>
      <c r="P784" s="2"/>
      <c r="Q784" s="2"/>
      <c r="R784" s="2"/>
      <c r="S784" s="2"/>
      <c r="T784" s="5"/>
      <c r="U784" s="5"/>
    </row>
    <row r="785" customFormat="false" ht="15.75" hidden="false" customHeight="false" outlineLevel="0" collapsed="false">
      <c r="A785" s="4"/>
      <c r="B785" s="2"/>
      <c r="C785" s="2"/>
      <c r="D785" s="2"/>
      <c r="E785" s="2"/>
      <c r="F785" s="3" t="str">
        <f aca="false">IFERROR(__xludf.dummyfunction("if($T785&lt;&gt;"""",REGEXEXTRACT(SUBSTITUTE ($T785,F$1&amp;"" CE"",""""), F$1&amp;""[\w &amp;]*, (\d+\.\d+)""),"""")
"),"")</f>
        <v/>
      </c>
      <c r="G785" s="3" t="str">
        <f aca="false">IFERROR(__xludf.dummyfunction("if($T785&lt;&gt;"""",REGEXEXTRACT($T785, G$1&amp;""[\w &amp;]*, (\d+\.\d+)""),"""")
"),"")</f>
        <v/>
      </c>
      <c r="H785" s="3"/>
      <c r="I785" s="3" t="str">
        <f aca="false">IFERROR(__xludf.dummyfunction("if($T785&lt;&gt;"""",REGEXEXTRACT(SUBSTITUTE ($T785,I$1&amp;"" CE"",""""), I$1&amp;""[\w &amp;]*, (\d+\.\d+)""),"""")
"),"")</f>
        <v/>
      </c>
      <c r="J785" s="3" t="str">
        <f aca="false">IFERROR(__xludf.dummyfunction("if($T785&lt;&gt;"""",REGEXEXTRACT($T785, J$1&amp;""[\w &amp;]*, (\d+\.\d+)""),"""")
"),"")</f>
        <v/>
      </c>
      <c r="K785" s="3"/>
      <c r="L785" s="3" t="str">
        <f aca="false">IFERROR(__xludf.dummyfunction("if($T785&lt;&gt;"""",REGEXEXTRACT(SUBSTITUTE ($T785,L$1&amp;"" CE"",""""), L$1&amp;""[\w &amp;]*, (\d+\.\d+)""),"""")
"),"")</f>
        <v/>
      </c>
      <c r="M785" s="3" t="str">
        <f aca="false">IFERROR(__xludf.dummyfunction("if($T785&lt;&gt;"""",REGEXEXTRACT($T785, M$1&amp;""[\w &amp;]*, (\d+\.\d+)""),"""")
"),"")</f>
        <v/>
      </c>
      <c r="N785" s="3" t="str">
        <f aca="false">IFERROR(__xludf.dummyfunction("if($T785&lt;&gt;"""",REGEXEXTRACT(SUBSTITUTE ($T785,N$1&amp;"" CE"",""""), N$1&amp;""[\w &amp;]*, (\d+\.\d+)""),"""")
"),"")</f>
        <v/>
      </c>
      <c r="O785" s="3" t="str">
        <f aca="false">IFERROR(__xludf.dummyfunction("if($T785&lt;&gt;"""",REGEXEXTRACT($T785, O$1&amp;""[\w &amp;]*, (\d+\.\d+)""),"""")
"),"")</f>
        <v/>
      </c>
      <c r="P785" s="2"/>
      <c r="Q785" s="2"/>
      <c r="R785" s="2"/>
      <c r="S785" s="2"/>
      <c r="T785" s="5"/>
      <c r="U785" s="5"/>
    </row>
    <row r="786" customFormat="false" ht="15.75" hidden="false" customHeight="false" outlineLevel="0" collapsed="false">
      <c r="A786" s="4"/>
      <c r="B786" s="2"/>
      <c r="C786" s="2"/>
      <c r="D786" s="2"/>
      <c r="E786" s="2"/>
      <c r="F786" s="3" t="str">
        <f aca="false">IFERROR(__xludf.dummyfunction("if($T786&lt;&gt;"""",REGEXEXTRACT(SUBSTITUTE ($T786,F$1&amp;"" CE"",""""), F$1&amp;""[\w &amp;]*, (\d+\.\d+)""),"""")
"),"")</f>
        <v/>
      </c>
      <c r="G786" s="3" t="str">
        <f aca="false">IFERROR(__xludf.dummyfunction("if($T786&lt;&gt;"""",REGEXEXTRACT($T786, G$1&amp;""[\w &amp;]*, (\d+\.\d+)""),"""")
"),"")</f>
        <v/>
      </c>
      <c r="H786" s="3"/>
      <c r="I786" s="3" t="str">
        <f aca="false">IFERROR(__xludf.dummyfunction("if($T786&lt;&gt;"""",REGEXEXTRACT(SUBSTITUTE ($T786,I$1&amp;"" CE"",""""), I$1&amp;""[\w &amp;]*, (\d+\.\d+)""),"""")
"),"")</f>
        <v/>
      </c>
      <c r="J786" s="3" t="str">
        <f aca="false">IFERROR(__xludf.dummyfunction("if($T786&lt;&gt;"""",REGEXEXTRACT($T786, J$1&amp;""[\w &amp;]*, (\d+\.\d+)""),"""")
"),"")</f>
        <v/>
      </c>
      <c r="K786" s="3"/>
      <c r="L786" s="3" t="str">
        <f aca="false">IFERROR(__xludf.dummyfunction("if($T786&lt;&gt;"""",REGEXEXTRACT(SUBSTITUTE ($T786,L$1&amp;"" CE"",""""), L$1&amp;""[\w &amp;]*, (\d+\.\d+)""),"""")
"),"")</f>
        <v/>
      </c>
      <c r="M786" s="3" t="str">
        <f aca="false">IFERROR(__xludf.dummyfunction("if($T786&lt;&gt;"""",REGEXEXTRACT($T786, M$1&amp;""[\w &amp;]*, (\d+\.\d+)""),"""")
"),"")</f>
        <v/>
      </c>
      <c r="N786" s="3" t="str">
        <f aca="false">IFERROR(__xludf.dummyfunction("if($T786&lt;&gt;"""",REGEXEXTRACT(SUBSTITUTE ($T786,N$1&amp;"" CE"",""""), N$1&amp;""[\w &amp;]*, (\d+\.\d+)""),"""")
"),"")</f>
        <v/>
      </c>
      <c r="O786" s="3" t="str">
        <f aca="false">IFERROR(__xludf.dummyfunction("if($T786&lt;&gt;"""",REGEXEXTRACT($T786, O$1&amp;""[\w &amp;]*, (\d+\.\d+)""),"""")
"),"")</f>
        <v/>
      </c>
      <c r="P786" s="2"/>
      <c r="Q786" s="2"/>
      <c r="R786" s="2"/>
      <c r="S786" s="2"/>
      <c r="T786" s="5"/>
      <c r="U786" s="5"/>
    </row>
    <row r="787" customFormat="false" ht="15.75" hidden="false" customHeight="false" outlineLevel="0" collapsed="false">
      <c r="A787" s="4"/>
      <c r="B787" s="2"/>
      <c r="C787" s="2"/>
      <c r="D787" s="2"/>
      <c r="E787" s="2"/>
      <c r="F787" s="3" t="str">
        <f aca="false">IFERROR(__xludf.dummyfunction("if($T787&lt;&gt;"""",REGEXEXTRACT(SUBSTITUTE ($T787,F$1&amp;"" CE"",""""), F$1&amp;""[\w &amp;]*, (\d+\.\d+)""),"""")
"),"")</f>
        <v/>
      </c>
      <c r="G787" s="3" t="str">
        <f aca="false">IFERROR(__xludf.dummyfunction("if($T787&lt;&gt;"""",REGEXEXTRACT($T787, G$1&amp;""[\w &amp;]*, (\d+\.\d+)""),"""")
"),"")</f>
        <v/>
      </c>
      <c r="H787" s="3"/>
      <c r="I787" s="3" t="str">
        <f aca="false">IFERROR(__xludf.dummyfunction("if($T787&lt;&gt;"""",REGEXEXTRACT(SUBSTITUTE ($T787,I$1&amp;"" CE"",""""), I$1&amp;""[\w &amp;]*, (\d+\.\d+)""),"""")
"),"")</f>
        <v/>
      </c>
      <c r="J787" s="3" t="str">
        <f aca="false">IFERROR(__xludf.dummyfunction("if($T787&lt;&gt;"""",REGEXEXTRACT($T787, J$1&amp;""[\w &amp;]*, (\d+\.\d+)""),"""")
"),"")</f>
        <v/>
      </c>
      <c r="K787" s="3"/>
      <c r="L787" s="3" t="str">
        <f aca="false">IFERROR(__xludf.dummyfunction("if($T787&lt;&gt;"""",REGEXEXTRACT(SUBSTITUTE ($T787,L$1&amp;"" CE"",""""), L$1&amp;""[\w &amp;]*, (\d+\.\d+)""),"""")
"),"")</f>
        <v/>
      </c>
      <c r="M787" s="3" t="str">
        <f aca="false">IFERROR(__xludf.dummyfunction("if($T787&lt;&gt;"""",REGEXEXTRACT($T787, M$1&amp;""[\w &amp;]*, (\d+\.\d+)""),"""")
"),"")</f>
        <v/>
      </c>
      <c r="N787" s="3" t="str">
        <f aca="false">IFERROR(__xludf.dummyfunction("if($T787&lt;&gt;"""",REGEXEXTRACT(SUBSTITUTE ($T787,N$1&amp;"" CE"",""""), N$1&amp;""[\w &amp;]*, (\d+\.\d+)""),"""")
"),"")</f>
        <v/>
      </c>
      <c r="O787" s="3" t="str">
        <f aca="false">IFERROR(__xludf.dummyfunction("if($T787&lt;&gt;"""",REGEXEXTRACT($T787, O$1&amp;""[\w &amp;]*, (\d+\.\d+)""),"""")
"),"")</f>
        <v/>
      </c>
      <c r="P787" s="2"/>
      <c r="Q787" s="2"/>
      <c r="R787" s="2"/>
      <c r="S787" s="2"/>
      <c r="T787" s="5"/>
      <c r="U787" s="5"/>
    </row>
    <row r="788" customFormat="false" ht="15.75" hidden="false" customHeight="false" outlineLevel="0" collapsed="false">
      <c r="A788" s="4"/>
      <c r="B788" s="2"/>
      <c r="C788" s="2"/>
      <c r="D788" s="2"/>
      <c r="E788" s="2"/>
      <c r="F788" s="3" t="str">
        <f aca="false">IFERROR(__xludf.dummyfunction("if($T788&lt;&gt;"""",REGEXEXTRACT(SUBSTITUTE ($T788,F$1&amp;"" CE"",""""), F$1&amp;""[\w &amp;]*, (\d+\.\d+)""),"""")
"),"")</f>
        <v/>
      </c>
      <c r="G788" s="3" t="str">
        <f aca="false">IFERROR(__xludf.dummyfunction("if($T788&lt;&gt;"""",REGEXEXTRACT($T788, G$1&amp;""[\w &amp;]*, (\d+\.\d+)""),"""")
"),"")</f>
        <v/>
      </c>
      <c r="H788" s="3"/>
      <c r="I788" s="3" t="str">
        <f aca="false">IFERROR(__xludf.dummyfunction("if($T788&lt;&gt;"""",REGEXEXTRACT(SUBSTITUTE ($T788,I$1&amp;"" CE"",""""), I$1&amp;""[\w &amp;]*, (\d+\.\d+)""),"""")
"),"")</f>
        <v/>
      </c>
      <c r="J788" s="3" t="str">
        <f aca="false">IFERROR(__xludf.dummyfunction("if($T788&lt;&gt;"""",REGEXEXTRACT($T788, J$1&amp;""[\w &amp;]*, (\d+\.\d+)""),"""")
"),"")</f>
        <v/>
      </c>
      <c r="K788" s="3"/>
      <c r="L788" s="3" t="str">
        <f aca="false">IFERROR(__xludf.dummyfunction("if($T788&lt;&gt;"""",REGEXEXTRACT(SUBSTITUTE ($T788,L$1&amp;"" CE"",""""), L$1&amp;""[\w &amp;]*, (\d+\.\d+)""),"""")
"),"")</f>
        <v/>
      </c>
      <c r="M788" s="3" t="str">
        <f aca="false">IFERROR(__xludf.dummyfunction("if($T788&lt;&gt;"""",REGEXEXTRACT($T788, M$1&amp;""[\w &amp;]*, (\d+\.\d+)""),"""")
"),"")</f>
        <v/>
      </c>
      <c r="N788" s="3" t="str">
        <f aca="false">IFERROR(__xludf.dummyfunction("if($T788&lt;&gt;"""",REGEXEXTRACT(SUBSTITUTE ($T788,N$1&amp;"" CE"",""""), N$1&amp;""[\w &amp;]*, (\d+\.\d+)""),"""")
"),"")</f>
        <v/>
      </c>
      <c r="O788" s="3" t="str">
        <f aca="false">IFERROR(__xludf.dummyfunction("if($T788&lt;&gt;"""",REGEXEXTRACT($T788, O$1&amp;""[\w &amp;]*, (\d+\.\d+)""),"""")
"),"")</f>
        <v/>
      </c>
      <c r="P788" s="2"/>
      <c r="Q788" s="2"/>
      <c r="R788" s="2"/>
      <c r="S788" s="2"/>
      <c r="T788" s="5"/>
      <c r="U788" s="5"/>
    </row>
    <row r="789" customFormat="false" ht="15.75" hidden="false" customHeight="false" outlineLevel="0" collapsed="false">
      <c r="A789" s="4"/>
      <c r="B789" s="2"/>
      <c r="C789" s="2"/>
      <c r="D789" s="2"/>
      <c r="E789" s="2"/>
      <c r="F789" s="3" t="str">
        <f aca="false">IFERROR(__xludf.dummyfunction("if($T789&lt;&gt;"""",REGEXEXTRACT(SUBSTITUTE ($T789,F$1&amp;"" CE"",""""), F$1&amp;""[\w &amp;]*, (\d+\.\d+)""),"""")
"),"")</f>
        <v/>
      </c>
      <c r="G789" s="3" t="str">
        <f aca="false">IFERROR(__xludf.dummyfunction("if($T789&lt;&gt;"""",REGEXEXTRACT($T789, G$1&amp;""[\w &amp;]*, (\d+\.\d+)""),"""")
"),"")</f>
        <v/>
      </c>
      <c r="H789" s="3"/>
      <c r="I789" s="3" t="str">
        <f aca="false">IFERROR(__xludf.dummyfunction("if($T789&lt;&gt;"""",REGEXEXTRACT(SUBSTITUTE ($T789,I$1&amp;"" CE"",""""), I$1&amp;""[\w &amp;]*, (\d+\.\d+)""),"""")
"),"")</f>
        <v/>
      </c>
      <c r="J789" s="3" t="str">
        <f aca="false">IFERROR(__xludf.dummyfunction("if($T789&lt;&gt;"""",REGEXEXTRACT($T789, J$1&amp;""[\w &amp;]*, (\d+\.\d+)""),"""")
"),"")</f>
        <v/>
      </c>
      <c r="K789" s="3"/>
      <c r="L789" s="3" t="str">
        <f aca="false">IFERROR(__xludf.dummyfunction("if($T789&lt;&gt;"""",REGEXEXTRACT(SUBSTITUTE ($T789,L$1&amp;"" CE"",""""), L$1&amp;""[\w &amp;]*, (\d+\.\d+)""),"""")
"),"")</f>
        <v/>
      </c>
      <c r="M789" s="3" t="str">
        <f aca="false">IFERROR(__xludf.dummyfunction("if($T789&lt;&gt;"""",REGEXEXTRACT($T789, M$1&amp;""[\w &amp;]*, (\d+\.\d+)""),"""")
"),"")</f>
        <v/>
      </c>
      <c r="N789" s="3" t="str">
        <f aca="false">IFERROR(__xludf.dummyfunction("if($T789&lt;&gt;"""",REGEXEXTRACT(SUBSTITUTE ($T789,N$1&amp;"" CE"",""""), N$1&amp;""[\w &amp;]*, (\d+\.\d+)""),"""")
"),"")</f>
        <v/>
      </c>
      <c r="O789" s="3" t="str">
        <f aca="false">IFERROR(__xludf.dummyfunction("if($T789&lt;&gt;"""",REGEXEXTRACT($T789, O$1&amp;""[\w &amp;]*, (\d+\.\d+)""),"""")
"),"")</f>
        <v/>
      </c>
      <c r="P789" s="2"/>
      <c r="Q789" s="2"/>
      <c r="R789" s="2"/>
      <c r="S789" s="2"/>
      <c r="T789" s="5"/>
      <c r="U789" s="5"/>
    </row>
    <row r="790" customFormat="false" ht="15.75" hidden="false" customHeight="false" outlineLevel="0" collapsed="false">
      <c r="A790" s="4"/>
      <c r="B790" s="2"/>
      <c r="C790" s="2"/>
      <c r="D790" s="2"/>
      <c r="E790" s="2"/>
      <c r="F790" s="3" t="str">
        <f aca="false">IFERROR(__xludf.dummyfunction("if($T790&lt;&gt;"""",REGEXEXTRACT(SUBSTITUTE ($T790,F$1&amp;"" CE"",""""), F$1&amp;""[\w &amp;]*, (\d+\.\d+)""),"""")
"),"")</f>
        <v/>
      </c>
      <c r="G790" s="3" t="str">
        <f aca="false">IFERROR(__xludf.dummyfunction("if($T790&lt;&gt;"""",REGEXEXTRACT($T790, G$1&amp;""[\w &amp;]*, (\d+\.\d+)""),"""")
"),"")</f>
        <v/>
      </c>
      <c r="H790" s="3"/>
      <c r="I790" s="3" t="str">
        <f aca="false">IFERROR(__xludf.dummyfunction("if($T790&lt;&gt;"""",REGEXEXTRACT(SUBSTITUTE ($T790,I$1&amp;"" CE"",""""), I$1&amp;""[\w &amp;]*, (\d+\.\d+)""),"""")
"),"")</f>
        <v/>
      </c>
      <c r="J790" s="3" t="str">
        <f aca="false">IFERROR(__xludf.dummyfunction("if($T790&lt;&gt;"""",REGEXEXTRACT($T790, J$1&amp;""[\w &amp;]*, (\d+\.\d+)""),"""")
"),"")</f>
        <v/>
      </c>
      <c r="K790" s="3"/>
      <c r="L790" s="3" t="str">
        <f aca="false">IFERROR(__xludf.dummyfunction("if($T790&lt;&gt;"""",REGEXEXTRACT(SUBSTITUTE ($T790,L$1&amp;"" CE"",""""), L$1&amp;""[\w &amp;]*, (\d+\.\d+)""),"""")
"),"")</f>
        <v/>
      </c>
      <c r="M790" s="3" t="str">
        <f aca="false">IFERROR(__xludf.dummyfunction("if($T790&lt;&gt;"""",REGEXEXTRACT($T790, M$1&amp;""[\w &amp;]*, (\d+\.\d+)""),"""")
"),"")</f>
        <v/>
      </c>
      <c r="N790" s="3" t="str">
        <f aca="false">IFERROR(__xludf.dummyfunction("if($T790&lt;&gt;"""",REGEXEXTRACT(SUBSTITUTE ($T790,N$1&amp;"" CE"",""""), N$1&amp;""[\w &amp;]*, (\d+\.\d+)""),"""")
"),"")</f>
        <v/>
      </c>
      <c r="O790" s="3" t="str">
        <f aca="false">IFERROR(__xludf.dummyfunction("if($T790&lt;&gt;"""",REGEXEXTRACT($T790, O$1&amp;""[\w &amp;]*, (\d+\.\d+)""),"""")
"),"")</f>
        <v/>
      </c>
      <c r="P790" s="2"/>
      <c r="Q790" s="2"/>
      <c r="R790" s="2"/>
      <c r="S790" s="2"/>
      <c r="T790" s="5"/>
      <c r="U790" s="5"/>
    </row>
    <row r="791" customFormat="false" ht="15.75" hidden="false" customHeight="false" outlineLevel="0" collapsed="false">
      <c r="A791" s="4"/>
      <c r="B791" s="2"/>
      <c r="C791" s="2"/>
      <c r="D791" s="2"/>
      <c r="E791" s="2"/>
      <c r="F791" s="3" t="str">
        <f aca="false">IFERROR(__xludf.dummyfunction("if($T791&lt;&gt;"""",REGEXEXTRACT(SUBSTITUTE ($T791,F$1&amp;"" CE"",""""), F$1&amp;""[\w &amp;]*, (\d+\.\d+)""),"""")
"),"")</f>
        <v/>
      </c>
      <c r="G791" s="3" t="str">
        <f aca="false">IFERROR(__xludf.dummyfunction("if($T791&lt;&gt;"""",REGEXEXTRACT($T791, G$1&amp;""[\w &amp;]*, (\d+\.\d+)""),"""")
"),"")</f>
        <v/>
      </c>
      <c r="H791" s="3"/>
      <c r="I791" s="3" t="str">
        <f aca="false">IFERROR(__xludf.dummyfunction("if($T791&lt;&gt;"""",REGEXEXTRACT(SUBSTITUTE ($T791,I$1&amp;"" CE"",""""), I$1&amp;""[\w &amp;]*, (\d+\.\d+)""),"""")
"),"")</f>
        <v/>
      </c>
      <c r="J791" s="3" t="str">
        <f aca="false">IFERROR(__xludf.dummyfunction("if($T791&lt;&gt;"""",REGEXEXTRACT($T791, J$1&amp;""[\w &amp;]*, (\d+\.\d+)""),"""")
"),"")</f>
        <v/>
      </c>
      <c r="K791" s="3"/>
      <c r="L791" s="3" t="str">
        <f aca="false">IFERROR(__xludf.dummyfunction("if($T791&lt;&gt;"""",REGEXEXTRACT(SUBSTITUTE ($T791,L$1&amp;"" CE"",""""), L$1&amp;""[\w &amp;]*, (\d+\.\d+)""),"""")
"),"")</f>
        <v/>
      </c>
      <c r="M791" s="3" t="str">
        <f aca="false">IFERROR(__xludf.dummyfunction("if($T791&lt;&gt;"""",REGEXEXTRACT($T791, M$1&amp;""[\w &amp;]*, (\d+\.\d+)""),"""")
"),"")</f>
        <v/>
      </c>
      <c r="N791" s="3" t="str">
        <f aca="false">IFERROR(__xludf.dummyfunction("if($T791&lt;&gt;"""",REGEXEXTRACT(SUBSTITUTE ($T791,N$1&amp;"" CE"",""""), N$1&amp;""[\w &amp;]*, (\d+\.\d+)""),"""")
"),"")</f>
        <v/>
      </c>
      <c r="O791" s="3" t="str">
        <f aca="false">IFERROR(__xludf.dummyfunction("if($T791&lt;&gt;"""",REGEXEXTRACT($T791, O$1&amp;""[\w &amp;]*, (\d+\.\d+)""),"""")
"),"")</f>
        <v/>
      </c>
      <c r="P791" s="2"/>
      <c r="Q791" s="2"/>
      <c r="R791" s="2"/>
      <c r="S791" s="2"/>
      <c r="T791" s="5"/>
      <c r="U791" s="5"/>
    </row>
    <row r="792" customFormat="false" ht="15.75" hidden="false" customHeight="false" outlineLevel="0" collapsed="false">
      <c r="A792" s="4"/>
      <c r="B792" s="2"/>
      <c r="C792" s="2"/>
      <c r="D792" s="2"/>
      <c r="E792" s="2"/>
      <c r="F792" s="3" t="str">
        <f aca="false">IFERROR(__xludf.dummyfunction("if($T792&lt;&gt;"""",REGEXEXTRACT(SUBSTITUTE ($T792,F$1&amp;"" CE"",""""), F$1&amp;""[\w &amp;]*, (\d+\.\d+)""),"""")
"),"")</f>
        <v/>
      </c>
      <c r="G792" s="3" t="str">
        <f aca="false">IFERROR(__xludf.dummyfunction("if($T792&lt;&gt;"""",REGEXEXTRACT($T792, G$1&amp;""[\w &amp;]*, (\d+\.\d+)""),"""")
"),"")</f>
        <v/>
      </c>
      <c r="H792" s="3"/>
      <c r="I792" s="3" t="str">
        <f aca="false">IFERROR(__xludf.dummyfunction("if($T792&lt;&gt;"""",REGEXEXTRACT(SUBSTITUTE ($T792,I$1&amp;"" CE"",""""), I$1&amp;""[\w &amp;]*, (\d+\.\d+)""),"""")
"),"")</f>
        <v/>
      </c>
      <c r="J792" s="3" t="str">
        <f aca="false">IFERROR(__xludf.dummyfunction("if($T792&lt;&gt;"""",REGEXEXTRACT($T792, J$1&amp;""[\w &amp;]*, (\d+\.\d+)""),"""")
"),"")</f>
        <v/>
      </c>
      <c r="K792" s="3"/>
      <c r="L792" s="3" t="str">
        <f aca="false">IFERROR(__xludf.dummyfunction("if($T792&lt;&gt;"""",REGEXEXTRACT(SUBSTITUTE ($T792,L$1&amp;"" CE"",""""), L$1&amp;""[\w &amp;]*, (\d+\.\d+)""),"""")
"),"")</f>
        <v/>
      </c>
      <c r="M792" s="3" t="str">
        <f aca="false">IFERROR(__xludf.dummyfunction("if($T792&lt;&gt;"""",REGEXEXTRACT($T792, M$1&amp;""[\w &amp;]*, (\d+\.\d+)""),"""")
"),"")</f>
        <v/>
      </c>
      <c r="N792" s="3" t="str">
        <f aca="false">IFERROR(__xludf.dummyfunction("if($T792&lt;&gt;"""",REGEXEXTRACT(SUBSTITUTE ($T792,N$1&amp;"" CE"",""""), N$1&amp;""[\w &amp;]*, (\d+\.\d+)""),"""")
"),"")</f>
        <v/>
      </c>
      <c r="O792" s="3" t="str">
        <f aca="false">IFERROR(__xludf.dummyfunction("if($T792&lt;&gt;"""",REGEXEXTRACT($T792, O$1&amp;""[\w &amp;]*, (\d+\.\d+)""),"""")
"),"")</f>
        <v/>
      </c>
      <c r="P792" s="2"/>
      <c r="Q792" s="2"/>
      <c r="R792" s="2"/>
      <c r="S792" s="2"/>
      <c r="T792" s="5"/>
      <c r="U792" s="5"/>
    </row>
    <row r="793" customFormat="false" ht="15.75" hidden="false" customHeight="false" outlineLevel="0" collapsed="false">
      <c r="A793" s="4"/>
      <c r="B793" s="2"/>
      <c r="C793" s="2"/>
      <c r="D793" s="2"/>
      <c r="E793" s="2"/>
      <c r="F793" s="3" t="str">
        <f aca="false">IFERROR(__xludf.dummyfunction("if($T793&lt;&gt;"""",REGEXEXTRACT(SUBSTITUTE ($T793,F$1&amp;"" CE"",""""), F$1&amp;""[\w &amp;]*, (\d+\.\d+)""),"""")
"),"")</f>
        <v/>
      </c>
      <c r="G793" s="3" t="str">
        <f aca="false">IFERROR(__xludf.dummyfunction("if($T793&lt;&gt;"""",REGEXEXTRACT($T793, G$1&amp;""[\w &amp;]*, (\d+\.\d+)""),"""")
"),"")</f>
        <v/>
      </c>
      <c r="H793" s="3"/>
      <c r="I793" s="3" t="str">
        <f aca="false">IFERROR(__xludf.dummyfunction("if($T793&lt;&gt;"""",REGEXEXTRACT(SUBSTITUTE ($T793,I$1&amp;"" CE"",""""), I$1&amp;""[\w &amp;]*, (\d+\.\d+)""),"""")
"),"")</f>
        <v/>
      </c>
      <c r="J793" s="3" t="str">
        <f aca="false">IFERROR(__xludf.dummyfunction("if($T793&lt;&gt;"""",REGEXEXTRACT($T793, J$1&amp;""[\w &amp;]*, (\d+\.\d+)""),"""")
"),"")</f>
        <v/>
      </c>
      <c r="K793" s="3"/>
      <c r="L793" s="3" t="str">
        <f aca="false">IFERROR(__xludf.dummyfunction("if($T793&lt;&gt;"""",REGEXEXTRACT(SUBSTITUTE ($T793,L$1&amp;"" CE"",""""), L$1&amp;""[\w &amp;]*, (\d+\.\d+)""),"""")
"),"")</f>
        <v/>
      </c>
      <c r="M793" s="3" t="str">
        <f aca="false">IFERROR(__xludf.dummyfunction("if($T793&lt;&gt;"""",REGEXEXTRACT($T793, M$1&amp;""[\w &amp;]*, (\d+\.\d+)""),"""")
"),"")</f>
        <v/>
      </c>
      <c r="N793" s="3" t="str">
        <f aca="false">IFERROR(__xludf.dummyfunction("if($T793&lt;&gt;"""",REGEXEXTRACT(SUBSTITUTE ($T793,N$1&amp;"" CE"",""""), N$1&amp;""[\w &amp;]*, (\d+\.\d+)""),"""")
"),"")</f>
        <v/>
      </c>
      <c r="O793" s="3" t="str">
        <f aca="false">IFERROR(__xludf.dummyfunction("if($T793&lt;&gt;"""",REGEXEXTRACT($T793, O$1&amp;""[\w &amp;]*, (\d+\.\d+)""),"""")
"),"")</f>
        <v/>
      </c>
      <c r="P793" s="2"/>
      <c r="Q793" s="2"/>
      <c r="R793" s="2"/>
      <c r="S793" s="2"/>
      <c r="T793" s="5"/>
      <c r="U793" s="5"/>
    </row>
    <row r="794" customFormat="false" ht="15.75" hidden="false" customHeight="false" outlineLevel="0" collapsed="false">
      <c r="A794" s="4"/>
      <c r="B794" s="2"/>
      <c r="C794" s="2"/>
      <c r="D794" s="2"/>
      <c r="E794" s="2"/>
      <c r="F794" s="3" t="str">
        <f aca="false">IFERROR(__xludf.dummyfunction("if($T794&lt;&gt;"""",REGEXEXTRACT(SUBSTITUTE ($T794,F$1&amp;"" CE"",""""), F$1&amp;""[\w &amp;]*, (\d+\.\d+)""),"""")
"),"")</f>
        <v/>
      </c>
      <c r="G794" s="3" t="str">
        <f aca="false">IFERROR(__xludf.dummyfunction("if($T794&lt;&gt;"""",REGEXEXTRACT($T794, G$1&amp;""[\w &amp;]*, (\d+\.\d+)""),"""")
"),"")</f>
        <v/>
      </c>
      <c r="H794" s="3"/>
      <c r="I794" s="3" t="str">
        <f aca="false">IFERROR(__xludf.dummyfunction("if($T794&lt;&gt;"""",REGEXEXTRACT(SUBSTITUTE ($T794,I$1&amp;"" CE"",""""), I$1&amp;""[\w &amp;]*, (\d+\.\d+)""),"""")
"),"")</f>
        <v/>
      </c>
      <c r="J794" s="3" t="str">
        <f aca="false">IFERROR(__xludf.dummyfunction("if($T794&lt;&gt;"""",REGEXEXTRACT($T794, J$1&amp;""[\w &amp;]*, (\d+\.\d+)""),"""")
"),"")</f>
        <v/>
      </c>
      <c r="K794" s="3"/>
      <c r="L794" s="3" t="str">
        <f aca="false">IFERROR(__xludf.dummyfunction("if($T794&lt;&gt;"""",REGEXEXTRACT(SUBSTITUTE ($T794,L$1&amp;"" CE"",""""), L$1&amp;""[\w &amp;]*, (\d+\.\d+)""),"""")
"),"")</f>
        <v/>
      </c>
      <c r="M794" s="3" t="str">
        <f aca="false">IFERROR(__xludf.dummyfunction("if($T794&lt;&gt;"""",REGEXEXTRACT($T794, M$1&amp;""[\w &amp;]*, (\d+\.\d+)""),"""")
"),"")</f>
        <v/>
      </c>
      <c r="N794" s="3" t="str">
        <f aca="false">IFERROR(__xludf.dummyfunction("if($T794&lt;&gt;"""",REGEXEXTRACT(SUBSTITUTE ($T794,N$1&amp;"" CE"",""""), N$1&amp;""[\w &amp;]*, (\d+\.\d+)""),"""")
"),"")</f>
        <v/>
      </c>
      <c r="O794" s="3" t="str">
        <f aca="false">IFERROR(__xludf.dummyfunction("if($T794&lt;&gt;"""",REGEXEXTRACT($T794, O$1&amp;""[\w &amp;]*, (\d+\.\d+)""),"""")
"),"")</f>
        <v/>
      </c>
      <c r="P794" s="2"/>
      <c r="Q794" s="2"/>
      <c r="R794" s="2"/>
      <c r="S794" s="2"/>
      <c r="T794" s="5"/>
      <c r="U794" s="5"/>
    </row>
    <row r="795" customFormat="false" ht="15.75" hidden="false" customHeight="false" outlineLevel="0" collapsed="false">
      <c r="A795" s="4"/>
      <c r="B795" s="2"/>
      <c r="C795" s="2"/>
      <c r="D795" s="2"/>
      <c r="E795" s="2"/>
      <c r="F795" s="3" t="str">
        <f aca="false">IFERROR(__xludf.dummyfunction("if($T795&lt;&gt;"""",REGEXEXTRACT(SUBSTITUTE ($T795,F$1&amp;"" CE"",""""), F$1&amp;""[\w &amp;]*, (\d+\.\d+)""),"""")
"),"")</f>
        <v/>
      </c>
      <c r="G795" s="3" t="str">
        <f aca="false">IFERROR(__xludf.dummyfunction("if($T795&lt;&gt;"""",REGEXEXTRACT($T795, G$1&amp;""[\w &amp;]*, (\d+\.\d+)""),"""")
"),"")</f>
        <v/>
      </c>
      <c r="H795" s="3"/>
      <c r="I795" s="3" t="str">
        <f aca="false">IFERROR(__xludf.dummyfunction("if($T795&lt;&gt;"""",REGEXEXTRACT(SUBSTITUTE ($T795,I$1&amp;"" CE"",""""), I$1&amp;""[\w &amp;]*, (\d+\.\d+)""),"""")
"),"")</f>
        <v/>
      </c>
      <c r="J795" s="3" t="str">
        <f aca="false">IFERROR(__xludf.dummyfunction("if($T795&lt;&gt;"""",REGEXEXTRACT($T795, J$1&amp;""[\w &amp;]*, (\d+\.\d+)""),"""")
"),"")</f>
        <v/>
      </c>
      <c r="K795" s="3"/>
      <c r="L795" s="3" t="str">
        <f aca="false">IFERROR(__xludf.dummyfunction("if($T795&lt;&gt;"""",REGEXEXTRACT(SUBSTITUTE ($T795,L$1&amp;"" CE"",""""), L$1&amp;""[\w &amp;]*, (\d+\.\d+)""),"""")
"),"")</f>
        <v/>
      </c>
      <c r="M795" s="3" t="str">
        <f aca="false">IFERROR(__xludf.dummyfunction("if($T795&lt;&gt;"""",REGEXEXTRACT($T795, M$1&amp;""[\w &amp;]*, (\d+\.\d+)""),"""")
"),"")</f>
        <v/>
      </c>
      <c r="N795" s="3" t="str">
        <f aca="false">IFERROR(__xludf.dummyfunction("if($T795&lt;&gt;"""",REGEXEXTRACT(SUBSTITUTE ($T795,N$1&amp;"" CE"",""""), N$1&amp;""[\w &amp;]*, (\d+\.\d+)""),"""")
"),"")</f>
        <v/>
      </c>
      <c r="O795" s="3" t="str">
        <f aca="false">IFERROR(__xludf.dummyfunction("if($T795&lt;&gt;"""",REGEXEXTRACT($T795, O$1&amp;""[\w &amp;]*, (\d+\.\d+)""),"""")
"),"")</f>
        <v/>
      </c>
      <c r="P795" s="2"/>
      <c r="Q795" s="2"/>
      <c r="R795" s="2"/>
      <c r="S795" s="2"/>
      <c r="T795" s="5"/>
      <c r="U795" s="5"/>
    </row>
    <row r="796" customFormat="false" ht="15.75" hidden="false" customHeight="false" outlineLevel="0" collapsed="false">
      <c r="A796" s="4"/>
      <c r="B796" s="2"/>
      <c r="C796" s="2"/>
      <c r="D796" s="2"/>
      <c r="E796" s="2"/>
      <c r="F796" s="3" t="str">
        <f aca="false">IFERROR(__xludf.dummyfunction("if($T796&lt;&gt;"""",REGEXEXTRACT(SUBSTITUTE ($T796,F$1&amp;"" CE"",""""), F$1&amp;""[\w &amp;]*, (\d+\.\d+)""),"""")
"),"")</f>
        <v/>
      </c>
      <c r="G796" s="3" t="str">
        <f aca="false">IFERROR(__xludf.dummyfunction("if($T796&lt;&gt;"""",REGEXEXTRACT($T796, G$1&amp;""[\w &amp;]*, (\d+\.\d+)""),"""")
"),"")</f>
        <v/>
      </c>
      <c r="H796" s="3"/>
      <c r="I796" s="3" t="str">
        <f aca="false">IFERROR(__xludf.dummyfunction("if($T796&lt;&gt;"""",REGEXEXTRACT(SUBSTITUTE ($T796,I$1&amp;"" CE"",""""), I$1&amp;""[\w &amp;]*, (\d+\.\d+)""),"""")
"),"")</f>
        <v/>
      </c>
      <c r="J796" s="3" t="str">
        <f aca="false">IFERROR(__xludf.dummyfunction("if($T796&lt;&gt;"""",REGEXEXTRACT($T796, J$1&amp;""[\w &amp;]*, (\d+\.\d+)""),"""")
"),"")</f>
        <v/>
      </c>
      <c r="K796" s="3"/>
      <c r="L796" s="3" t="str">
        <f aca="false">IFERROR(__xludf.dummyfunction("if($T796&lt;&gt;"""",REGEXEXTRACT(SUBSTITUTE ($T796,L$1&amp;"" CE"",""""), L$1&amp;""[\w &amp;]*, (\d+\.\d+)""),"""")
"),"")</f>
        <v/>
      </c>
      <c r="M796" s="3" t="str">
        <f aca="false">IFERROR(__xludf.dummyfunction("if($T796&lt;&gt;"""",REGEXEXTRACT($T796, M$1&amp;""[\w &amp;]*, (\d+\.\d+)""),"""")
"),"")</f>
        <v/>
      </c>
      <c r="N796" s="3" t="str">
        <f aca="false">IFERROR(__xludf.dummyfunction("if($T796&lt;&gt;"""",REGEXEXTRACT(SUBSTITUTE ($T796,N$1&amp;"" CE"",""""), N$1&amp;""[\w &amp;]*, (\d+\.\d+)""),"""")
"),"")</f>
        <v/>
      </c>
      <c r="O796" s="3" t="str">
        <f aca="false">IFERROR(__xludf.dummyfunction("if($T796&lt;&gt;"""",REGEXEXTRACT($T796, O$1&amp;""[\w &amp;]*, (\d+\.\d+)""),"""")
"),"")</f>
        <v/>
      </c>
      <c r="P796" s="2"/>
      <c r="Q796" s="2"/>
      <c r="R796" s="2"/>
      <c r="S796" s="2"/>
      <c r="T796" s="5"/>
      <c r="U796" s="5"/>
    </row>
    <row r="797" customFormat="false" ht="15.75" hidden="false" customHeight="false" outlineLevel="0" collapsed="false">
      <c r="A797" s="4"/>
      <c r="B797" s="2"/>
      <c r="C797" s="2"/>
      <c r="D797" s="2"/>
      <c r="E797" s="2"/>
      <c r="F797" s="3" t="str">
        <f aca="false">IFERROR(__xludf.dummyfunction("if($T797&lt;&gt;"""",REGEXEXTRACT(SUBSTITUTE ($T797,F$1&amp;"" CE"",""""), F$1&amp;""[\w &amp;]*, (\d+\.\d+)""),"""")
"),"")</f>
        <v/>
      </c>
      <c r="G797" s="3" t="str">
        <f aca="false">IFERROR(__xludf.dummyfunction("if($T797&lt;&gt;"""",REGEXEXTRACT($T797, G$1&amp;""[\w &amp;]*, (\d+\.\d+)""),"""")
"),"")</f>
        <v/>
      </c>
      <c r="H797" s="3"/>
      <c r="I797" s="3" t="str">
        <f aca="false">IFERROR(__xludf.dummyfunction("if($T797&lt;&gt;"""",REGEXEXTRACT(SUBSTITUTE ($T797,I$1&amp;"" CE"",""""), I$1&amp;""[\w &amp;]*, (\d+\.\d+)""),"""")
"),"")</f>
        <v/>
      </c>
      <c r="J797" s="3" t="str">
        <f aca="false">IFERROR(__xludf.dummyfunction("if($T797&lt;&gt;"""",REGEXEXTRACT($T797, J$1&amp;""[\w &amp;]*, (\d+\.\d+)""),"""")
"),"")</f>
        <v/>
      </c>
      <c r="K797" s="3"/>
      <c r="L797" s="3" t="str">
        <f aca="false">IFERROR(__xludf.dummyfunction("if($T797&lt;&gt;"""",REGEXEXTRACT(SUBSTITUTE ($T797,L$1&amp;"" CE"",""""), L$1&amp;""[\w &amp;]*, (\d+\.\d+)""),"""")
"),"")</f>
        <v/>
      </c>
      <c r="M797" s="3" t="str">
        <f aca="false">IFERROR(__xludf.dummyfunction("if($T797&lt;&gt;"""",REGEXEXTRACT($T797, M$1&amp;""[\w &amp;]*, (\d+\.\d+)""),"""")
"),"")</f>
        <v/>
      </c>
      <c r="N797" s="3" t="str">
        <f aca="false">IFERROR(__xludf.dummyfunction("if($T797&lt;&gt;"""",REGEXEXTRACT(SUBSTITUTE ($T797,N$1&amp;"" CE"",""""), N$1&amp;""[\w &amp;]*, (\d+\.\d+)""),"""")
"),"")</f>
        <v/>
      </c>
      <c r="O797" s="3" t="str">
        <f aca="false">IFERROR(__xludf.dummyfunction("if($T797&lt;&gt;"""",REGEXEXTRACT($T797, O$1&amp;""[\w &amp;]*, (\d+\.\d+)""),"""")
"),"")</f>
        <v/>
      </c>
      <c r="P797" s="2"/>
      <c r="Q797" s="2"/>
      <c r="R797" s="2"/>
      <c r="S797" s="2"/>
      <c r="T797" s="5"/>
      <c r="U797" s="5"/>
    </row>
    <row r="798" customFormat="false" ht="15.75" hidden="false" customHeight="false" outlineLevel="0" collapsed="false">
      <c r="A798" s="4"/>
      <c r="B798" s="2"/>
      <c r="C798" s="2"/>
      <c r="D798" s="2"/>
      <c r="E798" s="2"/>
      <c r="F798" s="3" t="str">
        <f aca="false">IFERROR(__xludf.dummyfunction("if($T798&lt;&gt;"""",REGEXEXTRACT(SUBSTITUTE ($T798,F$1&amp;"" CE"",""""), F$1&amp;""[\w &amp;]*, (\d+\.\d+)""),"""")
"),"")</f>
        <v/>
      </c>
      <c r="G798" s="3" t="str">
        <f aca="false">IFERROR(__xludf.dummyfunction("if($T798&lt;&gt;"""",REGEXEXTRACT($T798, G$1&amp;""[\w &amp;]*, (\d+\.\d+)""),"""")
"),"")</f>
        <v/>
      </c>
      <c r="H798" s="3"/>
      <c r="I798" s="3" t="str">
        <f aca="false">IFERROR(__xludf.dummyfunction("if($T798&lt;&gt;"""",REGEXEXTRACT(SUBSTITUTE ($T798,I$1&amp;"" CE"",""""), I$1&amp;""[\w &amp;]*, (\d+\.\d+)""),"""")
"),"")</f>
        <v/>
      </c>
      <c r="J798" s="3" t="str">
        <f aca="false">IFERROR(__xludf.dummyfunction("if($T798&lt;&gt;"""",REGEXEXTRACT($T798, J$1&amp;""[\w &amp;]*, (\d+\.\d+)""),"""")
"),"")</f>
        <v/>
      </c>
      <c r="K798" s="3"/>
      <c r="L798" s="3" t="str">
        <f aca="false">IFERROR(__xludf.dummyfunction("if($T798&lt;&gt;"""",REGEXEXTRACT(SUBSTITUTE ($T798,L$1&amp;"" CE"",""""), L$1&amp;""[\w &amp;]*, (\d+\.\d+)""),"""")
"),"")</f>
        <v/>
      </c>
      <c r="M798" s="3" t="str">
        <f aca="false">IFERROR(__xludf.dummyfunction("if($T798&lt;&gt;"""",REGEXEXTRACT($T798, M$1&amp;""[\w &amp;]*, (\d+\.\d+)""),"""")
"),"")</f>
        <v/>
      </c>
      <c r="N798" s="3" t="str">
        <f aca="false">IFERROR(__xludf.dummyfunction("if($T798&lt;&gt;"""",REGEXEXTRACT(SUBSTITUTE ($T798,N$1&amp;"" CE"",""""), N$1&amp;""[\w &amp;]*, (\d+\.\d+)""),"""")
"),"")</f>
        <v/>
      </c>
      <c r="O798" s="3" t="str">
        <f aca="false">IFERROR(__xludf.dummyfunction("if($T798&lt;&gt;"""",REGEXEXTRACT($T798, O$1&amp;""[\w &amp;]*, (\d+\.\d+)""),"""")
"),"")</f>
        <v/>
      </c>
      <c r="P798" s="2"/>
      <c r="Q798" s="2"/>
      <c r="R798" s="2"/>
      <c r="S798" s="2"/>
      <c r="T798" s="5"/>
      <c r="U798" s="5"/>
    </row>
    <row r="799" customFormat="false" ht="15.75" hidden="false" customHeight="false" outlineLevel="0" collapsed="false">
      <c r="A799" s="4"/>
      <c r="B799" s="2"/>
      <c r="C799" s="2"/>
      <c r="D799" s="2"/>
      <c r="E799" s="2"/>
      <c r="F799" s="3" t="str">
        <f aca="false">IFERROR(__xludf.dummyfunction("if($T799&lt;&gt;"""",REGEXEXTRACT(SUBSTITUTE ($T799,F$1&amp;"" CE"",""""), F$1&amp;""[\w &amp;]*, (\d+\.\d+)""),"""")
"),"")</f>
        <v/>
      </c>
      <c r="G799" s="3" t="str">
        <f aca="false">IFERROR(__xludf.dummyfunction("if($T799&lt;&gt;"""",REGEXEXTRACT($T799, G$1&amp;""[\w &amp;]*, (\d+\.\d+)""),"""")
"),"")</f>
        <v/>
      </c>
      <c r="H799" s="3"/>
      <c r="I799" s="3" t="str">
        <f aca="false">IFERROR(__xludf.dummyfunction("if($T799&lt;&gt;"""",REGEXEXTRACT(SUBSTITUTE ($T799,I$1&amp;"" CE"",""""), I$1&amp;""[\w &amp;]*, (\d+\.\d+)""),"""")
"),"")</f>
        <v/>
      </c>
      <c r="J799" s="3" t="str">
        <f aca="false">IFERROR(__xludf.dummyfunction("if($T799&lt;&gt;"""",REGEXEXTRACT($T799, J$1&amp;""[\w &amp;]*, (\d+\.\d+)""),"""")
"),"")</f>
        <v/>
      </c>
      <c r="K799" s="3"/>
      <c r="L799" s="3" t="str">
        <f aca="false">IFERROR(__xludf.dummyfunction("if($T799&lt;&gt;"""",REGEXEXTRACT(SUBSTITUTE ($T799,L$1&amp;"" CE"",""""), L$1&amp;""[\w &amp;]*, (\d+\.\d+)""),"""")
"),"")</f>
        <v/>
      </c>
      <c r="M799" s="3" t="str">
        <f aca="false">IFERROR(__xludf.dummyfunction("if($T799&lt;&gt;"""",REGEXEXTRACT($T799, M$1&amp;""[\w &amp;]*, (\d+\.\d+)""),"""")
"),"")</f>
        <v/>
      </c>
      <c r="N799" s="3" t="str">
        <f aca="false">IFERROR(__xludf.dummyfunction("if($T799&lt;&gt;"""",REGEXEXTRACT(SUBSTITUTE ($T799,N$1&amp;"" CE"",""""), N$1&amp;""[\w &amp;]*, (\d+\.\d+)""),"""")
"),"")</f>
        <v/>
      </c>
      <c r="O799" s="3" t="str">
        <f aca="false">IFERROR(__xludf.dummyfunction("if($T799&lt;&gt;"""",REGEXEXTRACT($T799, O$1&amp;""[\w &amp;]*, (\d+\.\d+)""),"""")
"),"")</f>
        <v/>
      </c>
      <c r="P799" s="2"/>
      <c r="Q799" s="2"/>
      <c r="R799" s="2"/>
      <c r="S799" s="2"/>
      <c r="T799" s="5"/>
      <c r="U799" s="5"/>
    </row>
    <row r="800" customFormat="false" ht="15.75" hidden="false" customHeight="false" outlineLevel="0" collapsed="false">
      <c r="A800" s="4"/>
      <c r="B800" s="2"/>
      <c r="C800" s="2"/>
      <c r="D800" s="2"/>
      <c r="E800" s="2"/>
      <c r="F800" s="3" t="str">
        <f aca="false">IFERROR(__xludf.dummyfunction("if($T800&lt;&gt;"""",REGEXEXTRACT(SUBSTITUTE ($T800,F$1&amp;"" CE"",""""), F$1&amp;""[\w &amp;]*, (\d+\.\d+)""),"""")
"),"")</f>
        <v/>
      </c>
      <c r="G800" s="3" t="str">
        <f aca="false">IFERROR(__xludf.dummyfunction("if($T800&lt;&gt;"""",REGEXEXTRACT($T800, G$1&amp;""[\w &amp;]*, (\d+\.\d+)""),"""")
"),"")</f>
        <v/>
      </c>
      <c r="H800" s="3"/>
      <c r="I800" s="3" t="str">
        <f aca="false">IFERROR(__xludf.dummyfunction("if($T800&lt;&gt;"""",REGEXEXTRACT(SUBSTITUTE ($T800,I$1&amp;"" CE"",""""), I$1&amp;""[\w &amp;]*, (\d+\.\d+)""),"""")
"),"")</f>
        <v/>
      </c>
      <c r="J800" s="3" t="str">
        <f aca="false">IFERROR(__xludf.dummyfunction("if($T800&lt;&gt;"""",REGEXEXTRACT($T800, J$1&amp;""[\w &amp;]*, (\d+\.\d+)""),"""")
"),"")</f>
        <v/>
      </c>
      <c r="K800" s="3"/>
      <c r="L800" s="3" t="str">
        <f aca="false">IFERROR(__xludf.dummyfunction("if($T800&lt;&gt;"""",REGEXEXTRACT(SUBSTITUTE ($T800,L$1&amp;"" CE"",""""), L$1&amp;""[\w &amp;]*, (\d+\.\d+)""),"""")
"),"")</f>
        <v/>
      </c>
      <c r="M800" s="3" t="str">
        <f aca="false">IFERROR(__xludf.dummyfunction("if($T800&lt;&gt;"""",REGEXEXTRACT($T800, M$1&amp;""[\w &amp;]*, (\d+\.\d+)""),"""")
"),"")</f>
        <v/>
      </c>
      <c r="N800" s="3" t="str">
        <f aca="false">IFERROR(__xludf.dummyfunction("if($T800&lt;&gt;"""",REGEXEXTRACT(SUBSTITUTE ($T800,N$1&amp;"" CE"",""""), N$1&amp;""[\w &amp;]*, (\d+\.\d+)""),"""")
"),"")</f>
        <v/>
      </c>
      <c r="O800" s="3" t="str">
        <f aca="false">IFERROR(__xludf.dummyfunction("if($T800&lt;&gt;"""",REGEXEXTRACT($T800, O$1&amp;""[\w &amp;]*, (\d+\.\d+)""),"""")
"),"")</f>
        <v/>
      </c>
      <c r="P800" s="2"/>
      <c r="Q800" s="2"/>
      <c r="R800" s="2"/>
      <c r="S800" s="2"/>
      <c r="T800" s="5"/>
      <c r="U800" s="5"/>
    </row>
    <row r="801" customFormat="false" ht="15.75" hidden="false" customHeight="false" outlineLevel="0" collapsed="false">
      <c r="A801" s="4"/>
      <c r="B801" s="2"/>
      <c r="C801" s="2"/>
      <c r="D801" s="2"/>
      <c r="E801" s="2"/>
      <c r="F801" s="3" t="str">
        <f aca="false">IFERROR(__xludf.dummyfunction("if($T801&lt;&gt;"""",REGEXEXTRACT(SUBSTITUTE ($T801,F$1&amp;"" CE"",""""), F$1&amp;""[\w &amp;]*, (\d+\.\d+)""),"""")
"),"")</f>
        <v/>
      </c>
      <c r="G801" s="3" t="str">
        <f aca="false">IFERROR(__xludf.dummyfunction("if($T801&lt;&gt;"""",REGEXEXTRACT($T801, G$1&amp;""[\w &amp;]*, (\d+\.\d+)""),"""")
"),"")</f>
        <v/>
      </c>
      <c r="H801" s="3"/>
      <c r="I801" s="3" t="str">
        <f aca="false">IFERROR(__xludf.dummyfunction("if($T801&lt;&gt;"""",REGEXEXTRACT(SUBSTITUTE ($T801,I$1&amp;"" CE"",""""), I$1&amp;""[\w &amp;]*, (\d+\.\d+)""),"""")
"),"")</f>
        <v/>
      </c>
      <c r="J801" s="3" t="str">
        <f aca="false">IFERROR(__xludf.dummyfunction("if($T801&lt;&gt;"""",REGEXEXTRACT($T801, J$1&amp;""[\w &amp;]*, (\d+\.\d+)""),"""")
"),"")</f>
        <v/>
      </c>
      <c r="K801" s="3"/>
      <c r="L801" s="3" t="str">
        <f aca="false">IFERROR(__xludf.dummyfunction("if($T801&lt;&gt;"""",REGEXEXTRACT(SUBSTITUTE ($T801,L$1&amp;"" CE"",""""), L$1&amp;""[\w &amp;]*, (\d+\.\d+)""),"""")
"),"")</f>
        <v/>
      </c>
      <c r="M801" s="3" t="str">
        <f aca="false">IFERROR(__xludf.dummyfunction("if($T801&lt;&gt;"""",REGEXEXTRACT($T801, M$1&amp;""[\w &amp;]*, (\d+\.\d+)""),"""")
"),"")</f>
        <v/>
      </c>
      <c r="N801" s="3" t="str">
        <f aca="false">IFERROR(__xludf.dummyfunction("if($T801&lt;&gt;"""",REGEXEXTRACT(SUBSTITUTE ($T801,N$1&amp;"" CE"",""""), N$1&amp;""[\w &amp;]*, (\d+\.\d+)""),"""")
"),"")</f>
        <v/>
      </c>
      <c r="O801" s="3" t="str">
        <f aca="false">IFERROR(__xludf.dummyfunction("if($T801&lt;&gt;"""",REGEXEXTRACT($T801, O$1&amp;""[\w &amp;]*, (\d+\.\d+)""),"""")
"),"")</f>
        <v/>
      </c>
      <c r="P801" s="2"/>
      <c r="Q801" s="2"/>
      <c r="R801" s="2"/>
      <c r="S801" s="2"/>
      <c r="T801" s="5"/>
      <c r="U801" s="5"/>
    </row>
    <row r="802" customFormat="false" ht="15.75" hidden="false" customHeight="false" outlineLevel="0" collapsed="false">
      <c r="A802" s="4"/>
      <c r="B802" s="2"/>
      <c r="C802" s="2"/>
      <c r="D802" s="2"/>
      <c r="E802" s="2"/>
      <c r="F802" s="3" t="str">
        <f aca="false">IFERROR(__xludf.dummyfunction("if($T802&lt;&gt;"""",REGEXEXTRACT(SUBSTITUTE ($T802,F$1&amp;"" CE"",""""), F$1&amp;""[\w &amp;]*, (\d+\.\d+)""),"""")
"),"")</f>
        <v/>
      </c>
      <c r="G802" s="3" t="str">
        <f aca="false">IFERROR(__xludf.dummyfunction("if($T802&lt;&gt;"""",REGEXEXTRACT($T802, G$1&amp;""[\w &amp;]*, (\d+\.\d+)""),"""")
"),"")</f>
        <v/>
      </c>
      <c r="H802" s="3"/>
      <c r="I802" s="3" t="str">
        <f aca="false">IFERROR(__xludf.dummyfunction("if($T802&lt;&gt;"""",REGEXEXTRACT(SUBSTITUTE ($T802,I$1&amp;"" CE"",""""), I$1&amp;""[\w &amp;]*, (\d+\.\d+)""),"""")
"),"")</f>
        <v/>
      </c>
      <c r="J802" s="3" t="str">
        <f aca="false">IFERROR(__xludf.dummyfunction("if($T802&lt;&gt;"""",REGEXEXTRACT($T802, J$1&amp;""[\w &amp;]*, (\d+\.\d+)""),"""")
"),"")</f>
        <v/>
      </c>
      <c r="K802" s="3"/>
      <c r="L802" s="3" t="str">
        <f aca="false">IFERROR(__xludf.dummyfunction("if($T802&lt;&gt;"""",REGEXEXTRACT(SUBSTITUTE ($T802,L$1&amp;"" CE"",""""), L$1&amp;""[\w &amp;]*, (\d+\.\d+)""),"""")
"),"")</f>
        <v/>
      </c>
      <c r="M802" s="3" t="str">
        <f aca="false">IFERROR(__xludf.dummyfunction("if($T802&lt;&gt;"""",REGEXEXTRACT($T802, M$1&amp;""[\w &amp;]*, (\d+\.\d+)""),"""")
"),"")</f>
        <v/>
      </c>
      <c r="N802" s="3" t="str">
        <f aca="false">IFERROR(__xludf.dummyfunction("if($T802&lt;&gt;"""",REGEXEXTRACT(SUBSTITUTE ($T802,N$1&amp;"" CE"",""""), N$1&amp;""[\w &amp;]*, (\d+\.\d+)""),"""")
"),"")</f>
        <v/>
      </c>
      <c r="O802" s="3" t="str">
        <f aca="false">IFERROR(__xludf.dummyfunction("if($T802&lt;&gt;"""",REGEXEXTRACT($T802, O$1&amp;""[\w &amp;]*, (\d+\.\d+)""),"""")
"),"")</f>
        <v/>
      </c>
      <c r="P802" s="2"/>
      <c r="Q802" s="2"/>
      <c r="R802" s="2"/>
      <c r="S802" s="2"/>
      <c r="T802" s="5"/>
      <c r="U802" s="5"/>
    </row>
    <row r="803" customFormat="false" ht="15.75" hidden="false" customHeight="false" outlineLevel="0" collapsed="false">
      <c r="A803" s="4"/>
      <c r="B803" s="2"/>
      <c r="C803" s="2"/>
      <c r="D803" s="2"/>
      <c r="E803" s="2"/>
      <c r="F803" s="3" t="str">
        <f aca="false">IFERROR(__xludf.dummyfunction("if($T803&lt;&gt;"""",REGEXEXTRACT(SUBSTITUTE ($T803,F$1&amp;"" CE"",""""), F$1&amp;""[\w &amp;]*, (\d+\.\d+)""),"""")
"),"")</f>
        <v/>
      </c>
      <c r="G803" s="3" t="str">
        <f aca="false">IFERROR(__xludf.dummyfunction("if($T803&lt;&gt;"""",REGEXEXTRACT($T803, G$1&amp;""[\w &amp;]*, (\d+\.\d+)""),"""")
"),"")</f>
        <v/>
      </c>
      <c r="H803" s="3"/>
      <c r="I803" s="3" t="str">
        <f aca="false">IFERROR(__xludf.dummyfunction("if($T803&lt;&gt;"""",REGEXEXTRACT(SUBSTITUTE ($T803,I$1&amp;"" CE"",""""), I$1&amp;""[\w &amp;]*, (\d+\.\d+)""),"""")
"),"")</f>
        <v/>
      </c>
      <c r="J803" s="3" t="str">
        <f aca="false">IFERROR(__xludf.dummyfunction("if($T803&lt;&gt;"""",REGEXEXTRACT($T803, J$1&amp;""[\w &amp;]*, (\d+\.\d+)""),"""")
"),"")</f>
        <v/>
      </c>
      <c r="K803" s="3"/>
      <c r="L803" s="3" t="str">
        <f aca="false">IFERROR(__xludf.dummyfunction("if($T803&lt;&gt;"""",REGEXEXTRACT(SUBSTITUTE ($T803,L$1&amp;"" CE"",""""), L$1&amp;""[\w &amp;]*, (\d+\.\d+)""),"""")
"),"")</f>
        <v/>
      </c>
      <c r="M803" s="3" t="str">
        <f aca="false">IFERROR(__xludf.dummyfunction("if($T803&lt;&gt;"""",REGEXEXTRACT($T803, M$1&amp;""[\w &amp;]*, (\d+\.\d+)""),"""")
"),"")</f>
        <v/>
      </c>
      <c r="N803" s="3" t="str">
        <f aca="false">IFERROR(__xludf.dummyfunction("if($T803&lt;&gt;"""",REGEXEXTRACT(SUBSTITUTE ($T803,N$1&amp;"" CE"",""""), N$1&amp;""[\w &amp;]*, (\d+\.\d+)""),"""")
"),"")</f>
        <v/>
      </c>
      <c r="O803" s="3" t="str">
        <f aca="false">IFERROR(__xludf.dummyfunction("if($T803&lt;&gt;"""",REGEXEXTRACT($T803, O$1&amp;""[\w &amp;]*, (\d+\.\d+)""),"""")
"),"")</f>
        <v/>
      </c>
      <c r="P803" s="2"/>
      <c r="Q803" s="2"/>
      <c r="R803" s="2"/>
      <c r="S803" s="2"/>
      <c r="T803" s="5"/>
      <c r="U803" s="5"/>
    </row>
    <row r="804" customFormat="false" ht="15.75" hidden="false" customHeight="false" outlineLevel="0" collapsed="false">
      <c r="A804" s="4"/>
      <c r="B804" s="2"/>
      <c r="C804" s="2"/>
      <c r="D804" s="2"/>
      <c r="E804" s="2"/>
      <c r="F804" s="3" t="str">
        <f aca="false">IFERROR(__xludf.dummyfunction("if($T804&lt;&gt;"""",REGEXEXTRACT(SUBSTITUTE ($T804,F$1&amp;"" CE"",""""), F$1&amp;""[\w &amp;]*, (\d+\.\d+)""),"""")
"),"")</f>
        <v/>
      </c>
      <c r="G804" s="3" t="str">
        <f aca="false">IFERROR(__xludf.dummyfunction("if($T804&lt;&gt;"""",REGEXEXTRACT($T804, G$1&amp;""[\w &amp;]*, (\d+\.\d+)""),"""")
"),"")</f>
        <v/>
      </c>
      <c r="H804" s="3"/>
      <c r="I804" s="3" t="str">
        <f aca="false">IFERROR(__xludf.dummyfunction("if($T804&lt;&gt;"""",REGEXEXTRACT(SUBSTITUTE ($T804,I$1&amp;"" CE"",""""), I$1&amp;""[\w &amp;]*, (\d+\.\d+)""),"""")
"),"")</f>
        <v/>
      </c>
      <c r="J804" s="3" t="str">
        <f aca="false">IFERROR(__xludf.dummyfunction("if($T804&lt;&gt;"""",REGEXEXTRACT($T804, J$1&amp;""[\w &amp;]*, (\d+\.\d+)""),"""")
"),"")</f>
        <v/>
      </c>
      <c r="K804" s="3"/>
      <c r="L804" s="3" t="str">
        <f aca="false">IFERROR(__xludf.dummyfunction("if($T804&lt;&gt;"""",REGEXEXTRACT(SUBSTITUTE ($T804,L$1&amp;"" CE"",""""), L$1&amp;""[\w &amp;]*, (\d+\.\d+)""),"""")
"),"")</f>
        <v/>
      </c>
      <c r="M804" s="3" t="str">
        <f aca="false">IFERROR(__xludf.dummyfunction("if($T804&lt;&gt;"""",REGEXEXTRACT($T804, M$1&amp;""[\w &amp;]*, (\d+\.\d+)""),"""")
"),"")</f>
        <v/>
      </c>
      <c r="N804" s="3" t="str">
        <f aca="false">IFERROR(__xludf.dummyfunction("if($T804&lt;&gt;"""",REGEXEXTRACT(SUBSTITUTE ($T804,N$1&amp;"" CE"",""""), N$1&amp;""[\w &amp;]*, (\d+\.\d+)""),"""")
"),"")</f>
        <v/>
      </c>
      <c r="O804" s="3" t="str">
        <f aca="false">IFERROR(__xludf.dummyfunction("if($T804&lt;&gt;"""",REGEXEXTRACT($T804, O$1&amp;""[\w &amp;]*, (\d+\.\d+)""),"""")
"),"")</f>
        <v/>
      </c>
      <c r="P804" s="2"/>
      <c r="Q804" s="2"/>
      <c r="R804" s="2"/>
      <c r="S804" s="2"/>
      <c r="T804" s="5"/>
      <c r="U804" s="5"/>
    </row>
    <row r="805" customFormat="false" ht="15.75" hidden="false" customHeight="false" outlineLevel="0" collapsed="false">
      <c r="A805" s="4"/>
      <c r="B805" s="2"/>
      <c r="C805" s="2"/>
      <c r="D805" s="2"/>
      <c r="E805" s="2"/>
      <c r="F805" s="3" t="str">
        <f aca="false">IFERROR(__xludf.dummyfunction("if($T805&lt;&gt;"""",REGEXEXTRACT(SUBSTITUTE ($T805,F$1&amp;"" CE"",""""), F$1&amp;""[\w &amp;]*, (\d+\.\d+)""),"""")
"),"")</f>
        <v/>
      </c>
      <c r="G805" s="3" t="str">
        <f aca="false">IFERROR(__xludf.dummyfunction("if($T805&lt;&gt;"""",REGEXEXTRACT($T805, G$1&amp;""[\w &amp;]*, (\d+\.\d+)""),"""")
"),"")</f>
        <v/>
      </c>
      <c r="H805" s="3"/>
      <c r="I805" s="3" t="str">
        <f aca="false">IFERROR(__xludf.dummyfunction("if($T805&lt;&gt;"""",REGEXEXTRACT(SUBSTITUTE ($T805,I$1&amp;"" CE"",""""), I$1&amp;""[\w &amp;]*, (\d+\.\d+)""),"""")
"),"")</f>
        <v/>
      </c>
      <c r="J805" s="3" t="str">
        <f aca="false">IFERROR(__xludf.dummyfunction("if($T805&lt;&gt;"""",REGEXEXTRACT($T805, J$1&amp;""[\w &amp;]*, (\d+\.\d+)""),"""")
"),"")</f>
        <v/>
      </c>
      <c r="K805" s="3"/>
      <c r="L805" s="3" t="str">
        <f aca="false">IFERROR(__xludf.dummyfunction("if($T805&lt;&gt;"""",REGEXEXTRACT(SUBSTITUTE ($T805,L$1&amp;"" CE"",""""), L$1&amp;""[\w &amp;]*, (\d+\.\d+)""),"""")
"),"")</f>
        <v/>
      </c>
      <c r="M805" s="3" t="str">
        <f aca="false">IFERROR(__xludf.dummyfunction("if($T805&lt;&gt;"""",REGEXEXTRACT($T805, M$1&amp;""[\w &amp;]*, (\d+\.\d+)""),"""")
"),"")</f>
        <v/>
      </c>
      <c r="N805" s="3" t="str">
        <f aca="false">IFERROR(__xludf.dummyfunction("if($T805&lt;&gt;"""",REGEXEXTRACT(SUBSTITUTE ($T805,N$1&amp;"" CE"",""""), N$1&amp;""[\w &amp;]*, (\d+\.\d+)""),"""")
"),"")</f>
        <v/>
      </c>
      <c r="O805" s="3" t="str">
        <f aca="false">IFERROR(__xludf.dummyfunction("if($T805&lt;&gt;"""",REGEXEXTRACT($T805, O$1&amp;""[\w &amp;]*, (\d+\.\d+)""),"""")
"),"")</f>
        <v/>
      </c>
      <c r="P805" s="2"/>
      <c r="Q805" s="2"/>
      <c r="R805" s="2"/>
      <c r="S805" s="2"/>
      <c r="T805" s="5"/>
      <c r="U805" s="5"/>
    </row>
    <row r="806" customFormat="false" ht="15.75" hidden="false" customHeight="false" outlineLevel="0" collapsed="false">
      <c r="A806" s="4"/>
      <c r="B806" s="2"/>
      <c r="C806" s="2"/>
      <c r="D806" s="2"/>
      <c r="E806" s="2"/>
      <c r="F806" s="3" t="str">
        <f aca="false">IFERROR(__xludf.dummyfunction("if($T806&lt;&gt;"""",REGEXEXTRACT(SUBSTITUTE ($T806,F$1&amp;"" CE"",""""), F$1&amp;""[\w &amp;]*, (\d+\.\d+)""),"""")
"),"")</f>
        <v/>
      </c>
      <c r="G806" s="3" t="str">
        <f aca="false">IFERROR(__xludf.dummyfunction("if($T806&lt;&gt;"""",REGEXEXTRACT($T806, G$1&amp;""[\w &amp;]*, (\d+\.\d+)""),"""")
"),"")</f>
        <v/>
      </c>
      <c r="H806" s="3"/>
      <c r="I806" s="3" t="str">
        <f aca="false">IFERROR(__xludf.dummyfunction("if($T806&lt;&gt;"""",REGEXEXTRACT(SUBSTITUTE ($T806,I$1&amp;"" CE"",""""), I$1&amp;""[\w &amp;]*, (\d+\.\d+)""),"""")
"),"")</f>
        <v/>
      </c>
      <c r="J806" s="3" t="str">
        <f aca="false">IFERROR(__xludf.dummyfunction("if($T806&lt;&gt;"""",REGEXEXTRACT($T806, J$1&amp;""[\w &amp;]*, (\d+\.\d+)""),"""")
"),"")</f>
        <v/>
      </c>
      <c r="K806" s="3"/>
      <c r="L806" s="3" t="str">
        <f aca="false">IFERROR(__xludf.dummyfunction("if($T806&lt;&gt;"""",REGEXEXTRACT(SUBSTITUTE ($T806,L$1&amp;"" CE"",""""), L$1&amp;""[\w &amp;]*, (\d+\.\d+)""),"""")
"),"")</f>
        <v/>
      </c>
      <c r="M806" s="3" t="str">
        <f aca="false">IFERROR(__xludf.dummyfunction("if($T806&lt;&gt;"""",REGEXEXTRACT($T806, M$1&amp;""[\w &amp;]*, (\d+\.\d+)""),"""")
"),"")</f>
        <v/>
      </c>
      <c r="N806" s="3" t="str">
        <f aca="false">IFERROR(__xludf.dummyfunction("if($T806&lt;&gt;"""",REGEXEXTRACT(SUBSTITUTE ($T806,N$1&amp;"" CE"",""""), N$1&amp;""[\w &amp;]*, (\d+\.\d+)""),"""")
"),"")</f>
        <v/>
      </c>
      <c r="O806" s="3" t="str">
        <f aca="false">IFERROR(__xludf.dummyfunction("if($T806&lt;&gt;"""",REGEXEXTRACT($T806, O$1&amp;""[\w &amp;]*, (\d+\.\d+)""),"""")
"),"")</f>
        <v/>
      </c>
      <c r="P806" s="2"/>
      <c r="Q806" s="2"/>
      <c r="R806" s="2"/>
      <c r="S806" s="2"/>
      <c r="T806" s="5"/>
      <c r="U806" s="5"/>
    </row>
    <row r="807" customFormat="false" ht="15.75" hidden="false" customHeight="false" outlineLevel="0" collapsed="false">
      <c r="A807" s="4"/>
      <c r="B807" s="2"/>
      <c r="C807" s="2"/>
      <c r="D807" s="2"/>
      <c r="E807" s="2"/>
      <c r="F807" s="3" t="str">
        <f aca="false">IFERROR(__xludf.dummyfunction("if($T807&lt;&gt;"""",REGEXEXTRACT(SUBSTITUTE ($T807,F$1&amp;"" CE"",""""), F$1&amp;""[\w &amp;]*, (\d+\.\d+)""),"""")
"),"")</f>
        <v/>
      </c>
      <c r="G807" s="3" t="str">
        <f aca="false">IFERROR(__xludf.dummyfunction("if($T807&lt;&gt;"""",REGEXEXTRACT($T807, G$1&amp;""[\w &amp;]*, (\d+\.\d+)""),"""")
"),"")</f>
        <v/>
      </c>
      <c r="H807" s="3"/>
      <c r="I807" s="3" t="str">
        <f aca="false">IFERROR(__xludf.dummyfunction("if($T807&lt;&gt;"""",REGEXEXTRACT(SUBSTITUTE ($T807,I$1&amp;"" CE"",""""), I$1&amp;""[\w &amp;]*, (\d+\.\d+)""),"""")
"),"")</f>
        <v/>
      </c>
      <c r="J807" s="3" t="str">
        <f aca="false">IFERROR(__xludf.dummyfunction("if($T807&lt;&gt;"""",REGEXEXTRACT($T807, J$1&amp;""[\w &amp;]*, (\d+\.\d+)""),"""")
"),"")</f>
        <v/>
      </c>
      <c r="K807" s="3"/>
      <c r="L807" s="3" t="str">
        <f aca="false">IFERROR(__xludf.dummyfunction("if($T807&lt;&gt;"""",REGEXEXTRACT(SUBSTITUTE ($T807,L$1&amp;"" CE"",""""), L$1&amp;""[\w &amp;]*, (\d+\.\d+)""),"""")
"),"")</f>
        <v/>
      </c>
      <c r="M807" s="3" t="str">
        <f aca="false">IFERROR(__xludf.dummyfunction("if($T807&lt;&gt;"""",REGEXEXTRACT($T807, M$1&amp;""[\w &amp;]*, (\d+\.\d+)""),"""")
"),"")</f>
        <v/>
      </c>
      <c r="N807" s="3" t="str">
        <f aca="false">IFERROR(__xludf.dummyfunction("if($T807&lt;&gt;"""",REGEXEXTRACT(SUBSTITUTE ($T807,N$1&amp;"" CE"",""""), N$1&amp;""[\w &amp;]*, (\d+\.\d+)""),"""")
"),"")</f>
        <v/>
      </c>
      <c r="O807" s="3" t="str">
        <f aca="false">IFERROR(__xludf.dummyfunction("if($T807&lt;&gt;"""",REGEXEXTRACT($T807, O$1&amp;""[\w &amp;]*, (\d+\.\d+)""),"""")
"),"")</f>
        <v/>
      </c>
      <c r="P807" s="2"/>
      <c r="Q807" s="2"/>
      <c r="R807" s="2"/>
      <c r="S807" s="2"/>
      <c r="T807" s="5"/>
      <c r="U807" s="5"/>
    </row>
    <row r="808" customFormat="false" ht="15.75" hidden="false" customHeight="false" outlineLevel="0" collapsed="false">
      <c r="A808" s="4"/>
      <c r="B808" s="2"/>
      <c r="C808" s="2"/>
      <c r="D808" s="2"/>
      <c r="E808" s="2"/>
      <c r="F808" s="3" t="str">
        <f aca="false">IFERROR(__xludf.dummyfunction("if($T808&lt;&gt;"""",REGEXEXTRACT(SUBSTITUTE ($T808,F$1&amp;"" CE"",""""), F$1&amp;""[\w &amp;]*, (\d+\.\d+)""),"""")
"),"")</f>
        <v/>
      </c>
      <c r="G808" s="3" t="str">
        <f aca="false">IFERROR(__xludf.dummyfunction("if($T808&lt;&gt;"""",REGEXEXTRACT($T808, G$1&amp;""[\w &amp;]*, (\d+\.\d+)""),"""")
"),"")</f>
        <v/>
      </c>
      <c r="H808" s="3"/>
      <c r="I808" s="3" t="str">
        <f aca="false">IFERROR(__xludf.dummyfunction("if($T808&lt;&gt;"""",REGEXEXTRACT(SUBSTITUTE ($T808,I$1&amp;"" CE"",""""), I$1&amp;""[\w &amp;]*, (\d+\.\d+)""),"""")
"),"")</f>
        <v/>
      </c>
      <c r="J808" s="3" t="str">
        <f aca="false">IFERROR(__xludf.dummyfunction("if($T808&lt;&gt;"""",REGEXEXTRACT($T808, J$1&amp;""[\w &amp;]*, (\d+\.\d+)""),"""")
"),"")</f>
        <v/>
      </c>
      <c r="K808" s="3"/>
      <c r="L808" s="3" t="str">
        <f aca="false">IFERROR(__xludf.dummyfunction("if($T808&lt;&gt;"""",REGEXEXTRACT(SUBSTITUTE ($T808,L$1&amp;"" CE"",""""), L$1&amp;""[\w &amp;]*, (\d+\.\d+)""),"""")
"),"")</f>
        <v/>
      </c>
      <c r="M808" s="3" t="str">
        <f aca="false">IFERROR(__xludf.dummyfunction("if($T808&lt;&gt;"""",REGEXEXTRACT($T808, M$1&amp;""[\w &amp;]*, (\d+\.\d+)""),"""")
"),"")</f>
        <v/>
      </c>
      <c r="N808" s="3" t="str">
        <f aca="false">IFERROR(__xludf.dummyfunction("if($T808&lt;&gt;"""",REGEXEXTRACT(SUBSTITUTE ($T808,N$1&amp;"" CE"",""""), N$1&amp;""[\w &amp;]*, (\d+\.\d+)""),"""")
"),"")</f>
        <v/>
      </c>
      <c r="O808" s="3" t="str">
        <f aca="false">IFERROR(__xludf.dummyfunction("if($T808&lt;&gt;"""",REGEXEXTRACT($T808, O$1&amp;""[\w &amp;]*, (\d+\.\d+)""),"""")
"),"")</f>
        <v/>
      </c>
      <c r="P808" s="2"/>
      <c r="Q808" s="2"/>
      <c r="R808" s="2"/>
      <c r="S808" s="2"/>
      <c r="T808" s="5"/>
      <c r="U808" s="5"/>
    </row>
    <row r="809" customFormat="false" ht="15.75" hidden="false" customHeight="false" outlineLevel="0" collapsed="false">
      <c r="A809" s="4"/>
      <c r="B809" s="2"/>
      <c r="C809" s="2"/>
      <c r="D809" s="2"/>
      <c r="E809" s="2"/>
      <c r="F809" s="3" t="str">
        <f aca="false">IFERROR(__xludf.dummyfunction("if($T809&lt;&gt;"""",REGEXEXTRACT(SUBSTITUTE ($T809,F$1&amp;"" CE"",""""), F$1&amp;""[\w &amp;]*, (\d+\.\d+)""),"""")
"),"")</f>
        <v/>
      </c>
      <c r="G809" s="3" t="str">
        <f aca="false">IFERROR(__xludf.dummyfunction("if($T809&lt;&gt;"""",REGEXEXTRACT($T809, G$1&amp;""[\w &amp;]*, (\d+\.\d+)""),"""")
"),"")</f>
        <v/>
      </c>
      <c r="H809" s="3"/>
      <c r="I809" s="3" t="str">
        <f aca="false">IFERROR(__xludf.dummyfunction("if($T809&lt;&gt;"""",REGEXEXTRACT(SUBSTITUTE ($T809,I$1&amp;"" CE"",""""), I$1&amp;""[\w &amp;]*, (\d+\.\d+)""),"""")
"),"")</f>
        <v/>
      </c>
      <c r="J809" s="3" t="str">
        <f aca="false">IFERROR(__xludf.dummyfunction("if($T809&lt;&gt;"""",REGEXEXTRACT($T809, J$1&amp;""[\w &amp;]*, (\d+\.\d+)""),"""")
"),"")</f>
        <v/>
      </c>
      <c r="K809" s="3"/>
      <c r="L809" s="3" t="str">
        <f aca="false">IFERROR(__xludf.dummyfunction("if($T809&lt;&gt;"""",REGEXEXTRACT(SUBSTITUTE ($T809,L$1&amp;"" CE"",""""), L$1&amp;""[\w &amp;]*, (\d+\.\d+)""),"""")
"),"")</f>
        <v/>
      </c>
      <c r="M809" s="3" t="str">
        <f aca="false">IFERROR(__xludf.dummyfunction("if($T809&lt;&gt;"""",REGEXEXTRACT($T809, M$1&amp;""[\w &amp;]*, (\d+\.\d+)""),"""")
"),"")</f>
        <v/>
      </c>
      <c r="N809" s="3" t="str">
        <f aca="false">IFERROR(__xludf.dummyfunction("if($T809&lt;&gt;"""",REGEXEXTRACT(SUBSTITUTE ($T809,N$1&amp;"" CE"",""""), N$1&amp;""[\w &amp;]*, (\d+\.\d+)""),"""")
"),"")</f>
        <v/>
      </c>
      <c r="O809" s="3" t="str">
        <f aca="false">IFERROR(__xludf.dummyfunction("if($T809&lt;&gt;"""",REGEXEXTRACT($T809, O$1&amp;""[\w &amp;]*, (\d+\.\d+)""),"""")
"),"")</f>
        <v/>
      </c>
      <c r="P809" s="2"/>
      <c r="Q809" s="2"/>
      <c r="R809" s="2"/>
      <c r="S809" s="2"/>
      <c r="T809" s="5"/>
      <c r="U809" s="5"/>
    </row>
    <row r="810" customFormat="false" ht="15.75" hidden="false" customHeight="false" outlineLevel="0" collapsed="false">
      <c r="A810" s="4"/>
      <c r="B810" s="2"/>
      <c r="C810" s="2"/>
      <c r="D810" s="2"/>
      <c r="E810" s="2"/>
      <c r="F810" s="3" t="str">
        <f aca="false">IFERROR(__xludf.dummyfunction("if($T810&lt;&gt;"""",REGEXEXTRACT(SUBSTITUTE ($T810,F$1&amp;"" CE"",""""), F$1&amp;""[\w &amp;]*, (\d+\.\d+)""),"""")
"),"")</f>
        <v/>
      </c>
      <c r="G810" s="3" t="str">
        <f aca="false">IFERROR(__xludf.dummyfunction("if($T810&lt;&gt;"""",REGEXEXTRACT($T810, G$1&amp;""[\w &amp;]*, (\d+\.\d+)""),"""")
"),"")</f>
        <v/>
      </c>
      <c r="H810" s="3"/>
      <c r="I810" s="3" t="str">
        <f aca="false">IFERROR(__xludf.dummyfunction("if($T810&lt;&gt;"""",REGEXEXTRACT(SUBSTITUTE ($T810,I$1&amp;"" CE"",""""), I$1&amp;""[\w &amp;]*, (\d+\.\d+)""),"""")
"),"")</f>
        <v/>
      </c>
      <c r="J810" s="3" t="str">
        <f aca="false">IFERROR(__xludf.dummyfunction("if($T810&lt;&gt;"""",REGEXEXTRACT($T810, J$1&amp;""[\w &amp;]*, (\d+\.\d+)""),"""")
"),"")</f>
        <v/>
      </c>
      <c r="K810" s="3"/>
      <c r="L810" s="3" t="str">
        <f aca="false">IFERROR(__xludf.dummyfunction("if($T810&lt;&gt;"""",REGEXEXTRACT(SUBSTITUTE ($T810,L$1&amp;"" CE"",""""), L$1&amp;""[\w &amp;]*, (\d+\.\d+)""),"""")
"),"")</f>
        <v/>
      </c>
      <c r="M810" s="3" t="str">
        <f aca="false">IFERROR(__xludf.dummyfunction("if($T810&lt;&gt;"""",REGEXEXTRACT($T810, M$1&amp;""[\w &amp;]*, (\d+\.\d+)""),"""")
"),"")</f>
        <v/>
      </c>
      <c r="N810" s="3" t="str">
        <f aca="false">IFERROR(__xludf.dummyfunction("if($T810&lt;&gt;"""",REGEXEXTRACT(SUBSTITUTE ($T810,N$1&amp;"" CE"",""""), N$1&amp;""[\w &amp;]*, (\d+\.\d+)""),"""")
"),"")</f>
        <v/>
      </c>
      <c r="O810" s="3" t="str">
        <f aca="false">IFERROR(__xludf.dummyfunction("if($T810&lt;&gt;"""",REGEXEXTRACT($T810, O$1&amp;""[\w &amp;]*, (\d+\.\d+)""),"""")
"),"")</f>
        <v/>
      </c>
      <c r="P810" s="2"/>
      <c r="Q810" s="2"/>
      <c r="R810" s="2"/>
      <c r="S810" s="2"/>
      <c r="T810" s="5"/>
      <c r="U810" s="5"/>
    </row>
    <row r="811" customFormat="false" ht="15.75" hidden="false" customHeight="false" outlineLevel="0" collapsed="false">
      <c r="A811" s="4"/>
      <c r="B811" s="2"/>
      <c r="C811" s="2"/>
      <c r="D811" s="2"/>
      <c r="E811" s="2"/>
      <c r="F811" s="3" t="str">
        <f aca="false">IFERROR(__xludf.dummyfunction("if($T811&lt;&gt;"""",REGEXEXTRACT(SUBSTITUTE ($T811,F$1&amp;"" CE"",""""), F$1&amp;""[\w &amp;]*, (\d+\.\d+)""),"""")
"),"")</f>
        <v/>
      </c>
      <c r="G811" s="3" t="str">
        <f aca="false">IFERROR(__xludf.dummyfunction("if($T811&lt;&gt;"""",REGEXEXTRACT($T811, G$1&amp;""[\w &amp;]*, (\d+\.\d+)""),"""")
"),"")</f>
        <v/>
      </c>
      <c r="H811" s="3"/>
      <c r="I811" s="3" t="str">
        <f aca="false">IFERROR(__xludf.dummyfunction("if($T811&lt;&gt;"""",REGEXEXTRACT(SUBSTITUTE ($T811,I$1&amp;"" CE"",""""), I$1&amp;""[\w &amp;]*, (\d+\.\d+)""),"""")
"),"")</f>
        <v/>
      </c>
      <c r="J811" s="3" t="str">
        <f aca="false">IFERROR(__xludf.dummyfunction("if($T811&lt;&gt;"""",REGEXEXTRACT($T811, J$1&amp;""[\w &amp;]*, (\d+\.\d+)""),"""")
"),"")</f>
        <v/>
      </c>
      <c r="K811" s="3"/>
      <c r="L811" s="3" t="str">
        <f aca="false">IFERROR(__xludf.dummyfunction("if($T811&lt;&gt;"""",REGEXEXTRACT(SUBSTITUTE ($T811,L$1&amp;"" CE"",""""), L$1&amp;""[\w &amp;]*, (\d+\.\d+)""),"""")
"),"")</f>
        <v/>
      </c>
      <c r="M811" s="3" t="str">
        <f aca="false">IFERROR(__xludf.dummyfunction("if($T811&lt;&gt;"""",REGEXEXTRACT($T811, M$1&amp;""[\w &amp;]*, (\d+\.\d+)""),"""")
"),"")</f>
        <v/>
      </c>
      <c r="N811" s="3" t="str">
        <f aca="false">IFERROR(__xludf.dummyfunction("if($T811&lt;&gt;"""",REGEXEXTRACT(SUBSTITUTE ($T811,N$1&amp;"" CE"",""""), N$1&amp;""[\w &amp;]*, (\d+\.\d+)""),"""")
"),"")</f>
        <v/>
      </c>
      <c r="O811" s="3" t="str">
        <f aca="false">IFERROR(__xludf.dummyfunction("if($T811&lt;&gt;"""",REGEXEXTRACT($T811, O$1&amp;""[\w &amp;]*, (\d+\.\d+)""),"""")
"),"")</f>
        <v/>
      </c>
      <c r="P811" s="2"/>
      <c r="Q811" s="2"/>
      <c r="R811" s="2"/>
      <c r="S811" s="2"/>
      <c r="T811" s="5"/>
      <c r="U811" s="5"/>
    </row>
    <row r="812" customFormat="false" ht="15.75" hidden="false" customHeight="false" outlineLevel="0" collapsed="false">
      <c r="A812" s="4"/>
      <c r="B812" s="2"/>
      <c r="C812" s="2"/>
      <c r="D812" s="2"/>
      <c r="E812" s="2"/>
      <c r="F812" s="3" t="str">
        <f aca="false">IFERROR(__xludf.dummyfunction("if($T812&lt;&gt;"""",REGEXEXTRACT(SUBSTITUTE ($T812,F$1&amp;"" CE"",""""), F$1&amp;""[\w &amp;]*, (\d+\.\d+)""),"""")
"),"")</f>
        <v/>
      </c>
      <c r="G812" s="3" t="str">
        <f aca="false">IFERROR(__xludf.dummyfunction("if($T812&lt;&gt;"""",REGEXEXTRACT($T812, G$1&amp;""[\w &amp;]*, (\d+\.\d+)""),"""")
"),"")</f>
        <v/>
      </c>
      <c r="H812" s="3"/>
      <c r="I812" s="3" t="str">
        <f aca="false">IFERROR(__xludf.dummyfunction("if($T812&lt;&gt;"""",REGEXEXTRACT(SUBSTITUTE ($T812,I$1&amp;"" CE"",""""), I$1&amp;""[\w &amp;]*, (\d+\.\d+)""),"""")
"),"")</f>
        <v/>
      </c>
      <c r="J812" s="3" t="str">
        <f aca="false">IFERROR(__xludf.dummyfunction("if($T812&lt;&gt;"""",REGEXEXTRACT($T812, J$1&amp;""[\w &amp;]*, (\d+\.\d+)""),"""")
"),"")</f>
        <v/>
      </c>
      <c r="K812" s="3"/>
      <c r="L812" s="3" t="str">
        <f aca="false">IFERROR(__xludf.dummyfunction("if($T812&lt;&gt;"""",REGEXEXTRACT(SUBSTITUTE ($T812,L$1&amp;"" CE"",""""), L$1&amp;""[\w &amp;]*, (\d+\.\d+)""),"""")
"),"")</f>
        <v/>
      </c>
      <c r="M812" s="3" t="str">
        <f aca="false">IFERROR(__xludf.dummyfunction("if($T812&lt;&gt;"""",REGEXEXTRACT($T812, M$1&amp;""[\w &amp;]*, (\d+\.\d+)""),"""")
"),"")</f>
        <v/>
      </c>
      <c r="N812" s="3" t="str">
        <f aca="false">IFERROR(__xludf.dummyfunction("if($T812&lt;&gt;"""",REGEXEXTRACT(SUBSTITUTE ($T812,N$1&amp;"" CE"",""""), N$1&amp;""[\w &amp;]*, (\d+\.\d+)""),"""")
"),"")</f>
        <v/>
      </c>
      <c r="O812" s="3" t="str">
        <f aca="false">IFERROR(__xludf.dummyfunction("if($T812&lt;&gt;"""",REGEXEXTRACT($T812, O$1&amp;""[\w &amp;]*, (\d+\.\d+)""),"""")
"),"")</f>
        <v/>
      </c>
      <c r="P812" s="2"/>
      <c r="Q812" s="2"/>
      <c r="R812" s="2"/>
      <c r="S812" s="2"/>
      <c r="T812" s="5"/>
      <c r="U812" s="5"/>
    </row>
    <row r="813" customFormat="false" ht="15.75" hidden="false" customHeight="false" outlineLevel="0" collapsed="false">
      <c r="A813" s="4"/>
      <c r="B813" s="2"/>
      <c r="C813" s="2"/>
      <c r="D813" s="2"/>
      <c r="E813" s="2"/>
      <c r="F813" s="3" t="str">
        <f aca="false">IFERROR(__xludf.dummyfunction("if($T813&lt;&gt;"""",REGEXEXTRACT(SUBSTITUTE ($T813,F$1&amp;"" CE"",""""), F$1&amp;""[\w &amp;]*, (\d+\.\d+)""),"""")
"),"")</f>
        <v/>
      </c>
      <c r="G813" s="3" t="str">
        <f aca="false">IFERROR(__xludf.dummyfunction("if($T813&lt;&gt;"""",REGEXEXTRACT($T813, G$1&amp;""[\w &amp;]*, (\d+\.\d+)""),"""")
"),"")</f>
        <v/>
      </c>
      <c r="H813" s="3"/>
      <c r="I813" s="3" t="str">
        <f aca="false">IFERROR(__xludf.dummyfunction("if($T813&lt;&gt;"""",REGEXEXTRACT(SUBSTITUTE ($T813,I$1&amp;"" CE"",""""), I$1&amp;""[\w &amp;]*, (\d+\.\d+)""),"""")
"),"")</f>
        <v/>
      </c>
      <c r="J813" s="3" t="str">
        <f aca="false">IFERROR(__xludf.dummyfunction("if($T813&lt;&gt;"""",REGEXEXTRACT($T813, J$1&amp;""[\w &amp;]*, (\d+\.\d+)""),"""")
"),"")</f>
        <v/>
      </c>
      <c r="K813" s="3"/>
      <c r="L813" s="3" t="str">
        <f aca="false">IFERROR(__xludf.dummyfunction("if($T813&lt;&gt;"""",REGEXEXTRACT(SUBSTITUTE ($T813,L$1&amp;"" CE"",""""), L$1&amp;""[\w &amp;]*, (\d+\.\d+)""),"""")
"),"")</f>
        <v/>
      </c>
      <c r="M813" s="3" t="str">
        <f aca="false">IFERROR(__xludf.dummyfunction("if($T813&lt;&gt;"""",REGEXEXTRACT($T813, M$1&amp;""[\w &amp;]*, (\d+\.\d+)""),"""")
"),"")</f>
        <v/>
      </c>
      <c r="N813" s="3" t="str">
        <f aca="false">IFERROR(__xludf.dummyfunction("if($T813&lt;&gt;"""",REGEXEXTRACT(SUBSTITUTE ($T813,N$1&amp;"" CE"",""""), N$1&amp;""[\w &amp;]*, (\d+\.\d+)""),"""")
"),"")</f>
        <v/>
      </c>
      <c r="O813" s="3" t="str">
        <f aca="false">IFERROR(__xludf.dummyfunction("if($T813&lt;&gt;"""",REGEXEXTRACT($T813, O$1&amp;""[\w &amp;]*, (\d+\.\d+)""),"""")
"),"")</f>
        <v/>
      </c>
      <c r="P813" s="2"/>
      <c r="Q813" s="2"/>
      <c r="R813" s="2"/>
      <c r="S813" s="2"/>
      <c r="T813" s="5"/>
      <c r="U813" s="5"/>
    </row>
    <row r="814" customFormat="false" ht="15.75" hidden="false" customHeight="false" outlineLevel="0" collapsed="false">
      <c r="A814" s="4"/>
      <c r="B814" s="2"/>
      <c r="C814" s="2"/>
      <c r="D814" s="2"/>
      <c r="E814" s="2"/>
      <c r="F814" s="3" t="str">
        <f aca="false">IFERROR(__xludf.dummyfunction("if($T814&lt;&gt;"""",REGEXEXTRACT(SUBSTITUTE ($T814,F$1&amp;"" CE"",""""), F$1&amp;""[\w &amp;]*, (\d+\.\d+)""),"""")
"),"")</f>
        <v/>
      </c>
      <c r="G814" s="3" t="str">
        <f aca="false">IFERROR(__xludf.dummyfunction("if($T814&lt;&gt;"""",REGEXEXTRACT($T814, G$1&amp;""[\w &amp;]*, (\d+\.\d+)""),"""")
"),"")</f>
        <v/>
      </c>
      <c r="H814" s="3"/>
      <c r="I814" s="3" t="str">
        <f aca="false">IFERROR(__xludf.dummyfunction("if($T814&lt;&gt;"""",REGEXEXTRACT(SUBSTITUTE ($T814,I$1&amp;"" CE"",""""), I$1&amp;""[\w &amp;]*, (\d+\.\d+)""),"""")
"),"")</f>
        <v/>
      </c>
      <c r="J814" s="3" t="str">
        <f aca="false">IFERROR(__xludf.dummyfunction("if($T814&lt;&gt;"""",REGEXEXTRACT($T814, J$1&amp;""[\w &amp;]*, (\d+\.\d+)""),"""")
"),"")</f>
        <v/>
      </c>
      <c r="K814" s="3"/>
      <c r="L814" s="3" t="str">
        <f aca="false">IFERROR(__xludf.dummyfunction("if($T814&lt;&gt;"""",REGEXEXTRACT(SUBSTITUTE ($T814,L$1&amp;"" CE"",""""), L$1&amp;""[\w &amp;]*, (\d+\.\d+)""),"""")
"),"")</f>
        <v/>
      </c>
      <c r="M814" s="3" t="str">
        <f aca="false">IFERROR(__xludf.dummyfunction("if($T814&lt;&gt;"""",REGEXEXTRACT($T814, M$1&amp;""[\w &amp;]*, (\d+\.\d+)""),"""")
"),"")</f>
        <v/>
      </c>
      <c r="N814" s="3" t="str">
        <f aca="false">IFERROR(__xludf.dummyfunction("if($T814&lt;&gt;"""",REGEXEXTRACT(SUBSTITUTE ($T814,N$1&amp;"" CE"",""""), N$1&amp;""[\w &amp;]*, (\d+\.\d+)""),"""")
"),"")</f>
        <v/>
      </c>
      <c r="O814" s="3" t="str">
        <f aca="false">IFERROR(__xludf.dummyfunction("if($T814&lt;&gt;"""",REGEXEXTRACT($T814, O$1&amp;""[\w &amp;]*, (\d+\.\d+)""),"""")
"),"")</f>
        <v/>
      </c>
      <c r="P814" s="2"/>
      <c r="Q814" s="2"/>
      <c r="R814" s="2"/>
      <c r="S814" s="2"/>
      <c r="T814" s="5"/>
      <c r="U814" s="5"/>
    </row>
    <row r="815" customFormat="false" ht="15.75" hidden="false" customHeight="false" outlineLevel="0" collapsed="false">
      <c r="A815" s="4"/>
      <c r="B815" s="2"/>
      <c r="C815" s="2"/>
      <c r="D815" s="2"/>
      <c r="E815" s="2"/>
      <c r="F815" s="3" t="str">
        <f aca="false">IFERROR(__xludf.dummyfunction("if($T815&lt;&gt;"""",REGEXEXTRACT(SUBSTITUTE ($T815,F$1&amp;"" CE"",""""), F$1&amp;""[\w &amp;]*, (\d+\.\d+)""),"""")
"),"")</f>
        <v/>
      </c>
      <c r="G815" s="3" t="str">
        <f aca="false">IFERROR(__xludf.dummyfunction("if($T815&lt;&gt;"""",REGEXEXTRACT($T815, G$1&amp;""[\w &amp;]*, (\d+\.\d+)""),"""")
"),"")</f>
        <v/>
      </c>
      <c r="H815" s="3"/>
      <c r="I815" s="3" t="str">
        <f aca="false">IFERROR(__xludf.dummyfunction("if($T815&lt;&gt;"""",REGEXEXTRACT(SUBSTITUTE ($T815,I$1&amp;"" CE"",""""), I$1&amp;""[\w &amp;]*, (\d+\.\d+)""),"""")
"),"")</f>
        <v/>
      </c>
      <c r="J815" s="3" t="str">
        <f aca="false">IFERROR(__xludf.dummyfunction("if($T815&lt;&gt;"""",REGEXEXTRACT($T815, J$1&amp;""[\w &amp;]*, (\d+\.\d+)""),"""")
"),"")</f>
        <v/>
      </c>
      <c r="K815" s="3"/>
      <c r="L815" s="3" t="str">
        <f aca="false">IFERROR(__xludf.dummyfunction("if($T815&lt;&gt;"""",REGEXEXTRACT(SUBSTITUTE ($T815,L$1&amp;"" CE"",""""), L$1&amp;""[\w &amp;]*, (\d+\.\d+)""),"""")
"),"")</f>
        <v/>
      </c>
      <c r="M815" s="3" t="str">
        <f aca="false">IFERROR(__xludf.dummyfunction("if($T815&lt;&gt;"""",REGEXEXTRACT($T815, M$1&amp;""[\w &amp;]*, (\d+\.\d+)""),"""")
"),"")</f>
        <v/>
      </c>
      <c r="N815" s="3" t="str">
        <f aca="false">IFERROR(__xludf.dummyfunction("if($T815&lt;&gt;"""",REGEXEXTRACT(SUBSTITUTE ($T815,N$1&amp;"" CE"",""""), N$1&amp;""[\w &amp;]*, (\d+\.\d+)""),"""")
"),"")</f>
        <v/>
      </c>
      <c r="O815" s="3" t="str">
        <f aca="false">IFERROR(__xludf.dummyfunction("if($T815&lt;&gt;"""",REGEXEXTRACT($T815, O$1&amp;""[\w &amp;]*, (\d+\.\d+)""),"""")
"),"")</f>
        <v/>
      </c>
      <c r="P815" s="2"/>
      <c r="Q815" s="2"/>
      <c r="R815" s="2"/>
      <c r="S815" s="2"/>
      <c r="T815" s="5"/>
      <c r="U815" s="5"/>
    </row>
    <row r="816" customFormat="false" ht="15.75" hidden="false" customHeight="false" outlineLevel="0" collapsed="false">
      <c r="A816" s="4"/>
      <c r="B816" s="2"/>
      <c r="C816" s="2"/>
      <c r="D816" s="2"/>
      <c r="E816" s="2"/>
      <c r="F816" s="3" t="str">
        <f aca="false">IFERROR(__xludf.dummyfunction("if($T816&lt;&gt;"""",REGEXEXTRACT(SUBSTITUTE ($T816,F$1&amp;"" CE"",""""), F$1&amp;""[\w &amp;]*, (\d+\.\d+)""),"""")
"),"")</f>
        <v/>
      </c>
      <c r="G816" s="3" t="str">
        <f aca="false">IFERROR(__xludf.dummyfunction("if($T816&lt;&gt;"""",REGEXEXTRACT($T816, G$1&amp;""[\w &amp;]*, (\d+\.\d+)""),"""")
"),"")</f>
        <v/>
      </c>
      <c r="H816" s="3"/>
      <c r="I816" s="3" t="str">
        <f aca="false">IFERROR(__xludf.dummyfunction("if($T816&lt;&gt;"""",REGEXEXTRACT(SUBSTITUTE ($T816,I$1&amp;"" CE"",""""), I$1&amp;""[\w &amp;]*, (\d+\.\d+)""),"""")
"),"")</f>
        <v/>
      </c>
      <c r="J816" s="3" t="str">
        <f aca="false">IFERROR(__xludf.dummyfunction("if($T816&lt;&gt;"""",REGEXEXTRACT($T816, J$1&amp;""[\w &amp;]*, (\d+\.\d+)""),"""")
"),"")</f>
        <v/>
      </c>
      <c r="K816" s="3"/>
      <c r="L816" s="3" t="str">
        <f aca="false">IFERROR(__xludf.dummyfunction("if($T816&lt;&gt;"""",REGEXEXTRACT(SUBSTITUTE ($T816,L$1&amp;"" CE"",""""), L$1&amp;""[\w &amp;]*, (\d+\.\d+)""),"""")
"),"")</f>
        <v/>
      </c>
      <c r="M816" s="3" t="str">
        <f aca="false">IFERROR(__xludf.dummyfunction("if($T816&lt;&gt;"""",REGEXEXTRACT($T816, M$1&amp;""[\w &amp;]*, (\d+\.\d+)""),"""")
"),"")</f>
        <v/>
      </c>
      <c r="N816" s="3" t="str">
        <f aca="false">IFERROR(__xludf.dummyfunction("if($T816&lt;&gt;"""",REGEXEXTRACT(SUBSTITUTE ($T816,N$1&amp;"" CE"",""""), N$1&amp;""[\w &amp;]*, (\d+\.\d+)""),"""")
"),"")</f>
        <v/>
      </c>
      <c r="O816" s="3" t="str">
        <f aca="false">IFERROR(__xludf.dummyfunction("if($T816&lt;&gt;"""",REGEXEXTRACT($T816, O$1&amp;""[\w &amp;]*, (\d+\.\d+)""),"""")
"),"")</f>
        <v/>
      </c>
      <c r="P816" s="2"/>
      <c r="Q816" s="2"/>
      <c r="R816" s="2"/>
      <c r="S816" s="2"/>
      <c r="T816" s="5"/>
      <c r="U816" s="5"/>
    </row>
    <row r="817" customFormat="false" ht="15.75" hidden="false" customHeight="false" outlineLevel="0" collapsed="false">
      <c r="A817" s="4"/>
      <c r="B817" s="2"/>
      <c r="C817" s="2"/>
      <c r="D817" s="2"/>
      <c r="E817" s="2"/>
      <c r="F817" s="3" t="str">
        <f aca="false">IFERROR(__xludf.dummyfunction("if($T817&lt;&gt;"""",REGEXEXTRACT(SUBSTITUTE ($T817,F$1&amp;"" CE"",""""), F$1&amp;""[\w &amp;]*, (\d+\.\d+)""),"""")
"),"")</f>
        <v/>
      </c>
      <c r="G817" s="3" t="str">
        <f aca="false">IFERROR(__xludf.dummyfunction("if($T817&lt;&gt;"""",REGEXEXTRACT($T817, G$1&amp;""[\w &amp;]*, (\d+\.\d+)""),"""")
"),"")</f>
        <v/>
      </c>
      <c r="H817" s="3"/>
      <c r="I817" s="3" t="str">
        <f aca="false">IFERROR(__xludf.dummyfunction("if($T817&lt;&gt;"""",REGEXEXTRACT(SUBSTITUTE ($T817,I$1&amp;"" CE"",""""), I$1&amp;""[\w &amp;]*, (\d+\.\d+)""),"""")
"),"")</f>
        <v/>
      </c>
      <c r="J817" s="3" t="str">
        <f aca="false">IFERROR(__xludf.dummyfunction("if($T817&lt;&gt;"""",REGEXEXTRACT($T817, J$1&amp;""[\w &amp;]*, (\d+\.\d+)""),"""")
"),"")</f>
        <v/>
      </c>
      <c r="K817" s="3"/>
      <c r="L817" s="3" t="str">
        <f aca="false">IFERROR(__xludf.dummyfunction("if($T817&lt;&gt;"""",REGEXEXTRACT(SUBSTITUTE ($T817,L$1&amp;"" CE"",""""), L$1&amp;""[\w &amp;]*, (\d+\.\d+)""),"""")
"),"")</f>
        <v/>
      </c>
      <c r="M817" s="3" t="str">
        <f aca="false">IFERROR(__xludf.dummyfunction("if($T817&lt;&gt;"""",REGEXEXTRACT($T817, M$1&amp;""[\w &amp;]*, (\d+\.\d+)""),"""")
"),"")</f>
        <v/>
      </c>
      <c r="N817" s="3" t="str">
        <f aca="false">IFERROR(__xludf.dummyfunction("if($T817&lt;&gt;"""",REGEXEXTRACT(SUBSTITUTE ($T817,N$1&amp;"" CE"",""""), N$1&amp;""[\w &amp;]*, (\d+\.\d+)""),"""")
"),"")</f>
        <v/>
      </c>
      <c r="O817" s="3" t="str">
        <f aca="false">IFERROR(__xludf.dummyfunction("if($T817&lt;&gt;"""",REGEXEXTRACT($T817, O$1&amp;""[\w &amp;]*, (\d+\.\d+)""),"""")
"),"")</f>
        <v/>
      </c>
      <c r="P817" s="2"/>
      <c r="Q817" s="2"/>
      <c r="R817" s="2"/>
      <c r="S817" s="2"/>
      <c r="T817" s="5"/>
      <c r="U817" s="5"/>
    </row>
    <row r="818" customFormat="false" ht="15.75" hidden="false" customHeight="false" outlineLevel="0" collapsed="false">
      <c r="A818" s="4"/>
      <c r="B818" s="2"/>
      <c r="C818" s="2"/>
      <c r="D818" s="2"/>
      <c r="E818" s="2"/>
      <c r="F818" s="3" t="str">
        <f aca="false">IFERROR(__xludf.dummyfunction("if($T818&lt;&gt;"""",REGEXEXTRACT(SUBSTITUTE ($T818,F$1&amp;"" CE"",""""), F$1&amp;""[\w &amp;]*, (\d+\.\d+)""),"""")
"),"")</f>
        <v/>
      </c>
      <c r="G818" s="3" t="str">
        <f aca="false">IFERROR(__xludf.dummyfunction("if($T818&lt;&gt;"""",REGEXEXTRACT($T818, G$1&amp;""[\w &amp;]*, (\d+\.\d+)""),"""")
"),"")</f>
        <v/>
      </c>
      <c r="H818" s="3"/>
      <c r="I818" s="3" t="str">
        <f aca="false">IFERROR(__xludf.dummyfunction("if($T818&lt;&gt;"""",REGEXEXTRACT(SUBSTITUTE ($T818,I$1&amp;"" CE"",""""), I$1&amp;""[\w &amp;]*, (\d+\.\d+)""),"""")
"),"")</f>
        <v/>
      </c>
      <c r="J818" s="3" t="str">
        <f aca="false">IFERROR(__xludf.dummyfunction("if($T818&lt;&gt;"""",REGEXEXTRACT($T818, J$1&amp;""[\w &amp;]*, (\d+\.\d+)""),"""")
"),"")</f>
        <v/>
      </c>
      <c r="K818" s="3"/>
      <c r="L818" s="3" t="str">
        <f aca="false">IFERROR(__xludf.dummyfunction("if($T818&lt;&gt;"""",REGEXEXTRACT(SUBSTITUTE ($T818,L$1&amp;"" CE"",""""), L$1&amp;""[\w &amp;]*, (\d+\.\d+)""),"""")
"),"")</f>
        <v/>
      </c>
      <c r="M818" s="3" t="str">
        <f aca="false">IFERROR(__xludf.dummyfunction("if($T818&lt;&gt;"""",REGEXEXTRACT($T818, M$1&amp;""[\w &amp;]*, (\d+\.\d+)""),"""")
"),"")</f>
        <v/>
      </c>
      <c r="N818" s="3" t="str">
        <f aca="false">IFERROR(__xludf.dummyfunction("if($T818&lt;&gt;"""",REGEXEXTRACT(SUBSTITUTE ($T818,N$1&amp;"" CE"",""""), N$1&amp;""[\w &amp;]*, (\d+\.\d+)""),"""")
"),"")</f>
        <v/>
      </c>
      <c r="O818" s="3" t="str">
        <f aca="false">IFERROR(__xludf.dummyfunction("if($T818&lt;&gt;"""",REGEXEXTRACT($T818, O$1&amp;""[\w &amp;]*, (\d+\.\d+)""),"""")
"),"")</f>
        <v/>
      </c>
      <c r="P818" s="2"/>
      <c r="Q818" s="2"/>
      <c r="R818" s="2"/>
      <c r="S818" s="2"/>
      <c r="T818" s="5"/>
      <c r="U818" s="5"/>
    </row>
    <row r="819" customFormat="false" ht="15.75" hidden="false" customHeight="false" outlineLevel="0" collapsed="false">
      <c r="A819" s="4"/>
      <c r="B819" s="2"/>
      <c r="C819" s="2"/>
      <c r="D819" s="2"/>
      <c r="E819" s="2"/>
      <c r="F819" s="3" t="str">
        <f aca="false">IFERROR(__xludf.dummyfunction("if($T819&lt;&gt;"""",REGEXEXTRACT(SUBSTITUTE ($T819,F$1&amp;"" CE"",""""), F$1&amp;""[\w &amp;]*, (\d+\.\d+)""),"""")
"),"")</f>
        <v/>
      </c>
      <c r="G819" s="3" t="str">
        <f aca="false">IFERROR(__xludf.dummyfunction("if($T819&lt;&gt;"""",REGEXEXTRACT($T819, G$1&amp;""[\w &amp;]*, (\d+\.\d+)""),"""")
"),"")</f>
        <v/>
      </c>
      <c r="H819" s="3"/>
      <c r="I819" s="3" t="str">
        <f aca="false">IFERROR(__xludf.dummyfunction("if($T819&lt;&gt;"""",REGEXEXTRACT(SUBSTITUTE ($T819,I$1&amp;"" CE"",""""), I$1&amp;""[\w &amp;]*, (\d+\.\d+)""),"""")
"),"")</f>
        <v/>
      </c>
      <c r="J819" s="3" t="str">
        <f aca="false">IFERROR(__xludf.dummyfunction("if($T819&lt;&gt;"""",REGEXEXTRACT($T819, J$1&amp;""[\w &amp;]*, (\d+\.\d+)""),"""")
"),"")</f>
        <v/>
      </c>
      <c r="K819" s="3"/>
      <c r="L819" s="3" t="str">
        <f aca="false">IFERROR(__xludf.dummyfunction("if($T819&lt;&gt;"""",REGEXEXTRACT(SUBSTITUTE ($T819,L$1&amp;"" CE"",""""), L$1&amp;""[\w &amp;]*, (\d+\.\d+)""),"""")
"),"")</f>
        <v/>
      </c>
      <c r="M819" s="3" t="str">
        <f aca="false">IFERROR(__xludf.dummyfunction("if($T819&lt;&gt;"""",REGEXEXTRACT($T819, M$1&amp;""[\w &amp;]*, (\d+\.\d+)""),"""")
"),"")</f>
        <v/>
      </c>
      <c r="N819" s="3" t="str">
        <f aca="false">IFERROR(__xludf.dummyfunction("if($T819&lt;&gt;"""",REGEXEXTRACT(SUBSTITUTE ($T819,N$1&amp;"" CE"",""""), N$1&amp;""[\w &amp;]*, (\d+\.\d+)""),"""")
"),"")</f>
        <v/>
      </c>
      <c r="O819" s="3" t="str">
        <f aca="false">IFERROR(__xludf.dummyfunction("if($T819&lt;&gt;"""",REGEXEXTRACT($T819, O$1&amp;""[\w &amp;]*, (\d+\.\d+)""),"""")
"),"")</f>
        <v/>
      </c>
      <c r="P819" s="2"/>
      <c r="Q819" s="2"/>
      <c r="R819" s="2"/>
      <c r="S819" s="2"/>
      <c r="T819" s="5"/>
      <c r="U819" s="5"/>
    </row>
    <row r="820" customFormat="false" ht="15.75" hidden="false" customHeight="false" outlineLevel="0" collapsed="false">
      <c r="A820" s="4"/>
      <c r="B820" s="2"/>
      <c r="C820" s="2"/>
      <c r="D820" s="2"/>
      <c r="E820" s="2"/>
      <c r="F820" s="3" t="str">
        <f aca="false">IFERROR(__xludf.dummyfunction("if($T820&lt;&gt;"""",REGEXEXTRACT(SUBSTITUTE ($T820,F$1&amp;"" CE"",""""), F$1&amp;""[\w &amp;]*, (\d+\.\d+)""),"""")
"),"")</f>
        <v/>
      </c>
      <c r="G820" s="3" t="str">
        <f aca="false">IFERROR(__xludf.dummyfunction("if($T820&lt;&gt;"""",REGEXEXTRACT($T820, G$1&amp;""[\w &amp;]*, (\d+\.\d+)""),"""")
"),"")</f>
        <v/>
      </c>
      <c r="H820" s="3"/>
      <c r="I820" s="3" t="str">
        <f aca="false">IFERROR(__xludf.dummyfunction("if($T820&lt;&gt;"""",REGEXEXTRACT(SUBSTITUTE ($T820,I$1&amp;"" CE"",""""), I$1&amp;""[\w &amp;]*, (\d+\.\d+)""),"""")
"),"")</f>
        <v/>
      </c>
      <c r="J820" s="3" t="str">
        <f aca="false">IFERROR(__xludf.dummyfunction("if($T820&lt;&gt;"""",REGEXEXTRACT($T820, J$1&amp;""[\w &amp;]*, (\d+\.\d+)""),"""")
"),"")</f>
        <v/>
      </c>
      <c r="K820" s="3"/>
      <c r="L820" s="3" t="str">
        <f aca="false">IFERROR(__xludf.dummyfunction("if($T820&lt;&gt;"""",REGEXEXTRACT(SUBSTITUTE ($T820,L$1&amp;"" CE"",""""), L$1&amp;""[\w &amp;]*, (\d+\.\d+)""),"""")
"),"")</f>
        <v/>
      </c>
      <c r="M820" s="3" t="str">
        <f aca="false">IFERROR(__xludf.dummyfunction("if($T820&lt;&gt;"""",REGEXEXTRACT($T820, M$1&amp;""[\w &amp;]*, (\d+\.\d+)""),"""")
"),"")</f>
        <v/>
      </c>
      <c r="N820" s="3" t="str">
        <f aca="false">IFERROR(__xludf.dummyfunction("if($T820&lt;&gt;"""",REGEXEXTRACT(SUBSTITUTE ($T820,N$1&amp;"" CE"",""""), N$1&amp;""[\w &amp;]*, (\d+\.\d+)""),"""")
"),"")</f>
        <v/>
      </c>
      <c r="O820" s="3" t="str">
        <f aca="false">IFERROR(__xludf.dummyfunction("if($T820&lt;&gt;"""",REGEXEXTRACT($T820, O$1&amp;""[\w &amp;]*, (\d+\.\d+)""),"""")
"),"")</f>
        <v/>
      </c>
      <c r="P820" s="2"/>
      <c r="Q820" s="2"/>
      <c r="R820" s="2"/>
      <c r="S820" s="2"/>
      <c r="T820" s="5"/>
      <c r="U820" s="5"/>
    </row>
    <row r="821" customFormat="false" ht="15.75" hidden="false" customHeight="false" outlineLevel="0" collapsed="false">
      <c r="A821" s="4"/>
      <c r="B821" s="2"/>
      <c r="C821" s="2"/>
      <c r="D821" s="2"/>
      <c r="E821" s="2"/>
      <c r="F821" s="3" t="str">
        <f aca="false">IFERROR(__xludf.dummyfunction("if($T821&lt;&gt;"""",REGEXEXTRACT(SUBSTITUTE ($T821,F$1&amp;"" CE"",""""), F$1&amp;""[\w &amp;]*, (\d+\.\d+)""),"""")
"),"")</f>
        <v/>
      </c>
      <c r="G821" s="3" t="str">
        <f aca="false">IFERROR(__xludf.dummyfunction("if($T821&lt;&gt;"""",REGEXEXTRACT($T821, G$1&amp;""[\w &amp;]*, (\d+\.\d+)""),"""")
"),"")</f>
        <v/>
      </c>
      <c r="H821" s="3"/>
      <c r="I821" s="3" t="str">
        <f aca="false">IFERROR(__xludf.dummyfunction("if($T821&lt;&gt;"""",REGEXEXTRACT(SUBSTITUTE ($T821,I$1&amp;"" CE"",""""), I$1&amp;""[\w &amp;]*, (\d+\.\d+)""),"""")
"),"")</f>
        <v/>
      </c>
      <c r="J821" s="3" t="str">
        <f aca="false">IFERROR(__xludf.dummyfunction("if($T821&lt;&gt;"""",REGEXEXTRACT($T821, J$1&amp;""[\w &amp;]*, (\d+\.\d+)""),"""")
"),"")</f>
        <v/>
      </c>
      <c r="K821" s="3"/>
      <c r="L821" s="3" t="str">
        <f aca="false">IFERROR(__xludf.dummyfunction("if($T821&lt;&gt;"""",REGEXEXTRACT(SUBSTITUTE ($T821,L$1&amp;"" CE"",""""), L$1&amp;""[\w &amp;]*, (\d+\.\d+)""),"""")
"),"")</f>
        <v/>
      </c>
      <c r="M821" s="3" t="str">
        <f aca="false">IFERROR(__xludf.dummyfunction("if($T821&lt;&gt;"""",REGEXEXTRACT($T821, M$1&amp;""[\w &amp;]*, (\d+\.\d+)""),"""")
"),"")</f>
        <v/>
      </c>
      <c r="N821" s="3" t="str">
        <f aca="false">IFERROR(__xludf.dummyfunction("if($T821&lt;&gt;"""",REGEXEXTRACT(SUBSTITUTE ($T821,N$1&amp;"" CE"",""""), N$1&amp;""[\w &amp;]*, (\d+\.\d+)""),"""")
"),"")</f>
        <v/>
      </c>
      <c r="O821" s="3" t="str">
        <f aca="false">IFERROR(__xludf.dummyfunction("if($T821&lt;&gt;"""",REGEXEXTRACT($T821, O$1&amp;""[\w &amp;]*, (\d+\.\d+)""),"""")
"),"")</f>
        <v/>
      </c>
      <c r="P821" s="2"/>
      <c r="Q821" s="2"/>
      <c r="R821" s="2"/>
      <c r="S821" s="2"/>
      <c r="T821" s="5"/>
      <c r="U821" s="5"/>
    </row>
    <row r="822" customFormat="false" ht="15.75" hidden="false" customHeight="false" outlineLevel="0" collapsed="false">
      <c r="A822" s="4"/>
      <c r="B822" s="2"/>
      <c r="C822" s="2"/>
      <c r="D822" s="2"/>
      <c r="E822" s="2"/>
      <c r="F822" s="3" t="str">
        <f aca="false">IFERROR(__xludf.dummyfunction("if($T822&lt;&gt;"""",REGEXEXTRACT(SUBSTITUTE ($T822,F$1&amp;"" CE"",""""), F$1&amp;""[\w &amp;]*, (\d+\.\d+)""),"""")
"),"")</f>
        <v/>
      </c>
      <c r="G822" s="3" t="str">
        <f aca="false">IFERROR(__xludf.dummyfunction("if($T822&lt;&gt;"""",REGEXEXTRACT($T822, G$1&amp;""[\w &amp;]*, (\d+\.\d+)""),"""")
"),"")</f>
        <v/>
      </c>
      <c r="H822" s="3"/>
      <c r="I822" s="3" t="str">
        <f aca="false">IFERROR(__xludf.dummyfunction("if($T822&lt;&gt;"""",REGEXEXTRACT(SUBSTITUTE ($T822,I$1&amp;"" CE"",""""), I$1&amp;""[\w &amp;]*, (\d+\.\d+)""),"""")
"),"")</f>
        <v/>
      </c>
      <c r="J822" s="3" t="str">
        <f aca="false">IFERROR(__xludf.dummyfunction("if($T822&lt;&gt;"""",REGEXEXTRACT($T822, J$1&amp;""[\w &amp;]*, (\d+\.\d+)""),"""")
"),"")</f>
        <v/>
      </c>
      <c r="K822" s="3"/>
      <c r="L822" s="3" t="str">
        <f aca="false">IFERROR(__xludf.dummyfunction("if($T822&lt;&gt;"""",REGEXEXTRACT(SUBSTITUTE ($T822,L$1&amp;"" CE"",""""), L$1&amp;""[\w &amp;]*, (\d+\.\d+)""),"""")
"),"")</f>
        <v/>
      </c>
      <c r="M822" s="3" t="str">
        <f aca="false">IFERROR(__xludf.dummyfunction("if($T822&lt;&gt;"""",REGEXEXTRACT($T822, M$1&amp;""[\w &amp;]*, (\d+\.\d+)""),"""")
"),"")</f>
        <v/>
      </c>
      <c r="N822" s="3" t="str">
        <f aca="false">IFERROR(__xludf.dummyfunction("if($T822&lt;&gt;"""",REGEXEXTRACT(SUBSTITUTE ($T822,N$1&amp;"" CE"",""""), N$1&amp;""[\w &amp;]*, (\d+\.\d+)""),"""")
"),"")</f>
        <v/>
      </c>
      <c r="O822" s="3" t="str">
        <f aca="false">IFERROR(__xludf.dummyfunction("if($T822&lt;&gt;"""",REGEXEXTRACT($T822, O$1&amp;""[\w &amp;]*, (\d+\.\d+)""),"""")
"),"")</f>
        <v/>
      </c>
      <c r="P822" s="2"/>
      <c r="Q822" s="2"/>
      <c r="R822" s="2"/>
      <c r="S822" s="2"/>
      <c r="T822" s="5"/>
      <c r="U822" s="5"/>
    </row>
    <row r="823" customFormat="false" ht="15.75" hidden="false" customHeight="false" outlineLevel="0" collapsed="false">
      <c r="A823" s="4"/>
      <c r="B823" s="2"/>
      <c r="C823" s="2"/>
      <c r="D823" s="2"/>
      <c r="E823" s="2"/>
      <c r="F823" s="3" t="str">
        <f aca="false">IFERROR(__xludf.dummyfunction("if($T823&lt;&gt;"""",REGEXEXTRACT(SUBSTITUTE ($T823,F$1&amp;"" CE"",""""), F$1&amp;""[\w &amp;]*, (\d+\.\d+)""),"""")
"),"")</f>
        <v/>
      </c>
      <c r="G823" s="3" t="str">
        <f aca="false">IFERROR(__xludf.dummyfunction("if($T823&lt;&gt;"""",REGEXEXTRACT($T823, G$1&amp;""[\w &amp;]*, (\d+\.\d+)""),"""")
"),"")</f>
        <v/>
      </c>
      <c r="H823" s="3"/>
      <c r="I823" s="3" t="str">
        <f aca="false">IFERROR(__xludf.dummyfunction("if($T823&lt;&gt;"""",REGEXEXTRACT(SUBSTITUTE ($T823,I$1&amp;"" CE"",""""), I$1&amp;""[\w &amp;]*, (\d+\.\d+)""),"""")
"),"")</f>
        <v/>
      </c>
      <c r="J823" s="3" t="str">
        <f aca="false">IFERROR(__xludf.dummyfunction("if($T823&lt;&gt;"""",REGEXEXTRACT($T823, J$1&amp;""[\w &amp;]*, (\d+\.\d+)""),"""")
"),"")</f>
        <v/>
      </c>
      <c r="K823" s="3"/>
      <c r="L823" s="3" t="str">
        <f aca="false">IFERROR(__xludf.dummyfunction("if($T823&lt;&gt;"""",REGEXEXTRACT(SUBSTITUTE ($T823,L$1&amp;"" CE"",""""), L$1&amp;""[\w &amp;]*, (\d+\.\d+)""),"""")
"),"")</f>
        <v/>
      </c>
      <c r="M823" s="3" t="str">
        <f aca="false">IFERROR(__xludf.dummyfunction("if($T823&lt;&gt;"""",REGEXEXTRACT($T823, M$1&amp;""[\w &amp;]*, (\d+\.\d+)""),"""")
"),"")</f>
        <v/>
      </c>
      <c r="N823" s="3" t="str">
        <f aca="false">IFERROR(__xludf.dummyfunction("if($T823&lt;&gt;"""",REGEXEXTRACT(SUBSTITUTE ($T823,N$1&amp;"" CE"",""""), N$1&amp;""[\w &amp;]*, (\d+\.\d+)""),"""")
"),"")</f>
        <v/>
      </c>
      <c r="O823" s="3" t="str">
        <f aca="false">IFERROR(__xludf.dummyfunction("if($T823&lt;&gt;"""",REGEXEXTRACT($T823, O$1&amp;""[\w &amp;]*, (\d+\.\d+)""),"""")
"),"")</f>
        <v/>
      </c>
      <c r="P823" s="2"/>
      <c r="Q823" s="2"/>
      <c r="R823" s="2"/>
      <c r="S823" s="2"/>
      <c r="T823" s="5"/>
      <c r="U823" s="5"/>
    </row>
    <row r="824" customFormat="false" ht="15.75" hidden="false" customHeight="false" outlineLevel="0" collapsed="false">
      <c r="A824" s="4"/>
      <c r="B824" s="2"/>
      <c r="C824" s="2"/>
      <c r="D824" s="2"/>
      <c r="E824" s="2"/>
      <c r="F824" s="3" t="str">
        <f aca="false">IFERROR(__xludf.dummyfunction("if($T824&lt;&gt;"""",REGEXEXTRACT(SUBSTITUTE ($T824,F$1&amp;"" CE"",""""), F$1&amp;""[\w &amp;]*, (\d+\.\d+)""),"""")
"),"")</f>
        <v/>
      </c>
      <c r="G824" s="3" t="str">
        <f aca="false">IFERROR(__xludf.dummyfunction("if($T824&lt;&gt;"""",REGEXEXTRACT($T824, G$1&amp;""[\w &amp;]*, (\d+\.\d+)""),"""")
"),"")</f>
        <v/>
      </c>
      <c r="H824" s="3"/>
      <c r="I824" s="3" t="str">
        <f aca="false">IFERROR(__xludf.dummyfunction("if($T824&lt;&gt;"""",REGEXEXTRACT(SUBSTITUTE ($T824,I$1&amp;"" CE"",""""), I$1&amp;""[\w &amp;]*, (\d+\.\d+)""),"""")
"),"")</f>
        <v/>
      </c>
      <c r="J824" s="3" t="str">
        <f aca="false">IFERROR(__xludf.dummyfunction("if($T824&lt;&gt;"""",REGEXEXTRACT($T824, J$1&amp;""[\w &amp;]*, (\d+\.\d+)""),"""")
"),"")</f>
        <v/>
      </c>
      <c r="K824" s="3"/>
      <c r="L824" s="3" t="str">
        <f aca="false">IFERROR(__xludf.dummyfunction("if($T824&lt;&gt;"""",REGEXEXTRACT(SUBSTITUTE ($T824,L$1&amp;"" CE"",""""), L$1&amp;""[\w &amp;]*, (\d+\.\d+)""),"""")
"),"")</f>
        <v/>
      </c>
      <c r="M824" s="3" t="str">
        <f aca="false">IFERROR(__xludf.dummyfunction("if($T824&lt;&gt;"""",REGEXEXTRACT($T824, M$1&amp;""[\w &amp;]*, (\d+\.\d+)""),"""")
"),"")</f>
        <v/>
      </c>
      <c r="N824" s="3" t="str">
        <f aca="false">IFERROR(__xludf.dummyfunction("if($T824&lt;&gt;"""",REGEXEXTRACT(SUBSTITUTE ($T824,N$1&amp;"" CE"",""""), N$1&amp;""[\w &amp;]*, (\d+\.\d+)""),"""")
"),"")</f>
        <v/>
      </c>
      <c r="O824" s="3" t="str">
        <f aca="false">IFERROR(__xludf.dummyfunction("if($T824&lt;&gt;"""",REGEXEXTRACT($T824, O$1&amp;""[\w &amp;]*, (\d+\.\d+)""),"""")
"),"")</f>
        <v/>
      </c>
      <c r="P824" s="2"/>
      <c r="Q824" s="2"/>
      <c r="R824" s="2"/>
      <c r="S824" s="2"/>
      <c r="T824" s="5"/>
      <c r="U824" s="5"/>
    </row>
    <row r="825" customFormat="false" ht="15.75" hidden="false" customHeight="false" outlineLevel="0" collapsed="false">
      <c r="A825" s="4"/>
      <c r="B825" s="2"/>
      <c r="C825" s="2"/>
      <c r="D825" s="2"/>
      <c r="E825" s="2"/>
      <c r="F825" s="3" t="str">
        <f aca="false">IFERROR(__xludf.dummyfunction("if($T825&lt;&gt;"""",REGEXEXTRACT(SUBSTITUTE ($T825,F$1&amp;"" CE"",""""), F$1&amp;""[\w &amp;]*, (\d+\.\d+)""),"""")
"),"")</f>
        <v/>
      </c>
      <c r="G825" s="3" t="str">
        <f aca="false">IFERROR(__xludf.dummyfunction("if($T825&lt;&gt;"""",REGEXEXTRACT($T825, G$1&amp;""[\w &amp;]*, (\d+\.\d+)""),"""")
"),"")</f>
        <v/>
      </c>
      <c r="H825" s="3"/>
      <c r="I825" s="3" t="str">
        <f aca="false">IFERROR(__xludf.dummyfunction("if($T825&lt;&gt;"""",REGEXEXTRACT(SUBSTITUTE ($T825,I$1&amp;"" CE"",""""), I$1&amp;""[\w &amp;]*, (\d+\.\d+)""),"""")
"),"")</f>
        <v/>
      </c>
      <c r="J825" s="3" t="str">
        <f aca="false">IFERROR(__xludf.dummyfunction("if($T825&lt;&gt;"""",REGEXEXTRACT($T825, J$1&amp;""[\w &amp;]*, (\d+\.\d+)""),"""")
"),"")</f>
        <v/>
      </c>
      <c r="K825" s="3"/>
      <c r="L825" s="3" t="str">
        <f aca="false">IFERROR(__xludf.dummyfunction("if($T825&lt;&gt;"""",REGEXEXTRACT(SUBSTITUTE ($T825,L$1&amp;"" CE"",""""), L$1&amp;""[\w &amp;]*, (\d+\.\d+)""),"""")
"),"")</f>
        <v/>
      </c>
      <c r="M825" s="3" t="str">
        <f aca="false">IFERROR(__xludf.dummyfunction("if($T825&lt;&gt;"""",REGEXEXTRACT($T825, M$1&amp;""[\w &amp;]*, (\d+\.\d+)""),"""")
"),"")</f>
        <v/>
      </c>
      <c r="N825" s="3" t="str">
        <f aca="false">IFERROR(__xludf.dummyfunction("if($T825&lt;&gt;"""",REGEXEXTRACT(SUBSTITUTE ($T825,N$1&amp;"" CE"",""""), N$1&amp;""[\w &amp;]*, (\d+\.\d+)""),"""")
"),"")</f>
        <v/>
      </c>
      <c r="O825" s="3" t="str">
        <f aca="false">IFERROR(__xludf.dummyfunction("if($T825&lt;&gt;"""",REGEXEXTRACT($T825, O$1&amp;""[\w &amp;]*, (\d+\.\d+)""),"""")
"),"")</f>
        <v/>
      </c>
      <c r="P825" s="2"/>
      <c r="Q825" s="2"/>
      <c r="R825" s="2"/>
      <c r="S825" s="2"/>
      <c r="T825" s="5"/>
      <c r="U825" s="5"/>
    </row>
    <row r="826" customFormat="false" ht="15.75" hidden="false" customHeight="false" outlineLevel="0" collapsed="false">
      <c r="A826" s="4"/>
      <c r="B826" s="2"/>
      <c r="C826" s="2"/>
      <c r="D826" s="2"/>
      <c r="E826" s="2"/>
      <c r="F826" s="3" t="str">
        <f aca="false">IFERROR(__xludf.dummyfunction("if($T826&lt;&gt;"""",REGEXEXTRACT(SUBSTITUTE ($T826,F$1&amp;"" CE"",""""), F$1&amp;""[\w &amp;]*, (\d+\.\d+)""),"""")
"),"")</f>
        <v/>
      </c>
      <c r="G826" s="3" t="str">
        <f aca="false">IFERROR(__xludf.dummyfunction("if($T826&lt;&gt;"""",REGEXEXTRACT($T826, G$1&amp;""[\w &amp;]*, (\d+\.\d+)""),"""")
"),"")</f>
        <v/>
      </c>
      <c r="H826" s="3"/>
      <c r="I826" s="3" t="str">
        <f aca="false">IFERROR(__xludf.dummyfunction("if($T826&lt;&gt;"""",REGEXEXTRACT(SUBSTITUTE ($T826,I$1&amp;"" CE"",""""), I$1&amp;""[\w &amp;]*, (\d+\.\d+)""),"""")
"),"")</f>
        <v/>
      </c>
      <c r="J826" s="3" t="str">
        <f aca="false">IFERROR(__xludf.dummyfunction("if($T826&lt;&gt;"""",REGEXEXTRACT($T826, J$1&amp;""[\w &amp;]*, (\d+\.\d+)""),"""")
"),"")</f>
        <v/>
      </c>
      <c r="K826" s="3"/>
      <c r="L826" s="3" t="str">
        <f aca="false">IFERROR(__xludf.dummyfunction("if($T826&lt;&gt;"""",REGEXEXTRACT(SUBSTITUTE ($T826,L$1&amp;"" CE"",""""), L$1&amp;""[\w &amp;]*, (\d+\.\d+)""),"""")
"),"")</f>
        <v/>
      </c>
      <c r="M826" s="3" t="str">
        <f aca="false">IFERROR(__xludf.dummyfunction("if($T826&lt;&gt;"""",REGEXEXTRACT($T826, M$1&amp;""[\w &amp;]*, (\d+\.\d+)""),"""")
"),"")</f>
        <v/>
      </c>
      <c r="N826" s="3" t="str">
        <f aca="false">IFERROR(__xludf.dummyfunction("if($T826&lt;&gt;"""",REGEXEXTRACT(SUBSTITUTE ($T826,N$1&amp;"" CE"",""""), N$1&amp;""[\w &amp;]*, (\d+\.\d+)""),"""")
"),"")</f>
        <v/>
      </c>
      <c r="O826" s="3" t="str">
        <f aca="false">IFERROR(__xludf.dummyfunction("if($T826&lt;&gt;"""",REGEXEXTRACT($T826, O$1&amp;""[\w &amp;]*, (\d+\.\d+)""),"""")
"),"")</f>
        <v/>
      </c>
      <c r="P826" s="2"/>
      <c r="Q826" s="2"/>
      <c r="R826" s="2"/>
      <c r="S826" s="2"/>
      <c r="T826" s="5"/>
      <c r="U826" s="5"/>
    </row>
    <row r="827" customFormat="false" ht="15.75" hidden="false" customHeight="false" outlineLevel="0" collapsed="false">
      <c r="A827" s="4"/>
      <c r="B827" s="2"/>
      <c r="C827" s="2"/>
      <c r="D827" s="2"/>
      <c r="E827" s="2"/>
      <c r="F827" s="3" t="str">
        <f aca="false">IFERROR(__xludf.dummyfunction("if($T827&lt;&gt;"""",REGEXEXTRACT(SUBSTITUTE ($T827,F$1&amp;"" CE"",""""), F$1&amp;""[\w &amp;]*, (\d+\.\d+)""),"""")
"),"")</f>
        <v/>
      </c>
      <c r="G827" s="3" t="str">
        <f aca="false">IFERROR(__xludf.dummyfunction("if($T827&lt;&gt;"""",REGEXEXTRACT($T827, G$1&amp;""[\w &amp;]*, (\d+\.\d+)""),"""")
"),"")</f>
        <v/>
      </c>
      <c r="H827" s="3"/>
      <c r="I827" s="3" t="str">
        <f aca="false">IFERROR(__xludf.dummyfunction("if($T827&lt;&gt;"""",REGEXEXTRACT(SUBSTITUTE ($T827,I$1&amp;"" CE"",""""), I$1&amp;""[\w &amp;]*, (\d+\.\d+)""),"""")
"),"")</f>
        <v/>
      </c>
      <c r="J827" s="3" t="str">
        <f aca="false">IFERROR(__xludf.dummyfunction("if($T827&lt;&gt;"""",REGEXEXTRACT($T827, J$1&amp;""[\w &amp;]*, (\d+\.\d+)""),"""")
"),"")</f>
        <v/>
      </c>
      <c r="K827" s="3"/>
      <c r="L827" s="3" t="str">
        <f aca="false">IFERROR(__xludf.dummyfunction("if($T827&lt;&gt;"""",REGEXEXTRACT(SUBSTITUTE ($T827,L$1&amp;"" CE"",""""), L$1&amp;""[\w &amp;]*, (\d+\.\d+)""),"""")
"),"")</f>
        <v/>
      </c>
      <c r="M827" s="3" t="str">
        <f aca="false">IFERROR(__xludf.dummyfunction("if($T827&lt;&gt;"""",REGEXEXTRACT($T827, M$1&amp;""[\w &amp;]*, (\d+\.\d+)""),"""")
"),"")</f>
        <v/>
      </c>
      <c r="N827" s="3" t="str">
        <f aca="false">IFERROR(__xludf.dummyfunction("if($T827&lt;&gt;"""",REGEXEXTRACT(SUBSTITUTE ($T827,N$1&amp;"" CE"",""""), N$1&amp;""[\w &amp;]*, (\d+\.\d+)""),"""")
"),"")</f>
        <v/>
      </c>
      <c r="O827" s="3" t="str">
        <f aca="false">IFERROR(__xludf.dummyfunction("if($T827&lt;&gt;"""",REGEXEXTRACT($T827, O$1&amp;""[\w &amp;]*, (\d+\.\d+)""),"""")
"),"")</f>
        <v/>
      </c>
      <c r="P827" s="2"/>
      <c r="Q827" s="2"/>
      <c r="R827" s="2"/>
      <c r="S827" s="2"/>
      <c r="T827" s="5"/>
      <c r="U827" s="5"/>
    </row>
    <row r="828" customFormat="false" ht="15.75" hidden="false" customHeight="false" outlineLevel="0" collapsed="false">
      <c r="A828" s="4"/>
      <c r="B828" s="2"/>
      <c r="C828" s="2"/>
      <c r="D828" s="2"/>
      <c r="E828" s="2"/>
      <c r="F828" s="3" t="str">
        <f aca="false">IFERROR(__xludf.dummyfunction("if($T828&lt;&gt;"""",REGEXEXTRACT(SUBSTITUTE ($T828,F$1&amp;"" CE"",""""), F$1&amp;""[\w &amp;]*, (\d+\.\d+)""),"""")
"),"")</f>
        <v/>
      </c>
      <c r="G828" s="3" t="str">
        <f aca="false">IFERROR(__xludf.dummyfunction("if($T828&lt;&gt;"""",REGEXEXTRACT($T828, G$1&amp;""[\w &amp;]*, (\d+\.\d+)""),"""")
"),"")</f>
        <v/>
      </c>
      <c r="H828" s="3"/>
      <c r="I828" s="3" t="str">
        <f aca="false">IFERROR(__xludf.dummyfunction("if($T828&lt;&gt;"""",REGEXEXTRACT(SUBSTITUTE ($T828,I$1&amp;"" CE"",""""), I$1&amp;""[\w &amp;]*, (\d+\.\d+)""),"""")
"),"")</f>
        <v/>
      </c>
      <c r="J828" s="3" t="str">
        <f aca="false">IFERROR(__xludf.dummyfunction("if($T828&lt;&gt;"""",REGEXEXTRACT($T828, J$1&amp;""[\w &amp;]*, (\d+\.\d+)""),"""")
"),"")</f>
        <v/>
      </c>
      <c r="K828" s="3"/>
      <c r="L828" s="3" t="str">
        <f aca="false">IFERROR(__xludf.dummyfunction("if($T828&lt;&gt;"""",REGEXEXTRACT(SUBSTITUTE ($T828,L$1&amp;"" CE"",""""), L$1&amp;""[\w &amp;]*, (\d+\.\d+)""),"""")
"),"")</f>
        <v/>
      </c>
      <c r="M828" s="3" t="str">
        <f aca="false">IFERROR(__xludf.dummyfunction("if($T828&lt;&gt;"""",REGEXEXTRACT($T828, M$1&amp;""[\w &amp;]*, (\d+\.\d+)""),"""")
"),"")</f>
        <v/>
      </c>
      <c r="N828" s="3" t="str">
        <f aca="false">IFERROR(__xludf.dummyfunction("if($T828&lt;&gt;"""",REGEXEXTRACT(SUBSTITUTE ($T828,N$1&amp;"" CE"",""""), N$1&amp;""[\w &amp;]*, (\d+\.\d+)""),"""")
"),"")</f>
        <v/>
      </c>
      <c r="O828" s="3" t="str">
        <f aca="false">IFERROR(__xludf.dummyfunction("if($T828&lt;&gt;"""",REGEXEXTRACT($T828, O$1&amp;""[\w &amp;]*, (\d+\.\d+)""),"""")
"),"")</f>
        <v/>
      </c>
      <c r="P828" s="2"/>
      <c r="Q828" s="2"/>
      <c r="R828" s="2"/>
      <c r="S828" s="2"/>
      <c r="T828" s="5"/>
      <c r="U828" s="5"/>
    </row>
    <row r="829" customFormat="false" ht="15.75" hidden="false" customHeight="false" outlineLevel="0" collapsed="false">
      <c r="A829" s="4"/>
      <c r="B829" s="2"/>
      <c r="C829" s="2"/>
      <c r="D829" s="2"/>
      <c r="E829" s="2"/>
      <c r="F829" s="3" t="str">
        <f aca="false">IFERROR(__xludf.dummyfunction("if($T829&lt;&gt;"""",REGEXEXTRACT(SUBSTITUTE ($T829,F$1&amp;"" CE"",""""), F$1&amp;""[\w &amp;]*, (\d+\.\d+)""),"""")
"),"")</f>
        <v/>
      </c>
      <c r="G829" s="3" t="str">
        <f aca="false">IFERROR(__xludf.dummyfunction("if($T829&lt;&gt;"""",REGEXEXTRACT($T829, G$1&amp;""[\w &amp;]*, (\d+\.\d+)""),"""")
"),"")</f>
        <v/>
      </c>
      <c r="H829" s="3"/>
      <c r="I829" s="3" t="str">
        <f aca="false">IFERROR(__xludf.dummyfunction("if($T829&lt;&gt;"""",REGEXEXTRACT(SUBSTITUTE ($T829,I$1&amp;"" CE"",""""), I$1&amp;""[\w &amp;]*, (\d+\.\d+)""),"""")
"),"")</f>
        <v/>
      </c>
      <c r="J829" s="3" t="str">
        <f aca="false">IFERROR(__xludf.dummyfunction("if($T829&lt;&gt;"""",REGEXEXTRACT($T829, J$1&amp;""[\w &amp;]*, (\d+\.\d+)""),"""")
"),"")</f>
        <v/>
      </c>
      <c r="K829" s="3"/>
      <c r="L829" s="3" t="str">
        <f aca="false">IFERROR(__xludf.dummyfunction("if($T829&lt;&gt;"""",REGEXEXTRACT(SUBSTITUTE ($T829,L$1&amp;"" CE"",""""), L$1&amp;""[\w &amp;]*, (\d+\.\d+)""),"""")
"),"")</f>
        <v/>
      </c>
      <c r="M829" s="3" t="str">
        <f aca="false">IFERROR(__xludf.dummyfunction("if($T829&lt;&gt;"""",REGEXEXTRACT($T829, M$1&amp;""[\w &amp;]*, (\d+\.\d+)""),"""")
"),"")</f>
        <v/>
      </c>
      <c r="N829" s="3" t="str">
        <f aca="false">IFERROR(__xludf.dummyfunction("if($T829&lt;&gt;"""",REGEXEXTRACT(SUBSTITUTE ($T829,N$1&amp;"" CE"",""""), N$1&amp;""[\w &amp;]*, (\d+\.\d+)""),"""")
"),"")</f>
        <v/>
      </c>
      <c r="O829" s="3" t="str">
        <f aca="false">IFERROR(__xludf.dummyfunction("if($T829&lt;&gt;"""",REGEXEXTRACT($T829, O$1&amp;""[\w &amp;]*, (\d+\.\d+)""),"""")
"),"")</f>
        <v/>
      </c>
      <c r="P829" s="2"/>
      <c r="Q829" s="2"/>
      <c r="R829" s="2"/>
      <c r="S829" s="2"/>
      <c r="T829" s="5"/>
      <c r="U829" s="5"/>
    </row>
    <row r="830" customFormat="false" ht="15.75" hidden="false" customHeight="false" outlineLevel="0" collapsed="false">
      <c r="A830" s="4"/>
      <c r="B830" s="2"/>
      <c r="C830" s="2"/>
      <c r="D830" s="2"/>
      <c r="E830" s="2"/>
      <c r="F830" s="3" t="str">
        <f aca="false">IFERROR(__xludf.dummyfunction("if($T830&lt;&gt;"""",REGEXEXTRACT(SUBSTITUTE ($T830,F$1&amp;"" CE"",""""), F$1&amp;""[\w &amp;]*, (\d+\.\d+)""),"""")
"),"")</f>
        <v/>
      </c>
      <c r="G830" s="3" t="str">
        <f aca="false">IFERROR(__xludf.dummyfunction("if($T830&lt;&gt;"""",REGEXEXTRACT($T830, G$1&amp;""[\w &amp;]*, (\d+\.\d+)""),"""")
"),"")</f>
        <v/>
      </c>
      <c r="H830" s="3"/>
      <c r="I830" s="3" t="str">
        <f aca="false">IFERROR(__xludf.dummyfunction("if($T830&lt;&gt;"""",REGEXEXTRACT(SUBSTITUTE ($T830,I$1&amp;"" CE"",""""), I$1&amp;""[\w &amp;]*, (\d+\.\d+)""),"""")
"),"")</f>
        <v/>
      </c>
      <c r="J830" s="3" t="str">
        <f aca="false">IFERROR(__xludf.dummyfunction("if($T830&lt;&gt;"""",REGEXEXTRACT($T830, J$1&amp;""[\w &amp;]*, (\d+\.\d+)""),"""")
"),"")</f>
        <v/>
      </c>
      <c r="K830" s="3"/>
      <c r="L830" s="3" t="str">
        <f aca="false">IFERROR(__xludf.dummyfunction("if($T830&lt;&gt;"""",REGEXEXTRACT(SUBSTITUTE ($T830,L$1&amp;"" CE"",""""), L$1&amp;""[\w &amp;]*, (\d+\.\d+)""),"""")
"),"")</f>
        <v/>
      </c>
      <c r="M830" s="3" t="str">
        <f aca="false">IFERROR(__xludf.dummyfunction("if($T830&lt;&gt;"""",REGEXEXTRACT($T830, M$1&amp;""[\w &amp;]*, (\d+\.\d+)""),"""")
"),"")</f>
        <v/>
      </c>
      <c r="N830" s="3" t="str">
        <f aca="false">IFERROR(__xludf.dummyfunction("if($T830&lt;&gt;"""",REGEXEXTRACT(SUBSTITUTE ($T830,N$1&amp;"" CE"",""""), N$1&amp;""[\w &amp;]*, (\d+\.\d+)""),"""")
"),"")</f>
        <v/>
      </c>
      <c r="O830" s="3" t="str">
        <f aca="false">IFERROR(__xludf.dummyfunction("if($T830&lt;&gt;"""",REGEXEXTRACT($T830, O$1&amp;""[\w &amp;]*, (\d+\.\d+)""),"""")
"),"")</f>
        <v/>
      </c>
      <c r="P830" s="2"/>
      <c r="Q830" s="2"/>
      <c r="R830" s="2"/>
      <c r="S830" s="2"/>
      <c r="T830" s="5"/>
      <c r="U830" s="5"/>
    </row>
    <row r="831" customFormat="false" ht="15.75" hidden="false" customHeight="false" outlineLevel="0" collapsed="false">
      <c r="A831" s="4"/>
      <c r="B831" s="2"/>
      <c r="C831" s="2"/>
      <c r="D831" s="2"/>
      <c r="E831" s="2"/>
      <c r="F831" s="3" t="str">
        <f aca="false">IFERROR(__xludf.dummyfunction("if($T831&lt;&gt;"""",REGEXEXTRACT(SUBSTITUTE ($T831,F$1&amp;"" CE"",""""), F$1&amp;""[\w &amp;]*, (\d+\.\d+)""),"""")
"),"")</f>
        <v/>
      </c>
      <c r="G831" s="3" t="str">
        <f aca="false">IFERROR(__xludf.dummyfunction("if($T831&lt;&gt;"""",REGEXEXTRACT($T831, G$1&amp;""[\w &amp;]*, (\d+\.\d+)""),"""")
"),"")</f>
        <v/>
      </c>
      <c r="H831" s="3"/>
      <c r="I831" s="3" t="str">
        <f aca="false">IFERROR(__xludf.dummyfunction("if($T831&lt;&gt;"""",REGEXEXTRACT(SUBSTITUTE ($T831,I$1&amp;"" CE"",""""), I$1&amp;""[\w &amp;]*, (\d+\.\d+)""),"""")
"),"")</f>
        <v/>
      </c>
      <c r="J831" s="3" t="str">
        <f aca="false">IFERROR(__xludf.dummyfunction("if($T831&lt;&gt;"""",REGEXEXTRACT($T831, J$1&amp;""[\w &amp;]*, (\d+\.\d+)""),"""")
"),"")</f>
        <v/>
      </c>
      <c r="K831" s="3"/>
      <c r="L831" s="3" t="str">
        <f aca="false">IFERROR(__xludf.dummyfunction("if($T831&lt;&gt;"""",REGEXEXTRACT(SUBSTITUTE ($T831,L$1&amp;"" CE"",""""), L$1&amp;""[\w &amp;]*, (\d+\.\d+)""),"""")
"),"")</f>
        <v/>
      </c>
      <c r="M831" s="3" t="str">
        <f aca="false">IFERROR(__xludf.dummyfunction("if($T831&lt;&gt;"""",REGEXEXTRACT($T831, M$1&amp;""[\w &amp;]*, (\d+\.\d+)""),"""")
"),"")</f>
        <v/>
      </c>
      <c r="N831" s="3" t="str">
        <f aca="false">IFERROR(__xludf.dummyfunction("if($T831&lt;&gt;"""",REGEXEXTRACT(SUBSTITUTE ($T831,N$1&amp;"" CE"",""""), N$1&amp;""[\w &amp;]*, (\d+\.\d+)""),"""")
"),"")</f>
        <v/>
      </c>
      <c r="O831" s="3" t="str">
        <f aca="false">IFERROR(__xludf.dummyfunction("if($T831&lt;&gt;"""",REGEXEXTRACT($T831, O$1&amp;""[\w &amp;]*, (\d+\.\d+)""),"""")
"),"")</f>
        <v/>
      </c>
      <c r="P831" s="2"/>
      <c r="Q831" s="2"/>
      <c r="R831" s="2"/>
      <c r="S831" s="2"/>
      <c r="T831" s="5"/>
      <c r="U831" s="5"/>
    </row>
    <row r="832" customFormat="false" ht="15.75" hidden="false" customHeight="false" outlineLevel="0" collapsed="false">
      <c r="A832" s="4"/>
      <c r="B832" s="2"/>
      <c r="C832" s="2"/>
      <c r="D832" s="2"/>
      <c r="E832" s="2"/>
      <c r="F832" s="3" t="str">
        <f aca="false">IFERROR(__xludf.dummyfunction("if($T832&lt;&gt;"""",REGEXEXTRACT(SUBSTITUTE ($T832,F$1&amp;"" CE"",""""), F$1&amp;""[\w &amp;]*, (\d+\.\d+)""),"""")
"),"")</f>
        <v/>
      </c>
      <c r="G832" s="3" t="str">
        <f aca="false">IFERROR(__xludf.dummyfunction("if($T832&lt;&gt;"""",REGEXEXTRACT($T832, G$1&amp;""[\w &amp;]*, (\d+\.\d+)""),"""")
"),"")</f>
        <v/>
      </c>
      <c r="H832" s="3"/>
      <c r="I832" s="3" t="str">
        <f aca="false">IFERROR(__xludf.dummyfunction("if($T832&lt;&gt;"""",REGEXEXTRACT(SUBSTITUTE ($T832,I$1&amp;"" CE"",""""), I$1&amp;""[\w &amp;]*, (\d+\.\d+)""),"""")
"),"")</f>
        <v/>
      </c>
      <c r="J832" s="3" t="str">
        <f aca="false">IFERROR(__xludf.dummyfunction("if($T832&lt;&gt;"""",REGEXEXTRACT($T832, J$1&amp;""[\w &amp;]*, (\d+\.\d+)""),"""")
"),"")</f>
        <v/>
      </c>
      <c r="K832" s="3"/>
      <c r="L832" s="3" t="str">
        <f aca="false">IFERROR(__xludf.dummyfunction("if($T832&lt;&gt;"""",REGEXEXTRACT(SUBSTITUTE ($T832,L$1&amp;"" CE"",""""), L$1&amp;""[\w &amp;]*, (\d+\.\d+)""),"""")
"),"")</f>
        <v/>
      </c>
      <c r="M832" s="3" t="str">
        <f aca="false">IFERROR(__xludf.dummyfunction("if($T832&lt;&gt;"""",REGEXEXTRACT($T832, M$1&amp;""[\w &amp;]*, (\d+\.\d+)""),"""")
"),"")</f>
        <v/>
      </c>
      <c r="N832" s="3" t="str">
        <f aca="false">IFERROR(__xludf.dummyfunction("if($T832&lt;&gt;"""",REGEXEXTRACT(SUBSTITUTE ($T832,N$1&amp;"" CE"",""""), N$1&amp;""[\w &amp;]*, (\d+\.\d+)""),"""")
"),"")</f>
        <v/>
      </c>
      <c r="O832" s="3" t="str">
        <f aca="false">IFERROR(__xludf.dummyfunction("if($T832&lt;&gt;"""",REGEXEXTRACT($T832, O$1&amp;""[\w &amp;]*, (\d+\.\d+)""),"""")
"),"")</f>
        <v/>
      </c>
      <c r="P832" s="2"/>
      <c r="Q832" s="2"/>
      <c r="R832" s="2"/>
      <c r="S832" s="2"/>
      <c r="T832" s="5"/>
      <c r="U832" s="5"/>
    </row>
    <row r="833" customFormat="false" ht="15.75" hidden="false" customHeight="false" outlineLevel="0" collapsed="false">
      <c r="A833" s="4"/>
      <c r="B833" s="2"/>
      <c r="C833" s="2"/>
      <c r="D833" s="2"/>
      <c r="E833" s="2"/>
      <c r="F833" s="3" t="str">
        <f aca="false">IFERROR(__xludf.dummyfunction("if($T833&lt;&gt;"""",REGEXEXTRACT(SUBSTITUTE ($T833,F$1&amp;"" CE"",""""), F$1&amp;""[\w &amp;]*, (\d+\.\d+)""),"""")
"),"")</f>
        <v/>
      </c>
      <c r="G833" s="3" t="str">
        <f aca="false">IFERROR(__xludf.dummyfunction("if($T833&lt;&gt;"""",REGEXEXTRACT($T833, G$1&amp;""[\w &amp;]*, (\d+\.\d+)""),"""")
"),"")</f>
        <v/>
      </c>
      <c r="H833" s="3"/>
      <c r="I833" s="3" t="str">
        <f aca="false">IFERROR(__xludf.dummyfunction("if($T833&lt;&gt;"""",REGEXEXTRACT(SUBSTITUTE ($T833,I$1&amp;"" CE"",""""), I$1&amp;""[\w &amp;]*, (\d+\.\d+)""),"""")
"),"")</f>
        <v/>
      </c>
      <c r="J833" s="3" t="str">
        <f aca="false">IFERROR(__xludf.dummyfunction("if($T833&lt;&gt;"""",REGEXEXTRACT($T833, J$1&amp;""[\w &amp;]*, (\d+\.\d+)""),"""")
"),"")</f>
        <v/>
      </c>
      <c r="K833" s="3"/>
      <c r="L833" s="3" t="str">
        <f aca="false">IFERROR(__xludf.dummyfunction("if($T833&lt;&gt;"""",REGEXEXTRACT(SUBSTITUTE ($T833,L$1&amp;"" CE"",""""), L$1&amp;""[\w &amp;]*, (\d+\.\d+)""),"""")
"),"")</f>
        <v/>
      </c>
      <c r="M833" s="3" t="str">
        <f aca="false">IFERROR(__xludf.dummyfunction("if($T833&lt;&gt;"""",REGEXEXTRACT($T833, M$1&amp;""[\w &amp;]*, (\d+\.\d+)""),"""")
"),"")</f>
        <v/>
      </c>
      <c r="N833" s="3" t="str">
        <f aca="false">IFERROR(__xludf.dummyfunction("if($T833&lt;&gt;"""",REGEXEXTRACT(SUBSTITUTE ($T833,N$1&amp;"" CE"",""""), N$1&amp;""[\w &amp;]*, (\d+\.\d+)""),"""")
"),"")</f>
        <v/>
      </c>
      <c r="O833" s="3" t="str">
        <f aca="false">IFERROR(__xludf.dummyfunction("if($T833&lt;&gt;"""",REGEXEXTRACT($T833, O$1&amp;""[\w &amp;]*, (\d+\.\d+)""),"""")
"),"")</f>
        <v/>
      </c>
      <c r="P833" s="2"/>
      <c r="Q833" s="2"/>
      <c r="R833" s="2"/>
      <c r="S833" s="2"/>
      <c r="T833" s="5"/>
      <c r="U833" s="5"/>
    </row>
    <row r="834" customFormat="false" ht="15.75" hidden="false" customHeight="false" outlineLevel="0" collapsed="false">
      <c r="A834" s="4"/>
      <c r="B834" s="2"/>
      <c r="C834" s="2"/>
      <c r="D834" s="2"/>
      <c r="E834" s="2"/>
      <c r="F834" s="3" t="str">
        <f aca="false">IFERROR(__xludf.dummyfunction("if($T834&lt;&gt;"""",REGEXEXTRACT(SUBSTITUTE ($T834,F$1&amp;"" CE"",""""), F$1&amp;""[\w &amp;]*, (\d+\.\d+)""),"""")
"),"")</f>
        <v/>
      </c>
      <c r="G834" s="3" t="str">
        <f aca="false">IFERROR(__xludf.dummyfunction("if($T834&lt;&gt;"""",REGEXEXTRACT($T834, G$1&amp;""[\w &amp;]*, (\d+\.\d+)""),"""")
"),"")</f>
        <v/>
      </c>
      <c r="H834" s="3"/>
      <c r="I834" s="3" t="str">
        <f aca="false">IFERROR(__xludf.dummyfunction("if($T834&lt;&gt;"""",REGEXEXTRACT(SUBSTITUTE ($T834,I$1&amp;"" CE"",""""), I$1&amp;""[\w &amp;]*, (\d+\.\d+)""),"""")
"),"")</f>
        <v/>
      </c>
      <c r="J834" s="3" t="str">
        <f aca="false">IFERROR(__xludf.dummyfunction("if($T834&lt;&gt;"""",REGEXEXTRACT($T834, J$1&amp;""[\w &amp;]*, (\d+\.\d+)""),"""")
"),"")</f>
        <v/>
      </c>
      <c r="K834" s="3"/>
      <c r="L834" s="3" t="str">
        <f aca="false">IFERROR(__xludf.dummyfunction("if($T834&lt;&gt;"""",REGEXEXTRACT(SUBSTITUTE ($T834,L$1&amp;"" CE"",""""), L$1&amp;""[\w &amp;]*, (\d+\.\d+)""),"""")
"),"")</f>
        <v/>
      </c>
      <c r="M834" s="3" t="str">
        <f aca="false">IFERROR(__xludf.dummyfunction("if($T834&lt;&gt;"""",REGEXEXTRACT($T834, M$1&amp;""[\w &amp;]*, (\d+\.\d+)""),"""")
"),"")</f>
        <v/>
      </c>
      <c r="N834" s="3" t="str">
        <f aca="false">IFERROR(__xludf.dummyfunction("if($T834&lt;&gt;"""",REGEXEXTRACT(SUBSTITUTE ($T834,N$1&amp;"" CE"",""""), N$1&amp;""[\w &amp;]*, (\d+\.\d+)""),"""")
"),"")</f>
        <v/>
      </c>
      <c r="O834" s="3" t="str">
        <f aca="false">IFERROR(__xludf.dummyfunction("if($T834&lt;&gt;"""",REGEXEXTRACT($T834, O$1&amp;""[\w &amp;]*, (\d+\.\d+)""),"""")
"),"")</f>
        <v/>
      </c>
      <c r="P834" s="2"/>
      <c r="Q834" s="2"/>
      <c r="R834" s="2"/>
      <c r="S834" s="2"/>
      <c r="T834" s="5"/>
      <c r="U834" s="5"/>
    </row>
    <row r="835" customFormat="false" ht="15.75" hidden="false" customHeight="false" outlineLevel="0" collapsed="false">
      <c r="A835" s="4"/>
      <c r="B835" s="2"/>
      <c r="C835" s="2"/>
      <c r="D835" s="2"/>
      <c r="E835" s="2"/>
      <c r="F835" s="3" t="str">
        <f aca="false">IFERROR(__xludf.dummyfunction("if($T835&lt;&gt;"""",REGEXEXTRACT(SUBSTITUTE ($T835,F$1&amp;"" CE"",""""), F$1&amp;""[\w &amp;]*, (\d+\.\d+)""),"""")
"),"")</f>
        <v/>
      </c>
      <c r="G835" s="3" t="str">
        <f aca="false">IFERROR(__xludf.dummyfunction("if($T835&lt;&gt;"""",REGEXEXTRACT($T835, G$1&amp;""[\w &amp;]*, (\d+\.\d+)""),"""")
"),"")</f>
        <v/>
      </c>
      <c r="H835" s="3"/>
      <c r="I835" s="3" t="str">
        <f aca="false">IFERROR(__xludf.dummyfunction("if($T835&lt;&gt;"""",REGEXEXTRACT(SUBSTITUTE ($T835,I$1&amp;"" CE"",""""), I$1&amp;""[\w &amp;]*, (\d+\.\d+)""),"""")
"),"")</f>
        <v/>
      </c>
      <c r="J835" s="3" t="str">
        <f aca="false">IFERROR(__xludf.dummyfunction("if($T835&lt;&gt;"""",REGEXEXTRACT($T835, J$1&amp;""[\w &amp;]*, (\d+\.\d+)""),"""")
"),"")</f>
        <v/>
      </c>
      <c r="K835" s="3"/>
      <c r="L835" s="3" t="str">
        <f aca="false">IFERROR(__xludf.dummyfunction("if($T835&lt;&gt;"""",REGEXEXTRACT(SUBSTITUTE ($T835,L$1&amp;"" CE"",""""), L$1&amp;""[\w &amp;]*, (\d+\.\d+)""),"""")
"),"")</f>
        <v/>
      </c>
      <c r="M835" s="3" t="str">
        <f aca="false">IFERROR(__xludf.dummyfunction("if($T835&lt;&gt;"""",REGEXEXTRACT($T835, M$1&amp;""[\w &amp;]*, (\d+\.\d+)""),"""")
"),"")</f>
        <v/>
      </c>
      <c r="N835" s="3" t="str">
        <f aca="false">IFERROR(__xludf.dummyfunction("if($T835&lt;&gt;"""",REGEXEXTRACT(SUBSTITUTE ($T835,N$1&amp;"" CE"",""""), N$1&amp;""[\w &amp;]*, (\d+\.\d+)""),"""")
"),"")</f>
        <v/>
      </c>
      <c r="O835" s="3" t="str">
        <f aca="false">IFERROR(__xludf.dummyfunction("if($T835&lt;&gt;"""",REGEXEXTRACT($T835, O$1&amp;""[\w &amp;]*, (\d+\.\d+)""),"""")
"),"")</f>
        <v/>
      </c>
      <c r="P835" s="2"/>
      <c r="Q835" s="2"/>
      <c r="R835" s="2"/>
      <c r="S835" s="2"/>
      <c r="T835" s="5"/>
      <c r="U835" s="5"/>
    </row>
    <row r="836" customFormat="false" ht="15.75" hidden="false" customHeight="false" outlineLevel="0" collapsed="false">
      <c r="A836" s="4"/>
      <c r="B836" s="2"/>
      <c r="C836" s="2"/>
      <c r="D836" s="2"/>
      <c r="E836" s="2"/>
      <c r="F836" s="3" t="str">
        <f aca="false">IFERROR(__xludf.dummyfunction("if($T836&lt;&gt;"""",REGEXEXTRACT(SUBSTITUTE ($T836,F$1&amp;"" CE"",""""), F$1&amp;""[\w &amp;]*, (\d+\.\d+)""),"""")
"),"")</f>
        <v/>
      </c>
      <c r="G836" s="3" t="str">
        <f aca="false">IFERROR(__xludf.dummyfunction("if($T836&lt;&gt;"""",REGEXEXTRACT($T836, G$1&amp;""[\w &amp;]*, (\d+\.\d+)""),"""")
"),"")</f>
        <v/>
      </c>
      <c r="H836" s="3"/>
      <c r="I836" s="3" t="str">
        <f aca="false">IFERROR(__xludf.dummyfunction("if($T836&lt;&gt;"""",REGEXEXTRACT(SUBSTITUTE ($T836,I$1&amp;"" CE"",""""), I$1&amp;""[\w &amp;]*, (\d+\.\d+)""),"""")
"),"")</f>
        <v/>
      </c>
      <c r="J836" s="3" t="str">
        <f aca="false">IFERROR(__xludf.dummyfunction("if($T836&lt;&gt;"""",REGEXEXTRACT($T836, J$1&amp;""[\w &amp;]*, (\d+\.\d+)""),"""")
"),"")</f>
        <v/>
      </c>
      <c r="K836" s="3"/>
      <c r="L836" s="3" t="str">
        <f aca="false">IFERROR(__xludf.dummyfunction("if($T836&lt;&gt;"""",REGEXEXTRACT(SUBSTITUTE ($T836,L$1&amp;"" CE"",""""), L$1&amp;""[\w &amp;]*, (\d+\.\d+)""),"""")
"),"")</f>
        <v/>
      </c>
      <c r="M836" s="3" t="str">
        <f aca="false">IFERROR(__xludf.dummyfunction("if($T836&lt;&gt;"""",REGEXEXTRACT($T836, M$1&amp;""[\w &amp;]*, (\d+\.\d+)""),"""")
"),"")</f>
        <v/>
      </c>
      <c r="N836" s="3" t="str">
        <f aca="false">IFERROR(__xludf.dummyfunction("if($T836&lt;&gt;"""",REGEXEXTRACT(SUBSTITUTE ($T836,N$1&amp;"" CE"",""""), N$1&amp;""[\w &amp;]*, (\d+\.\d+)""),"""")
"),"")</f>
        <v/>
      </c>
      <c r="O836" s="3" t="str">
        <f aca="false">IFERROR(__xludf.dummyfunction("if($T836&lt;&gt;"""",REGEXEXTRACT($T836, O$1&amp;""[\w &amp;]*, (\d+\.\d+)""),"""")
"),"")</f>
        <v/>
      </c>
      <c r="P836" s="2"/>
      <c r="Q836" s="2"/>
      <c r="R836" s="2"/>
      <c r="S836" s="2"/>
      <c r="T836" s="5"/>
      <c r="U836" s="5"/>
    </row>
    <row r="837" customFormat="false" ht="15.75" hidden="false" customHeight="false" outlineLevel="0" collapsed="false">
      <c r="A837" s="4"/>
      <c r="B837" s="2"/>
      <c r="C837" s="2"/>
      <c r="D837" s="2"/>
      <c r="E837" s="2"/>
      <c r="F837" s="3" t="str">
        <f aca="false">IFERROR(__xludf.dummyfunction("if($T837&lt;&gt;"""",REGEXEXTRACT(SUBSTITUTE ($T837,F$1&amp;"" CE"",""""), F$1&amp;""[\w &amp;]*, (\d+\.\d+)""),"""")
"),"")</f>
        <v/>
      </c>
      <c r="G837" s="3" t="str">
        <f aca="false">IFERROR(__xludf.dummyfunction("if($T837&lt;&gt;"""",REGEXEXTRACT($T837, G$1&amp;""[\w &amp;]*, (\d+\.\d+)""),"""")
"),"")</f>
        <v/>
      </c>
      <c r="H837" s="3"/>
      <c r="I837" s="3" t="str">
        <f aca="false">IFERROR(__xludf.dummyfunction("if($T837&lt;&gt;"""",REGEXEXTRACT(SUBSTITUTE ($T837,I$1&amp;"" CE"",""""), I$1&amp;""[\w &amp;]*, (\d+\.\d+)""),"""")
"),"")</f>
        <v/>
      </c>
      <c r="J837" s="3" t="str">
        <f aca="false">IFERROR(__xludf.dummyfunction("if($T837&lt;&gt;"""",REGEXEXTRACT($T837, J$1&amp;""[\w &amp;]*, (\d+\.\d+)""),"""")
"),"")</f>
        <v/>
      </c>
      <c r="K837" s="3"/>
      <c r="L837" s="3" t="str">
        <f aca="false">IFERROR(__xludf.dummyfunction("if($T837&lt;&gt;"""",REGEXEXTRACT(SUBSTITUTE ($T837,L$1&amp;"" CE"",""""), L$1&amp;""[\w &amp;]*, (\d+\.\d+)""),"""")
"),"")</f>
        <v/>
      </c>
      <c r="M837" s="3" t="str">
        <f aca="false">IFERROR(__xludf.dummyfunction("if($T837&lt;&gt;"""",REGEXEXTRACT($T837, M$1&amp;""[\w &amp;]*, (\d+\.\d+)""),"""")
"),"")</f>
        <v/>
      </c>
      <c r="N837" s="3" t="str">
        <f aca="false">IFERROR(__xludf.dummyfunction("if($T837&lt;&gt;"""",REGEXEXTRACT(SUBSTITUTE ($T837,N$1&amp;"" CE"",""""), N$1&amp;""[\w &amp;]*, (\d+\.\d+)""),"""")
"),"")</f>
        <v/>
      </c>
      <c r="O837" s="3" t="str">
        <f aca="false">IFERROR(__xludf.dummyfunction("if($T837&lt;&gt;"""",REGEXEXTRACT($T837, O$1&amp;""[\w &amp;]*, (\d+\.\d+)""),"""")
"),"")</f>
        <v/>
      </c>
      <c r="P837" s="2"/>
      <c r="Q837" s="2"/>
      <c r="R837" s="2"/>
      <c r="S837" s="2"/>
      <c r="T837" s="5"/>
      <c r="U837" s="5"/>
    </row>
    <row r="838" customFormat="false" ht="15.75" hidden="false" customHeight="false" outlineLevel="0" collapsed="false">
      <c r="A838" s="4"/>
      <c r="B838" s="2"/>
      <c r="C838" s="2"/>
      <c r="D838" s="2"/>
      <c r="E838" s="2"/>
      <c r="F838" s="3" t="str">
        <f aca="false">IFERROR(__xludf.dummyfunction("if($T838&lt;&gt;"""",REGEXEXTRACT(SUBSTITUTE ($T838,F$1&amp;"" CE"",""""), F$1&amp;""[\w &amp;]*, (\d+\.\d+)""),"""")
"),"")</f>
        <v/>
      </c>
      <c r="G838" s="3" t="str">
        <f aca="false">IFERROR(__xludf.dummyfunction("if($T838&lt;&gt;"""",REGEXEXTRACT($T838, G$1&amp;""[\w &amp;]*, (\d+\.\d+)""),"""")
"),"")</f>
        <v/>
      </c>
      <c r="H838" s="3"/>
      <c r="I838" s="3" t="str">
        <f aca="false">IFERROR(__xludf.dummyfunction("if($T838&lt;&gt;"""",REGEXEXTRACT(SUBSTITUTE ($T838,I$1&amp;"" CE"",""""), I$1&amp;""[\w &amp;]*, (\d+\.\d+)""),"""")
"),"")</f>
        <v/>
      </c>
      <c r="J838" s="3" t="str">
        <f aca="false">IFERROR(__xludf.dummyfunction("if($T838&lt;&gt;"""",REGEXEXTRACT($T838, J$1&amp;""[\w &amp;]*, (\d+\.\d+)""),"""")
"),"")</f>
        <v/>
      </c>
      <c r="K838" s="3"/>
      <c r="L838" s="3" t="str">
        <f aca="false">IFERROR(__xludf.dummyfunction("if($T838&lt;&gt;"""",REGEXEXTRACT(SUBSTITUTE ($T838,L$1&amp;"" CE"",""""), L$1&amp;""[\w &amp;]*, (\d+\.\d+)""),"""")
"),"")</f>
        <v/>
      </c>
      <c r="M838" s="3" t="str">
        <f aca="false">IFERROR(__xludf.dummyfunction("if($T838&lt;&gt;"""",REGEXEXTRACT($T838, M$1&amp;""[\w &amp;]*, (\d+\.\d+)""),"""")
"),"")</f>
        <v/>
      </c>
      <c r="N838" s="3" t="str">
        <f aca="false">IFERROR(__xludf.dummyfunction("if($T838&lt;&gt;"""",REGEXEXTRACT(SUBSTITUTE ($T838,N$1&amp;"" CE"",""""), N$1&amp;""[\w &amp;]*, (\d+\.\d+)""),"""")
"),"")</f>
        <v/>
      </c>
      <c r="O838" s="3" t="str">
        <f aca="false">IFERROR(__xludf.dummyfunction("if($T838&lt;&gt;"""",REGEXEXTRACT($T838, O$1&amp;""[\w &amp;]*, (\d+\.\d+)""),"""")
"),"")</f>
        <v/>
      </c>
      <c r="P838" s="2"/>
      <c r="Q838" s="2"/>
      <c r="R838" s="2"/>
      <c r="S838" s="2"/>
      <c r="T838" s="5"/>
      <c r="U838" s="5"/>
    </row>
    <row r="839" customFormat="false" ht="15.75" hidden="false" customHeight="false" outlineLevel="0" collapsed="false">
      <c r="A839" s="4"/>
      <c r="B839" s="2"/>
      <c r="C839" s="2"/>
      <c r="D839" s="2"/>
      <c r="E839" s="2"/>
      <c r="F839" s="3" t="str">
        <f aca="false">IFERROR(__xludf.dummyfunction("if($T839&lt;&gt;"""",REGEXEXTRACT(SUBSTITUTE ($T839,F$1&amp;"" CE"",""""), F$1&amp;""[\w &amp;]*, (\d+\.\d+)""),"""")
"),"")</f>
        <v/>
      </c>
      <c r="G839" s="3" t="str">
        <f aca="false">IFERROR(__xludf.dummyfunction("if($T839&lt;&gt;"""",REGEXEXTRACT($T839, G$1&amp;""[\w &amp;]*, (\d+\.\d+)""),"""")
"),"")</f>
        <v/>
      </c>
      <c r="H839" s="3"/>
      <c r="I839" s="3" t="str">
        <f aca="false">IFERROR(__xludf.dummyfunction("if($T839&lt;&gt;"""",REGEXEXTRACT(SUBSTITUTE ($T839,I$1&amp;"" CE"",""""), I$1&amp;""[\w &amp;]*, (\d+\.\d+)""),"""")
"),"")</f>
        <v/>
      </c>
      <c r="J839" s="3" t="str">
        <f aca="false">IFERROR(__xludf.dummyfunction("if($T839&lt;&gt;"""",REGEXEXTRACT($T839, J$1&amp;""[\w &amp;]*, (\d+\.\d+)""),"""")
"),"")</f>
        <v/>
      </c>
      <c r="K839" s="3"/>
      <c r="L839" s="3" t="str">
        <f aca="false">IFERROR(__xludf.dummyfunction("if($T839&lt;&gt;"""",REGEXEXTRACT(SUBSTITUTE ($T839,L$1&amp;"" CE"",""""), L$1&amp;""[\w &amp;]*, (\d+\.\d+)""),"""")
"),"")</f>
        <v/>
      </c>
      <c r="M839" s="3" t="str">
        <f aca="false">IFERROR(__xludf.dummyfunction("if($T839&lt;&gt;"""",REGEXEXTRACT($T839, M$1&amp;""[\w &amp;]*, (\d+\.\d+)""),"""")
"),"")</f>
        <v/>
      </c>
      <c r="N839" s="3" t="str">
        <f aca="false">IFERROR(__xludf.dummyfunction("if($T839&lt;&gt;"""",REGEXEXTRACT(SUBSTITUTE ($T839,N$1&amp;"" CE"",""""), N$1&amp;""[\w &amp;]*, (\d+\.\d+)""),"""")
"),"")</f>
        <v/>
      </c>
      <c r="O839" s="3" t="str">
        <f aca="false">IFERROR(__xludf.dummyfunction("if($T839&lt;&gt;"""",REGEXEXTRACT($T839, O$1&amp;""[\w &amp;]*, (\d+\.\d+)""),"""")
"),"")</f>
        <v/>
      </c>
      <c r="P839" s="2"/>
      <c r="Q839" s="2"/>
      <c r="R839" s="2"/>
      <c r="S839" s="2"/>
      <c r="T839" s="5"/>
      <c r="U839" s="5"/>
    </row>
    <row r="840" customFormat="false" ht="15.75" hidden="false" customHeight="false" outlineLevel="0" collapsed="false">
      <c r="A840" s="4"/>
      <c r="B840" s="2"/>
      <c r="C840" s="2"/>
      <c r="D840" s="2"/>
      <c r="E840" s="2"/>
      <c r="F840" s="3" t="str">
        <f aca="false">IFERROR(__xludf.dummyfunction("if($T840&lt;&gt;"""",REGEXEXTRACT(SUBSTITUTE ($T840,F$1&amp;"" CE"",""""), F$1&amp;""[\w &amp;]*, (\d+\.\d+)""),"""")
"),"")</f>
        <v/>
      </c>
      <c r="G840" s="3" t="str">
        <f aca="false">IFERROR(__xludf.dummyfunction("if($T840&lt;&gt;"""",REGEXEXTRACT($T840, G$1&amp;""[\w &amp;]*, (\d+\.\d+)""),"""")
"),"")</f>
        <v/>
      </c>
      <c r="H840" s="3"/>
      <c r="I840" s="3" t="str">
        <f aca="false">IFERROR(__xludf.dummyfunction("if($T840&lt;&gt;"""",REGEXEXTRACT(SUBSTITUTE ($T840,I$1&amp;"" CE"",""""), I$1&amp;""[\w &amp;]*, (\d+\.\d+)""),"""")
"),"")</f>
        <v/>
      </c>
      <c r="J840" s="3" t="str">
        <f aca="false">IFERROR(__xludf.dummyfunction("if($T840&lt;&gt;"""",REGEXEXTRACT($T840, J$1&amp;""[\w &amp;]*, (\d+\.\d+)""),"""")
"),"")</f>
        <v/>
      </c>
      <c r="K840" s="3"/>
      <c r="L840" s="3" t="str">
        <f aca="false">IFERROR(__xludf.dummyfunction("if($T840&lt;&gt;"""",REGEXEXTRACT(SUBSTITUTE ($T840,L$1&amp;"" CE"",""""), L$1&amp;""[\w &amp;]*, (\d+\.\d+)""),"""")
"),"")</f>
        <v/>
      </c>
      <c r="M840" s="3" t="str">
        <f aca="false">IFERROR(__xludf.dummyfunction("if($T840&lt;&gt;"""",REGEXEXTRACT($T840, M$1&amp;""[\w &amp;]*, (\d+\.\d+)""),"""")
"),"")</f>
        <v/>
      </c>
      <c r="N840" s="3" t="str">
        <f aca="false">IFERROR(__xludf.dummyfunction("if($T840&lt;&gt;"""",REGEXEXTRACT(SUBSTITUTE ($T840,N$1&amp;"" CE"",""""), N$1&amp;""[\w &amp;]*, (\d+\.\d+)""),"""")
"),"")</f>
        <v/>
      </c>
      <c r="O840" s="3" t="str">
        <f aca="false">IFERROR(__xludf.dummyfunction("if($T840&lt;&gt;"""",REGEXEXTRACT($T840, O$1&amp;""[\w &amp;]*, (\d+\.\d+)""),"""")
"),"")</f>
        <v/>
      </c>
      <c r="P840" s="2"/>
      <c r="Q840" s="2"/>
      <c r="R840" s="2"/>
      <c r="S840" s="2"/>
      <c r="T840" s="5"/>
      <c r="U840" s="5"/>
    </row>
    <row r="841" customFormat="false" ht="15.75" hidden="false" customHeight="false" outlineLevel="0" collapsed="false">
      <c r="A841" s="4"/>
      <c r="B841" s="2"/>
      <c r="C841" s="2"/>
      <c r="D841" s="2"/>
      <c r="E841" s="2"/>
      <c r="F841" s="3" t="str">
        <f aca="false">IFERROR(__xludf.dummyfunction("if($T841&lt;&gt;"""",REGEXEXTRACT(SUBSTITUTE ($T841,F$1&amp;"" CE"",""""), F$1&amp;""[\w &amp;]*, (\d+\.\d+)""),"""")
"),"")</f>
        <v/>
      </c>
      <c r="G841" s="3" t="str">
        <f aca="false">IFERROR(__xludf.dummyfunction("if($T841&lt;&gt;"""",REGEXEXTRACT($T841, G$1&amp;""[\w &amp;]*, (\d+\.\d+)""),"""")
"),"")</f>
        <v/>
      </c>
      <c r="H841" s="3"/>
      <c r="I841" s="3" t="str">
        <f aca="false">IFERROR(__xludf.dummyfunction("if($T841&lt;&gt;"""",REGEXEXTRACT(SUBSTITUTE ($T841,I$1&amp;"" CE"",""""), I$1&amp;""[\w &amp;]*, (\d+\.\d+)""),"""")
"),"")</f>
        <v/>
      </c>
      <c r="J841" s="3" t="str">
        <f aca="false">IFERROR(__xludf.dummyfunction("if($T841&lt;&gt;"""",REGEXEXTRACT($T841, J$1&amp;""[\w &amp;]*, (\d+\.\d+)""),"""")
"),"")</f>
        <v/>
      </c>
      <c r="K841" s="3"/>
      <c r="L841" s="3" t="str">
        <f aca="false">IFERROR(__xludf.dummyfunction("if($T841&lt;&gt;"""",REGEXEXTRACT(SUBSTITUTE ($T841,L$1&amp;"" CE"",""""), L$1&amp;""[\w &amp;]*, (\d+\.\d+)""),"""")
"),"")</f>
        <v/>
      </c>
      <c r="M841" s="3" t="str">
        <f aca="false">IFERROR(__xludf.dummyfunction("if($T841&lt;&gt;"""",REGEXEXTRACT($T841, M$1&amp;""[\w &amp;]*, (\d+\.\d+)""),"""")
"),"")</f>
        <v/>
      </c>
      <c r="N841" s="3" t="str">
        <f aca="false">IFERROR(__xludf.dummyfunction("if($T841&lt;&gt;"""",REGEXEXTRACT(SUBSTITUTE ($T841,N$1&amp;"" CE"",""""), N$1&amp;""[\w &amp;]*, (\d+\.\d+)""),"""")
"),"")</f>
        <v/>
      </c>
      <c r="O841" s="3" t="str">
        <f aca="false">IFERROR(__xludf.dummyfunction("if($T841&lt;&gt;"""",REGEXEXTRACT($T841, O$1&amp;""[\w &amp;]*, (\d+\.\d+)""),"""")
"),"")</f>
        <v/>
      </c>
      <c r="P841" s="2"/>
      <c r="Q841" s="2"/>
      <c r="R841" s="2"/>
      <c r="S841" s="2"/>
      <c r="T841" s="5"/>
      <c r="U841" s="5"/>
    </row>
    <row r="842" customFormat="false" ht="15.75" hidden="false" customHeight="false" outlineLevel="0" collapsed="false">
      <c r="A842" s="4"/>
      <c r="B842" s="2"/>
      <c r="C842" s="2"/>
      <c r="D842" s="2"/>
      <c r="E842" s="2"/>
      <c r="F842" s="3" t="str">
        <f aca="false">IFERROR(__xludf.dummyfunction("if($T842&lt;&gt;"""",REGEXEXTRACT(SUBSTITUTE ($T842,F$1&amp;"" CE"",""""), F$1&amp;""[\w &amp;]*, (\d+\.\d+)""),"""")
"),"")</f>
        <v/>
      </c>
      <c r="G842" s="3" t="str">
        <f aca="false">IFERROR(__xludf.dummyfunction("if($T842&lt;&gt;"""",REGEXEXTRACT($T842, G$1&amp;""[\w &amp;]*, (\d+\.\d+)""),"""")
"),"")</f>
        <v/>
      </c>
      <c r="H842" s="3"/>
      <c r="I842" s="3" t="str">
        <f aca="false">IFERROR(__xludf.dummyfunction("if($T842&lt;&gt;"""",REGEXEXTRACT(SUBSTITUTE ($T842,I$1&amp;"" CE"",""""), I$1&amp;""[\w &amp;]*, (\d+\.\d+)""),"""")
"),"")</f>
        <v/>
      </c>
      <c r="J842" s="3" t="str">
        <f aca="false">IFERROR(__xludf.dummyfunction("if($T842&lt;&gt;"""",REGEXEXTRACT($T842, J$1&amp;""[\w &amp;]*, (\d+\.\d+)""),"""")
"),"")</f>
        <v/>
      </c>
      <c r="K842" s="3"/>
      <c r="L842" s="3" t="str">
        <f aca="false">IFERROR(__xludf.dummyfunction("if($T842&lt;&gt;"""",REGEXEXTRACT(SUBSTITUTE ($T842,L$1&amp;"" CE"",""""), L$1&amp;""[\w &amp;]*, (\d+\.\d+)""),"""")
"),"")</f>
        <v/>
      </c>
      <c r="M842" s="3" t="str">
        <f aca="false">IFERROR(__xludf.dummyfunction("if($T842&lt;&gt;"""",REGEXEXTRACT($T842, M$1&amp;""[\w &amp;]*, (\d+\.\d+)""),"""")
"),"")</f>
        <v/>
      </c>
      <c r="N842" s="3" t="str">
        <f aca="false">IFERROR(__xludf.dummyfunction("if($T842&lt;&gt;"""",REGEXEXTRACT(SUBSTITUTE ($T842,N$1&amp;"" CE"",""""), N$1&amp;""[\w &amp;]*, (\d+\.\d+)""),"""")
"),"")</f>
        <v/>
      </c>
      <c r="O842" s="3" t="str">
        <f aca="false">IFERROR(__xludf.dummyfunction("if($T842&lt;&gt;"""",REGEXEXTRACT($T842, O$1&amp;""[\w &amp;]*, (\d+\.\d+)""),"""")
"),"")</f>
        <v/>
      </c>
      <c r="P842" s="2"/>
      <c r="Q842" s="2"/>
      <c r="R842" s="2"/>
      <c r="S842" s="2"/>
      <c r="T842" s="5"/>
      <c r="U842" s="5"/>
    </row>
    <row r="843" customFormat="false" ht="15.75" hidden="false" customHeight="false" outlineLevel="0" collapsed="false">
      <c r="A843" s="4"/>
      <c r="B843" s="2"/>
      <c r="C843" s="2"/>
      <c r="D843" s="2"/>
      <c r="E843" s="2"/>
      <c r="F843" s="3" t="str">
        <f aca="false">IFERROR(__xludf.dummyfunction("if($T843&lt;&gt;"""",REGEXEXTRACT(SUBSTITUTE ($T843,F$1&amp;"" CE"",""""), F$1&amp;""[\w &amp;]*, (\d+\.\d+)""),"""")
"),"")</f>
        <v/>
      </c>
      <c r="G843" s="3" t="str">
        <f aca="false">IFERROR(__xludf.dummyfunction("if($T843&lt;&gt;"""",REGEXEXTRACT($T843, G$1&amp;""[\w &amp;]*, (\d+\.\d+)""),"""")
"),"")</f>
        <v/>
      </c>
      <c r="H843" s="3"/>
      <c r="I843" s="3" t="str">
        <f aca="false">IFERROR(__xludf.dummyfunction("if($T843&lt;&gt;"""",REGEXEXTRACT(SUBSTITUTE ($T843,I$1&amp;"" CE"",""""), I$1&amp;""[\w &amp;]*, (\d+\.\d+)""),"""")
"),"")</f>
        <v/>
      </c>
      <c r="J843" s="3" t="str">
        <f aca="false">IFERROR(__xludf.dummyfunction("if($T843&lt;&gt;"""",REGEXEXTRACT($T843, J$1&amp;""[\w &amp;]*, (\d+\.\d+)""),"""")
"),"")</f>
        <v/>
      </c>
      <c r="K843" s="3"/>
      <c r="L843" s="3" t="str">
        <f aca="false">IFERROR(__xludf.dummyfunction("if($T843&lt;&gt;"""",REGEXEXTRACT(SUBSTITUTE ($T843,L$1&amp;"" CE"",""""), L$1&amp;""[\w &amp;]*, (\d+\.\d+)""),"""")
"),"")</f>
        <v/>
      </c>
      <c r="M843" s="3" t="str">
        <f aca="false">IFERROR(__xludf.dummyfunction("if($T843&lt;&gt;"""",REGEXEXTRACT($T843, M$1&amp;""[\w &amp;]*, (\d+\.\d+)""),"""")
"),"")</f>
        <v/>
      </c>
      <c r="N843" s="3" t="str">
        <f aca="false">IFERROR(__xludf.dummyfunction("if($T843&lt;&gt;"""",REGEXEXTRACT(SUBSTITUTE ($T843,N$1&amp;"" CE"",""""), N$1&amp;""[\w &amp;]*, (\d+\.\d+)""),"""")
"),"")</f>
        <v/>
      </c>
      <c r="O843" s="3" t="str">
        <f aca="false">IFERROR(__xludf.dummyfunction("if($T843&lt;&gt;"""",REGEXEXTRACT($T843, O$1&amp;""[\w &amp;]*, (\d+\.\d+)""),"""")
"),"")</f>
        <v/>
      </c>
      <c r="P843" s="2"/>
      <c r="Q843" s="2"/>
      <c r="R843" s="2"/>
      <c r="S843" s="2"/>
      <c r="T843" s="5"/>
      <c r="U843" s="5"/>
    </row>
    <row r="844" customFormat="false" ht="15.75" hidden="false" customHeight="false" outlineLevel="0" collapsed="false">
      <c r="A844" s="4"/>
      <c r="B844" s="2"/>
      <c r="C844" s="2"/>
      <c r="D844" s="2"/>
      <c r="E844" s="2"/>
      <c r="F844" s="3" t="str">
        <f aca="false">IFERROR(__xludf.dummyfunction("if($T844&lt;&gt;"""",REGEXEXTRACT(SUBSTITUTE ($T844,F$1&amp;"" CE"",""""), F$1&amp;""[\w &amp;]*, (\d+\.\d+)""),"""")
"),"")</f>
        <v/>
      </c>
      <c r="G844" s="3" t="str">
        <f aca="false">IFERROR(__xludf.dummyfunction("if($T844&lt;&gt;"""",REGEXEXTRACT($T844, G$1&amp;""[\w &amp;]*, (\d+\.\d+)""),"""")
"),"")</f>
        <v/>
      </c>
      <c r="H844" s="3"/>
      <c r="I844" s="3" t="str">
        <f aca="false">IFERROR(__xludf.dummyfunction("if($T844&lt;&gt;"""",REGEXEXTRACT(SUBSTITUTE ($T844,I$1&amp;"" CE"",""""), I$1&amp;""[\w &amp;]*, (\d+\.\d+)""),"""")
"),"")</f>
        <v/>
      </c>
      <c r="J844" s="3" t="str">
        <f aca="false">IFERROR(__xludf.dummyfunction("if($T844&lt;&gt;"""",REGEXEXTRACT($T844, J$1&amp;""[\w &amp;]*, (\d+\.\d+)""),"""")
"),"")</f>
        <v/>
      </c>
      <c r="K844" s="3"/>
      <c r="L844" s="3" t="str">
        <f aca="false">IFERROR(__xludf.dummyfunction("if($T844&lt;&gt;"""",REGEXEXTRACT(SUBSTITUTE ($T844,L$1&amp;"" CE"",""""), L$1&amp;""[\w &amp;]*, (\d+\.\d+)""),"""")
"),"")</f>
        <v/>
      </c>
      <c r="M844" s="3" t="str">
        <f aca="false">IFERROR(__xludf.dummyfunction("if($T844&lt;&gt;"""",REGEXEXTRACT($T844, M$1&amp;""[\w &amp;]*, (\d+\.\d+)""),"""")
"),"")</f>
        <v/>
      </c>
      <c r="N844" s="3" t="str">
        <f aca="false">IFERROR(__xludf.dummyfunction("if($T844&lt;&gt;"""",REGEXEXTRACT(SUBSTITUTE ($T844,N$1&amp;"" CE"",""""), N$1&amp;""[\w &amp;]*, (\d+\.\d+)""),"""")
"),"")</f>
        <v/>
      </c>
      <c r="O844" s="3" t="str">
        <f aca="false">IFERROR(__xludf.dummyfunction("if($T844&lt;&gt;"""",REGEXEXTRACT($T844, O$1&amp;""[\w &amp;]*, (\d+\.\d+)""),"""")
"),"")</f>
        <v/>
      </c>
      <c r="P844" s="2"/>
      <c r="Q844" s="2"/>
      <c r="R844" s="2"/>
      <c r="S844" s="2"/>
      <c r="T844" s="5"/>
      <c r="U844" s="5"/>
    </row>
    <row r="845" customFormat="false" ht="15.75" hidden="false" customHeight="false" outlineLevel="0" collapsed="false">
      <c r="A845" s="4"/>
      <c r="B845" s="2"/>
      <c r="C845" s="2"/>
      <c r="D845" s="2"/>
      <c r="E845" s="2"/>
      <c r="F845" s="3" t="str">
        <f aca="false">IFERROR(__xludf.dummyfunction("if($T845&lt;&gt;"""",REGEXEXTRACT(SUBSTITUTE ($T845,F$1&amp;"" CE"",""""), F$1&amp;""[\w &amp;]*, (\d+\.\d+)""),"""")
"),"")</f>
        <v/>
      </c>
      <c r="G845" s="3" t="str">
        <f aca="false">IFERROR(__xludf.dummyfunction("if($T845&lt;&gt;"""",REGEXEXTRACT($T845, G$1&amp;""[\w &amp;]*, (\d+\.\d+)""),"""")
"),"")</f>
        <v/>
      </c>
      <c r="H845" s="3"/>
      <c r="I845" s="3" t="str">
        <f aca="false">IFERROR(__xludf.dummyfunction("if($T845&lt;&gt;"""",REGEXEXTRACT(SUBSTITUTE ($T845,I$1&amp;"" CE"",""""), I$1&amp;""[\w &amp;]*, (\d+\.\d+)""),"""")
"),"")</f>
        <v/>
      </c>
      <c r="J845" s="3" t="str">
        <f aca="false">IFERROR(__xludf.dummyfunction("if($T845&lt;&gt;"""",REGEXEXTRACT($T845, J$1&amp;""[\w &amp;]*, (\d+\.\d+)""),"""")
"),"")</f>
        <v/>
      </c>
      <c r="K845" s="3"/>
      <c r="L845" s="3" t="str">
        <f aca="false">IFERROR(__xludf.dummyfunction("if($T845&lt;&gt;"""",REGEXEXTRACT(SUBSTITUTE ($T845,L$1&amp;"" CE"",""""), L$1&amp;""[\w &amp;]*, (\d+\.\d+)""),"""")
"),"")</f>
        <v/>
      </c>
      <c r="M845" s="3" t="str">
        <f aca="false">IFERROR(__xludf.dummyfunction("if($T845&lt;&gt;"""",REGEXEXTRACT($T845, M$1&amp;""[\w &amp;]*, (\d+\.\d+)""),"""")
"),"")</f>
        <v/>
      </c>
      <c r="N845" s="3" t="str">
        <f aca="false">IFERROR(__xludf.dummyfunction("if($T845&lt;&gt;"""",REGEXEXTRACT(SUBSTITUTE ($T845,N$1&amp;"" CE"",""""), N$1&amp;""[\w &amp;]*, (\d+\.\d+)""),"""")
"),"")</f>
        <v/>
      </c>
      <c r="O845" s="3" t="str">
        <f aca="false">IFERROR(__xludf.dummyfunction("if($T845&lt;&gt;"""",REGEXEXTRACT($T845, O$1&amp;""[\w &amp;]*, (\d+\.\d+)""),"""")
"),"")</f>
        <v/>
      </c>
      <c r="P845" s="2"/>
      <c r="Q845" s="2"/>
      <c r="R845" s="2"/>
      <c r="S845" s="2"/>
      <c r="T845" s="5"/>
      <c r="U845" s="5"/>
    </row>
    <row r="846" customFormat="false" ht="15.75" hidden="false" customHeight="false" outlineLevel="0" collapsed="false">
      <c r="A846" s="4"/>
      <c r="B846" s="2"/>
      <c r="C846" s="2"/>
      <c r="D846" s="2"/>
      <c r="E846" s="2"/>
      <c r="F846" s="3" t="str">
        <f aca="false">IFERROR(__xludf.dummyfunction("if($T846&lt;&gt;"""",REGEXEXTRACT(SUBSTITUTE ($T846,F$1&amp;"" CE"",""""), F$1&amp;""[\w &amp;]*, (\d+\.\d+)""),"""")
"),"")</f>
        <v/>
      </c>
      <c r="G846" s="3" t="str">
        <f aca="false">IFERROR(__xludf.dummyfunction("if($T846&lt;&gt;"""",REGEXEXTRACT($T846, G$1&amp;""[\w &amp;]*, (\d+\.\d+)""),"""")
"),"")</f>
        <v/>
      </c>
      <c r="H846" s="3"/>
      <c r="I846" s="3" t="str">
        <f aca="false">IFERROR(__xludf.dummyfunction("if($T846&lt;&gt;"""",REGEXEXTRACT(SUBSTITUTE ($T846,I$1&amp;"" CE"",""""), I$1&amp;""[\w &amp;]*, (\d+\.\d+)""),"""")
"),"")</f>
        <v/>
      </c>
      <c r="J846" s="3" t="str">
        <f aca="false">IFERROR(__xludf.dummyfunction("if($T846&lt;&gt;"""",REGEXEXTRACT($T846, J$1&amp;""[\w &amp;]*, (\d+\.\d+)""),"""")
"),"")</f>
        <v/>
      </c>
      <c r="K846" s="3"/>
      <c r="L846" s="3" t="str">
        <f aca="false">IFERROR(__xludf.dummyfunction("if($T846&lt;&gt;"""",REGEXEXTRACT(SUBSTITUTE ($T846,L$1&amp;"" CE"",""""), L$1&amp;""[\w &amp;]*, (\d+\.\d+)""),"""")
"),"")</f>
        <v/>
      </c>
      <c r="M846" s="3" t="str">
        <f aca="false">IFERROR(__xludf.dummyfunction("if($T846&lt;&gt;"""",REGEXEXTRACT($T846, M$1&amp;""[\w &amp;]*, (\d+\.\d+)""),"""")
"),"")</f>
        <v/>
      </c>
      <c r="N846" s="3" t="str">
        <f aca="false">IFERROR(__xludf.dummyfunction("if($T846&lt;&gt;"""",REGEXEXTRACT(SUBSTITUTE ($T846,N$1&amp;"" CE"",""""), N$1&amp;""[\w &amp;]*, (\d+\.\d+)""),"""")
"),"")</f>
        <v/>
      </c>
      <c r="O846" s="3" t="str">
        <f aca="false">IFERROR(__xludf.dummyfunction("if($T846&lt;&gt;"""",REGEXEXTRACT($T846, O$1&amp;""[\w &amp;]*, (\d+\.\d+)""),"""")
"),"")</f>
        <v/>
      </c>
      <c r="P846" s="2"/>
      <c r="Q846" s="2"/>
      <c r="R846" s="2"/>
      <c r="S846" s="2"/>
      <c r="T846" s="5"/>
      <c r="U846" s="5"/>
    </row>
    <row r="847" customFormat="false" ht="15.75" hidden="false" customHeight="false" outlineLevel="0" collapsed="false">
      <c r="A847" s="4"/>
      <c r="B847" s="2"/>
      <c r="C847" s="2"/>
      <c r="D847" s="2"/>
      <c r="E847" s="2"/>
      <c r="F847" s="3" t="str">
        <f aca="false">IFERROR(__xludf.dummyfunction("if($T847&lt;&gt;"""",REGEXEXTRACT(SUBSTITUTE ($T847,F$1&amp;"" CE"",""""), F$1&amp;""[\w &amp;]*, (\d+\.\d+)""),"""")
"),"")</f>
        <v/>
      </c>
      <c r="G847" s="3" t="str">
        <f aca="false">IFERROR(__xludf.dummyfunction("if($T847&lt;&gt;"""",REGEXEXTRACT($T847, G$1&amp;""[\w &amp;]*, (\d+\.\d+)""),"""")
"),"")</f>
        <v/>
      </c>
      <c r="H847" s="3"/>
      <c r="I847" s="3" t="str">
        <f aca="false">IFERROR(__xludf.dummyfunction("if($T847&lt;&gt;"""",REGEXEXTRACT(SUBSTITUTE ($T847,I$1&amp;"" CE"",""""), I$1&amp;""[\w &amp;]*, (\d+\.\d+)""),"""")
"),"")</f>
        <v/>
      </c>
      <c r="J847" s="3" t="str">
        <f aca="false">IFERROR(__xludf.dummyfunction("if($T847&lt;&gt;"""",REGEXEXTRACT($T847, J$1&amp;""[\w &amp;]*, (\d+\.\d+)""),"""")
"),"")</f>
        <v/>
      </c>
      <c r="K847" s="3"/>
      <c r="L847" s="3" t="str">
        <f aca="false">IFERROR(__xludf.dummyfunction("if($T847&lt;&gt;"""",REGEXEXTRACT(SUBSTITUTE ($T847,L$1&amp;"" CE"",""""), L$1&amp;""[\w &amp;]*, (\d+\.\d+)""),"""")
"),"")</f>
        <v/>
      </c>
      <c r="M847" s="3" t="str">
        <f aca="false">IFERROR(__xludf.dummyfunction("if($T847&lt;&gt;"""",REGEXEXTRACT($T847, M$1&amp;""[\w &amp;]*, (\d+\.\d+)""),"""")
"),"")</f>
        <v/>
      </c>
      <c r="N847" s="3" t="str">
        <f aca="false">IFERROR(__xludf.dummyfunction("if($T847&lt;&gt;"""",REGEXEXTRACT(SUBSTITUTE ($T847,N$1&amp;"" CE"",""""), N$1&amp;""[\w &amp;]*, (\d+\.\d+)""),"""")
"),"")</f>
        <v/>
      </c>
      <c r="O847" s="3" t="str">
        <f aca="false">IFERROR(__xludf.dummyfunction("if($T847&lt;&gt;"""",REGEXEXTRACT($T847, O$1&amp;""[\w &amp;]*, (\d+\.\d+)""),"""")
"),"")</f>
        <v/>
      </c>
      <c r="P847" s="2"/>
      <c r="Q847" s="2"/>
      <c r="R847" s="2"/>
      <c r="S847" s="2"/>
      <c r="T847" s="5"/>
      <c r="U847" s="5"/>
    </row>
    <row r="848" customFormat="false" ht="15.75" hidden="false" customHeight="false" outlineLevel="0" collapsed="false">
      <c r="A848" s="4"/>
      <c r="B848" s="2"/>
      <c r="C848" s="2"/>
      <c r="D848" s="2"/>
      <c r="E848" s="2"/>
      <c r="F848" s="3" t="str">
        <f aca="false">IFERROR(__xludf.dummyfunction("if($T848&lt;&gt;"""",REGEXEXTRACT(SUBSTITUTE ($T848,F$1&amp;"" CE"",""""), F$1&amp;""[\w &amp;]*, (\d+\.\d+)""),"""")
"),"")</f>
        <v/>
      </c>
      <c r="G848" s="3" t="str">
        <f aca="false">IFERROR(__xludf.dummyfunction("if($T848&lt;&gt;"""",REGEXEXTRACT($T848, G$1&amp;""[\w &amp;]*, (\d+\.\d+)""),"""")
"),"")</f>
        <v/>
      </c>
      <c r="H848" s="3"/>
      <c r="I848" s="3" t="str">
        <f aca="false">IFERROR(__xludf.dummyfunction("if($T848&lt;&gt;"""",REGEXEXTRACT(SUBSTITUTE ($T848,I$1&amp;"" CE"",""""), I$1&amp;""[\w &amp;]*, (\d+\.\d+)""),"""")
"),"")</f>
        <v/>
      </c>
      <c r="J848" s="3" t="str">
        <f aca="false">IFERROR(__xludf.dummyfunction("if($T848&lt;&gt;"""",REGEXEXTRACT($T848, J$1&amp;""[\w &amp;]*, (\d+\.\d+)""),"""")
"),"")</f>
        <v/>
      </c>
      <c r="K848" s="3"/>
      <c r="L848" s="3" t="str">
        <f aca="false">IFERROR(__xludf.dummyfunction("if($T848&lt;&gt;"""",REGEXEXTRACT(SUBSTITUTE ($T848,L$1&amp;"" CE"",""""), L$1&amp;""[\w &amp;]*, (\d+\.\d+)""),"""")
"),"")</f>
        <v/>
      </c>
      <c r="M848" s="3" t="str">
        <f aca="false">IFERROR(__xludf.dummyfunction("if($T848&lt;&gt;"""",REGEXEXTRACT($T848, M$1&amp;""[\w &amp;]*, (\d+\.\d+)""),"""")
"),"")</f>
        <v/>
      </c>
      <c r="N848" s="3" t="str">
        <f aca="false">IFERROR(__xludf.dummyfunction("if($T848&lt;&gt;"""",REGEXEXTRACT(SUBSTITUTE ($T848,N$1&amp;"" CE"",""""), N$1&amp;""[\w &amp;]*, (\d+\.\d+)""),"""")
"),"")</f>
        <v/>
      </c>
      <c r="O848" s="3" t="str">
        <f aca="false">IFERROR(__xludf.dummyfunction("if($T848&lt;&gt;"""",REGEXEXTRACT($T848, O$1&amp;""[\w &amp;]*, (\d+\.\d+)""),"""")
"),"")</f>
        <v/>
      </c>
      <c r="P848" s="2"/>
      <c r="Q848" s="2"/>
      <c r="R848" s="2"/>
      <c r="S848" s="2"/>
      <c r="T848" s="5"/>
      <c r="U848" s="5"/>
    </row>
    <row r="849" customFormat="false" ht="15.75" hidden="false" customHeight="false" outlineLevel="0" collapsed="false">
      <c r="A849" s="4"/>
      <c r="B849" s="2"/>
      <c r="C849" s="2"/>
      <c r="D849" s="2"/>
      <c r="E849" s="2"/>
      <c r="F849" s="3" t="str">
        <f aca="false">IFERROR(__xludf.dummyfunction("if($T849&lt;&gt;"""",REGEXEXTRACT(SUBSTITUTE ($T849,F$1&amp;"" CE"",""""), F$1&amp;""[\w &amp;]*, (\d+\.\d+)""),"""")
"),"")</f>
        <v/>
      </c>
      <c r="G849" s="3" t="str">
        <f aca="false">IFERROR(__xludf.dummyfunction("if($T849&lt;&gt;"""",REGEXEXTRACT($T849, G$1&amp;""[\w &amp;]*, (\d+\.\d+)""),"""")
"),"")</f>
        <v/>
      </c>
      <c r="H849" s="3"/>
      <c r="I849" s="3" t="str">
        <f aca="false">IFERROR(__xludf.dummyfunction("if($T849&lt;&gt;"""",REGEXEXTRACT(SUBSTITUTE ($T849,I$1&amp;"" CE"",""""), I$1&amp;""[\w &amp;]*, (\d+\.\d+)""),"""")
"),"")</f>
        <v/>
      </c>
      <c r="J849" s="3" t="str">
        <f aca="false">IFERROR(__xludf.dummyfunction("if($T849&lt;&gt;"""",REGEXEXTRACT($T849, J$1&amp;""[\w &amp;]*, (\d+\.\d+)""),"""")
"),"")</f>
        <v/>
      </c>
      <c r="K849" s="3"/>
      <c r="L849" s="3" t="str">
        <f aca="false">IFERROR(__xludf.dummyfunction("if($T849&lt;&gt;"""",REGEXEXTRACT(SUBSTITUTE ($T849,L$1&amp;"" CE"",""""), L$1&amp;""[\w &amp;]*, (\d+\.\d+)""),"""")
"),"")</f>
        <v/>
      </c>
      <c r="M849" s="3" t="str">
        <f aca="false">IFERROR(__xludf.dummyfunction("if($T849&lt;&gt;"""",REGEXEXTRACT($T849, M$1&amp;""[\w &amp;]*, (\d+\.\d+)""),"""")
"),"")</f>
        <v/>
      </c>
      <c r="N849" s="3" t="str">
        <f aca="false">IFERROR(__xludf.dummyfunction("if($T849&lt;&gt;"""",REGEXEXTRACT(SUBSTITUTE ($T849,N$1&amp;"" CE"",""""), N$1&amp;""[\w &amp;]*, (\d+\.\d+)""),"""")
"),"")</f>
        <v/>
      </c>
      <c r="O849" s="3" t="str">
        <f aca="false">IFERROR(__xludf.dummyfunction("if($T849&lt;&gt;"""",REGEXEXTRACT($T849, O$1&amp;""[\w &amp;]*, (\d+\.\d+)""),"""")
"),"")</f>
        <v/>
      </c>
      <c r="P849" s="2"/>
      <c r="Q849" s="2"/>
      <c r="R849" s="2"/>
      <c r="S849" s="2"/>
      <c r="T849" s="5"/>
      <c r="U849" s="5"/>
    </row>
    <row r="850" customFormat="false" ht="15.75" hidden="false" customHeight="false" outlineLevel="0" collapsed="false">
      <c r="A850" s="4"/>
      <c r="B850" s="2"/>
      <c r="C850" s="2"/>
      <c r="D850" s="2"/>
      <c r="E850" s="2"/>
      <c r="F850" s="3" t="str">
        <f aca="false">IFERROR(__xludf.dummyfunction("if($T850&lt;&gt;"""",REGEXEXTRACT(SUBSTITUTE ($T850,F$1&amp;"" CE"",""""), F$1&amp;""[\w &amp;]*, (\d+\.\d+)""),"""")
"),"")</f>
        <v/>
      </c>
      <c r="G850" s="3" t="str">
        <f aca="false">IFERROR(__xludf.dummyfunction("if($T850&lt;&gt;"""",REGEXEXTRACT($T850, G$1&amp;""[\w &amp;]*, (\d+\.\d+)""),"""")
"),"")</f>
        <v/>
      </c>
      <c r="H850" s="3"/>
      <c r="I850" s="3" t="str">
        <f aca="false">IFERROR(__xludf.dummyfunction("if($T850&lt;&gt;"""",REGEXEXTRACT(SUBSTITUTE ($T850,I$1&amp;"" CE"",""""), I$1&amp;""[\w &amp;]*, (\d+\.\d+)""),"""")
"),"")</f>
        <v/>
      </c>
      <c r="J850" s="3" t="str">
        <f aca="false">IFERROR(__xludf.dummyfunction("if($T850&lt;&gt;"""",REGEXEXTRACT($T850, J$1&amp;""[\w &amp;]*, (\d+\.\d+)""),"""")
"),"")</f>
        <v/>
      </c>
      <c r="K850" s="3"/>
      <c r="L850" s="3" t="str">
        <f aca="false">IFERROR(__xludf.dummyfunction("if($T850&lt;&gt;"""",REGEXEXTRACT(SUBSTITUTE ($T850,L$1&amp;"" CE"",""""), L$1&amp;""[\w &amp;]*, (\d+\.\d+)""),"""")
"),"")</f>
        <v/>
      </c>
      <c r="M850" s="3" t="str">
        <f aca="false">IFERROR(__xludf.dummyfunction("if($T850&lt;&gt;"""",REGEXEXTRACT($T850, M$1&amp;""[\w &amp;]*, (\d+\.\d+)""),"""")
"),"")</f>
        <v/>
      </c>
      <c r="N850" s="3" t="str">
        <f aca="false">IFERROR(__xludf.dummyfunction("if($T850&lt;&gt;"""",REGEXEXTRACT(SUBSTITUTE ($T850,N$1&amp;"" CE"",""""), N$1&amp;""[\w &amp;]*, (\d+\.\d+)""),"""")
"),"")</f>
        <v/>
      </c>
      <c r="O850" s="3" t="str">
        <f aca="false">IFERROR(__xludf.dummyfunction("if($T850&lt;&gt;"""",REGEXEXTRACT($T850, O$1&amp;""[\w &amp;]*, (\d+\.\d+)""),"""")
"),"")</f>
        <v/>
      </c>
      <c r="P850" s="2"/>
      <c r="Q850" s="2"/>
      <c r="R850" s="2"/>
      <c r="S850" s="2"/>
      <c r="T850" s="5"/>
      <c r="U850" s="5"/>
    </row>
    <row r="851" customFormat="false" ht="15.75" hidden="false" customHeight="false" outlineLevel="0" collapsed="false">
      <c r="A851" s="4"/>
      <c r="B851" s="2"/>
      <c r="C851" s="2"/>
      <c r="D851" s="2"/>
      <c r="E851" s="2"/>
      <c r="F851" s="3" t="str">
        <f aca="false">IFERROR(__xludf.dummyfunction("if($T851&lt;&gt;"""",REGEXEXTRACT(SUBSTITUTE ($T851,F$1&amp;"" CE"",""""), F$1&amp;""[\w &amp;]*, (\d+\.\d+)""),"""")
"),"")</f>
        <v/>
      </c>
      <c r="G851" s="3" t="str">
        <f aca="false">IFERROR(__xludf.dummyfunction("if($T851&lt;&gt;"""",REGEXEXTRACT($T851, G$1&amp;""[\w &amp;]*, (\d+\.\d+)""),"""")
"),"")</f>
        <v/>
      </c>
      <c r="H851" s="3"/>
      <c r="I851" s="3" t="str">
        <f aca="false">IFERROR(__xludf.dummyfunction("if($T851&lt;&gt;"""",REGEXEXTRACT(SUBSTITUTE ($T851,I$1&amp;"" CE"",""""), I$1&amp;""[\w &amp;]*, (\d+\.\d+)""),"""")
"),"")</f>
        <v/>
      </c>
      <c r="J851" s="3" t="str">
        <f aca="false">IFERROR(__xludf.dummyfunction("if($T851&lt;&gt;"""",REGEXEXTRACT($T851, J$1&amp;""[\w &amp;]*, (\d+\.\d+)""),"""")
"),"")</f>
        <v/>
      </c>
      <c r="K851" s="3"/>
      <c r="L851" s="3" t="str">
        <f aca="false">IFERROR(__xludf.dummyfunction("if($T851&lt;&gt;"""",REGEXEXTRACT(SUBSTITUTE ($T851,L$1&amp;"" CE"",""""), L$1&amp;""[\w &amp;]*, (\d+\.\d+)""),"""")
"),"")</f>
        <v/>
      </c>
      <c r="M851" s="3" t="str">
        <f aca="false">IFERROR(__xludf.dummyfunction("if($T851&lt;&gt;"""",REGEXEXTRACT($T851, M$1&amp;""[\w &amp;]*, (\d+\.\d+)""),"""")
"),"")</f>
        <v/>
      </c>
      <c r="N851" s="3" t="str">
        <f aca="false">IFERROR(__xludf.dummyfunction("if($T851&lt;&gt;"""",REGEXEXTRACT(SUBSTITUTE ($T851,N$1&amp;"" CE"",""""), N$1&amp;""[\w &amp;]*, (\d+\.\d+)""),"""")
"),"")</f>
        <v/>
      </c>
      <c r="O851" s="3" t="str">
        <f aca="false">IFERROR(__xludf.dummyfunction("if($T851&lt;&gt;"""",REGEXEXTRACT($T851, O$1&amp;""[\w &amp;]*, (\d+\.\d+)""),"""")
"),"")</f>
        <v/>
      </c>
      <c r="P851" s="2"/>
      <c r="Q851" s="2"/>
      <c r="R851" s="2"/>
      <c r="S851" s="2"/>
      <c r="T851" s="5"/>
      <c r="U851" s="5"/>
    </row>
    <row r="852" customFormat="false" ht="15.75" hidden="false" customHeight="false" outlineLevel="0" collapsed="false">
      <c r="A852" s="4"/>
      <c r="B852" s="2"/>
      <c r="C852" s="2"/>
      <c r="D852" s="2"/>
      <c r="E852" s="2"/>
      <c r="F852" s="3" t="str">
        <f aca="false">IFERROR(__xludf.dummyfunction("if($T852&lt;&gt;"""",REGEXEXTRACT(SUBSTITUTE ($T852,F$1&amp;"" CE"",""""), F$1&amp;""[\w &amp;]*, (\d+\.\d+)""),"""")
"),"")</f>
        <v/>
      </c>
      <c r="G852" s="3" t="str">
        <f aca="false">IFERROR(__xludf.dummyfunction("if($T852&lt;&gt;"""",REGEXEXTRACT($T852, G$1&amp;""[\w &amp;]*, (\d+\.\d+)""),"""")
"),"")</f>
        <v/>
      </c>
      <c r="H852" s="3"/>
      <c r="I852" s="3" t="str">
        <f aca="false">IFERROR(__xludf.dummyfunction("if($T852&lt;&gt;"""",REGEXEXTRACT(SUBSTITUTE ($T852,I$1&amp;"" CE"",""""), I$1&amp;""[\w &amp;]*, (\d+\.\d+)""),"""")
"),"")</f>
        <v/>
      </c>
      <c r="J852" s="3" t="str">
        <f aca="false">IFERROR(__xludf.dummyfunction("if($T852&lt;&gt;"""",REGEXEXTRACT($T852, J$1&amp;""[\w &amp;]*, (\d+\.\d+)""),"""")
"),"")</f>
        <v/>
      </c>
      <c r="K852" s="3"/>
      <c r="L852" s="3" t="str">
        <f aca="false">IFERROR(__xludf.dummyfunction("if($T852&lt;&gt;"""",REGEXEXTRACT(SUBSTITUTE ($T852,L$1&amp;"" CE"",""""), L$1&amp;""[\w &amp;]*, (\d+\.\d+)""),"""")
"),"")</f>
        <v/>
      </c>
      <c r="M852" s="3" t="str">
        <f aca="false">IFERROR(__xludf.dummyfunction("if($T852&lt;&gt;"""",REGEXEXTRACT($T852, M$1&amp;""[\w &amp;]*, (\d+\.\d+)""),"""")
"),"")</f>
        <v/>
      </c>
      <c r="N852" s="3" t="str">
        <f aca="false">IFERROR(__xludf.dummyfunction("if($T852&lt;&gt;"""",REGEXEXTRACT(SUBSTITUTE ($T852,N$1&amp;"" CE"",""""), N$1&amp;""[\w &amp;]*, (\d+\.\d+)""),"""")
"),"")</f>
        <v/>
      </c>
      <c r="O852" s="3" t="str">
        <f aca="false">IFERROR(__xludf.dummyfunction("if($T852&lt;&gt;"""",REGEXEXTRACT($T852, O$1&amp;""[\w &amp;]*, (\d+\.\d+)""),"""")
"),"")</f>
        <v/>
      </c>
      <c r="P852" s="2"/>
      <c r="Q852" s="2"/>
      <c r="R852" s="2"/>
      <c r="S852" s="2"/>
      <c r="T852" s="5"/>
      <c r="U852" s="5"/>
    </row>
    <row r="853" customFormat="false" ht="15.75" hidden="false" customHeight="false" outlineLevel="0" collapsed="false">
      <c r="A853" s="4"/>
      <c r="B853" s="2"/>
      <c r="C853" s="2"/>
      <c r="D853" s="2"/>
      <c r="E853" s="2"/>
      <c r="F853" s="3" t="str">
        <f aca="false">IFERROR(__xludf.dummyfunction("if($T853&lt;&gt;"""",REGEXEXTRACT(SUBSTITUTE ($T853,F$1&amp;"" CE"",""""), F$1&amp;""[\w &amp;]*, (\d+\.\d+)""),"""")
"),"")</f>
        <v/>
      </c>
      <c r="G853" s="3" t="str">
        <f aca="false">IFERROR(__xludf.dummyfunction("if($T853&lt;&gt;"""",REGEXEXTRACT($T853, G$1&amp;""[\w &amp;]*, (\d+\.\d+)""),"""")
"),"")</f>
        <v/>
      </c>
      <c r="H853" s="3"/>
      <c r="I853" s="3" t="str">
        <f aca="false">IFERROR(__xludf.dummyfunction("if($T853&lt;&gt;"""",REGEXEXTRACT(SUBSTITUTE ($T853,I$1&amp;"" CE"",""""), I$1&amp;""[\w &amp;]*, (\d+\.\d+)""),"""")
"),"")</f>
        <v/>
      </c>
      <c r="J853" s="3" t="str">
        <f aca="false">IFERROR(__xludf.dummyfunction("if($T853&lt;&gt;"""",REGEXEXTRACT($T853, J$1&amp;""[\w &amp;]*, (\d+\.\d+)""),"""")
"),"")</f>
        <v/>
      </c>
      <c r="K853" s="3"/>
      <c r="L853" s="3" t="str">
        <f aca="false">IFERROR(__xludf.dummyfunction("if($T853&lt;&gt;"""",REGEXEXTRACT(SUBSTITUTE ($T853,L$1&amp;"" CE"",""""), L$1&amp;""[\w &amp;]*, (\d+\.\d+)""),"""")
"),"")</f>
        <v/>
      </c>
      <c r="M853" s="3" t="str">
        <f aca="false">IFERROR(__xludf.dummyfunction("if($T853&lt;&gt;"""",REGEXEXTRACT($T853, M$1&amp;""[\w &amp;]*, (\d+\.\d+)""),"""")
"),"")</f>
        <v/>
      </c>
      <c r="N853" s="3" t="str">
        <f aca="false">IFERROR(__xludf.dummyfunction("if($T853&lt;&gt;"""",REGEXEXTRACT(SUBSTITUTE ($T853,N$1&amp;"" CE"",""""), N$1&amp;""[\w &amp;]*, (\d+\.\d+)""),"""")
"),"")</f>
        <v/>
      </c>
      <c r="O853" s="3" t="str">
        <f aca="false">IFERROR(__xludf.dummyfunction("if($T853&lt;&gt;"""",REGEXEXTRACT($T853, O$1&amp;""[\w &amp;]*, (\d+\.\d+)""),"""")
"),"")</f>
        <v/>
      </c>
      <c r="P853" s="2"/>
      <c r="Q853" s="2"/>
      <c r="R853" s="2"/>
      <c r="S853" s="2"/>
      <c r="T853" s="5"/>
      <c r="U853" s="5"/>
    </row>
    <row r="854" customFormat="false" ht="15.75" hidden="false" customHeight="false" outlineLevel="0" collapsed="false">
      <c r="A854" s="4"/>
      <c r="B854" s="2"/>
      <c r="C854" s="2"/>
      <c r="D854" s="2"/>
      <c r="E854" s="2"/>
      <c r="F854" s="3" t="str">
        <f aca="false">IFERROR(__xludf.dummyfunction("if($T854&lt;&gt;"""",REGEXEXTRACT(SUBSTITUTE ($T854,F$1&amp;"" CE"",""""), F$1&amp;""[\w &amp;]*, (\d+\.\d+)""),"""")
"),"")</f>
        <v/>
      </c>
      <c r="G854" s="3" t="str">
        <f aca="false">IFERROR(__xludf.dummyfunction("if($T854&lt;&gt;"""",REGEXEXTRACT($T854, G$1&amp;""[\w &amp;]*, (\d+\.\d+)""),"""")
"),"")</f>
        <v/>
      </c>
      <c r="H854" s="3"/>
      <c r="I854" s="3" t="str">
        <f aca="false">IFERROR(__xludf.dummyfunction("if($T854&lt;&gt;"""",REGEXEXTRACT(SUBSTITUTE ($T854,I$1&amp;"" CE"",""""), I$1&amp;""[\w &amp;]*, (\d+\.\d+)""),"""")
"),"")</f>
        <v/>
      </c>
      <c r="J854" s="3" t="str">
        <f aca="false">IFERROR(__xludf.dummyfunction("if($T854&lt;&gt;"""",REGEXEXTRACT($T854, J$1&amp;""[\w &amp;]*, (\d+\.\d+)""),"""")
"),"")</f>
        <v/>
      </c>
      <c r="K854" s="3"/>
      <c r="L854" s="3" t="str">
        <f aca="false">IFERROR(__xludf.dummyfunction("if($T854&lt;&gt;"""",REGEXEXTRACT(SUBSTITUTE ($T854,L$1&amp;"" CE"",""""), L$1&amp;""[\w &amp;]*, (\d+\.\d+)""),"""")
"),"")</f>
        <v/>
      </c>
      <c r="M854" s="3" t="str">
        <f aca="false">IFERROR(__xludf.dummyfunction("if($T854&lt;&gt;"""",REGEXEXTRACT($T854, M$1&amp;""[\w &amp;]*, (\d+\.\d+)""),"""")
"),"")</f>
        <v/>
      </c>
      <c r="N854" s="3" t="str">
        <f aca="false">IFERROR(__xludf.dummyfunction("if($T854&lt;&gt;"""",REGEXEXTRACT(SUBSTITUTE ($T854,N$1&amp;"" CE"",""""), N$1&amp;""[\w &amp;]*, (\d+\.\d+)""),"""")
"),"")</f>
        <v/>
      </c>
      <c r="O854" s="3" t="str">
        <f aca="false">IFERROR(__xludf.dummyfunction("if($T854&lt;&gt;"""",REGEXEXTRACT($T854, O$1&amp;""[\w &amp;]*, (\d+\.\d+)""),"""")
"),"")</f>
        <v/>
      </c>
      <c r="P854" s="2"/>
      <c r="Q854" s="2"/>
      <c r="R854" s="2"/>
      <c r="S854" s="2"/>
      <c r="T854" s="5"/>
      <c r="U854" s="5"/>
    </row>
    <row r="855" customFormat="false" ht="15.75" hidden="false" customHeight="false" outlineLevel="0" collapsed="false">
      <c r="A855" s="4"/>
      <c r="B855" s="2"/>
      <c r="C855" s="2"/>
      <c r="D855" s="2"/>
      <c r="E855" s="2"/>
      <c r="F855" s="3" t="str">
        <f aca="false">IFERROR(__xludf.dummyfunction("if($T855&lt;&gt;"""",REGEXEXTRACT(SUBSTITUTE ($T855,F$1&amp;"" CE"",""""), F$1&amp;""[\w &amp;]*, (\d+\.\d+)""),"""")
"),"")</f>
        <v/>
      </c>
      <c r="G855" s="3" t="str">
        <f aca="false">IFERROR(__xludf.dummyfunction("if($T855&lt;&gt;"""",REGEXEXTRACT($T855, G$1&amp;""[\w &amp;]*, (\d+\.\d+)""),"""")
"),"")</f>
        <v/>
      </c>
      <c r="H855" s="3"/>
      <c r="I855" s="3" t="str">
        <f aca="false">IFERROR(__xludf.dummyfunction("if($T855&lt;&gt;"""",REGEXEXTRACT(SUBSTITUTE ($T855,I$1&amp;"" CE"",""""), I$1&amp;""[\w &amp;]*, (\d+\.\d+)""),"""")
"),"")</f>
        <v/>
      </c>
      <c r="J855" s="3" t="str">
        <f aca="false">IFERROR(__xludf.dummyfunction("if($T855&lt;&gt;"""",REGEXEXTRACT($T855, J$1&amp;""[\w &amp;]*, (\d+\.\d+)""),"""")
"),"")</f>
        <v/>
      </c>
      <c r="K855" s="3"/>
      <c r="L855" s="3" t="str">
        <f aca="false">IFERROR(__xludf.dummyfunction("if($T855&lt;&gt;"""",REGEXEXTRACT(SUBSTITUTE ($T855,L$1&amp;"" CE"",""""), L$1&amp;""[\w &amp;]*, (\d+\.\d+)""),"""")
"),"")</f>
        <v/>
      </c>
      <c r="M855" s="3" t="str">
        <f aca="false">IFERROR(__xludf.dummyfunction("if($T855&lt;&gt;"""",REGEXEXTRACT($T855, M$1&amp;""[\w &amp;]*, (\d+\.\d+)""),"""")
"),"")</f>
        <v/>
      </c>
      <c r="N855" s="3" t="str">
        <f aca="false">IFERROR(__xludf.dummyfunction("if($T855&lt;&gt;"""",REGEXEXTRACT(SUBSTITUTE ($T855,N$1&amp;"" CE"",""""), N$1&amp;""[\w &amp;]*, (\d+\.\d+)""),"""")
"),"")</f>
        <v/>
      </c>
      <c r="O855" s="3" t="str">
        <f aca="false">IFERROR(__xludf.dummyfunction("if($T855&lt;&gt;"""",REGEXEXTRACT($T855, O$1&amp;""[\w &amp;]*, (\d+\.\d+)""),"""")
"),"")</f>
        <v/>
      </c>
      <c r="P855" s="2"/>
      <c r="Q855" s="2"/>
      <c r="R855" s="2"/>
      <c r="S855" s="2"/>
      <c r="T855" s="5"/>
      <c r="U855" s="5"/>
    </row>
    <row r="856" customFormat="false" ht="15.75" hidden="false" customHeight="false" outlineLevel="0" collapsed="false">
      <c r="A856" s="4"/>
      <c r="B856" s="2"/>
      <c r="C856" s="2"/>
      <c r="D856" s="2"/>
      <c r="E856" s="2"/>
      <c r="F856" s="3" t="str">
        <f aca="false">IFERROR(__xludf.dummyfunction("if($T856&lt;&gt;"""",REGEXEXTRACT(SUBSTITUTE ($T856,F$1&amp;"" CE"",""""), F$1&amp;""[\w &amp;]*, (\d+\.\d+)""),"""")
"),"")</f>
        <v/>
      </c>
      <c r="G856" s="3" t="str">
        <f aca="false">IFERROR(__xludf.dummyfunction("if($T856&lt;&gt;"""",REGEXEXTRACT($T856, G$1&amp;""[\w &amp;]*, (\d+\.\d+)""),"""")
"),"")</f>
        <v/>
      </c>
      <c r="H856" s="3"/>
      <c r="I856" s="3" t="str">
        <f aca="false">IFERROR(__xludf.dummyfunction("if($T856&lt;&gt;"""",REGEXEXTRACT(SUBSTITUTE ($T856,I$1&amp;"" CE"",""""), I$1&amp;""[\w &amp;]*, (\d+\.\d+)""),"""")
"),"")</f>
        <v/>
      </c>
      <c r="J856" s="3" t="str">
        <f aca="false">IFERROR(__xludf.dummyfunction("if($T856&lt;&gt;"""",REGEXEXTRACT($T856, J$1&amp;""[\w &amp;]*, (\d+\.\d+)""),"""")
"),"")</f>
        <v/>
      </c>
      <c r="K856" s="3"/>
      <c r="L856" s="3" t="str">
        <f aca="false">IFERROR(__xludf.dummyfunction("if($T856&lt;&gt;"""",REGEXEXTRACT(SUBSTITUTE ($T856,L$1&amp;"" CE"",""""), L$1&amp;""[\w &amp;]*, (\d+\.\d+)""),"""")
"),"")</f>
        <v/>
      </c>
      <c r="M856" s="3" t="str">
        <f aca="false">IFERROR(__xludf.dummyfunction("if($T856&lt;&gt;"""",REGEXEXTRACT($T856, M$1&amp;""[\w &amp;]*, (\d+\.\d+)""),"""")
"),"")</f>
        <v/>
      </c>
      <c r="N856" s="3" t="str">
        <f aca="false">IFERROR(__xludf.dummyfunction("if($T856&lt;&gt;"""",REGEXEXTRACT(SUBSTITUTE ($T856,N$1&amp;"" CE"",""""), N$1&amp;""[\w &amp;]*, (\d+\.\d+)""),"""")
"),"")</f>
        <v/>
      </c>
      <c r="O856" s="3" t="str">
        <f aca="false">IFERROR(__xludf.dummyfunction("if($T856&lt;&gt;"""",REGEXEXTRACT($T856, O$1&amp;""[\w &amp;]*, (\d+\.\d+)""),"""")
"),"")</f>
        <v/>
      </c>
      <c r="P856" s="2"/>
      <c r="Q856" s="2"/>
      <c r="R856" s="2"/>
      <c r="S856" s="2"/>
      <c r="T856" s="5"/>
      <c r="U856" s="5"/>
    </row>
    <row r="857" customFormat="false" ht="15.75" hidden="false" customHeight="false" outlineLevel="0" collapsed="false">
      <c r="A857" s="4"/>
      <c r="B857" s="2"/>
      <c r="C857" s="2"/>
      <c r="D857" s="2"/>
      <c r="E857" s="2"/>
      <c r="F857" s="3" t="str">
        <f aca="false">IFERROR(__xludf.dummyfunction("if($T857&lt;&gt;"""",REGEXEXTRACT(SUBSTITUTE ($T857,F$1&amp;"" CE"",""""), F$1&amp;""[\w &amp;]*, (\d+\.\d+)""),"""")
"),"")</f>
        <v/>
      </c>
      <c r="G857" s="3" t="str">
        <f aca="false">IFERROR(__xludf.dummyfunction("if($T857&lt;&gt;"""",REGEXEXTRACT($T857, G$1&amp;""[\w &amp;]*, (\d+\.\d+)""),"""")
"),"")</f>
        <v/>
      </c>
      <c r="H857" s="3"/>
      <c r="I857" s="3" t="str">
        <f aca="false">IFERROR(__xludf.dummyfunction("if($T857&lt;&gt;"""",REGEXEXTRACT(SUBSTITUTE ($T857,I$1&amp;"" CE"",""""), I$1&amp;""[\w &amp;]*, (\d+\.\d+)""),"""")
"),"")</f>
        <v/>
      </c>
      <c r="J857" s="3" t="str">
        <f aca="false">IFERROR(__xludf.dummyfunction("if($T857&lt;&gt;"""",REGEXEXTRACT($T857, J$1&amp;""[\w &amp;]*, (\d+\.\d+)""),"""")
"),"")</f>
        <v/>
      </c>
      <c r="K857" s="3"/>
      <c r="L857" s="3" t="str">
        <f aca="false">IFERROR(__xludf.dummyfunction("if($T857&lt;&gt;"""",REGEXEXTRACT(SUBSTITUTE ($T857,L$1&amp;"" CE"",""""), L$1&amp;""[\w &amp;]*, (\d+\.\d+)""),"""")
"),"")</f>
        <v/>
      </c>
      <c r="M857" s="3" t="str">
        <f aca="false">IFERROR(__xludf.dummyfunction("if($T857&lt;&gt;"""",REGEXEXTRACT($T857, M$1&amp;""[\w &amp;]*, (\d+\.\d+)""),"""")
"),"")</f>
        <v/>
      </c>
      <c r="N857" s="3" t="str">
        <f aca="false">IFERROR(__xludf.dummyfunction("if($T857&lt;&gt;"""",REGEXEXTRACT(SUBSTITUTE ($T857,N$1&amp;"" CE"",""""), N$1&amp;""[\w &amp;]*, (\d+\.\d+)""),"""")
"),"")</f>
        <v/>
      </c>
      <c r="O857" s="3" t="str">
        <f aca="false">IFERROR(__xludf.dummyfunction("if($T857&lt;&gt;"""",REGEXEXTRACT($T857, O$1&amp;""[\w &amp;]*, (\d+\.\d+)""),"""")
"),"")</f>
        <v/>
      </c>
      <c r="P857" s="2"/>
      <c r="Q857" s="2"/>
      <c r="R857" s="2"/>
      <c r="S857" s="2"/>
      <c r="T857" s="5"/>
      <c r="U857" s="5"/>
    </row>
    <row r="858" customFormat="false" ht="15.75" hidden="false" customHeight="false" outlineLevel="0" collapsed="false">
      <c r="A858" s="4"/>
      <c r="B858" s="2"/>
      <c r="C858" s="2"/>
      <c r="D858" s="2"/>
      <c r="E858" s="2"/>
      <c r="F858" s="3" t="str">
        <f aca="false">IFERROR(__xludf.dummyfunction("if($T858&lt;&gt;"""",REGEXEXTRACT(SUBSTITUTE ($T858,F$1&amp;"" CE"",""""), F$1&amp;""[\w &amp;]*, (\d+\.\d+)""),"""")
"),"")</f>
        <v/>
      </c>
      <c r="G858" s="3" t="str">
        <f aca="false">IFERROR(__xludf.dummyfunction("if($T858&lt;&gt;"""",REGEXEXTRACT($T858, G$1&amp;""[\w &amp;]*, (\d+\.\d+)""),"""")
"),"")</f>
        <v/>
      </c>
      <c r="H858" s="3"/>
      <c r="I858" s="3" t="str">
        <f aca="false">IFERROR(__xludf.dummyfunction("if($T858&lt;&gt;"""",REGEXEXTRACT(SUBSTITUTE ($T858,I$1&amp;"" CE"",""""), I$1&amp;""[\w &amp;]*, (\d+\.\d+)""),"""")
"),"")</f>
        <v/>
      </c>
      <c r="J858" s="3" t="str">
        <f aca="false">IFERROR(__xludf.dummyfunction("if($T858&lt;&gt;"""",REGEXEXTRACT($T858, J$1&amp;""[\w &amp;]*, (\d+\.\d+)""),"""")
"),"")</f>
        <v/>
      </c>
      <c r="K858" s="3"/>
      <c r="L858" s="3" t="str">
        <f aca="false">IFERROR(__xludf.dummyfunction("if($T858&lt;&gt;"""",REGEXEXTRACT(SUBSTITUTE ($T858,L$1&amp;"" CE"",""""), L$1&amp;""[\w &amp;]*, (\d+\.\d+)""),"""")
"),"")</f>
        <v/>
      </c>
      <c r="M858" s="3" t="str">
        <f aca="false">IFERROR(__xludf.dummyfunction("if($T858&lt;&gt;"""",REGEXEXTRACT($T858, M$1&amp;""[\w &amp;]*, (\d+\.\d+)""),"""")
"),"")</f>
        <v/>
      </c>
      <c r="N858" s="3" t="str">
        <f aca="false">IFERROR(__xludf.dummyfunction("if($T858&lt;&gt;"""",REGEXEXTRACT(SUBSTITUTE ($T858,N$1&amp;"" CE"",""""), N$1&amp;""[\w &amp;]*, (\d+\.\d+)""),"""")
"),"")</f>
        <v/>
      </c>
      <c r="O858" s="3" t="str">
        <f aca="false">IFERROR(__xludf.dummyfunction("if($T858&lt;&gt;"""",REGEXEXTRACT($T858, O$1&amp;""[\w &amp;]*, (\d+\.\d+)""),"""")
"),"")</f>
        <v/>
      </c>
      <c r="P858" s="2"/>
      <c r="Q858" s="2"/>
      <c r="R858" s="2"/>
      <c r="S858" s="2"/>
      <c r="T858" s="5"/>
      <c r="U858" s="5"/>
    </row>
    <row r="859" customFormat="false" ht="15.75" hidden="false" customHeight="false" outlineLevel="0" collapsed="false">
      <c r="A859" s="4"/>
      <c r="B859" s="2"/>
      <c r="C859" s="2"/>
      <c r="D859" s="2"/>
      <c r="E859" s="2"/>
      <c r="F859" s="3" t="str">
        <f aca="false">IFERROR(__xludf.dummyfunction("if($T859&lt;&gt;"""",REGEXEXTRACT(SUBSTITUTE ($T859,F$1&amp;"" CE"",""""), F$1&amp;""[\w &amp;]*, (\d+\.\d+)""),"""")
"),"")</f>
        <v/>
      </c>
      <c r="G859" s="3" t="str">
        <f aca="false">IFERROR(__xludf.dummyfunction("if($T859&lt;&gt;"""",REGEXEXTRACT($T859, G$1&amp;""[\w &amp;]*, (\d+\.\d+)""),"""")
"),"")</f>
        <v/>
      </c>
      <c r="H859" s="3"/>
      <c r="I859" s="3" t="str">
        <f aca="false">IFERROR(__xludf.dummyfunction("if($T859&lt;&gt;"""",REGEXEXTRACT(SUBSTITUTE ($T859,I$1&amp;"" CE"",""""), I$1&amp;""[\w &amp;]*, (\d+\.\d+)""),"""")
"),"")</f>
        <v/>
      </c>
      <c r="J859" s="3" t="str">
        <f aca="false">IFERROR(__xludf.dummyfunction("if($T859&lt;&gt;"""",REGEXEXTRACT($T859, J$1&amp;""[\w &amp;]*, (\d+\.\d+)""),"""")
"),"")</f>
        <v/>
      </c>
      <c r="K859" s="3"/>
      <c r="L859" s="3" t="str">
        <f aca="false">IFERROR(__xludf.dummyfunction("if($T859&lt;&gt;"""",REGEXEXTRACT(SUBSTITUTE ($T859,L$1&amp;"" CE"",""""), L$1&amp;""[\w &amp;]*, (\d+\.\d+)""),"""")
"),"")</f>
        <v/>
      </c>
      <c r="M859" s="3" t="str">
        <f aca="false">IFERROR(__xludf.dummyfunction("if($T859&lt;&gt;"""",REGEXEXTRACT($T859, M$1&amp;""[\w &amp;]*, (\d+\.\d+)""),"""")
"),"")</f>
        <v/>
      </c>
      <c r="N859" s="3" t="str">
        <f aca="false">IFERROR(__xludf.dummyfunction("if($T859&lt;&gt;"""",REGEXEXTRACT(SUBSTITUTE ($T859,N$1&amp;"" CE"",""""), N$1&amp;""[\w &amp;]*, (\d+\.\d+)""),"""")
"),"")</f>
        <v/>
      </c>
      <c r="O859" s="3" t="str">
        <f aca="false">IFERROR(__xludf.dummyfunction("if($T859&lt;&gt;"""",REGEXEXTRACT($T859, O$1&amp;""[\w &amp;]*, (\d+\.\d+)""),"""")
"),"")</f>
        <v/>
      </c>
      <c r="P859" s="2"/>
      <c r="Q859" s="2"/>
      <c r="R859" s="2"/>
      <c r="S859" s="2"/>
      <c r="T859" s="5"/>
      <c r="U859" s="5"/>
    </row>
    <row r="860" customFormat="false" ht="15.75" hidden="false" customHeight="false" outlineLevel="0" collapsed="false">
      <c r="A860" s="4"/>
      <c r="B860" s="2"/>
      <c r="C860" s="2"/>
      <c r="D860" s="2"/>
      <c r="E860" s="2"/>
      <c r="F860" s="3" t="str">
        <f aca="false">IFERROR(__xludf.dummyfunction("if($T860&lt;&gt;"""",REGEXEXTRACT(SUBSTITUTE ($T860,F$1&amp;"" CE"",""""), F$1&amp;""[\w &amp;]*, (\d+\.\d+)""),"""")
"),"")</f>
        <v/>
      </c>
      <c r="G860" s="3" t="str">
        <f aca="false">IFERROR(__xludf.dummyfunction("if($T860&lt;&gt;"""",REGEXEXTRACT($T860, G$1&amp;""[\w &amp;]*, (\d+\.\d+)""),"""")
"),"")</f>
        <v/>
      </c>
      <c r="H860" s="3"/>
      <c r="I860" s="3" t="str">
        <f aca="false">IFERROR(__xludf.dummyfunction("if($T860&lt;&gt;"""",REGEXEXTRACT(SUBSTITUTE ($T860,I$1&amp;"" CE"",""""), I$1&amp;""[\w &amp;]*, (\d+\.\d+)""),"""")
"),"")</f>
        <v/>
      </c>
      <c r="J860" s="3" t="str">
        <f aca="false">IFERROR(__xludf.dummyfunction("if($T860&lt;&gt;"""",REGEXEXTRACT($T860, J$1&amp;""[\w &amp;]*, (\d+\.\d+)""),"""")
"),"")</f>
        <v/>
      </c>
      <c r="K860" s="3"/>
      <c r="L860" s="3" t="str">
        <f aca="false">IFERROR(__xludf.dummyfunction("if($T860&lt;&gt;"""",REGEXEXTRACT(SUBSTITUTE ($T860,L$1&amp;"" CE"",""""), L$1&amp;""[\w &amp;]*, (\d+\.\d+)""),"""")
"),"")</f>
        <v/>
      </c>
      <c r="M860" s="3" t="str">
        <f aca="false">IFERROR(__xludf.dummyfunction("if($T860&lt;&gt;"""",REGEXEXTRACT($T860, M$1&amp;""[\w &amp;]*, (\d+\.\d+)""),"""")
"),"")</f>
        <v/>
      </c>
      <c r="N860" s="3" t="str">
        <f aca="false">IFERROR(__xludf.dummyfunction("if($T860&lt;&gt;"""",REGEXEXTRACT(SUBSTITUTE ($T860,N$1&amp;"" CE"",""""), N$1&amp;""[\w &amp;]*, (\d+\.\d+)""),"""")
"),"")</f>
        <v/>
      </c>
      <c r="O860" s="3" t="str">
        <f aca="false">IFERROR(__xludf.dummyfunction("if($T860&lt;&gt;"""",REGEXEXTRACT($T860, O$1&amp;""[\w &amp;]*, (\d+\.\d+)""),"""")
"),"")</f>
        <v/>
      </c>
      <c r="P860" s="2"/>
      <c r="Q860" s="2"/>
      <c r="R860" s="2"/>
      <c r="S860" s="2"/>
      <c r="T860" s="5"/>
      <c r="U860" s="5"/>
    </row>
    <row r="861" customFormat="false" ht="15.75" hidden="false" customHeight="false" outlineLevel="0" collapsed="false">
      <c r="A861" s="4"/>
      <c r="B861" s="2"/>
      <c r="C861" s="2"/>
      <c r="D861" s="2"/>
      <c r="E861" s="2"/>
      <c r="F861" s="3" t="str">
        <f aca="false">IFERROR(__xludf.dummyfunction("if($T861&lt;&gt;"""",REGEXEXTRACT(SUBSTITUTE ($T861,F$1&amp;"" CE"",""""), F$1&amp;""[\w &amp;]*, (\d+\.\d+)""),"""")
"),"")</f>
        <v/>
      </c>
      <c r="G861" s="3" t="str">
        <f aca="false">IFERROR(__xludf.dummyfunction("if($T861&lt;&gt;"""",REGEXEXTRACT($T861, G$1&amp;""[\w &amp;]*, (\d+\.\d+)""),"""")
"),"")</f>
        <v/>
      </c>
      <c r="H861" s="3"/>
      <c r="I861" s="3" t="str">
        <f aca="false">IFERROR(__xludf.dummyfunction("if($T861&lt;&gt;"""",REGEXEXTRACT(SUBSTITUTE ($T861,I$1&amp;"" CE"",""""), I$1&amp;""[\w &amp;]*, (\d+\.\d+)""),"""")
"),"")</f>
        <v/>
      </c>
      <c r="J861" s="3" t="str">
        <f aca="false">IFERROR(__xludf.dummyfunction("if($T861&lt;&gt;"""",REGEXEXTRACT($T861, J$1&amp;""[\w &amp;]*, (\d+\.\d+)""),"""")
"),"")</f>
        <v/>
      </c>
      <c r="K861" s="3"/>
      <c r="L861" s="3" t="str">
        <f aca="false">IFERROR(__xludf.dummyfunction("if($T861&lt;&gt;"""",REGEXEXTRACT(SUBSTITUTE ($T861,L$1&amp;"" CE"",""""), L$1&amp;""[\w &amp;]*, (\d+\.\d+)""),"""")
"),"")</f>
        <v/>
      </c>
      <c r="M861" s="3" t="str">
        <f aca="false">IFERROR(__xludf.dummyfunction("if($T861&lt;&gt;"""",REGEXEXTRACT($T861, M$1&amp;""[\w &amp;]*, (\d+\.\d+)""),"""")
"),"")</f>
        <v/>
      </c>
      <c r="N861" s="3" t="str">
        <f aca="false">IFERROR(__xludf.dummyfunction("if($T861&lt;&gt;"""",REGEXEXTRACT(SUBSTITUTE ($T861,N$1&amp;"" CE"",""""), N$1&amp;""[\w &amp;]*, (\d+\.\d+)""),"""")
"),"")</f>
        <v/>
      </c>
      <c r="O861" s="3" t="str">
        <f aca="false">IFERROR(__xludf.dummyfunction("if($T861&lt;&gt;"""",REGEXEXTRACT($T861, O$1&amp;""[\w &amp;]*, (\d+\.\d+)""),"""")
"),"")</f>
        <v/>
      </c>
      <c r="P861" s="2"/>
      <c r="Q861" s="2"/>
      <c r="R861" s="2"/>
      <c r="S861" s="2"/>
      <c r="T861" s="5"/>
      <c r="U861" s="5"/>
    </row>
    <row r="862" customFormat="false" ht="15.75" hidden="false" customHeight="false" outlineLevel="0" collapsed="false">
      <c r="A862" s="4"/>
      <c r="B862" s="2"/>
      <c r="C862" s="2"/>
      <c r="D862" s="2"/>
      <c r="E862" s="2"/>
      <c r="F862" s="3" t="str">
        <f aca="false">IFERROR(__xludf.dummyfunction("if($T862&lt;&gt;"""",REGEXEXTRACT(SUBSTITUTE ($T862,F$1&amp;"" CE"",""""), F$1&amp;""[\w &amp;]*, (\d+\.\d+)""),"""")
"),"")</f>
        <v/>
      </c>
      <c r="G862" s="3" t="str">
        <f aca="false">IFERROR(__xludf.dummyfunction("if($T862&lt;&gt;"""",REGEXEXTRACT($T862, G$1&amp;""[\w &amp;]*, (\d+\.\d+)""),"""")
"),"")</f>
        <v/>
      </c>
      <c r="H862" s="3"/>
      <c r="I862" s="3" t="str">
        <f aca="false">IFERROR(__xludf.dummyfunction("if($T862&lt;&gt;"""",REGEXEXTRACT(SUBSTITUTE ($T862,I$1&amp;"" CE"",""""), I$1&amp;""[\w &amp;]*, (\d+\.\d+)""),"""")
"),"")</f>
        <v/>
      </c>
      <c r="J862" s="3" t="str">
        <f aca="false">IFERROR(__xludf.dummyfunction("if($T862&lt;&gt;"""",REGEXEXTRACT($T862, J$1&amp;""[\w &amp;]*, (\d+\.\d+)""),"""")
"),"")</f>
        <v/>
      </c>
      <c r="K862" s="3"/>
      <c r="L862" s="3" t="str">
        <f aca="false">IFERROR(__xludf.dummyfunction("if($T862&lt;&gt;"""",REGEXEXTRACT(SUBSTITUTE ($T862,L$1&amp;"" CE"",""""), L$1&amp;""[\w &amp;]*, (\d+\.\d+)""),"""")
"),"")</f>
        <v/>
      </c>
      <c r="M862" s="3" t="str">
        <f aca="false">IFERROR(__xludf.dummyfunction("if($T862&lt;&gt;"""",REGEXEXTRACT($T862, M$1&amp;""[\w &amp;]*, (\d+\.\d+)""),"""")
"),"")</f>
        <v/>
      </c>
      <c r="N862" s="3" t="str">
        <f aca="false">IFERROR(__xludf.dummyfunction("if($T862&lt;&gt;"""",REGEXEXTRACT(SUBSTITUTE ($T862,N$1&amp;"" CE"",""""), N$1&amp;""[\w &amp;]*, (\d+\.\d+)""),"""")
"),"")</f>
        <v/>
      </c>
      <c r="O862" s="3" t="str">
        <f aca="false">IFERROR(__xludf.dummyfunction("if($T862&lt;&gt;"""",REGEXEXTRACT($T862, O$1&amp;""[\w &amp;]*, (\d+\.\d+)""),"""")
"),"")</f>
        <v/>
      </c>
      <c r="P862" s="2"/>
      <c r="Q862" s="2"/>
      <c r="R862" s="2"/>
      <c r="S862" s="2"/>
      <c r="T862" s="5"/>
      <c r="U862" s="5"/>
    </row>
    <row r="863" customFormat="false" ht="15.75" hidden="false" customHeight="false" outlineLevel="0" collapsed="false">
      <c r="A863" s="4"/>
      <c r="B863" s="2"/>
      <c r="C863" s="2"/>
      <c r="D863" s="2"/>
      <c r="E863" s="2"/>
      <c r="F863" s="3" t="str">
        <f aca="false">IFERROR(__xludf.dummyfunction("if($T863&lt;&gt;"""",REGEXEXTRACT(SUBSTITUTE ($T863,F$1&amp;"" CE"",""""), F$1&amp;""[\w &amp;]*, (\d+\.\d+)""),"""")
"),"")</f>
        <v/>
      </c>
      <c r="G863" s="3" t="str">
        <f aca="false">IFERROR(__xludf.dummyfunction("if($T863&lt;&gt;"""",REGEXEXTRACT($T863, G$1&amp;""[\w &amp;]*, (\d+\.\d+)""),"""")
"),"")</f>
        <v/>
      </c>
      <c r="H863" s="3"/>
      <c r="I863" s="3" t="str">
        <f aca="false">IFERROR(__xludf.dummyfunction("if($T863&lt;&gt;"""",REGEXEXTRACT(SUBSTITUTE ($T863,I$1&amp;"" CE"",""""), I$1&amp;""[\w &amp;]*, (\d+\.\d+)""),"""")
"),"")</f>
        <v/>
      </c>
      <c r="J863" s="3" t="str">
        <f aca="false">IFERROR(__xludf.dummyfunction("if($T863&lt;&gt;"""",REGEXEXTRACT($T863, J$1&amp;""[\w &amp;]*, (\d+\.\d+)""),"""")
"),"")</f>
        <v/>
      </c>
      <c r="K863" s="3"/>
      <c r="L863" s="3" t="str">
        <f aca="false">IFERROR(__xludf.dummyfunction("if($T863&lt;&gt;"""",REGEXEXTRACT(SUBSTITUTE ($T863,L$1&amp;"" CE"",""""), L$1&amp;""[\w &amp;]*, (\d+\.\d+)""),"""")
"),"")</f>
        <v/>
      </c>
      <c r="M863" s="3" t="str">
        <f aca="false">IFERROR(__xludf.dummyfunction("if($T863&lt;&gt;"""",REGEXEXTRACT($T863, M$1&amp;""[\w &amp;]*, (\d+\.\d+)""),"""")
"),"")</f>
        <v/>
      </c>
      <c r="N863" s="3" t="str">
        <f aca="false">IFERROR(__xludf.dummyfunction("if($T863&lt;&gt;"""",REGEXEXTRACT(SUBSTITUTE ($T863,N$1&amp;"" CE"",""""), N$1&amp;""[\w &amp;]*, (\d+\.\d+)""),"""")
"),"")</f>
        <v/>
      </c>
      <c r="O863" s="3" t="str">
        <f aca="false">IFERROR(__xludf.dummyfunction("if($T863&lt;&gt;"""",REGEXEXTRACT($T863, O$1&amp;""[\w &amp;]*, (\d+\.\d+)""),"""")
"),"")</f>
        <v/>
      </c>
      <c r="P863" s="2"/>
      <c r="Q863" s="2"/>
      <c r="R863" s="2"/>
      <c r="S863" s="2"/>
      <c r="T863" s="5"/>
      <c r="U863" s="5"/>
    </row>
    <row r="864" customFormat="false" ht="15.75" hidden="false" customHeight="false" outlineLevel="0" collapsed="false">
      <c r="A864" s="4"/>
      <c r="B864" s="2"/>
      <c r="C864" s="2"/>
      <c r="D864" s="2"/>
      <c r="E864" s="2"/>
      <c r="F864" s="3" t="str">
        <f aca="false">IFERROR(__xludf.dummyfunction("if($T864&lt;&gt;"""",REGEXEXTRACT(SUBSTITUTE ($T864,F$1&amp;"" CE"",""""), F$1&amp;""[\w &amp;]*, (\d+\.\d+)""),"""")
"),"")</f>
        <v/>
      </c>
      <c r="G864" s="3" t="str">
        <f aca="false">IFERROR(__xludf.dummyfunction("if($T864&lt;&gt;"""",REGEXEXTRACT($T864, G$1&amp;""[\w &amp;]*, (\d+\.\d+)""),"""")
"),"")</f>
        <v/>
      </c>
      <c r="H864" s="3"/>
      <c r="I864" s="3" t="str">
        <f aca="false">IFERROR(__xludf.dummyfunction("if($T864&lt;&gt;"""",REGEXEXTRACT(SUBSTITUTE ($T864,I$1&amp;"" CE"",""""), I$1&amp;""[\w &amp;]*, (\d+\.\d+)""),"""")
"),"")</f>
        <v/>
      </c>
      <c r="J864" s="3" t="str">
        <f aca="false">IFERROR(__xludf.dummyfunction("if($T864&lt;&gt;"""",REGEXEXTRACT($T864, J$1&amp;""[\w &amp;]*, (\d+\.\d+)""),"""")
"),"")</f>
        <v/>
      </c>
      <c r="K864" s="3"/>
      <c r="L864" s="3" t="str">
        <f aca="false">IFERROR(__xludf.dummyfunction("if($T864&lt;&gt;"""",REGEXEXTRACT(SUBSTITUTE ($T864,L$1&amp;"" CE"",""""), L$1&amp;""[\w &amp;]*, (\d+\.\d+)""),"""")
"),"")</f>
        <v/>
      </c>
      <c r="M864" s="3" t="str">
        <f aca="false">IFERROR(__xludf.dummyfunction("if($T864&lt;&gt;"""",REGEXEXTRACT($T864, M$1&amp;""[\w &amp;]*, (\d+\.\d+)""),"""")
"),"")</f>
        <v/>
      </c>
      <c r="N864" s="3" t="str">
        <f aca="false">IFERROR(__xludf.dummyfunction("if($T864&lt;&gt;"""",REGEXEXTRACT(SUBSTITUTE ($T864,N$1&amp;"" CE"",""""), N$1&amp;""[\w &amp;]*, (\d+\.\d+)""),"""")
"),"")</f>
        <v/>
      </c>
      <c r="O864" s="3" t="str">
        <f aca="false">IFERROR(__xludf.dummyfunction("if($T864&lt;&gt;"""",REGEXEXTRACT($T864, O$1&amp;""[\w &amp;]*, (\d+\.\d+)""),"""")
"),"")</f>
        <v/>
      </c>
      <c r="P864" s="2"/>
      <c r="Q864" s="2"/>
      <c r="R864" s="2"/>
      <c r="S864" s="2"/>
      <c r="T864" s="5"/>
      <c r="U864" s="5"/>
    </row>
    <row r="865" customFormat="false" ht="15.75" hidden="false" customHeight="false" outlineLevel="0" collapsed="false">
      <c r="A865" s="4"/>
      <c r="B865" s="2"/>
      <c r="C865" s="2"/>
      <c r="D865" s="2"/>
      <c r="E865" s="2"/>
      <c r="F865" s="3" t="str">
        <f aca="false">IFERROR(__xludf.dummyfunction("if($T865&lt;&gt;"""",REGEXEXTRACT(SUBSTITUTE ($T865,F$1&amp;"" CE"",""""), F$1&amp;""[\w &amp;]*, (\d+\.\d+)""),"""")
"),"")</f>
        <v/>
      </c>
      <c r="G865" s="3" t="str">
        <f aca="false">IFERROR(__xludf.dummyfunction("if($T865&lt;&gt;"""",REGEXEXTRACT($T865, G$1&amp;""[\w &amp;]*, (\d+\.\d+)""),"""")
"),"")</f>
        <v/>
      </c>
      <c r="H865" s="3"/>
      <c r="I865" s="3" t="str">
        <f aca="false">IFERROR(__xludf.dummyfunction("if($T865&lt;&gt;"""",REGEXEXTRACT(SUBSTITUTE ($T865,I$1&amp;"" CE"",""""), I$1&amp;""[\w &amp;]*, (\d+\.\d+)""),"""")
"),"")</f>
        <v/>
      </c>
      <c r="J865" s="3" t="str">
        <f aca="false">IFERROR(__xludf.dummyfunction("if($T865&lt;&gt;"""",REGEXEXTRACT($T865, J$1&amp;""[\w &amp;]*, (\d+\.\d+)""),"""")
"),"")</f>
        <v/>
      </c>
      <c r="K865" s="3"/>
      <c r="L865" s="3" t="str">
        <f aca="false">IFERROR(__xludf.dummyfunction("if($T865&lt;&gt;"""",REGEXEXTRACT(SUBSTITUTE ($T865,L$1&amp;"" CE"",""""), L$1&amp;""[\w &amp;]*, (\d+\.\d+)""),"""")
"),"")</f>
        <v/>
      </c>
      <c r="M865" s="3" t="str">
        <f aca="false">IFERROR(__xludf.dummyfunction("if($T865&lt;&gt;"""",REGEXEXTRACT($T865, M$1&amp;""[\w &amp;]*, (\d+\.\d+)""),"""")
"),"")</f>
        <v/>
      </c>
      <c r="N865" s="3" t="str">
        <f aca="false">IFERROR(__xludf.dummyfunction("if($T865&lt;&gt;"""",REGEXEXTRACT(SUBSTITUTE ($T865,N$1&amp;"" CE"",""""), N$1&amp;""[\w &amp;]*, (\d+\.\d+)""),"""")
"),"")</f>
        <v/>
      </c>
      <c r="O865" s="3" t="str">
        <f aca="false">IFERROR(__xludf.dummyfunction("if($T865&lt;&gt;"""",REGEXEXTRACT($T865, O$1&amp;""[\w &amp;]*, (\d+\.\d+)""),"""")
"),"")</f>
        <v/>
      </c>
      <c r="P865" s="2"/>
      <c r="Q865" s="2"/>
      <c r="R865" s="2"/>
      <c r="S865" s="2"/>
      <c r="T865" s="5"/>
      <c r="U865" s="5"/>
    </row>
    <row r="866" customFormat="false" ht="15.75" hidden="false" customHeight="false" outlineLevel="0" collapsed="false">
      <c r="A866" s="4"/>
      <c r="B866" s="2"/>
      <c r="C866" s="2"/>
      <c r="D866" s="2"/>
      <c r="E866" s="2"/>
      <c r="F866" s="3" t="str">
        <f aca="false">IFERROR(__xludf.dummyfunction("if($T866&lt;&gt;"""",REGEXEXTRACT(SUBSTITUTE ($T866,F$1&amp;"" CE"",""""), F$1&amp;""[\w &amp;]*, (\d+\.\d+)""),"""")
"),"")</f>
        <v/>
      </c>
      <c r="G866" s="3" t="str">
        <f aca="false">IFERROR(__xludf.dummyfunction("if($T866&lt;&gt;"""",REGEXEXTRACT($T866, G$1&amp;""[\w &amp;]*, (\d+\.\d+)""),"""")
"),"")</f>
        <v/>
      </c>
      <c r="H866" s="3"/>
      <c r="I866" s="3" t="str">
        <f aca="false">IFERROR(__xludf.dummyfunction("if($T866&lt;&gt;"""",REGEXEXTRACT(SUBSTITUTE ($T866,I$1&amp;"" CE"",""""), I$1&amp;""[\w &amp;]*, (\d+\.\d+)""),"""")
"),"")</f>
        <v/>
      </c>
      <c r="J866" s="3" t="str">
        <f aca="false">IFERROR(__xludf.dummyfunction("if($T866&lt;&gt;"""",REGEXEXTRACT($T866, J$1&amp;""[\w &amp;]*, (\d+\.\d+)""),"""")
"),"")</f>
        <v/>
      </c>
      <c r="K866" s="3"/>
      <c r="L866" s="3" t="str">
        <f aca="false">IFERROR(__xludf.dummyfunction("if($T866&lt;&gt;"""",REGEXEXTRACT(SUBSTITUTE ($T866,L$1&amp;"" CE"",""""), L$1&amp;""[\w &amp;]*, (\d+\.\d+)""),"""")
"),"")</f>
        <v/>
      </c>
      <c r="M866" s="3" t="str">
        <f aca="false">IFERROR(__xludf.dummyfunction("if($T866&lt;&gt;"""",REGEXEXTRACT($T866, M$1&amp;""[\w &amp;]*, (\d+\.\d+)""),"""")
"),"")</f>
        <v/>
      </c>
      <c r="N866" s="3" t="str">
        <f aca="false">IFERROR(__xludf.dummyfunction("if($T866&lt;&gt;"""",REGEXEXTRACT(SUBSTITUTE ($T866,N$1&amp;"" CE"",""""), N$1&amp;""[\w &amp;]*, (\d+\.\d+)""),"""")
"),"")</f>
        <v/>
      </c>
      <c r="O866" s="3" t="str">
        <f aca="false">IFERROR(__xludf.dummyfunction("if($T866&lt;&gt;"""",REGEXEXTRACT($T866, O$1&amp;""[\w &amp;]*, (\d+\.\d+)""),"""")
"),"")</f>
        <v/>
      </c>
      <c r="P866" s="2"/>
      <c r="Q866" s="2"/>
      <c r="R866" s="2"/>
      <c r="S866" s="2"/>
      <c r="T866" s="5"/>
      <c r="U866" s="5"/>
    </row>
    <row r="867" customFormat="false" ht="15.75" hidden="false" customHeight="false" outlineLevel="0" collapsed="false">
      <c r="A867" s="4"/>
      <c r="B867" s="2"/>
      <c r="C867" s="2"/>
      <c r="D867" s="2"/>
      <c r="E867" s="2"/>
      <c r="F867" s="3" t="str">
        <f aca="false">IFERROR(__xludf.dummyfunction("if($T867&lt;&gt;"""",REGEXEXTRACT(SUBSTITUTE ($T867,F$1&amp;"" CE"",""""), F$1&amp;""[\w &amp;]*, (\d+\.\d+)""),"""")
"),"")</f>
        <v/>
      </c>
      <c r="G867" s="3" t="str">
        <f aca="false">IFERROR(__xludf.dummyfunction("if($T867&lt;&gt;"""",REGEXEXTRACT($T867, G$1&amp;""[\w &amp;]*, (\d+\.\d+)""),"""")
"),"")</f>
        <v/>
      </c>
      <c r="H867" s="3"/>
      <c r="I867" s="3" t="str">
        <f aca="false">IFERROR(__xludf.dummyfunction("if($T867&lt;&gt;"""",REGEXEXTRACT(SUBSTITUTE ($T867,I$1&amp;"" CE"",""""), I$1&amp;""[\w &amp;]*, (\d+\.\d+)""),"""")
"),"")</f>
        <v/>
      </c>
      <c r="J867" s="3" t="str">
        <f aca="false">IFERROR(__xludf.dummyfunction("if($T867&lt;&gt;"""",REGEXEXTRACT($T867, J$1&amp;""[\w &amp;]*, (\d+\.\d+)""),"""")
"),"")</f>
        <v/>
      </c>
      <c r="K867" s="3"/>
      <c r="L867" s="3" t="str">
        <f aca="false">IFERROR(__xludf.dummyfunction("if($T867&lt;&gt;"""",REGEXEXTRACT(SUBSTITUTE ($T867,L$1&amp;"" CE"",""""), L$1&amp;""[\w &amp;]*, (\d+\.\d+)""),"""")
"),"")</f>
        <v/>
      </c>
      <c r="M867" s="3" t="str">
        <f aca="false">IFERROR(__xludf.dummyfunction("if($T867&lt;&gt;"""",REGEXEXTRACT($T867, M$1&amp;""[\w &amp;]*, (\d+\.\d+)""),"""")
"),"")</f>
        <v/>
      </c>
      <c r="N867" s="3" t="str">
        <f aca="false">IFERROR(__xludf.dummyfunction("if($T867&lt;&gt;"""",REGEXEXTRACT(SUBSTITUTE ($T867,N$1&amp;"" CE"",""""), N$1&amp;""[\w &amp;]*, (\d+\.\d+)""),"""")
"),"")</f>
        <v/>
      </c>
      <c r="O867" s="3" t="str">
        <f aca="false">IFERROR(__xludf.dummyfunction("if($T867&lt;&gt;"""",REGEXEXTRACT($T867, O$1&amp;""[\w &amp;]*, (\d+\.\d+)""),"""")
"),"")</f>
        <v/>
      </c>
      <c r="P867" s="2"/>
      <c r="Q867" s="2"/>
      <c r="R867" s="2"/>
      <c r="S867" s="2"/>
      <c r="T867" s="5"/>
      <c r="U867" s="5"/>
    </row>
    <row r="868" customFormat="false" ht="15.75" hidden="false" customHeight="false" outlineLevel="0" collapsed="false">
      <c r="A868" s="4"/>
      <c r="B868" s="2"/>
      <c r="C868" s="2"/>
      <c r="D868" s="2"/>
      <c r="E868" s="2"/>
      <c r="F868" s="3" t="str">
        <f aca="false">IFERROR(__xludf.dummyfunction("if($T868&lt;&gt;"""",REGEXEXTRACT(SUBSTITUTE ($T868,F$1&amp;"" CE"",""""), F$1&amp;""[\w &amp;]*, (\d+\.\d+)""),"""")
"),"")</f>
        <v/>
      </c>
      <c r="G868" s="3" t="str">
        <f aca="false">IFERROR(__xludf.dummyfunction("if($T868&lt;&gt;"""",REGEXEXTRACT($T868, G$1&amp;""[\w &amp;]*, (\d+\.\d+)""),"""")
"),"")</f>
        <v/>
      </c>
      <c r="H868" s="3"/>
      <c r="I868" s="3" t="str">
        <f aca="false">IFERROR(__xludf.dummyfunction("if($T868&lt;&gt;"""",REGEXEXTRACT(SUBSTITUTE ($T868,I$1&amp;"" CE"",""""), I$1&amp;""[\w &amp;]*, (\d+\.\d+)""),"""")
"),"")</f>
        <v/>
      </c>
      <c r="J868" s="3" t="str">
        <f aca="false">IFERROR(__xludf.dummyfunction("if($T868&lt;&gt;"""",REGEXEXTRACT($T868, J$1&amp;""[\w &amp;]*, (\d+\.\d+)""),"""")
"),"")</f>
        <v/>
      </c>
      <c r="K868" s="3"/>
      <c r="L868" s="3" t="str">
        <f aca="false">IFERROR(__xludf.dummyfunction("if($T868&lt;&gt;"""",REGEXEXTRACT(SUBSTITUTE ($T868,L$1&amp;"" CE"",""""), L$1&amp;""[\w &amp;]*, (\d+\.\d+)""),"""")
"),"")</f>
        <v/>
      </c>
      <c r="M868" s="3" t="str">
        <f aca="false">IFERROR(__xludf.dummyfunction("if($T868&lt;&gt;"""",REGEXEXTRACT($T868, M$1&amp;""[\w &amp;]*, (\d+\.\d+)""),"""")
"),"")</f>
        <v/>
      </c>
      <c r="N868" s="3" t="str">
        <f aca="false">IFERROR(__xludf.dummyfunction("if($T868&lt;&gt;"""",REGEXEXTRACT(SUBSTITUTE ($T868,N$1&amp;"" CE"",""""), N$1&amp;""[\w &amp;]*, (\d+\.\d+)""),"""")
"),"")</f>
        <v/>
      </c>
      <c r="O868" s="3" t="str">
        <f aca="false">IFERROR(__xludf.dummyfunction("if($T868&lt;&gt;"""",REGEXEXTRACT($T868, O$1&amp;""[\w &amp;]*, (\d+\.\d+)""),"""")
"),"")</f>
        <v/>
      </c>
      <c r="P868" s="2"/>
      <c r="Q868" s="2"/>
      <c r="R868" s="2"/>
      <c r="S868" s="2"/>
      <c r="T868" s="5"/>
      <c r="U868" s="5"/>
    </row>
    <row r="869" customFormat="false" ht="15.75" hidden="false" customHeight="false" outlineLevel="0" collapsed="false">
      <c r="A869" s="4"/>
      <c r="B869" s="2"/>
      <c r="C869" s="2"/>
      <c r="D869" s="2"/>
      <c r="E869" s="2"/>
      <c r="F869" s="3" t="str">
        <f aca="false">IFERROR(__xludf.dummyfunction("if($T869&lt;&gt;"""",REGEXEXTRACT(SUBSTITUTE ($T869,F$1&amp;"" CE"",""""), F$1&amp;""[\w &amp;]*, (\d+\.\d+)""),"""")
"),"")</f>
        <v/>
      </c>
      <c r="G869" s="3" t="str">
        <f aca="false">IFERROR(__xludf.dummyfunction("if($T869&lt;&gt;"""",REGEXEXTRACT($T869, G$1&amp;""[\w &amp;]*, (\d+\.\d+)""),"""")
"),"")</f>
        <v/>
      </c>
      <c r="H869" s="3"/>
      <c r="I869" s="3" t="str">
        <f aca="false">IFERROR(__xludf.dummyfunction("if($T869&lt;&gt;"""",REGEXEXTRACT(SUBSTITUTE ($T869,I$1&amp;"" CE"",""""), I$1&amp;""[\w &amp;]*, (\d+\.\d+)""),"""")
"),"")</f>
        <v/>
      </c>
      <c r="J869" s="3" t="str">
        <f aca="false">IFERROR(__xludf.dummyfunction("if($T869&lt;&gt;"""",REGEXEXTRACT($T869, J$1&amp;""[\w &amp;]*, (\d+\.\d+)""),"""")
"),"")</f>
        <v/>
      </c>
      <c r="K869" s="3"/>
      <c r="L869" s="3" t="str">
        <f aca="false">IFERROR(__xludf.dummyfunction("if($T869&lt;&gt;"""",REGEXEXTRACT(SUBSTITUTE ($T869,L$1&amp;"" CE"",""""), L$1&amp;""[\w &amp;]*, (\d+\.\d+)""),"""")
"),"")</f>
        <v/>
      </c>
      <c r="M869" s="3" t="str">
        <f aca="false">IFERROR(__xludf.dummyfunction("if($T869&lt;&gt;"""",REGEXEXTRACT($T869, M$1&amp;""[\w &amp;]*, (\d+\.\d+)""),"""")
"),"")</f>
        <v/>
      </c>
      <c r="N869" s="3" t="str">
        <f aca="false">IFERROR(__xludf.dummyfunction("if($T869&lt;&gt;"""",REGEXEXTRACT(SUBSTITUTE ($T869,N$1&amp;"" CE"",""""), N$1&amp;""[\w &amp;]*, (\d+\.\d+)""),"""")
"),"")</f>
        <v/>
      </c>
      <c r="O869" s="3" t="str">
        <f aca="false">IFERROR(__xludf.dummyfunction("if($T869&lt;&gt;"""",REGEXEXTRACT($T869, O$1&amp;""[\w &amp;]*, (\d+\.\d+)""),"""")
"),"")</f>
        <v/>
      </c>
      <c r="P869" s="2"/>
      <c r="Q869" s="2"/>
      <c r="R869" s="2"/>
      <c r="S869" s="2"/>
      <c r="T869" s="5"/>
      <c r="U869" s="5"/>
    </row>
    <row r="870" customFormat="false" ht="15.75" hidden="false" customHeight="false" outlineLevel="0" collapsed="false">
      <c r="A870" s="4"/>
      <c r="B870" s="2"/>
      <c r="C870" s="2"/>
      <c r="D870" s="2"/>
      <c r="E870" s="2"/>
      <c r="F870" s="3" t="str">
        <f aca="false">IFERROR(__xludf.dummyfunction("if($T870&lt;&gt;"""",REGEXEXTRACT(SUBSTITUTE ($T870,F$1&amp;"" CE"",""""), F$1&amp;""[\w &amp;]*, (\d+\.\d+)""),"""")
"),"")</f>
        <v/>
      </c>
      <c r="G870" s="3" t="str">
        <f aca="false">IFERROR(__xludf.dummyfunction("if($T870&lt;&gt;"""",REGEXEXTRACT($T870, G$1&amp;""[\w &amp;]*, (\d+\.\d+)""),"""")
"),"")</f>
        <v/>
      </c>
      <c r="H870" s="3"/>
      <c r="I870" s="3" t="str">
        <f aca="false">IFERROR(__xludf.dummyfunction("if($T870&lt;&gt;"""",REGEXEXTRACT(SUBSTITUTE ($T870,I$1&amp;"" CE"",""""), I$1&amp;""[\w &amp;]*, (\d+\.\d+)""),"""")
"),"")</f>
        <v/>
      </c>
      <c r="J870" s="3" t="str">
        <f aca="false">IFERROR(__xludf.dummyfunction("if($T870&lt;&gt;"""",REGEXEXTRACT($T870, J$1&amp;""[\w &amp;]*, (\d+\.\d+)""),"""")
"),"")</f>
        <v/>
      </c>
      <c r="K870" s="3"/>
      <c r="L870" s="3" t="str">
        <f aca="false">IFERROR(__xludf.dummyfunction("if($T870&lt;&gt;"""",REGEXEXTRACT(SUBSTITUTE ($T870,L$1&amp;"" CE"",""""), L$1&amp;""[\w &amp;]*, (\d+\.\d+)""),"""")
"),"")</f>
        <v/>
      </c>
      <c r="M870" s="3" t="str">
        <f aca="false">IFERROR(__xludf.dummyfunction("if($T870&lt;&gt;"""",REGEXEXTRACT($T870, M$1&amp;""[\w &amp;]*, (\d+\.\d+)""),"""")
"),"")</f>
        <v/>
      </c>
      <c r="N870" s="3" t="str">
        <f aca="false">IFERROR(__xludf.dummyfunction("if($T870&lt;&gt;"""",REGEXEXTRACT(SUBSTITUTE ($T870,N$1&amp;"" CE"",""""), N$1&amp;""[\w &amp;]*, (\d+\.\d+)""),"""")
"),"")</f>
        <v/>
      </c>
      <c r="O870" s="3" t="str">
        <f aca="false">IFERROR(__xludf.dummyfunction("if($T870&lt;&gt;"""",REGEXEXTRACT($T870, O$1&amp;""[\w &amp;]*, (\d+\.\d+)""),"""")
"),"")</f>
        <v/>
      </c>
      <c r="P870" s="2"/>
      <c r="Q870" s="2"/>
      <c r="R870" s="2"/>
      <c r="S870" s="2"/>
      <c r="T870" s="5"/>
      <c r="U870" s="5"/>
    </row>
    <row r="871" customFormat="false" ht="15.75" hidden="false" customHeight="false" outlineLevel="0" collapsed="false">
      <c r="A871" s="4"/>
      <c r="B871" s="2"/>
      <c r="C871" s="2"/>
      <c r="D871" s="2"/>
      <c r="E871" s="2"/>
      <c r="F871" s="3" t="str">
        <f aca="false">IFERROR(__xludf.dummyfunction("if($T871&lt;&gt;"""",REGEXEXTRACT(SUBSTITUTE ($T871,F$1&amp;"" CE"",""""), F$1&amp;""[\w &amp;]*, (\d+\.\d+)""),"""")
"),"")</f>
        <v/>
      </c>
      <c r="G871" s="3" t="str">
        <f aca="false">IFERROR(__xludf.dummyfunction("if($T871&lt;&gt;"""",REGEXEXTRACT($T871, G$1&amp;""[\w &amp;]*, (\d+\.\d+)""),"""")
"),"")</f>
        <v/>
      </c>
      <c r="H871" s="3"/>
      <c r="I871" s="3" t="str">
        <f aca="false">IFERROR(__xludf.dummyfunction("if($T871&lt;&gt;"""",REGEXEXTRACT(SUBSTITUTE ($T871,I$1&amp;"" CE"",""""), I$1&amp;""[\w &amp;]*, (\d+\.\d+)""),"""")
"),"")</f>
        <v/>
      </c>
      <c r="J871" s="3" t="str">
        <f aca="false">IFERROR(__xludf.dummyfunction("if($T871&lt;&gt;"""",REGEXEXTRACT($T871, J$1&amp;""[\w &amp;]*, (\d+\.\d+)""),"""")
"),"")</f>
        <v/>
      </c>
      <c r="K871" s="3"/>
      <c r="L871" s="3" t="str">
        <f aca="false">IFERROR(__xludf.dummyfunction("if($T871&lt;&gt;"""",REGEXEXTRACT(SUBSTITUTE ($T871,L$1&amp;"" CE"",""""), L$1&amp;""[\w &amp;]*, (\d+\.\d+)""),"""")
"),"")</f>
        <v/>
      </c>
      <c r="M871" s="3" t="str">
        <f aca="false">IFERROR(__xludf.dummyfunction("if($T871&lt;&gt;"""",REGEXEXTRACT($T871, M$1&amp;""[\w &amp;]*, (\d+\.\d+)""),"""")
"),"")</f>
        <v/>
      </c>
      <c r="N871" s="3" t="str">
        <f aca="false">IFERROR(__xludf.dummyfunction("if($T871&lt;&gt;"""",REGEXEXTRACT(SUBSTITUTE ($T871,N$1&amp;"" CE"",""""), N$1&amp;""[\w &amp;]*, (\d+\.\d+)""),"""")
"),"")</f>
        <v/>
      </c>
      <c r="O871" s="3" t="str">
        <f aca="false">IFERROR(__xludf.dummyfunction("if($T871&lt;&gt;"""",REGEXEXTRACT($T871, O$1&amp;""[\w &amp;]*, (\d+\.\d+)""),"""")
"),"")</f>
        <v/>
      </c>
      <c r="P871" s="2"/>
      <c r="Q871" s="2"/>
      <c r="R871" s="2"/>
      <c r="S871" s="2"/>
      <c r="T871" s="5"/>
      <c r="U871" s="5"/>
    </row>
    <row r="872" customFormat="false" ht="15.75" hidden="false" customHeight="false" outlineLevel="0" collapsed="false">
      <c r="A872" s="4"/>
      <c r="B872" s="2"/>
      <c r="C872" s="2"/>
      <c r="D872" s="2"/>
      <c r="E872" s="2"/>
      <c r="F872" s="3" t="str">
        <f aca="false">IFERROR(__xludf.dummyfunction("if($T872&lt;&gt;"""",REGEXEXTRACT(SUBSTITUTE ($T872,F$1&amp;"" CE"",""""), F$1&amp;""[\w &amp;]*, (\d+\.\d+)""),"""")
"),"")</f>
        <v/>
      </c>
      <c r="G872" s="3" t="str">
        <f aca="false">IFERROR(__xludf.dummyfunction("if($T872&lt;&gt;"""",REGEXEXTRACT($T872, G$1&amp;""[\w &amp;]*, (\d+\.\d+)""),"""")
"),"")</f>
        <v/>
      </c>
      <c r="H872" s="3"/>
      <c r="I872" s="3" t="str">
        <f aca="false">IFERROR(__xludf.dummyfunction("if($T872&lt;&gt;"""",REGEXEXTRACT(SUBSTITUTE ($T872,I$1&amp;"" CE"",""""), I$1&amp;""[\w &amp;]*, (\d+\.\d+)""),"""")
"),"")</f>
        <v/>
      </c>
      <c r="J872" s="3" t="str">
        <f aca="false">IFERROR(__xludf.dummyfunction("if($T872&lt;&gt;"""",REGEXEXTRACT($T872, J$1&amp;""[\w &amp;]*, (\d+\.\d+)""),"""")
"),"")</f>
        <v/>
      </c>
      <c r="K872" s="3"/>
      <c r="L872" s="3" t="str">
        <f aca="false">IFERROR(__xludf.dummyfunction("if($T872&lt;&gt;"""",REGEXEXTRACT(SUBSTITUTE ($T872,L$1&amp;"" CE"",""""), L$1&amp;""[\w &amp;]*, (\d+\.\d+)""),"""")
"),"")</f>
        <v/>
      </c>
      <c r="M872" s="3" t="str">
        <f aca="false">IFERROR(__xludf.dummyfunction("if($T872&lt;&gt;"""",REGEXEXTRACT($T872, M$1&amp;""[\w &amp;]*, (\d+\.\d+)""),"""")
"),"")</f>
        <v/>
      </c>
      <c r="N872" s="3" t="str">
        <f aca="false">IFERROR(__xludf.dummyfunction("if($T872&lt;&gt;"""",REGEXEXTRACT(SUBSTITUTE ($T872,N$1&amp;"" CE"",""""), N$1&amp;""[\w &amp;]*, (\d+\.\d+)""),"""")
"),"")</f>
        <v/>
      </c>
      <c r="O872" s="3" t="str">
        <f aca="false">IFERROR(__xludf.dummyfunction("if($T872&lt;&gt;"""",REGEXEXTRACT($T872, O$1&amp;""[\w &amp;]*, (\d+\.\d+)""),"""")
"),"")</f>
        <v/>
      </c>
      <c r="P872" s="2"/>
      <c r="Q872" s="2"/>
      <c r="R872" s="2"/>
      <c r="S872" s="2"/>
      <c r="T872" s="5"/>
      <c r="U872" s="5"/>
    </row>
    <row r="873" customFormat="false" ht="15.75" hidden="false" customHeight="false" outlineLevel="0" collapsed="false">
      <c r="A873" s="4"/>
      <c r="B873" s="2"/>
      <c r="C873" s="2"/>
      <c r="D873" s="2"/>
      <c r="E873" s="2"/>
      <c r="F873" s="3" t="str">
        <f aca="false">IFERROR(__xludf.dummyfunction("if($T873&lt;&gt;"""",REGEXEXTRACT(SUBSTITUTE ($T873,F$1&amp;"" CE"",""""), F$1&amp;""[\w &amp;]*, (\d+\.\d+)""),"""")
"),"")</f>
        <v/>
      </c>
      <c r="G873" s="3" t="str">
        <f aca="false">IFERROR(__xludf.dummyfunction("if($T873&lt;&gt;"""",REGEXEXTRACT($T873, G$1&amp;""[\w &amp;]*, (\d+\.\d+)""),"""")
"),"")</f>
        <v/>
      </c>
      <c r="H873" s="3"/>
      <c r="I873" s="3" t="str">
        <f aca="false">IFERROR(__xludf.dummyfunction("if($T873&lt;&gt;"""",REGEXEXTRACT(SUBSTITUTE ($T873,I$1&amp;"" CE"",""""), I$1&amp;""[\w &amp;]*, (\d+\.\d+)""),"""")
"),"")</f>
        <v/>
      </c>
      <c r="J873" s="3" t="str">
        <f aca="false">IFERROR(__xludf.dummyfunction("if($T873&lt;&gt;"""",REGEXEXTRACT($T873, J$1&amp;""[\w &amp;]*, (\d+\.\d+)""),"""")
"),"")</f>
        <v/>
      </c>
      <c r="K873" s="3"/>
      <c r="L873" s="3" t="str">
        <f aca="false">IFERROR(__xludf.dummyfunction("if($T873&lt;&gt;"""",REGEXEXTRACT(SUBSTITUTE ($T873,L$1&amp;"" CE"",""""), L$1&amp;""[\w &amp;]*, (\d+\.\d+)""),"""")
"),"")</f>
        <v/>
      </c>
      <c r="M873" s="3" t="str">
        <f aca="false">IFERROR(__xludf.dummyfunction("if($T873&lt;&gt;"""",REGEXEXTRACT($T873, M$1&amp;""[\w &amp;]*, (\d+\.\d+)""),"""")
"),"")</f>
        <v/>
      </c>
      <c r="N873" s="3" t="str">
        <f aca="false">IFERROR(__xludf.dummyfunction("if($T873&lt;&gt;"""",REGEXEXTRACT(SUBSTITUTE ($T873,N$1&amp;"" CE"",""""), N$1&amp;""[\w &amp;]*, (\d+\.\d+)""),"""")
"),"")</f>
        <v/>
      </c>
      <c r="O873" s="3" t="str">
        <f aca="false">IFERROR(__xludf.dummyfunction("if($T873&lt;&gt;"""",REGEXEXTRACT($T873, O$1&amp;""[\w &amp;]*, (\d+\.\d+)""),"""")
"),"")</f>
        <v/>
      </c>
      <c r="P873" s="2"/>
      <c r="Q873" s="2"/>
      <c r="R873" s="2"/>
      <c r="S873" s="2"/>
      <c r="T873" s="5"/>
      <c r="U873" s="5"/>
    </row>
    <row r="874" customFormat="false" ht="15.75" hidden="false" customHeight="false" outlineLevel="0" collapsed="false">
      <c r="A874" s="4"/>
      <c r="B874" s="2"/>
      <c r="C874" s="2"/>
      <c r="D874" s="2"/>
      <c r="E874" s="2"/>
      <c r="F874" s="3" t="str">
        <f aca="false">IFERROR(__xludf.dummyfunction("if($T874&lt;&gt;"""",REGEXEXTRACT(SUBSTITUTE ($T874,F$1&amp;"" CE"",""""), F$1&amp;""[\w &amp;]*, (\d+\.\d+)""),"""")
"),"")</f>
        <v/>
      </c>
      <c r="G874" s="3" t="str">
        <f aca="false">IFERROR(__xludf.dummyfunction("if($T874&lt;&gt;"""",REGEXEXTRACT($T874, G$1&amp;""[\w &amp;]*, (\d+\.\d+)""),"""")
"),"")</f>
        <v/>
      </c>
      <c r="H874" s="3"/>
      <c r="I874" s="3" t="str">
        <f aca="false">IFERROR(__xludf.dummyfunction("if($T874&lt;&gt;"""",REGEXEXTRACT(SUBSTITUTE ($T874,I$1&amp;"" CE"",""""), I$1&amp;""[\w &amp;]*, (\d+\.\d+)""),"""")
"),"")</f>
        <v/>
      </c>
      <c r="J874" s="3" t="str">
        <f aca="false">IFERROR(__xludf.dummyfunction("if($T874&lt;&gt;"""",REGEXEXTRACT($T874, J$1&amp;""[\w &amp;]*, (\d+\.\d+)""),"""")
"),"")</f>
        <v/>
      </c>
      <c r="K874" s="3"/>
      <c r="L874" s="3" t="str">
        <f aca="false">IFERROR(__xludf.dummyfunction("if($T874&lt;&gt;"""",REGEXEXTRACT(SUBSTITUTE ($T874,L$1&amp;"" CE"",""""), L$1&amp;""[\w &amp;]*, (\d+\.\d+)""),"""")
"),"")</f>
        <v/>
      </c>
      <c r="M874" s="3" t="str">
        <f aca="false">IFERROR(__xludf.dummyfunction("if($T874&lt;&gt;"""",REGEXEXTRACT($T874, M$1&amp;""[\w &amp;]*, (\d+\.\d+)""),"""")
"),"")</f>
        <v/>
      </c>
      <c r="N874" s="3" t="str">
        <f aca="false">IFERROR(__xludf.dummyfunction("if($T874&lt;&gt;"""",REGEXEXTRACT(SUBSTITUTE ($T874,N$1&amp;"" CE"",""""), N$1&amp;""[\w &amp;]*, (\d+\.\d+)""),"""")
"),"")</f>
        <v/>
      </c>
      <c r="O874" s="3" t="str">
        <f aca="false">IFERROR(__xludf.dummyfunction("if($T874&lt;&gt;"""",REGEXEXTRACT($T874, O$1&amp;""[\w &amp;]*, (\d+\.\d+)""),"""")
"),"")</f>
        <v/>
      </c>
      <c r="P874" s="2"/>
      <c r="Q874" s="2"/>
      <c r="R874" s="2"/>
      <c r="S874" s="2"/>
      <c r="T874" s="5"/>
      <c r="U874" s="5"/>
    </row>
    <row r="875" customFormat="false" ht="15.75" hidden="false" customHeight="false" outlineLevel="0" collapsed="false">
      <c r="A875" s="4"/>
      <c r="B875" s="2"/>
      <c r="C875" s="2"/>
      <c r="D875" s="2"/>
      <c r="E875" s="2"/>
      <c r="F875" s="3" t="str">
        <f aca="false">IFERROR(__xludf.dummyfunction("if($T875&lt;&gt;"""",REGEXEXTRACT(SUBSTITUTE ($T875,F$1&amp;"" CE"",""""), F$1&amp;""[\w &amp;]*, (\d+\.\d+)""),"""")
"),"")</f>
        <v/>
      </c>
      <c r="G875" s="3" t="str">
        <f aca="false">IFERROR(__xludf.dummyfunction("if($T875&lt;&gt;"""",REGEXEXTRACT($T875, G$1&amp;""[\w &amp;]*, (\d+\.\d+)""),"""")
"),"")</f>
        <v/>
      </c>
      <c r="H875" s="3"/>
      <c r="I875" s="3" t="str">
        <f aca="false">IFERROR(__xludf.dummyfunction("if($T875&lt;&gt;"""",REGEXEXTRACT(SUBSTITUTE ($T875,I$1&amp;"" CE"",""""), I$1&amp;""[\w &amp;]*, (\d+\.\d+)""),"""")
"),"")</f>
        <v/>
      </c>
      <c r="J875" s="3" t="str">
        <f aca="false">IFERROR(__xludf.dummyfunction("if($T875&lt;&gt;"""",REGEXEXTRACT($T875, J$1&amp;""[\w &amp;]*, (\d+\.\d+)""),"""")
"),"")</f>
        <v/>
      </c>
      <c r="K875" s="3"/>
      <c r="L875" s="3" t="str">
        <f aca="false">IFERROR(__xludf.dummyfunction("if($T875&lt;&gt;"""",REGEXEXTRACT(SUBSTITUTE ($T875,L$1&amp;"" CE"",""""), L$1&amp;""[\w &amp;]*, (\d+\.\d+)""),"""")
"),"")</f>
        <v/>
      </c>
      <c r="M875" s="3" t="str">
        <f aca="false">IFERROR(__xludf.dummyfunction("if($T875&lt;&gt;"""",REGEXEXTRACT($T875, M$1&amp;""[\w &amp;]*, (\d+\.\d+)""),"""")
"),"")</f>
        <v/>
      </c>
      <c r="N875" s="3" t="str">
        <f aca="false">IFERROR(__xludf.dummyfunction("if($T875&lt;&gt;"""",REGEXEXTRACT(SUBSTITUTE ($T875,N$1&amp;"" CE"",""""), N$1&amp;""[\w &amp;]*, (\d+\.\d+)""),"""")
"),"")</f>
        <v/>
      </c>
      <c r="O875" s="3" t="str">
        <f aca="false">IFERROR(__xludf.dummyfunction("if($T875&lt;&gt;"""",REGEXEXTRACT($T875, O$1&amp;""[\w &amp;]*, (\d+\.\d+)""),"""")
"),"")</f>
        <v/>
      </c>
      <c r="P875" s="2"/>
      <c r="Q875" s="2"/>
      <c r="R875" s="2"/>
      <c r="S875" s="2"/>
      <c r="T875" s="5"/>
      <c r="U875" s="5"/>
    </row>
    <row r="876" customFormat="false" ht="15.75" hidden="false" customHeight="false" outlineLevel="0" collapsed="false">
      <c r="A876" s="4"/>
      <c r="B876" s="2"/>
      <c r="C876" s="2"/>
      <c r="D876" s="2"/>
      <c r="E876" s="2"/>
      <c r="F876" s="3" t="str">
        <f aca="false">IFERROR(__xludf.dummyfunction("if($T876&lt;&gt;"""",REGEXEXTRACT(SUBSTITUTE ($T876,F$1&amp;"" CE"",""""), F$1&amp;""[\w &amp;]*, (\d+\.\d+)""),"""")
"),"")</f>
        <v/>
      </c>
      <c r="G876" s="3" t="str">
        <f aca="false">IFERROR(__xludf.dummyfunction("if($T876&lt;&gt;"""",REGEXEXTRACT($T876, G$1&amp;""[\w &amp;]*, (\d+\.\d+)""),"""")
"),"")</f>
        <v/>
      </c>
      <c r="H876" s="3"/>
      <c r="I876" s="3" t="str">
        <f aca="false">IFERROR(__xludf.dummyfunction("if($T876&lt;&gt;"""",REGEXEXTRACT(SUBSTITUTE ($T876,I$1&amp;"" CE"",""""), I$1&amp;""[\w &amp;]*, (\d+\.\d+)""),"""")
"),"")</f>
        <v/>
      </c>
      <c r="J876" s="3" t="str">
        <f aca="false">IFERROR(__xludf.dummyfunction("if($T876&lt;&gt;"""",REGEXEXTRACT($T876, J$1&amp;""[\w &amp;]*, (\d+\.\d+)""),"""")
"),"")</f>
        <v/>
      </c>
      <c r="K876" s="3"/>
      <c r="L876" s="3" t="str">
        <f aca="false">IFERROR(__xludf.dummyfunction("if($T876&lt;&gt;"""",REGEXEXTRACT(SUBSTITUTE ($T876,L$1&amp;"" CE"",""""), L$1&amp;""[\w &amp;]*, (\d+\.\d+)""),"""")
"),"")</f>
        <v/>
      </c>
      <c r="M876" s="3" t="str">
        <f aca="false">IFERROR(__xludf.dummyfunction("if($T876&lt;&gt;"""",REGEXEXTRACT($T876, M$1&amp;""[\w &amp;]*, (\d+\.\d+)""),"""")
"),"")</f>
        <v/>
      </c>
      <c r="N876" s="3" t="str">
        <f aca="false">IFERROR(__xludf.dummyfunction("if($T876&lt;&gt;"""",REGEXEXTRACT(SUBSTITUTE ($T876,N$1&amp;"" CE"",""""), N$1&amp;""[\w &amp;]*, (\d+\.\d+)""),"""")
"),"")</f>
        <v/>
      </c>
      <c r="O876" s="3" t="str">
        <f aca="false">IFERROR(__xludf.dummyfunction("if($T876&lt;&gt;"""",REGEXEXTRACT($T876, O$1&amp;""[\w &amp;]*, (\d+\.\d+)""),"""")
"),"")</f>
        <v/>
      </c>
      <c r="P876" s="2"/>
      <c r="Q876" s="2"/>
      <c r="R876" s="2"/>
      <c r="S876" s="2"/>
      <c r="T876" s="5"/>
      <c r="U876" s="5"/>
    </row>
    <row r="877" customFormat="false" ht="15.75" hidden="false" customHeight="false" outlineLevel="0" collapsed="false">
      <c r="A877" s="4"/>
      <c r="B877" s="2"/>
      <c r="C877" s="2"/>
      <c r="D877" s="2"/>
      <c r="E877" s="2"/>
      <c r="F877" s="3" t="str">
        <f aca="false">IFERROR(__xludf.dummyfunction("if($T877&lt;&gt;"""",REGEXEXTRACT(SUBSTITUTE ($T877,F$1&amp;"" CE"",""""), F$1&amp;""[\w &amp;]*, (\d+\.\d+)""),"""")
"),"")</f>
        <v/>
      </c>
      <c r="G877" s="3" t="str">
        <f aca="false">IFERROR(__xludf.dummyfunction("if($T877&lt;&gt;"""",REGEXEXTRACT($T877, G$1&amp;""[\w &amp;]*, (\d+\.\d+)""),"""")
"),"")</f>
        <v/>
      </c>
      <c r="H877" s="3"/>
      <c r="I877" s="3" t="str">
        <f aca="false">IFERROR(__xludf.dummyfunction("if($T877&lt;&gt;"""",REGEXEXTRACT(SUBSTITUTE ($T877,I$1&amp;"" CE"",""""), I$1&amp;""[\w &amp;]*, (\d+\.\d+)""),"""")
"),"")</f>
        <v/>
      </c>
      <c r="J877" s="3" t="str">
        <f aca="false">IFERROR(__xludf.dummyfunction("if($T877&lt;&gt;"""",REGEXEXTRACT($T877, J$1&amp;""[\w &amp;]*, (\d+\.\d+)""),"""")
"),"")</f>
        <v/>
      </c>
      <c r="K877" s="3"/>
      <c r="L877" s="3" t="str">
        <f aca="false">IFERROR(__xludf.dummyfunction("if($T877&lt;&gt;"""",REGEXEXTRACT(SUBSTITUTE ($T877,L$1&amp;"" CE"",""""), L$1&amp;""[\w &amp;]*, (\d+\.\d+)""),"""")
"),"")</f>
        <v/>
      </c>
      <c r="M877" s="3" t="str">
        <f aca="false">IFERROR(__xludf.dummyfunction("if($T877&lt;&gt;"""",REGEXEXTRACT($T877, M$1&amp;""[\w &amp;]*, (\d+\.\d+)""),"""")
"),"")</f>
        <v/>
      </c>
      <c r="N877" s="3" t="str">
        <f aca="false">IFERROR(__xludf.dummyfunction("if($T877&lt;&gt;"""",REGEXEXTRACT(SUBSTITUTE ($T877,N$1&amp;"" CE"",""""), N$1&amp;""[\w &amp;]*, (\d+\.\d+)""),"""")
"),"")</f>
        <v/>
      </c>
      <c r="O877" s="3" t="str">
        <f aca="false">IFERROR(__xludf.dummyfunction("if($T877&lt;&gt;"""",REGEXEXTRACT($T877, O$1&amp;""[\w &amp;]*, (\d+\.\d+)""),"""")
"),"")</f>
        <v/>
      </c>
      <c r="P877" s="2"/>
      <c r="Q877" s="2"/>
      <c r="R877" s="2"/>
      <c r="S877" s="2"/>
      <c r="T877" s="5"/>
      <c r="U877" s="5"/>
    </row>
    <row r="878" customFormat="false" ht="15.75" hidden="false" customHeight="false" outlineLevel="0" collapsed="false">
      <c r="A878" s="4"/>
      <c r="B878" s="2"/>
      <c r="C878" s="2"/>
      <c r="D878" s="2"/>
      <c r="E878" s="2"/>
      <c r="F878" s="3" t="str">
        <f aca="false">IFERROR(__xludf.dummyfunction("if($T878&lt;&gt;"""",REGEXEXTRACT(SUBSTITUTE ($T878,F$1&amp;"" CE"",""""), F$1&amp;""[\w &amp;]*, (\d+\.\d+)""),"""")
"),"")</f>
        <v/>
      </c>
      <c r="G878" s="3" t="str">
        <f aca="false">IFERROR(__xludf.dummyfunction("if($T878&lt;&gt;"""",REGEXEXTRACT($T878, G$1&amp;""[\w &amp;]*, (\d+\.\d+)""),"""")
"),"")</f>
        <v/>
      </c>
      <c r="H878" s="3"/>
      <c r="I878" s="3" t="str">
        <f aca="false">IFERROR(__xludf.dummyfunction("if($T878&lt;&gt;"""",REGEXEXTRACT(SUBSTITUTE ($T878,I$1&amp;"" CE"",""""), I$1&amp;""[\w &amp;]*, (\d+\.\d+)""),"""")
"),"")</f>
        <v/>
      </c>
      <c r="J878" s="3" t="str">
        <f aca="false">IFERROR(__xludf.dummyfunction("if($T878&lt;&gt;"""",REGEXEXTRACT($T878, J$1&amp;""[\w &amp;]*, (\d+\.\d+)""),"""")
"),"")</f>
        <v/>
      </c>
      <c r="K878" s="3"/>
      <c r="L878" s="3" t="str">
        <f aca="false">IFERROR(__xludf.dummyfunction("if($T878&lt;&gt;"""",REGEXEXTRACT(SUBSTITUTE ($T878,L$1&amp;"" CE"",""""), L$1&amp;""[\w &amp;]*, (\d+\.\d+)""),"""")
"),"")</f>
        <v/>
      </c>
      <c r="M878" s="3" t="str">
        <f aca="false">IFERROR(__xludf.dummyfunction("if($T878&lt;&gt;"""",REGEXEXTRACT($T878, M$1&amp;""[\w &amp;]*, (\d+\.\d+)""),"""")
"),"")</f>
        <v/>
      </c>
      <c r="N878" s="3" t="str">
        <f aca="false">IFERROR(__xludf.dummyfunction("if($T878&lt;&gt;"""",REGEXEXTRACT(SUBSTITUTE ($T878,N$1&amp;"" CE"",""""), N$1&amp;""[\w &amp;]*, (\d+\.\d+)""),"""")
"),"")</f>
        <v/>
      </c>
      <c r="O878" s="3" t="str">
        <f aca="false">IFERROR(__xludf.dummyfunction("if($T878&lt;&gt;"""",REGEXEXTRACT($T878, O$1&amp;""[\w &amp;]*, (\d+\.\d+)""),"""")
"),"")</f>
        <v/>
      </c>
      <c r="P878" s="2"/>
      <c r="Q878" s="2"/>
      <c r="R878" s="2"/>
      <c r="S878" s="2"/>
      <c r="T878" s="5"/>
      <c r="U878" s="5"/>
    </row>
    <row r="879" customFormat="false" ht="15.75" hidden="false" customHeight="false" outlineLevel="0" collapsed="false">
      <c r="A879" s="4"/>
      <c r="B879" s="2"/>
      <c r="C879" s="2"/>
      <c r="D879" s="2"/>
      <c r="E879" s="2"/>
      <c r="F879" s="3" t="str">
        <f aca="false">IFERROR(__xludf.dummyfunction("if($T879&lt;&gt;"""",REGEXEXTRACT(SUBSTITUTE ($T879,F$1&amp;"" CE"",""""), F$1&amp;""[\w &amp;]*, (\d+\.\d+)""),"""")
"),"")</f>
        <v/>
      </c>
      <c r="G879" s="3" t="str">
        <f aca="false">IFERROR(__xludf.dummyfunction("if($T879&lt;&gt;"""",REGEXEXTRACT($T879, G$1&amp;""[\w &amp;]*, (\d+\.\d+)""),"""")
"),"")</f>
        <v/>
      </c>
      <c r="H879" s="3"/>
      <c r="I879" s="3" t="str">
        <f aca="false">IFERROR(__xludf.dummyfunction("if($T879&lt;&gt;"""",REGEXEXTRACT(SUBSTITUTE ($T879,I$1&amp;"" CE"",""""), I$1&amp;""[\w &amp;]*, (\d+\.\d+)""),"""")
"),"")</f>
        <v/>
      </c>
      <c r="J879" s="3" t="str">
        <f aca="false">IFERROR(__xludf.dummyfunction("if($T879&lt;&gt;"""",REGEXEXTRACT($T879, J$1&amp;""[\w &amp;]*, (\d+\.\d+)""),"""")
"),"")</f>
        <v/>
      </c>
      <c r="K879" s="3"/>
      <c r="L879" s="3" t="str">
        <f aca="false">IFERROR(__xludf.dummyfunction("if($T879&lt;&gt;"""",REGEXEXTRACT(SUBSTITUTE ($T879,L$1&amp;"" CE"",""""), L$1&amp;""[\w &amp;]*, (\d+\.\d+)""),"""")
"),"")</f>
        <v/>
      </c>
      <c r="M879" s="3" t="str">
        <f aca="false">IFERROR(__xludf.dummyfunction("if($T879&lt;&gt;"""",REGEXEXTRACT($T879, M$1&amp;""[\w &amp;]*, (\d+\.\d+)""),"""")
"),"")</f>
        <v/>
      </c>
      <c r="N879" s="3" t="str">
        <f aca="false">IFERROR(__xludf.dummyfunction("if($T879&lt;&gt;"""",REGEXEXTRACT(SUBSTITUTE ($T879,N$1&amp;"" CE"",""""), N$1&amp;""[\w &amp;]*, (\d+\.\d+)""),"""")
"),"")</f>
        <v/>
      </c>
      <c r="O879" s="3" t="str">
        <f aca="false">IFERROR(__xludf.dummyfunction("if($T879&lt;&gt;"""",REGEXEXTRACT($T879, O$1&amp;""[\w &amp;]*, (\d+\.\d+)""),"""")
"),"")</f>
        <v/>
      </c>
      <c r="P879" s="2"/>
      <c r="Q879" s="2"/>
      <c r="R879" s="2"/>
      <c r="S879" s="2"/>
      <c r="T879" s="5"/>
      <c r="U879" s="5"/>
    </row>
    <row r="880" customFormat="false" ht="15.75" hidden="false" customHeight="false" outlineLevel="0" collapsed="false">
      <c r="A880" s="4"/>
      <c r="B880" s="2"/>
      <c r="C880" s="2"/>
      <c r="D880" s="2"/>
      <c r="E880" s="2"/>
      <c r="F880" s="3" t="str">
        <f aca="false">IFERROR(__xludf.dummyfunction("if($T880&lt;&gt;"""",REGEXEXTRACT(SUBSTITUTE ($T880,F$1&amp;"" CE"",""""), F$1&amp;""[\w &amp;]*, (\d+\.\d+)""),"""")
"),"")</f>
        <v/>
      </c>
      <c r="G880" s="3" t="str">
        <f aca="false">IFERROR(__xludf.dummyfunction("if($T880&lt;&gt;"""",REGEXEXTRACT($T880, G$1&amp;""[\w &amp;]*, (\d+\.\d+)""),"""")
"),"")</f>
        <v/>
      </c>
      <c r="H880" s="3"/>
      <c r="I880" s="3" t="str">
        <f aca="false">IFERROR(__xludf.dummyfunction("if($T880&lt;&gt;"""",REGEXEXTRACT(SUBSTITUTE ($T880,I$1&amp;"" CE"",""""), I$1&amp;""[\w &amp;]*, (\d+\.\d+)""),"""")
"),"")</f>
        <v/>
      </c>
      <c r="J880" s="3" t="str">
        <f aca="false">IFERROR(__xludf.dummyfunction("if($T880&lt;&gt;"""",REGEXEXTRACT($T880, J$1&amp;""[\w &amp;]*, (\d+\.\d+)""),"""")
"),"")</f>
        <v/>
      </c>
      <c r="K880" s="3"/>
      <c r="L880" s="3" t="str">
        <f aca="false">IFERROR(__xludf.dummyfunction("if($T880&lt;&gt;"""",REGEXEXTRACT(SUBSTITUTE ($T880,L$1&amp;"" CE"",""""), L$1&amp;""[\w &amp;]*, (\d+\.\d+)""),"""")
"),"")</f>
        <v/>
      </c>
      <c r="M880" s="3" t="str">
        <f aca="false">IFERROR(__xludf.dummyfunction("if($T880&lt;&gt;"""",REGEXEXTRACT($T880, M$1&amp;""[\w &amp;]*, (\d+\.\d+)""),"""")
"),"")</f>
        <v/>
      </c>
      <c r="N880" s="3" t="str">
        <f aca="false">IFERROR(__xludf.dummyfunction("if($T880&lt;&gt;"""",REGEXEXTRACT(SUBSTITUTE ($T880,N$1&amp;"" CE"",""""), N$1&amp;""[\w &amp;]*, (\d+\.\d+)""),"""")
"),"")</f>
        <v/>
      </c>
      <c r="O880" s="3" t="str">
        <f aca="false">IFERROR(__xludf.dummyfunction("if($T880&lt;&gt;"""",REGEXEXTRACT($T880, O$1&amp;""[\w &amp;]*, (\d+\.\d+)""),"""")
"),"")</f>
        <v/>
      </c>
      <c r="P880" s="2"/>
      <c r="Q880" s="2"/>
      <c r="R880" s="2"/>
      <c r="S880" s="2"/>
      <c r="T880" s="5"/>
      <c r="U880" s="5"/>
    </row>
    <row r="881" customFormat="false" ht="15.75" hidden="false" customHeight="false" outlineLevel="0" collapsed="false">
      <c r="A881" s="4"/>
      <c r="B881" s="2"/>
      <c r="C881" s="2"/>
      <c r="D881" s="2"/>
      <c r="E881" s="2"/>
      <c r="F881" s="3" t="str">
        <f aca="false">IFERROR(__xludf.dummyfunction("if($T881&lt;&gt;"""",REGEXEXTRACT(SUBSTITUTE ($T881,F$1&amp;"" CE"",""""), F$1&amp;""[\w &amp;]*, (\d+\.\d+)""),"""")
"),"")</f>
        <v/>
      </c>
      <c r="G881" s="3" t="str">
        <f aca="false">IFERROR(__xludf.dummyfunction("if($T881&lt;&gt;"""",REGEXEXTRACT($T881, G$1&amp;""[\w &amp;]*, (\d+\.\d+)""),"""")
"),"")</f>
        <v/>
      </c>
      <c r="H881" s="3"/>
      <c r="I881" s="3" t="str">
        <f aca="false">IFERROR(__xludf.dummyfunction("if($T881&lt;&gt;"""",REGEXEXTRACT(SUBSTITUTE ($T881,I$1&amp;"" CE"",""""), I$1&amp;""[\w &amp;]*, (\d+\.\d+)""),"""")
"),"")</f>
        <v/>
      </c>
      <c r="J881" s="3" t="str">
        <f aca="false">IFERROR(__xludf.dummyfunction("if($T881&lt;&gt;"""",REGEXEXTRACT($T881, J$1&amp;""[\w &amp;]*, (\d+\.\d+)""),"""")
"),"")</f>
        <v/>
      </c>
      <c r="K881" s="3"/>
      <c r="L881" s="3" t="str">
        <f aca="false">IFERROR(__xludf.dummyfunction("if($T881&lt;&gt;"""",REGEXEXTRACT(SUBSTITUTE ($T881,L$1&amp;"" CE"",""""), L$1&amp;""[\w &amp;]*, (\d+\.\d+)""),"""")
"),"")</f>
        <v/>
      </c>
      <c r="M881" s="3" t="str">
        <f aca="false">IFERROR(__xludf.dummyfunction("if($T881&lt;&gt;"""",REGEXEXTRACT($T881, M$1&amp;""[\w &amp;]*, (\d+\.\d+)""),"""")
"),"")</f>
        <v/>
      </c>
      <c r="N881" s="3" t="str">
        <f aca="false">IFERROR(__xludf.dummyfunction("if($T881&lt;&gt;"""",REGEXEXTRACT(SUBSTITUTE ($T881,N$1&amp;"" CE"",""""), N$1&amp;""[\w &amp;]*, (\d+\.\d+)""),"""")
"),"")</f>
        <v/>
      </c>
      <c r="O881" s="3" t="str">
        <f aca="false">IFERROR(__xludf.dummyfunction("if($T881&lt;&gt;"""",REGEXEXTRACT($T881, O$1&amp;""[\w &amp;]*, (\d+\.\d+)""),"""")
"),"")</f>
        <v/>
      </c>
      <c r="P881" s="2"/>
      <c r="Q881" s="2"/>
      <c r="R881" s="2"/>
      <c r="S881" s="2"/>
      <c r="T881" s="5"/>
      <c r="U881" s="5"/>
    </row>
    <row r="882" customFormat="false" ht="15.75" hidden="false" customHeight="false" outlineLevel="0" collapsed="false">
      <c r="A882" s="4"/>
      <c r="B882" s="2"/>
      <c r="C882" s="2"/>
      <c r="D882" s="2"/>
      <c r="E882" s="2"/>
      <c r="F882" s="3" t="str">
        <f aca="false">IFERROR(__xludf.dummyfunction("if($T882&lt;&gt;"""",REGEXEXTRACT(SUBSTITUTE ($T882,F$1&amp;"" CE"",""""), F$1&amp;""[\w &amp;]*, (\d+\.\d+)""),"""")
"),"")</f>
        <v/>
      </c>
      <c r="G882" s="3" t="str">
        <f aca="false">IFERROR(__xludf.dummyfunction("if($T882&lt;&gt;"""",REGEXEXTRACT($T882, G$1&amp;""[\w &amp;]*, (\d+\.\d+)""),"""")
"),"")</f>
        <v/>
      </c>
      <c r="H882" s="3"/>
      <c r="I882" s="3" t="str">
        <f aca="false">IFERROR(__xludf.dummyfunction("if($T882&lt;&gt;"""",REGEXEXTRACT(SUBSTITUTE ($T882,I$1&amp;"" CE"",""""), I$1&amp;""[\w &amp;]*, (\d+\.\d+)""),"""")
"),"")</f>
        <v/>
      </c>
      <c r="J882" s="3" t="str">
        <f aca="false">IFERROR(__xludf.dummyfunction("if($T882&lt;&gt;"""",REGEXEXTRACT($T882, J$1&amp;""[\w &amp;]*, (\d+\.\d+)""),"""")
"),"")</f>
        <v/>
      </c>
      <c r="K882" s="3"/>
      <c r="L882" s="3" t="str">
        <f aca="false">IFERROR(__xludf.dummyfunction("if($T882&lt;&gt;"""",REGEXEXTRACT(SUBSTITUTE ($T882,L$1&amp;"" CE"",""""), L$1&amp;""[\w &amp;]*, (\d+\.\d+)""),"""")
"),"")</f>
        <v/>
      </c>
      <c r="M882" s="3" t="str">
        <f aca="false">IFERROR(__xludf.dummyfunction("if($T882&lt;&gt;"""",REGEXEXTRACT($T882, M$1&amp;""[\w &amp;]*, (\d+\.\d+)""),"""")
"),"")</f>
        <v/>
      </c>
      <c r="N882" s="3" t="str">
        <f aca="false">IFERROR(__xludf.dummyfunction("if($T882&lt;&gt;"""",REGEXEXTRACT(SUBSTITUTE ($T882,N$1&amp;"" CE"",""""), N$1&amp;""[\w &amp;]*, (\d+\.\d+)""),"""")
"),"")</f>
        <v/>
      </c>
      <c r="O882" s="3" t="str">
        <f aca="false">IFERROR(__xludf.dummyfunction("if($T882&lt;&gt;"""",REGEXEXTRACT($T882, O$1&amp;""[\w &amp;]*, (\d+\.\d+)""),"""")
"),"")</f>
        <v/>
      </c>
      <c r="P882" s="2"/>
      <c r="Q882" s="2"/>
      <c r="R882" s="2"/>
      <c r="S882" s="2"/>
      <c r="T882" s="5"/>
      <c r="U882" s="5"/>
    </row>
    <row r="883" customFormat="false" ht="15.75" hidden="false" customHeight="false" outlineLevel="0" collapsed="false">
      <c r="A883" s="4"/>
      <c r="B883" s="2"/>
      <c r="C883" s="2"/>
      <c r="D883" s="2"/>
      <c r="E883" s="2"/>
      <c r="F883" s="3" t="str">
        <f aca="false">IFERROR(__xludf.dummyfunction("if($T883&lt;&gt;"""",REGEXEXTRACT(SUBSTITUTE ($T883,F$1&amp;"" CE"",""""), F$1&amp;""[\w &amp;]*, (\d+\.\d+)""),"""")
"),"")</f>
        <v/>
      </c>
      <c r="G883" s="3" t="str">
        <f aca="false">IFERROR(__xludf.dummyfunction("if($T883&lt;&gt;"""",REGEXEXTRACT($T883, G$1&amp;""[\w &amp;]*, (\d+\.\d+)""),"""")
"),"")</f>
        <v/>
      </c>
      <c r="H883" s="3"/>
      <c r="I883" s="3" t="str">
        <f aca="false">IFERROR(__xludf.dummyfunction("if($T883&lt;&gt;"""",REGEXEXTRACT(SUBSTITUTE ($T883,I$1&amp;"" CE"",""""), I$1&amp;""[\w &amp;]*, (\d+\.\d+)""),"""")
"),"")</f>
        <v/>
      </c>
      <c r="J883" s="3" t="str">
        <f aca="false">IFERROR(__xludf.dummyfunction("if($T883&lt;&gt;"""",REGEXEXTRACT($T883, J$1&amp;""[\w &amp;]*, (\d+\.\d+)""),"""")
"),"")</f>
        <v/>
      </c>
      <c r="K883" s="3"/>
      <c r="L883" s="3" t="str">
        <f aca="false">IFERROR(__xludf.dummyfunction("if($T883&lt;&gt;"""",REGEXEXTRACT(SUBSTITUTE ($T883,L$1&amp;"" CE"",""""), L$1&amp;""[\w &amp;]*, (\d+\.\d+)""),"""")
"),"")</f>
        <v/>
      </c>
      <c r="M883" s="3" t="str">
        <f aca="false">IFERROR(__xludf.dummyfunction("if($T883&lt;&gt;"""",REGEXEXTRACT($T883, M$1&amp;""[\w &amp;]*, (\d+\.\d+)""),"""")
"),"")</f>
        <v/>
      </c>
      <c r="N883" s="3" t="str">
        <f aca="false">IFERROR(__xludf.dummyfunction("if($T883&lt;&gt;"""",REGEXEXTRACT(SUBSTITUTE ($T883,N$1&amp;"" CE"",""""), N$1&amp;""[\w &amp;]*, (\d+\.\d+)""),"""")
"),"")</f>
        <v/>
      </c>
      <c r="O883" s="3" t="str">
        <f aca="false">IFERROR(__xludf.dummyfunction("if($T883&lt;&gt;"""",REGEXEXTRACT($T883, O$1&amp;""[\w &amp;]*, (\d+\.\d+)""),"""")
"),"")</f>
        <v/>
      </c>
      <c r="P883" s="2"/>
      <c r="Q883" s="2"/>
      <c r="R883" s="2"/>
      <c r="S883" s="2"/>
      <c r="T883" s="5"/>
      <c r="U883" s="5"/>
    </row>
    <row r="884" customFormat="false" ht="15.75" hidden="false" customHeight="false" outlineLevel="0" collapsed="false">
      <c r="A884" s="4"/>
      <c r="B884" s="2"/>
      <c r="C884" s="2"/>
      <c r="D884" s="2"/>
      <c r="E884" s="2"/>
      <c r="F884" s="3" t="str">
        <f aca="false">IFERROR(__xludf.dummyfunction("if($T884&lt;&gt;"""",REGEXEXTRACT(SUBSTITUTE ($T884,F$1&amp;"" CE"",""""), F$1&amp;""[\w &amp;]*, (\d+\.\d+)""),"""")
"),"")</f>
        <v/>
      </c>
      <c r="G884" s="3" t="str">
        <f aca="false">IFERROR(__xludf.dummyfunction("if($T884&lt;&gt;"""",REGEXEXTRACT($T884, G$1&amp;""[\w &amp;]*, (\d+\.\d+)""),"""")
"),"")</f>
        <v/>
      </c>
      <c r="H884" s="3"/>
      <c r="I884" s="3" t="str">
        <f aca="false">IFERROR(__xludf.dummyfunction("if($T884&lt;&gt;"""",REGEXEXTRACT(SUBSTITUTE ($T884,I$1&amp;"" CE"",""""), I$1&amp;""[\w &amp;]*, (\d+\.\d+)""),"""")
"),"")</f>
        <v/>
      </c>
      <c r="J884" s="3" t="str">
        <f aca="false">IFERROR(__xludf.dummyfunction("if($T884&lt;&gt;"""",REGEXEXTRACT($T884, J$1&amp;""[\w &amp;]*, (\d+\.\d+)""),"""")
"),"")</f>
        <v/>
      </c>
      <c r="K884" s="3"/>
      <c r="L884" s="3" t="str">
        <f aca="false">IFERROR(__xludf.dummyfunction("if($T884&lt;&gt;"""",REGEXEXTRACT(SUBSTITUTE ($T884,L$1&amp;"" CE"",""""), L$1&amp;""[\w &amp;]*, (\d+\.\d+)""),"""")
"),"")</f>
        <v/>
      </c>
      <c r="M884" s="3" t="str">
        <f aca="false">IFERROR(__xludf.dummyfunction("if($T884&lt;&gt;"""",REGEXEXTRACT($T884, M$1&amp;""[\w &amp;]*, (\d+\.\d+)""),"""")
"),"")</f>
        <v/>
      </c>
      <c r="N884" s="3" t="str">
        <f aca="false">IFERROR(__xludf.dummyfunction("if($T884&lt;&gt;"""",REGEXEXTRACT(SUBSTITUTE ($T884,N$1&amp;"" CE"",""""), N$1&amp;""[\w &amp;]*, (\d+\.\d+)""),"""")
"),"")</f>
        <v/>
      </c>
      <c r="O884" s="3" t="str">
        <f aca="false">IFERROR(__xludf.dummyfunction("if($T884&lt;&gt;"""",REGEXEXTRACT($T884, O$1&amp;""[\w &amp;]*, (\d+\.\d+)""),"""")
"),"")</f>
        <v/>
      </c>
      <c r="P884" s="2"/>
      <c r="Q884" s="2"/>
      <c r="R884" s="2"/>
      <c r="S884" s="2"/>
      <c r="T884" s="5"/>
      <c r="U884" s="5"/>
    </row>
    <row r="885" customFormat="false" ht="15.75" hidden="false" customHeight="false" outlineLevel="0" collapsed="false">
      <c r="A885" s="4"/>
      <c r="B885" s="2"/>
      <c r="C885" s="2"/>
      <c r="D885" s="2"/>
      <c r="E885" s="2"/>
      <c r="F885" s="3" t="str">
        <f aca="false">IFERROR(__xludf.dummyfunction("if($T885&lt;&gt;"""",REGEXEXTRACT(SUBSTITUTE ($T885,F$1&amp;"" CE"",""""), F$1&amp;""[\w &amp;]*, (\d+\.\d+)""),"""")
"),"")</f>
        <v/>
      </c>
      <c r="G885" s="3" t="str">
        <f aca="false">IFERROR(__xludf.dummyfunction("if($T885&lt;&gt;"""",REGEXEXTRACT($T885, G$1&amp;""[\w &amp;]*, (\d+\.\d+)""),"""")
"),"")</f>
        <v/>
      </c>
      <c r="H885" s="3"/>
      <c r="I885" s="3" t="str">
        <f aca="false">IFERROR(__xludf.dummyfunction("if($T885&lt;&gt;"""",REGEXEXTRACT(SUBSTITUTE ($T885,I$1&amp;"" CE"",""""), I$1&amp;""[\w &amp;]*, (\d+\.\d+)""),"""")
"),"")</f>
        <v/>
      </c>
      <c r="J885" s="3" t="str">
        <f aca="false">IFERROR(__xludf.dummyfunction("if($T885&lt;&gt;"""",REGEXEXTRACT($T885, J$1&amp;""[\w &amp;]*, (\d+\.\d+)""),"""")
"),"")</f>
        <v/>
      </c>
      <c r="K885" s="3"/>
      <c r="L885" s="3" t="str">
        <f aca="false">IFERROR(__xludf.dummyfunction("if($T885&lt;&gt;"""",REGEXEXTRACT(SUBSTITUTE ($T885,L$1&amp;"" CE"",""""), L$1&amp;""[\w &amp;]*, (\d+\.\d+)""),"""")
"),"")</f>
        <v/>
      </c>
      <c r="M885" s="3" t="str">
        <f aca="false">IFERROR(__xludf.dummyfunction("if($T885&lt;&gt;"""",REGEXEXTRACT($T885, M$1&amp;""[\w &amp;]*, (\d+\.\d+)""),"""")
"),"")</f>
        <v/>
      </c>
      <c r="N885" s="3" t="str">
        <f aca="false">IFERROR(__xludf.dummyfunction("if($T885&lt;&gt;"""",REGEXEXTRACT(SUBSTITUTE ($T885,N$1&amp;"" CE"",""""), N$1&amp;""[\w &amp;]*, (\d+\.\d+)""),"""")
"),"")</f>
        <v/>
      </c>
      <c r="O885" s="3" t="str">
        <f aca="false">IFERROR(__xludf.dummyfunction("if($T885&lt;&gt;"""",REGEXEXTRACT($T885, O$1&amp;""[\w &amp;]*, (\d+\.\d+)""),"""")
"),"")</f>
        <v/>
      </c>
      <c r="P885" s="2"/>
      <c r="Q885" s="2"/>
      <c r="R885" s="2"/>
      <c r="S885" s="2"/>
      <c r="T885" s="5"/>
      <c r="U885" s="5"/>
    </row>
    <row r="886" customFormat="false" ht="15.75" hidden="false" customHeight="false" outlineLevel="0" collapsed="false">
      <c r="A886" s="4"/>
      <c r="B886" s="2"/>
      <c r="C886" s="2"/>
      <c r="D886" s="2"/>
      <c r="E886" s="2"/>
      <c r="F886" s="3" t="str">
        <f aca="false">IFERROR(__xludf.dummyfunction("if($T886&lt;&gt;"""",REGEXEXTRACT(SUBSTITUTE ($T886,F$1&amp;"" CE"",""""), F$1&amp;""[\w &amp;]*, (\d+\.\d+)""),"""")
"),"")</f>
        <v/>
      </c>
      <c r="G886" s="3" t="str">
        <f aca="false">IFERROR(__xludf.dummyfunction("if($T886&lt;&gt;"""",REGEXEXTRACT($T886, G$1&amp;""[\w &amp;]*, (\d+\.\d+)""),"""")
"),"")</f>
        <v/>
      </c>
      <c r="H886" s="3"/>
      <c r="I886" s="3" t="str">
        <f aca="false">IFERROR(__xludf.dummyfunction("if($T886&lt;&gt;"""",REGEXEXTRACT(SUBSTITUTE ($T886,I$1&amp;"" CE"",""""), I$1&amp;""[\w &amp;]*, (\d+\.\d+)""),"""")
"),"")</f>
        <v/>
      </c>
      <c r="J886" s="3" t="str">
        <f aca="false">IFERROR(__xludf.dummyfunction("if($T886&lt;&gt;"""",REGEXEXTRACT($T886, J$1&amp;""[\w &amp;]*, (\d+\.\d+)""),"""")
"),"")</f>
        <v/>
      </c>
      <c r="K886" s="3"/>
      <c r="L886" s="3" t="str">
        <f aca="false">IFERROR(__xludf.dummyfunction("if($T886&lt;&gt;"""",REGEXEXTRACT(SUBSTITUTE ($T886,L$1&amp;"" CE"",""""), L$1&amp;""[\w &amp;]*, (\d+\.\d+)""),"""")
"),"")</f>
        <v/>
      </c>
      <c r="M886" s="3" t="str">
        <f aca="false">IFERROR(__xludf.dummyfunction("if($T886&lt;&gt;"""",REGEXEXTRACT($T886, M$1&amp;""[\w &amp;]*, (\d+\.\d+)""),"""")
"),"")</f>
        <v/>
      </c>
      <c r="N886" s="3" t="str">
        <f aca="false">IFERROR(__xludf.dummyfunction("if($T886&lt;&gt;"""",REGEXEXTRACT(SUBSTITUTE ($T886,N$1&amp;"" CE"",""""), N$1&amp;""[\w &amp;]*, (\d+\.\d+)""),"""")
"),"")</f>
        <v/>
      </c>
      <c r="O886" s="3" t="str">
        <f aca="false">IFERROR(__xludf.dummyfunction("if($T886&lt;&gt;"""",REGEXEXTRACT($T886, O$1&amp;""[\w &amp;]*, (\d+\.\d+)""),"""")
"),"")</f>
        <v/>
      </c>
      <c r="P886" s="2"/>
      <c r="Q886" s="2"/>
      <c r="R886" s="2"/>
      <c r="S886" s="2"/>
      <c r="T886" s="5"/>
      <c r="U886" s="5"/>
    </row>
    <row r="887" customFormat="false" ht="15.75" hidden="false" customHeight="false" outlineLevel="0" collapsed="false">
      <c r="A887" s="4"/>
      <c r="B887" s="2"/>
      <c r="C887" s="2"/>
      <c r="D887" s="2"/>
      <c r="E887" s="2"/>
      <c r="F887" s="3" t="str">
        <f aca="false">IFERROR(__xludf.dummyfunction("if($T887&lt;&gt;"""",REGEXEXTRACT(SUBSTITUTE ($T887,F$1&amp;"" CE"",""""), F$1&amp;""[\w &amp;]*, (\d+\.\d+)""),"""")
"),"")</f>
        <v/>
      </c>
      <c r="G887" s="3" t="str">
        <f aca="false">IFERROR(__xludf.dummyfunction("if($T887&lt;&gt;"""",REGEXEXTRACT($T887, G$1&amp;""[\w &amp;]*, (\d+\.\d+)""),"""")
"),"")</f>
        <v/>
      </c>
      <c r="H887" s="3"/>
      <c r="I887" s="3" t="str">
        <f aca="false">IFERROR(__xludf.dummyfunction("if($T887&lt;&gt;"""",REGEXEXTRACT(SUBSTITUTE ($T887,I$1&amp;"" CE"",""""), I$1&amp;""[\w &amp;]*, (\d+\.\d+)""),"""")
"),"")</f>
        <v/>
      </c>
      <c r="J887" s="3" t="str">
        <f aca="false">IFERROR(__xludf.dummyfunction("if($T887&lt;&gt;"""",REGEXEXTRACT($T887, J$1&amp;""[\w &amp;]*, (\d+\.\d+)""),"""")
"),"")</f>
        <v/>
      </c>
      <c r="K887" s="3"/>
      <c r="L887" s="3" t="str">
        <f aca="false">IFERROR(__xludf.dummyfunction("if($T887&lt;&gt;"""",REGEXEXTRACT(SUBSTITUTE ($T887,L$1&amp;"" CE"",""""), L$1&amp;""[\w &amp;]*, (\d+\.\d+)""),"""")
"),"")</f>
        <v/>
      </c>
      <c r="M887" s="3" t="str">
        <f aca="false">IFERROR(__xludf.dummyfunction("if($T887&lt;&gt;"""",REGEXEXTRACT($T887, M$1&amp;""[\w &amp;]*, (\d+\.\d+)""),"""")
"),"")</f>
        <v/>
      </c>
      <c r="N887" s="3" t="str">
        <f aca="false">IFERROR(__xludf.dummyfunction("if($T887&lt;&gt;"""",REGEXEXTRACT(SUBSTITUTE ($T887,N$1&amp;"" CE"",""""), N$1&amp;""[\w &amp;]*, (\d+\.\d+)""),"""")
"),"")</f>
        <v/>
      </c>
      <c r="O887" s="3" t="str">
        <f aca="false">IFERROR(__xludf.dummyfunction("if($T887&lt;&gt;"""",REGEXEXTRACT($T887, O$1&amp;""[\w &amp;]*, (\d+\.\d+)""),"""")
"),"")</f>
        <v/>
      </c>
      <c r="P887" s="2"/>
      <c r="Q887" s="2"/>
      <c r="R887" s="2"/>
      <c r="S887" s="2"/>
      <c r="T887" s="5"/>
      <c r="U887" s="5"/>
    </row>
    <row r="888" customFormat="false" ht="15.75" hidden="false" customHeight="false" outlineLevel="0" collapsed="false">
      <c r="A888" s="4"/>
      <c r="B888" s="2"/>
      <c r="C888" s="2"/>
      <c r="D888" s="2"/>
      <c r="E888" s="2"/>
      <c r="F888" s="3" t="str">
        <f aca="false">IFERROR(__xludf.dummyfunction("if($T888&lt;&gt;"""",REGEXEXTRACT(SUBSTITUTE ($T888,F$1&amp;"" CE"",""""), F$1&amp;""[\w &amp;]*, (\d+\.\d+)""),"""")
"),"")</f>
        <v/>
      </c>
      <c r="G888" s="3" t="str">
        <f aca="false">IFERROR(__xludf.dummyfunction("if($T888&lt;&gt;"""",REGEXEXTRACT($T888, G$1&amp;""[\w &amp;]*, (\d+\.\d+)""),"""")
"),"")</f>
        <v/>
      </c>
      <c r="H888" s="3"/>
      <c r="I888" s="3" t="str">
        <f aca="false">IFERROR(__xludf.dummyfunction("if($T888&lt;&gt;"""",REGEXEXTRACT(SUBSTITUTE ($T888,I$1&amp;"" CE"",""""), I$1&amp;""[\w &amp;]*, (\d+\.\d+)""),"""")
"),"")</f>
        <v/>
      </c>
      <c r="J888" s="3" t="str">
        <f aca="false">IFERROR(__xludf.dummyfunction("if($T888&lt;&gt;"""",REGEXEXTRACT($T888, J$1&amp;""[\w &amp;]*, (\d+\.\d+)""),"""")
"),"")</f>
        <v/>
      </c>
      <c r="K888" s="3"/>
      <c r="L888" s="3" t="str">
        <f aca="false">IFERROR(__xludf.dummyfunction("if($T888&lt;&gt;"""",REGEXEXTRACT(SUBSTITUTE ($T888,L$1&amp;"" CE"",""""), L$1&amp;""[\w &amp;]*, (\d+\.\d+)""),"""")
"),"")</f>
        <v/>
      </c>
      <c r="M888" s="3" t="str">
        <f aca="false">IFERROR(__xludf.dummyfunction("if($T888&lt;&gt;"""",REGEXEXTRACT($T888, M$1&amp;""[\w &amp;]*, (\d+\.\d+)""),"""")
"),"")</f>
        <v/>
      </c>
      <c r="N888" s="3" t="str">
        <f aca="false">IFERROR(__xludf.dummyfunction("if($T888&lt;&gt;"""",REGEXEXTRACT(SUBSTITUTE ($T888,N$1&amp;"" CE"",""""), N$1&amp;""[\w &amp;]*, (\d+\.\d+)""),"""")
"),"")</f>
        <v/>
      </c>
      <c r="O888" s="3" t="str">
        <f aca="false">IFERROR(__xludf.dummyfunction("if($T888&lt;&gt;"""",REGEXEXTRACT($T888, O$1&amp;""[\w &amp;]*, (\d+\.\d+)""),"""")
"),"")</f>
        <v/>
      </c>
      <c r="P888" s="2"/>
      <c r="Q888" s="2"/>
      <c r="R888" s="2"/>
      <c r="S888" s="2"/>
      <c r="T888" s="5"/>
      <c r="U888" s="5"/>
    </row>
    <row r="889" customFormat="false" ht="15.75" hidden="false" customHeight="false" outlineLevel="0" collapsed="false">
      <c r="A889" s="4"/>
      <c r="B889" s="2"/>
      <c r="C889" s="2"/>
      <c r="D889" s="2"/>
      <c r="E889" s="2"/>
      <c r="F889" s="3" t="str">
        <f aca="false">IFERROR(__xludf.dummyfunction("if($T889&lt;&gt;"""",REGEXEXTRACT(SUBSTITUTE ($T889,F$1&amp;"" CE"",""""), F$1&amp;""[\w &amp;]*, (\d+\.\d+)""),"""")
"),"")</f>
        <v/>
      </c>
      <c r="G889" s="3" t="str">
        <f aca="false">IFERROR(__xludf.dummyfunction("if($T889&lt;&gt;"""",REGEXEXTRACT($T889, G$1&amp;""[\w &amp;]*, (\d+\.\d+)""),"""")
"),"")</f>
        <v/>
      </c>
      <c r="H889" s="3"/>
      <c r="I889" s="3" t="str">
        <f aca="false">IFERROR(__xludf.dummyfunction("if($T889&lt;&gt;"""",REGEXEXTRACT(SUBSTITUTE ($T889,I$1&amp;"" CE"",""""), I$1&amp;""[\w &amp;]*, (\d+\.\d+)""),"""")
"),"")</f>
        <v/>
      </c>
      <c r="J889" s="3" t="str">
        <f aca="false">IFERROR(__xludf.dummyfunction("if($T889&lt;&gt;"""",REGEXEXTRACT($T889, J$1&amp;""[\w &amp;]*, (\d+\.\d+)""),"""")
"),"")</f>
        <v/>
      </c>
      <c r="K889" s="3"/>
      <c r="L889" s="3" t="str">
        <f aca="false">IFERROR(__xludf.dummyfunction("if($T889&lt;&gt;"""",REGEXEXTRACT(SUBSTITUTE ($T889,L$1&amp;"" CE"",""""), L$1&amp;""[\w &amp;]*, (\d+\.\d+)""),"""")
"),"")</f>
        <v/>
      </c>
      <c r="M889" s="3" t="str">
        <f aca="false">IFERROR(__xludf.dummyfunction("if($T889&lt;&gt;"""",REGEXEXTRACT($T889, M$1&amp;""[\w &amp;]*, (\d+\.\d+)""),"""")
"),"")</f>
        <v/>
      </c>
      <c r="N889" s="3" t="str">
        <f aca="false">IFERROR(__xludf.dummyfunction("if($T889&lt;&gt;"""",REGEXEXTRACT(SUBSTITUTE ($T889,N$1&amp;"" CE"",""""), N$1&amp;""[\w &amp;]*, (\d+\.\d+)""),"""")
"),"")</f>
        <v/>
      </c>
      <c r="O889" s="3" t="str">
        <f aca="false">IFERROR(__xludf.dummyfunction("if($T889&lt;&gt;"""",REGEXEXTRACT($T889, O$1&amp;""[\w &amp;]*, (\d+\.\d+)""),"""")
"),"")</f>
        <v/>
      </c>
      <c r="P889" s="2"/>
      <c r="Q889" s="2"/>
      <c r="R889" s="2"/>
      <c r="S889" s="2"/>
      <c r="T889" s="5"/>
      <c r="U889" s="5"/>
    </row>
    <row r="890" customFormat="false" ht="15.75" hidden="false" customHeight="false" outlineLevel="0" collapsed="false">
      <c r="A890" s="4"/>
      <c r="B890" s="2"/>
      <c r="C890" s="2"/>
      <c r="D890" s="2"/>
      <c r="E890" s="2"/>
      <c r="F890" s="3" t="str">
        <f aca="false">IFERROR(__xludf.dummyfunction("if($T890&lt;&gt;"""",REGEXEXTRACT(SUBSTITUTE ($T890,F$1&amp;"" CE"",""""), F$1&amp;""[\w &amp;]*, (\d+\.\d+)""),"""")
"),"")</f>
        <v/>
      </c>
      <c r="G890" s="3" t="str">
        <f aca="false">IFERROR(__xludf.dummyfunction("if($T890&lt;&gt;"""",REGEXEXTRACT($T890, G$1&amp;""[\w &amp;]*, (\d+\.\d+)""),"""")
"),"")</f>
        <v/>
      </c>
      <c r="H890" s="3"/>
      <c r="I890" s="3" t="str">
        <f aca="false">IFERROR(__xludf.dummyfunction("if($T890&lt;&gt;"""",REGEXEXTRACT(SUBSTITUTE ($T890,I$1&amp;"" CE"",""""), I$1&amp;""[\w &amp;]*, (\d+\.\d+)""),"""")
"),"")</f>
        <v/>
      </c>
      <c r="J890" s="3" t="str">
        <f aca="false">IFERROR(__xludf.dummyfunction("if($T890&lt;&gt;"""",REGEXEXTRACT($T890, J$1&amp;""[\w &amp;]*, (\d+\.\d+)""),"""")
"),"")</f>
        <v/>
      </c>
      <c r="K890" s="3"/>
      <c r="L890" s="3" t="str">
        <f aca="false">IFERROR(__xludf.dummyfunction("if($T890&lt;&gt;"""",REGEXEXTRACT(SUBSTITUTE ($T890,L$1&amp;"" CE"",""""), L$1&amp;""[\w &amp;]*, (\d+\.\d+)""),"""")
"),"")</f>
        <v/>
      </c>
      <c r="M890" s="3" t="str">
        <f aca="false">IFERROR(__xludf.dummyfunction("if($T890&lt;&gt;"""",REGEXEXTRACT($T890, M$1&amp;""[\w &amp;]*, (\d+\.\d+)""),"""")
"),"")</f>
        <v/>
      </c>
      <c r="N890" s="3" t="str">
        <f aca="false">IFERROR(__xludf.dummyfunction("if($T890&lt;&gt;"""",REGEXEXTRACT(SUBSTITUTE ($T890,N$1&amp;"" CE"",""""), N$1&amp;""[\w &amp;]*, (\d+\.\d+)""),"""")
"),"")</f>
        <v/>
      </c>
      <c r="O890" s="3" t="str">
        <f aca="false">IFERROR(__xludf.dummyfunction("if($T890&lt;&gt;"""",REGEXEXTRACT($T890, O$1&amp;""[\w &amp;]*, (\d+\.\d+)""),"""")
"),"")</f>
        <v/>
      </c>
      <c r="P890" s="2"/>
      <c r="Q890" s="2"/>
      <c r="R890" s="2"/>
      <c r="S890" s="2"/>
      <c r="T890" s="5"/>
      <c r="U890" s="5"/>
    </row>
    <row r="891" customFormat="false" ht="15.75" hidden="false" customHeight="false" outlineLevel="0" collapsed="false">
      <c r="A891" s="4"/>
      <c r="B891" s="2"/>
      <c r="C891" s="2"/>
      <c r="D891" s="2"/>
      <c r="E891" s="2"/>
      <c r="F891" s="3" t="str">
        <f aca="false">IFERROR(__xludf.dummyfunction("if($T891&lt;&gt;"""",REGEXEXTRACT(SUBSTITUTE ($T891,F$1&amp;"" CE"",""""), F$1&amp;""[\w &amp;]*, (\d+\.\d+)""),"""")
"),"")</f>
        <v/>
      </c>
      <c r="G891" s="3" t="str">
        <f aca="false">IFERROR(__xludf.dummyfunction("if($T891&lt;&gt;"""",REGEXEXTRACT($T891, G$1&amp;""[\w &amp;]*, (\d+\.\d+)""),"""")
"),"")</f>
        <v/>
      </c>
      <c r="H891" s="3"/>
      <c r="I891" s="3" t="str">
        <f aca="false">IFERROR(__xludf.dummyfunction("if($T891&lt;&gt;"""",REGEXEXTRACT(SUBSTITUTE ($T891,I$1&amp;"" CE"",""""), I$1&amp;""[\w &amp;]*, (\d+\.\d+)""),"""")
"),"")</f>
        <v/>
      </c>
      <c r="J891" s="3" t="str">
        <f aca="false">IFERROR(__xludf.dummyfunction("if($T891&lt;&gt;"""",REGEXEXTRACT($T891, J$1&amp;""[\w &amp;]*, (\d+\.\d+)""),"""")
"),"")</f>
        <v/>
      </c>
      <c r="K891" s="3"/>
      <c r="L891" s="3" t="str">
        <f aca="false">IFERROR(__xludf.dummyfunction("if($T891&lt;&gt;"""",REGEXEXTRACT(SUBSTITUTE ($T891,L$1&amp;"" CE"",""""), L$1&amp;""[\w &amp;]*, (\d+\.\d+)""),"""")
"),"")</f>
        <v/>
      </c>
      <c r="M891" s="3" t="str">
        <f aca="false">IFERROR(__xludf.dummyfunction("if($T891&lt;&gt;"""",REGEXEXTRACT($T891, M$1&amp;""[\w &amp;]*, (\d+\.\d+)""),"""")
"),"")</f>
        <v/>
      </c>
      <c r="N891" s="3" t="str">
        <f aca="false">IFERROR(__xludf.dummyfunction("if($T891&lt;&gt;"""",REGEXEXTRACT(SUBSTITUTE ($T891,N$1&amp;"" CE"",""""), N$1&amp;""[\w &amp;]*, (\d+\.\d+)""),"""")
"),"")</f>
        <v/>
      </c>
      <c r="O891" s="3" t="str">
        <f aca="false">IFERROR(__xludf.dummyfunction("if($T891&lt;&gt;"""",REGEXEXTRACT($T891, O$1&amp;""[\w &amp;]*, (\d+\.\d+)""),"""")
"),"")</f>
        <v/>
      </c>
      <c r="P891" s="2"/>
      <c r="Q891" s="2"/>
      <c r="R891" s="2"/>
      <c r="S891" s="2"/>
      <c r="T891" s="5"/>
      <c r="U891" s="5"/>
    </row>
    <row r="892" customFormat="false" ht="15.75" hidden="false" customHeight="false" outlineLevel="0" collapsed="false">
      <c r="A892" s="4"/>
      <c r="B892" s="2"/>
      <c r="C892" s="2"/>
      <c r="D892" s="2"/>
      <c r="E892" s="2"/>
      <c r="F892" s="3" t="str">
        <f aca="false">IFERROR(__xludf.dummyfunction("if($T892&lt;&gt;"""",REGEXEXTRACT(SUBSTITUTE ($T892,F$1&amp;"" CE"",""""), F$1&amp;""[\w &amp;]*, (\d+\.\d+)""),"""")
"),"")</f>
        <v/>
      </c>
      <c r="G892" s="3" t="str">
        <f aca="false">IFERROR(__xludf.dummyfunction("if($T892&lt;&gt;"""",REGEXEXTRACT($T892, G$1&amp;""[\w &amp;]*, (\d+\.\d+)""),"""")
"),"")</f>
        <v/>
      </c>
      <c r="H892" s="3"/>
      <c r="I892" s="3" t="str">
        <f aca="false">IFERROR(__xludf.dummyfunction("if($T892&lt;&gt;"""",REGEXEXTRACT(SUBSTITUTE ($T892,I$1&amp;"" CE"",""""), I$1&amp;""[\w &amp;]*, (\d+\.\d+)""),"""")
"),"")</f>
        <v/>
      </c>
      <c r="J892" s="3" t="str">
        <f aca="false">IFERROR(__xludf.dummyfunction("if($T892&lt;&gt;"""",REGEXEXTRACT($T892, J$1&amp;""[\w &amp;]*, (\d+\.\d+)""),"""")
"),"")</f>
        <v/>
      </c>
      <c r="K892" s="3"/>
      <c r="L892" s="3" t="str">
        <f aca="false">IFERROR(__xludf.dummyfunction("if($T892&lt;&gt;"""",REGEXEXTRACT(SUBSTITUTE ($T892,L$1&amp;"" CE"",""""), L$1&amp;""[\w &amp;]*, (\d+\.\d+)""),"""")
"),"")</f>
        <v/>
      </c>
      <c r="M892" s="3" t="str">
        <f aca="false">IFERROR(__xludf.dummyfunction("if($T892&lt;&gt;"""",REGEXEXTRACT($T892, M$1&amp;""[\w &amp;]*, (\d+\.\d+)""),"""")
"),"")</f>
        <v/>
      </c>
      <c r="N892" s="3" t="str">
        <f aca="false">IFERROR(__xludf.dummyfunction("if($T892&lt;&gt;"""",REGEXEXTRACT(SUBSTITUTE ($T892,N$1&amp;"" CE"",""""), N$1&amp;""[\w &amp;]*, (\d+\.\d+)""),"""")
"),"")</f>
        <v/>
      </c>
      <c r="O892" s="3" t="str">
        <f aca="false">IFERROR(__xludf.dummyfunction("if($T892&lt;&gt;"""",REGEXEXTRACT($T892, O$1&amp;""[\w &amp;]*, (\d+\.\d+)""),"""")
"),"")</f>
        <v/>
      </c>
      <c r="P892" s="2"/>
      <c r="Q892" s="2"/>
      <c r="R892" s="2"/>
      <c r="S892" s="2"/>
      <c r="T892" s="5"/>
      <c r="U892" s="5"/>
    </row>
    <row r="893" customFormat="false" ht="15.75" hidden="false" customHeight="false" outlineLevel="0" collapsed="false">
      <c r="A893" s="4"/>
      <c r="B893" s="2"/>
      <c r="C893" s="2"/>
      <c r="D893" s="2"/>
      <c r="E893" s="2"/>
      <c r="F893" s="3" t="str">
        <f aca="false">IFERROR(__xludf.dummyfunction("if($T893&lt;&gt;"""",REGEXEXTRACT(SUBSTITUTE ($T893,F$1&amp;"" CE"",""""), F$1&amp;""[\w &amp;]*, (\d+\.\d+)""),"""")
"),"")</f>
        <v/>
      </c>
      <c r="G893" s="3" t="str">
        <f aca="false">IFERROR(__xludf.dummyfunction("if($T893&lt;&gt;"""",REGEXEXTRACT($T893, G$1&amp;""[\w &amp;]*, (\d+\.\d+)""),"""")
"),"")</f>
        <v/>
      </c>
      <c r="H893" s="3"/>
      <c r="I893" s="3" t="str">
        <f aca="false">IFERROR(__xludf.dummyfunction("if($T893&lt;&gt;"""",REGEXEXTRACT(SUBSTITUTE ($T893,I$1&amp;"" CE"",""""), I$1&amp;""[\w &amp;]*, (\d+\.\d+)""),"""")
"),"")</f>
        <v/>
      </c>
      <c r="J893" s="3" t="str">
        <f aca="false">IFERROR(__xludf.dummyfunction("if($T893&lt;&gt;"""",REGEXEXTRACT($T893, J$1&amp;""[\w &amp;]*, (\d+\.\d+)""),"""")
"),"")</f>
        <v/>
      </c>
      <c r="K893" s="3"/>
      <c r="L893" s="3" t="str">
        <f aca="false">IFERROR(__xludf.dummyfunction("if($T893&lt;&gt;"""",REGEXEXTRACT(SUBSTITUTE ($T893,L$1&amp;"" CE"",""""), L$1&amp;""[\w &amp;]*, (\d+\.\d+)""),"""")
"),"")</f>
        <v/>
      </c>
      <c r="M893" s="3" t="str">
        <f aca="false">IFERROR(__xludf.dummyfunction("if($T893&lt;&gt;"""",REGEXEXTRACT($T893, M$1&amp;""[\w &amp;]*, (\d+\.\d+)""),"""")
"),"")</f>
        <v/>
      </c>
      <c r="N893" s="3" t="str">
        <f aca="false">IFERROR(__xludf.dummyfunction("if($T893&lt;&gt;"""",REGEXEXTRACT(SUBSTITUTE ($T893,N$1&amp;"" CE"",""""), N$1&amp;""[\w &amp;]*, (\d+\.\d+)""),"""")
"),"")</f>
        <v/>
      </c>
      <c r="O893" s="3" t="str">
        <f aca="false">IFERROR(__xludf.dummyfunction("if($T893&lt;&gt;"""",REGEXEXTRACT($T893, O$1&amp;""[\w &amp;]*, (\d+\.\d+)""),"""")
"),"")</f>
        <v/>
      </c>
      <c r="P893" s="2"/>
      <c r="Q893" s="2"/>
      <c r="R893" s="2"/>
      <c r="S893" s="2"/>
      <c r="T893" s="5"/>
      <c r="U893" s="5"/>
    </row>
    <row r="894" customFormat="false" ht="15.75" hidden="false" customHeight="false" outlineLevel="0" collapsed="false">
      <c r="A894" s="4"/>
      <c r="B894" s="2"/>
      <c r="C894" s="2"/>
      <c r="D894" s="2"/>
      <c r="E894" s="2"/>
      <c r="F894" s="3" t="str">
        <f aca="false">IFERROR(__xludf.dummyfunction("if($T894&lt;&gt;"""",REGEXEXTRACT(SUBSTITUTE ($T894,F$1&amp;"" CE"",""""), F$1&amp;""[\w &amp;]*, (\d+\.\d+)""),"""")
"),"")</f>
        <v/>
      </c>
      <c r="G894" s="3" t="str">
        <f aca="false">IFERROR(__xludf.dummyfunction("if($T894&lt;&gt;"""",REGEXEXTRACT($T894, G$1&amp;""[\w &amp;]*, (\d+\.\d+)""),"""")
"),"")</f>
        <v/>
      </c>
      <c r="H894" s="3"/>
      <c r="I894" s="3" t="str">
        <f aca="false">IFERROR(__xludf.dummyfunction("if($T894&lt;&gt;"""",REGEXEXTRACT(SUBSTITUTE ($T894,I$1&amp;"" CE"",""""), I$1&amp;""[\w &amp;]*, (\d+\.\d+)""),"""")
"),"")</f>
        <v/>
      </c>
      <c r="J894" s="3" t="str">
        <f aca="false">IFERROR(__xludf.dummyfunction("if($T894&lt;&gt;"""",REGEXEXTRACT($T894, J$1&amp;""[\w &amp;]*, (\d+\.\d+)""),"""")
"),"")</f>
        <v/>
      </c>
      <c r="K894" s="3"/>
      <c r="L894" s="3" t="str">
        <f aca="false">IFERROR(__xludf.dummyfunction("if($T894&lt;&gt;"""",REGEXEXTRACT(SUBSTITUTE ($T894,L$1&amp;"" CE"",""""), L$1&amp;""[\w &amp;]*, (\d+\.\d+)""),"""")
"),"")</f>
        <v/>
      </c>
      <c r="M894" s="3" t="str">
        <f aca="false">IFERROR(__xludf.dummyfunction("if($T894&lt;&gt;"""",REGEXEXTRACT($T894, M$1&amp;""[\w &amp;]*, (\d+\.\d+)""),"""")
"),"")</f>
        <v/>
      </c>
      <c r="N894" s="3" t="str">
        <f aca="false">IFERROR(__xludf.dummyfunction("if($T894&lt;&gt;"""",REGEXEXTRACT(SUBSTITUTE ($T894,N$1&amp;"" CE"",""""), N$1&amp;""[\w &amp;]*, (\d+\.\d+)""),"""")
"),"")</f>
        <v/>
      </c>
      <c r="O894" s="3" t="str">
        <f aca="false">IFERROR(__xludf.dummyfunction("if($T894&lt;&gt;"""",REGEXEXTRACT($T894, O$1&amp;""[\w &amp;]*, (\d+\.\d+)""),"""")
"),"")</f>
        <v/>
      </c>
      <c r="P894" s="2"/>
      <c r="Q894" s="2"/>
      <c r="R894" s="2"/>
      <c r="S894" s="2"/>
      <c r="T894" s="5"/>
      <c r="U894" s="5"/>
    </row>
    <row r="895" customFormat="false" ht="15.75" hidden="false" customHeight="false" outlineLevel="0" collapsed="false">
      <c r="A895" s="4"/>
      <c r="B895" s="2"/>
      <c r="C895" s="2"/>
      <c r="D895" s="2"/>
      <c r="E895" s="2"/>
      <c r="F895" s="3" t="str">
        <f aca="false">IFERROR(__xludf.dummyfunction("if($T895&lt;&gt;"""",REGEXEXTRACT(SUBSTITUTE ($T895,F$1&amp;"" CE"",""""), F$1&amp;""[\w &amp;]*, (\d+\.\d+)""),"""")
"),"")</f>
        <v/>
      </c>
      <c r="G895" s="3" t="str">
        <f aca="false">IFERROR(__xludf.dummyfunction("if($T895&lt;&gt;"""",REGEXEXTRACT($T895, G$1&amp;""[\w &amp;]*, (\d+\.\d+)""),"""")
"),"")</f>
        <v/>
      </c>
      <c r="H895" s="3"/>
      <c r="I895" s="3" t="str">
        <f aca="false">IFERROR(__xludf.dummyfunction("if($T895&lt;&gt;"""",REGEXEXTRACT(SUBSTITUTE ($T895,I$1&amp;"" CE"",""""), I$1&amp;""[\w &amp;]*, (\d+\.\d+)""),"""")
"),"")</f>
        <v/>
      </c>
      <c r="J895" s="3" t="str">
        <f aca="false">IFERROR(__xludf.dummyfunction("if($T895&lt;&gt;"""",REGEXEXTRACT($T895, J$1&amp;""[\w &amp;]*, (\d+\.\d+)""),"""")
"),"")</f>
        <v/>
      </c>
      <c r="K895" s="3"/>
      <c r="L895" s="3" t="str">
        <f aca="false">IFERROR(__xludf.dummyfunction("if($T895&lt;&gt;"""",REGEXEXTRACT(SUBSTITUTE ($T895,L$1&amp;"" CE"",""""), L$1&amp;""[\w &amp;]*, (\d+\.\d+)""),"""")
"),"")</f>
        <v/>
      </c>
      <c r="M895" s="3" t="str">
        <f aca="false">IFERROR(__xludf.dummyfunction("if($T895&lt;&gt;"""",REGEXEXTRACT($T895, M$1&amp;""[\w &amp;]*, (\d+\.\d+)""),"""")
"),"")</f>
        <v/>
      </c>
      <c r="N895" s="3" t="str">
        <f aca="false">IFERROR(__xludf.dummyfunction("if($T895&lt;&gt;"""",REGEXEXTRACT(SUBSTITUTE ($T895,N$1&amp;"" CE"",""""), N$1&amp;""[\w &amp;]*, (\d+\.\d+)""),"""")
"),"")</f>
        <v/>
      </c>
      <c r="O895" s="3" t="str">
        <f aca="false">IFERROR(__xludf.dummyfunction("if($T895&lt;&gt;"""",REGEXEXTRACT($T895, O$1&amp;""[\w &amp;]*, (\d+\.\d+)""),"""")
"),"")</f>
        <v/>
      </c>
      <c r="P895" s="2"/>
      <c r="Q895" s="2"/>
      <c r="R895" s="2"/>
      <c r="S895" s="2"/>
      <c r="T895" s="5"/>
      <c r="U895" s="5"/>
    </row>
    <row r="896" customFormat="false" ht="15.75" hidden="false" customHeight="false" outlineLevel="0" collapsed="false">
      <c r="A896" s="4"/>
      <c r="B896" s="2"/>
      <c r="C896" s="2"/>
      <c r="D896" s="2"/>
      <c r="E896" s="2"/>
      <c r="F896" s="3" t="str">
        <f aca="false">IFERROR(__xludf.dummyfunction("if($T896&lt;&gt;"""",REGEXEXTRACT(SUBSTITUTE ($T896,F$1&amp;"" CE"",""""), F$1&amp;""[\w &amp;]*, (\d+\.\d+)""),"""")
"),"")</f>
        <v/>
      </c>
      <c r="G896" s="3" t="str">
        <f aca="false">IFERROR(__xludf.dummyfunction("if($T896&lt;&gt;"""",REGEXEXTRACT($T896, G$1&amp;""[\w &amp;]*, (\d+\.\d+)""),"""")
"),"")</f>
        <v/>
      </c>
      <c r="H896" s="3"/>
      <c r="I896" s="3" t="str">
        <f aca="false">IFERROR(__xludf.dummyfunction("if($T896&lt;&gt;"""",REGEXEXTRACT(SUBSTITUTE ($T896,I$1&amp;"" CE"",""""), I$1&amp;""[\w &amp;]*, (\d+\.\d+)""),"""")
"),"")</f>
        <v/>
      </c>
      <c r="J896" s="3" t="str">
        <f aca="false">IFERROR(__xludf.dummyfunction("if($T896&lt;&gt;"""",REGEXEXTRACT($T896, J$1&amp;""[\w &amp;]*, (\d+\.\d+)""),"""")
"),"")</f>
        <v/>
      </c>
      <c r="K896" s="3"/>
      <c r="L896" s="3" t="str">
        <f aca="false">IFERROR(__xludf.dummyfunction("if($T896&lt;&gt;"""",REGEXEXTRACT(SUBSTITUTE ($T896,L$1&amp;"" CE"",""""), L$1&amp;""[\w &amp;]*, (\d+\.\d+)""),"""")
"),"")</f>
        <v/>
      </c>
      <c r="M896" s="3" t="str">
        <f aca="false">IFERROR(__xludf.dummyfunction("if($T896&lt;&gt;"""",REGEXEXTRACT($T896, M$1&amp;""[\w &amp;]*, (\d+\.\d+)""),"""")
"),"")</f>
        <v/>
      </c>
      <c r="N896" s="3" t="str">
        <f aca="false">IFERROR(__xludf.dummyfunction("if($T896&lt;&gt;"""",REGEXEXTRACT(SUBSTITUTE ($T896,N$1&amp;"" CE"",""""), N$1&amp;""[\w &amp;]*, (\d+\.\d+)""),"""")
"),"")</f>
        <v/>
      </c>
      <c r="O896" s="3" t="str">
        <f aca="false">IFERROR(__xludf.dummyfunction("if($T896&lt;&gt;"""",REGEXEXTRACT($T896, O$1&amp;""[\w &amp;]*, (\d+\.\d+)""),"""")
"),"")</f>
        <v/>
      </c>
      <c r="P896" s="2"/>
      <c r="Q896" s="2"/>
      <c r="R896" s="2"/>
      <c r="S896" s="2"/>
      <c r="T896" s="5"/>
      <c r="U896" s="5"/>
    </row>
    <row r="897" customFormat="false" ht="15.75" hidden="false" customHeight="false" outlineLevel="0" collapsed="false">
      <c r="A897" s="4"/>
      <c r="B897" s="2"/>
      <c r="C897" s="2"/>
      <c r="D897" s="2"/>
      <c r="E897" s="2"/>
      <c r="F897" s="3" t="str">
        <f aca="false">IFERROR(__xludf.dummyfunction("if($T897&lt;&gt;"""",REGEXEXTRACT(SUBSTITUTE ($T897,F$1&amp;"" CE"",""""), F$1&amp;""[\w &amp;]*, (\d+\.\d+)""),"""")
"),"")</f>
        <v/>
      </c>
      <c r="G897" s="3" t="str">
        <f aca="false">IFERROR(__xludf.dummyfunction("if($T897&lt;&gt;"""",REGEXEXTRACT($T897, G$1&amp;""[\w &amp;]*, (\d+\.\d+)""),"""")
"),"")</f>
        <v/>
      </c>
      <c r="H897" s="3"/>
      <c r="I897" s="3" t="str">
        <f aca="false">IFERROR(__xludf.dummyfunction("if($T897&lt;&gt;"""",REGEXEXTRACT(SUBSTITUTE ($T897,I$1&amp;"" CE"",""""), I$1&amp;""[\w &amp;]*, (\d+\.\d+)""),"""")
"),"")</f>
        <v/>
      </c>
      <c r="J897" s="3" t="str">
        <f aca="false">IFERROR(__xludf.dummyfunction("if($T897&lt;&gt;"""",REGEXEXTRACT($T897, J$1&amp;""[\w &amp;]*, (\d+\.\d+)""),"""")
"),"")</f>
        <v/>
      </c>
      <c r="K897" s="3"/>
      <c r="L897" s="3" t="str">
        <f aca="false">IFERROR(__xludf.dummyfunction("if($T897&lt;&gt;"""",REGEXEXTRACT(SUBSTITUTE ($T897,L$1&amp;"" CE"",""""), L$1&amp;""[\w &amp;]*, (\d+\.\d+)""),"""")
"),"")</f>
        <v/>
      </c>
      <c r="M897" s="3" t="str">
        <f aca="false">IFERROR(__xludf.dummyfunction("if($T897&lt;&gt;"""",REGEXEXTRACT($T897, M$1&amp;""[\w &amp;]*, (\d+\.\d+)""),"""")
"),"")</f>
        <v/>
      </c>
      <c r="N897" s="3" t="str">
        <f aca="false">IFERROR(__xludf.dummyfunction("if($T897&lt;&gt;"""",REGEXEXTRACT(SUBSTITUTE ($T897,N$1&amp;"" CE"",""""), N$1&amp;""[\w &amp;]*, (\d+\.\d+)""),"""")
"),"")</f>
        <v/>
      </c>
      <c r="O897" s="3" t="str">
        <f aca="false">IFERROR(__xludf.dummyfunction("if($T897&lt;&gt;"""",REGEXEXTRACT($T897, O$1&amp;""[\w &amp;]*, (\d+\.\d+)""),"""")
"),"")</f>
        <v/>
      </c>
      <c r="P897" s="2"/>
      <c r="Q897" s="2"/>
      <c r="R897" s="2"/>
      <c r="S897" s="2"/>
      <c r="T897" s="5"/>
      <c r="U897" s="5"/>
    </row>
    <row r="898" customFormat="false" ht="15.75" hidden="false" customHeight="false" outlineLevel="0" collapsed="false">
      <c r="A898" s="4"/>
      <c r="B898" s="2"/>
      <c r="C898" s="2"/>
      <c r="D898" s="2"/>
      <c r="E898" s="2"/>
      <c r="F898" s="3" t="str">
        <f aca="false">IFERROR(__xludf.dummyfunction("if($T898&lt;&gt;"""",REGEXEXTRACT(SUBSTITUTE ($T898,F$1&amp;"" CE"",""""), F$1&amp;""[\w &amp;]*, (\d+\.\d+)""),"""")
"),"")</f>
        <v/>
      </c>
      <c r="G898" s="3" t="str">
        <f aca="false">IFERROR(__xludf.dummyfunction("if($T898&lt;&gt;"""",REGEXEXTRACT($T898, G$1&amp;""[\w &amp;]*, (\d+\.\d+)""),"""")
"),"")</f>
        <v/>
      </c>
      <c r="H898" s="3"/>
      <c r="I898" s="3" t="str">
        <f aca="false">IFERROR(__xludf.dummyfunction("if($T898&lt;&gt;"""",REGEXEXTRACT(SUBSTITUTE ($T898,I$1&amp;"" CE"",""""), I$1&amp;""[\w &amp;]*, (\d+\.\d+)""),"""")
"),"")</f>
        <v/>
      </c>
      <c r="J898" s="3" t="str">
        <f aca="false">IFERROR(__xludf.dummyfunction("if($T898&lt;&gt;"""",REGEXEXTRACT($T898, J$1&amp;""[\w &amp;]*, (\d+\.\d+)""),"""")
"),"")</f>
        <v/>
      </c>
      <c r="K898" s="3"/>
      <c r="L898" s="3" t="str">
        <f aca="false">IFERROR(__xludf.dummyfunction("if($T898&lt;&gt;"""",REGEXEXTRACT(SUBSTITUTE ($T898,L$1&amp;"" CE"",""""), L$1&amp;""[\w &amp;]*, (\d+\.\d+)""),"""")
"),"")</f>
        <v/>
      </c>
      <c r="M898" s="3" t="str">
        <f aca="false">IFERROR(__xludf.dummyfunction("if($T898&lt;&gt;"""",REGEXEXTRACT($T898, M$1&amp;""[\w &amp;]*, (\d+\.\d+)""),"""")
"),"")</f>
        <v/>
      </c>
      <c r="N898" s="3" t="str">
        <f aca="false">IFERROR(__xludf.dummyfunction("if($T898&lt;&gt;"""",REGEXEXTRACT(SUBSTITUTE ($T898,N$1&amp;"" CE"",""""), N$1&amp;""[\w &amp;]*, (\d+\.\d+)""),"""")
"),"")</f>
        <v/>
      </c>
      <c r="O898" s="3" t="str">
        <f aca="false">IFERROR(__xludf.dummyfunction("if($T898&lt;&gt;"""",REGEXEXTRACT($T898, O$1&amp;""[\w &amp;]*, (\d+\.\d+)""),"""")
"),"")</f>
        <v/>
      </c>
      <c r="P898" s="2"/>
      <c r="Q898" s="2"/>
      <c r="R898" s="2"/>
      <c r="S898" s="2"/>
      <c r="T898" s="5"/>
      <c r="U898" s="5"/>
    </row>
    <row r="899" customFormat="false" ht="15.75" hidden="false" customHeight="false" outlineLevel="0" collapsed="false">
      <c r="A899" s="4"/>
      <c r="B899" s="2"/>
      <c r="C899" s="2"/>
      <c r="D899" s="2"/>
      <c r="E899" s="2"/>
      <c r="F899" s="3" t="str">
        <f aca="false">IFERROR(__xludf.dummyfunction("if($T899&lt;&gt;"""",REGEXEXTRACT(SUBSTITUTE ($T899,F$1&amp;"" CE"",""""), F$1&amp;""[\w &amp;]*, (\d+\.\d+)""),"""")
"),"")</f>
        <v/>
      </c>
      <c r="G899" s="3" t="str">
        <f aca="false">IFERROR(__xludf.dummyfunction("if($T899&lt;&gt;"""",REGEXEXTRACT($T899, G$1&amp;""[\w &amp;]*, (\d+\.\d+)""),"""")
"),"")</f>
        <v/>
      </c>
      <c r="H899" s="3"/>
      <c r="I899" s="3" t="str">
        <f aca="false">IFERROR(__xludf.dummyfunction("if($T899&lt;&gt;"""",REGEXEXTRACT(SUBSTITUTE ($T899,I$1&amp;"" CE"",""""), I$1&amp;""[\w &amp;]*, (\d+\.\d+)""),"""")
"),"")</f>
        <v/>
      </c>
      <c r="J899" s="3" t="str">
        <f aca="false">IFERROR(__xludf.dummyfunction("if($T899&lt;&gt;"""",REGEXEXTRACT($T899, J$1&amp;""[\w &amp;]*, (\d+\.\d+)""),"""")
"),"")</f>
        <v/>
      </c>
      <c r="K899" s="3"/>
      <c r="L899" s="3" t="str">
        <f aca="false">IFERROR(__xludf.dummyfunction("if($T899&lt;&gt;"""",REGEXEXTRACT(SUBSTITUTE ($T899,L$1&amp;"" CE"",""""), L$1&amp;""[\w &amp;]*, (\d+\.\d+)""),"""")
"),"")</f>
        <v/>
      </c>
      <c r="M899" s="3" t="str">
        <f aca="false">IFERROR(__xludf.dummyfunction("if($T899&lt;&gt;"""",REGEXEXTRACT($T899, M$1&amp;""[\w &amp;]*, (\d+\.\d+)""),"""")
"),"")</f>
        <v/>
      </c>
      <c r="N899" s="3" t="str">
        <f aca="false">IFERROR(__xludf.dummyfunction("if($T899&lt;&gt;"""",REGEXEXTRACT(SUBSTITUTE ($T899,N$1&amp;"" CE"",""""), N$1&amp;""[\w &amp;]*, (\d+\.\d+)""),"""")
"),"")</f>
        <v/>
      </c>
      <c r="O899" s="3" t="str">
        <f aca="false">IFERROR(__xludf.dummyfunction("if($T899&lt;&gt;"""",REGEXEXTRACT($T899, O$1&amp;""[\w &amp;]*, (\d+\.\d+)""),"""")
"),"")</f>
        <v/>
      </c>
      <c r="P899" s="2"/>
      <c r="Q899" s="2"/>
      <c r="R899" s="2"/>
      <c r="S899" s="2"/>
      <c r="T899" s="5"/>
      <c r="U899" s="5"/>
    </row>
    <row r="900" customFormat="false" ht="15.75" hidden="false" customHeight="false" outlineLevel="0" collapsed="false">
      <c r="A900" s="4"/>
      <c r="B900" s="2"/>
      <c r="C900" s="2"/>
      <c r="D900" s="2"/>
      <c r="E900" s="2"/>
      <c r="F900" s="3" t="str">
        <f aca="false">IFERROR(__xludf.dummyfunction("if($T900&lt;&gt;"""",REGEXEXTRACT(SUBSTITUTE ($T900,F$1&amp;"" CE"",""""), F$1&amp;""[\w &amp;]*, (\d+\.\d+)""),"""")
"),"")</f>
        <v/>
      </c>
      <c r="G900" s="3" t="str">
        <f aca="false">IFERROR(__xludf.dummyfunction("if($T900&lt;&gt;"""",REGEXEXTRACT($T900, G$1&amp;""[\w &amp;]*, (\d+\.\d+)""),"""")
"),"")</f>
        <v/>
      </c>
      <c r="H900" s="3"/>
      <c r="I900" s="3" t="str">
        <f aca="false">IFERROR(__xludf.dummyfunction("if($T900&lt;&gt;"""",REGEXEXTRACT(SUBSTITUTE ($T900,I$1&amp;"" CE"",""""), I$1&amp;""[\w &amp;]*, (\d+\.\d+)""),"""")
"),"")</f>
        <v/>
      </c>
      <c r="J900" s="3" t="str">
        <f aca="false">IFERROR(__xludf.dummyfunction("if($T900&lt;&gt;"""",REGEXEXTRACT($T900, J$1&amp;""[\w &amp;]*, (\d+\.\d+)""),"""")
"),"")</f>
        <v/>
      </c>
      <c r="K900" s="3"/>
      <c r="L900" s="3" t="str">
        <f aca="false">IFERROR(__xludf.dummyfunction("if($T900&lt;&gt;"""",REGEXEXTRACT(SUBSTITUTE ($T900,L$1&amp;"" CE"",""""), L$1&amp;""[\w &amp;]*, (\d+\.\d+)""),"""")
"),"")</f>
        <v/>
      </c>
      <c r="M900" s="3" t="str">
        <f aca="false">IFERROR(__xludf.dummyfunction("if($T900&lt;&gt;"""",REGEXEXTRACT($T900, M$1&amp;""[\w &amp;]*, (\d+\.\d+)""),"""")
"),"")</f>
        <v/>
      </c>
      <c r="N900" s="3" t="str">
        <f aca="false">IFERROR(__xludf.dummyfunction("if($T900&lt;&gt;"""",REGEXEXTRACT(SUBSTITUTE ($T900,N$1&amp;"" CE"",""""), N$1&amp;""[\w &amp;]*, (\d+\.\d+)""),"""")
"),"")</f>
        <v/>
      </c>
      <c r="O900" s="3" t="str">
        <f aca="false">IFERROR(__xludf.dummyfunction("if($T900&lt;&gt;"""",REGEXEXTRACT($T900, O$1&amp;""[\w &amp;]*, (\d+\.\d+)""),"""")
"),"")</f>
        <v/>
      </c>
      <c r="P900" s="2"/>
      <c r="Q900" s="2"/>
      <c r="R900" s="2"/>
      <c r="S900" s="2"/>
      <c r="T900" s="5"/>
      <c r="U900" s="5"/>
    </row>
    <row r="901" customFormat="false" ht="15.75" hidden="false" customHeight="false" outlineLevel="0" collapsed="false">
      <c r="A901" s="4"/>
      <c r="B901" s="2"/>
      <c r="C901" s="2"/>
      <c r="D901" s="2"/>
      <c r="E901" s="2"/>
      <c r="F901" s="3" t="str">
        <f aca="false">IFERROR(__xludf.dummyfunction("if($T901&lt;&gt;"""",REGEXEXTRACT(SUBSTITUTE ($T901,F$1&amp;"" CE"",""""), F$1&amp;""[\w &amp;]*, (\d+\.\d+)""),"""")
"),"")</f>
        <v/>
      </c>
      <c r="G901" s="3" t="str">
        <f aca="false">IFERROR(__xludf.dummyfunction("if($T901&lt;&gt;"""",REGEXEXTRACT($T901, G$1&amp;""[\w &amp;]*, (\d+\.\d+)""),"""")
"),"")</f>
        <v/>
      </c>
      <c r="H901" s="3"/>
      <c r="I901" s="3" t="str">
        <f aca="false">IFERROR(__xludf.dummyfunction("if($T901&lt;&gt;"""",REGEXEXTRACT(SUBSTITUTE ($T901,I$1&amp;"" CE"",""""), I$1&amp;""[\w &amp;]*, (\d+\.\d+)""),"""")
"),"")</f>
        <v/>
      </c>
      <c r="J901" s="3" t="str">
        <f aca="false">IFERROR(__xludf.dummyfunction("if($T901&lt;&gt;"""",REGEXEXTRACT($T901, J$1&amp;""[\w &amp;]*, (\d+\.\d+)""),"""")
"),"")</f>
        <v/>
      </c>
      <c r="K901" s="3"/>
      <c r="L901" s="3" t="str">
        <f aca="false">IFERROR(__xludf.dummyfunction("if($T901&lt;&gt;"""",REGEXEXTRACT(SUBSTITUTE ($T901,L$1&amp;"" CE"",""""), L$1&amp;""[\w &amp;]*, (\d+\.\d+)""),"""")
"),"")</f>
        <v/>
      </c>
      <c r="M901" s="3" t="str">
        <f aca="false">IFERROR(__xludf.dummyfunction("if($T901&lt;&gt;"""",REGEXEXTRACT($T901, M$1&amp;""[\w &amp;]*, (\d+\.\d+)""),"""")
"),"")</f>
        <v/>
      </c>
      <c r="N901" s="3" t="str">
        <f aca="false">IFERROR(__xludf.dummyfunction("if($T901&lt;&gt;"""",REGEXEXTRACT(SUBSTITUTE ($T901,N$1&amp;"" CE"",""""), N$1&amp;""[\w &amp;]*, (\d+\.\d+)""),"""")
"),"")</f>
        <v/>
      </c>
      <c r="O901" s="3" t="str">
        <f aca="false">IFERROR(__xludf.dummyfunction("if($T901&lt;&gt;"""",REGEXEXTRACT($T901, O$1&amp;""[\w &amp;]*, (\d+\.\d+)""),"""")
"),"")</f>
        <v/>
      </c>
      <c r="P901" s="2"/>
      <c r="Q901" s="2"/>
      <c r="R901" s="2"/>
      <c r="S901" s="2"/>
      <c r="T901" s="5"/>
      <c r="U901" s="5"/>
    </row>
    <row r="902" customFormat="false" ht="15.75" hidden="false" customHeight="false" outlineLevel="0" collapsed="false">
      <c r="A902" s="4"/>
      <c r="B902" s="2"/>
      <c r="C902" s="2"/>
      <c r="D902" s="2"/>
      <c r="E902" s="2"/>
      <c r="F902" s="3" t="str">
        <f aca="false">IFERROR(__xludf.dummyfunction("if($T902&lt;&gt;"""",REGEXEXTRACT(SUBSTITUTE ($T902,F$1&amp;"" CE"",""""), F$1&amp;""[\w &amp;]*, (\d+\.\d+)""),"""")
"),"")</f>
        <v/>
      </c>
      <c r="G902" s="3" t="str">
        <f aca="false">IFERROR(__xludf.dummyfunction("if($T902&lt;&gt;"""",REGEXEXTRACT($T902, G$1&amp;""[\w &amp;]*, (\d+\.\d+)""),"""")
"),"")</f>
        <v/>
      </c>
      <c r="H902" s="3"/>
      <c r="I902" s="3" t="str">
        <f aca="false">IFERROR(__xludf.dummyfunction("if($T902&lt;&gt;"""",REGEXEXTRACT(SUBSTITUTE ($T902,I$1&amp;"" CE"",""""), I$1&amp;""[\w &amp;]*, (\d+\.\d+)""),"""")
"),"")</f>
        <v/>
      </c>
      <c r="J902" s="3" t="str">
        <f aca="false">IFERROR(__xludf.dummyfunction("if($T902&lt;&gt;"""",REGEXEXTRACT($T902, J$1&amp;""[\w &amp;]*, (\d+\.\d+)""),"""")
"),"")</f>
        <v/>
      </c>
      <c r="K902" s="3"/>
      <c r="L902" s="3" t="str">
        <f aca="false">IFERROR(__xludf.dummyfunction("if($T902&lt;&gt;"""",REGEXEXTRACT(SUBSTITUTE ($T902,L$1&amp;"" CE"",""""), L$1&amp;""[\w &amp;]*, (\d+\.\d+)""),"""")
"),"")</f>
        <v/>
      </c>
      <c r="M902" s="3" t="str">
        <f aca="false">IFERROR(__xludf.dummyfunction("if($T902&lt;&gt;"""",REGEXEXTRACT($T902, M$1&amp;""[\w &amp;]*, (\d+\.\d+)""),"""")
"),"")</f>
        <v/>
      </c>
      <c r="N902" s="3" t="str">
        <f aca="false">IFERROR(__xludf.dummyfunction("if($T902&lt;&gt;"""",REGEXEXTRACT(SUBSTITUTE ($T902,N$1&amp;"" CE"",""""), N$1&amp;""[\w &amp;]*, (\d+\.\d+)""),"""")
"),"")</f>
        <v/>
      </c>
      <c r="O902" s="3" t="str">
        <f aca="false">IFERROR(__xludf.dummyfunction("if($T902&lt;&gt;"""",REGEXEXTRACT($T902, O$1&amp;""[\w &amp;]*, (\d+\.\d+)""),"""")
"),"")</f>
        <v/>
      </c>
      <c r="P902" s="2"/>
      <c r="Q902" s="2"/>
      <c r="R902" s="2"/>
      <c r="S902" s="2"/>
      <c r="T902" s="5"/>
      <c r="U902" s="5"/>
    </row>
    <row r="903" customFormat="false" ht="15.75" hidden="false" customHeight="false" outlineLevel="0" collapsed="false">
      <c r="A903" s="4"/>
      <c r="B903" s="2"/>
      <c r="C903" s="2"/>
      <c r="D903" s="2"/>
      <c r="E903" s="2"/>
      <c r="F903" s="3" t="str">
        <f aca="false">IFERROR(__xludf.dummyfunction("if($T903&lt;&gt;"""",REGEXEXTRACT(SUBSTITUTE ($T903,F$1&amp;"" CE"",""""), F$1&amp;""[\w &amp;]*, (\d+\.\d+)""),"""")
"),"")</f>
        <v/>
      </c>
      <c r="G903" s="3" t="str">
        <f aca="false">IFERROR(__xludf.dummyfunction("if($T903&lt;&gt;"""",REGEXEXTRACT($T903, G$1&amp;""[\w &amp;]*, (\d+\.\d+)""),"""")
"),"")</f>
        <v/>
      </c>
      <c r="H903" s="3"/>
      <c r="I903" s="3" t="str">
        <f aca="false">IFERROR(__xludf.dummyfunction("if($T903&lt;&gt;"""",REGEXEXTRACT(SUBSTITUTE ($T903,I$1&amp;"" CE"",""""), I$1&amp;""[\w &amp;]*, (\d+\.\d+)""),"""")
"),"")</f>
        <v/>
      </c>
      <c r="J903" s="3" t="str">
        <f aca="false">IFERROR(__xludf.dummyfunction("if($T903&lt;&gt;"""",REGEXEXTRACT($T903, J$1&amp;""[\w &amp;]*, (\d+\.\d+)""),"""")
"),"")</f>
        <v/>
      </c>
      <c r="K903" s="3"/>
      <c r="L903" s="3" t="str">
        <f aca="false">IFERROR(__xludf.dummyfunction("if($T903&lt;&gt;"""",REGEXEXTRACT(SUBSTITUTE ($T903,L$1&amp;"" CE"",""""), L$1&amp;""[\w &amp;]*, (\d+\.\d+)""),"""")
"),"")</f>
        <v/>
      </c>
      <c r="M903" s="3" t="str">
        <f aca="false">IFERROR(__xludf.dummyfunction("if($T903&lt;&gt;"""",REGEXEXTRACT($T903, M$1&amp;""[\w &amp;]*, (\d+\.\d+)""),"""")
"),"")</f>
        <v/>
      </c>
      <c r="N903" s="3" t="str">
        <f aca="false">IFERROR(__xludf.dummyfunction("if($T903&lt;&gt;"""",REGEXEXTRACT(SUBSTITUTE ($T903,N$1&amp;"" CE"",""""), N$1&amp;""[\w &amp;]*, (\d+\.\d+)""),"""")
"),"")</f>
        <v/>
      </c>
      <c r="O903" s="3" t="str">
        <f aca="false">IFERROR(__xludf.dummyfunction("if($T903&lt;&gt;"""",REGEXEXTRACT($T903, O$1&amp;""[\w &amp;]*, (\d+\.\d+)""),"""")
"),"")</f>
        <v/>
      </c>
      <c r="P903" s="2"/>
      <c r="Q903" s="2"/>
      <c r="R903" s="2"/>
      <c r="S903" s="2"/>
      <c r="T903" s="5"/>
      <c r="U903" s="5"/>
    </row>
    <row r="904" customFormat="false" ht="15.75" hidden="false" customHeight="false" outlineLevel="0" collapsed="false">
      <c r="A904" s="4"/>
      <c r="B904" s="2"/>
      <c r="C904" s="2"/>
      <c r="D904" s="2"/>
      <c r="E904" s="2"/>
      <c r="F904" s="3" t="str">
        <f aca="false">IFERROR(__xludf.dummyfunction("if($T904&lt;&gt;"""",REGEXEXTRACT(SUBSTITUTE ($T904,F$1&amp;"" CE"",""""), F$1&amp;""[\w &amp;]*, (\d+\.\d+)""),"""")
"),"")</f>
        <v/>
      </c>
      <c r="G904" s="3" t="str">
        <f aca="false">IFERROR(__xludf.dummyfunction("if($T904&lt;&gt;"""",REGEXEXTRACT($T904, G$1&amp;""[\w &amp;]*, (\d+\.\d+)""),"""")
"),"")</f>
        <v/>
      </c>
      <c r="H904" s="3"/>
      <c r="I904" s="3" t="str">
        <f aca="false">IFERROR(__xludf.dummyfunction("if($T904&lt;&gt;"""",REGEXEXTRACT(SUBSTITUTE ($T904,I$1&amp;"" CE"",""""), I$1&amp;""[\w &amp;]*, (\d+\.\d+)""),"""")
"),"")</f>
        <v/>
      </c>
      <c r="J904" s="3" t="str">
        <f aca="false">IFERROR(__xludf.dummyfunction("if($T904&lt;&gt;"""",REGEXEXTRACT($T904, J$1&amp;""[\w &amp;]*, (\d+\.\d+)""),"""")
"),"")</f>
        <v/>
      </c>
      <c r="K904" s="3"/>
      <c r="L904" s="3" t="str">
        <f aca="false">IFERROR(__xludf.dummyfunction("if($T904&lt;&gt;"""",REGEXEXTRACT(SUBSTITUTE ($T904,L$1&amp;"" CE"",""""), L$1&amp;""[\w &amp;]*, (\d+\.\d+)""),"""")
"),"")</f>
        <v/>
      </c>
      <c r="M904" s="3" t="str">
        <f aca="false">IFERROR(__xludf.dummyfunction("if($T904&lt;&gt;"""",REGEXEXTRACT($T904, M$1&amp;""[\w &amp;]*, (\d+\.\d+)""),"""")
"),"")</f>
        <v/>
      </c>
      <c r="N904" s="3" t="str">
        <f aca="false">IFERROR(__xludf.dummyfunction("if($T904&lt;&gt;"""",REGEXEXTRACT(SUBSTITUTE ($T904,N$1&amp;"" CE"",""""), N$1&amp;""[\w &amp;]*, (\d+\.\d+)""),"""")
"),"")</f>
        <v/>
      </c>
      <c r="O904" s="3" t="str">
        <f aca="false">IFERROR(__xludf.dummyfunction("if($T904&lt;&gt;"""",REGEXEXTRACT($T904, O$1&amp;""[\w &amp;]*, (\d+\.\d+)""),"""")
"),"")</f>
        <v/>
      </c>
      <c r="P904" s="2"/>
      <c r="Q904" s="2"/>
      <c r="R904" s="2"/>
      <c r="S904" s="2"/>
      <c r="T904" s="5"/>
      <c r="U904" s="5"/>
    </row>
    <row r="905" customFormat="false" ht="15.75" hidden="false" customHeight="false" outlineLevel="0" collapsed="false">
      <c r="A905" s="4"/>
      <c r="B905" s="2"/>
      <c r="C905" s="2"/>
      <c r="D905" s="2"/>
      <c r="E905" s="2"/>
      <c r="F905" s="3" t="str">
        <f aca="false">IFERROR(__xludf.dummyfunction("if($T905&lt;&gt;"""",REGEXEXTRACT(SUBSTITUTE ($T905,F$1&amp;"" CE"",""""), F$1&amp;""[\w &amp;]*, (\d+\.\d+)""),"""")
"),"")</f>
        <v/>
      </c>
      <c r="G905" s="3" t="str">
        <f aca="false">IFERROR(__xludf.dummyfunction("if($T905&lt;&gt;"""",REGEXEXTRACT($T905, G$1&amp;""[\w &amp;]*, (\d+\.\d+)""),"""")
"),"")</f>
        <v/>
      </c>
      <c r="H905" s="3"/>
      <c r="I905" s="3" t="str">
        <f aca="false">IFERROR(__xludf.dummyfunction("if($T905&lt;&gt;"""",REGEXEXTRACT(SUBSTITUTE ($T905,I$1&amp;"" CE"",""""), I$1&amp;""[\w &amp;]*, (\d+\.\d+)""),"""")
"),"")</f>
        <v/>
      </c>
      <c r="J905" s="3" t="str">
        <f aca="false">IFERROR(__xludf.dummyfunction("if($T905&lt;&gt;"""",REGEXEXTRACT($T905, J$1&amp;""[\w &amp;]*, (\d+\.\d+)""),"""")
"),"")</f>
        <v/>
      </c>
      <c r="K905" s="3"/>
      <c r="L905" s="3" t="str">
        <f aca="false">IFERROR(__xludf.dummyfunction("if($T905&lt;&gt;"""",REGEXEXTRACT(SUBSTITUTE ($T905,L$1&amp;"" CE"",""""), L$1&amp;""[\w &amp;]*, (\d+\.\d+)""),"""")
"),"")</f>
        <v/>
      </c>
      <c r="M905" s="3" t="str">
        <f aca="false">IFERROR(__xludf.dummyfunction("if($T905&lt;&gt;"""",REGEXEXTRACT($T905, M$1&amp;""[\w &amp;]*, (\d+\.\d+)""),"""")
"),"")</f>
        <v/>
      </c>
      <c r="N905" s="3" t="str">
        <f aca="false">IFERROR(__xludf.dummyfunction("if($T905&lt;&gt;"""",REGEXEXTRACT(SUBSTITUTE ($T905,N$1&amp;"" CE"",""""), N$1&amp;""[\w &amp;]*, (\d+\.\d+)""),"""")
"),"")</f>
        <v/>
      </c>
      <c r="O905" s="3" t="str">
        <f aca="false">IFERROR(__xludf.dummyfunction("if($T905&lt;&gt;"""",REGEXEXTRACT($T905, O$1&amp;""[\w &amp;]*, (\d+\.\d+)""),"""")
"),"")</f>
        <v/>
      </c>
      <c r="P905" s="2"/>
      <c r="Q905" s="2"/>
      <c r="R905" s="2"/>
      <c r="S905" s="2"/>
      <c r="T905" s="5"/>
      <c r="U905" s="5"/>
    </row>
    <row r="906" customFormat="false" ht="15.75" hidden="false" customHeight="false" outlineLevel="0" collapsed="false">
      <c r="A906" s="4"/>
      <c r="B906" s="2"/>
      <c r="C906" s="2"/>
      <c r="D906" s="2"/>
      <c r="E906" s="2"/>
      <c r="F906" s="3" t="str">
        <f aca="false">IFERROR(__xludf.dummyfunction("if($T906&lt;&gt;"""",REGEXEXTRACT(SUBSTITUTE ($T906,F$1&amp;"" CE"",""""), F$1&amp;""[\w &amp;]*, (\d+\.\d+)""),"""")
"),"")</f>
        <v/>
      </c>
      <c r="G906" s="3" t="str">
        <f aca="false">IFERROR(__xludf.dummyfunction("if($T906&lt;&gt;"""",REGEXEXTRACT($T906, G$1&amp;""[\w &amp;]*, (\d+\.\d+)""),"""")
"),"")</f>
        <v/>
      </c>
      <c r="H906" s="3"/>
      <c r="I906" s="3" t="str">
        <f aca="false">IFERROR(__xludf.dummyfunction("if($T906&lt;&gt;"""",REGEXEXTRACT(SUBSTITUTE ($T906,I$1&amp;"" CE"",""""), I$1&amp;""[\w &amp;]*, (\d+\.\d+)""),"""")
"),"")</f>
        <v/>
      </c>
      <c r="J906" s="3" t="str">
        <f aca="false">IFERROR(__xludf.dummyfunction("if($T906&lt;&gt;"""",REGEXEXTRACT($T906, J$1&amp;""[\w &amp;]*, (\d+\.\d+)""),"""")
"),"")</f>
        <v/>
      </c>
      <c r="K906" s="3"/>
      <c r="L906" s="3" t="str">
        <f aca="false">IFERROR(__xludf.dummyfunction("if($T906&lt;&gt;"""",REGEXEXTRACT(SUBSTITUTE ($T906,L$1&amp;"" CE"",""""), L$1&amp;""[\w &amp;]*, (\d+\.\d+)""),"""")
"),"")</f>
        <v/>
      </c>
      <c r="M906" s="3" t="str">
        <f aca="false">IFERROR(__xludf.dummyfunction("if($T906&lt;&gt;"""",REGEXEXTRACT($T906, M$1&amp;""[\w &amp;]*, (\d+\.\d+)""),"""")
"),"")</f>
        <v/>
      </c>
      <c r="N906" s="3" t="str">
        <f aca="false">IFERROR(__xludf.dummyfunction("if($T906&lt;&gt;"""",REGEXEXTRACT(SUBSTITUTE ($T906,N$1&amp;"" CE"",""""), N$1&amp;""[\w &amp;]*, (\d+\.\d+)""),"""")
"),"")</f>
        <v/>
      </c>
      <c r="O906" s="3" t="str">
        <f aca="false">IFERROR(__xludf.dummyfunction("if($T906&lt;&gt;"""",REGEXEXTRACT($T906, O$1&amp;""[\w &amp;]*, (\d+\.\d+)""),"""")
"),"")</f>
        <v/>
      </c>
      <c r="P906" s="2"/>
      <c r="Q906" s="2"/>
      <c r="R906" s="2"/>
      <c r="S906" s="2"/>
      <c r="T906" s="5"/>
      <c r="U906" s="5"/>
    </row>
    <row r="907" customFormat="false" ht="15.75" hidden="false" customHeight="false" outlineLevel="0" collapsed="false">
      <c r="A907" s="4"/>
      <c r="B907" s="2"/>
      <c r="C907" s="2"/>
      <c r="D907" s="2"/>
      <c r="E907" s="2"/>
      <c r="F907" s="3" t="str">
        <f aca="false">IFERROR(__xludf.dummyfunction("if($T907&lt;&gt;"""",REGEXEXTRACT(SUBSTITUTE ($T907,F$1&amp;"" CE"",""""), F$1&amp;""[\w &amp;]*, (\d+\.\d+)""),"""")
"),"")</f>
        <v/>
      </c>
      <c r="G907" s="3" t="str">
        <f aca="false">IFERROR(__xludf.dummyfunction("if($T907&lt;&gt;"""",REGEXEXTRACT($T907, G$1&amp;""[\w &amp;]*, (\d+\.\d+)""),"""")
"),"")</f>
        <v/>
      </c>
      <c r="H907" s="3"/>
      <c r="I907" s="3" t="str">
        <f aca="false">IFERROR(__xludf.dummyfunction("if($T907&lt;&gt;"""",REGEXEXTRACT(SUBSTITUTE ($T907,I$1&amp;"" CE"",""""), I$1&amp;""[\w &amp;]*, (\d+\.\d+)""),"""")
"),"")</f>
        <v/>
      </c>
      <c r="J907" s="3" t="str">
        <f aca="false">IFERROR(__xludf.dummyfunction("if($T907&lt;&gt;"""",REGEXEXTRACT($T907, J$1&amp;""[\w &amp;]*, (\d+\.\d+)""),"""")
"),"")</f>
        <v/>
      </c>
      <c r="K907" s="3"/>
      <c r="L907" s="3" t="str">
        <f aca="false">IFERROR(__xludf.dummyfunction("if($T907&lt;&gt;"""",REGEXEXTRACT(SUBSTITUTE ($T907,L$1&amp;"" CE"",""""), L$1&amp;""[\w &amp;]*, (\d+\.\d+)""),"""")
"),"")</f>
        <v/>
      </c>
      <c r="M907" s="3" t="str">
        <f aca="false">IFERROR(__xludf.dummyfunction("if($T907&lt;&gt;"""",REGEXEXTRACT($T907, M$1&amp;""[\w &amp;]*, (\d+\.\d+)""),"""")
"),"")</f>
        <v/>
      </c>
      <c r="N907" s="3" t="str">
        <f aca="false">IFERROR(__xludf.dummyfunction("if($T907&lt;&gt;"""",REGEXEXTRACT(SUBSTITUTE ($T907,N$1&amp;"" CE"",""""), N$1&amp;""[\w &amp;]*, (\d+\.\d+)""),"""")
"),"")</f>
        <v/>
      </c>
      <c r="O907" s="3" t="str">
        <f aca="false">IFERROR(__xludf.dummyfunction("if($T907&lt;&gt;"""",REGEXEXTRACT($T907, O$1&amp;""[\w &amp;]*, (\d+\.\d+)""),"""")
"),"")</f>
        <v/>
      </c>
      <c r="P907" s="2"/>
      <c r="Q907" s="2"/>
      <c r="R907" s="2"/>
      <c r="S907" s="2"/>
      <c r="T907" s="5"/>
      <c r="U907" s="5"/>
    </row>
    <row r="908" customFormat="false" ht="15.75" hidden="false" customHeight="false" outlineLevel="0" collapsed="false">
      <c r="A908" s="4"/>
      <c r="B908" s="2"/>
      <c r="C908" s="2"/>
      <c r="D908" s="2"/>
      <c r="E908" s="2"/>
      <c r="F908" s="3" t="str">
        <f aca="false">IFERROR(__xludf.dummyfunction("if($T908&lt;&gt;"""",REGEXEXTRACT(SUBSTITUTE ($T908,F$1&amp;"" CE"",""""), F$1&amp;""[\w &amp;]*, (\d+\.\d+)""),"""")
"),"")</f>
        <v/>
      </c>
      <c r="G908" s="3" t="str">
        <f aca="false">IFERROR(__xludf.dummyfunction("if($T908&lt;&gt;"""",REGEXEXTRACT($T908, G$1&amp;""[\w &amp;]*, (\d+\.\d+)""),"""")
"),"")</f>
        <v/>
      </c>
      <c r="H908" s="3"/>
      <c r="I908" s="3" t="str">
        <f aca="false">IFERROR(__xludf.dummyfunction("if($T908&lt;&gt;"""",REGEXEXTRACT(SUBSTITUTE ($T908,I$1&amp;"" CE"",""""), I$1&amp;""[\w &amp;]*, (\d+\.\d+)""),"""")
"),"")</f>
        <v/>
      </c>
      <c r="J908" s="3" t="str">
        <f aca="false">IFERROR(__xludf.dummyfunction("if($T908&lt;&gt;"""",REGEXEXTRACT($T908, J$1&amp;""[\w &amp;]*, (\d+\.\d+)""),"""")
"),"")</f>
        <v/>
      </c>
      <c r="K908" s="3"/>
      <c r="L908" s="3" t="str">
        <f aca="false">IFERROR(__xludf.dummyfunction("if($T908&lt;&gt;"""",REGEXEXTRACT(SUBSTITUTE ($T908,L$1&amp;"" CE"",""""), L$1&amp;""[\w &amp;]*, (\d+\.\d+)""),"""")
"),"")</f>
        <v/>
      </c>
      <c r="M908" s="3" t="str">
        <f aca="false">IFERROR(__xludf.dummyfunction("if($T908&lt;&gt;"""",REGEXEXTRACT($T908, M$1&amp;""[\w &amp;]*, (\d+\.\d+)""),"""")
"),"")</f>
        <v/>
      </c>
      <c r="N908" s="3" t="str">
        <f aca="false">IFERROR(__xludf.dummyfunction("if($T908&lt;&gt;"""",REGEXEXTRACT(SUBSTITUTE ($T908,N$1&amp;"" CE"",""""), N$1&amp;""[\w &amp;]*, (\d+\.\d+)""),"""")
"),"")</f>
        <v/>
      </c>
      <c r="O908" s="3" t="str">
        <f aca="false">IFERROR(__xludf.dummyfunction("if($T908&lt;&gt;"""",REGEXEXTRACT($T908, O$1&amp;""[\w &amp;]*, (\d+\.\d+)""),"""")
"),"")</f>
        <v/>
      </c>
      <c r="P908" s="2"/>
      <c r="Q908" s="2"/>
      <c r="R908" s="2"/>
      <c r="S908" s="2"/>
      <c r="T908" s="5"/>
      <c r="U908" s="5"/>
    </row>
    <row r="909" customFormat="false" ht="15.75" hidden="false" customHeight="false" outlineLevel="0" collapsed="false">
      <c r="A909" s="4"/>
      <c r="B909" s="2"/>
      <c r="C909" s="2"/>
      <c r="D909" s="2"/>
      <c r="E909" s="2"/>
      <c r="F909" s="3" t="str">
        <f aca="false">IFERROR(__xludf.dummyfunction("if($T909&lt;&gt;"""",REGEXEXTRACT(SUBSTITUTE ($T909,F$1&amp;"" CE"",""""), F$1&amp;""[\w &amp;]*, (\d+\.\d+)""),"""")
"),"")</f>
        <v/>
      </c>
      <c r="G909" s="3" t="str">
        <f aca="false">IFERROR(__xludf.dummyfunction("if($T909&lt;&gt;"""",REGEXEXTRACT($T909, G$1&amp;""[\w &amp;]*, (\d+\.\d+)""),"""")
"),"")</f>
        <v/>
      </c>
      <c r="H909" s="3"/>
      <c r="I909" s="3" t="str">
        <f aca="false">IFERROR(__xludf.dummyfunction("if($T909&lt;&gt;"""",REGEXEXTRACT(SUBSTITUTE ($T909,I$1&amp;"" CE"",""""), I$1&amp;""[\w &amp;]*, (\d+\.\d+)""),"""")
"),"")</f>
        <v/>
      </c>
      <c r="J909" s="3" t="str">
        <f aca="false">IFERROR(__xludf.dummyfunction("if($T909&lt;&gt;"""",REGEXEXTRACT($T909, J$1&amp;""[\w &amp;]*, (\d+\.\d+)""),"""")
"),"")</f>
        <v/>
      </c>
      <c r="K909" s="3"/>
      <c r="L909" s="3" t="str">
        <f aca="false">IFERROR(__xludf.dummyfunction("if($T909&lt;&gt;"""",REGEXEXTRACT(SUBSTITUTE ($T909,L$1&amp;"" CE"",""""), L$1&amp;""[\w &amp;]*, (\d+\.\d+)""),"""")
"),"")</f>
        <v/>
      </c>
      <c r="M909" s="3" t="str">
        <f aca="false">IFERROR(__xludf.dummyfunction("if($T909&lt;&gt;"""",REGEXEXTRACT($T909, M$1&amp;""[\w &amp;]*, (\d+\.\d+)""),"""")
"),"")</f>
        <v/>
      </c>
      <c r="N909" s="3" t="str">
        <f aca="false">IFERROR(__xludf.dummyfunction("if($T909&lt;&gt;"""",REGEXEXTRACT(SUBSTITUTE ($T909,N$1&amp;"" CE"",""""), N$1&amp;""[\w &amp;]*, (\d+\.\d+)""),"""")
"),"")</f>
        <v/>
      </c>
      <c r="O909" s="3" t="str">
        <f aca="false">IFERROR(__xludf.dummyfunction("if($T909&lt;&gt;"""",REGEXEXTRACT($T909, O$1&amp;""[\w &amp;]*, (\d+\.\d+)""),"""")
"),"")</f>
        <v/>
      </c>
      <c r="P909" s="2"/>
      <c r="Q909" s="2"/>
      <c r="R909" s="2"/>
      <c r="S909" s="2"/>
      <c r="T909" s="5"/>
      <c r="U909" s="5"/>
    </row>
    <row r="910" customFormat="false" ht="15.75" hidden="false" customHeight="false" outlineLevel="0" collapsed="false">
      <c r="A910" s="4"/>
      <c r="B910" s="2"/>
      <c r="C910" s="2"/>
      <c r="D910" s="2"/>
      <c r="E910" s="2"/>
      <c r="F910" s="3" t="str">
        <f aca="false">IFERROR(__xludf.dummyfunction("if($T910&lt;&gt;"""",REGEXEXTRACT(SUBSTITUTE ($T910,F$1&amp;"" CE"",""""), F$1&amp;""[\w &amp;]*, (\d+\.\d+)""),"""")
"),"")</f>
        <v/>
      </c>
      <c r="G910" s="3" t="str">
        <f aca="false">IFERROR(__xludf.dummyfunction("if($T910&lt;&gt;"""",REGEXEXTRACT($T910, G$1&amp;""[\w &amp;]*, (\d+\.\d+)""),"""")
"),"")</f>
        <v/>
      </c>
      <c r="H910" s="3"/>
      <c r="I910" s="3" t="str">
        <f aca="false">IFERROR(__xludf.dummyfunction("if($T910&lt;&gt;"""",REGEXEXTRACT(SUBSTITUTE ($T910,I$1&amp;"" CE"",""""), I$1&amp;""[\w &amp;]*, (\d+\.\d+)""),"""")
"),"")</f>
        <v/>
      </c>
      <c r="J910" s="3" t="str">
        <f aca="false">IFERROR(__xludf.dummyfunction("if($T910&lt;&gt;"""",REGEXEXTRACT($T910, J$1&amp;""[\w &amp;]*, (\d+\.\d+)""),"""")
"),"")</f>
        <v/>
      </c>
      <c r="K910" s="3"/>
      <c r="L910" s="3" t="str">
        <f aca="false">IFERROR(__xludf.dummyfunction("if($T910&lt;&gt;"""",REGEXEXTRACT(SUBSTITUTE ($T910,L$1&amp;"" CE"",""""), L$1&amp;""[\w &amp;]*, (\d+\.\d+)""),"""")
"),"")</f>
        <v/>
      </c>
      <c r="M910" s="3" t="str">
        <f aca="false">IFERROR(__xludf.dummyfunction("if($T910&lt;&gt;"""",REGEXEXTRACT($T910, M$1&amp;""[\w &amp;]*, (\d+\.\d+)""),"""")
"),"")</f>
        <v/>
      </c>
      <c r="N910" s="3" t="str">
        <f aca="false">IFERROR(__xludf.dummyfunction("if($T910&lt;&gt;"""",REGEXEXTRACT(SUBSTITUTE ($T910,N$1&amp;"" CE"",""""), N$1&amp;""[\w &amp;]*, (\d+\.\d+)""),"""")
"),"")</f>
        <v/>
      </c>
      <c r="O910" s="3" t="str">
        <f aca="false">IFERROR(__xludf.dummyfunction("if($T910&lt;&gt;"""",REGEXEXTRACT($T910, O$1&amp;""[\w &amp;]*, (\d+\.\d+)""),"""")
"),"")</f>
        <v/>
      </c>
      <c r="P910" s="2"/>
      <c r="Q910" s="2"/>
      <c r="R910" s="2"/>
      <c r="S910" s="2"/>
      <c r="T910" s="5"/>
      <c r="U910" s="5"/>
    </row>
    <row r="911" customFormat="false" ht="15.75" hidden="false" customHeight="false" outlineLevel="0" collapsed="false">
      <c r="A911" s="4"/>
      <c r="B911" s="2"/>
      <c r="C911" s="2"/>
      <c r="D911" s="2"/>
      <c r="E911" s="2"/>
      <c r="F911" s="3" t="str">
        <f aca="false">IFERROR(__xludf.dummyfunction("if($T911&lt;&gt;"""",REGEXEXTRACT(SUBSTITUTE ($T911,F$1&amp;"" CE"",""""), F$1&amp;""[\w &amp;]*, (\d+\.\d+)""),"""")
"),"")</f>
        <v/>
      </c>
      <c r="G911" s="3" t="str">
        <f aca="false">IFERROR(__xludf.dummyfunction("if($T911&lt;&gt;"""",REGEXEXTRACT($T911, G$1&amp;""[\w &amp;]*, (\d+\.\d+)""),"""")
"),"")</f>
        <v/>
      </c>
      <c r="H911" s="3"/>
      <c r="I911" s="3" t="str">
        <f aca="false">IFERROR(__xludf.dummyfunction("if($T911&lt;&gt;"""",REGEXEXTRACT(SUBSTITUTE ($T911,I$1&amp;"" CE"",""""), I$1&amp;""[\w &amp;]*, (\d+\.\d+)""),"""")
"),"")</f>
        <v/>
      </c>
      <c r="J911" s="3" t="str">
        <f aca="false">IFERROR(__xludf.dummyfunction("if($T911&lt;&gt;"""",REGEXEXTRACT($T911, J$1&amp;""[\w &amp;]*, (\d+\.\d+)""),"""")
"),"")</f>
        <v/>
      </c>
      <c r="K911" s="3"/>
      <c r="L911" s="3" t="str">
        <f aca="false">IFERROR(__xludf.dummyfunction("if($T911&lt;&gt;"""",REGEXEXTRACT(SUBSTITUTE ($T911,L$1&amp;"" CE"",""""), L$1&amp;""[\w &amp;]*, (\d+\.\d+)""),"""")
"),"")</f>
        <v/>
      </c>
      <c r="M911" s="3" t="str">
        <f aca="false">IFERROR(__xludf.dummyfunction("if($T911&lt;&gt;"""",REGEXEXTRACT($T911, M$1&amp;""[\w &amp;]*, (\d+\.\d+)""),"""")
"),"")</f>
        <v/>
      </c>
      <c r="N911" s="3" t="str">
        <f aca="false">IFERROR(__xludf.dummyfunction("if($T911&lt;&gt;"""",REGEXEXTRACT(SUBSTITUTE ($T911,N$1&amp;"" CE"",""""), N$1&amp;""[\w &amp;]*, (\d+\.\d+)""),"""")
"),"")</f>
        <v/>
      </c>
      <c r="O911" s="3" t="str">
        <f aca="false">IFERROR(__xludf.dummyfunction("if($T911&lt;&gt;"""",REGEXEXTRACT($T911, O$1&amp;""[\w &amp;]*, (\d+\.\d+)""),"""")
"),"")</f>
        <v/>
      </c>
      <c r="P911" s="2"/>
      <c r="Q911" s="2"/>
      <c r="R911" s="2"/>
      <c r="S911" s="2"/>
      <c r="T911" s="5"/>
      <c r="U911" s="5"/>
    </row>
    <row r="912" customFormat="false" ht="15.75" hidden="false" customHeight="false" outlineLevel="0" collapsed="false">
      <c r="A912" s="4"/>
      <c r="B912" s="2"/>
      <c r="C912" s="2"/>
      <c r="D912" s="2"/>
      <c r="E912" s="2"/>
      <c r="F912" s="3" t="str">
        <f aca="false">IFERROR(__xludf.dummyfunction("if($T912&lt;&gt;"""",REGEXEXTRACT(SUBSTITUTE ($T912,F$1&amp;"" CE"",""""), F$1&amp;""[\w &amp;]*, (\d+\.\d+)""),"""")
"),"")</f>
        <v/>
      </c>
      <c r="G912" s="3" t="str">
        <f aca="false">IFERROR(__xludf.dummyfunction("if($T912&lt;&gt;"""",REGEXEXTRACT($T912, G$1&amp;""[\w &amp;]*, (\d+\.\d+)""),"""")
"),"")</f>
        <v/>
      </c>
      <c r="H912" s="3"/>
      <c r="I912" s="3" t="str">
        <f aca="false">IFERROR(__xludf.dummyfunction("if($T912&lt;&gt;"""",REGEXEXTRACT(SUBSTITUTE ($T912,I$1&amp;"" CE"",""""), I$1&amp;""[\w &amp;]*, (\d+\.\d+)""),"""")
"),"")</f>
        <v/>
      </c>
      <c r="J912" s="3" t="str">
        <f aca="false">IFERROR(__xludf.dummyfunction("if($T912&lt;&gt;"""",REGEXEXTRACT($T912, J$1&amp;""[\w &amp;]*, (\d+\.\d+)""),"""")
"),"")</f>
        <v/>
      </c>
      <c r="K912" s="3"/>
      <c r="L912" s="3" t="str">
        <f aca="false">IFERROR(__xludf.dummyfunction("if($T912&lt;&gt;"""",REGEXEXTRACT(SUBSTITUTE ($T912,L$1&amp;"" CE"",""""), L$1&amp;""[\w &amp;]*, (\d+\.\d+)""),"""")
"),"")</f>
        <v/>
      </c>
      <c r="M912" s="3" t="str">
        <f aca="false">IFERROR(__xludf.dummyfunction("if($T912&lt;&gt;"""",REGEXEXTRACT($T912, M$1&amp;""[\w &amp;]*, (\d+\.\d+)""),"""")
"),"")</f>
        <v/>
      </c>
      <c r="N912" s="3" t="str">
        <f aca="false">IFERROR(__xludf.dummyfunction("if($T912&lt;&gt;"""",REGEXEXTRACT(SUBSTITUTE ($T912,N$1&amp;"" CE"",""""), N$1&amp;""[\w &amp;]*, (\d+\.\d+)""),"""")
"),"")</f>
        <v/>
      </c>
      <c r="O912" s="3" t="str">
        <f aca="false">IFERROR(__xludf.dummyfunction("if($T912&lt;&gt;"""",REGEXEXTRACT($T912, O$1&amp;""[\w &amp;]*, (\d+\.\d+)""),"""")
"),"")</f>
        <v/>
      </c>
      <c r="P912" s="2"/>
      <c r="Q912" s="2"/>
      <c r="R912" s="2"/>
      <c r="S912" s="2"/>
      <c r="T912" s="5"/>
      <c r="U912" s="5"/>
    </row>
    <row r="913" customFormat="false" ht="15.75" hidden="false" customHeight="false" outlineLevel="0" collapsed="false">
      <c r="A913" s="4"/>
      <c r="B913" s="2"/>
      <c r="C913" s="2"/>
      <c r="D913" s="2"/>
      <c r="E913" s="2"/>
      <c r="F913" s="3" t="str">
        <f aca="false">IFERROR(__xludf.dummyfunction("if($T913&lt;&gt;"""",REGEXEXTRACT(SUBSTITUTE ($T913,F$1&amp;"" CE"",""""), F$1&amp;""[\w &amp;]*, (\d+\.\d+)""),"""")
"),"")</f>
        <v/>
      </c>
      <c r="G913" s="3" t="str">
        <f aca="false">IFERROR(__xludf.dummyfunction("if($T913&lt;&gt;"""",REGEXEXTRACT($T913, G$1&amp;""[\w &amp;]*, (\d+\.\d+)""),"""")
"),"")</f>
        <v/>
      </c>
      <c r="H913" s="3"/>
      <c r="I913" s="3" t="str">
        <f aca="false">IFERROR(__xludf.dummyfunction("if($T913&lt;&gt;"""",REGEXEXTRACT(SUBSTITUTE ($T913,I$1&amp;"" CE"",""""), I$1&amp;""[\w &amp;]*, (\d+\.\d+)""),"""")
"),"")</f>
        <v/>
      </c>
      <c r="J913" s="3" t="str">
        <f aca="false">IFERROR(__xludf.dummyfunction("if($T913&lt;&gt;"""",REGEXEXTRACT($T913, J$1&amp;""[\w &amp;]*, (\d+\.\d+)""),"""")
"),"")</f>
        <v/>
      </c>
      <c r="K913" s="3"/>
      <c r="L913" s="3" t="str">
        <f aca="false">IFERROR(__xludf.dummyfunction("if($T913&lt;&gt;"""",REGEXEXTRACT(SUBSTITUTE ($T913,L$1&amp;"" CE"",""""), L$1&amp;""[\w &amp;]*, (\d+\.\d+)""),"""")
"),"")</f>
        <v/>
      </c>
      <c r="M913" s="3" t="str">
        <f aca="false">IFERROR(__xludf.dummyfunction("if($T913&lt;&gt;"""",REGEXEXTRACT($T913, M$1&amp;""[\w &amp;]*, (\d+\.\d+)""),"""")
"),"")</f>
        <v/>
      </c>
      <c r="N913" s="3" t="str">
        <f aca="false">IFERROR(__xludf.dummyfunction("if($T913&lt;&gt;"""",REGEXEXTRACT(SUBSTITUTE ($T913,N$1&amp;"" CE"",""""), N$1&amp;""[\w &amp;]*, (\d+\.\d+)""),"""")
"),"")</f>
        <v/>
      </c>
      <c r="O913" s="3" t="str">
        <f aca="false">IFERROR(__xludf.dummyfunction("if($T913&lt;&gt;"""",REGEXEXTRACT($T913, O$1&amp;""[\w &amp;]*, (\d+\.\d+)""),"""")
"),"")</f>
        <v/>
      </c>
      <c r="P913" s="2"/>
      <c r="Q913" s="2"/>
      <c r="R913" s="2"/>
      <c r="S913" s="2"/>
      <c r="T913" s="5"/>
      <c r="U913" s="5"/>
    </row>
    <row r="914" customFormat="false" ht="15.75" hidden="false" customHeight="false" outlineLevel="0" collapsed="false">
      <c r="A914" s="4"/>
      <c r="B914" s="2"/>
      <c r="C914" s="2"/>
      <c r="D914" s="2"/>
      <c r="E914" s="2"/>
      <c r="F914" s="3" t="str">
        <f aca="false">IFERROR(__xludf.dummyfunction("if($T914&lt;&gt;"""",REGEXEXTRACT(SUBSTITUTE ($T914,F$1&amp;"" CE"",""""), F$1&amp;""[\w &amp;]*, (\d+\.\d+)""),"""")
"),"")</f>
        <v/>
      </c>
      <c r="G914" s="3" t="str">
        <f aca="false">IFERROR(__xludf.dummyfunction("if($T914&lt;&gt;"""",REGEXEXTRACT($T914, G$1&amp;""[\w &amp;]*, (\d+\.\d+)""),"""")
"),"")</f>
        <v/>
      </c>
      <c r="H914" s="3"/>
      <c r="I914" s="3" t="str">
        <f aca="false">IFERROR(__xludf.dummyfunction("if($T914&lt;&gt;"""",REGEXEXTRACT(SUBSTITUTE ($T914,I$1&amp;"" CE"",""""), I$1&amp;""[\w &amp;]*, (\d+\.\d+)""),"""")
"),"")</f>
        <v/>
      </c>
      <c r="J914" s="3" t="str">
        <f aca="false">IFERROR(__xludf.dummyfunction("if($T914&lt;&gt;"""",REGEXEXTRACT($T914, J$1&amp;""[\w &amp;]*, (\d+\.\d+)""),"""")
"),"")</f>
        <v/>
      </c>
      <c r="K914" s="3"/>
      <c r="L914" s="3" t="str">
        <f aca="false">IFERROR(__xludf.dummyfunction("if($T914&lt;&gt;"""",REGEXEXTRACT(SUBSTITUTE ($T914,L$1&amp;"" CE"",""""), L$1&amp;""[\w &amp;]*, (\d+\.\d+)""),"""")
"),"")</f>
        <v/>
      </c>
      <c r="M914" s="3" t="str">
        <f aca="false">IFERROR(__xludf.dummyfunction("if($T914&lt;&gt;"""",REGEXEXTRACT($T914, M$1&amp;""[\w &amp;]*, (\d+\.\d+)""),"""")
"),"")</f>
        <v/>
      </c>
      <c r="N914" s="3" t="str">
        <f aca="false">IFERROR(__xludf.dummyfunction("if($T914&lt;&gt;"""",REGEXEXTRACT(SUBSTITUTE ($T914,N$1&amp;"" CE"",""""), N$1&amp;""[\w &amp;]*, (\d+\.\d+)""),"""")
"),"")</f>
        <v/>
      </c>
      <c r="O914" s="3" t="str">
        <f aca="false">IFERROR(__xludf.dummyfunction("if($T914&lt;&gt;"""",REGEXEXTRACT($T914, O$1&amp;""[\w &amp;]*, (\d+\.\d+)""),"""")
"),"")</f>
        <v/>
      </c>
      <c r="P914" s="2"/>
      <c r="Q914" s="2"/>
      <c r="R914" s="2"/>
      <c r="S914" s="2"/>
      <c r="T914" s="5"/>
      <c r="U914" s="5"/>
    </row>
    <row r="915" customFormat="false" ht="15.75" hidden="false" customHeight="false" outlineLevel="0" collapsed="false">
      <c r="A915" s="4"/>
      <c r="B915" s="2"/>
      <c r="C915" s="2"/>
      <c r="D915" s="2"/>
      <c r="E915" s="2"/>
      <c r="F915" s="3" t="str">
        <f aca="false">IFERROR(__xludf.dummyfunction("if($T915&lt;&gt;"""",REGEXEXTRACT(SUBSTITUTE ($T915,F$1&amp;"" CE"",""""), F$1&amp;""[\w &amp;]*, (\d+\.\d+)""),"""")
"),"")</f>
        <v/>
      </c>
      <c r="G915" s="3" t="str">
        <f aca="false">IFERROR(__xludf.dummyfunction("if($T915&lt;&gt;"""",REGEXEXTRACT($T915, G$1&amp;""[\w &amp;]*, (\d+\.\d+)""),"""")
"),"")</f>
        <v/>
      </c>
      <c r="H915" s="3"/>
      <c r="I915" s="3" t="str">
        <f aca="false">IFERROR(__xludf.dummyfunction("if($T915&lt;&gt;"""",REGEXEXTRACT(SUBSTITUTE ($T915,I$1&amp;"" CE"",""""), I$1&amp;""[\w &amp;]*, (\d+\.\d+)""),"""")
"),"")</f>
        <v/>
      </c>
      <c r="J915" s="3" t="str">
        <f aca="false">IFERROR(__xludf.dummyfunction("if($T915&lt;&gt;"""",REGEXEXTRACT($T915, J$1&amp;""[\w &amp;]*, (\d+\.\d+)""),"""")
"),"")</f>
        <v/>
      </c>
      <c r="K915" s="3"/>
      <c r="L915" s="3" t="str">
        <f aca="false">IFERROR(__xludf.dummyfunction("if($T915&lt;&gt;"""",REGEXEXTRACT(SUBSTITUTE ($T915,L$1&amp;"" CE"",""""), L$1&amp;""[\w &amp;]*, (\d+\.\d+)""),"""")
"),"")</f>
        <v/>
      </c>
      <c r="M915" s="3" t="str">
        <f aca="false">IFERROR(__xludf.dummyfunction("if($T915&lt;&gt;"""",REGEXEXTRACT($T915, M$1&amp;""[\w &amp;]*, (\d+\.\d+)""),"""")
"),"")</f>
        <v/>
      </c>
      <c r="N915" s="3" t="str">
        <f aca="false">IFERROR(__xludf.dummyfunction("if($T915&lt;&gt;"""",REGEXEXTRACT(SUBSTITUTE ($T915,N$1&amp;"" CE"",""""), N$1&amp;""[\w &amp;]*, (\d+\.\d+)""),"""")
"),"")</f>
        <v/>
      </c>
      <c r="O915" s="3" t="str">
        <f aca="false">IFERROR(__xludf.dummyfunction("if($T915&lt;&gt;"""",REGEXEXTRACT($T915, O$1&amp;""[\w &amp;]*, (\d+\.\d+)""),"""")
"),"")</f>
        <v/>
      </c>
      <c r="P915" s="2"/>
      <c r="Q915" s="2"/>
      <c r="R915" s="2"/>
      <c r="S915" s="2"/>
      <c r="T915" s="5"/>
      <c r="U915" s="5"/>
    </row>
    <row r="916" customFormat="false" ht="15.75" hidden="false" customHeight="false" outlineLevel="0" collapsed="false">
      <c r="A916" s="4"/>
      <c r="B916" s="2"/>
      <c r="C916" s="2"/>
      <c r="D916" s="2"/>
      <c r="E916" s="2"/>
      <c r="F916" s="3" t="str">
        <f aca="false">IFERROR(__xludf.dummyfunction("if($T916&lt;&gt;"""",REGEXEXTRACT(SUBSTITUTE ($T916,F$1&amp;"" CE"",""""), F$1&amp;""[\w &amp;]*, (\d+\.\d+)""),"""")
"),"")</f>
        <v/>
      </c>
      <c r="G916" s="3" t="str">
        <f aca="false">IFERROR(__xludf.dummyfunction("if($T916&lt;&gt;"""",REGEXEXTRACT($T916, G$1&amp;""[\w &amp;]*, (\d+\.\d+)""),"""")
"),"")</f>
        <v/>
      </c>
      <c r="H916" s="3"/>
      <c r="I916" s="3" t="str">
        <f aca="false">IFERROR(__xludf.dummyfunction("if($T916&lt;&gt;"""",REGEXEXTRACT(SUBSTITUTE ($T916,I$1&amp;"" CE"",""""), I$1&amp;""[\w &amp;]*, (\d+\.\d+)""),"""")
"),"")</f>
        <v/>
      </c>
      <c r="J916" s="3" t="str">
        <f aca="false">IFERROR(__xludf.dummyfunction("if($T916&lt;&gt;"""",REGEXEXTRACT($T916, J$1&amp;""[\w &amp;]*, (\d+\.\d+)""),"""")
"),"")</f>
        <v/>
      </c>
      <c r="K916" s="3"/>
      <c r="L916" s="3" t="str">
        <f aca="false">IFERROR(__xludf.dummyfunction("if($T916&lt;&gt;"""",REGEXEXTRACT(SUBSTITUTE ($T916,L$1&amp;"" CE"",""""), L$1&amp;""[\w &amp;]*, (\d+\.\d+)""),"""")
"),"")</f>
        <v/>
      </c>
      <c r="M916" s="3" t="str">
        <f aca="false">IFERROR(__xludf.dummyfunction("if($T916&lt;&gt;"""",REGEXEXTRACT($T916, M$1&amp;""[\w &amp;]*, (\d+\.\d+)""),"""")
"),"")</f>
        <v/>
      </c>
      <c r="N916" s="3" t="str">
        <f aca="false">IFERROR(__xludf.dummyfunction("if($T916&lt;&gt;"""",REGEXEXTRACT(SUBSTITUTE ($T916,N$1&amp;"" CE"",""""), N$1&amp;""[\w &amp;]*, (\d+\.\d+)""),"""")
"),"")</f>
        <v/>
      </c>
      <c r="O916" s="3" t="str">
        <f aca="false">IFERROR(__xludf.dummyfunction("if($T916&lt;&gt;"""",REGEXEXTRACT($T916, O$1&amp;""[\w &amp;]*, (\d+\.\d+)""),"""")
"),"")</f>
        <v/>
      </c>
      <c r="P916" s="2"/>
      <c r="Q916" s="2"/>
      <c r="R916" s="2"/>
      <c r="S916" s="2"/>
      <c r="T916" s="5"/>
      <c r="U916" s="5"/>
    </row>
    <row r="917" customFormat="false" ht="15.75" hidden="false" customHeight="false" outlineLevel="0" collapsed="false">
      <c r="A917" s="4"/>
      <c r="B917" s="2"/>
      <c r="C917" s="2"/>
      <c r="D917" s="2"/>
      <c r="E917" s="2"/>
      <c r="F917" s="3" t="str">
        <f aca="false">IFERROR(__xludf.dummyfunction("if($T917&lt;&gt;"""",REGEXEXTRACT(SUBSTITUTE ($T917,F$1&amp;"" CE"",""""), F$1&amp;""[\w &amp;]*, (\d+\.\d+)""),"""")
"),"")</f>
        <v/>
      </c>
      <c r="G917" s="3" t="str">
        <f aca="false">IFERROR(__xludf.dummyfunction("if($T917&lt;&gt;"""",REGEXEXTRACT($T917, G$1&amp;""[\w &amp;]*, (\d+\.\d+)""),"""")
"),"")</f>
        <v/>
      </c>
      <c r="H917" s="3"/>
      <c r="I917" s="3" t="str">
        <f aca="false">IFERROR(__xludf.dummyfunction("if($T917&lt;&gt;"""",REGEXEXTRACT(SUBSTITUTE ($T917,I$1&amp;"" CE"",""""), I$1&amp;""[\w &amp;]*, (\d+\.\d+)""),"""")
"),"")</f>
        <v/>
      </c>
      <c r="J917" s="3" t="str">
        <f aca="false">IFERROR(__xludf.dummyfunction("if($T917&lt;&gt;"""",REGEXEXTRACT($T917, J$1&amp;""[\w &amp;]*, (\d+\.\d+)""),"""")
"),"")</f>
        <v/>
      </c>
      <c r="K917" s="3"/>
      <c r="L917" s="3" t="str">
        <f aca="false">IFERROR(__xludf.dummyfunction("if($T917&lt;&gt;"""",REGEXEXTRACT(SUBSTITUTE ($T917,L$1&amp;"" CE"",""""), L$1&amp;""[\w &amp;]*, (\d+\.\d+)""),"""")
"),"")</f>
        <v/>
      </c>
      <c r="M917" s="3" t="str">
        <f aca="false">IFERROR(__xludf.dummyfunction("if($T917&lt;&gt;"""",REGEXEXTRACT($T917, M$1&amp;""[\w &amp;]*, (\d+\.\d+)""),"""")
"),"")</f>
        <v/>
      </c>
      <c r="N917" s="3" t="str">
        <f aca="false">IFERROR(__xludf.dummyfunction("if($T917&lt;&gt;"""",REGEXEXTRACT(SUBSTITUTE ($T917,N$1&amp;"" CE"",""""), N$1&amp;""[\w &amp;]*, (\d+\.\d+)""),"""")
"),"")</f>
        <v/>
      </c>
      <c r="O917" s="3" t="str">
        <f aca="false">IFERROR(__xludf.dummyfunction("if($T917&lt;&gt;"""",REGEXEXTRACT($T917, O$1&amp;""[\w &amp;]*, (\d+\.\d+)""),"""")
"),"")</f>
        <v/>
      </c>
      <c r="P917" s="2"/>
      <c r="Q917" s="2"/>
      <c r="R917" s="2"/>
      <c r="S917" s="2"/>
      <c r="T917" s="5"/>
      <c r="U917" s="5"/>
    </row>
    <row r="918" customFormat="false" ht="15.75" hidden="false" customHeight="false" outlineLevel="0" collapsed="false">
      <c r="A918" s="4"/>
      <c r="B918" s="2"/>
      <c r="C918" s="2"/>
      <c r="D918" s="2"/>
      <c r="E918" s="2"/>
      <c r="F918" s="3" t="str">
        <f aca="false">IFERROR(__xludf.dummyfunction("if($T918&lt;&gt;"""",REGEXEXTRACT(SUBSTITUTE ($T918,F$1&amp;"" CE"",""""), F$1&amp;""[\w &amp;]*, (\d+\.\d+)""),"""")
"),"")</f>
        <v/>
      </c>
      <c r="G918" s="3" t="str">
        <f aca="false">IFERROR(__xludf.dummyfunction("if($T918&lt;&gt;"""",REGEXEXTRACT($T918, G$1&amp;""[\w &amp;]*, (\d+\.\d+)""),"""")
"),"")</f>
        <v/>
      </c>
      <c r="H918" s="3"/>
      <c r="I918" s="3" t="str">
        <f aca="false">IFERROR(__xludf.dummyfunction("if($T918&lt;&gt;"""",REGEXEXTRACT(SUBSTITUTE ($T918,I$1&amp;"" CE"",""""), I$1&amp;""[\w &amp;]*, (\d+\.\d+)""),"""")
"),"")</f>
        <v/>
      </c>
      <c r="J918" s="3" t="str">
        <f aca="false">IFERROR(__xludf.dummyfunction("if($T918&lt;&gt;"""",REGEXEXTRACT($T918, J$1&amp;""[\w &amp;]*, (\d+\.\d+)""),"""")
"),"")</f>
        <v/>
      </c>
      <c r="K918" s="3"/>
      <c r="L918" s="3" t="str">
        <f aca="false">IFERROR(__xludf.dummyfunction("if($T918&lt;&gt;"""",REGEXEXTRACT(SUBSTITUTE ($T918,L$1&amp;"" CE"",""""), L$1&amp;""[\w &amp;]*, (\d+\.\d+)""),"""")
"),"")</f>
        <v/>
      </c>
      <c r="M918" s="3" t="str">
        <f aca="false">IFERROR(__xludf.dummyfunction("if($T918&lt;&gt;"""",REGEXEXTRACT($T918, M$1&amp;""[\w &amp;]*, (\d+\.\d+)""),"""")
"),"")</f>
        <v/>
      </c>
      <c r="N918" s="3" t="str">
        <f aca="false">IFERROR(__xludf.dummyfunction("if($T918&lt;&gt;"""",REGEXEXTRACT(SUBSTITUTE ($T918,N$1&amp;"" CE"",""""), N$1&amp;""[\w &amp;]*, (\d+\.\d+)""),"""")
"),"")</f>
        <v/>
      </c>
      <c r="O918" s="3" t="str">
        <f aca="false">IFERROR(__xludf.dummyfunction("if($T918&lt;&gt;"""",REGEXEXTRACT($T918, O$1&amp;""[\w &amp;]*, (\d+\.\d+)""),"""")
"),"")</f>
        <v/>
      </c>
      <c r="P918" s="2"/>
      <c r="Q918" s="2"/>
      <c r="R918" s="2"/>
      <c r="S918" s="2"/>
      <c r="T918" s="5"/>
      <c r="U918" s="5"/>
    </row>
    <row r="919" customFormat="false" ht="15.75" hidden="false" customHeight="false" outlineLevel="0" collapsed="false">
      <c r="A919" s="4"/>
      <c r="B919" s="2"/>
      <c r="C919" s="2"/>
      <c r="D919" s="2"/>
      <c r="E919" s="2"/>
      <c r="F919" s="3" t="str">
        <f aca="false">IFERROR(__xludf.dummyfunction("if($T919&lt;&gt;"""",REGEXEXTRACT(SUBSTITUTE ($T919,F$1&amp;"" CE"",""""), F$1&amp;""[\w &amp;]*, (\d+\.\d+)""),"""")
"),"")</f>
        <v/>
      </c>
      <c r="G919" s="3" t="str">
        <f aca="false">IFERROR(__xludf.dummyfunction("if($T919&lt;&gt;"""",REGEXEXTRACT($T919, G$1&amp;""[\w &amp;]*, (\d+\.\d+)""),"""")
"),"")</f>
        <v/>
      </c>
      <c r="H919" s="3"/>
      <c r="I919" s="3" t="str">
        <f aca="false">IFERROR(__xludf.dummyfunction("if($T919&lt;&gt;"""",REGEXEXTRACT(SUBSTITUTE ($T919,I$1&amp;"" CE"",""""), I$1&amp;""[\w &amp;]*, (\d+\.\d+)""),"""")
"),"")</f>
        <v/>
      </c>
      <c r="J919" s="3" t="str">
        <f aca="false">IFERROR(__xludf.dummyfunction("if($T919&lt;&gt;"""",REGEXEXTRACT($T919, J$1&amp;""[\w &amp;]*, (\d+\.\d+)""),"""")
"),"")</f>
        <v/>
      </c>
      <c r="K919" s="3"/>
      <c r="L919" s="3" t="str">
        <f aca="false">IFERROR(__xludf.dummyfunction("if($T919&lt;&gt;"""",REGEXEXTRACT(SUBSTITUTE ($T919,L$1&amp;"" CE"",""""), L$1&amp;""[\w &amp;]*, (\d+\.\d+)""),"""")
"),"")</f>
        <v/>
      </c>
      <c r="M919" s="3" t="str">
        <f aca="false">IFERROR(__xludf.dummyfunction("if($T919&lt;&gt;"""",REGEXEXTRACT($T919, M$1&amp;""[\w &amp;]*, (\d+\.\d+)""),"""")
"),"")</f>
        <v/>
      </c>
      <c r="N919" s="3" t="str">
        <f aca="false">IFERROR(__xludf.dummyfunction("if($T919&lt;&gt;"""",REGEXEXTRACT(SUBSTITUTE ($T919,N$1&amp;"" CE"",""""), N$1&amp;""[\w &amp;]*, (\d+\.\d+)""),"""")
"),"")</f>
        <v/>
      </c>
      <c r="O919" s="3" t="str">
        <f aca="false">IFERROR(__xludf.dummyfunction("if($T919&lt;&gt;"""",REGEXEXTRACT($T919, O$1&amp;""[\w &amp;]*, (\d+\.\d+)""),"""")
"),"")</f>
        <v/>
      </c>
      <c r="P919" s="2"/>
      <c r="Q919" s="2"/>
      <c r="R919" s="2"/>
      <c r="S919" s="2"/>
      <c r="T919" s="5"/>
      <c r="U919" s="5"/>
    </row>
    <row r="920" customFormat="false" ht="15.75" hidden="false" customHeight="false" outlineLevel="0" collapsed="false">
      <c r="A920" s="4"/>
      <c r="B920" s="2"/>
      <c r="C920" s="2"/>
      <c r="D920" s="2"/>
      <c r="E920" s="2"/>
      <c r="F920" s="3" t="str">
        <f aca="false">IFERROR(__xludf.dummyfunction("if($T920&lt;&gt;"""",REGEXEXTRACT(SUBSTITUTE ($T920,F$1&amp;"" CE"",""""), F$1&amp;""[\w &amp;]*, (\d+\.\d+)""),"""")
"),"")</f>
        <v/>
      </c>
      <c r="G920" s="3" t="str">
        <f aca="false">IFERROR(__xludf.dummyfunction("if($T920&lt;&gt;"""",REGEXEXTRACT($T920, G$1&amp;""[\w &amp;]*, (\d+\.\d+)""),"""")
"),"")</f>
        <v/>
      </c>
      <c r="H920" s="3"/>
      <c r="I920" s="3" t="str">
        <f aca="false">IFERROR(__xludf.dummyfunction("if($T920&lt;&gt;"""",REGEXEXTRACT(SUBSTITUTE ($T920,I$1&amp;"" CE"",""""), I$1&amp;""[\w &amp;]*, (\d+\.\d+)""),"""")
"),"")</f>
        <v/>
      </c>
      <c r="J920" s="3" t="str">
        <f aca="false">IFERROR(__xludf.dummyfunction("if($T920&lt;&gt;"""",REGEXEXTRACT($T920, J$1&amp;""[\w &amp;]*, (\d+\.\d+)""),"""")
"),"")</f>
        <v/>
      </c>
      <c r="K920" s="3"/>
      <c r="L920" s="3" t="str">
        <f aca="false">IFERROR(__xludf.dummyfunction("if($T920&lt;&gt;"""",REGEXEXTRACT(SUBSTITUTE ($T920,L$1&amp;"" CE"",""""), L$1&amp;""[\w &amp;]*, (\d+\.\d+)""),"""")
"),"")</f>
        <v/>
      </c>
      <c r="M920" s="3" t="str">
        <f aca="false">IFERROR(__xludf.dummyfunction("if($T920&lt;&gt;"""",REGEXEXTRACT($T920, M$1&amp;""[\w &amp;]*, (\d+\.\d+)""),"""")
"),"")</f>
        <v/>
      </c>
      <c r="N920" s="3" t="str">
        <f aca="false">IFERROR(__xludf.dummyfunction("if($T920&lt;&gt;"""",REGEXEXTRACT(SUBSTITUTE ($T920,N$1&amp;"" CE"",""""), N$1&amp;""[\w &amp;]*, (\d+\.\d+)""),"""")
"),"")</f>
        <v/>
      </c>
      <c r="O920" s="3" t="str">
        <f aca="false">IFERROR(__xludf.dummyfunction("if($T920&lt;&gt;"""",REGEXEXTRACT($T920, O$1&amp;""[\w &amp;]*, (\d+\.\d+)""),"""")
"),"")</f>
        <v/>
      </c>
      <c r="P920" s="2"/>
      <c r="Q920" s="2"/>
      <c r="R920" s="2"/>
      <c r="S920" s="2"/>
      <c r="T920" s="5"/>
      <c r="U920" s="5"/>
    </row>
    <row r="921" customFormat="false" ht="15.75" hidden="false" customHeight="false" outlineLevel="0" collapsed="false">
      <c r="A921" s="4"/>
      <c r="B921" s="2"/>
      <c r="C921" s="2"/>
      <c r="D921" s="2"/>
      <c r="E921" s="2"/>
      <c r="F921" s="3" t="str">
        <f aca="false">IFERROR(__xludf.dummyfunction("if($T921&lt;&gt;"""",REGEXEXTRACT(SUBSTITUTE ($T921,F$1&amp;"" CE"",""""), F$1&amp;""[\w &amp;]*, (\d+\.\d+)""),"""")
"),"")</f>
        <v/>
      </c>
      <c r="G921" s="3" t="str">
        <f aca="false">IFERROR(__xludf.dummyfunction("if($T921&lt;&gt;"""",REGEXEXTRACT($T921, G$1&amp;""[\w &amp;]*, (\d+\.\d+)""),"""")
"),"")</f>
        <v/>
      </c>
      <c r="H921" s="3"/>
      <c r="I921" s="3" t="str">
        <f aca="false">IFERROR(__xludf.dummyfunction("if($T921&lt;&gt;"""",REGEXEXTRACT(SUBSTITUTE ($T921,I$1&amp;"" CE"",""""), I$1&amp;""[\w &amp;]*, (\d+\.\d+)""),"""")
"),"")</f>
        <v/>
      </c>
      <c r="J921" s="3" t="str">
        <f aca="false">IFERROR(__xludf.dummyfunction("if($T921&lt;&gt;"""",REGEXEXTRACT($T921, J$1&amp;""[\w &amp;]*, (\d+\.\d+)""),"""")
"),"")</f>
        <v/>
      </c>
      <c r="K921" s="3"/>
      <c r="L921" s="3" t="str">
        <f aca="false">IFERROR(__xludf.dummyfunction("if($T921&lt;&gt;"""",REGEXEXTRACT(SUBSTITUTE ($T921,L$1&amp;"" CE"",""""), L$1&amp;""[\w &amp;]*, (\d+\.\d+)""),"""")
"),"")</f>
        <v/>
      </c>
      <c r="M921" s="3" t="str">
        <f aca="false">IFERROR(__xludf.dummyfunction("if($T921&lt;&gt;"""",REGEXEXTRACT($T921, M$1&amp;""[\w &amp;]*, (\d+\.\d+)""),"""")
"),"")</f>
        <v/>
      </c>
      <c r="N921" s="3" t="str">
        <f aca="false">IFERROR(__xludf.dummyfunction("if($T921&lt;&gt;"""",REGEXEXTRACT(SUBSTITUTE ($T921,N$1&amp;"" CE"",""""), N$1&amp;""[\w &amp;]*, (\d+\.\d+)""),"""")
"),"")</f>
        <v/>
      </c>
      <c r="O921" s="3" t="str">
        <f aca="false">IFERROR(__xludf.dummyfunction("if($T921&lt;&gt;"""",REGEXEXTRACT($T921, O$1&amp;""[\w &amp;]*, (\d+\.\d+)""),"""")
"),"")</f>
        <v/>
      </c>
      <c r="P921" s="2"/>
      <c r="Q921" s="2"/>
      <c r="R921" s="2"/>
      <c r="S921" s="2"/>
      <c r="T921" s="5"/>
      <c r="U921" s="5"/>
    </row>
    <row r="922" customFormat="false" ht="15.75" hidden="false" customHeight="false" outlineLevel="0" collapsed="false">
      <c r="A922" s="4"/>
      <c r="B922" s="2"/>
      <c r="C922" s="2"/>
      <c r="D922" s="2"/>
      <c r="E922" s="2"/>
      <c r="F922" s="3" t="str">
        <f aca="false">IFERROR(__xludf.dummyfunction("if($T922&lt;&gt;"""",REGEXEXTRACT(SUBSTITUTE ($T922,F$1&amp;"" CE"",""""), F$1&amp;""[\w &amp;]*, (\d+\.\d+)""),"""")
"),"")</f>
        <v/>
      </c>
      <c r="G922" s="3" t="str">
        <f aca="false">IFERROR(__xludf.dummyfunction("if($T922&lt;&gt;"""",REGEXEXTRACT($T922, G$1&amp;""[\w &amp;]*, (\d+\.\d+)""),"""")
"),"")</f>
        <v/>
      </c>
      <c r="H922" s="3"/>
      <c r="I922" s="3" t="str">
        <f aca="false">IFERROR(__xludf.dummyfunction("if($T922&lt;&gt;"""",REGEXEXTRACT(SUBSTITUTE ($T922,I$1&amp;"" CE"",""""), I$1&amp;""[\w &amp;]*, (\d+\.\d+)""),"""")
"),"")</f>
        <v/>
      </c>
      <c r="J922" s="3" t="str">
        <f aca="false">IFERROR(__xludf.dummyfunction("if($T922&lt;&gt;"""",REGEXEXTRACT($T922, J$1&amp;""[\w &amp;]*, (\d+\.\d+)""),"""")
"),"")</f>
        <v/>
      </c>
      <c r="K922" s="3"/>
      <c r="L922" s="3" t="str">
        <f aca="false">IFERROR(__xludf.dummyfunction("if($T922&lt;&gt;"""",REGEXEXTRACT(SUBSTITUTE ($T922,L$1&amp;"" CE"",""""), L$1&amp;""[\w &amp;]*, (\d+\.\d+)""),"""")
"),"")</f>
        <v/>
      </c>
      <c r="M922" s="3" t="str">
        <f aca="false">IFERROR(__xludf.dummyfunction("if($T922&lt;&gt;"""",REGEXEXTRACT($T922, M$1&amp;""[\w &amp;]*, (\d+\.\d+)""),"""")
"),"")</f>
        <v/>
      </c>
      <c r="N922" s="3" t="str">
        <f aca="false">IFERROR(__xludf.dummyfunction("if($T922&lt;&gt;"""",REGEXEXTRACT(SUBSTITUTE ($T922,N$1&amp;"" CE"",""""), N$1&amp;""[\w &amp;]*, (\d+\.\d+)""),"""")
"),"")</f>
        <v/>
      </c>
      <c r="O922" s="3" t="str">
        <f aca="false">IFERROR(__xludf.dummyfunction("if($T922&lt;&gt;"""",REGEXEXTRACT($T922, O$1&amp;""[\w &amp;]*, (\d+\.\d+)""),"""")
"),"")</f>
        <v/>
      </c>
      <c r="P922" s="2"/>
      <c r="Q922" s="2"/>
      <c r="R922" s="2"/>
      <c r="S922" s="2"/>
      <c r="T922" s="5"/>
      <c r="U922" s="5"/>
    </row>
    <row r="923" customFormat="false" ht="15.75" hidden="false" customHeight="false" outlineLevel="0" collapsed="false">
      <c r="A923" s="4"/>
      <c r="B923" s="2"/>
      <c r="C923" s="2"/>
      <c r="D923" s="2"/>
      <c r="E923" s="2"/>
      <c r="F923" s="3" t="str">
        <f aca="false">IFERROR(__xludf.dummyfunction("if($T923&lt;&gt;"""",REGEXEXTRACT(SUBSTITUTE ($T923,F$1&amp;"" CE"",""""), F$1&amp;""[\w &amp;]*, (\d+\.\d+)""),"""")
"),"")</f>
        <v/>
      </c>
      <c r="G923" s="3" t="str">
        <f aca="false">IFERROR(__xludf.dummyfunction("if($T923&lt;&gt;"""",REGEXEXTRACT($T923, G$1&amp;""[\w &amp;]*, (\d+\.\d+)""),"""")
"),"")</f>
        <v/>
      </c>
      <c r="H923" s="3"/>
      <c r="I923" s="3" t="str">
        <f aca="false">IFERROR(__xludf.dummyfunction("if($T923&lt;&gt;"""",REGEXEXTRACT(SUBSTITUTE ($T923,I$1&amp;"" CE"",""""), I$1&amp;""[\w &amp;]*, (\d+\.\d+)""),"""")
"),"")</f>
        <v/>
      </c>
      <c r="J923" s="3" t="str">
        <f aca="false">IFERROR(__xludf.dummyfunction("if($T923&lt;&gt;"""",REGEXEXTRACT($T923, J$1&amp;""[\w &amp;]*, (\d+\.\d+)""),"""")
"),"")</f>
        <v/>
      </c>
      <c r="K923" s="3"/>
      <c r="L923" s="3" t="str">
        <f aca="false">IFERROR(__xludf.dummyfunction("if($T923&lt;&gt;"""",REGEXEXTRACT(SUBSTITUTE ($T923,L$1&amp;"" CE"",""""), L$1&amp;""[\w &amp;]*, (\d+\.\d+)""),"""")
"),"")</f>
        <v/>
      </c>
      <c r="M923" s="3" t="str">
        <f aca="false">IFERROR(__xludf.dummyfunction("if($T923&lt;&gt;"""",REGEXEXTRACT($T923, M$1&amp;""[\w &amp;]*, (\d+\.\d+)""),"""")
"),"")</f>
        <v/>
      </c>
      <c r="N923" s="3" t="str">
        <f aca="false">IFERROR(__xludf.dummyfunction("if($T923&lt;&gt;"""",REGEXEXTRACT(SUBSTITUTE ($T923,N$1&amp;"" CE"",""""), N$1&amp;""[\w &amp;]*, (\d+\.\d+)""),"""")
"),"")</f>
        <v/>
      </c>
      <c r="O923" s="3" t="str">
        <f aca="false">IFERROR(__xludf.dummyfunction("if($T923&lt;&gt;"""",REGEXEXTRACT($T923, O$1&amp;""[\w &amp;]*, (\d+\.\d+)""),"""")
"),"")</f>
        <v/>
      </c>
      <c r="P923" s="2"/>
      <c r="Q923" s="2"/>
      <c r="R923" s="2"/>
      <c r="S923" s="2"/>
      <c r="T923" s="5"/>
      <c r="U923" s="5"/>
    </row>
    <row r="924" customFormat="false" ht="15.75" hidden="false" customHeight="false" outlineLevel="0" collapsed="false">
      <c r="A924" s="4"/>
      <c r="B924" s="2"/>
      <c r="C924" s="2"/>
      <c r="D924" s="2"/>
      <c r="E924" s="2"/>
      <c r="F924" s="3" t="str">
        <f aca="false">IFERROR(__xludf.dummyfunction("if($T924&lt;&gt;"""",REGEXEXTRACT(SUBSTITUTE ($T924,F$1&amp;"" CE"",""""), F$1&amp;""[\w &amp;]*, (\d+\.\d+)""),"""")
"),"")</f>
        <v/>
      </c>
      <c r="G924" s="3" t="str">
        <f aca="false">IFERROR(__xludf.dummyfunction("if($T924&lt;&gt;"""",REGEXEXTRACT($T924, G$1&amp;""[\w &amp;]*, (\d+\.\d+)""),"""")
"),"")</f>
        <v/>
      </c>
      <c r="H924" s="3"/>
      <c r="I924" s="3" t="str">
        <f aca="false">IFERROR(__xludf.dummyfunction("if($T924&lt;&gt;"""",REGEXEXTRACT(SUBSTITUTE ($T924,I$1&amp;"" CE"",""""), I$1&amp;""[\w &amp;]*, (\d+\.\d+)""),"""")
"),"")</f>
        <v/>
      </c>
      <c r="J924" s="3" t="str">
        <f aca="false">IFERROR(__xludf.dummyfunction("if($T924&lt;&gt;"""",REGEXEXTRACT($T924, J$1&amp;""[\w &amp;]*, (\d+\.\d+)""),"""")
"),"")</f>
        <v/>
      </c>
      <c r="K924" s="3"/>
      <c r="L924" s="3" t="str">
        <f aca="false">IFERROR(__xludf.dummyfunction("if($T924&lt;&gt;"""",REGEXEXTRACT(SUBSTITUTE ($T924,L$1&amp;"" CE"",""""), L$1&amp;""[\w &amp;]*, (\d+\.\d+)""),"""")
"),"")</f>
        <v/>
      </c>
      <c r="M924" s="3" t="str">
        <f aca="false">IFERROR(__xludf.dummyfunction("if($T924&lt;&gt;"""",REGEXEXTRACT($T924, M$1&amp;""[\w &amp;]*, (\d+\.\d+)""),"""")
"),"")</f>
        <v/>
      </c>
      <c r="N924" s="3" t="str">
        <f aca="false">IFERROR(__xludf.dummyfunction("if($T924&lt;&gt;"""",REGEXEXTRACT(SUBSTITUTE ($T924,N$1&amp;"" CE"",""""), N$1&amp;""[\w &amp;]*, (\d+\.\d+)""),"""")
"),"")</f>
        <v/>
      </c>
      <c r="O924" s="3" t="str">
        <f aca="false">IFERROR(__xludf.dummyfunction("if($T924&lt;&gt;"""",REGEXEXTRACT($T924, O$1&amp;""[\w &amp;]*, (\d+\.\d+)""),"""")
"),"")</f>
        <v/>
      </c>
      <c r="P924" s="2"/>
      <c r="Q924" s="2"/>
      <c r="R924" s="2"/>
      <c r="S924" s="2"/>
      <c r="T924" s="5"/>
      <c r="U924" s="5"/>
    </row>
    <row r="925" customFormat="false" ht="15.75" hidden="false" customHeight="false" outlineLevel="0" collapsed="false">
      <c r="A925" s="4"/>
      <c r="B925" s="2"/>
      <c r="C925" s="2"/>
      <c r="D925" s="2"/>
      <c r="E925" s="2"/>
      <c r="F925" s="3" t="str">
        <f aca="false">IFERROR(__xludf.dummyfunction("if($T925&lt;&gt;"""",REGEXEXTRACT(SUBSTITUTE ($T925,F$1&amp;"" CE"",""""), F$1&amp;""[\w &amp;]*, (\d+\.\d+)""),"""")
"),"")</f>
        <v/>
      </c>
      <c r="G925" s="3" t="str">
        <f aca="false">IFERROR(__xludf.dummyfunction("if($T925&lt;&gt;"""",REGEXEXTRACT($T925, G$1&amp;""[\w &amp;]*, (\d+\.\d+)""),"""")
"),"")</f>
        <v/>
      </c>
      <c r="H925" s="3"/>
      <c r="I925" s="3" t="str">
        <f aca="false">IFERROR(__xludf.dummyfunction("if($T925&lt;&gt;"""",REGEXEXTRACT(SUBSTITUTE ($T925,I$1&amp;"" CE"",""""), I$1&amp;""[\w &amp;]*, (\d+\.\d+)""),"""")
"),"")</f>
        <v/>
      </c>
      <c r="J925" s="3" t="str">
        <f aca="false">IFERROR(__xludf.dummyfunction("if($T925&lt;&gt;"""",REGEXEXTRACT($T925, J$1&amp;""[\w &amp;]*, (\d+\.\d+)""),"""")
"),"")</f>
        <v/>
      </c>
      <c r="K925" s="3"/>
      <c r="L925" s="3" t="str">
        <f aca="false">IFERROR(__xludf.dummyfunction("if($T925&lt;&gt;"""",REGEXEXTRACT(SUBSTITUTE ($T925,L$1&amp;"" CE"",""""), L$1&amp;""[\w &amp;]*, (\d+\.\d+)""),"""")
"),"")</f>
        <v/>
      </c>
      <c r="M925" s="3" t="str">
        <f aca="false">IFERROR(__xludf.dummyfunction("if($T925&lt;&gt;"""",REGEXEXTRACT($T925, M$1&amp;""[\w &amp;]*, (\d+\.\d+)""),"""")
"),"")</f>
        <v/>
      </c>
      <c r="N925" s="3" t="str">
        <f aca="false">IFERROR(__xludf.dummyfunction("if($T925&lt;&gt;"""",REGEXEXTRACT(SUBSTITUTE ($T925,N$1&amp;"" CE"",""""), N$1&amp;""[\w &amp;]*, (\d+\.\d+)""),"""")
"),"")</f>
        <v/>
      </c>
      <c r="O925" s="3" t="str">
        <f aca="false">IFERROR(__xludf.dummyfunction("if($T925&lt;&gt;"""",REGEXEXTRACT($T925, O$1&amp;""[\w &amp;]*, (\d+\.\d+)""),"""")
"),"")</f>
        <v/>
      </c>
      <c r="P925" s="2"/>
      <c r="Q925" s="2"/>
      <c r="R925" s="2"/>
      <c r="S925" s="2"/>
      <c r="T925" s="5"/>
      <c r="U925" s="5"/>
    </row>
    <row r="926" customFormat="false" ht="15.75" hidden="false" customHeight="false" outlineLevel="0" collapsed="false">
      <c r="A926" s="4"/>
      <c r="B926" s="2"/>
      <c r="C926" s="2"/>
      <c r="D926" s="2"/>
      <c r="E926" s="2"/>
      <c r="F926" s="3" t="str">
        <f aca="false">IFERROR(__xludf.dummyfunction("if($T926&lt;&gt;"""",REGEXEXTRACT(SUBSTITUTE ($T926,F$1&amp;"" CE"",""""), F$1&amp;""[\w &amp;]*, (\d+\.\d+)""),"""")
"),"")</f>
        <v/>
      </c>
      <c r="G926" s="3" t="str">
        <f aca="false">IFERROR(__xludf.dummyfunction("if($T926&lt;&gt;"""",REGEXEXTRACT($T926, G$1&amp;""[\w &amp;]*, (\d+\.\d+)""),"""")
"),"")</f>
        <v/>
      </c>
      <c r="H926" s="3"/>
      <c r="I926" s="3" t="str">
        <f aca="false">IFERROR(__xludf.dummyfunction("if($T926&lt;&gt;"""",REGEXEXTRACT(SUBSTITUTE ($T926,I$1&amp;"" CE"",""""), I$1&amp;""[\w &amp;]*, (\d+\.\d+)""),"""")
"),"")</f>
        <v/>
      </c>
      <c r="J926" s="3" t="str">
        <f aca="false">IFERROR(__xludf.dummyfunction("if($T926&lt;&gt;"""",REGEXEXTRACT($T926, J$1&amp;""[\w &amp;]*, (\d+\.\d+)""),"""")
"),"")</f>
        <v/>
      </c>
      <c r="K926" s="3"/>
      <c r="L926" s="3" t="str">
        <f aca="false">IFERROR(__xludf.dummyfunction("if($T926&lt;&gt;"""",REGEXEXTRACT(SUBSTITUTE ($T926,L$1&amp;"" CE"",""""), L$1&amp;""[\w &amp;]*, (\d+\.\d+)""),"""")
"),"")</f>
        <v/>
      </c>
      <c r="M926" s="3" t="str">
        <f aca="false">IFERROR(__xludf.dummyfunction("if($T926&lt;&gt;"""",REGEXEXTRACT($T926, M$1&amp;""[\w &amp;]*, (\d+\.\d+)""),"""")
"),"")</f>
        <v/>
      </c>
      <c r="N926" s="3" t="str">
        <f aca="false">IFERROR(__xludf.dummyfunction("if($T926&lt;&gt;"""",REGEXEXTRACT(SUBSTITUTE ($T926,N$1&amp;"" CE"",""""), N$1&amp;""[\w &amp;]*, (\d+\.\d+)""),"""")
"),"")</f>
        <v/>
      </c>
      <c r="O926" s="3" t="str">
        <f aca="false">IFERROR(__xludf.dummyfunction("if($T926&lt;&gt;"""",REGEXEXTRACT($T926, O$1&amp;""[\w &amp;]*, (\d+\.\d+)""),"""")
"),"")</f>
        <v/>
      </c>
      <c r="P926" s="2"/>
      <c r="Q926" s="2"/>
      <c r="R926" s="2"/>
      <c r="S926" s="2"/>
      <c r="T926" s="5"/>
      <c r="U926" s="5"/>
    </row>
    <row r="927" customFormat="false" ht="15.75" hidden="false" customHeight="false" outlineLevel="0" collapsed="false">
      <c r="A927" s="4"/>
      <c r="B927" s="2"/>
      <c r="C927" s="2"/>
      <c r="D927" s="2"/>
      <c r="E927" s="2"/>
      <c r="F927" s="3" t="str">
        <f aca="false">IFERROR(__xludf.dummyfunction("if($T927&lt;&gt;"""",REGEXEXTRACT(SUBSTITUTE ($T927,F$1&amp;"" CE"",""""), F$1&amp;""[\w &amp;]*, (\d+\.\d+)""),"""")
"),"")</f>
        <v/>
      </c>
      <c r="G927" s="3" t="str">
        <f aca="false">IFERROR(__xludf.dummyfunction("if($T927&lt;&gt;"""",REGEXEXTRACT($T927, G$1&amp;""[\w &amp;]*, (\d+\.\d+)""),"""")
"),"")</f>
        <v/>
      </c>
      <c r="H927" s="3"/>
      <c r="I927" s="3" t="str">
        <f aca="false">IFERROR(__xludf.dummyfunction("if($T927&lt;&gt;"""",REGEXEXTRACT(SUBSTITUTE ($T927,I$1&amp;"" CE"",""""), I$1&amp;""[\w &amp;]*, (\d+\.\d+)""),"""")
"),"")</f>
        <v/>
      </c>
      <c r="J927" s="3" t="str">
        <f aca="false">IFERROR(__xludf.dummyfunction("if($T927&lt;&gt;"""",REGEXEXTRACT($T927, J$1&amp;""[\w &amp;]*, (\d+\.\d+)""),"""")
"),"")</f>
        <v/>
      </c>
      <c r="K927" s="3"/>
      <c r="L927" s="3" t="str">
        <f aca="false">IFERROR(__xludf.dummyfunction("if($T927&lt;&gt;"""",REGEXEXTRACT(SUBSTITUTE ($T927,L$1&amp;"" CE"",""""), L$1&amp;""[\w &amp;]*, (\d+\.\d+)""),"""")
"),"")</f>
        <v/>
      </c>
      <c r="M927" s="3" t="str">
        <f aca="false">IFERROR(__xludf.dummyfunction("if($T927&lt;&gt;"""",REGEXEXTRACT($T927, M$1&amp;""[\w &amp;]*, (\d+\.\d+)""),"""")
"),"")</f>
        <v/>
      </c>
      <c r="N927" s="3" t="str">
        <f aca="false">IFERROR(__xludf.dummyfunction("if($T927&lt;&gt;"""",REGEXEXTRACT(SUBSTITUTE ($T927,N$1&amp;"" CE"",""""), N$1&amp;""[\w &amp;]*, (\d+\.\d+)""),"""")
"),"")</f>
        <v/>
      </c>
      <c r="O927" s="3" t="str">
        <f aca="false">IFERROR(__xludf.dummyfunction("if($T927&lt;&gt;"""",REGEXEXTRACT($T927, O$1&amp;""[\w &amp;]*, (\d+\.\d+)""),"""")
"),"")</f>
        <v/>
      </c>
      <c r="P927" s="2"/>
      <c r="Q927" s="2"/>
      <c r="R927" s="2"/>
      <c r="S927" s="2"/>
      <c r="T927" s="5"/>
      <c r="U927" s="5"/>
    </row>
    <row r="928" customFormat="false" ht="15.75" hidden="false" customHeight="false" outlineLevel="0" collapsed="false">
      <c r="A928" s="4"/>
      <c r="B928" s="2"/>
      <c r="C928" s="2"/>
      <c r="D928" s="2"/>
      <c r="E928" s="2"/>
      <c r="F928" s="3" t="str">
        <f aca="false">IFERROR(__xludf.dummyfunction("if($T928&lt;&gt;"""",REGEXEXTRACT(SUBSTITUTE ($T928,F$1&amp;"" CE"",""""), F$1&amp;""[\w &amp;]*, (\d+\.\d+)""),"""")
"),"")</f>
        <v/>
      </c>
      <c r="G928" s="3" t="str">
        <f aca="false">IFERROR(__xludf.dummyfunction("if($T928&lt;&gt;"""",REGEXEXTRACT($T928, G$1&amp;""[\w &amp;]*, (\d+\.\d+)""),"""")
"),"")</f>
        <v/>
      </c>
      <c r="H928" s="3"/>
      <c r="I928" s="3" t="str">
        <f aca="false">IFERROR(__xludf.dummyfunction("if($T928&lt;&gt;"""",REGEXEXTRACT(SUBSTITUTE ($T928,I$1&amp;"" CE"",""""), I$1&amp;""[\w &amp;]*, (\d+\.\d+)""),"""")
"),"")</f>
        <v/>
      </c>
      <c r="J928" s="3" t="str">
        <f aca="false">IFERROR(__xludf.dummyfunction("if($T928&lt;&gt;"""",REGEXEXTRACT($T928, J$1&amp;""[\w &amp;]*, (\d+\.\d+)""),"""")
"),"")</f>
        <v/>
      </c>
      <c r="K928" s="3"/>
      <c r="L928" s="3" t="str">
        <f aca="false">IFERROR(__xludf.dummyfunction("if($T928&lt;&gt;"""",REGEXEXTRACT(SUBSTITUTE ($T928,L$1&amp;"" CE"",""""), L$1&amp;""[\w &amp;]*, (\d+\.\d+)""),"""")
"),"")</f>
        <v/>
      </c>
      <c r="M928" s="3" t="str">
        <f aca="false">IFERROR(__xludf.dummyfunction("if($T928&lt;&gt;"""",REGEXEXTRACT($T928, M$1&amp;""[\w &amp;]*, (\d+\.\d+)""),"""")
"),"")</f>
        <v/>
      </c>
      <c r="N928" s="3" t="str">
        <f aca="false">IFERROR(__xludf.dummyfunction("if($T928&lt;&gt;"""",REGEXEXTRACT(SUBSTITUTE ($T928,N$1&amp;"" CE"",""""), N$1&amp;""[\w &amp;]*, (\d+\.\d+)""),"""")
"),"")</f>
        <v/>
      </c>
      <c r="O928" s="3" t="str">
        <f aca="false">IFERROR(__xludf.dummyfunction("if($T928&lt;&gt;"""",REGEXEXTRACT($T928, O$1&amp;""[\w &amp;]*, (\d+\.\d+)""),"""")
"),"")</f>
        <v/>
      </c>
      <c r="P928" s="2"/>
      <c r="Q928" s="2"/>
      <c r="R928" s="2"/>
      <c r="S928" s="2"/>
      <c r="T928" s="5"/>
      <c r="U928" s="5"/>
    </row>
    <row r="929" customFormat="false" ht="15.75" hidden="false" customHeight="false" outlineLevel="0" collapsed="false">
      <c r="A929" s="4"/>
      <c r="B929" s="2"/>
      <c r="C929" s="2"/>
      <c r="D929" s="2"/>
      <c r="E929" s="2"/>
      <c r="F929" s="3" t="str">
        <f aca="false">IFERROR(__xludf.dummyfunction("if($T929&lt;&gt;"""",REGEXEXTRACT(SUBSTITUTE ($T929,F$1&amp;"" CE"",""""), F$1&amp;""[\w &amp;]*, (\d+\.\d+)""),"""")
"),"")</f>
        <v/>
      </c>
      <c r="G929" s="3" t="str">
        <f aca="false">IFERROR(__xludf.dummyfunction("if($T929&lt;&gt;"""",REGEXEXTRACT($T929, G$1&amp;""[\w &amp;]*, (\d+\.\d+)""),"""")
"),"")</f>
        <v/>
      </c>
      <c r="H929" s="3"/>
      <c r="I929" s="3" t="str">
        <f aca="false">IFERROR(__xludf.dummyfunction("if($T929&lt;&gt;"""",REGEXEXTRACT(SUBSTITUTE ($T929,I$1&amp;"" CE"",""""), I$1&amp;""[\w &amp;]*, (\d+\.\d+)""),"""")
"),"")</f>
        <v/>
      </c>
      <c r="J929" s="3" t="str">
        <f aca="false">IFERROR(__xludf.dummyfunction("if($T929&lt;&gt;"""",REGEXEXTRACT($T929, J$1&amp;""[\w &amp;]*, (\d+\.\d+)""),"""")
"),"")</f>
        <v/>
      </c>
      <c r="K929" s="3"/>
      <c r="L929" s="3" t="str">
        <f aca="false">IFERROR(__xludf.dummyfunction("if($T929&lt;&gt;"""",REGEXEXTRACT(SUBSTITUTE ($T929,L$1&amp;"" CE"",""""), L$1&amp;""[\w &amp;]*, (\d+\.\d+)""),"""")
"),"")</f>
        <v/>
      </c>
      <c r="M929" s="3" t="str">
        <f aca="false">IFERROR(__xludf.dummyfunction("if($T929&lt;&gt;"""",REGEXEXTRACT($T929, M$1&amp;""[\w &amp;]*, (\d+\.\d+)""),"""")
"),"")</f>
        <v/>
      </c>
      <c r="N929" s="3" t="str">
        <f aca="false">IFERROR(__xludf.dummyfunction("if($T929&lt;&gt;"""",REGEXEXTRACT(SUBSTITUTE ($T929,N$1&amp;"" CE"",""""), N$1&amp;""[\w &amp;]*, (\d+\.\d+)""),"""")
"),"")</f>
        <v/>
      </c>
      <c r="O929" s="3" t="str">
        <f aca="false">IFERROR(__xludf.dummyfunction("if($T929&lt;&gt;"""",REGEXEXTRACT($T929, O$1&amp;""[\w &amp;]*, (\d+\.\d+)""),"""")
"),"")</f>
        <v/>
      </c>
      <c r="P929" s="2"/>
      <c r="Q929" s="2"/>
      <c r="R929" s="2"/>
      <c r="S929" s="2"/>
      <c r="T929" s="5"/>
      <c r="U929" s="5"/>
    </row>
    <row r="930" customFormat="false" ht="15.75" hidden="false" customHeight="false" outlineLevel="0" collapsed="false">
      <c r="A930" s="4"/>
      <c r="B930" s="2"/>
      <c r="C930" s="2"/>
      <c r="D930" s="2"/>
      <c r="E930" s="2"/>
      <c r="F930" s="3" t="str">
        <f aca="false">IFERROR(__xludf.dummyfunction("if($T930&lt;&gt;"""",REGEXEXTRACT(SUBSTITUTE ($T930,F$1&amp;"" CE"",""""), F$1&amp;""[\w &amp;]*, (\d+\.\d+)""),"""")
"),"")</f>
        <v/>
      </c>
      <c r="G930" s="3" t="str">
        <f aca="false">IFERROR(__xludf.dummyfunction("if($T930&lt;&gt;"""",REGEXEXTRACT($T930, G$1&amp;""[\w &amp;]*, (\d+\.\d+)""),"""")
"),"")</f>
        <v/>
      </c>
      <c r="H930" s="3"/>
      <c r="I930" s="3" t="str">
        <f aca="false">IFERROR(__xludf.dummyfunction("if($T930&lt;&gt;"""",REGEXEXTRACT(SUBSTITUTE ($T930,I$1&amp;"" CE"",""""), I$1&amp;""[\w &amp;]*, (\d+\.\d+)""),"""")
"),"")</f>
        <v/>
      </c>
      <c r="J930" s="3" t="str">
        <f aca="false">IFERROR(__xludf.dummyfunction("if($T930&lt;&gt;"""",REGEXEXTRACT($T930, J$1&amp;""[\w &amp;]*, (\d+\.\d+)""),"""")
"),"")</f>
        <v/>
      </c>
      <c r="K930" s="3"/>
      <c r="L930" s="3" t="str">
        <f aca="false">IFERROR(__xludf.dummyfunction("if($T930&lt;&gt;"""",REGEXEXTRACT(SUBSTITUTE ($T930,L$1&amp;"" CE"",""""), L$1&amp;""[\w &amp;]*, (\d+\.\d+)""),"""")
"),"")</f>
        <v/>
      </c>
      <c r="M930" s="3" t="str">
        <f aca="false">IFERROR(__xludf.dummyfunction("if($T930&lt;&gt;"""",REGEXEXTRACT($T930, M$1&amp;""[\w &amp;]*, (\d+\.\d+)""),"""")
"),"")</f>
        <v/>
      </c>
      <c r="N930" s="3" t="str">
        <f aca="false">IFERROR(__xludf.dummyfunction("if($T930&lt;&gt;"""",REGEXEXTRACT(SUBSTITUTE ($T930,N$1&amp;"" CE"",""""), N$1&amp;""[\w &amp;]*, (\d+\.\d+)""),"""")
"),"")</f>
        <v/>
      </c>
      <c r="O930" s="3" t="str">
        <f aca="false">IFERROR(__xludf.dummyfunction("if($T930&lt;&gt;"""",REGEXEXTRACT($T930, O$1&amp;""[\w &amp;]*, (\d+\.\d+)""),"""")
"),"")</f>
        <v/>
      </c>
      <c r="P930" s="2"/>
      <c r="Q930" s="2"/>
      <c r="R930" s="2"/>
      <c r="S930" s="2"/>
      <c r="T930" s="5"/>
      <c r="U930" s="5"/>
    </row>
    <row r="931" customFormat="false" ht="15.75" hidden="false" customHeight="false" outlineLevel="0" collapsed="false">
      <c r="A931" s="4"/>
      <c r="B931" s="2"/>
      <c r="C931" s="2"/>
      <c r="D931" s="2"/>
      <c r="E931" s="2"/>
      <c r="F931" s="3" t="str">
        <f aca="false">IFERROR(__xludf.dummyfunction("if($T931&lt;&gt;"""",REGEXEXTRACT(SUBSTITUTE ($T931,F$1&amp;"" CE"",""""), F$1&amp;""[\w &amp;]*, (\d+\.\d+)""),"""")
"),"")</f>
        <v/>
      </c>
      <c r="G931" s="3" t="str">
        <f aca="false">IFERROR(__xludf.dummyfunction("if($T931&lt;&gt;"""",REGEXEXTRACT($T931, G$1&amp;""[\w &amp;]*, (\d+\.\d+)""),"""")
"),"")</f>
        <v/>
      </c>
      <c r="H931" s="3"/>
      <c r="I931" s="3" t="str">
        <f aca="false">IFERROR(__xludf.dummyfunction("if($T931&lt;&gt;"""",REGEXEXTRACT(SUBSTITUTE ($T931,I$1&amp;"" CE"",""""), I$1&amp;""[\w &amp;]*, (\d+\.\d+)""),"""")
"),"")</f>
        <v/>
      </c>
      <c r="J931" s="3" t="str">
        <f aca="false">IFERROR(__xludf.dummyfunction("if($T931&lt;&gt;"""",REGEXEXTRACT($T931, J$1&amp;""[\w &amp;]*, (\d+\.\d+)""),"""")
"),"")</f>
        <v/>
      </c>
      <c r="K931" s="3"/>
      <c r="L931" s="3" t="str">
        <f aca="false">IFERROR(__xludf.dummyfunction("if($T931&lt;&gt;"""",REGEXEXTRACT(SUBSTITUTE ($T931,L$1&amp;"" CE"",""""), L$1&amp;""[\w &amp;]*, (\d+\.\d+)""),"""")
"),"")</f>
        <v/>
      </c>
      <c r="M931" s="3" t="str">
        <f aca="false">IFERROR(__xludf.dummyfunction("if($T931&lt;&gt;"""",REGEXEXTRACT($T931, M$1&amp;""[\w &amp;]*, (\d+\.\d+)""),"""")
"),"")</f>
        <v/>
      </c>
      <c r="N931" s="3" t="str">
        <f aca="false">IFERROR(__xludf.dummyfunction("if($T931&lt;&gt;"""",REGEXEXTRACT(SUBSTITUTE ($T931,N$1&amp;"" CE"",""""), N$1&amp;""[\w &amp;]*, (\d+\.\d+)""),"""")
"),"")</f>
        <v/>
      </c>
      <c r="O931" s="3" t="str">
        <f aca="false">IFERROR(__xludf.dummyfunction("if($T931&lt;&gt;"""",REGEXEXTRACT($T931, O$1&amp;""[\w &amp;]*, (\d+\.\d+)""),"""")
"),"")</f>
        <v/>
      </c>
      <c r="P931" s="2"/>
      <c r="Q931" s="2"/>
      <c r="R931" s="2"/>
      <c r="S931" s="2"/>
      <c r="T931" s="5"/>
      <c r="U931" s="5"/>
    </row>
    <row r="932" customFormat="false" ht="15.75" hidden="false" customHeight="false" outlineLevel="0" collapsed="false">
      <c r="A932" s="4"/>
      <c r="B932" s="2"/>
      <c r="C932" s="2"/>
      <c r="D932" s="2"/>
      <c r="E932" s="2"/>
      <c r="F932" s="3" t="str">
        <f aca="false">IFERROR(__xludf.dummyfunction("if($T932&lt;&gt;"""",REGEXEXTRACT(SUBSTITUTE ($T932,F$1&amp;"" CE"",""""), F$1&amp;""[\w &amp;]*, (\d+\.\d+)""),"""")
"),"")</f>
        <v/>
      </c>
      <c r="G932" s="3" t="str">
        <f aca="false">IFERROR(__xludf.dummyfunction("if($T932&lt;&gt;"""",REGEXEXTRACT($T932, G$1&amp;""[\w &amp;]*, (\d+\.\d+)""),"""")
"),"")</f>
        <v/>
      </c>
      <c r="H932" s="3"/>
      <c r="I932" s="3" t="str">
        <f aca="false">IFERROR(__xludf.dummyfunction("if($T932&lt;&gt;"""",REGEXEXTRACT(SUBSTITUTE ($T932,I$1&amp;"" CE"",""""), I$1&amp;""[\w &amp;]*, (\d+\.\d+)""),"""")
"),"")</f>
        <v/>
      </c>
      <c r="J932" s="3" t="str">
        <f aca="false">IFERROR(__xludf.dummyfunction("if($T932&lt;&gt;"""",REGEXEXTRACT($T932, J$1&amp;""[\w &amp;]*, (\d+\.\d+)""),"""")
"),"")</f>
        <v/>
      </c>
      <c r="K932" s="3"/>
      <c r="L932" s="3" t="str">
        <f aca="false">IFERROR(__xludf.dummyfunction("if($T932&lt;&gt;"""",REGEXEXTRACT(SUBSTITUTE ($T932,L$1&amp;"" CE"",""""), L$1&amp;""[\w &amp;]*, (\d+\.\d+)""),"""")
"),"")</f>
        <v/>
      </c>
      <c r="M932" s="3" t="str">
        <f aca="false">IFERROR(__xludf.dummyfunction("if($T932&lt;&gt;"""",REGEXEXTRACT($T932, M$1&amp;""[\w &amp;]*, (\d+\.\d+)""),"""")
"),"")</f>
        <v/>
      </c>
      <c r="N932" s="3" t="str">
        <f aca="false">IFERROR(__xludf.dummyfunction("if($T932&lt;&gt;"""",REGEXEXTRACT(SUBSTITUTE ($T932,N$1&amp;"" CE"",""""), N$1&amp;""[\w &amp;]*, (\d+\.\d+)""),"""")
"),"")</f>
        <v/>
      </c>
      <c r="O932" s="3" t="str">
        <f aca="false">IFERROR(__xludf.dummyfunction("if($T932&lt;&gt;"""",REGEXEXTRACT($T932, O$1&amp;""[\w &amp;]*, (\d+\.\d+)""),"""")
"),"")</f>
        <v/>
      </c>
      <c r="P932" s="2"/>
      <c r="Q932" s="2"/>
      <c r="R932" s="2"/>
      <c r="S932" s="2"/>
      <c r="T932" s="5"/>
      <c r="U932" s="5"/>
    </row>
    <row r="933" customFormat="false" ht="15.75" hidden="false" customHeight="false" outlineLevel="0" collapsed="false">
      <c r="A933" s="4"/>
      <c r="B933" s="2"/>
      <c r="C933" s="2"/>
      <c r="D933" s="2"/>
      <c r="E933" s="2"/>
      <c r="F933" s="3" t="str">
        <f aca="false">IFERROR(__xludf.dummyfunction("if($T933&lt;&gt;"""",REGEXEXTRACT(SUBSTITUTE ($T933,F$1&amp;"" CE"",""""), F$1&amp;""[\w &amp;]*, (\d+\.\d+)""),"""")
"),"")</f>
        <v/>
      </c>
      <c r="G933" s="3" t="str">
        <f aca="false">IFERROR(__xludf.dummyfunction("if($T933&lt;&gt;"""",REGEXEXTRACT($T933, G$1&amp;""[\w &amp;]*, (\d+\.\d+)""),"""")
"),"")</f>
        <v/>
      </c>
      <c r="H933" s="3"/>
      <c r="I933" s="3" t="str">
        <f aca="false">IFERROR(__xludf.dummyfunction("if($T933&lt;&gt;"""",REGEXEXTRACT(SUBSTITUTE ($T933,I$1&amp;"" CE"",""""), I$1&amp;""[\w &amp;]*, (\d+\.\d+)""),"""")
"),"")</f>
        <v/>
      </c>
      <c r="J933" s="3" t="str">
        <f aca="false">IFERROR(__xludf.dummyfunction("if($T933&lt;&gt;"""",REGEXEXTRACT($T933, J$1&amp;""[\w &amp;]*, (\d+\.\d+)""),"""")
"),"")</f>
        <v/>
      </c>
      <c r="K933" s="3"/>
      <c r="L933" s="3" t="str">
        <f aca="false">IFERROR(__xludf.dummyfunction("if($T933&lt;&gt;"""",REGEXEXTRACT(SUBSTITUTE ($T933,L$1&amp;"" CE"",""""), L$1&amp;""[\w &amp;]*, (\d+\.\d+)""),"""")
"),"")</f>
        <v/>
      </c>
      <c r="M933" s="3" t="str">
        <f aca="false">IFERROR(__xludf.dummyfunction("if($T933&lt;&gt;"""",REGEXEXTRACT($T933, M$1&amp;""[\w &amp;]*, (\d+\.\d+)""),"""")
"),"")</f>
        <v/>
      </c>
      <c r="N933" s="3" t="str">
        <f aca="false">IFERROR(__xludf.dummyfunction("if($T933&lt;&gt;"""",REGEXEXTRACT(SUBSTITUTE ($T933,N$1&amp;"" CE"",""""), N$1&amp;""[\w &amp;]*, (\d+\.\d+)""),"""")
"),"")</f>
        <v/>
      </c>
      <c r="O933" s="3" t="str">
        <f aca="false">IFERROR(__xludf.dummyfunction("if($T933&lt;&gt;"""",REGEXEXTRACT($T933, O$1&amp;""[\w &amp;]*, (\d+\.\d+)""),"""")
"),"")</f>
        <v/>
      </c>
      <c r="P933" s="2"/>
      <c r="Q933" s="2"/>
      <c r="R933" s="2"/>
      <c r="S933" s="2"/>
      <c r="T933" s="5"/>
      <c r="U933" s="5"/>
    </row>
    <row r="934" customFormat="false" ht="15.75" hidden="false" customHeight="false" outlineLevel="0" collapsed="false">
      <c r="A934" s="4"/>
      <c r="B934" s="2"/>
      <c r="C934" s="2"/>
      <c r="D934" s="2"/>
      <c r="E934" s="2"/>
      <c r="F934" s="3" t="str">
        <f aca="false">IFERROR(__xludf.dummyfunction("if($T934&lt;&gt;"""",REGEXEXTRACT(SUBSTITUTE ($T934,F$1&amp;"" CE"",""""), F$1&amp;""[\w &amp;]*, (\d+\.\d+)""),"""")
"),"")</f>
        <v/>
      </c>
      <c r="G934" s="3" t="str">
        <f aca="false">IFERROR(__xludf.dummyfunction("if($T934&lt;&gt;"""",REGEXEXTRACT($T934, G$1&amp;""[\w &amp;]*, (\d+\.\d+)""),"""")
"),"")</f>
        <v/>
      </c>
      <c r="H934" s="3"/>
      <c r="I934" s="3" t="str">
        <f aca="false">IFERROR(__xludf.dummyfunction("if($T934&lt;&gt;"""",REGEXEXTRACT(SUBSTITUTE ($T934,I$1&amp;"" CE"",""""), I$1&amp;""[\w &amp;]*, (\d+\.\d+)""),"""")
"),"")</f>
        <v/>
      </c>
      <c r="J934" s="3" t="str">
        <f aca="false">IFERROR(__xludf.dummyfunction("if($T934&lt;&gt;"""",REGEXEXTRACT($T934, J$1&amp;""[\w &amp;]*, (\d+\.\d+)""),"""")
"),"")</f>
        <v/>
      </c>
      <c r="K934" s="3"/>
      <c r="L934" s="3" t="str">
        <f aca="false">IFERROR(__xludf.dummyfunction("if($T934&lt;&gt;"""",REGEXEXTRACT(SUBSTITUTE ($T934,L$1&amp;"" CE"",""""), L$1&amp;""[\w &amp;]*, (\d+\.\d+)""),"""")
"),"")</f>
        <v/>
      </c>
      <c r="M934" s="3" t="str">
        <f aca="false">IFERROR(__xludf.dummyfunction("if($T934&lt;&gt;"""",REGEXEXTRACT($T934, M$1&amp;""[\w &amp;]*, (\d+\.\d+)""),"""")
"),"")</f>
        <v/>
      </c>
      <c r="N934" s="3" t="str">
        <f aca="false">IFERROR(__xludf.dummyfunction("if($T934&lt;&gt;"""",REGEXEXTRACT(SUBSTITUTE ($T934,N$1&amp;"" CE"",""""), N$1&amp;""[\w &amp;]*, (\d+\.\d+)""),"""")
"),"")</f>
        <v/>
      </c>
      <c r="O934" s="3" t="str">
        <f aca="false">IFERROR(__xludf.dummyfunction("if($T934&lt;&gt;"""",REGEXEXTRACT($T934, O$1&amp;""[\w &amp;]*, (\d+\.\d+)""),"""")
"),"")</f>
        <v/>
      </c>
      <c r="P934" s="2"/>
      <c r="Q934" s="2"/>
      <c r="R934" s="2"/>
      <c r="S934" s="2"/>
      <c r="T934" s="5"/>
      <c r="U934" s="5"/>
    </row>
    <row r="935" customFormat="false" ht="15.75" hidden="false" customHeight="false" outlineLevel="0" collapsed="false">
      <c r="A935" s="4"/>
      <c r="B935" s="2"/>
      <c r="C935" s="2"/>
      <c r="D935" s="2"/>
      <c r="E935" s="2"/>
      <c r="F935" s="3" t="str">
        <f aca="false">IFERROR(__xludf.dummyfunction("if($T935&lt;&gt;"""",REGEXEXTRACT(SUBSTITUTE ($T935,F$1&amp;"" CE"",""""), F$1&amp;""[\w &amp;]*, (\d+\.\d+)""),"""")
"),"")</f>
        <v/>
      </c>
      <c r="G935" s="3" t="str">
        <f aca="false">IFERROR(__xludf.dummyfunction("if($T935&lt;&gt;"""",REGEXEXTRACT($T935, G$1&amp;""[\w &amp;]*, (\d+\.\d+)""),"""")
"),"")</f>
        <v/>
      </c>
      <c r="H935" s="3"/>
      <c r="I935" s="3" t="str">
        <f aca="false">IFERROR(__xludf.dummyfunction("if($T935&lt;&gt;"""",REGEXEXTRACT(SUBSTITUTE ($T935,I$1&amp;"" CE"",""""), I$1&amp;""[\w &amp;]*, (\d+\.\d+)""),"""")
"),"")</f>
        <v/>
      </c>
      <c r="J935" s="3" t="str">
        <f aca="false">IFERROR(__xludf.dummyfunction("if($T935&lt;&gt;"""",REGEXEXTRACT($T935, J$1&amp;""[\w &amp;]*, (\d+\.\d+)""),"""")
"),"")</f>
        <v/>
      </c>
      <c r="K935" s="3"/>
      <c r="L935" s="3" t="str">
        <f aca="false">IFERROR(__xludf.dummyfunction("if($T935&lt;&gt;"""",REGEXEXTRACT(SUBSTITUTE ($T935,L$1&amp;"" CE"",""""), L$1&amp;""[\w &amp;]*, (\d+\.\d+)""),"""")
"),"")</f>
        <v/>
      </c>
      <c r="M935" s="3" t="str">
        <f aca="false">IFERROR(__xludf.dummyfunction("if($T935&lt;&gt;"""",REGEXEXTRACT($T935, M$1&amp;""[\w &amp;]*, (\d+\.\d+)""),"""")
"),"")</f>
        <v/>
      </c>
      <c r="N935" s="3" t="str">
        <f aca="false">IFERROR(__xludf.dummyfunction("if($T935&lt;&gt;"""",REGEXEXTRACT(SUBSTITUTE ($T935,N$1&amp;"" CE"",""""), N$1&amp;""[\w &amp;]*, (\d+\.\d+)""),"""")
"),"")</f>
        <v/>
      </c>
      <c r="O935" s="3" t="str">
        <f aca="false">IFERROR(__xludf.dummyfunction("if($T935&lt;&gt;"""",REGEXEXTRACT($T935, O$1&amp;""[\w &amp;]*, (\d+\.\d+)""),"""")
"),"")</f>
        <v/>
      </c>
      <c r="P935" s="2"/>
      <c r="Q935" s="2"/>
      <c r="R935" s="2"/>
      <c r="S935" s="2"/>
      <c r="T935" s="5"/>
      <c r="U935" s="5"/>
    </row>
    <row r="936" customFormat="false" ht="15.75" hidden="false" customHeight="false" outlineLevel="0" collapsed="false">
      <c r="A936" s="4"/>
      <c r="B936" s="2"/>
      <c r="C936" s="2"/>
      <c r="D936" s="2"/>
      <c r="E936" s="2"/>
      <c r="F936" s="3" t="str">
        <f aca="false">IFERROR(__xludf.dummyfunction("if($T936&lt;&gt;"""",REGEXEXTRACT(SUBSTITUTE ($T936,F$1&amp;"" CE"",""""), F$1&amp;""[\w &amp;]*, (\d+\.\d+)""),"""")
"),"")</f>
        <v/>
      </c>
      <c r="G936" s="3" t="str">
        <f aca="false">IFERROR(__xludf.dummyfunction("if($T936&lt;&gt;"""",REGEXEXTRACT($T936, G$1&amp;""[\w &amp;]*, (\d+\.\d+)""),"""")
"),"")</f>
        <v/>
      </c>
      <c r="H936" s="3"/>
      <c r="I936" s="3" t="str">
        <f aca="false">IFERROR(__xludf.dummyfunction("if($T936&lt;&gt;"""",REGEXEXTRACT(SUBSTITUTE ($T936,I$1&amp;"" CE"",""""), I$1&amp;""[\w &amp;]*, (\d+\.\d+)""),"""")
"),"")</f>
        <v/>
      </c>
      <c r="J936" s="3" t="str">
        <f aca="false">IFERROR(__xludf.dummyfunction("if($T936&lt;&gt;"""",REGEXEXTRACT($T936, J$1&amp;""[\w &amp;]*, (\d+\.\d+)""),"""")
"),"")</f>
        <v/>
      </c>
      <c r="K936" s="3"/>
      <c r="L936" s="3" t="str">
        <f aca="false">IFERROR(__xludf.dummyfunction("if($T936&lt;&gt;"""",REGEXEXTRACT(SUBSTITUTE ($T936,L$1&amp;"" CE"",""""), L$1&amp;""[\w &amp;]*, (\d+\.\d+)""),"""")
"),"")</f>
        <v/>
      </c>
      <c r="M936" s="3" t="str">
        <f aca="false">IFERROR(__xludf.dummyfunction("if($T936&lt;&gt;"""",REGEXEXTRACT($T936, M$1&amp;""[\w &amp;]*, (\d+\.\d+)""),"""")
"),"")</f>
        <v/>
      </c>
      <c r="N936" s="3" t="str">
        <f aca="false">IFERROR(__xludf.dummyfunction("if($T936&lt;&gt;"""",REGEXEXTRACT(SUBSTITUTE ($T936,N$1&amp;"" CE"",""""), N$1&amp;""[\w &amp;]*, (\d+\.\d+)""),"""")
"),"")</f>
        <v/>
      </c>
      <c r="O936" s="3" t="str">
        <f aca="false">IFERROR(__xludf.dummyfunction("if($T936&lt;&gt;"""",REGEXEXTRACT($T936, O$1&amp;""[\w &amp;]*, (\d+\.\d+)""),"""")
"),"")</f>
        <v/>
      </c>
      <c r="P936" s="2"/>
      <c r="Q936" s="2"/>
      <c r="R936" s="2"/>
      <c r="S936" s="2"/>
      <c r="T936" s="5"/>
      <c r="U936" s="5"/>
    </row>
    <row r="937" customFormat="false" ht="15.75" hidden="false" customHeight="false" outlineLevel="0" collapsed="false">
      <c r="A937" s="4"/>
      <c r="B937" s="2"/>
      <c r="C937" s="2"/>
      <c r="D937" s="2"/>
      <c r="E937" s="2"/>
      <c r="F937" s="3" t="str">
        <f aca="false">IFERROR(__xludf.dummyfunction("if($T937&lt;&gt;"""",REGEXEXTRACT(SUBSTITUTE ($T937,F$1&amp;"" CE"",""""), F$1&amp;""[\w &amp;]*, (\d+\.\d+)""),"""")
"),"")</f>
        <v/>
      </c>
      <c r="G937" s="3" t="str">
        <f aca="false">IFERROR(__xludf.dummyfunction("if($T937&lt;&gt;"""",REGEXEXTRACT($T937, G$1&amp;""[\w &amp;]*, (\d+\.\d+)""),"""")
"),"")</f>
        <v/>
      </c>
      <c r="H937" s="3"/>
      <c r="I937" s="3" t="str">
        <f aca="false">IFERROR(__xludf.dummyfunction("if($T937&lt;&gt;"""",REGEXEXTRACT(SUBSTITUTE ($T937,I$1&amp;"" CE"",""""), I$1&amp;""[\w &amp;]*, (\d+\.\d+)""),"""")
"),"")</f>
        <v/>
      </c>
      <c r="J937" s="3" t="str">
        <f aca="false">IFERROR(__xludf.dummyfunction("if($T937&lt;&gt;"""",REGEXEXTRACT($T937, J$1&amp;""[\w &amp;]*, (\d+\.\d+)""),"""")
"),"")</f>
        <v/>
      </c>
      <c r="K937" s="3"/>
      <c r="L937" s="3" t="str">
        <f aca="false">IFERROR(__xludf.dummyfunction("if($T937&lt;&gt;"""",REGEXEXTRACT(SUBSTITUTE ($T937,L$1&amp;"" CE"",""""), L$1&amp;""[\w &amp;]*, (\d+\.\d+)""),"""")
"),"")</f>
        <v/>
      </c>
      <c r="M937" s="3" t="str">
        <f aca="false">IFERROR(__xludf.dummyfunction("if($T937&lt;&gt;"""",REGEXEXTRACT($T937, M$1&amp;""[\w &amp;]*, (\d+\.\d+)""),"""")
"),"")</f>
        <v/>
      </c>
      <c r="N937" s="3" t="str">
        <f aca="false">IFERROR(__xludf.dummyfunction("if($T937&lt;&gt;"""",REGEXEXTRACT(SUBSTITUTE ($T937,N$1&amp;"" CE"",""""), N$1&amp;""[\w &amp;]*, (\d+\.\d+)""),"""")
"),"")</f>
        <v/>
      </c>
      <c r="O937" s="3" t="str">
        <f aca="false">IFERROR(__xludf.dummyfunction("if($T937&lt;&gt;"""",REGEXEXTRACT($T937, O$1&amp;""[\w &amp;]*, (\d+\.\d+)""),"""")
"),"")</f>
        <v/>
      </c>
      <c r="P937" s="2"/>
      <c r="Q937" s="2"/>
      <c r="R937" s="2"/>
      <c r="S937" s="2"/>
      <c r="T937" s="5"/>
      <c r="U937" s="5"/>
    </row>
    <row r="938" customFormat="false" ht="15.75" hidden="false" customHeight="false" outlineLevel="0" collapsed="false">
      <c r="A938" s="4"/>
      <c r="B938" s="2"/>
      <c r="C938" s="2"/>
      <c r="D938" s="2"/>
      <c r="E938" s="2"/>
      <c r="F938" s="3" t="str">
        <f aca="false">IFERROR(__xludf.dummyfunction("if($T938&lt;&gt;"""",REGEXEXTRACT(SUBSTITUTE ($T938,F$1&amp;"" CE"",""""), F$1&amp;""[\w &amp;]*, (\d+\.\d+)""),"""")
"),"")</f>
        <v/>
      </c>
      <c r="G938" s="3" t="str">
        <f aca="false">IFERROR(__xludf.dummyfunction("if($T938&lt;&gt;"""",REGEXEXTRACT($T938, G$1&amp;""[\w &amp;]*, (\d+\.\d+)""),"""")
"),"")</f>
        <v/>
      </c>
      <c r="H938" s="3"/>
      <c r="I938" s="3" t="str">
        <f aca="false">IFERROR(__xludf.dummyfunction("if($T938&lt;&gt;"""",REGEXEXTRACT(SUBSTITUTE ($T938,I$1&amp;"" CE"",""""), I$1&amp;""[\w &amp;]*, (\d+\.\d+)""),"""")
"),"")</f>
        <v/>
      </c>
      <c r="J938" s="3" t="str">
        <f aca="false">IFERROR(__xludf.dummyfunction("if($T938&lt;&gt;"""",REGEXEXTRACT($T938, J$1&amp;""[\w &amp;]*, (\d+\.\d+)""),"""")
"),"")</f>
        <v/>
      </c>
      <c r="K938" s="3"/>
      <c r="L938" s="3" t="str">
        <f aca="false">IFERROR(__xludf.dummyfunction("if($T938&lt;&gt;"""",REGEXEXTRACT(SUBSTITUTE ($T938,L$1&amp;"" CE"",""""), L$1&amp;""[\w &amp;]*, (\d+\.\d+)""),"""")
"),"")</f>
        <v/>
      </c>
      <c r="M938" s="3" t="str">
        <f aca="false">IFERROR(__xludf.dummyfunction("if($T938&lt;&gt;"""",REGEXEXTRACT($T938, M$1&amp;""[\w &amp;]*, (\d+\.\d+)""),"""")
"),"")</f>
        <v/>
      </c>
      <c r="N938" s="3" t="str">
        <f aca="false">IFERROR(__xludf.dummyfunction("if($T938&lt;&gt;"""",REGEXEXTRACT(SUBSTITUTE ($T938,N$1&amp;"" CE"",""""), N$1&amp;""[\w &amp;]*, (\d+\.\d+)""),"""")
"),"")</f>
        <v/>
      </c>
      <c r="O938" s="3" t="str">
        <f aca="false">IFERROR(__xludf.dummyfunction("if($T938&lt;&gt;"""",REGEXEXTRACT($T938, O$1&amp;""[\w &amp;]*, (\d+\.\d+)""),"""")
"),"")</f>
        <v/>
      </c>
      <c r="P938" s="2"/>
      <c r="Q938" s="2"/>
      <c r="R938" s="2"/>
      <c r="S938" s="2"/>
      <c r="T938" s="5"/>
      <c r="U938" s="5"/>
    </row>
    <row r="939" customFormat="false" ht="15.75" hidden="false" customHeight="false" outlineLevel="0" collapsed="false">
      <c r="A939" s="4"/>
      <c r="B939" s="2"/>
      <c r="C939" s="2"/>
      <c r="D939" s="2"/>
      <c r="E939" s="2"/>
      <c r="F939" s="3" t="str">
        <f aca="false">IFERROR(__xludf.dummyfunction("if($T939&lt;&gt;"""",REGEXEXTRACT(SUBSTITUTE ($T939,F$1&amp;"" CE"",""""), F$1&amp;""[\w &amp;]*, (\d+\.\d+)""),"""")
"),"")</f>
        <v/>
      </c>
      <c r="G939" s="3" t="str">
        <f aca="false">IFERROR(__xludf.dummyfunction("if($T939&lt;&gt;"""",REGEXEXTRACT($T939, G$1&amp;""[\w &amp;]*, (\d+\.\d+)""),"""")
"),"")</f>
        <v/>
      </c>
      <c r="H939" s="3"/>
      <c r="I939" s="3" t="str">
        <f aca="false">IFERROR(__xludf.dummyfunction("if($T939&lt;&gt;"""",REGEXEXTRACT(SUBSTITUTE ($T939,I$1&amp;"" CE"",""""), I$1&amp;""[\w &amp;]*, (\d+\.\d+)""),"""")
"),"")</f>
        <v/>
      </c>
      <c r="J939" s="3" t="str">
        <f aca="false">IFERROR(__xludf.dummyfunction("if($T939&lt;&gt;"""",REGEXEXTRACT($T939, J$1&amp;""[\w &amp;]*, (\d+\.\d+)""),"""")
"),"")</f>
        <v/>
      </c>
      <c r="K939" s="3"/>
      <c r="L939" s="3" t="str">
        <f aca="false">IFERROR(__xludf.dummyfunction("if($T939&lt;&gt;"""",REGEXEXTRACT(SUBSTITUTE ($T939,L$1&amp;"" CE"",""""), L$1&amp;""[\w &amp;]*, (\d+\.\d+)""),"""")
"),"")</f>
        <v/>
      </c>
      <c r="M939" s="3" t="str">
        <f aca="false">IFERROR(__xludf.dummyfunction("if($T939&lt;&gt;"""",REGEXEXTRACT($T939, M$1&amp;""[\w &amp;]*, (\d+\.\d+)""),"""")
"),"")</f>
        <v/>
      </c>
      <c r="N939" s="3" t="str">
        <f aca="false">IFERROR(__xludf.dummyfunction("if($T939&lt;&gt;"""",REGEXEXTRACT(SUBSTITUTE ($T939,N$1&amp;"" CE"",""""), N$1&amp;""[\w &amp;]*, (\d+\.\d+)""),"""")
"),"")</f>
        <v/>
      </c>
      <c r="O939" s="3" t="str">
        <f aca="false">IFERROR(__xludf.dummyfunction("if($T939&lt;&gt;"""",REGEXEXTRACT($T939, O$1&amp;""[\w &amp;]*, (\d+\.\d+)""),"""")
"),"")</f>
        <v/>
      </c>
      <c r="P939" s="2"/>
      <c r="Q939" s="2"/>
      <c r="R939" s="2"/>
      <c r="S939" s="2"/>
      <c r="T939" s="5"/>
      <c r="U939" s="5"/>
    </row>
    <row r="940" customFormat="false" ht="15.75" hidden="false" customHeight="false" outlineLevel="0" collapsed="false">
      <c r="A940" s="4"/>
      <c r="B940" s="2"/>
      <c r="C940" s="2"/>
      <c r="D940" s="2"/>
      <c r="E940" s="2"/>
      <c r="F940" s="3" t="str">
        <f aca="false">IFERROR(__xludf.dummyfunction("if($T940&lt;&gt;"""",REGEXEXTRACT(SUBSTITUTE ($T940,F$1&amp;"" CE"",""""), F$1&amp;""[\w &amp;]*, (\d+\.\d+)""),"""")
"),"")</f>
        <v/>
      </c>
      <c r="G940" s="3" t="str">
        <f aca="false">IFERROR(__xludf.dummyfunction("if($T940&lt;&gt;"""",REGEXEXTRACT($T940, G$1&amp;""[\w &amp;]*, (\d+\.\d+)""),"""")
"),"")</f>
        <v/>
      </c>
      <c r="H940" s="3"/>
      <c r="I940" s="3" t="str">
        <f aca="false">IFERROR(__xludf.dummyfunction("if($T940&lt;&gt;"""",REGEXEXTRACT(SUBSTITUTE ($T940,I$1&amp;"" CE"",""""), I$1&amp;""[\w &amp;]*, (\d+\.\d+)""),"""")
"),"")</f>
        <v/>
      </c>
      <c r="J940" s="3" t="str">
        <f aca="false">IFERROR(__xludf.dummyfunction("if($T940&lt;&gt;"""",REGEXEXTRACT($T940, J$1&amp;""[\w &amp;]*, (\d+\.\d+)""),"""")
"),"")</f>
        <v/>
      </c>
      <c r="K940" s="3"/>
      <c r="L940" s="3" t="str">
        <f aca="false">IFERROR(__xludf.dummyfunction("if($T940&lt;&gt;"""",REGEXEXTRACT(SUBSTITUTE ($T940,L$1&amp;"" CE"",""""), L$1&amp;""[\w &amp;]*, (\d+\.\d+)""),"""")
"),"")</f>
        <v/>
      </c>
      <c r="M940" s="3" t="str">
        <f aca="false">IFERROR(__xludf.dummyfunction("if($T940&lt;&gt;"""",REGEXEXTRACT($T940, M$1&amp;""[\w &amp;]*, (\d+\.\d+)""),"""")
"),"")</f>
        <v/>
      </c>
      <c r="N940" s="3" t="str">
        <f aca="false">IFERROR(__xludf.dummyfunction("if($T940&lt;&gt;"""",REGEXEXTRACT(SUBSTITUTE ($T940,N$1&amp;"" CE"",""""), N$1&amp;""[\w &amp;]*, (\d+\.\d+)""),"""")
"),"")</f>
        <v/>
      </c>
      <c r="O940" s="3" t="str">
        <f aca="false">IFERROR(__xludf.dummyfunction("if($T940&lt;&gt;"""",REGEXEXTRACT($T940, O$1&amp;""[\w &amp;]*, (\d+\.\d+)""),"""")
"),"")</f>
        <v/>
      </c>
      <c r="P940" s="2"/>
      <c r="Q940" s="2"/>
      <c r="R940" s="2"/>
      <c r="S940" s="2"/>
      <c r="T940" s="5"/>
      <c r="U940" s="5"/>
    </row>
    <row r="941" customFormat="false" ht="15.75" hidden="false" customHeight="false" outlineLevel="0" collapsed="false">
      <c r="A941" s="4"/>
      <c r="B941" s="2"/>
      <c r="C941" s="2"/>
      <c r="D941" s="2"/>
      <c r="E941" s="2"/>
      <c r="F941" s="3" t="str">
        <f aca="false">IFERROR(__xludf.dummyfunction("if($T941&lt;&gt;"""",REGEXEXTRACT(SUBSTITUTE ($T941,F$1&amp;"" CE"",""""), F$1&amp;""[\w &amp;]*, (\d+\.\d+)""),"""")
"),"")</f>
        <v/>
      </c>
      <c r="G941" s="3" t="str">
        <f aca="false">IFERROR(__xludf.dummyfunction("if($T941&lt;&gt;"""",REGEXEXTRACT($T941, G$1&amp;""[\w &amp;]*, (\d+\.\d+)""),"""")
"),"")</f>
        <v/>
      </c>
      <c r="H941" s="3"/>
      <c r="I941" s="3" t="str">
        <f aca="false">IFERROR(__xludf.dummyfunction("if($T941&lt;&gt;"""",REGEXEXTRACT(SUBSTITUTE ($T941,I$1&amp;"" CE"",""""), I$1&amp;""[\w &amp;]*, (\d+\.\d+)""),"""")
"),"")</f>
        <v/>
      </c>
      <c r="J941" s="3" t="str">
        <f aca="false">IFERROR(__xludf.dummyfunction("if($T941&lt;&gt;"""",REGEXEXTRACT($T941, J$1&amp;""[\w &amp;]*, (\d+\.\d+)""),"""")
"),"")</f>
        <v/>
      </c>
      <c r="K941" s="3"/>
      <c r="L941" s="3" t="str">
        <f aca="false">IFERROR(__xludf.dummyfunction("if($T941&lt;&gt;"""",REGEXEXTRACT(SUBSTITUTE ($T941,L$1&amp;"" CE"",""""), L$1&amp;""[\w &amp;]*, (\d+\.\d+)""),"""")
"),"")</f>
        <v/>
      </c>
      <c r="M941" s="3" t="str">
        <f aca="false">IFERROR(__xludf.dummyfunction("if($T941&lt;&gt;"""",REGEXEXTRACT($T941, M$1&amp;""[\w &amp;]*, (\d+\.\d+)""),"""")
"),"")</f>
        <v/>
      </c>
      <c r="N941" s="3" t="str">
        <f aca="false">IFERROR(__xludf.dummyfunction("if($T941&lt;&gt;"""",REGEXEXTRACT(SUBSTITUTE ($T941,N$1&amp;"" CE"",""""), N$1&amp;""[\w &amp;]*, (\d+\.\d+)""),"""")
"),"")</f>
        <v/>
      </c>
      <c r="O941" s="3" t="str">
        <f aca="false">IFERROR(__xludf.dummyfunction("if($T941&lt;&gt;"""",REGEXEXTRACT($T941, O$1&amp;""[\w &amp;]*, (\d+\.\d+)""),"""")
"),"")</f>
        <v/>
      </c>
      <c r="P941" s="2"/>
      <c r="Q941" s="2"/>
      <c r="R941" s="2"/>
      <c r="S941" s="2"/>
      <c r="T941" s="5"/>
      <c r="U941" s="5"/>
    </row>
    <row r="942" customFormat="false" ht="15.75" hidden="false" customHeight="false" outlineLevel="0" collapsed="false">
      <c r="A942" s="4"/>
      <c r="B942" s="2"/>
      <c r="C942" s="2"/>
      <c r="D942" s="2"/>
      <c r="E942" s="2"/>
      <c r="F942" s="3" t="str">
        <f aca="false">IFERROR(__xludf.dummyfunction("if($T942&lt;&gt;"""",REGEXEXTRACT(SUBSTITUTE ($T942,F$1&amp;"" CE"",""""), F$1&amp;""[\w &amp;]*, (\d+\.\d+)""),"""")
"),"")</f>
        <v/>
      </c>
      <c r="G942" s="3" t="str">
        <f aca="false">IFERROR(__xludf.dummyfunction("if($T942&lt;&gt;"""",REGEXEXTRACT($T942, G$1&amp;""[\w &amp;]*, (\d+\.\d+)""),"""")
"),"")</f>
        <v/>
      </c>
      <c r="H942" s="3"/>
      <c r="I942" s="3" t="str">
        <f aca="false">IFERROR(__xludf.dummyfunction("if($T942&lt;&gt;"""",REGEXEXTRACT(SUBSTITUTE ($T942,I$1&amp;"" CE"",""""), I$1&amp;""[\w &amp;]*, (\d+\.\d+)""),"""")
"),"")</f>
        <v/>
      </c>
      <c r="J942" s="3" t="str">
        <f aca="false">IFERROR(__xludf.dummyfunction("if($T942&lt;&gt;"""",REGEXEXTRACT($T942, J$1&amp;""[\w &amp;]*, (\d+\.\d+)""),"""")
"),"")</f>
        <v/>
      </c>
      <c r="K942" s="3"/>
      <c r="L942" s="3" t="str">
        <f aca="false">IFERROR(__xludf.dummyfunction("if($T942&lt;&gt;"""",REGEXEXTRACT(SUBSTITUTE ($T942,L$1&amp;"" CE"",""""), L$1&amp;""[\w &amp;]*, (\d+\.\d+)""),"""")
"),"")</f>
        <v/>
      </c>
      <c r="M942" s="3" t="str">
        <f aca="false">IFERROR(__xludf.dummyfunction("if($T942&lt;&gt;"""",REGEXEXTRACT($T942, M$1&amp;""[\w &amp;]*, (\d+\.\d+)""),"""")
"),"")</f>
        <v/>
      </c>
      <c r="N942" s="3" t="str">
        <f aca="false">IFERROR(__xludf.dummyfunction("if($T942&lt;&gt;"""",REGEXEXTRACT(SUBSTITUTE ($T942,N$1&amp;"" CE"",""""), N$1&amp;""[\w &amp;]*, (\d+\.\d+)""),"""")
"),"")</f>
        <v/>
      </c>
      <c r="O942" s="3" t="str">
        <f aca="false">IFERROR(__xludf.dummyfunction("if($T942&lt;&gt;"""",REGEXEXTRACT($T942, O$1&amp;""[\w &amp;]*, (\d+\.\d+)""),"""")
"),"")</f>
        <v/>
      </c>
      <c r="P942" s="2"/>
      <c r="Q942" s="2"/>
      <c r="R942" s="2"/>
      <c r="S942" s="2"/>
      <c r="T942" s="5"/>
      <c r="U942" s="5"/>
    </row>
    <row r="943" customFormat="false" ht="15.75" hidden="false" customHeight="false" outlineLevel="0" collapsed="false">
      <c r="A943" s="4"/>
      <c r="B943" s="2"/>
      <c r="C943" s="2"/>
      <c r="D943" s="2"/>
      <c r="E943" s="2"/>
      <c r="F943" s="3" t="str">
        <f aca="false">IFERROR(__xludf.dummyfunction("if($T943&lt;&gt;"""",REGEXEXTRACT(SUBSTITUTE ($T943,F$1&amp;"" CE"",""""), F$1&amp;""[\w &amp;]*, (\d+\.\d+)""),"""")
"),"")</f>
        <v/>
      </c>
      <c r="G943" s="3" t="str">
        <f aca="false">IFERROR(__xludf.dummyfunction("if($T943&lt;&gt;"""",REGEXEXTRACT($T943, G$1&amp;""[\w &amp;]*, (\d+\.\d+)""),"""")
"),"")</f>
        <v/>
      </c>
      <c r="H943" s="3"/>
      <c r="I943" s="3" t="str">
        <f aca="false">IFERROR(__xludf.dummyfunction("if($T943&lt;&gt;"""",REGEXEXTRACT(SUBSTITUTE ($T943,I$1&amp;"" CE"",""""), I$1&amp;""[\w &amp;]*, (\d+\.\d+)""),"""")
"),"")</f>
        <v/>
      </c>
      <c r="J943" s="3" t="str">
        <f aca="false">IFERROR(__xludf.dummyfunction("if($T943&lt;&gt;"""",REGEXEXTRACT($T943, J$1&amp;""[\w &amp;]*, (\d+\.\d+)""),"""")
"),"")</f>
        <v/>
      </c>
      <c r="K943" s="3"/>
      <c r="L943" s="3" t="str">
        <f aca="false">IFERROR(__xludf.dummyfunction("if($T943&lt;&gt;"""",REGEXEXTRACT(SUBSTITUTE ($T943,L$1&amp;"" CE"",""""), L$1&amp;""[\w &amp;]*, (\d+\.\d+)""),"""")
"),"")</f>
        <v/>
      </c>
      <c r="M943" s="3" t="str">
        <f aca="false">IFERROR(__xludf.dummyfunction("if($T943&lt;&gt;"""",REGEXEXTRACT($T943, M$1&amp;""[\w &amp;]*, (\d+\.\d+)""),"""")
"),"")</f>
        <v/>
      </c>
      <c r="N943" s="3" t="str">
        <f aca="false">IFERROR(__xludf.dummyfunction("if($T943&lt;&gt;"""",REGEXEXTRACT(SUBSTITUTE ($T943,N$1&amp;"" CE"",""""), N$1&amp;""[\w &amp;]*, (\d+\.\d+)""),"""")
"),"")</f>
        <v/>
      </c>
      <c r="O943" s="3" t="str">
        <f aca="false">IFERROR(__xludf.dummyfunction("if($T943&lt;&gt;"""",REGEXEXTRACT($T943, O$1&amp;""[\w &amp;]*, (\d+\.\d+)""),"""")
"),"")</f>
        <v/>
      </c>
      <c r="P943" s="2"/>
      <c r="Q943" s="2"/>
      <c r="R943" s="2"/>
      <c r="S943" s="2"/>
      <c r="T943" s="5"/>
      <c r="U943" s="5"/>
    </row>
    <row r="944" customFormat="false" ht="15.75" hidden="false" customHeight="false" outlineLevel="0" collapsed="false">
      <c r="A944" s="4"/>
      <c r="B944" s="2"/>
      <c r="C944" s="2"/>
      <c r="D944" s="2"/>
      <c r="E944" s="2"/>
      <c r="F944" s="3" t="str">
        <f aca="false">IFERROR(__xludf.dummyfunction("if($T944&lt;&gt;"""",REGEXEXTRACT(SUBSTITUTE ($T944,F$1&amp;"" CE"",""""), F$1&amp;""[\w &amp;]*, (\d+\.\d+)""),"""")
"),"")</f>
        <v/>
      </c>
      <c r="G944" s="3" t="str">
        <f aca="false">IFERROR(__xludf.dummyfunction("if($T944&lt;&gt;"""",REGEXEXTRACT($T944, G$1&amp;""[\w &amp;]*, (\d+\.\d+)""),"""")
"),"")</f>
        <v/>
      </c>
      <c r="H944" s="3"/>
      <c r="I944" s="3" t="str">
        <f aca="false">IFERROR(__xludf.dummyfunction("if($T944&lt;&gt;"""",REGEXEXTRACT(SUBSTITUTE ($T944,I$1&amp;"" CE"",""""), I$1&amp;""[\w &amp;]*, (\d+\.\d+)""),"""")
"),"")</f>
        <v/>
      </c>
      <c r="J944" s="3" t="str">
        <f aca="false">IFERROR(__xludf.dummyfunction("if($T944&lt;&gt;"""",REGEXEXTRACT($T944, J$1&amp;""[\w &amp;]*, (\d+\.\d+)""),"""")
"),"")</f>
        <v/>
      </c>
      <c r="K944" s="3"/>
      <c r="L944" s="3" t="str">
        <f aca="false">IFERROR(__xludf.dummyfunction("if($T944&lt;&gt;"""",REGEXEXTRACT(SUBSTITUTE ($T944,L$1&amp;"" CE"",""""), L$1&amp;""[\w &amp;]*, (\d+\.\d+)""),"""")
"),"")</f>
        <v/>
      </c>
      <c r="M944" s="3" t="str">
        <f aca="false">IFERROR(__xludf.dummyfunction("if($T944&lt;&gt;"""",REGEXEXTRACT($T944, M$1&amp;""[\w &amp;]*, (\d+\.\d+)""),"""")
"),"")</f>
        <v/>
      </c>
      <c r="N944" s="3" t="str">
        <f aca="false">IFERROR(__xludf.dummyfunction("if($T944&lt;&gt;"""",REGEXEXTRACT(SUBSTITUTE ($T944,N$1&amp;"" CE"",""""), N$1&amp;""[\w &amp;]*, (\d+\.\d+)""),"""")
"),"")</f>
        <v/>
      </c>
      <c r="O944" s="3" t="str">
        <f aca="false">IFERROR(__xludf.dummyfunction("if($T944&lt;&gt;"""",REGEXEXTRACT($T944, O$1&amp;""[\w &amp;]*, (\d+\.\d+)""),"""")
"),"")</f>
        <v/>
      </c>
      <c r="P944" s="2"/>
      <c r="Q944" s="2"/>
      <c r="R944" s="2"/>
      <c r="S944" s="2"/>
      <c r="T944" s="5"/>
      <c r="U944" s="5"/>
    </row>
    <row r="945" customFormat="false" ht="15.75" hidden="false" customHeight="false" outlineLevel="0" collapsed="false">
      <c r="A945" s="4"/>
      <c r="B945" s="2"/>
      <c r="C945" s="2"/>
      <c r="D945" s="2"/>
      <c r="E945" s="2"/>
      <c r="F945" s="3" t="str">
        <f aca="false">IFERROR(__xludf.dummyfunction("if($T945&lt;&gt;"""",REGEXEXTRACT(SUBSTITUTE ($T945,F$1&amp;"" CE"",""""), F$1&amp;""[\w &amp;]*, (\d+\.\d+)""),"""")
"),"")</f>
        <v/>
      </c>
      <c r="G945" s="3" t="str">
        <f aca="false">IFERROR(__xludf.dummyfunction("if($T945&lt;&gt;"""",REGEXEXTRACT($T945, G$1&amp;""[\w &amp;]*, (\d+\.\d+)""),"""")
"),"")</f>
        <v/>
      </c>
      <c r="H945" s="3"/>
      <c r="I945" s="3" t="str">
        <f aca="false">IFERROR(__xludf.dummyfunction("if($T945&lt;&gt;"""",REGEXEXTRACT(SUBSTITUTE ($T945,I$1&amp;"" CE"",""""), I$1&amp;""[\w &amp;]*, (\d+\.\d+)""),"""")
"),"")</f>
        <v/>
      </c>
      <c r="J945" s="3" t="str">
        <f aca="false">IFERROR(__xludf.dummyfunction("if($T945&lt;&gt;"""",REGEXEXTRACT($T945, J$1&amp;""[\w &amp;]*, (\d+\.\d+)""),"""")
"),"")</f>
        <v/>
      </c>
      <c r="K945" s="3"/>
      <c r="L945" s="3" t="str">
        <f aca="false">IFERROR(__xludf.dummyfunction("if($T945&lt;&gt;"""",REGEXEXTRACT(SUBSTITUTE ($T945,L$1&amp;"" CE"",""""), L$1&amp;""[\w &amp;]*, (\d+\.\d+)""),"""")
"),"")</f>
        <v/>
      </c>
      <c r="M945" s="3" t="str">
        <f aca="false">IFERROR(__xludf.dummyfunction("if($T945&lt;&gt;"""",REGEXEXTRACT($T945, M$1&amp;""[\w &amp;]*, (\d+\.\d+)""),"""")
"),"")</f>
        <v/>
      </c>
      <c r="N945" s="3" t="str">
        <f aca="false">IFERROR(__xludf.dummyfunction("if($T945&lt;&gt;"""",REGEXEXTRACT(SUBSTITUTE ($T945,N$1&amp;"" CE"",""""), N$1&amp;""[\w &amp;]*, (\d+\.\d+)""),"""")
"),"")</f>
        <v/>
      </c>
      <c r="O945" s="3" t="str">
        <f aca="false">IFERROR(__xludf.dummyfunction("if($T945&lt;&gt;"""",REGEXEXTRACT($T945, O$1&amp;""[\w &amp;]*, (\d+\.\d+)""),"""")
"),"")</f>
        <v/>
      </c>
      <c r="P945" s="2"/>
      <c r="Q945" s="2"/>
      <c r="R945" s="2"/>
      <c r="S945" s="2"/>
      <c r="T945" s="5"/>
      <c r="U945" s="5"/>
    </row>
    <row r="946" customFormat="false" ht="15.75" hidden="false" customHeight="false" outlineLevel="0" collapsed="false">
      <c r="A946" s="4"/>
      <c r="B946" s="2"/>
      <c r="C946" s="2"/>
      <c r="D946" s="2"/>
      <c r="E946" s="2"/>
      <c r="F946" s="3" t="str">
        <f aca="false">IFERROR(__xludf.dummyfunction("if($T946&lt;&gt;"""",REGEXEXTRACT(SUBSTITUTE ($T946,F$1&amp;"" CE"",""""), F$1&amp;""[\w &amp;]*, (\d+\.\d+)""),"""")
"),"")</f>
        <v/>
      </c>
      <c r="G946" s="3" t="str">
        <f aca="false">IFERROR(__xludf.dummyfunction("if($T946&lt;&gt;"""",REGEXEXTRACT($T946, G$1&amp;""[\w &amp;]*, (\d+\.\d+)""),"""")
"),"")</f>
        <v/>
      </c>
      <c r="H946" s="3"/>
      <c r="I946" s="3" t="str">
        <f aca="false">IFERROR(__xludf.dummyfunction("if($T946&lt;&gt;"""",REGEXEXTRACT(SUBSTITUTE ($T946,I$1&amp;"" CE"",""""), I$1&amp;""[\w &amp;]*, (\d+\.\d+)""),"""")
"),"")</f>
        <v/>
      </c>
      <c r="J946" s="3" t="str">
        <f aca="false">IFERROR(__xludf.dummyfunction("if($T946&lt;&gt;"""",REGEXEXTRACT($T946, J$1&amp;""[\w &amp;]*, (\d+\.\d+)""),"""")
"),"")</f>
        <v/>
      </c>
      <c r="K946" s="3"/>
      <c r="L946" s="3" t="str">
        <f aca="false">IFERROR(__xludf.dummyfunction("if($T946&lt;&gt;"""",REGEXEXTRACT(SUBSTITUTE ($T946,L$1&amp;"" CE"",""""), L$1&amp;""[\w &amp;]*, (\d+\.\d+)""),"""")
"),"")</f>
        <v/>
      </c>
      <c r="M946" s="3" t="str">
        <f aca="false">IFERROR(__xludf.dummyfunction("if($T946&lt;&gt;"""",REGEXEXTRACT($T946, M$1&amp;""[\w &amp;]*, (\d+\.\d+)""),"""")
"),"")</f>
        <v/>
      </c>
      <c r="N946" s="3" t="str">
        <f aca="false">IFERROR(__xludf.dummyfunction("if($T946&lt;&gt;"""",REGEXEXTRACT(SUBSTITUTE ($T946,N$1&amp;"" CE"",""""), N$1&amp;""[\w &amp;]*, (\d+\.\d+)""),"""")
"),"")</f>
        <v/>
      </c>
      <c r="O946" s="3" t="str">
        <f aca="false">IFERROR(__xludf.dummyfunction("if($T946&lt;&gt;"""",REGEXEXTRACT($T946, O$1&amp;""[\w &amp;]*, (\d+\.\d+)""),"""")
"),"")</f>
        <v/>
      </c>
      <c r="P946" s="2"/>
      <c r="Q946" s="2"/>
      <c r="R946" s="2"/>
      <c r="S946" s="2"/>
      <c r="T946" s="5"/>
      <c r="U946" s="5"/>
    </row>
    <row r="947" customFormat="false" ht="15.75" hidden="false" customHeight="false" outlineLevel="0" collapsed="false">
      <c r="A947" s="4"/>
      <c r="B947" s="2"/>
      <c r="C947" s="2"/>
      <c r="D947" s="2"/>
      <c r="E947" s="2"/>
      <c r="F947" s="3" t="str">
        <f aca="false">IFERROR(__xludf.dummyfunction("if($T947&lt;&gt;"""",REGEXEXTRACT(SUBSTITUTE ($T947,F$1&amp;"" CE"",""""), F$1&amp;""[\w &amp;]*, (\d+\.\d+)""),"""")
"),"")</f>
        <v/>
      </c>
      <c r="G947" s="3" t="str">
        <f aca="false">IFERROR(__xludf.dummyfunction("if($T947&lt;&gt;"""",REGEXEXTRACT($T947, G$1&amp;""[\w &amp;]*, (\d+\.\d+)""),"""")
"),"")</f>
        <v/>
      </c>
      <c r="H947" s="3"/>
      <c r="I947" s="3" t="str">
        <f aca="false">IFERROR(__xludf.dummyfunction("if($T947&lt;&gt;"""",REGEXEXTRACT(SUBSTITUTE ($T947,I$1&amp;"" CE"",""""), I$1&amp;""[\w &amp;]*, (\d+\.\d+)""),"""")
"),"")</f>
        <v/>
      </c>
      <c r="J947" s="3" t="str">
        <f aca="false">IFERROR(__xludf.dummyfunction("if($T947&lt;&gt;"""",REGEXEXTRACT($T947, J$1&amp;""[\w &amp;]*, (\d+\.\d+)""),"""")
"),"")</f>
        <v/>
      </c>
      <c r="K947" s="3"/>
      <c r="L947" s="3" t="str">
        <f aca="false">IFERROR(__xludf.dummyfunction("if($T947&lt;&gt;"""",REGEXEXTRACT(SUBSTITUTE ($T947,L$1&amp;"" CE"",""""), L$1&amp;""[\w &amp;]*, (\d+\.\d+)""),"""")
"),"")</f>
        <v/>
      </c>
      <c r="M947" s="3" t="str">
        <f aca="false">IFERROR(__xludf.dummyfunction("if($T947&lt;&gt;"""",REGEXEXTRACT($T947, M$1&amp;""[\w &amp;]*, (\d+\.\d+)""),"""")
"),"")</f>
        <v/>
      </c>
      <c r="N947" s="3" t="str">
        <f aca="false">IFERROR(__xludf.dummyfunction("if($T947&lt;&gt;"""",REGEXEXTRACT(SUBSTITUTE ($T947,N$1&amp;"" CE"",""""), N$1&amp;""[\w &amp;]*, (\d+\.\d+)""),"""")
"),"")</f>
        <v/>
      </c>
      <c r="O947" s="3" t="str">
        <f aca="false">IFERROR(__xludf.dummyfunction("if($T947&lt;&gt;"""",REGEXEXTRACT($T947, O$1&amp;""[\w &amp;]*, (\d+\.\d+)""),"""")
"),"")</f>
        <v/>
      </c>
      <c r="P947" s="2"/>
      <c r="Q947" s="2"/>
      <c r="R947" s="2"/>
      <c r="S947" s="2"/>
      <c r="T947" s="5"/>
      <c r="U947" s="5"/>
    </row>
    <row r="948" customFormat="false" ht="15.75" hidden="false" customHeight="false" outlineLevel="0" collapsed="false">
      <c r="A948" s="4"/>
      <c r="B948" s="2"/>
      <c r="C948" s="2"/>
      <c r="D948" s="2"/>
      <c r="E948" s="2"/>
      <c r="F948" s="3" t="str">
        <f aca="false">IFERROR(__xludf.dummyfunction("if($T948&lt;&gt;"""",REGEXEXTRACT(SUBSTITUTE ($T948,F$1&amp;"" CE"",""""), F$1&amp;""[\w &amp;]*, (\d+\.\d+)""),"""")
"),"")</f>
        <v/>
      </c>
      <c r="G948" s="3" t="str">
        <f aca="false">IFERROR(__xludf.dummyfunction("if($T948&lt;&gt;"""",REGEXEXTRACT($T948, G$1&amp;""[\w &amp;]*, (\d+\.\d+)""),"""")
"),"")</f>
        <v/>
      </c>
      <c r="H948" s="3"/>
      <c r="I948" s="3" t="str">
        <f aca="false">IFERROR(__xludf.dummyfunction("if($T948&lt;&gt;"""",REGEXEXTRACT(SUBSTITUTE ($T948,I$1&amp;"" CE"",""""), I$1&amp;""[\w &amp;]*, (\d+\.\d+)""),"""")
"),"")</f>
        <v/>
      </c>
      <c r="J948" s="3" t="str">
        <f aca="false">IFERROR(__xludf.dummyfunction("if($T948&lt;&gt;"""",REGEXEXTRACT($T948, J$1&amp;""[\w &amp;]*, (\d+\.\d+)""),"""")
"),"")</f>
        <v/>
      </c>
      <c r="K948" s="3"/>
      <c r="L948" s="3" t="str">
        <f aca="false">IFERROR(__xludf.dummyfunction("if($T948&lt;&gt;"""",REGEXEXTRACT(SUBSTITUTE ($T948,L$1&amp;"" CE"",""""), L$1&amp;""[\w &amp;]*, (\d+\.\d+)""),"""")
"),"")</f>
        <v/>
      </c>
      <c r="M948" s="3" t="str">
        <f aca="false">IFERROR(__xludf.dummyfunction("if($T948&lt;&gt;"""",REGEXEXTRACT($T948, M$1&amp;""[\w &amp;]*, (\d+\.\d+)""),"""")
"),"")</f>
        <v/>
      </c>
      <c r="N948" s="3" t="str">
        <f aca="false">IFERROR(__xludf.dummyfunction("if($T948&lt;&gt;"""",REGEXEXTRACT(SUBSTITUTE ($T948,N$1&amp;"" CE"",""""), N$1&amp;""[\w &amp;]*, (\d+\.\d+)""),"""")
"),"")</f>
        <v/>
      </c>
      <c r="O948" s="3" t="str">
        <f aca="false">IFERROR(__xludf.dummyfunction("if($T948&lt;&gt;"""",REGEXEXTRACT($T948, O$1&amp;""[\w &amp;]*, (\d+\.\d+)""),"""")
"),"")</f>
        <v/>
      </c>
      <c r="P948" s="2"/>
      <c r="Q948" s="2"/>
      <c r="R948" s="2"/>
      <c r="S948" s="2"/>
      <c r="T948" s="5"/>
      <c r="U948" s="5"/>
    </row>
    <row r="949" customFormat="false" ht="15.75" hidden="false" customHeight="false" outlineLevel="0" collapsed="false">
      <c r="A949" s="4"/>
      <c r="B949" s="2"/>
      <c r="C949" s="2"/>
      <c r="D949" s="2"/>
      <c r="E949" s="2"/>
      <c r="F949" s="3" t="str">
        <f aca="false">IFERROR(__xludf.dummyfunction("if($T949&lt;&gt;"""",REGEXEXTRACT(SUBSTITUTE ($T949,F$1&amp;"" CE"",""""), F$1&amp;""[\w &amp;]*, (\d+\.\d+)""),"""")
"),"")</f>
        <v/>
      </c>
      <c r="G949" s="3" t="str">
        <f aca="false">IFERROR(__xludf.dummyfunction("if($T949&lt;&gt;"""",REGEXEXTRACT($T949, G$1&amp;""[\w &amp;]*, (\d+\.\d+)""),"""")
"),"")</f>
        <v/>
      </c>
      <c r="H949" s="3"/>
      <c r="I949" s="3" t="str">
        <f aca="false">IFERROR(__xludf.dummyfunction("if($T949&lt;&gt;"""",REGEXEXTRACT(SUBSTITUTE ($T949,I$1&amp;"" CE"",""""), I$1&amp;""[\w &amp;]*, (\d+\.\d+)""),"""")
"),"")</f>
        <v/>
      </c>
      <c r="J949" s="3" t="str">
        <f aca="false">IFERROR(__xludf.dummyfunction("if($T949&lt;&gt;"""",REGEXEXTRACT($T949, J$1&amp;""[\w &amp;]*, (\d+\.\d+)""),"""")
"),"")</f>
        <v/>
      </c>
      <c r="K949" s="3"/>
      <c r="L949" s="3" t="str">
        <f aca="false">IFERROR(__xludf.dummyfunction("if($T949&lt;&gt;"""",REGEXEXTRACT(SUBSTITUTE ($T949,L$1&amp;"" CE"",""""), L$1&amp;""[\w &amp;]*, (\d+\.\d+)""),"""")
"),"")</f>
        <v/>
      </c>
      <c r="M949" s="3" t="str">
        <f aca="false">IFERROR(__xludf.dummyfunction("if($T949&lt;&gt;"""",REGEXEXTRACT($T949, M$1&amp;""[\w &amp;]*, (\d+\.\d+)""),"""")
"),"")</f>
        <v/>
      </c>
      <c r="N949" s="3" t="str">
        <f aca="false">IFERROR(__xludf.dummyfunction("if($T949&lt;&gt;"""",REGEXEXTRACT(SUBSTITUTE ($T949,N$1&amp;"" CE"",""""), N$1&amp;""[\w &amp;]*, (\d+\.\d+)""),"""")
"),"")</f>
        <v/>
      </c>
      <c r="O949" s="3" t="str">
        <f aca="false">IFERROR(__xludf.dummyfunction("if($T949&lt;&gt;"""",REGEXEXTRACT($T949, O$1&amp;""[\w &amp;]*, (\d+\.\d+)""),"""")
"),"")</f>
        <v/>
      </c>
      <c r="P949" s="2"/>
      <c r="Q949" s="2"/>
      <c r="R949" s="2"/>
      <c r="S949" s="2"/>
      <c r="T949" s="5"/>
      <c r="U949" s="5"/>
    </row>
    <row r="950" customFormat="false" ht="15.75" hidden="false" customHeight="false" outlineLevel="0" collapsed="false">
      <c r="A950" s="4"/>
      <c r="B950" s="2"/>
      <c r="C950" s="2"/>
      <c r="D950" s="2"/>
      <c r="E950" s="2"/>
      <c r="F950" s="3" t="str">
        <f aca="false">IFERROR(__xludf.dummyfunction("if($T950&lt;&gt;"""",REGEXEXTRACT(SUBSTITUTE ($T950,F$1&amp;"" CE"",""""), F$1&amp;""[\w &amp;]*, (\d+\.\d+)""),"""")
"),"")</f>
        <v/>
      </c>
      <c r="G950" s="3" t="str">
        <f aca="false">IFERROR(__xludf.dummyfunction("if($T950&lt;&gt;"""",REGEXEXTRACT($T950, G$1&amp;""[\w &amp;]*, (\d+\.\d+)""),"""")
"),"")</f>
        <v/>
      </c>
      <c r="H950" s="3"/>
      <c r="I950" s="3" t="str">
        <f aca="false">IFERROR(__xludf.dummyfunction("if($T950&lt;&gt;"""",REGEXEXTRACT(SUBSTITUTE ($T950,I$1&amp;"" CE"",""""), I$1&amp;""[\w &amp;]*, (\d+\.\d+)""),"""")
"),"")</f>
        <v/>
      </c>
      <c r="J950" s="3" t="str">
        <f aca="false">IFERROR(__xludf.dummyfunction("if($T950&lt;&gt;"""",REGEXEXTRACT($T950, J$1&amp;""[\w &amp;]*, (\d+\.\d+)""),"""")
"),"")</f>
        <v/>
      </c>
      <c r="K950" s="3"/>
      <c r="L950" s="3" t="str">
        <f aca="false">IFERROR(__xludf.dummyfunction("if($T950&lt;&gt;"""",REGEXEXTRACT(SUBSTITUTE ($T950,L$1&amp;"" CE"",""""), L$1&amp;""[\w &amp;]*, (\d+\.\d+)""),"""")
"),"")</f>
        <v/>
      </c>
      <c r="M950" s="3" t="str">
        <f aca="false">IFERROR(__xludf.dummyfunction("if($T950&lt;&gt;"""",REGEXEXTRACT($T950, M$1&amp;""[\w &amp;]*, (\d+\.\d+)""),"""")
"),"")</f>
        <v/>
      </c>
      <c r="N950" s="3" t="str">
        <f aca="false">IFERROR(__xludf.dummyfunction("if($T950&lt;&gt;"""",REGEXEXTRACT(SUBSTITUTE ($T950,N$1&amp;"" CE"",""""), N$1&amp;""[\w &amp;]*, (\d+\.\d+)""),"""")
"),"")</f>
        <v/>
      </c>
      <c r="O950" s="3" t="str">
        <f aca="false">IFERROR(__xludf.dummyfunction("if($T950&lt;&gt;"""",REGEXEXTRACT($T950, O$1&amp;""[\w &amp;]*, (\d+\.\d+)""),"""")
"),"")</f>
        <v/>
      </c>
      <c r="P950" s="2"/>
      <c r="Q950" s="2"/>
      <c r="R950" s="2"/>
      <c r="S950" s="2"/>
      <c r="T950" s="5"/>
      <c r="U950" s="5"/>
    </row>
    <row r="951" customFormat="false" ht="15.75" hidden="false" customHeight="false" outlineLevel="0" collapsed="false">
      <c r="A951" s="4"/>
      <c r="B951" s="2"/>
      <c r="C951" s="2"/>
      <c r="D951" s="2"/>
      <c r="E951" s="2"/>
      <c r="F951" s="3" t="str">
        <f aca="false">IFERROR(__xludf.dummyfunction("if($T951&lt;&gt;"""",REGEXEXTRACT(SUBSTITUTE ($T951,F$1&amp;"" CE"",""""), F$1&amp;""[\w &amp;]*, (\d+\.\d+)""),"""")
"),"")</f>
        <v/>
      </c>
      <c r="G951" s="3" t="str">
        <f aca="false">IFERROR(__xludf.dummyfunction("if($T951&lt;&gt;"""",REGEXEXTRACT($T951, G$1&amp;""[\w &amp;]*, (\d+\.\d+)""),"""")
"),"")</f>
        <v/>
      </c>
      <c r="H951" s="3"/>
      <c r="I951" s="3" t="str">
        <f aca="false">IFERROR(__xludf.dummyfunction("if($T951&lt;&gt;"""",REGEXEXTRACT(SUBSTITUTE ($T951,I$1&amp;"" CE"",""""), I$1&amp;""[\w &amp;]*, (\d+\.\d+)""),"""")
"),"")</f>
        <v/>
      </c>
      <c r="J951" s="3" t="str">
        <f aca="false">IFERROR(__xludf.dummyfunction("if($T951&lt;&gt;"""",REGEXEXTRACT($T951, J$1&amp;""[\w &amp;]*, (\d+\.\d+)""),"""")
"),"")</f>
        <v/>
      </c>
      <c r="K951" s="3"/>
      <c r="L951" s="3" t="str">
        <f aca="false">IFERROR(__xludf.dummyfunction("if($T951&lt;&gt;"""",REGEXEXTRACT(SUBSTITUTE ($T951,L$1&amp;"" CE"",""""), L$1&amp;""[\w &amp;]*, (\d+\.\d+)""),"""")
"),"")</f>
        <v/>
      </c>
      <c r="M951" s="3" t="str">
        <f aca="false">IFERROR(__xludf.dummyfunction("if($T951&lt;&gt;"""",REGEXEXTRACT($T951, M$1&amp;""[\w &amp;]*, (\d+\.\d+)""),"""")
"),"")</f>
        <v/>
      </c>
      <c r="N951" s="3" t="str">
        <f aca="false">IFERROR(__xludf.dummyfunction("if($T951&lt;&gt;"""",REGEXEXTRACT(SUBSTITUTE ($T951,N$1&amp;"" CE"",""""), N$1&amp;""[\w &amp;]*, (\d+\.\d+)""),"""")
"),"")</f>
        <v/>
      </c>
      <c r="O951" s="3" t="str">
        <f aca="false">IFERROR(__xludf.dummyfunction("if($T951&lt;&gt;"""",REGEXEXTRACT($T951, O$1&amp;""[\w &amp;]*, (\d+\.\d+)""),"""")
"),"")</f>
        <v/>
      </c>
      <c r="P951" s="2"/>
      <c r="Q951" s="2"/>
      <c r="R951" s="2"/>
      <c r="S951" s="2"/>
      <c r="T951" s="5"/>
      <c r="U951" s="5"/>
    </row>
    <row r="952" customFormat="false" ht="15.75" hidden="false" customHeight="false" outlineLevel="0" collapsed="false">
      <c r="A952" s="4"/>
      <c r="B952" s="2"/>
      <c r="C952" s="2"/>
      <c r="D952" s="2"/>
      <c r="E952" s="2"/>
      <c r="F952" s="3" t="str">
        <f aca="false">IFERROR(__xludf.dummyfunction("if($T952&lt;&gt;"""",REGEXEXTRACT(SUBSTITUTE ($T952,F$1&amp;"" CE"",""""), F$1&amp;""[\w &amp;]*, (\d+\.\d+)""),"""")
"),"")</f>
        <v/>
      </c>
      <c r="G952" s="3" t="str">
        <f aca="false">IFERROR(__xludf.dummyfunction("if($T952&lt;&gt;"""",REGEXEXTRACT($T952, G$1&amp;""[\w &amp;]*, (\d+\.\d+)""),"""")
"),"")</f>
        <v/>
      </c>
      <c r="H952" s="3"/>
      <c r="I952" s="3" t="str">
        <f aca="false">IFERROR(__xludf.dummyfunction("if($T952&lt;&gt;"""",REGEXEXTRACT(SUBSTITUTE ($T952,I$1&amp;"" CE"",""""), I$1&amp;""[\w &amp;]*, (\d+\.\d+)""),"""")
"),"")</f>
        <v/>
      </c>
      <c r="J952" s="3" t="str">
        <f aca="false">IFERROR(__xludf.dummyfunction("if($T952&lt;&gt;"""",REGEXEXTRACT($T952, J$1&amp;""[\w &amp;]*, (\d+\.\d+)""),"""")
"),"")</f>
        <v/>
      </c>
      <c r="K952" s="3"/>
      <c r="L952" s="3" t="str">
        <f aca="false">IFERROR(__xludf.dummyfunction("if($T952&lt;&gt;"""",REGEXEXTRACT(SUBSTITUTE ($T952,L$1&amp;"" CE"",""""), L$1&amp;""[\w &amp;]*, (\d+\.\d+)""),"""")
"),"")</f>
        <v/>
      </c>
      <c r="M952" s="3" t="str">
        <f aca="false">IFERROR(__xludf.dummyfunction("if($T952&lt;&gt;"""",REGEXEXTRACT($T952, M$1&amp;""[\w &amp;]*, (\d+\.\d+)""),"""")
"),"")</f>
        <v/>
      </c>
      <c r="N952" s="3" t="str">
        <f aca="false">IFERROR(__xludf.dummyfunction("if($T952&lt;&gt;"""",REGEXEXTRACT(SUBSTITUTE ($T952,N$1&amp;"" CE"",""""), N$1&amp;""[\w &amp;]*, (\d+\.\d+)""),"""")
"),"")</f>
        <v/>
      </c>
      <c r="O952" s="3" t="str">
        <f aca="false">IFERROR(__xludf.dummyfunction("if($T952&lt;&gt;"""",REGEXEXTRACT($T952, O$1&amp;""[\w &amp;]*, (\d+\.\d+)""),"""")
"),"")</f>
        <v/>
      </c>
      <c r="P952" s="2"/>
      <c r="Q952" s="2"/>
      <c r="R952" s="2"/>
      <c r="S952" s="2"/>
      <c r="T952" s="5"/>
      <c r="U952" s="5"/>
    </row>
    <row r="953" customFormat="false" ht="15.75" hidden="false" customHeight="false" outlineLevel="0" collapsed="false">
      <c r="A953" s="4"/>
      <c r="B953" s="2"/>
      <c r="C953" s="2"/>
      <c r="D953" s="2"/>
      <c r="E953" s="2"/>
      <c r="F953" s="3" t="str">
        <f aca="false">IFERROR(__xludf.dummyfunction("if($T953&lt;&gt;"""",REGEXEXTRACT(SUBSTITUTE ($T953,F$1&amp;"" CE"",""""), F$1&amp;""[\w &amp;]*, (\d+\.\d+)""),"""")
"),"")</f>
        <v/>
      </c>
      <c r="G953" s="3" t="str">
        <f aca="false">IFERROR(__xludf.dummyfunction("if($T953&lt;&gt;"""",REGEXEXTRACT($T953, G$1&amp;""[\w &amp;]*, (\d+\.\d+)""),"""")
"),"")</f>
        <v/>
      </c>
      <c r="H953" s="3"/>
      <c r="I953" s="3" t="str">
        <f aca="false">IFERROR(__xludf.dummyfunction("if($T953&lt;&gt;"""",REGEXEXTRACT(SUBSTITUTE ($T953,I$1&amp;"" CE"",""""), I$1&amp;""[\w &amp;]*, (\d+\.\d+)""),"""")
"),"")</f>
        <v/>
      </c>
      <c r="J953" s="3" t="str">
        <f aca="false">IFERROR(__xludf.dummyfunction("if($T953&lt;&gt;"""",REGEXEXTRACT($T953, J$1&amp;""[\w &amp;]*, (\d+\.\d+)""),"""")
"),"")</f>
        <v/>
      </c>
      <c r="K953" s="3"/>
      <c r="L953" s="3" t="str">
        <f aca="false">IFERROR(__xludf.dummyfunction("if($T953&lt;&gt;"""",REGEXEXTRACT(SUBSTITUTE ($T953,L$1&amp;"" CE"",""""), L$1&amp;""[\w &amp;]*, (\d+\.\d+)""),"""")
"),"")</f>
        <v/>
      </c>
      <c r="M953" s="3" t="str">
        <f aca="false">IFERROR(__xludf.dummyfunction("if($T953&lt;&gt;"""",REGEXEXTRACT($T953, M$1&amp;""[\w &amp;]*, (\d+\.\d+)""),"""")
"),"")</f>
        <v/>
      </c>
      <c r="N953" s="3" t="str">
        <f aca="false">IFERROR(__xludf.dummyfunction("if($T953&lt;&gt;"""",REGEXEXTRACT(SUBSTITUTE ($T953,N$1&amp;"" CE"",""""), N$1&amp;""[\w &amp;]*, (\d+\.\d+)""),"""")
"),"")</f>
        <v/>
      </c>
      <c r="O953" s="3" t="str">
        <f aca="false">IFERROR(__xludf.dummyfunction("if($T953&lt;&gt;"""",REGEXEXTRACT($T953, O$1&amp;""[\w &amp;]*, (\d+\.\d+)""),"""")
"),"")</f>
        <v/>
      </c>
      <c r="P953" s="2"/>
      <c r="Q953" s="2"/>
      <c r="R953" s="2"/>
      <c r="S953" s="2"/>
      <c r="T953" s="5"/>
      <c r="U953" s="5"/>
    </row>
    <row r="954" customFormat="false" ht="15.75" hidden="false" customHeight="false" outlineLevel="0" collapsed="false">
      <c r="A954" s="4"/>
      <c r="B954" s="2"/>
      <c r="C954" s="2"/>
      <c r="D954" s="2"/>
      <c r="E954" s="2"/>
      <c r="F954" s="3" t="str">
        <f aca="false">IFERROR(__xludf.dummyfunction("if($T954&lt;&gt;"""",REGEXEXTRACT(SUBSTITUTE ($T954,F$1&amp;"" CE"",""""), F$1&amp;""[\w &amp;]*, (\d+\.\d+)""),"""")
"),"")</f>
        <v/>
      </c>
      <c r="G954" s="3" t="str">
        <f aca="false">IFERROR(__xludf.dummyfunction("if($T954&lt;&gt;"""",REGEXEXTRACT($T954, G$1&amp;""[\w &amp;]*, (\d+\.\d+)""),"""")
"),"")</f>
        <v/>
      </c>
      <c r="H954" s="3"/>
      <c r="I954" s="3" t="str">
        <f aca="false">IFERROR(__xludf.dummyfunction("if($T954&lt;&gt;"""",REGEXEXTRACT(SUBSTITUTE ($T954,I$1&amp;"" CE"",""""), I$1&amp;""[\w &amp;]*, (\d+\.\d+)""),"""")
"),"")</f>
        <v/>
      </c>
      <c r="J954" s="3" t="str">
        <f aca="false">IFERROR(__xludf.dummyfunction("if($T954&lt;&gt;"""",REGEXEXTRACT($T954, J$1&amp;""[\w &amp;]*, (\d+\.\d+)""),"""")
"),"")</f>
        <v/>
      </c>
      <c r="K954" s="3"/>
      <c r="L954" s="3" t="str">
        <f aca="false">IFERROR(__xludf.dummyfunction("if($T954&lt;&gt;"""",REGEXEXTRACT(SUBSTITUTE ($T954,L$1&amp;"" CE"",""""), L$1&amp;""[\w &amp;]*, (\d+\.\d+)""),"""")
"),"")</f>
        <v/>
      </c>
      <c r="M954" s="3" t="str">
        <f aca="false">IFERROR(__xludf.dummyfunction("if($T954&lt;&gt;"""",REGEXEXTRACT($T954, M$1&amp;""[\w &amp;]*, (\d+\.\d+)""),"""")
"),"")</f>
        <v/>
      </c>
      <c r="N954" s="3" t="str">
        <f aca="false">IFERROR(__xludf.dummyfunction("if($T954&lt;&gt;"""",REGEXEXTRACT(SUBSTITUTE ($T954,N$1&amp;"" CE"",""""), N$1&amp;""[\w &amp;]*, (\d+\.\d+)""),"""")
"),"")</f>
        <v/>
      </c>
      <c r="O954" s="3" t="str">
        <f aca="false">IFERROR(__xludf.dummyfunction("if($T954&lt;&gt;"""",REGEXEXTRACT($T954, O$1&amp;""[\w &amp;]*, (\d+\.\d+)""),"""")
"),"")</f>
        <v/>
      </c>
      <c r="P954" s="2"/>
      <c r="Q954" s="2"/>
      <c r="R954" s="2"/>
      <c r="S954" s="2"/>
      <c r="T954" s="5"/>
      <c r="U954" s="5"/>
    </row>
    <row r="955" customFormat="false" ht="15.75" hidden="false" customHeight="false" outlineLevel="0" collapsed="false">
      <c r="A955" s="4"/>
      <c r="B955" s="2"/>
      <c r="C955" s="2"/>
      <c r="D955" s="2"/>
      <c r="E955" s="2"/>
      <c r="F955" s="3" t="str">
        <f aca="false">IFERROR(__xludf.dummyfunction("if($T955&lt;&gt;"""",REGEXEXTRACT(SUBSTITUTE ($T955,F$1&amp;"" CE"",""""), F$1&amp;""[\w &amp;]*, (\d+\.\d+)""),"""")
"),"")</f>
        <v/>
      </c>
      <c r="G955" s="3" t="str">
        <f aca="false">IFERROR(__xludf.dummyfunction("if($T955&lt;&gt;"""",REGEXEXTRACT($T955, G$1&amp;""[\w &amp;]*, (\d+\.\d+)""),"""")
"),"")</f>
        <v/>
      </c>
      <c r="H955" s="3"/>
      <c r="I955" s="3" t="str">
        <f aca="false">IFERROR(__xludf.dummyfunction("if($T955&lt;&gt;"""",REGEXEXTRACT(SUBSTITUTE ($T955,I$1&amp;"" CE"",""""), I$1&amp;""[\w &amp;]*, (\d+\.\d+)""),"""")
"),"")</f>
        <v/>
      </c>
      <c r="J955" s="3" t="str">
        <f aca="false">IFERROR(__xludf.dummyfunction("if($T955&lt;&gt;"""",REGEXEXTRACT($T955, J$1&amp;""[\w &amp;]*, (\d+\.\d+)""),"""")
"),"")</f>
        <v/>
      </c>
      <c r="K955" s="3"/>
      <c r="L955" s="3" t="str">
        <f aca="false">IFERROR(__xludf.dummyfunction("if($T955&lt;&gt;"""",REGEXEXTRACT(SUBSTITUTE ($T955,L$1&amp;"" CE"",""""), L$1&amp;""[\w &amp;]*, (\d+\.\d+)""),"""")
"),"")</f>
        <v/>
      </c>
      <c r="M955" s="3" t="str">
        <f aca="false">IFERROR(__xludf.dummyfunction("if($T955&lt;&gt;"""",REGEXEXTRACT($T955, M$1&amp;""[\w &amp;]*, (\d+\.\d+)""),"""")
"),"")</f>
        <v/>
      </c>
      <c r="N955" s="3" t="str">
        <f aca="false">IFERROR(__xludf.dummyfunction("if($T955&lt;&gt;"""",REGEXEXTRACT(SUBSTITUTE ($T955,N$1&amp;"" CE"",""""), N$1&amp;""[\w &amp;]*, (\d+\.\d+)""),"""")
"),"")</f>
        <v/>
      </c>
      <c r="O955" s="3" t="str">
        <f aca="false">IFERROR(__xludf.dummyfunction("if($T955&lt;&gt;"""",REGEXEXTRACT($T955, O$1&amp;""[\w &amp;]*, (\d+\.\d+)""),"""")
"),"")</f>
        <v/>
      </c>
      <c r="P955" s="2"/>
      <c r="Q955" s="2"/>
      <c r="R955" s="2"/>
      <c r="S955" s="2"/>
      <c r="T955" s="5"/>
      <c r="U955" s="5"/>
    </row>
    <row r="956" customFormat="false" ht="15.75" hidden="false" customHeight="false" outlineLevel="0" collapsed="false">
      <c r="A956" s="4"/>
      <c r="B956" s="2"/>
      <c r="C956" s="2"/>
      <c r="D956" s="2"/>
      <c r="E956" s="2"/>
      <c r="F956" s="3" t="str">
        <f aca="false">IFERROR(__xludf.dummyfunction("if($T956&lt;&gt;"""",REGEXEXTRACT(SUBSTITUTE ($T956,F$1&amp;"" CE"",""""), F$1&amp;""[\w &amp;]*, (\d+\.\d+)""),"""")
"),"")</f>
        <v/>
      </c>
      <c r="G956" s="3" t="str">
        <f aca="false">IFERROR(__xludf.dummyfunction("if($T956&lt;&gt;"""",REGEXEXTRACT($T956, G$1&amp;""[\w &amp;]*, (\d+\.\d+)""),"""")
"),"")</f>
        <v/>
      </c>
      <c r="H956" s="3"/>
      <c r="I956" s="3" t="str">
        <f aca="false">IFERROR(__xludf.dummyfunction("if($T956&lt;&gt;"""",REGEXEXTRACT(SUBSTITUTE ($T956,I$1&amp;"" CE"",""""), I$1&amp;""[\w &amp;]*, (\d+\.\d+)""),"""")
"),"")</f>
        <v/>
      </c>
      <c r="J956" s="3" t="str">
        <f aca="false">IFERROR(__xludf.dummyfunction("if($T956&lt;&gt;"""",REGEXEXTRACT($T956, J$1&amp;""[\w &amp;]*, (\d+\.\d+)""),"""")
"),"")</f>
        <v/>
      </c>
      <c r="K956" s="3"/>
      <c r="L956" s="3" t="str">
        <f aca="false">IFERROR(__xludf.dummyfunction("if($T956&lt;&gt;"""",REGEXEXTRACT(SUBSTITUTE ($T956,L$1&amp;"" CE"",""""), L$1&amp;""[\w &amp;]*, (\d+\.\d+)""),"""")
"),"")</f>
        <v/>
      </c>
      <c r="M956" s="3" t="str">
        <f aca="false">IFERROR(__xludf.dummyfunction("if($T956&lt;&gt;"""",REGEXEXTRACT($T956, M$1&amp;""[\w &amp;]*, (\d+\.\d+)""),"""")
"),"")</f>
        <v/>
      </c>
      <c r="N956" s="3" t="str">
        <f aca="false">IFERROR(__xludf.dummyfunction("if($T956&lt;&gt;"""",REGEXEXTRACT(SUBSTITUTE ($T956,N$1&amp;"" CE"",""""), N$1&amp;""[\w &amp;]*, (\d+\.\d+)""),"""")
"),"")</f>
        <v/>
      </c>
      <c r="O956" s="3" t="str">
        <f aca="false">IFERROR(__xludf.dummyfunction("if($T956&lt;&gt;"""",REGEXEXTRACT($T956, O$1&amp;""[\w &amp;]*, (\d+\.\d+)""),"""")
"),"")</f>
        <v/>
      </c>
      <c r="P956" s="2"/>
      <c r="Q956" s="2"/>
      <c r="R956" s="2"/>
      <c r="S956" s="2"/>
      <c r="T956" s="5"/>
      <c r="U956" s="5"/>
    </row>
    <row r="957" customFormat="false" ht="15.75" hidden="false" customHeight="false" outlineLevel="0" collapsed="false">
      <c r="A957" s="4"/>
      <c r="B957" s="2"/>
      <c r="C957" s="2"/>
      <c r="D957" s="2"/>
      <c r="E957" s="2"/>
      <c r="F957" s="3" t="str">
        <f aca="false">IFERROR(__xludf.dummyfunction("if($T957&lt;&gt;"""",REGEXEXTRACT(SUBSTITUTE ($T957,F$1&amp;"" CE"",""""), F$1&amp;""[\w &amp;]*, (\d+\.\d+)""),"""")
"),"")</f>
        <v/>
      </c>
      <c r="G957" s="3" t="str">
        <f aca="false">IFERROR(__xludf.dummyfunction("if($T957&lt;&gt;"""",REGEXEXTRACT($T957, G$1&amp;""[\w &amp;]*, (\d+\.\d+)""),"""")
"),"")</f>
        <v/>
      </c>
      <c r="H957" s="3"/>
      <c r="I957" s="3" t="str">
        <f aca="false">IFERROR(__xludf.dummyfunction("if($T957&lt;&gt;"""",REGEXEXTRACT(SUBSTITUTE ($T957,I$1&amp;"" CE"",""""), I$1&amp;""[\w &amp;]*, (\d+\.\d+)""),"""")
"),"")</f>
        <v/>
      </c>
      <c r="J957" s="3" t="str">
        <f aca="false">IFERROR(__xludf.dummyfunction("if($T957&lt;&gt;"""",REGEXEXTRACT($T957, J$1&amp;""[\w &amp;]*, (\d+\.\d+)""),"""")
"),"")</f>
        <v/>
      </c>
      <c r="K957" s="3"/>
      <c r="L957" s="3" t="str">
        <f aca="false">IFERROR(__xludf.dummyfunction("if($T957&lt;&gt;"""",REGEXEXTRACT(SUBSTITUTE ($T957,L$1&amp;"" CE"",""""), L$1&amp;""[\w &amp;]*, (\d+\.\d+)""),"""")
"),"")</f>
        <v/>
      </c>
      <c r="M957" s="3" t="str">
        <f aca="false">IFERROR(__xludf.dummyfunction("if($T957&lt;&gt;"""",REGEXEXTRACT($T957, M$1&amp;""[\w &amp;]*, (\d+\.\d+)""),"""")
"),"")</f>
        <v/>
      </c>
      <c r="N957" s="3" t="str">
        <f aca="false">IFERROR(__xludf.dummyfunction("if($T957&lt;&gt;"""",REGEXEXTRACT(SUBSTITUTE ($T957,N$1&amp;"" CE"",""""), N$1&amp;""[\w &amp;]*, (\d+\.\d+)""),"""")
"),"")</f>
        <v/>
      </c>
      <c r="O957" s="3" t="str">
        <f aca="false">IFERROR(__xludf.dummyfunction("if($T957&lt;&gt;"""",REGEXEXTRACT($T957, O$1&amp;""[\w &amp;]*, (\d+\.\d+)""),"""")
"),"")</f>
        <v/>
      </c>
      <c r="P957" s="2"/>
      <c r="Q957" s="2"/>
      <c r="R957" s="2"/>
      <c r="S957" s="2"/>
      <c r="T957" s="5"/>
      <c r="U957" s="5"/>
    </row>
    <row r="958" customFormat="false" ht="15.75" hidden="false" customHeight="false" outlineLevel="0" collapsed="false">
      <c r="A958" s="4"/>
      <c r="B958" s="2"/>
      <c r="C958" s="2"/>
      <c r="D958" s="2"/>
      <c r="E958" s="2"/>
      <c r="F958" s="3" t="str">
        <f aca="false">IFERROR(__xludf.dummyfunction("if($T958&lt;&gt;"""",REGEXEXTRACT(SUBSTITUTE ($T958,F$1&amp;"" CE"",""""), F$1&amp;""[\w &amp;]*, (\d+\.\d+)""),"""")
"),"")</f>
        <v/>
      </c>
      <c r="G958" s="3" t="str">
        <f aca="false">IFERROR(__xludf.dummyfunction("if($T958&lt;&gt;"""",REGEXEXTRACT($T958, G$1&amp;""[\w &amp;]*, (\d+\.\d+)""),"""")
"),"")</f>
        <v/>
      </c>
      <c r="H958" s="3"/>
      <c r="I958" s="3" t="str">
        <f aca="false">IFERROR(__xludf.dummyfunction("if($T958&lt;&gt;"""",REGEXEXTRACT(SUBSTITUTE ($T958,I$1&amp;"" CE"",""""), I$1&amp;""[\w &amp;]*, (\d+\.\d+)""),"""")
"),"")</f>
        <v/>
      </c>
      <c r="J958" s="3" t="str">
        <f aca="false">IFERROR(__xludf.dummyfunction("if($T958&lt;&gt;"""",REGEXEXTRACT($T958, J$1&amp;""[\w &amp;]*, (\d+\.\d+)""),"""")
"),"")</f>
        <v/>
      </c>
      <c r="K958" s="3"/>
      <c r="L958" s="3" t="str">
        <f aca="false">IFERROR(__xludf.dummyfunction("if($T958&lt;&gt;"""",REGEXEXTRACT(SUBSTITUTE ($T958,L$1&amp;"" CE"",""""), L$1&amp;""[\w &amp;]*, (\d+\.\d+)""),"""")
"),"")</f>
        <v/>
      </c>
      <c r="M958" s="3" t="str">
        <f aca="false">IFERROR(__xludf.dummyfunction("if($T958&lt;&gt;"""",REGEXEXTRACT($T958, M$1&amp;""[\w &amp;]*, (\d+\.\d+)""),"""")
"),"")</f>
        <v/>
      </c>
      <c r="N958" s="3" t="str">
        <f aca="false">IFERROR(__xludf.dummyfunction("if($T958&lt;&gt;"""",REGEXEXTRACT(SUBSTITUTE ($T958,N$1&amp;"" CE"",""""), N$1&amp;""[\w &amp;]*, (\d+\.\d+)""),"""")
"),"")</f>
        <v/>
      </c>
      <c r="O958" s="3" t="str">
        <f aca="false">IFERROR(__xludf.dummyfunction("if($T958&lt;&gt;"""",REGEXEXTRACT($T958, O$1&amp;""[\w &amp;]*, (\d+\.\d+)""),"""")
"),"")</f>
        <v/>
      </c>
      <c r="P958" s="2"/>
      <c r="Q958" s="2"/>
      <c r="R958" s="2"/>
      <c r="S958" s="2"/>
      <c r="T958" s="5"/>
      <c r="U958" s="5"/>
    </row>
    <row r="959" customFormat="false" ht="15.75" hidden="false" customHeight="false" outlineLevel="0" collapsed="false">
      <c r="A959" s="4"/>
      <c r="B959" s="2"/>
      <c r="C959" s="2"/>
      <c r="D959" s="2"/>
      <c r="E959" s="2"/>
      <c r="F959" s="3" t="str">
        <f aca="false">IFERROR(__xludf.dummyfunction("if($T959&lt;&gt;"""",REGEXEXTRACT(SUBSTITUTE ($T959,F$1&amp;"" CE"",""""), F$1&amp;""[\w &amp;]*, (\d+\.\d+)""),"""")
"),"")</f>
        <v/>
      </c>
      <c r="G959" s="3" t="str">
        <f aca="false">IFERROR(__xludf.dummyfunction("if($T959&lt;&gt;"""",REGEXEXTRACT($T959, G$1&amp;""[\w &amp;]*, (\d+\.\d+)""),"""")
"),"")</f>
        <v/>
      </c>
      <c r="H959" s="3"/>
      <c r="I959" s="3" t="str">
        <f aca="false">IFERROR(__xludf.dummyfunction("if($T959&lt;&gt;"""",REGEXEXTRACT(SUBSTITUTE ($T959,I$1&amp;"" CE"",""""), I$1&amp;""[\w &amp;]*, (\d+\.\d+)""),"""")
"),"")</f>
        <v/>
      </c>
      <c r="J959" s="3" t="str">
        <f aca="false">IFERROR(__xludf.dummyfunction("if($T959&lt;&gt;"""",REGEXEXTRACT($T959, J$1&amp;""[\w &amp;]*, (\d+\.\d+)""),"""")
"),"")</f>
        <v/>
      </c>
      <c r="K959" s="3"/>
      <c r="L959" s="3" t="str">
        <f aca="false">IFERROR(__xludf.dummyfunction("if($T959&lt;&gt;"""",REGEXEXTRACT(SUBSTITUTE ($T959,L$1&amp;"" CE"",""""), L$1&amp;""[\w &amp;]*, (\d+\.\d+)""),"""")
"),"")</f>
        <v/>
      </c>
      <c r="M959" s="3" t="str">
        <f aca="false">IFERROR(__xludf.dummyfunction("if($T959&lt;&gt;"""",REGEXEXTRACT($T959, M$1&amp;""[\w &amp;]*, (\d+\.\d+)""),"""")
"),"")</f>
        <v/>
      </c>
      <c r="N959" s="3" t="str">
        <f aca="false">IFERROR(__xludf.dummyfunction("if($T959&lt;&gt;"""",REGEXEXTRACT(SUBSTITUTE ($T959,N$1&amp;"" CE"",""""), N$1&amp;""[\w &amp;]*, (\d+\.\d+)""),"""")
"),"")</f>
        <v/>
      </c>
      <c r="O959" s="3" t="str">
        <f aca="false">IFERROR(__xludf.dummyfunction("if($T959&lt;&gt;"""",REGEXEXTRACT($T959, O$1&amp;""[\w &amp;]*, (\d+\.\d+)""),"""")
"),"")</f>
        <v/>
      </c>
      <c r="P959" s="2"/>
      <c r="Q959" s="2"/>
      <c r="R959" s="2"/>
      <c r="S959" s="2"/>
      <c r="T959" s="5"/>
      <c r="U959" s="5"/>
    </row>
    <row r="960" customFormat="false" ht="15.75" hidden="false" customHeight="false" outlineLevel="0" collapsed="false">
      <c r="A960" s="4"/>
      <c r="B960" s="2"/>
      <c r="C960" s="2"/>
      <c r="D960" s="2"/>
      <c r="E960" s="2"/>
      <c r="F960" s="3" t="str">
        <f aca="false">IFERROR(__xludf.dummyfunction("if($T960&lt;&gt;"""",REGEXEXTRACT(SUBSTITUTE ($T960,F$1&amp;"" CE"",""""), F$1&amp;""[\w &amp;]*, (\d+\.\d+)""),"""")
"),"")</f>
        <v/>
      </c>
      <c r="G960" s="3" t="str">
        <f aca="false">IFERROR(__xludf.dummyfunction("if($T960&lt;&gt;"""",REGEXEXTRACT($T960, G$1&amp;""[\w &amp;]*, (\d+\.\d+)""),"""")
"),"")</f>
        <v/>
      </c>
      <c r="H960" s="3"/>
      <c r="I960" s="3" t="str">
        <f aca="false">IFERROR(__xludf.dummyfunction("if($T960&lt;&gt;"""",REGEXEXTRACT(SUBSTITUTE ($T960,I$1&amp;"" CE"",""""), I$1&amp;""[\w &amp;]*, (\d+\.\d+)""),"""")
"),"")</f>
        <v/>
      </c>
      <c r="J960" s="3" t="str">
        <f aca="false">IFERROR(__xludf.dummyfunction("if($T960&lt;&gt;"""",REGEXEXTRACT($T960, J$1&amp;""[\w &amp;]*, (\d+\.\d+)""),"""")
"),"")</f>
        <v/>
      </c>
      <c r="K960" s="3"/>
      <c r="L960" s="3" t="str">
        <f aca="false">IFERROR(__xludf.dummyfunction("if($T960&lt;&gt;"""",REGEXEXTRACT(SUBSTITUTE ($T960,L$1&amp;"" CE"",""""), L$1&amp;""[\w &amp;]*, (\d+\.\d+)""),"""")
"),"")</f>
        <v/>
      </c>
      <c r="M960" s="3" t="str">
        <f aca="false">IFERROR(__xludf.dummyfunction("if($T960&lt;&gt;"""",REGEXEXTRACT($T960, M$1&amp;""[\w &amp;]*, (\d+\.\d+)""),"""")
"),"")</f>
        <v/>
      </c>
      <c r="N960" s="3" t="str">
        <f aca="false">IFERROR(__xludf.dummyfunction("if($T960&lt;&gt;"""",REGEXEXTRACT(SUBSTITUTE ($T960,N$1&amp;"" CE"",""""), N$1&amp;""[\w &amp;]*, (\d+\.\d+)""),"""")
"),"")</f>
        <v/>
      </c>
      <c r="O960" s="3" t="str">
        <f aca="false">IFERROR(__xludf.dummyfunction("if($T960&lt;&gt;"""",REGEXEXTRACT($T960, O$1&amp;""[\w &amp;]*, (\d+\.\d+)""),"""")
"),"")</f>
        <v/>
      </c>
      <c r="P960" s="2"/>
      <c r="Q960" s="2"/>
      <c r="R960" s="2"/>
      <c r="S960" s="2"/>
      <c r="T960" s="5"/>
      <c r="U960" s="5"/>
    </row>
    <row r="961" customFormat="false" ht="15.75" hidden="false" customHeight="false" outlineLevel="0" collapsed="false">
      <c r="A961" s="4"/>
      <c r="B961" s="2"/>
      <c r="C961" s="2"/>
      <c r="D961" s="2"/>
      <c r="E961" s="2"/>
      <c r="F961" s="3" t="str">
        <f aca="false">IFERROR(__xludf.dummyfunction("if($T961&lt;&gt;"""",REGEXEXTRACT(SUBSTITUTE ($T961,F$1&amp;"" CE"",""""), F$1&amp;""[\w &amp;]*, (\d+\.\d+)""),"""")
"),"")</f>
        <v/>
      </c>
      <c r="G961" s="3" t="str">
        <f aca="false">IFERROR(__xludf.dummyfunction("if($T961&lt;&gt;"""",REGEXEXTRACT($T961, G$1&amp;""[\w &amp;]*, (\d+\.\d+)""),"""")
"),"")</f>
        <v/>
      </c>
      <c r="H961" s="3"/>
      <c r="I961" s="3" t="str">
        <f aca="false">IFERROR(__xludf.dummyfunction("if($T961&lt;&gt;"""",REGEXEXTRACT(SUBSTITUTE ($T961,I$1&amp;"" CE"",""""), I$1&amp;""[\w &amp;]*, (\d+\.\d+)""),"""")
"),"")</f>
        <v/>
      </c>
      <c r="J961" s="3" t="str">
        <f aca="false">IFERROR(__xludf.dummyfunction("if($T961&lt;&gt;"""",REGEXEXTRACT($T961, J$1&amp;""[\w &amp;]*, (\d+\.\d+)""),"""")
"),"")</f>
        <v/>
      </c>
      <c r="K961" s="3"/>
      <c r="L961" s="3" t="str">
        <f aca="false">IFERROR(__xludf.dummyfunction("if($T961&lt;&gt;"""",REGEXEXTRACT(SUBSTITUTE ($T961,L$1&amp;"" CE"",""""), L$1&amp;""[\w &amp;]*, (\d+\.\d+)""),"""")
"),"")</f>
        <v/>
      </c>
      <c r="M961" s="3" t="str">
        <f aca="false">IFERROR(__xludf.dummyfunction("if($T961&lt;&gt;"""",REGEXEXTRACT($T961, M$1&amp;""[\w &amp;]*, (\d+\.\d+)""),"""")
"),"")</f>
        <v/>
      </c>
      <c r="N961" s="3" t="str">
        <f aca="false">IFERROR(__xludf.dummyfunction("if($T961&lt;&gt;"""",REGEXEXTRACT(SUBSTITUTE ($T961,N$1&amp;"" CE"",""""), N$1&amp;""[\w &amp;]*, (\d+\.\d+)""),"""")
"),"")</f>
        <v/>
      </c>
      <c r="O961" s="3" t="str">
        <f aca="false">IFERROR(__xludf.dummyfunction("if($T961&lt;&gt;"""",REGEXEXTRACT($T961, O$1&amp;""[\w &amp;]*, (\d+\.\d+)""),"""")
"),"")</f>
        <v/>
      </c>
      <c r="P961" s="2"/>
      <c r="Q961" s="2"/>
      <c r="R961" s="2"/>
      <c r="S961" s="2"/>
      <c r="T961" s="5"/>
      <c r="U961" s="5"/>
    </row>
    <row r="962" customFormat="false" ht="15.75" hidden="false" customHeight="false" outlineLevel="0" collapsed="false">
      <c r="A962" s="4"/>
      <c r="B962" s="2"/>
      <c r="C962" s="2"/>
      <c r="D962" s="2"/>
      <c r="E962" s="2"/>
      <c r="F962" s="3" t="str">
        <f aca="false">IFERROR(__xludf.dummyfunction("if($T962&lt;&gt;"""",REGEXEXTRACT(SUBSTITUTE ($T962,F$1&amp;"" CE"",""""), F$1&amp;""[\w &amp;]*, (\d+\.\d+)""),"""")
"),"")</f>
        <v/>
      </c>
      <c r="G962" s="3" t="str">
        <f aca="false">IFERROR(__xludf.dummyfunction("if($T962&lt;&gt;"""",REGEXEXTRACT($T962, G$1&amp;""[\w &amp;]*, (\d+\.\d+)""),"""")
"),"")</f>
        <v/>
      </c>
      <c r="H962" s="3"/>
      <c r="I962" s="3" t="str">
        <f aca="false">IFERROR(__xludf.dummyfunction("if($T962&lt;&gt;"""",REGEXEXTRACT(SUBSTITUTE ($T962,I$1&amp;"" CE"",""""), I$1&amp;""[\w &amp;]*, (\d+\.\d+)""),"""")
"),"")</f>
        <v/>
      </c>
      <c r="J962" s="3" t="str">
        <f aca="false">IFERROR(__xludf.dummyfunction("if($T962&lt;&gt;"""",REGEXEXTRACT($T962, J$1&amp;""[\w &amp;]*, (\d+\.\d+)""),"""")
"),"")</f>
        <v/>
      </c>
      <c r="K962" s="3"/>
      <c r="L962" s="3" t="str">
        <f aca="false">IFERROR(__xludf.dummyfunction("if($T962&lt;&gt;"""",REGEXEXTRACT(SUBSTITUTE ($T962,L$1&amp;"" CE"",""""), L$1&amp;""[\w &amp;]*, (\d+\.\d+)""),"""")
"),"")</f>
        <v/>
      </c>
      <c r="M962" s="3" t="str">
        <f aca="false">IFERROR(__xludf.dummyfunction("if($T962&lt;&gt;"""",REGEXEXTRACT($T962, M$1&amp;""[\w &amp;]*, (\d+\.\d+)""),"""")
"),"")</f>
        <v/>
      </c>
      <c r="N962" s="3" t="str">
        <f aca="false">IFERROR(__xludf.dummyfunction("if($T962&lt;&gt;"""",REGEXEXTRACT(SUBSTITUTE ($T962,N$1&amp;"" CE"",""""), N$1&amp;""[\w &amp;]*, (\d+\.\d+)""),"""")
"),"")</f>
        <v/>
      </c>
      <c r="O962" s="3" t="str">
        <f aca="false">IFERROR(__xludf.dummyfunction("if($T962&lt;&gt;"""",REGEXEXTRACT($T962, O$1&amp;""[\w &amp;]*, (\d+\.\d+)""),"""")
"),"")</f>
        <v/>
      </c>
      <c r="P962" s="2"/>
      <c r="Q962" s="2"/>
      <c r="R962" s="2"/>
      <c r="S962" s="2"/>
      <c r="T962" s="5"/>
      <c r="U962" s="5"/>
    </row>
    <row r="963" customFormat="false" ht="15.75" hidden="false" customHeight="false" outlineLevel="0" collapsed="false">
      <c r="A963" s="4"/>
      <c r="B963" s="2"/>
      <c r="C963" s="2"/>
      <c r="D963" s="2"/>
      <c r="E963" s="2"/>
      <c r="F963" s="3" t="str">
        <f aca="false">IFERROR(__xludf.dummyfunction("if($T963&lt;&gt;"""",REGEXEXTRACT(SUBSTITUTE ($T963,F$1&amp;"" CE"",""""), F$1&amp;""[\w &amp;]*, (\d+\.\d+)""),"""")
"),"")</f>
        <v/>
      </c>
      <c r="G963" s="3" t="str">
        <f aca="false">IFERROR(__xludf.dummyfunction("if($T963&lt;&gt;"""",REGEXEXTRACT($T963, G$1&amp;""[\w &amp;]*, (\d+\.\d+)""),"""")
"),"")</f>
        <v/>
      </c>
      <c r="H963" s="3"/>
      <c r="I963" s="3" t="str">
        <f aca="false">IFERROR(__xludf.dummyfunction("if($T963&lt;&gt;"""",REGEXEXTRACT(SUBSTITUTE ($T963,I$1&amp;"" CE"",""""), I$1&amp;""[\w &amp;]*, (\d+\.\d+)""),"""")
"),"")</f>
        <v/>
      </c>
      <c r="J963" s="3" t="str">
        <f aca="false">IFERROR(__xludf.dummyfunction("if($T963&lt;&gt;"""",REGEXEXTRACT($T963, J$1&amp;""[\w &amp;]*, (\d+\.\d+)""),"""")
"),"")</f>
        <v/>
      </c>
      <c r="K963" s="3"/>
      <c r="L963" s="3" t="str">
        <f aca="false">IFERROR(__xludf.dummyfunction("if($T963&lt;&gt;"""",REGEXEXTRACT(SUBSTITUTE ($T963,L$1&amp;"" CE"",""""), L$1&amp;""[\w &amp;]*, (\d+\.\d+)""),"""")
"),"")</f>
        <v/>
      </c>
      <c r="M963" s="3" t="str">
        <f aca="false">IFERROR(__xludf.dummyfunction("if($T963&lt;&gt;"""",REGEXEXTRACT($T963, M$1&amp;""[\w &amp;]*, (\d+\.\d+)""),"""")
"),"")</f>
        <v/>
      </c>
      <c r="N963" s="3" t="str">
        <f aca="false">IFERROR(__xludf.dummyfunction("if($T963&lt;&gt;"""",REGEXEXTRACT(SUBSTITUTE ($T963,N$1&amp;"" CE"",""""), N$1&amp;""[\w &amp;]*, (\d+\.\d+)""),"""")
"),"")</f>
        <v/>
      </c>
      <c r="O963" s="3" t="str">
        <f aca="false">IFERROR(__xludf.dummyfunction("if($T963&lt;&gt;"""",REGEXEXTRACT($T963, O$1&amp;""[\w &amp;]*, (\d+\.\d+)""),"""")
"),"")</f>
        <v/>
      </c>
      <c r="P963" s="2"/>
      <c r="Q963" s="2"/>
      <c r="R963" s="2"/>
      <c r="S963" s="2"/>
      <c r="T963" s="5"/>
      <c r="U963" s="5"/>
    </row>
    <row r="964" customFormat="false" ht="15.75" hidden="false" customHeight="false" outlineLevel="0" collapsed="false">
      <c r="A964" s="4"/>
      <c r="B964" s="2"/>
      <c r="C964" s="2"/>
      <c r="D964" s="2"/>
      <c r="E964" s="2"/>
      <c r="F964" s="3" t="str">
        <f aca="false">IFERROR(__xludf.dummyfunction("if($T964&lt;&gt;"""",REGEXEXTRACT(SUBSTITUTE ($T964,F$1&amp;"" CE"",""""), F$1&amp;""[\w &amp;]*, (\d+\.\d+)""),"""")
"),"")</f>
        <v/>
      </c>
      <c r="G964" s="3" t="str">
        <f aca="false">IFERROR(__xludf.dummyfunction("if($T964&lt;&gt;"""",REGEXEXTRACT($T964, G$1&amp;""[\w &amp;]*, (\d+\.\d+)""),"""")
"),"")</f>
        <v/>
      </c>
      <c r="H964" s="3"/>
      <c r="I964" s="3" t="str">
        <f aca="false">IFERROR(__xludf.dummyfunction("if($T964&lt;&gt;"""",REGEXEXTRACT(SUBSTITUTE ($T964,I$1&amp;"" CE"",""""), I$1&amp;""[\w &amp;]*, (\d+\.\d+)""),"""")
"),"")</f>
        <v/>
      </c>
      <c r="J964" s="3" t="str">
        <f aca="false">IFERROR(__xludf.dummyfunction("if($T964&lt;&gt;"""",REGEXEXTRACT($T964, J$1&amp;""[\w &amp;]*, (\d+\.\d+)""),"""")
"),"")</f>
        <v/>
      </c>
      <c r="K964" s="3"/>
      <c r="L964" s="3" t="str">
        <f aca="false">IFERROR(__xludf.dummyfunction("if($T964&lt;&gt;"""",REGEXEXTRACT(SUBSTITUTE ($T964,L$1&amp;"" CE"",""""), L$1&amp;""[\w &amp;]*, (\d+\.\d+)""),"""")
"),"")</f>
        <v/>
      </c>
      <c r="M964" s="3" t="str">
        <f aca="false">IFERROR(__xludf.dummyfunction("if($T964&lt;&gt;"""",REGEXEXTRACT($T964, M$1&amp;""[\w &amp;]*, (\d+\.\d+)""),"""")
"),"")</f>
        <v/>
      </c>
      <c r="N964" s="3" t="str">
        <f aca="false">IFERROR(__xludf.dummyfunction("if($T964&lt;&gt;"""",REGEXEXTRACT(SUBSTITUTE ($T964,N$1&amp;"" CE"",""""), N$1&amp;""[\w &amp;]*, (\d+\.\d+)""),"""")
"),"")</f>
        <v/>
      </c>
      <c r="O964" s="3" t="str">
        <f aca="false">IFERROR(__xludf.dummyfunction("if($T964&lt;&gt;"""",REGEXEXTRACT($T964, O$1&amp;""[\w &amp;]*, (\d+\.\d+)""),"""")
"),"")</f>
        <v/>
      </c>
      <c r="P964" s="2"/>
      <c r="Q964" s="2"/>
      <c r="R964" s="2"/>
      <c r="S964" s="2"/>
      <c r="T964" s="5"/>
      <c r="U964" s="5"/>
    </row>
    <row r="965" customFormat="false" ht="15.75" hidden="false" customHeight="false" outlineLevel="0" collapsed="false">
      <c r="A965" s="4"/>
      <c r="B965" s="2"/>
      <c r="C965" s="2"/>
      <c r="D965" s="2"/>
      <c r="E965" s="2"/>
      <c r="F965" s="3" t="str">
        <f aca="false">IFERROR(__xludf.dummyfunction("if($T965&lt;&gt;"""",REGEXEXTRACT(SUBSTITUTE ($T965,F$1&amp;"" CE"",""""), F$1&amp;""[\w &amp;]*, (\d+\.\d+)""),"""")
"),"")</f>
        <v/>
      </c>
      <c r="G965" s="3" t="str">
        <f aca="false">IFERROR(__xludf.dummyfunction("if($T965&lt;&gt;"""",REGEXEXTRACT($T965, G$1&amp;""[\w &amp;]*, (\d+\.\d+)""),"""")
"),"")</f>
        <v/>
      </c>
      <c r="H965" s="3"/>
      <c r="I965" s="3" t="str">
        <f aca="false">IFERROR(__xludf.dummyfunction("if($T965&lt;&gt;"""",REGEXEXTRACT(SUBSTITUTE ($T965,I$1&amp;"" CE"",""""), I$1&amp;""[\w &amp;]*, (\d+\.\d+)""),"""")
"),"")</f>
        <v/>
      </c>
      <c r="J965" s="3" t="str">
        <f aca="false">IFERROR(__xludf.dummyfunction("if($T965&lt;&gt;"""",REGEXEXTRACT($T965, J$1&amp;""[\w &amp;]*, (\d+\.\d+)""),"""")
"),"")</f>
        <v/>
      </c>
      <c r="K965" s="3"/>
      <c r="L965" s="3" t="str">
        <f aca="false">IFERROR(__xludf.dummyfunction("if($T965&lt;&gt;"""",REGEXEXTRACT(SUBSTITUTE ($T965,L$1&amp;"" CE"",""""), L$1&amp;""[\w &amp;]*, (\d+\.\d+)""),"""")
"),"")</f>
        <v/>
      </c>
      <c r="M965" s="3" t="str">
        <f aca="false">IFERROR(__xludf.dummyfunction("if($T965&lt;&gt;"""",REGEXEXTRACT($T965, M$1&amp;""[\w &amp;]*, (\d+\.\d+)""),"""")
"),"")</f>
        <v/>
      </c>
      <c r="N965" s="3" t="str">
        <f aca="false">IFERROR(__xludf.dummyfunction("if($T965&lt;&gt;"""",REGEXEXTRACT(SUBSTITUTE ($T965,N$1&amp;"" CE"",""""), N$1&amp;""[\w &amp;]*, (\d+\.\d+)""),"""")
"),"")</f>
        <v/>
      </c>
      <c r="O965" s="3" t="str">
        <f aca="false">IFERROR(__xludf.dummyfunction("if($T965&lt;&gt;"""",REGEXEXTRACT($T965, O$1&amp;""[\w &amp;]*, (\d+\.\d+)""),"""")
"),"")</f>
        <v/>
      </c>
      <c r="P965" s="2"/>
      <c r="Q965" s="2"/>
      <c r="R965" s="2"/>
      <c r="S965" s="2"/>
      <c r="T965" s="5"/>
      <c r="U965" s="5"/>
    </row>
    <row r="966" customFormat="false" ht="15.75" hidden="false" customHeight="false" outlineLevel="0" collapsed="false">
      <c r="A966" s="4"/>
      <c r="B966" s="2"/>
      <c r="C966" s="2"/>
      <c r="D966" s="2"/>
      <c r="E966" s="2"/>
      <c r="F966" s="3" t="str">
        <f aca="false">IFERROR(__xludf.dummyfunction("if($T966&lt;&gt;"""",REGEXEXTRACT(SUBSTITUTE ($T966,F$1&amp;"" CE"",""""), F$1&amp;""[\w &amp;]*, (\d+\.\d+)""),"""")
"),"")</f>
        <v/>
      </c>
      <c r="G966" s="3" t="str">
        <f aca="false">IFERROR(__xludf.dummyfunction("if($T966&lt;&gt;"""",REGEXEXTRACT($T966, G$1&amp;""[\w &amp;]*, (\d+\.\d+)""),"""")
"),"")</f>
        <v/>
      </c>
      <c r="H966" s="3"/>
      <c r="I966" s="3" t="str">
        <f aca="false">IFERROR(__xludf.dummyfunction("if($T966&lt;&gt;"""",REGEXEXTRACT(SUBSTITUTE ($T966,I$1&amp;"" CE"",""""), I$1&amp;""[\w &amp;]*, (\d+\.\d+)""),"""")
"),"")</f>
        <v/>
      </c>
      <c r="J966" s="3" t="str">
        <f aca="false">IFERROR(__xludf.dummyfunction("if($T966&lt;&gt;"""",REGEXEXTRACT($T966, J$1&amp;""[\w &amp;]*, (\d+\.\d+)""),"""")
"),"")</f>
        <v/>
      </c>
      <c r="K966" s="3"/>
      <c r="L966" s="3" t="str">
        <f aca="false">IFERROR(__xludf.dummyfunction("if($T966&lt;&gt;"""",REGEXEXTRACT(SUBSTITUTE ($T966,L$1&amp;"" CE"",""""), L$1&amp;""[\w &amp;]*, (\d+\.\d+)""),"""")
"),"")</f>
        <v/>
      </c>
      <c r="M966" s="3" t="str">
        <f aca="false">IFERROR(__xludf.dummyfunction("if($T966&lt;&gt;"""",REGEXEXTRACT($T966, M$1&amp;""[\w &amp;]*, (\d+\.\d+)""),"""")
"),"")</f>
        <v/>
      </c>
      <c r="N966" s="3" t="str">
        <f aca="false">IFERROR(__xludf.dummyfunction("if($T966&lt;&gt;"""",REGEXEXTRACT(SUBSTITUTE ($T966,N$1&amp;"" CE"",""""), N$1&amp;""[\w &amp;]*, (\d+\.\d+)""),"""")
"),"")</f>
        <v/>
      </c>
      <c r="O966" s="3" t="str">
        <f aca="false">IFERROR(__xludf.dummyfunction("if($T966&lt;&gt;"""",REGEXEXTRACT($T966, O$1&amp;""[\w &amp;]*, (\d+\.\d+)""),"""")
"),"")</f>
        <v/>
      </c>
      <c r="P966" s="2"/>
      <c r="Q966" s="2"/>
      <c r="R966" s="2"/>
      <c r="S966" s="2"/>
      <c r="T966" s="5"/>
      <c r="U966" s="5"/>
    </row>
    <row r="967" customFormat="false" ht="15.75" hidden="false" customHeight="false" outlineLevel="0" collapsed="false">
      <c r="A967" s="4"/>
      <c r="B967" s="2"/>
      <c r="C967" s="2"/>
      <c r="D967" s="2"/>
      <c r="E967" s="2"/>
      <c r="F967" s="3" t="str">
        <f aca="false">IFERROR(__xludf.dummyfunction("if($T967&lt;&gt;"""",REGEXEXTRACT(SUBSTITUTE ($T967,F$1&amp;"" CE"",""""), F$1&amp;""[\w &amp;]*, (\d+\.\d+)""),"""")
"),"")</f>
        <v/>
      </c>
      <c r="G967" s="3" t="str">
        <f aca="false">IFERROR(__xludf.dummyfunction("if($T967&lt;&gt;"""",REGEXEXTRACT($T967, G$1&amp;""[\w &amp;]*, (\d+\.\d+)""),"""")
"),"")</f>
        <v/>
      </c>
      <c r="H967" s="3"/>
      <c r="I967" s="3" t="str">
        <f aca="false">IFERROR(__xludf.dummyfunction("if($T967&lt;&gt;"""",REGEXEXTRACT(SUBSTITUTE ($T967,I$1&amp;"" CE"",""""), I$1&amp;""[\w &amp;]*, (\d+\.\d+)""),"""")
"),"")</f>
        <v/>
      </c>
      <c r="J967" s="3" t="str">
        <f aca="false">IFERROR(__xludf.dummyfunction("if($T967&lt;&gt;"""",REGEXEXTRACT($T967, J$1&amp;""[\w &amp;]*, (\d+\.\d+)""),"""")
"),"")</f>
        <v/>
      </c>
      <c r="K967" s="3"/>
      <c r="L967" s="3" t="str">
        <f aca="false">IFERROR(__xludf.dummyfunction("if($T967&lt;&gt;"""",REGEXEXTRACT(SUBSTITUTE ($T967,L$1&amp;"" CE"",""""), L$1&amp;""[\w &amp;]*, (\d+\.\d+)""),"""")
"),"")</f>
        <v/>
      </c>
      <c r="M967" s="3" t="str">
        <f aca="false">IFERROR(__xludf.dummyfunction("if($T967&lt;&gt;"""",REGEXEXTRACT($T967, M$1&amp;""[\w &amp;]*, (\d+\.\d+)""),"""")
"),"")</f>
        <v/>
      </c>
      <c r="N967" s="3" t="str">
        <f aca="false">IFERROR(__xludf.dummyfunction("if($T967&lt;&gt;"""",REGEXEXTRACT(SUBSTITUTE ($T967,N$1&amp;"" CE"",""""), N$1&amp;""[\w &amp;]*, (\d+\.\d+)""),"""")
"),"")</f>
        <v/>
      </c>
      <c r="O967" s="3" t="str">
        <f aca="false">IFERROR(__xludf.dummyfunction("if($T967&lt;&gt;"""",REGEXEXTRACT($T967, O$1&amp;""[\w &amp;]*, (\d+\.\d+)""),"""")
"),"")</f>
        <v/>
      </c>
      <c r="P967" s="2"/>
      <c r="Q967" s="2"/>
      <c r="R967" s="2"/>
      <c r="S967" s="2"/>
      <c r="T967" s="5"/>
      <c r="U967" s="5"/>
    </row>
    <row r="968" customFormat="false" ht="15.75" hidden="false" customHeight="false" outlineLevel="0" collapsed="false">
      <c r="A968" s="4"/>
      <c r="B968" s="2"/>
      <c r="C968" s="2"/>
      <c r="D968" s="2"/>
      <c r="E968" s="2"/>
      <c r="F968" s="3" t="str">
        <f aca="false">IFERROR(__xludf.dummyfunction("if($T968&lt;&gt;"""",REGEXEXTRACT(SUBSTITUTE ($T968,F$1&amp;"" CE"",""""), F$1&amp;""[\w &amp;]*, (\d+\.\d+)""),"""")
"),"")</f>
        <v/>
      </c>
      <c r="G968" s="3" t="str">
        <f aca="false">IFERROR(__xludf.dummyfunction("if($T968&lt;&gt;"""",REGEXEXTRACT($T968, G$1&amp;""[\w &amp;]*, (\d+\.\d+)""),"""")
"),"")</f>
        <v/>
      </c>
      <c r="H968" s="3"/>
      <c r="I968" s="3" t="str">
        <f aca="false">IFERROR(__xludf.dummyfunction("if($T968&lt;&gt;"""",REGEXEXTRACT(SUBSTITUTE ($T968,I$1&amp;"" CE"",""""), I$1&amp;""[\w &amp;]*, (\d+\.\d+)""),"""")
"),"")</f>
        <v/>
      </c>
      <c r="J968" s="3" t="str">
        <f aca="false">IFERROR(__xludf.dummyfunction("if($T968&lt;&gt;"""",REGEXEXTRACT($T968, J$1&amp;""[\w &amp;]*, (\d+\.\d+)""),"""")
"),"")</f>
        <v/>
      </c>
      <c r="K968" s="3"/>
      <c r="L968" s="3" t="str">
        <f aca="false">IFERROR(__xludf.dummyfunction("if($T968&lt;&gt;"""",REGEXEXTRACT(SUBSTITUTE ($T968,L$1&amp;"" CE"",""""), L$1&amp;""[\w &amp;]*, (\d+\.\d+)""),"""")
"),"")</f>
        <v/>
      </c>
      <c r="M968" s="3" t="str">
        <f aca="false">IFERROR(__xludf.dummyfunction("if($T968&lt;&gt;"""",REGEXEXTRACT($T968, M$1&amp;""[\w &amp;]*, (\d+\.\d+)""),"""")
"),"")</f>
        <v/>
      </c>
      <c r="N968" s="3" t="str">
        <f aca="false">IFERROR(__xludf.dummyfunction("if($T968&lt;&gt;"""",REGEXEXTRACT(SUBSTITUTE ($T968,N$1&amp;"" CE"",""""), N$1&amp;""[\w &amp;]*, (\d+\.\d+)""),"""")
"),"")</f>
        <v/>
      </c>
      <c r="O968" s="3" t="str">
        <f aca="false">IFERROR(__xludf.dummyfunction("if($T968&lt;&gt;"""",REGEXEXTRACT($T968, O$1&amp;""[\w &amp;]*, (\d+\.\d+)""),"""")
"),"")</f>
        <v/>
      </c>
      <c r="P968" s="2"/>
      <c r="Q968" s="2"/>
      <c r="R968" s="2"/>
      <c r="S968" s="2"/>
      <c r="T968" s="5"/>
      <c r="U968" s="5"/>
    </row>
    <row r="969" customFormat="false" ht="15.75" hidden="false" customHeight="false" outlineLevel="0" collapsed="false">
      <c r="A969" s="4"/>
      <c r="B969" s="2"/>
      <c r="C969" s="2"/>
      <c r="D969" s="2"/>
      <c r="E969" s="2"/>
      <c r="F969" s="3" t="str">
        <f aca="false">IFERROR(__xludf.dummyfunction("if($T969&lt;&gt;"""",REGEXEXTRACT(SUBSTITUTE ($T969,F$1&amp;"" CE"",""""), F$1&amp;""[\w &amp;]*, (\d+\.\d+)""),"""")
"),"")</f>
        <v/>
      </c>
      <c r="G969" s="3" t="str">
        <f aca="false">IFERROR(__xludf.dummyfunction("if($T969&lt;&gt;"""",REGEXEXTRACT($T969, G$1&amp;""[\w &amp;]*, (\d+\.\d+)""),"""")
"),"")</f>
        <v/>
      </c>
      <c r="H969" s="3"/>
      <c r="I969" s="3" t="str">
        <f aca="false">IFERROR(__xludf.dummyfunction("if($T969&lt;&gt;"""",REGEXEXTRACT(SUBSTITUTE ($T969,I$1&amp;"" CE"",""""), I$1&amp;""[\w &amp;]*, (\d+\.\d+)""),"""")
"),"")</f>
        <v/>
      </c>
      <c r="J969" s="3" t="str">
        <f aca="false">IFERROR(__xludf.dummyfunction("if($T969&lt;&gt;"""",REGEXEXTRACT($T969, J$1&amp;""[\w &amp;]*, (\d+\.\d+)""),"""")
"),"")</f>
        <v/>
      </c>
      <c r="K969" s="3"/>
      <c r="L969" s="3" t="str">
        <f aca="false">IFERROR(__xludf.dummyfunction("if($T969&lt;&gt;"""",REGEXEXTRACT(SUBSTITUTE ($T969,L$1&amp;"" CE"",""""), L$1&amp;""[\w &amp;]*, (\d+\.\d+)""),"""")
"),"")</f>
        <v/>
      </c>
      <c r="M969" s="3" t="str">
        <f aca="false">IFERROR(__xludf.dummyfunction("if($T969&lt;&gt;"""",REGEXEXTRACT($T969, M$1&amp;""[\w &amp;]*, (\d+\.\d+)""),"""")
"),"")</f>
        <v/>
      </c>
      <c r="N969" s="3" t="str">
        <f aca="false">IFERROR(__xludf.dummyfunction("if($T969&lt;&gt;"""",REGEXEXTRACT(SUBSTITUTE ($T969,N$1&amp;"" CE"",""""), N$1&amp;""[\w &amp;]*, (\d+\.\d+)""),"""")
"),"")</f>
        <v/>
      </c>
      <c r="O969" s="3" t="str">
        <f aca="false">IFERROR(__xludf.dummyfunction("if($T969&lt;&gt;"""",REGEXEXTRACT($T969, O$1&amp;""[\w &amp;]*, (\d+\.\d+)""),"""")
"),"")</f>
        <v/>
      </c>
      <c r="P969" s="2"/>
      <c r="Q969" s="2"/>
      <c r="R969" s="2"/>
      <c r="S969" s="2"/>
      <c r="T969" s="5"/>
      <c r="U969" s="5"/>
    </row>
    <row r="970" customFormat="false" ht="15.75" hidden="false" customHeight="false" outlineLevel="0" collapsed="false">
      <c r="A970" s="4"/>
      <c r="B970" s="2"/>
      <c r="C970" s="2"/>
      <c r="D970" s="2"/>
      <c r="E970" s="2"/>
      <c r="F970" s="3" t="str">
        <f aca="false">IFERROR(__xludf.dummyfunction("if($T970&lt;&gt;"""",REGEXEXTRACT(SUBSTITUTE ($T970,F$1&amp;"" CE"",""""), F$1&amp;""[\w &amp;]*, (\d+\.\d+)""),"""")
"),"")</f>
        <v/>
      </c>
      <c r="G970" s="3" t="str">
        <f aca="false">IFERROR(__xludf.dummyfunction("if($T970&lt;&gt;"""",REGEXEXTRACT($T970, G$1&amp;""[\w &amp;]*, (\d+\.\d+)""),"""")
"),"")</f>
        <v/>
      </c>
      <c r="H970" s="3"/>
      <c r="I970" s="3" t="str">
        <f aca="false">IFERROR(__xludf.dummyfunction("if($T970&lt;&gt;"""",REGEXEXTRACT(SUBSTITUTE ($T970,I$1&amp;"" CE"",""""), I$1&amp;""[\w &amp;]*, (\d+\.\d+)""),"""")
"),"")</f>
        <v/>
      </c>
      <c r="J970" s="3" t="str">
        <f aca="false">IFERROR(__xludf.dummyfunction("if($T970&lt;&gt;"""",REGEXEXTRACT($T970, J$1&amp;""[\w &amp;]*, (\d+\.\d+)""),"""")
"),"")</f>
        <v/>
      </c>
      <c r="K970" s="3"/>
      <c r="L970" s="3" t="str">
        <f aca="false">IFERROR(__xludf.dummyfunction("if($T970&lt;&gt;"""",REGEXEXTRACT(SUBSTITUTE ($T970,L$1&amp;"" CE"",""""), L$1&amp;""[\w &amp;]*, (\d+\.\d+)""),"""")
"),"")</f>
        <v/>
      </c>
      <c r="M970" s="3" t="str">
        <f aca="false">IFERROR(__xludf.dummyfunction("if($T970&lt;&gt;"""",REGEXEXTRACT($T970, M$1&amp;""[\w &amp;]*, (\d+\.\d+)""),"""")
"),"")</f>
        <v/>
      </c>
      <c r="N970" s="3" t="str">
        <f aca="false">IFERROR(__xludf.dummyfunction("if($T970&lt;&gt;"""",REGEXEXTRACT(SUBSTITUTE ($T970,N$1&amp;"" CE"",""""), N$1&amp;""[\w &amp;]*, (\d+\.\d+)""),"""")
"),"")</f>
        <v/>
      </c>
      <c r="O970" s="3" t="str">
        <f aca="false">IFERROR(__xludf.dummyfunction("if($T970&lt;&gt;"""",REGEXEXTRACT($T970, O$1&amp;""[\w &amp;]*, (\d+\.\d+)""),"""")
"),"")</f>
        <v/>
      </c>
      <c r="P970" s="2"/>
      <c r="Q970" s="2"/>
      <c r="R970" s="2"/>
      <c r="S970" s="2"/>
      <c r="T970" s="5"/>
      <c r="U970" s="5"/>
    </row>
    <row r="971" customFormat="false" ht="15.75" hidden="false" customHeight="false" outlineLevel="0" collapsed="false">
      <c r="A971" s="4"/>
      <c r="B971" s="2"/>
      <c r="C971" s="2"/>
      <c r="D971" s="2"/>
      <c r="E971" s="2"/>
      <c r="F971" s="3" t="str">
        <f aca="false">IFERROR(__xludf.dummyfunction("if($T971&lt;&gt;"""",REGEXEXTRACT(SUBSTITUTE ($T971,F$1&amp;"" CE"",""""), F$1&amp;""[\w &amp;]*, (\d+\.\d+)""),"""")
"),"")</f>
        <v/>
      </c>
      <c r="G971" s="3" t="str">
        <f aca="false">IFERROR(__xludf.dummyfunction("if($T971&lt;&gt;"""",REGEXEXTRACT($T971, G$1&amp;""[\w &amp;]*, (\d+\.\d+)""),"""")
"),"")</f>
        <v/>
      </c>
      <c r="H971" s="3"/>
      <c r="I971" s="3" t="str">
        <f aca="false">IFERROR(__xludf.dummyfunction("if($T971&lt;&gt;"""",REGEXEXTRACT(SUBSTITUTE ($T971,I$1&amp;"" CE"",""""), I$1&amp;""[\w &amp;]*, (\d+\.\d+)""),"""")
"),"")</f>
        <v/>
      </c>
      <c r="J971" s="3" t="str">
        <f aca="false">IFERROR(__xludf.dummyfunction("if($T971&lt;&gt;"""",REGEXEXTRACT($T971, J$1&amp;""[\w &amp;]*, (\d+\.\d+)""),"""")
"),"")</f>
        <v/>
      </c>
      <c r="K971" s="3"/>
      <c r="L971" s="3" t="str">
        <f aca="false">IFERROR(__xludf.dummyfunction("if($T971&lt;&gt;"""",REGEXEXTRACT(SUBSTITUTE ($T971,L$1&amp;"" CE"",""""), L$1&amp;""[\w &amp;]*, (\d+\.\d+)""),"""")
"),"")</f>
        <v/>
      </c>
      <c r="M971" s="3" t="str">
        <f aca="false">IFERROR(__xludf.dummyfunction("if($T971&lt;&gt;"""",REGEXEXTRACT($T971, M$1&amp;""[\w &amp;]*, (\d+\.\d+)""),"""")
"),"")</f>
        <v/>
      </c>
      <c r="N971" s="3" t="str">
        <f aca="false">IFERROR(__xludf.dummyfunction("if($T971&lt;&gt;"""",REGEXEXTRACT(SUBSTITUTE ($T971,N$1&amp;"" CE"",""""), N$1&amp;""[\w &amp;]*, (\d+\.\d+)""),"""")
"),"")</f>
        <v/>
      </c>
      <c r="O971" s="3" t="str">
        <f aca="false">IFERROR(__xludf.dummyfunction("if($T971&lt;&gt;"""",REGEXEXTRACT($T971, O$1&amp;""[\w &amp;]*, (\d+\.\d+)""),"""")
"),"")</f>
        <v/>
      </c>
      <c r="P971" s="2"/>
      <c r="Q971" s="2"/>
      <c r="R971" s="2"/>
      <c r="S971" s="2"/>
      <c r="T971" s="5"/>
      <c r="U971" s="5"/>
    </row>
    <row r="972" customFormat="false" ht="15.75" hidden="false" customHeight="false" outlineLevel="0" collapsed="false">
      <c r="A972" s="4"/>
      <c r="B972" s="2"/>
      <c r="C972" s="2"/>
      <c r="D972" s="2"/>
      <c r="E972" s="2"/>
      <c r="F972" s="3" t="str">
        <f aca="false">IFERROR(__xludf.dummyfunction("if($T972&lt;&gt;"""",REGEXEXTRACT(SUBSTITUTE ($T972,F$1&amp;"" CE"",""""), F$1&amp;""[\w &amp;]*, (\d+\.\d+)""),"""")
"),"")</f>
        <v/>
      </c>
      <c r="G972" s="3" t="str">
        <f aca="false">IFERROR(__xludf.dummyfunction("if($T972&lt;&gt;"""",REGEXEXTRACT($T972, G$1&amp;""[\w &amp;]*, (\d+\.\d+)""),"""")
"),"")</f>
        <v/>
      </c>
      <c r="H972" s="3"/>
      <c r="I972" s="3" t="str">
        <f aca="false">IFERROR(__xludf.dummyfunction("if($T972&lt;&gt;"""",REGEXEXTRACT(SUBSTITUTE ($T972,I$1&amp;"" CE"",""""), I$1&amp;""[\w &amp;]*, (\d+\.\d+)""),"""")
"),"")</f>
        <v/>
      </c>
      <c r="J972" s="3" t="str">
        <f aca="false">IFERROR(__xludf.dummyfunction("if($T972&lt;&gt;"""",REGEXEXTRACT($T972, J$1&amp;""[\w &amp;]*, (\d+\.\d+)""),"""")
"),"")</f>
        <v/>
      </c>
      <c r="K972" s="3"/>
      <c r="L972" s="3" t="str">
        <f aca="false">IFERROR(__xludf.dummyfunction("if($T972&lt;&gt;"""",REGEXEXTRACT(SUBSTITUTE ($T972,L$1&amp;"" CE"",""""), L$1&amp;""[\w &amp;]*, (\d+\.\d+)""),"""")
"),"")</f>
        <v/>
      </c>
      <c r="M972" s="3" t="str">
        <f aca="false">IFERROR(__xludf.dummyfunction("if($T972&lt;&gt;"""",REGEXEXTRACT($T972, M$1&amp;""[\w &amp;]*, (\d+\.\d+)""),"""")
"),"")</f>
        <v/>
      </c>
      <c r="N972" s="3" t="str">
        <f aca="false">IFERROR(__xludf.dummyfunction("if($T972&lt;&gt;"""",REGEXEXTRACT(SUBSTITUTE ($T972,N$1&amp;"" CE"",""""), N$1&amp;""[\w &amp;]*, (\d+\.\d+)""),"""")
"),"")</f>
        <v/>
      </c>
      <c r="O972" s="3" t="str">
        <f aca="false">IFERROR(__xludf.dummyfunction("if($T972&lt;&gt;"""",REGEXEXTRACT($T972, O$1&amp;""[\w &amp;]*, (\d+\.\d+)""),"""")
"),"")</f>
        <v/>
      </c>
      <c r="P972" s="2"/>
      <c r="Q972" s="2"/>
      <c r="R972" s="2"/>
      <c r="S972" s="2"/>
      <c r="T972" s="5"/>
      <c r="U972" s="5"/>
    </row>
    <row r="973" customFormat="false" ht="15.75" hidden="false" customHeight="false" outlineLevel="0" collapsed="false">
      <c r="A973" s="4"/>
      <c r="B973" s="2"/>
      <c r="C973" s="2"/>
      <c r="D973" s="2"/>
      <c r="E973" s="2"/>
      <c r="F973" s="3" t="str">
        <f aca="false">IFERROR(__xludf.dummyfunction("if($T973&lt;&gt;"""",REGEXEXTRACT(SUBSTITUTE ($T973,F$1&amp;"" CE"",""""), F$1&amp;""[\w &amp;]*, (\d+\.\d+)""),"""")
"),"")</f>
        <v/>
      </c>
      <c r="G973" s="3" t="str">
        <f aca="false">IFERROR(__xludf.dummyfunction("if($T973&lt;&gt;"""",REGEXEXTRACT($T973, G$1&amp;""[\w &amp;]*, (\d+\.\d+)""),"""")
"),"")</f>
        <v/>
      </c>
      <c r="H973" s="3"/>
      <c r="I973" s="3" t="str">
        <f aca="false">IFERROR(__xludf.dummyfunction("if($T973&lt;&gt;"""",REGEXEXTRACT(SUBSTITUTE ($T973,I$1&amp;"" CE"",""""), I$1&amp;""[\w &amp;]*, (\d+\.\d+)""),"""")
"),"")</f>
        <v/>
      </c>
      <c r="J973" s="3" t="str">
        <f aca="false">IFERROR(__xludf.dummyfunction("if($T973&lt;&gt;"""",REGEXEXTRACT($T973, J$1&amp;""[\w &amp;]*, (\d+\.\d+)""),"""")
"),"")</f>
        <v/>
      </c>
      <c r="K973" s="3"/>
      <c r="L973" s="3" t="str">
        <f aca="false">IFERROR(__xludf.dummyfunction("if($T973&lt;&gt;"""",REGEXEXTRACT(SUBSTITUTE ($T973,L$1&amp;"" CE"",""""), L$1&amp;""[\w &amp;]*, (\d+\.\d+)""),"""")
"),"")</f>
        <v/>
      </c>
      <c r="M973" s="3" t="str">
        <f aca="false">IFERROR(__xludf.dummyfunction("if($T973&lt;&gt;"""",REGEXEXTRACT($T973, M$1&amp;""[\w &amp;]*, (\d+\.\d+)""),"""")
"),"")</f>
        <v/>
      </c>
      <c r="N973" s="3" t="str">
        <f aca="false">IFERROR(__xludf.dummyfunction("if($T973&lt;&gt;"""",REGEXEXTRACT(SUBSTITUTE ($T973,N$1&amp;"" CE"",""""), N$1&amp;""[\w &amp;]*, (\d+\.\d+)""),"""")
"),"")</f>
        <v/>
      </c>
      <c r="O973" s="3" t="str">
        <f aca="false">IFERROR(__xludf.dummyfunction("if($T973&lt;&gt;"""",REGEXEXTRACT($T973, O$1&amp;""[\w &amp;]*, (\d+\.\d+)""),"""")
"),"")</f>
        <v/>
      </c>
      <c r="P973" s="2"/>
      <c r="Q973" s="2"/>
      <c r="R973" s="2"/>
      <c r="S973" s="2"/>
      <c r="T973" s="5"/>
      <c r="U973" s="5"/>
    </row>
    <row r="974" customFormat="false" ht="15.75" hidden="false" customHeight="false" outlineLevel="0" collapsed="false">
      <c r="A974" s="4"/>
      <c r="B974" s="2"/>
      <c r="C974" s="2"/>
      <c r="D974" s="2"/>
      <c r="E974" s="2"/>
      <c r="F974" s="3" t="str">
        <f aca="false">IFERROR(__xludf.dummyfunction("if($T974&lt;&gt;"""",REGEXEXTRACT(SUBSTITUTE ($T974,F$1&amp;"" CE"",""""), F$1&amp;""[\w &amp;]*, (\d+\.\d+)""),"""")
"),"")</f>
        <v/>
      </c>
      <c r="G974" s="3" t="str">
        <f aca="false">IFERROR(__xludf.dummyfunction("if($T974&lt;&gt;"""",REGEXEXTRACT($T974, G$1&amp;""[\w &amp;]*, (\d+\.\d+)""),"""")
"),"")</f>
        <v/>
      </c>
      <c r="H974" s="3"/>
      <c r="I974" s="3" t="str">
        <f aca="false">IFERROR(__xludf.dummyfunction("if($T974&lt;&gt;"""",REGEXEXTRACT(SUBSTITUTE ($T974,I$1&amp;"" CE"",""""), I$1&amp;""[\w &amp;]*, (\d+\.\d+)""),"""")
"),"")</f>
        <v/>
      </c>
      <c r="J974" s="3" t="str">
        <f aca="false">IFERROR(__xludf.dummyfunction("if($T974&lt;&gt;"""",REGEXEXTRACT($T974, J$1&amp;""[\w &amp;]*, (\d+\.\d+)""),"""")
"),"")</f>
        <v/>
      </c>
      <c r="K974" s="3"/>
      <c r="L974" s="3" t="str">
        <f aca="false">IFERROR(__xludf.dummyfunction("if($T974&lt;&gt;"""",REGEXEXTRACT(SUBSTITUTE ($T974,L$1&amp;"" CE"",""""), L$1&amp;""[\w &amp;]*, (\d+\.\d+)""),"""")
"),"")</f>
        <v/>
      </c>
      <c r="M974" s="3" t="str">
        <f aca="false">IFERROR(__xludf.dummyfunction("if($T974&lt;&gt;"""",REGEXEXTRACT($T974, M$1&amp;""[\w &amp;]*, (\d+\.\d+)""),"""")
"),"")</f>
        <v/>
      </c>
      <c r="N974" s="3" t="str">
        <f aca="false">IFERROR(__xludf.dummyfunction("if($T974&lt;&gt;"""",REGEXEXTRACT(SUBSTITUTE ($T974,N$1&amp;"" CE"",""""), N$1&amp;""[\w &amp;]*, (\d+\.\d+)""),"""")
"),"")</f>
        <v/>
      </c>
      <c r="O974" s="3" t="str">
        <f aca="false">IFERROR(__xludf.dummyfunction("if($T974&lt;&gt;"""",REGEXEXTRACT($T974, O$1&amp;""[\w &amp;]*, (\d+\.\d+)""),"""")
"),"")</f>
        <v/>
      </c>
      <c r="P974" s="2"/>
      <c r="Q974" s="2"/>
      <c r="R974" s="2"/>
      <c r="S974" s="2"/>
      <c r="T974" s="5"/>
      <c r="U974" s="5"/>
    </row>
    <row r="975" customFormat="false" ht="15.75" hidden="false" customHeight="false" outlineLevel="0" collapsed="false">
      <c r="A975" s="4"/>
      <c r="B975" s="2"/>
      <c r="C975" s="2"/>
      <c r="D975" s="2"/>
      <c r="E975" s="2"/>
      <c r="F975" s="3" t="str">
        <f aca="false">IFERROR(__xludf.dummyfunction("if($T975&lt;&gt;"""",REGEXEXTRACT(SUBSTITUTE ($T975,F$1&amp;"" CE"",""""), F$1&amp;""[\w &amp;]*, (\d+\.\d+)""),"""")
"),"")</f>
        <v/>
      </c>
      <c r="G975" s="3" t="str">
        <f aca="false">IFERROR(__xludf.dummyfunction("if($T975&lt;&gt;"""",REGEXEXTRACT($T975, G$1&amp;""[\w &amp;]*, (\d+\.\d+)""),"""")
"),"")</f>
        <v/>
      </c>
      <c r="H975" s="3"/>
      <c r="I975" s="3" t="str">
        <f aca="false">IFERROR(__xludf.dummyfunction("if($T975&lt;&gt;"""",REGEXEXTRACT(SUBSTITUTE ($T975,I$1&amp;"" CE"",""""), I$1&amp;""[\w &amp;]*, (\d+\.\d+)""),"""")
"),"")</f>
        <v/>
      </c>
      <c r="J975" s="3" t="str">
        <f aca="false">IFERROR(__xludf.dummyfunction("if($T975&lt;&gt;"""",REGEXEXTRACT($T975, J$1&amp;""[\w &amp;]*, (\d+\.\d+)""),"""")
"),"")</f>
        <v/>
      </c>
      <c r="K975" s="3"/>
      <c r="L975" s="3" t="str">
        <f aca="false">IFERROR(__xludf.dummyfunction("if($T975&lt;&gt;"""",REGEXEXTRACT(SUBSTITUTE ($T975,L$1&amp;"" CE"",""""), L$1&amp;""[\w &amp;]*, (\d+\.\d+)""),"""")
"),"")</f>
        <v/>
      </c>
      <c r="M975" s="3" t="str">
        <f aca="false">IFERROR(__xludf.dummyfunction("if($T975&lt;&gt;"""",REGEXEXTRACT($T975, M$1&amp;""[\w &amp;]*, (\d+\.\d+)""),"""")
"),"")</f>
        <v/>
      </c>
      <c r="N975" s="3" t="str">
        <f aca="false">IFERROR(__xludf.dummyfunction("if($T975&lt;&gt;"""",REGEXEXTRACT(SUBSTITUTE ($T975,N$1&amp;"" CE"",""""), N$1&amp;""[\w &amp;]*, (\d+\.\d+)""),"""")
"),"")</f>
        <v/>
      </c>
      <c r="O975" s="3" t="str">
        <f aca="false">IFERROR(__xludf.dummyfunction("if($T975&lt;&gt;"""",REGEXEXTRACT($T975, O$1&amp;""[\w &amp;]*, (\d+\.\d+)""),"""")
"),"")</f>
        <v/>
      </c>
      <c r="P975" s="2"/>
      <c r="Q975" s="2"/>
      <c r="R975" s="2"/>
      <c r="S975" s="2"/>
      <c r="T975" s="5"/>
      <c r="U975" s="5"/>
    </row>
    <row r="976" customFormat="false" ht="15.75" hidden="false" customHeight="false" outlineLevel="0" collapsed="false">
      <c r="A976" s="4"/>
      <c r="B976" s="2"/>
      <c r="C976" s="2"/>
      <c r="D976" s="2"/>
      <c r="E976" s="2"/>
      <c r="F976" s="3" t="str">
        <f aca="false">IFERROR(__xludf.dummyfunction("if($T976&lt;&gt;"""",REGEXEXTRACT(SUBSTITUTE ($T976,F$1&amp;"" CE"",""""), F$1&amp;""[\w &amp;]*, (\d+\.\d+)""),"""")
"),"")</f>
        <v/>
      </c>
      <c r="G976" s="3" t="str">
        <f aca="false">IFERROR(__xludf.dummyfunction("if($T976&lt;&gt;"""",REGEXEXTRACT($T976, G$1&amp;""[\w &amp;]*, (\d+\.\d+)""),"""")
"),"")</f>
        <v/>
      </c>
      <c r="H976" s="3"/>
      <c r="I976" s="3" t="str">
        <f aca="false">IFERROR(__xludf.dummyfunction("if($T976&lt;&gt;"""",REGEXEXTRACT(SUBSTITUTE ($T976,I$1&amp;"" CE"",""""), I$1&amp;""[\w &amp;]*, (\d+\.\d+)""),"""")
"),"")</f>
        <v/>
      </c>
      <c r="J976" s="3" t="str">
        <f aca="false">IFERROR(__xludf.dummyfunction("if($T976&lt;&gt;"""",REGEXEXTRACT($T976, J$1&amp;""[\w &amp;]*, (\d+\.\d+)""),"""")
"),"")</f>
        <v/>
      </c>
      <c r="K976" s="3"/>
      <c r="L976" s="3" t="str">
        <f aca="false">IFERROR(__xludf.dummyfunction("if($T976&lt;&gt;"""",REGEXEXTRACT(SUBSTITUTE ($T976,L$1&amp;"" CE"",""""), L$1&amp;""[\w &amp;]*, (\d+\.\d+)""),"""")
"),"")</f>
        <v/>
      </c>
      <c r="M976" s="3" t="str">
        <f aca="false">IFERROR(__xludf.dummyfunction("if($T976&lt;&gt;"""",REGEXEXTRACT($T976, M$1&amp;""[\w &amp;]*, (\d+\.\d+)""),"""")
"),"")</f>
        <v/>
      </c>
      <c r="N976" s="3" t="str">
        <f aca="false">IFERROR(__xludf.dummyfunction("if($T976&lt;&gt;"""",REGEXEXTRACT(SUBSTITUTE ($T976,N$1&amp;"" CE"",""""), N$1&amp;""[\w &amp;]*, (\d+\.\d+)""),"""")
"),"")</f>
        <v/>
      </c>
      <c r="O976" s="3" t="str">
        <f aca="false">IFERROR(__xludf.dummyfunction("if($T976&lt;&gt;"""",REGEXEXTRACT($T976, O$1&amp;""[\w &amp;]*, (\d+\.\d+)""),"""")
"),"")</f>
        <v/>
      </c>
      <c r="P976" s="2"/>
      <c r="Q976" s="2"/>
      <c r="R976" s="2"/>
      <c r="S976" s="2"/>
      <c r="T976" s="5"/>
      <c r="U976" s="5"/>
    </row>
    <row r="977" customFormat="false" ht="15.75" hidden="false" customHeight="false" outlineLevel="0" collapsed="false">
      <c r="A977" s="4"/>
      <c r="B977" s="2"/>
      <c r="C977" s="2"/>
      <c r="D977" s="2"/>
      <c r="E977" s="2"/>
      <c r="F977" s="3" t="str">
        <f aca="false">IFERROR(__xludf.dummyfunction("if($T977&lt;&gt;"""",REGEXEXTRACT(SUBSTITUTE ($T977,F$1&amp;"" CE"",""""), F$1&amp;""[\w &amp;]*, (\d+\.\d+)""),"""")
"),"")</f>
        <v/>
      </c>
      <c r="G977" s="3" t="str">
        <f aca="false">IFERROR(__xludf.dummyfunction("if($T977&lt;&gt;"""",REGEXEXTRACT($T977, G$1&amp;""[\w &amp;]*, (\d+\.\d+)""),"""")
"),"")</f>
        <v/>
      </c>
      <c r="H977" s="3"/>
      <c r="I977" s="3" t="str">
        <f aca="false">IFERROR(__xludf.dummyfunction("if($T977&lt;&gt;"""",REGEXEXTRACT(SUBSTITUTE ($T977,I$1&amp;"" CE"",""""), I$1&amp;""[\w &amp;]*, (\d+\.\d+)""),"""")
"),"")</f>
        <v/>
      </c>
      <c r="J977" s="3" t="str">
        <f aca="false">IFERROR(__xludf.dummyfunction("if($T977&lt;&gt;"""",REGEXEXTRACT($T977, J$1&amp;""[\w &amp;]*, (\d+\.\d+)""),"""")
"),"")</f>
        <v/>
      </c>
      <c r="K977" s="3"/>
      <c r="L977" s="3" t="str">
        <f aca="false">IFERROR(__xludf.dummyfunction("if($T977&lt;&gt;"""",REGEXEXTRACT(SUBSTITUTE ($T977,L$1&amp;"" CE"",""""), L$1&amp;""[\w &amp;]*, (\d+\.\d+)""),"""")
"),"")</f>
        <v/>
      </c>
      <c r="M977" s="3" t="str">
        <f aca="false">IFERROR(__xludf.dummyfunction("if($T977&lt;&gt;"""",REGEXEXTRACT($T977, M$1&amp;""[\w &amp;]*, (\d+\.\d+)""),"""")
"),"")</f>
        <v/>
      </c>
      <c r="N977" s="3" t="str">
        <f aca="false">IFERROR(__xludf.dummyfunction("if($T977&lt;&gt;"""",REGEXEXTRACT(SUBSTITUTE ($T977,N$1&amp;"" CE"",""""), N$1&amp;""[\w &amp;]*, (\d+\.\d+)""),"""")
"),"")</f>
        <v/>
      </c>
      <c r="O977" s="3" t="str">
        <f aca="false">IFERROR(__xludf.dummyfunction("if($T977&lt;&gt;"""",REGEXEXTRACT($T977, O$1&amp;""[\w &amp;]*, (\d+\.\d+)""),"""")
"),"")</f>
        <v/>
      </c>
      <c r="P977" s="2"/>
      <c r="Q977" s="2"/>
      <c r="R977" s="2"/>
      <c r="S977" s="2"/>
      <c r="T977" s="5"/>
      <c r="U977" s="5"/>
    </row>
    <row r="978" customFormat="false" ht="15.75" hidden="false" customHeight="false" outlineLevel="0" collapsed="false">
      <c r="A978" s="4"/>
      <c r="B978" s="2"/>
      <c r="C978" s="2"/>
      <c r="D978" s="2"/>
      <c r="E978" s="2"/>
      <c r="F978" s="3" t="str">
        <f aca="false">IFERROR(__xludf.dummyfunction("if($T978&lt;&gt;"""",REGEXEXTRACT(SUBSTITUTE ($T978,F$1&amp;"" CE"",""""), F$1&amp;""[\w &amp;]*, (\d+\.\d+)""),"""")
"),"")</f>
        <v/>
      </c>
      <c r="G978" s="3" t="str">
        <f aca="false">IFERROR(__xludf.dummyfunction("if($T978&lt;&gt;"""",REGEXEXTRACT($T978, G$1&amp;""[\w &amp;]*, (\d+\.\d+)""),"""")
"),"")</f>
        <v/>
      </c>
      <c r="H978" s="3"/>
      <c r="I978" s="3" t="str">
        <f aca="false">IFERROR(__xludf.dummyfunction("if($T978&lt;&gt;"""",REGEXEXTRACT(SUBSTITUTE ($T978,I$1&amp;"" CE"",""""), I$1&amp;""[\w &amp;]*, (\d+\.\d+)""),"""")
"),"")</f>
        <v/>
      </c>
      <c r="J978" s="3" t="str">
        <f aca="false">IFERROR(__xludf.dummyfunction("if($T978&lt;&gt;"""",REGEXEXTRACT($T978, J$1&amp;""[\w &amp;]*, (\d+\.\d+)""),"""")
"),"")</f>
        <v/>
      </c>
      <c r="K978" s="3"/>
      <c r="L978" s="3" t="str">
        <f aca="false">IFERROR(__xludf.dummyfunction("if($T978&lt;&gt;"""",REGEXEXTRACT(SUBSTITUTE ($T978,L$1&amp;"" CE"",""""), L$1&amp;""[\w &amp;]*, (\d+\.\d+)""),"""")
"),"")</f>
        <v/>
      </c>
      <c r="M978" s="3" t="str">
        <f aca="false">IFERROR(__xludf.dummyfunction("if($T978&lt;&gt;"""",REGEXEXTRACT($T978, M$1&amp;""[\w &amp;]*, (\d+\.\d+)""),"""")
"),"")</f>
        <v/>
      </c>
      <c r="N978" s="3" t="str">
        <f aca="false">IFERROR(__xludf.dummyfunction("if($T978&lt;&gt;"""",REGEXEXTRACT(SUBSTITUTE ($T978,N$1&amp;"" CE"",""""), N$1&amp;""[\w &amp;]*, (\d+\.\d+)""),"""")
"),"")</f>
        <v/>
      </c>
      <c r="O978" s="3" t="str">
        <f aca="false">IFERROR(__xludf.dummyfunction("if($T978&lt;&gt;"""",REGEXEXTRACT($T978, O$1&amp;""[\w &amp;]*, (\d+\.\d+)""),"""")
"),"")</f>
        <v/>
      </c>
      <c r="P978" s="2"/>
      <c r="Q978" s="2"/>
      <c r="R978" s="2"/>
      <c r="S978" s="2"/>
      <c r="T978" s="5"/>
      <c r="U978" s="5"/>
    </row>
    <row r="979" customFormat="false" ht="15.75" hidden="false" customHeight="false" outlineLevel="0" collapsed="false">
      <c r="A979" s="4"/>
      <c r="B979" s="2"/>
      <c r="C979" s="2"/>
      <c r="D979" s="2"/>
      <c r="E979" s="2"/>
      <c r="F979" s="3" t="str">
        <f aca="false">IFERROR(__xludf.dummyfunction("if($T979&lt;&gt;"""",REGEXEXTRACT(SUBSTITUTE ($T979,F$1&amp;"" CE"",""""), F$1&amp;""[\w &amp;]*, (\d+\.\d+)""),"""")
"),"")</f>
        <v/>
      </c>
      <c r="G979" s="3" t="str">
        <f aca="false">IFERROR(__xludf.dummyfunction("if($T979&lt;&gt;"""",REGEXEXTRACT($T979, G$1&amp;""[\w &amp;]*, (\d+\.\d+)""),"""")
"),"")</f>
        <v/>
      </c>
      <c r="H979" s="3"/>
      <c r="I979" s="3" t="str">
        <f aca="false">IFERROR(__xludf.dummyfunction("if($T979&lt;&gt;"""",REGEXEXTRACT(SUBSTITUTE ($T979,I$1&amp;"" CE"",""""), I$1&amp;""[\w &amp;]*, (\d+\.\d+)""),"""")
"),"")</f>
        <v/>
      </c>
      <c r="J979" s="3" t="str">
        <f aca="false">IFERROR(__xludf.dummyfunction("if($T979&lt;&gt;"""",REGEXEXTRACT($T979, J$1&amp;""[\w &amp;]*, (\d+\.\d+)""),"""")
"),"")</f>
        <v/>
      </c>
      <c r="K979" s="3"/>
      <c r="L979" s="3" t="str">
        <f aca="false">IFERROR(__xludf.dummyfunction("if($T979&lt;&gt;"""",REGEXEXTRACT(SUBSTITUTE ($T979,L$1&amp;"" CE"",""""), L$1&amp;""[\w &amp;]*, (\d+\.\d+)""),"""")
"),"")</f>
        <v/>
      </c>
      <c r="M979" s="3" t="str">
        <f aca="false">IFERROR(__xludf.dummyfunction("if($T979&lt;&gt;"""",REGEXEXTRACT($T979, M$1&amp;""[\w &amp;]*, (\d+\.\d+)""),"""")
"),"")</f>
        <v/>
      </c>
      <c r="N979" s="3" t="str">
        <f aca="false">IFERROR(__xludf.dummyfunction("if($T979&lt;&gt;"""",REGEXEXTRACT(SUBSTITUTE ($T979,N$1&amp;"" CE"",""""), N$1&amp;""[\w &amp;]*, (\d+\.\d+)""),"""")
"),"")</f>
        <v/>
      </c>
      <c r="O979" s="3" t="str">
        <f aca="false">IFERROR(__xludf.dummyfunction("if($T979&lt;&gt;"""",REGEXEXTRACT($T979, O$1&amp;""[\w &amp;]*, (\d+\.\d+)""),"""")
"),"")</f>
        <v/>
      </c>
      <c r="P979" s="2"/>
      <c r="Q979" s="2"/>
      <c r="R979" s="2"/>
      <c r="S979" s="2"/>
      <c r="T979" s="5"/>
      <c r="U979" s="5"/>
    </row>
    <row r="980" customFormat="false" ht="15.75" hidden="false" customHeight="false" outlineLevel="0" collapsed="false">
      <c r="A980" s="4"/>
      <c r="B980" s="2"/>
      <c r="C980" s="2"/>
      <c r="D980" s="2"/>
      <c r="E980" s="2"/>
      <c r="F980" s="3" t="str">
        <f aca="false">IFERROR(__xludf.dummyfunction("if($T980&lt;&gt;"""",REGEXEXTRACT(SUBSTITUTE ($T980,F$1&amp;"" CE"",""""), F$1&amp;""[\w &amp;]*, (\d+\.\d+)""),"""")
"),"")</f>
        <v/>
      </c>
      <c r="G980" s="3" t="str">
        <f aca="false">IFERROR(__xludf.dummyfunction("if($T980&lt;&gt;"""",REGEXEXTRACT($T980, G$1&amp;""[\w &amp;]*, (\d+\.\d+)""),"""")
"),"")</f>
        <v/>
      </c>
      <c r="H980" s="3"/>
      <c r="I980" s="3" t="str">
        <f aca="false">IFERROR(__xludf.dummyfunction("if($T980&lt;&gt;"""",REGEXEXTRACT(SUBSTITUTE ($T980,I$1&amp;"" CE"",""""), I$1&amp;""[\w &amp;]*, (\d+\.\d+)""),"""")
"),"")</f>
        <v/>
      </c>
      <c r="J980" s="3" t="str">
        <f aca="false">IFERROR(__xludf.dummyfunction("if($T980&lt;&gt;"""",REGEXEXTRACT($T980, J$1&amp;""[\w &amp;]*, (\d+\.\d+)""),"""")
"),"")</f>
        <v/>
      </c>
      <c r="K980" s="3"/>
      <c r="L980" s="3" t="str">
        <f aca="false">IFERROR(__xludf.dummyfunction("if($T980&lt;&gt;"""",REGEXEXTRACT(SUBSTITUTE ($T980,L$1&amp;"" CE"",""""), L$1&amp;""[\w &amp;]*, (\d+\.\d+)""),"""")
"),"")</f>
        <v/>
      </c>
      <c r="M980" s="3" t="str">
        <f aca="false">IFERROR(__xludf.dummyfunction("if($T980&lt;&gt;"""",REGEXEXTRACT($T980, M$1&amp;""[\w &amp;]*, (\d+\.\d+)""),"""")
"),"")</f>
        <v/>
      </c>
      <c r="N980" s="3" t="str">
        <f aca="false">IFERROR(__xludf.dummyfunction("if($T980&lt;&gt;"""",REGEXEXTRACT(SUBSTITUTE ($T980,N$1&amp;"" CE"",""""), N$1&amp;""[\w &amp;]*, (\d+\.\d+)""),"""")
"),"")</f>
        <v/>
      </c>
      <c r="O980" s="3" t="str">
        <f aca="false">IFERROR(__xludf.dummyfunction("if($T980&lt;&gt;"""",REGEXEXTRACT($T980, O$1&amp;""[\w &amp;]*, (\d+\.\d+)""),"""")
"),"")</f>
        <v/>
      </c>
      <c r="P980" s="2"/>
      <c r="Q980" s="2"/>
      <c r="R980" s="2"/>
      <c r="S980" s="2"/>
      <c r="T980" s="5"/>
      <c r="U980" s="5"/>
    </row>
    <row r="981" customFormat="false" ht="15.75" hidden="false" customHeight="false" outlineLevel="0" collapsed="false">
      <c r="A981" s="4"/>
      <c r="B981" s="2"/>
      <c r="C981" s="2"/>
      <c r="D981" s="2"/>
      <c r="E981" s="2"/>
      <c r="F981" s="3" t="str">
        <f aca="false">IFERROR(__xludf.dummyfunction("if($T981&lt;&gt;"""",REGEXEXTRACT(SUBSTITUTE ($T981,F$1&amp;"" CE"",""""), F$1&amp;""[\w &amp;]*, (\d+\.\d+)""),"""")
"),"")</f>
        <v/>
      </c>
      <c r="G981" s="3" t="str">
        <f aca="false">IFERROR(__xludf.dummyfunction("if($T981&lt;&gt;"""",REGEXEXTRACT($T981, G$1&amp;""[\w &amp;]*, (\d+\.\d+)""),"""")
"),"")</f>
        <v/>
      </c>
      <c r="H981" s="3"/>
      <c r="I981" s="3" t="str">
        <f aca="false">IFERROR(__xludf.dummyfunction("if($T981&lt;&gt;"""",REGEXEXTRACT(SUBSTITUTE ($T981,I$1&amp;"" CE"",""""), I$1&amp;""[\w &amp;]*, (\d+\.\d+)""),"""")
"),"")</f>
        <v/>
      </c>
      <c r="J981" s="3" t="str">
        <f aca="false">IFERROR(__xludf.dummyfunction("if($T981&lt;&gt;"""",REGEXEXTRACT($T981, J$1&amp;""[\w &amp;]*, (\d+\.\d+)""),"""")
"),"")</f>
        <v/>
      </c>
      <c r="K981" s="3"/>
      <c r="L981" s="3" t="str">
        <f aca="false">IFERROR(__xludf.dummyfunction("if($T981&lt;&gt;"""",REGEXEXTRACT(SUBSTITUTE ($T981,L$1&amp;"" CE"",""""), L$1&amp;""[\w &amp;]*, (\d+\.\d+)""),"""")
"),"")</f>
        <v/>
      </c>
      <c r="M981" s="3" t="str">
        <f aca="false">IFERROR(__xludf.dummyfunction("if($T981&lt;&gt;"""",REGEXEXTRACT($T981, M$1&amp;""[\w &amp;]*, (\d+\.\d+)""),"""")
"),"")</f>
        <v/>
      </c>
      <c r="N981" s="3" t="str">
        <f aca="false">IFERROR(__xludf.dummyfunction("if($T981&lt;&gt;"""",REGEXEXTRACT(SUBSTITUTE ($T981,N$1&amp;"" CE"",""""), N$1&amp;""[\w &amp;]*, (\d+\.\d+)""),"""")
"),"")</f>
        <v/>
      </c>
      <c r="O981" s="3" t="str">
        <f aca="false">IFERROR(__xludf.dummyfunction("if($T981&lt;&gt;"""",REGEXEXTRACT($T981, O$1&amp;""[\w &amp;]*, (\d+\.\d+)""),"""")
"),"")</f>
        <v/>
      </c>
      <c r="P981" s="2"/>
      <c r="Q981" s="2"/>
      <c r="R981" s="2"/>
      <c r="S981" s="2"/>
      <c r="T981" s="5"/>
      <c r="U981" s="5"/>
    </row>
    <row r="982" customFormat="false" ht="15.75" hidden="false" customHeight="false" outlineLevel="0" collapsed="false">
      <c r="A982" s="4"/>
      <c r="B982" s="2"/>
      <c r="C982" s="2"/>
      <c r="D982" s="2"/>
      <c r="E982" s="2"/>
      <c r="F982" s="3" t="str">
        <f aca="false">IFERROR(__xludf.dummyfunction("if($T982&lt;&gt;"""",REGEXEXTRACT(SUBSTITUTE ($T982,F$1&amp;"" CE"",""""), F$1&amp;""[\w &amp;]*, (\d+\.\d+)""),"""")
"),"")</f>
        <v/>
      </c>
      <c r="G982" s="3" t="str">
        <f aca="false">IFERROR(__xludf.dummyfunction("if($T982&lt;&gt;"""",REGEXEXTRACT($T982, G$1&amp;""[\w &amp;]*, (\d+\.\d+)""),"""")
"),"")</f>
        <v/>
      </c>
      <c r="H982" s="3"/>
      <c r="I982" s="3" t="str">
        <f aca="false">IFERROR(__xludf.dummyfunction("if($T982&lt;&gt;"""",REGEXEXTRACT(SUBSTITUTE ($T982,I$1&amp;"" CE"",""""), I$1&amp;""[\w &amp;]*, (\d+\.\d+)""),"""")
"),"")</f>
        <v/>
      </c>
      <c r="J982" s="3" t="str">
        <f aca="false">IFERROR(__xludf.dummyfunction("if($T982&lt;&gt;"""",REGEXEXTRACT($T982, J$1&amp;""[\w &amp;]*, (\d+\.\d+)""),"""")
"),"")</f>
        <v/>
      </c>
      <c r="K982" s="3"/>
      <c r="L982" s="3" t="str">
        <f aca="false">IFERROR(__xludf.dummyfunction("if($T982&lt;&gt;"""",REGEXEXTRACT(SUBSTITUTE ($T982,L$1&amp;"" CE"",""""), L$1&amp;""[\w &amp;]*, (\d+\.\d+)""),"""")
"),"")</f>
        <v/>
      </c>
      <c r="M982" s="3" t="str">
        <f aca="false">IFERROR(__xludf.dummyfunction("if($T982&lt;&gt;"""",REGEXEXTRACT($T982, M$1&amp;""[\w &amp;]*, (\d+\.\d+)""),"""")
"),"")</f>
        <v/>
      </c>
      <c r="N982" s="3" t="str">
        <f aca="false">IFERROR(__xludf.dummyfunction("if($T982&lt;&gt;"""",REGEXEXTRACT(SUBSTITUTE ($T982,N$1&amp;"" CE"",""""), N$1&amp;""[\w &amp;]*, (\d+\.\d+)""),"""")
"),"")</f>
        <v/>
      </c>
      <c r="O982" s="3" t="str">
        <f aca="false">IFERROR(__xludf.dummyfunction("if($T982&lt;&gt;"""",REGEXEXTRACT($T982, O$1&amp;""[\w &amp;]*, (\d+\.\d+)""),"""")
"),"")</f>
        <v/>
      </c>
      <c r="P982" s="2"/>
      <c r="Q982" s="2"/>
      <c r="R982" s="2"/>
      <c r="S982" s="2"/>
      <c r="T982" s="5"/>
      <c r="U982" s="5"/>
    </row>
    <row r="983" customFormat="false" ht="15.75" hidden="false" customHeight="false" outlineLevel="0" collapsed="false">
      <c r="A983" s="4"/>
      <c r="B983" s="2"/>
      <c r="C983" s="2"/>
      <c r="D983" s="2"/>
      <c r="E983" s="2"/>
      <c r="F983" s="3" t="str">
        <f aca="false">IFERROR(__xludf.dummyfunction("if($T983&lt;&gt;"""",REGEXEXTRACT(SUBSTITUTE ($T983,F$1&amp;"" CE"",""""), F$1&amp;""[\w &amp;]*, (\d+\.\d+)""),"""")
"),"")</f>
        <v/>
      </c>
      <c r="G983" s="3" t="str">
        <f aca="false">IFERROR(__xludf.dummyfunction("if($T983&lt;&gt;"""",REGEXEXTRACT($T983, G$1&amp;""[\w &amp;]*, (\d+\.\d+)""),"""")
"),"")</f>
        <v/>
      </c>
      <c r="H983" s="3"/>
      <c r="I983" s="3" t="str">
        <f aca="false">IFERROR(__xludf.dummyfunction("if($T983&lt;&gt;"""",REGEXEXTRACT(SUBSTITUTE ($T983,I$1&amp;"" CE"",""""), I$1&amp;""[\w &amp;]*, (\d+\.\d+)""),"""")
"),"")</f>
        <v/>
      </c>
      <c r="J983" s="3" t="str">
        <f aca="false">IFERROR(__xludf.dummyfunction("if($T983&lt;&gt;"""",REGEXEXTRACT($T983, J$1&amp;""[\w &amp;]*, (\d+\.\d+)""),"""")
"),"")</f>
        <v/>
      </c>
      <c r="K983" s="3"/>
      <c r="L983" s="3" t="str">
        <f aca="false">IFERROR(__xludf.dummyfunction("if($T983&lt;&gt;"""",REGEXEXTRACT(SUBSTITUTE ($T983,L$1&amp;"" CE"",""""), L$1&amp;""[\w &amp;]*, (\d+\.\d+)""),"""")
"),"")</f>
        <v/>
      </c>
      <c r="M983" s="3" t="str">
        <f aca="false">IFERROR(__xludf.dummyfunction("if($T983&lt;&gt;"""",REGEXEXTRACT($T983, M$1&amp;""[\w &amp;]*, (\d+\.\d+)""),"""")
"),"")</f>
        <v/>
      </c>
      <c r="N983" s="3" t="str">
        <f aca="false">IFERROR(__xludf.dummyfunction("if($T983&lt;&gt;"""",REGEXEXTRACT(SUBSTITUTE ($T983,N$1&amp;"" CE"",""""), N$1&amp;""[\w &amp;]*, (\d+\.\d+)""),"""")
"),"")</f>
        <v/>
      </c>
      <c r="O983" s="3" t="str">
        <f aca="false">IFERROR(__xludf.dummyfunction("if($T983&lt;&gt;"""",REGEXEXTRACT($T983, O$1&amp;""[\w &amp;]*, (\d+\.\d+)""),"""")
"),"")</f>
        <v/>
      </c>
      <c r="P983" s="2"/>
      <c r="Q983" s="2"/>
      <c r="R983" s="2"/>
      <c r="S983" s="2"/>
      <c r="T983" s="5"/>
      <c r="U983" s="5"/>
    </row>
    <row r="984" customFormat="false" ht="15.75" hidden="false" customHeight="false" outlineLevel="0" collapsed="false">
      <c r="A984" s="4"/>
      <c r="B984" s="2"/>
      <c r="C984" s="2"/>
      <c r="D984" s="2"/>
      <c r="E984" s="2"/>
      <c r="F984" s="3" t="str">
        <f aca="false">IFERROR(__xludf.dummyfunction("if($T984&lt;&gt;"""",REGEXEXTRACT(SUBSTITUTE ($T984,F$1&amp;"" CE"",""""), F$1&amp;""[\w &amp;]*, (\d+\.\d+)""),"""")
"),"")</f>
        <v/>
      </c>
      <c r="G984" s="3" t="str">
        <f aca="false">IFERROR(__xludf.dummyfunction("if($T984&lt;&gt;"""",REGEXEXTRACT($T984, G$1&amp;""[\w &amp;]*, (\d+\.\d+)""),"""")
"),"")</f>
        <v/>
      </c>
      <c r="H984" s="3"/>
      <c r="I984" s="3" t="str">
        <f aca="false">IFERROR(__xludf.dummyfunction("if($T984&lt;&gt;"""",REGEXEXTRACT(SUBSTITUTE ($T984,I$1&amp;"" CE"",""""), I$1&amp;""[\w &amp;]*, (\d+\.\d+)""),"""")
"),"")</f>
        <v/>
      </c>
      <c r="J984" s="3" t="str">
        <f aca="false">IFERROR(__xludf.dummyfunction("if($T984&lt;&gt;"""",REGEXEXTRACT($T984, J$1&amp;""[\w &amp;]*, (\d+\.\d+)""),"""")
"),"")</f>
        <v/>
      </c>
      <c r="K984" s="3"/>
      <c r="L984" s="3" t="str">
        <f aca="false">IFERROR(__xludf.dummyfunction("if($T984&lt;&gt;"""",REGEXEXTRACT(SUBSTITUTE ($T984,L$1&amp;"" CE"",""""), L$1&amp;""[\w &amp;]*, (\d+\.\d+)""),"""")
"),"")</f>
        <v/>
      </c>
      <c r="M984" s="3" t="str">
        <f aca="false">IFERROR(__xludf.dummyfunction("if($T984&lt;&gt;"""",REGEXEXTRACT($T984, M$1&amp;""[\w &amp;]*, (\d+\.\d+)""),"""")
"),"")</f>
        <v/>
      </c>
      <c r="N984" s="3" t="str">
        <f aca="false">IFERROR(__xludf.dummyfunction("if($T984&lt;&gt;"""",REGEXEXTRACT(SUBSTITUTE ($T984,N$1&amp;"" CE"",""""), N$1&amp;""[\w &amp;]*, (\d+\.\d+)""),"""")
"),"")</f>
        <v/>
      </c>
      <c r="O984" s="3" t="str">
        <f aca="false">IFERROR(__xludf.dummyfunction("if($T984&lt;&gt;"""",REGEXEXTRACT($T984, O$1&amp;""[\w &amp;]*, (\d+\.\d+)""),"""")
"),"")</f>
        <v/>
      </c>
      <c r="P984" s="2"/>
      <c r="Q984" s="2"/>
      <c r="R984" s="2"/>
      <c r="S984" s="2"/>
      <c r="T984" s="5"/>
      <c r="U984" s="5"/>
    </row>
    <row r="985" customFormat="false" ht="15.75" hidden="false" customHeight="false" outlineLevel="0" collapsed="false">
      <c r="A985" s="4"/>
      <c r="B985" s="2"/>
      <c r="C985" s="2"/>
      <c r="D985" s="2"/>
      <c r="E985" s="2"/>
      <c r="F985" s="3" t="str">
        <f aca="false">IFERROR(__xludf.dummyfunction("if($T985&lt;&gt;"""",REGEXEXTRACT(SUBSTITUTE ($T985,F$1&amp;"" CE"",""""), F$1&amp;""[\w &amp;]*, (\d+\.\d+)""),"""")
"),"")</f>
        <v/>
      </c>
      <c r="G985" s="3" t="str">
        <f aca="false">IFERROR(__xludf.dummyfunction("if($T985&lt;&gt;"""",REGEXEXTRACT($T985, G$1&amp;""[\w &amp;]*, (\d+\.\d+)""),"""")
"),"")</f>
        <v/>
      </c>
      <c r="H985" s="3"/>
      <c r="I985" s="3" t="str">
        <f aca="false">IFERROR(__xludf.dummyfunction("if($T985&lt;&gt;"""",REGEXEXTRACT(SUBSTITUTE ($T985,I$1&amp;"" CE"",""""), I$1&amp;""[\w &amp;]*, (\d+\.\d+)""),"""")
"),"")</f>
        <v/>
      </c>
      <c r="J985" s="3" t="str">
        <f aca="false">IFERROR(__xludf.dummyfunction("if($T985&lt;&gt;"""",REGEXEXTRACT($T985, J$1&amp;""[\w &amp;]*, (\d+\.\d+)""),"""")
"),"")</f>
        <v/>
      </c>
      <c r="K985" s="3"/>
      <c r="L985" s="3" t="str">
        <f aca="false">IFERROR(__xludf.dummyfunction("if($T985&lt;&gt;"""",REGEXEXTRACT(SUBSTITUTE ($T985,L$1&amp;"" CE"",""""), L$1&amp;""[\w &amp;]*, (\d+\.\d+)""),"""")
"),"")</f>
        <v/>
      </c>
      <c r="M985" s="3" t="str">
        <f aca="false">IFERROR(__xludf.dummyfunction("if($T985&lt;&gt;"""",REGEXEXTRACT($T985, M$1&amp;""[\w &amp;]*, (\d+\.\d+)""),"""")
"),"")</f>
        <v/>
      </c>
      <c r="N985" s="3" t="str">
        <f aca="false">IFERROR(__xludf.dummyfunction("if($T985&lt;&gt;"""",REGEXEXTRACT(SUBSTITUTE ($T985,N$1&amp;"" CE"",""""), N$1&amp;""[\w &amp;]*, (\d+\.\d+)""),"""")
"),"")</f>
        <v/>
      </c>
      <c r="O985" s="3" t="str">
        <f aca="false">IFERROR(__xludf.dummyfunction("if($T985&lt;&gt;"""",REGEXEXTRACT($T985, O$1&amp;""[\w &amp;]*, (\d+\.\d+)""),"""")
"),"")</f>
        <v/>
      </c>
      <c r="P985" s="2"/>
      <c r="Q985" s="2"/>
      <c r="R985" s="2"/>
      <c r="S985" s="2"/>
      <c r="T985" s="5"/>
      <c r="U985" s="5"/>
    </row>
    <row r="986" customFormat="false" ht="15.75" hidden="false" customHeight="false" outlineLevel="0" collapsed="false">
      <c r="A986" s="4"/>
      <c r="B986" s="2"/>
      <c r="C986" s="2"/>
      <c r="D986" s="2"/>
      <c r="E986" s="2"/>
      <c r="F986" s="3" t="str">
        <f aca="false">IFERROR(__xludf.dummyfunction("if($T986&lt;&gt;"""",REGEXEXTRACT(SUBSTITUTE ($T986,F$1&amp;"" CE"",""""), F$1&amp;""[\w &amp;]*, (\d+\.\d+)""),"""")
"),"")</f>
        <v/>
      </c>
      <c r="G986" s="3" t="str">
        <f aca="false">IFERROR(__xludf.dummyfunction("if($T986&lt;&gt;"""",REGEXEXTRACT($T986, G$1&amp;""[\w &amp;]*, (\d+\.\d+)""),"""")
"),"")</f>
        <v/>
      </c>
      <c r="H986" s="3"/>
      <c r="I986" s="3" t="str">
        <f aca="false">IFERROR(__xludf.dummyfunction("if($T986&lt;&gt;"""",REGEXEXTRACT(SUBSTITUTE ($T986,I$1&amp;"" CE"",""""), I$1&amp;""[\w &amp;]*, (\d+\.\d+)""),"""")
"),"")</f>
        <v/>
      </c>
      <c r="J986" s="3" t="str">
        <f aca="false">IFERROR(__xludf.dummyfunction("if($T986&lt;&gt;"""",REGEXEXTRACT($T986, J$1&amp;""[\w &amp;]*, (\d+\.\d+)""),"""")
"),"")</f>
        <v/>
      </c>
      <c r="K986" s="3"/>
      <c r="L986" s="3" t="str">
        <f aca="false">IFERROR(__xludf.dummyfunction("if($T986&lt;&gt;"""",REGEXEXTRACT(SUBSTITUTE ($T986,L$1&amp;"" CE"",""""), L$1&amp;""[\w &amp;]*, (\d+\.\d+)""),"""")
"),"")</f>
        <v/>
      </c>
      <c r="M986" s="3" t="str">
        <f aca="false">IFERROR(__xludf.dummyfunction("if($T986&lt;&gt;"""",REGEXEXTRACT($T986, M$1&amp;""[\w &amp;]*, (\d+\.\d+)""),"""")
"),"")</f>
        <v/>
      </c>
      <c r="N986" s="3" t="str">
        <f aca="false">IFERROR(__xludf.dummyfunction("if($T986&lt;&gt;"""",REGEXEXTRACT(SUBSTITUTE ($T986,N$1&amp;"" CE"",""""), N$1&amp;""[\w &amp;]*, (\d+\.\d+)""),"""")
"),"")</f>
        <v/>
      </c>
      <c r="O986" s="3" t="str">
        <f aca="false">IFERROR(__xludf.dummyfunction("if($T986&lt;&gt;"""",REGEXEXTRACT($T986, O$1&amp;""[\w &amp;]*, (\d+\.\d+)""),"""")
"),"")</f>
        <v/>
      </c>
      <c r="P986" s="2"/>
      <c r="Q986" s="2"/>
      <c r="R986" s="2"/>
      <c r="S986" s="2"/>
      <c r="T986" s="5"/>
      <c r="U986" s="5"/>
    </row>
    <row r="987" customFormat="false" ht="15.75" hidden="false" customHeight="false" outlineLevel="0" collapsed="false">
      <c r="A987" s="4"/>
      <c r="B987" s="2"/>
      <c r="C987" s="2"/>
      <c r="D987" s="2"/>
      <c r="E987" s="2"/>
      <c r="F987" s="3" t="str">
        <f aca="false">IFERROR(__xludf.dummyfunction("if($T987&lt;&gt;"""",REGEXEXTRACT(SUBSTITUTE ($T987,F$1&amp;"" CE"",""""), F$1&amp;""[\w &amp;]*, (\d+\.\d+)""),"""")
"),"")</f>
        <v/>
      </c>
      <c r="G987" s="3" t="str">
        <f aca="false">IFERROR(__xludf.dummyfunction("if($T987&lt;&gt;"""",REGEXEXTRACT($T987, G$1&amp;""[\w &amp;]*, (\d+\.\d+)""),"""")
"),"")</f>
        <v/>
      </c>
      <c r="H987" s="3"/>
      <c r="I987" s="3" t="str">
        <f aca="false">IFERROR(__xludf.dummyfunction("if($T987&lt;&gt;"""",REGEXEXTRACT(SUBSTITUTE ($T987,I$1&amp;"" CE"",""""), I$1&amp;""[\w &amp;]*, (\d+\.\d+)""),"""")
"),"")</f>
        <v/>
      </c>
      <c r="J987" s="3" t="str">
        <f aca="false">IFERROR(__xludf.dummyfunction("if($T987&lt;&gt;"""",REGEXEXTRACT($T987, J$1&amp;""[\w &amp;]*, (\d+\.\d+)""),"""")
"),"")</f>
        <v/>
      </c>
      <c r="K987" s="3"/>
      <c r="L987" s="3" t="str">
        <f aca="false">IFERROR(__xludf.dummyfunction("if($T987&lt;&gt;"""",REGEXEXTRACT(SUBSTITUTE ($T987,L$1&amp;"" CE"",""""), L$1&amp;""[\w &amp;]*, (\d+\.\d+)""),"""")
"),"")</f>
        <v/>
      </c>
      <c r="M987" s="3" t="str">
        <f aca="false">IFERROR(__xludf.dummyfunction("if($T987&lt;&gt;"""",REGEXEXTRACT($T987, M$1&amp;""[\w &amp;]*, (\d+\.\d+)""),"""")
"),"")</f>
        <v/>
      </c>
      <c r="N987" s="3" t="str">
        <f aca="false">IFERROR(__xludf.dummyfunction("if($T987&lt;&gt;"""",REGEXEXTRACT(SUBSTITUTE ($T987,N$1&amp;"" CE"",""""), N$1&amp;""[\w &amp;]*, (\d+\.\d+)""),"""")
"),"")</f>
        <v/>
      </c>
      <c r="O987" s="3" t="str">
        <f aca="false">IFERROR(__xludf.dummyfunction("if($T987&lt;&gt;"""",REGEXEXTRACT($T987, O$1&amp;""[\w &amp;]*, (\d+\.\d+)""),"""")
"),"")</f>
        <v/>
      </c>
      <c r="P987" s="2"/>
      <c r="Q987" s="2"/>
      <c r="R987" s="2"/>
      <c r="S987" s="2"/>
      <c r="T987" s="5"/>
      <c r="U987" s="5"/>
    </row>
    <row r="988" customFormat="false" ht="15.75" hidden="false" customHeight="false" outlineLevel="0" collapsed="false">
      <c r="A988" s="4"/>
      <c r="B988" s="2"/>
      <c r="C988" s="2"/>
      <c r="D988" s="2"/>
      <c r="E988" s="2"/>
      <c r="F988" s="3" t="str">
        <f aca="false">IFERROR(__xludf.dummyfunction("if($T988&lt;&gt;"""",REGEXEXTRACT(SUBSTITUTE ($T988,F$1&amp;"" CE"",""""), F$1&amp;""[\w &amp;]*, (\d+\.\d+)""),"""")
"),"")</f>
        <v/>
      </c>
      <c r="G988" s="3" t="str">
        <f aca="false">IFERROR(__xludf.dummyfunction("if($T988&lt;&gt;"""",REGEXEXTRACT($T988, G$1&amp;""[\w &amp;]*, (\d+\.\d+)""),"""")
"),"")</f>
        <v/>
      </c>
      <c r="H988" s="3"/>
      <c r="I988" s="3" t="str">
        <f aca="false">IFERROR(__xludf.dummyfunction("if($T988&lt;&gt;"""",REGEXEXTRACT(SUBSTITUTE ($T988,I$1&amp;"" CE"",""""), I$1&amp;""[\w &amp;]*, (\d+\.\d+)""),"""")
"),"")</f>
        <v/>
      </c>
      <c r="J988" s="3" t="str">
        <f aca="false">IFERROR(__xludf.dummyfunction("if($T988&lt;&gt;"""",REGEXEXTRACT($T988, J$1&amp;""[\w &amp;]*, (\d+\.\d+)""),"""")
"),"")</f>
        <v/>
      </c>
      <c r="K988" s="3"/>
      <c r="L988" s="3" t="str">
        <f aca="false">IFERROR(__xludf.dummyfunction("if($T988&lt;&gt;"""",REGEXEXTRACT(SUBSTITUTE ($T988,L$1&amp;"" CE"",""""), L$1&amp;""[\w &amp;]*, (\d+\.\d+)""),"""")
"),"")</f>
        <v/>
      </c>
      <c r="M988" s="3" t="str">
        <f aca="false">IFERROR(__xludf.dummyfunction("if($T988&lt;&gt;"""",REGEXEXTRACT($T988, M$1&amp;""[\w &amp;]*, (\d+\.\d+)""),"""")
"),"")</f>
        <v/>
      </c>
      <c r="N988" s="3" t="str">
        <f aca="false">IFERROR(__xludf.dummyfunction("if($T988&lt;&gt;"""",REGEXEXTRACT(SUBSTITUTE ($T988,N$1&amp;"" CE"",""""), N$1&amp;""[\w &amp;]*, (\d+\.\d+)""),"""")
"),"")</f>
        <v/>
      </c>
      <c r="O988" s="3" t="str">
        <f aca="false">IFERROR(__xludf.dummyfunction("if($T988&lt;&gt;"""",REGEXEXTRACT($T988, O$1&amp;""[\w &amp;]*, (\d+\.\d+)""),"""")
"),"")</f>
        <v/>
      </c>
      <c r="P988" s="2"/>
      <c r="Q988" s="2"/>
      <c r="R988" s="2"/>
      <c r="S988" s="2"/>
      <c r="T988" s="5"/>
      <c r="U988" s="5"/>
    </row>
    <row r="989" customFormat="false" ht="15.75" hidden="false" customHeight="false" outlineLevel="0" collapsed="false">
      <c r="A989" s="4"/>
      <c r="B989" s="2"/>
      <c r="C989" s="2"/>
      <c r="D989" s="2"/>
      <c r="E989" s="2"/>
      <c r="F989" s="3" t="str">
        <f aca="false">IFERROR(__xludf.dummyfunction("if($T989&lt;&gt;"""",REGEXEXTRACT(SUBSTITUTE ($T989,F$1&amp;"" CE"",""""), F$1&amp;""[\w &amp;]*, (\d+\.\d+)""),"""")
"),"")</f>
        <v/>
      </c>
      <c r="G989" s="3" t="str">
        <f aca="false">IFERROR(__xludf.dummyfunction("if($T989&lt;&gt;"""",REGEXEXTRACT($T989, G$1&amp;""[\w &amp;]*, (\d+\.\d+)""),"""")
"),"")</f>
        <v/>
      </c>
      <c r="H989" s="3"/>
      <c r="I989" s="3" t="str">
        <f aca="false">IFERROR(__xludf.dummyfunction("if($T989&lt;&gt;"""",REGEXEXTRACT(SUBSTITUTE ($T989,I$1&amp;"" CE"",""""), I$1&amp;""[\w &amp;]*, (\d+\.\d+)""),"""")
"),"")</f>
        <v/>
      </c>
      <c r="J989" s="3" t="str">
        <f aca="false">IFERROR(__xludf.dummyfunction("if($T989&lt;&gt;"""",REGEXEXTRACT($T989, J$1&amp;""[\w &amp;]*, (\d+\.\d+)""),"""")
"),"")</f>
        <v/>
      </c>
      <c r="K989" s="3"/>
      <c r="L989" s="3" t="str">
        <f aca="false">IFERROR(__xludf.dummyfunction("if($T989&lt;&gt;"""",REGEXEXTRACT(SUBSTITUTE ($T989,L$1&amp;"" CE"",""""), L$1&amp;""[\w &amp;]*, (\d+\.\d+)""),"""")
"),"")</f>
        <v/>
      </c>
      <c r="M989" s="3" t="str">
        <f aca="false">IFERROR(__xludf.dummyfunction("if($T989&lt;&gt;"""",REGEXEXTRACT($T989, M$1&amp;""[\w &amp;]*, (\d+\.\d+)""),"""")
"),"")</f>
        <v/>
      </c>
      <c r="N989" s="3" t="str">
        <f aca="false">IFERROR(__xludf.dummyfunction("if($T989&lt;&gt;"""",REGEXEXTRACT(SUBSTITUTE ($T989,N$1&amp;"" CE"",""""), N$1&amp;""[\w &amp;]*, (\d+\.\d+)""),"""")
"),"")</f>
        <v/>
      </c>
      <c r="O989" s="3" t="str">
        <f aca="false">IFERROR(__xludf.dummyfunction("if($T989&lt;&gt;"""",REGEXEXTRACT($T989, O$1&amp;""[\w &amp;]*, (\d+\.\d+)""),"""")
"),"")</f>
        <v/>
      </c>
      <c r="P989" s="2"/>
      <c r="Q989" s="2"/>
      <c r="R989" s="2"/>
      <c r="S989" s="2"/>
      <c r="T989" s="5"/>
      <c r="U989" s="5"/>
    </row>
    <row r="990" customFormat="false" ht="15.75" hidden="false" customHeight="false" outlineLevel="0" collapsed="false">
      <c r="A990" s="4"/>
      <c r="B990" s="2"/>
      <c r="C990" s="2"/>
      <c r="D990" s="2"/>
      <c r="E990" s="2"/>
      <c r="F990" s="3" t="str">
        <f aca="false">IFERROR(__xludf.dummyfunction("if($T990&lt;&gt;"""",REGEXEXTRACT(SUBSTITUTE ($T990,F$1&amp;"" CE"",""""), F$1&amp;""[\w &amp;]*, (\d+\.\d+)""),"""")
"),"")</f>
        <v/>
      </c>
      <c r="G990" s="3" t="str">
        <f aca="false">IFERROR(__xludf.dummyfunction("if($T990&lt;&gt;"""",REGEXEXTRACT($T990, G$1&amp;""[\w &amp;]*, (\d+\.\d+)""),"""")
"),"")</f>
        <v/>
      </c>
      <c r="H990" s="3"/>
      <c r="I990" s="3" t="str">
        <f aca="false">IFERROR(__xludf.dummyfunction("if($T990&lt;&gt;"""",REGEXEXTRACT(SUBSTITUTE ($T990,I$1&amp;"" CE"",""""), I$1&amp;""[\w &amp;]*, (\d+\.\d+)""),"""")
"),"")</f>
        <v/>
      </c>
      <c r="J990" s="3" t="str">
        <f aca="false">IFERROR(__xludf.dummyfunction("if($T990&lt;&gt;"""",REGEXEXTRACT($T990, J$1&amp;""[\w &amp;]*, (\d+\.\d+)""),"""")
"),"")</f>
        <v/>
      </c>
      <c r="K990" s="3"/>
      <c r="L990" s="3" t="str">
        <f aca="false">IFERROR(__xludf.dummyfunction("if($T990&lt;&gt;"""",REGEXEXTRACT(SUBSTITUTE ($T990,L$1&amp;"" CE"",""""), L$1&amp;""[\w &amp;]*, (\d+\.\d+)""),"""")
"),"")</f>
        <v/>
      </c>
      <c r="M990" s="3" t="str">
        <f aca="false">IFERROR(__xludf.dummyfunction("if($T990&lt;&gt;"""",REGEXEXTRACT($T990, M$1&amp;""[\w &amp;]*, (\d+\.\d+)""),"""")
"),"")</f>
        <v/>
      </c>
      <c r="N990" s="3" t="str">
        <f aca="false">IFERROR(__xludf.dummyfunction("if($T990&lt;&gt;"""",REGEXEXTRACT(SUBSTITUTE ($T990,N$1&amp;"" CE"",""""), N$1&amp;""[\w &amp;]*, (\d+\.\d+)""),"""")
"),"")</f>
        <v/>
      </c>
      <c r="O990" s="3" t="str">
        <f aca="false">IFERROR(__xludf.dummyfunction("if($T990&lt;&gt;"""",REGEXEXTRACT($T990, O$1&amp;""[\w &amp;]*, (\d+\.\d+)""),"""")
"),"")</f>
        <v/>
      </c>
      <c r="P990" s="2"/>
      <c r="Q990" s="2"/>
      <c r="R990" s="2"/>
      <c r="S990" s="2"/>
      <c r="T990" s="5"/>
      <c r="U990" s="5"/>
    </row>
    <row r="991" customFormat="false" ht="15.75" hidden="false" customHeight="false" outlineLevel="0" collapsed="false">
      <c r="A991" s="4"/>
      <c r="B991" s="2"/>
      <c r="C991" s="2"/>
      <c r="D991" s="2"/>
      <c r="E991" s="2"/>
      <c r="F991" s="3" t="str">
        <f aca="false">IFERROR(__xludf.dummyfunction("if($T991&lt;&gt;"""",REGEXEXTRACT(SUBSTITUTE ($T991,F$1&amp;"" CE"",""""), F$1&amp;""[\w &amp;]*, (\d+\.\d+)""),"""")
"),"")</f>
        <v/>
      </c>
      <c r="G991" s="3" t="str">
        <f aca="false">IFERROR(__xludf.dummyfunction("if($T991&lt;&gt;"""",REGEXEXTRACT($T991, G$1&amp;""[\w &amp;]*, (\d+\.\d+)""),"""")
"),"")</f>
        <v/>
      </c>
      <c r="H991" s="3"/>
      <c r="I991" s="3" t="str">
        <f aca="false">IFERROR(__xludf.dummyfunction("if($T991&lt;&gt;"""",REGEXEXTRACT(SUBSTITUTE ($T991,I$1&amp;"" CE"",""""), I$1&amp;""[\w &amp;]*, (\d+\.\d+)""),"""")
"),"")</f>
        <v/>
      </c>
      <c r="J991" s="3" t="str">
        <f aca="false">IFERROR(__xludf.dummyfunction("if($T991&lt;&gt;"""",REGEXEXTRACT($T991, J$1&amp;""[\w &amp;]*, (\d+\.\d+)""),"""")
"),"")</f>
        <v/>
      </c>
      <c r="K991" s="3"/>
      <c r="L991" s="3" t="str">
        <f aca="false">IFERROR(__xludf.dummyfunction("if($T991&lt;&gt;"""",REGEXEXTRACT(SUBSTITUTE ($T991,L$1&amp;"" CE"",""""), L$1&amp;""[\w &amp;]*, (\d+\.\d+)""),"""")
"),"")</f>
        <v/>
      </c>
      <c r="M991" s="3" t="str">
        <f aca="false">IFERROR(__xludf.dummyfunction("if($T991&lt;&gt;"""",REGEXEXTRACT($T991, M$1&amp;""[\w &amp;]*, (\d+\.\d+)""),"""")
"),"")</f>
        <v/>
      </c>
      <c r="N991" s="3" t="str">
        <f aca="false">IFERROR(__xludf.dummyfunction("if($T991&lt;&gt;"""",REGEXEXTRACT(SUBSTITUTE ($T991,N$1&amp;"" CE"",""""), N$1&amp;""[\w &amp;]*, (\d+\.\d+)""),"""")
"),"")</f>
        <v/>
      </c>
      <c r="O991" s="3" t="str">
        <f aca="false">IFERROR(__xludf.dummyfunction("if($T991&lt;&gt;"""",REGEXEXTRACT($T991, O$1&amp;""[\w &amp;]*, (\d+\.\d+)""),"""")
"),"")</f>
        <v/>
      </c>
      <c r="P991" s="2"/>
      <c r="Q991" s="2"/>
      <c r="R991" s="2"/>
      <c r="S991" s="2"/>
      <c r="T991" s="5"/>
      <c r="U991" s="5"/>
    </row>
    <row r="992" customFormat="false" ht="15.75" hidden="false" customHeight="false" outlineLevel="0" collapsed="false">
      <c r="A992" s="4"/>
      <c r="B992" s="2"/>
      <c r="C992" s="2"/>
      <c r="D992" s="2"/>
      <c r="E992" s="2"/>
      <c r="F992" s="3" t="str">
        <f aca="false">IFERROR(__xludf.dummyfunction("if($T992&lt;&gt;"""",REGEXEXTRACT(SUBSTITUTE ($T992,F$1&amp;"" CE"",""""), F$1&amp;""[\w &amp;]*, (\d+\.\d+)""),"""")
"),"")</f>
        <v/>
      </c>
      <c r="G992" s="3" t="str">
        <f aca="false">IFERROR(__xludf.dummyfunction("if($T992&lt;&gt;"""",REGEXEXTRACT($T992, G$1&amp;""[\w &amp;]*, (\d+\.\d+)""),"""")
"),"")</f>
        <v/>
      </c>
      <c r="H992" s="3"/>
      <c r="I992" s="3" t="str">
        <f aca="false">IFERROR(__xludf.dummyfunction("if($T992&lt;&gt;"""",REGEXEXTRACT(SUBSTITUTE ($T992,I$1&amp;"" CE"",""""), I$1&amp;""[\w &amp;]*, (\d+\.\d+)""),"""")
"),"")</f>
        <v/>
      </c>
      <c r="J992" s="3" t="str">
        <f aca="false">IFERROR(__xludf.dummyfunction("if($T992&lt;&gt;"""",REGEXEXTRACT($T992, J$1&amp;""[\w &amp;]*, (\d+\.\d+)""),"""")
"),"")</f>
        <v/>
      </c>
      <c r="K992" s="3"/>
      <c r="L992" s="3" t="str">
        <f aca="false">IFERROR(__xludf.dummyfunction("if($T992&lt;&gt;"""",REGEXEXTRACT(SUBSTITUTE ($T992,L$1&amp;"" CE"",""""), L$1&amp;""[\w &amp;]*, (\d+\.\d+)""),"""")
"),"")</f>
        <v/>
      </c>
      <c r="M992" s="3" t="str">
        <f aca="false">IFERROR(__xludf.dummyfunction("if($T992&lt;&gt;"""",REGEXEXTRACT($T992, M$1&amp;""[\w &amp;]*, (\d+\.\d+)""),"""")
"),"")</f>
        <v/>
      </c>
      <c r="N992" s="3" t="str">
        <f aca="false">IFERROR(__xludf.dummyfunction("if($T992&lt;&gt;"""",REGEXEXTRACT(SUBSTITUTE ($T992,N$1&amp;"" CE"",""""), N$1&amp;""[\w &amp;]*, (\d+\.\d+)""),"""")
"),"")</f>
        <v/>
      </c>
      <c r="O992" s="3" t="str">
        <f aca="false">IFERROR(__xludf.dummyfunction("if($T992&lt;&gt;"""",REGEXEXTRACT($T992, O$1&amp;""[\w &amp;]*, (\d+\.\d+)""),"""")
"),"")</f>
        <v/>
      </c>
      <c r="P992" s="2"/>
      <c r="Q992" s="2"/>
      <c r="R992" s="2"/>
      <c r="S992" s="2"/>
      <c r="T992" s="5"/>
      <c r="U992" s="5"/>
    </row>
    <row r="993" customFormat="false" ht="15.75" hidden="false" customHeight="false" outlineLevel="0" collapsed="false">
      <c r="A993" s="4"/>
      <c r="B993" s="2"/>
      <c r="C993" s="2"/>
      <c r="D993" s="2"/>
      <c r="E993" s="2"/>
      <c r="F993" s="3" t="str">
        <f aca="false">IFERROR(__xludf.dummyfunction("if($T993&lt;&gt;"""",REGEXEXTRACT(SUBSTITUTE ($T993,F$1&amp;"" CE"",""""), F$1&amp;""[\w &amp;]*, (\d+\.\d+)""),"""")
"),"")</f>
        <v/>
      </c>
      <c r="G993" s="3" t="str">
        <f aca="false">IFERROR(__xludf.dummyfunction("if($T993&lt;&gt;"""",REGEXEXTRACT($T993, G$1&amp;""[\w &amp;]*, (\d+\.\d+)""),"""")
"),"")</f>
        <v/>
      </c>
      <c r="H993" s="3"/>
      <c r="I993" s="3" t="str">
        <f aca="false">IFERROR(__xludf.dummyfunction("if($T993&lt;&gt;"""",REGEXEXTRACT(SUBSTITUTE ($T993,I$1&amp;"" CE"",""""), I$1&amp;""[\w &amp;]*, (\d+\.\d+)""),"""")
"),"")</f>
        <v/>
      </c>
      <c r="J993" s="3" t="str">
        <f aca="false">IFERROR(__xludf.dummyfunction("if($T993&lt;&gt;"""",REGEXEXTRACT($T993, J$1&amp;""[\w &amp;]*, (\d+\.\d+)""),"""")
"),"")</f>
        <v/>
      </c>
      <c r="K993" s="3"/>
      <c r="L993" s="3" t="str">
        <f aca="false">IFERROR(__xludf.dummyfunction("if($T993&lt;&gt;"""",REGEXEXTRACT(SUBSTITUTE ($T993,L$1&amp;"" CE"",""""), L$1&amp;""[\w &amp;]*, (\d+\.\d+)""),"""")
"),"")</f>
        <v/>
      </c>
      <c r="M993" s="3" t="str">
        <f aca="false">IFERROR(__xludf.dummyfunction("if($T993&lt;&gt;"""",REGEXEXTRACT($T993, M$1&amp;""[\w &amp;]*, (\d+\.\d+)""),"""")
"),"")</f>
        <v/>
      </c>
      <c r="N993" s="3" t="str">
        <f aca="false">IFERROR(__xludf.dummyfunction("if($T993&lt;&gt;"""",REGEXEXTRACT(SUBSTITUTE ($T993,N$1&amp;"" CE"",""""), N$1&amp;""[\w &amp;]*, (\d+\.\d+)""),"""")
"),"")</f>
        <v/>
      </c>
      <c r="O993" s="3" t="str">
        <f aca="false">IFERROR(__xludf.dummyfunction("if($T993&lt;&gt;"""",REGEXEXTRACT($T993, O$1&amp;""[\w &amp;]*, (\d+\.\d+)""),"""")
"),"")</f>
        <v/>
      </c>
      <c r="P993" s="2"/>
      <c r="Q993" s="2"/>
      <c r="R993" s="2"/>
      <c r="S993" s="2"/>
      <c r="T993" s="5"/>
      <c r="U993" s="5"/>
    </row>
    <row r="994" customFormat="false" ht="15.75" hidden="false" customHeight="false" outlineLevel="0" collapsed="false">
      <c r="A994" s="4"/>
      <c r="B994" s="2"/>
      <c r="C994" s="2"/>
      <c r="D994" s="2"/>
      <c r="E994" s="2"/>
      <c r="F994" s="3" t="str">
        <f aca="false">IFERROR(__xludf.dummyfunction("if($T994&lt;&gt;"""",REGEXEXTRACT(SUBSTITUTE ($T994,F$1&amp;"" CE"",""""), F$1&amp;""[\w &amp;]*, (\d+\.\d+)""),"""")
"),"")</f>
        <v/>
      </c>
      <c r="G994" s="3" t="str">
        <f aca="false">IFERROR(__xludf.dummyfunction("if($T994&lt;&gt;"""",REGEXEXTRACT($T994, G$1&amp;""[\w &amp;]*, (\d+\.\d+)""),"""")
"),"")</f>
        <v/>
      </c>
      <c r="H994" s="3"/>
      <c r="I994" s="3" t="str">
        <f aca="false">IFERROR(__xludf.dummyfunction("if($T994&lt;&gt;"""",REGEXEXTRACT(SUBSTITUTE ($T994,I$1&amp;"" CE"",""""), I$1&amp;""[\w &amp;]*, (\d+\.\d+)""),"""")
"),"")</f>
        <v/>
      </c>
      <c r="J994" s="3" t="str">
        <f aca="false">IFERROR(__xludf.dummyfunction("if($T994&lt;&gt;"""",REGEXEXTRACT($T994, J$1&amp;""[\w &amp;]*, (\d+\.\d+)""),"""")
"),"")</f>
        <v/>
      </c>
      <c r="K994" s="3"/>
      <c r="L994" s="3" t="str">
        <f aca="false">IFERROR(__xludf.dummyfunction("if($T994&lt;&gt;"""",REGEXEXTRACT(SUBSTITUTE ($T994,L$1&amp;"" CE"",""""), L$1&amp;""[\w &amp;]*, (\d+\.\d+)""),"""")
"),"")</f>
        <v/>
      </c>
      <c r="M994" s="3" t="str">
        <f aca="false">IFERROR(__xludf.dummyfunction("if($T994&lt;&gt;"""",REGEXEXTRACT($T994, M$1&amp;""[\w &amp;]*, (\d+\.\d+)""),"""")
"),"")</f>
        <v/>
      </c>
      <c r="N994" s="3" t="str">
        <f aca="false">IFERROR(__xludf.dummyfunction("if($T994&lt;&gt;"""",REGEXEXTRACT(SUBSTITUTE ($T994,N$1&amp;"" CE"",""""), N$1&amp;""[\w &amp;]*, (\d+\.\d+)""),"""")
"),"")</f>
        <v/>
      </c>
      <c r="O994" s="3" t="str">
        <f aca="false">IFERROR(__xludf.dummyfunction("if($T994&lt;&gt;"""",REGEXEXTRACT($T994, O$1&amp;""[\w &amp;]*, (\d+\.\d+)""),"""")
"),"")</f>
        <v/>
      </c>
      <c r="P994" s="2"/>
      <c r="Q994" s="2"/>
      <c r="R994" s="2"/>
      <c r="S994" s="2"/>
      <c r="T994" s="5"/>
      <c r="U994" s="5"/>
    </row>
    <row r="995" customFormat="false" ht="15.75" hidden="false" customHeight="false" outlineLevel="0" collapsed="false">
      <c r="A995" s="4"/>
      <c r="B995" s="2"/>
      <c r="C995" s="2"/>
      <c r="D995" s="2"/>
      <c r="E995" s="2"/>
      <c r="F995" s="3" t="str">
        <f aca="false">IFERROR(__xludf.dummyfunction("if($T995&lt;&gt;"""",REGEXEXTRACT(SUBSTITUTE ($T995,F$1&amp;"" CE"",""""), F$1&amp;""[\w &amp;]*, (\d+\.\d+)""),"""")
"),"")</f>
        <v/>
      </c>
      <c r="G995" s="3" t="str">
        <f aca="false">IFERROR(__xludf.dummyfunction("if($T995&lt;&gt;"""",REGEXEXTRACT($T995, G$1&amp;""[\w &amp;]*, (\d+\.\d+)""),"""")
"),"")</f>
        <v/>
      </c>
      <c r="H995" s="3"/>
      <c r="I995" s="3" t="str">
        <f aca="false">IFERROR(__xludf.dummyfunction("if($T995&lt;&gt;"""",REGEXEXTRACT(SUBSTITUTE ($T995,I$1&amp;"" CE"",""""), I$1&amp;""[\w &amp;]*, (\d+\.\d+)""),"""")
"),"")</f>
        <v/>
      </c>
      <c r="J995" s="3" t="str">
        <f aca="false">IFERROR(__xludf.dummyfunction("if($T995&lt;&gt;"""",REGEXEXTRACT($T995, J$1&amp;""[\w &amp;]*, (\d+\.\d+)""),"""")
"),"")</f>
        <v/>
      </c>
      <c r="K995" s="3"/>
      <c r="L995" s="3" t="str">
        <f aca="false">IFERROR(__xludf.dummyfunction("if($T995&lt;&gt;"""",REGEXEXTRACT(SUBSTITUTE ($T995,L$1&amp;"" CE"",""""), L$1&amp;""[\w &amp;]*, (\d+\.\d+)""),"""")
"),"")</f>
        <v/>
      </c>
      <c r="M995" s="3" t="str">
        <f aca="false">IFERROR(__xludf.dummyfunction("if($T995&lt;&gt;"""",REGEXEXTRACT($T995, M$1&amp;""[\w &amp;]*, (\d+\.\d+)""),"""")
"),"")</f>
        <v/>
      </c>
      <c r="N995" s="3" t="str">
        <f aca="false">IFERROR(__xludf.dummyfunction("if($T995&lt;&gt;"""",REGEXEXTRACT(SUBSTITUTE ($T995,N$1&amp;"" CE"",""""), N$1&amp;""[\w &amp;]*, (\d+\.\d+)""),"""")
"),"")</f>
        <v/>
      </c>
      <c r="O995" s="3" t="str">
        <f aca="false">IFERROR(__xludf.dummyfunction("if($T995&lt;&gt;"""",REGEXEXTRACT($T995, O$1&amp;""[\w &amp;]*, (\d+\.\d+)""),"""")
"),"")</f>
        <v/>
      </c>
      <c r="P995" s="2"/>
      <c r="Q995" s="2"/>
      <c r="R995" s="2"/>
      <c r="S995" s="2"/>
      <c r="T995" s="5"/>
      <c r="U995" s="5"/>
    </row>
    <row r="996" customFormat="false" ht="15.75" hidden="false" customHeight="false" outlineLevel="0" collapsed="false">
      <c r="A996" s="4"/>
      <c r="B996" s="2"/>
      <c r="C996" s="2"/>
      <c r="D996" s="2"/>
      <c r="E996" s="2"/>
      <c r="F996" s="3" t="str">
        <f aca="false">IFERROR(__xludf.dummyfunction("if($T996&lt;&gt;"""",REGEXEXTRACT(SUBSTITUTE ($T996,F$1&amp;"" CE"",""""), F$1&amp;""[\w &amp;]*, (\d+\.\d+)""),"""")
"),"")</f>
        <v/>
      </c>
      <c r="G996" s="3" t="str">
        <f aca="false">IFERROR(__xludf.dummyfunction("if($T996&lt;&gt;"""",REGEXEXTRACT($T996, G$1&amp;""[\w &amp;]*, (\d+\.\d+)""),"""")
"),"")</f>
        <v/>
      </c>
      <c r="H996" s="3"/>
      <c r="I996" s="3" t="str">
        <f aca="false">IFERROR(__xludf.dummyfunction("if($T996&lt;&gt;"""",REGEXEXTRACT(SUBSTITUTE ($T996,I$1&amp;"" CE"",""""), I$1&amp;""[\w &amp;]*, (\d+\.\d+)""),"""")
"),"")</f>
        <v/>
      </c>
      <c r="J996" s="3" t="str">
        <f aca="false">IFERROR(__xludf.dummyfunction("if($T996&lt;&gt;"""",REGEXEXTRACT($T996, J$1&amp;""[\w &amp;]*, (\d+\.\d+)""),"""")
"),"")</f>
        <v/>
      </c>
      <c r="K996" s="3"/>
      <c r="L996" s="3" t="str">
        <f aca="false">IFERROR(__xludf.dummyfunction("if($T996&lt;&gt;"""",REGEXEXTRACT(SUBSTITUTE ($T996,L$1&amp;"" CE"",""""), L$1&amp;""[\w &amp;]*, (\d+\.\d+)""),"""")
"),"")</f>
        <v/>
      </c>
      <c r="M996" s="3" t="str">
        <f aca="false">IFERROR(__xludf.dummyfunction("if($T996&lt;&gt;"""",REGEXEXTRACT($T996, M$1&amp;""[\w &amp;]*, (\d+\.\d+)""),"""")
"),"")</f>
        <v/>
      </c>
      <c r="N996" s="3" t="str">
        <f aca="false">IFERROR(__xludf.dummyfunction("if($T996&lt;&gt;"""",REGEXEXTRACT(SUBSTITUTE ($T996,N$1&amp;"" CE"",""""), N$1&amp;""[\w &amp;]*, (\d+\.\d+)""),"""")
"),"")</f>
        <v/>
      </c>
      <c r="O996" s="3" t="str">
        <f aca="false">IFERROR(__xludf.dummyfunction("if($T996&lt;&gt;"""",REGEXEXTRACT($T996, O$1&amp;""[\w &amp;]*, (\d+\.\d+)""),"""")
"),"")</f>
        <v/>
      </c>
      <c r="P996" s="2"/>
      <c r="Q996" s="2"/>
      <c r="R996" s="2"/>
      <c r="S996" s="2"/>
      <c r="T996" s="5"/>
      <c r="U996" s="5"/>
    </row>
    <row r="997" customFormat="false" ht="15.75" hidden="false" customHeight="false" outlineLevel="0" collapsed="false">
      <c r="A997" s="4"/>
      <c r="B997" s="2"/>
      <c r="C997" s="2"/>
      <c r="D997" s="2"/>
      <c r="E997" s="2"/>
      <c r="F997" s="3" t="str">
        <f aca="false">IFERROR(__xludf.dummyfunction("if($T997&lt;&gt;"""",REGEXEXTRACT(SUBSTITUTE ($T997,F$1&amp;"" CE"",""""), F$1&amp;""[\w &amp;]*, (\d+\.\d+)""),"""")
"),"")</f>
        <v/>
      </c>
      <c r="G997" s="3" t="str">
        <f aca="false">IFERROR(__xludf.dummyfunction("if($T997&lt;&gt;"""",REGEXEXTRACT($T997, G$1&amp;""[\w &amp;]*, (\d+\.\d+)""),"""")
"),"")</f>
        <v/>
      </c>
      <c r="H997" s="3"/>
      <c r="I997" s="3" t="str">
        <f aca="false">IFERROR(__xludf.dummyfunction("if($T997&lt;&gt;"""",REGEXEXTRACT(SUBSTITUTE ($T997,I$1&amp;"" CE"",""""), I$1&amp;""[\w &amp;]*, (\d+\.\d+)""),"""")
"),"")</f>
        <v/>
      </c>
      <c r="J997" s="3" t="str">
        <f aca="false">IFERROR(__xludf.dummyfunction("if($T997&lt;&gt;"""",REGEXEXTRACT($T997, J$1&amp;""[\w &amp;]*, (\d+\.\d+)""),"""")
"),"")</f>
        <v/>
      </c>
      <c r="K997" s="3"/>
      <c r="L997" s="3" t="str">
        <f aca="false">IFERROR(__xludf.dummyfunction("if($T997&lt;&gt;"""",REGEXEXTRACT(SUBSTITUTE ($T997,L$1&amp;"" CE"",""""), L$1&amp;""[\w &amp;]*, (\d+\.\d+)""),"""")
"),"")</f>
        <v/>
      </c>
      <c r="M997" s="3" t="str">
        <f aca="false">IFERROR(__xludf.dummyfunction("if($T997&lt;&gt;"""",REGEXEXTRACT($T997, M$1&amp;""[\w &amp;]*, (\d+\.\d+)""),"""")
"),"")</f>
        <v/>
      </c>
      <c r="N997" s="3" t="str">
        <f aca="false">IFERROR(__xludf.dummyfunction("if($T997&lt;&gt;"""",REGEXEXTRACT(SUBSTITUTE ($T997,N$1&amp;"" CE"",""""), N$1&amp;""[\w &amp;]*, (\d+\.\d+)""),"""")
"),"")</f>
        <v/>
      </c>
      <c r="O997" s="3" t="str">
        <f aca="false">IFERROR(__xludf.dummyfunction("if($T997&lt;&gt;"""",REGEXEXTRACT($T997, O$1&amp;""[\w &amp;]*, (\d+\.\d+)""),"""")
"),"")</f>
        <v/>
      </c>
      <c r="P997" s="2"/>
      <c r="Q997" s="2"/>
      <c r="R997" s="2"/>
      <c r="S997" s="2"/>
      <c r="T997" s="5"/>
      <c r="U997" s="5"/>
    </row>
    <row r="998" customFormat="false" ht="15.75" hidden="false" customHeight="false" outlineLevel="0" collapsed="false">
      <c r="A998" s="4"/>
      <c r="B998" s="2"/>
      <c r="C998" s="2"/>
      <c r="D998" s="2"/>
      <c r="E998" s="2"/>
      <c r="F998" s="3" t="str">
        <f aca="false">IFERROR(__xludf.dummyfunction("if($T998&lt;&gt;"""",REGEXEXTRACT(SUBSTITUTE ($T998,F$1&amp;"" CE"",""""), F$1&amp;""[\w &amp;]*, (\d+\.\d+)""),"""")
"),"")</f>
        <v/>
      </c>
      <c r="G998" s="3" t="str">
        <f aca="false">IFERROR(__xludf.dummyfunction("if($T998&lt;&gt;"""",REGEXEXTRACT($T998, G$1&amp;""[\w &amp;]*, (\d+\.\d+)""),"""")
"),"")</f>
        <v/>
      </c>
      <c r="H998" s="3"/>
      <c r="I998" s="3" t="str">
        <f aca="false">IFERROR(__xludf.dummyfunction("if($T998&lt;&gt;"""",REGEXEXTRACT(SUBSTITUTE ($T998,I$1&amp;"" CE"",""""), I$1&amp;""[\w &amp;]*, (\d+\.\d+)""),"""")
"),"")</f>
        <v/>
      </c>
      <c r="J998" s="3" t="str">
        <f aca="false">IFERROR(__xludf.dummyfunction("if($T998&lt;&gt;"""",REGEXEXTRACT($T998, J$1&amp;""[\w &amp;]*, (\d+\.\d+)""),"""")
"),"")</f>
        <v/>
      </c>
      <c r="K998" s="3"/>
      <c r="L998" s="3" t="str">
        <f aca="false">IFERROR(__xludf.dummyfunction("if($T998&lt;&gt;"""",REGEXEXTRACT(SUBSTITUTE ($T998,L$1&amp;"" CE"",""""), L$1&amp;""[\w &amp;]*, (\d+\.\d+)""),"""")
"),"")</f>
        <v/>
      </c>
      <c r="M998" s="3" t="str">
        <f aca="false">IFERROR(__xludf.dummyfunction("if($T998&lt;&gt;"""",REGEXEXTRACT($T998, M$1&amp;""[\w &amp;]*, (\d+\.\d+)""),"""")
"),"")</f>
        <v/>
      </c>
      <c r="N998" s="3" t="str">
        <f aca="false">IFERROR(__xludf.dummyfunction("if($T998&lt;&gt;"""",REGEXEXTRACT(SUBSTITUTE ($T998,N$1&amp;"" CE"",""""), N$1&amp;""[\w &amp;]*, (\d+\.\d+)""),"""")
"),"")</f>
        <v/>
      </c>
      <c r="O998" s="3" t="str">
        <f aca="false">IFERROR(__xludf.dummyfunction("if($T998&lt;&gt;"""",REGEXEXTRACT($T998, O$1&amp;""[\w &amp;]*, (\d+\.\d+)""),"""")
"),"")</f>
        <v/>
      </c>
      <c r="P998" s="2"/>
      <c r="Q998" s="2"/>
      <c r="R998" s="2"/>
      <c r="S998" s="2"/>
      <c r="T998" s="5"/>
      <c r="U998" s="5"/>
    </row>
    <row r="999" customFormat="false" ht="15.75" hidden="false" customHeight="false" outlineLevel="0" collapsed="false">
      <c r="A999" s="4"/>
      <c r="B999" s="2"/>
      <c r="C999" s="2"/>
      <c r="D999" s="2"/>
      <c r="E999" s="2"/>
      <c r="F999" s="3" t="str">
        <f aca="false">IFERROR(__xludf.dummyfunction("if($T999&lt;&gt;"""",REGEXEXTRACT(SUBSTITUTE ($T999,F$1&amp;"" CE"",""""), F$1&amp;""[\w &amp;]*, (\d+\.\d+)""),"""")
"),"")</f>
        <v/>
      </c>
      <c r="G999" s="3" t="str">
        <f aca="false">IFERROR(__xludf.dummyfunction("if($T999&lt;&gt;"""",REGEXEXTRACT($T999, G$1&amp;""[\w &amp;]*, (\d+\.\d+)""),"""")
"),"")</f>
        <v/>
      </c>
      <c r="H999" s="3"/>
      <c r="I999" s="3" t="str">
        <f aca="false">IFERROR(__xludf.dummyfunction("if($T999&lt;&gt;"""",REGEXEXTRACT(SUBSTITUTE ($T999,I$1&amp;"" CE"",""""), I$1&amp;""[\w &amp;]*, (\d+\.\d+)""),"""")
"),"")</f>
        <v/>
      </c>
      <c r="J999" s="3" t="str">
        <f aca="false">IFERROR(__xludf.dummyfunction("if($T999&lt;&gt;"""",REGEXEXTRACT($T999, J$1&amp;""[\w &amp;]*, (\d+\.\d+)""),"""")
"),"")</f>
        <v/>
      </c>
      <c r="K999" s="3"/>
      <c r="L999" s="3" t="str">
        <f aca="false">IFERROR(__xludf.dummyfunction("if($T999&lt;&gt;"""",REGEXEXTRACT(SUBSTITUTE ($T999,L$1&amp;"" CE"",""""), L$1&amp;""[\w &amp;]*, (\d+\.\d+)""),"""")
"),"")</f>
        <v/>
      </c>
      <c r="M999" s="3" t="str">
        <f aca="false">IFERROR(__xludf.dummyfunction("if($T999&lt;&gt;"""",REGEXEXTRACT($T999, M$1&amp;""[\w &amp;]*, (\d+\.\d+)""),"""")
"),"")</f>
        <v/>
      </c>
      <c r="N999" s="3" t="str">
        <f aca="false">IFERROR(__xludf.dummyfunction("if($T999&lt;&gt;"""",REGEXEXTRACT(SUBSTITUTE ($T999,N$1&amp;"" CE"",""""), N$1&amp;""[\w &amp;]*, (\d+\.\d+)""),"""")
"),"")</f>
        <v/>
      </c>
      <c r="O999" s="3" t="str">
        <f aca="false">IFERROR(__xludf.dummyfunction("if($T999&lt;&gt;"""",REGEXEXTRACT($T999, O$1&amp;""[\w &amp;]*, (\d+\.\d+)""),"""")
"),"")</f>
        <v/>
      </c>
      <c r="P999" s="2"/>
      <c r="Q999" s="2"/>
      <c r="R999" s="2"/>
      <c r="S999" s="2"/>
      <c r="T999" s="5"/>
      <c r="U999" s="5"/>
    </row>
    <row r="1000" customFormat="false" ht="15.75" hidden="false" customHeight="false" outlineLevel="0" collapsed="false">
      <c r="A1000" s="4"/>
      <c r="B1000" s="2"/>
      <c r="C1000" s="2"/>
      <c r="D1000" s="2"/>
      <c r="E1000" s="2"/>
      <c r="F1000" s="3" t="str">
        <f aca="false">IFERROR(__xludf.dummyfunction("if($T1000&lt;&gt;"""",REGEXEXTRACT(SUBSTITUTE ($T1000,F$1&amp;"" CE"",""""), F$1&amp;""[\w &amp;]*, (\d+\.\d+)""),"""")
"),"")</f>
        <v/>
      </c>
      <c r="G1000" s="3" t="str">
        <f aca="false">IFERROR(__xludf.dummyfunction("if($T1000&lt;&gt;"""",REGEXEXTRACT($T1000, G$1&amp;""[\w &amp;]*, (\d+\.\d+)""),"""")
"),"")</f>
        <v/>
      </c>
      <c r="H1000" s="3"/>
      <c r="I1000" s="3" t="str">
        <f aca="false">IFERROR(__xludf.dummyfunction("if($T1000&lt;&gt;"""",REGEXEXTRACT(SUBSTITUTE ($T1000,I$1&amp;"" CE"",""""), I$1&amp;""[\w &amp;]*, (\d+\.\d+)""),"""")
"),"")</f>
        <v/>
      </c>
      <c r="J1000" s="3" t="str">
        <f aca="false">IFERROR(__xludf.dummyfunction("if($T1000&lt;&gt;"""",REGEXEXTRACT($T1000, J$1&amp;""[\w &amp;]*, (\d+\.\d+)""),"""")
"),"")</f>
        <v/>
      </c>
      <c r="K1000" s="3"/>
      <c r="L1000" s="3" t="str">
        <f aca="false">IFERROR(__xludf.dummyfunction("if($T1000&lt;&gt;"""",REGEXEXTRACT(SUBSTITUTE ($T1000,L$1&amp;"" CE"",""""), L$1&amp;""[\w &amp;]*, (\d+\.\d+)""),"""")
"),"")</f>
        <v/>
      </c>
      <c r="M1000" s="3" t="str">
        <f aca="false">IFERROR(__xludf.dummyfunction("if($T1000&lt;&gt;"""",REGEXEXTRACT($T1000, M$1&amp;""[\w &amp;]*, (\d+\.\d+)""),"""")
"),"")</f>
        <v/>
      </c>
      <c r="N1000" s="3" t="str">
        <f aca="false">IFERROR(__xludf.dummyfunction("if($T1000&lt;&gt;"""",REGEXEXTRACT(SUBSTITUTE ($T1000,N$1&amp;"" CE"",""""), N$1&amp;""[\w &amp;]*, (\d+\.\d+)""),"""")
"),"")</f>
        <v/>
      </c>
      <c r="O1000" s="3" t="str">
        <f aca="false">IFERROR(__xludf.dummyfunction("if($T1000&lt;&gt;"""",REGEXEXTRACT($T1000, O$1&amp;""[\w &amp;]*, (\d+\.\d+)""),"""")
"),"")</f>
        <v/>
      </c>
      <c r="P1000" s="2"/>
      <c r="Q1000" s="2"/>
      <c r="R1000" s="2"/>
      <c r="S1000" s="2"/>
      <c r="T1000" s="5"/>
      <c r="U1000" s="5"/>
    </row>
    <row r="1001" customFormat="false" ht="15.75" hidden="false" customHeight="false" outlineLevel="0" collapsed="false">
      <c r="A1001" s="4"/>
      <c r="B1001" s="2"/>
      <c r="C1001" s="2"/>
      <c r="D1001" s="2"/>
      <c r="E1001" s="2"/>
      <c r="F1001" s="3" t="str">
        <f aca="false">IFERROR(__xludf.dummyfunction("if($T1001&lt;&gt;"""",REGEXEXTRACT(SUBSTITUTE ($T1001,F$1&amp;"" CE"",""""), F$1&amp;""[\w &amp;]*, (\d+\.\d+)""),"""")
"),"")</f>
        <v/>
      </c>
      <c r="G1001" s="3" t="str">
        <f aca="false">IFERROR(__xludf.dummyfunction("if($T1001&lt;&gt;"""",REGEXEXTRACT($T1001, G$1&amp;""[\w &amp;]*, (\d+\.\d+)""),"""")
"),"")</f>
        <v/>
      </c>
      <c r="H1001" s="3"/>
      <c r="I1001" s="3" t="str">
        <f aca="false">IFERROR(__xludf.dummyfunction("if($T1001&lt;&gt;"""",REGEXEXTRACT(SUBSTITUTE ($T1001,I$1&amp;"" CE"",""""), I$1&amp;""[\w &amp;]*, (\d+\.\d+)""),"""")
"),"")</f>
        <v/>
      </c>
      <c r="J1001" s="3" t="str">
        <f aca="false">IFERROR(__xludf.dummyfunction("if($T1001&lt;&gt;"""",REGEXEXTRACT($T1001, J$1&amp;""[\w &amp;]*, (\d+\.\d+)""),"""")
"),"")</f>
        <v/>
      </c>
      <c r="K1001" s="3"/>
      <c r="L1001" s="3" t="str">
        <f aca="false">IFERROR(__xludf.dummyfunction("if($T1001&lt;&gt;"""",REGEXEXTRACT(SUBSTITUTE ($T1001,L$1&amp;"" CE"",""""), L$1&amp;""[\w &amp;]*, (\d+\.\d+)""),"""")
"),"")</f>
        <v/>
      </c>
      <c r="M1001" s="3" t="str">
        <f aca="false">IFERROR(__xludf.dummyfunction("if($T1001&lt;&gt;"""",REGEXEXTRACT($T1001, M$1&amp;""[\w &amp;]*, (\d+\.\d+)""),"""")
"),"")</f>
        <v/>
      </c>
      <c r="N1001" s="3" t="str">
        <f aca="false">IFERROR(__xludf.dummyfunction("if($T1001&lt;&gt;"""",REGEXEXTRACT(SUBSTITUTE ($T1001,N$1&amp;"" CE"",""""), N$1&amp;""[\w &amp;]*, (\d+\.\d+)""),"""")
"),"")</f>
        <v/>
      </c>
      <c r="O1001" s="3" t="str">
        <f aca="false">IFERROR(__xludf.dummyfunction("if($T1001&lt;&gt;"""",REGEXEXTRACT($T1001, O$1&amp;""[\w &amp;]*, (\d+\.\d+)""),"""")
"),"")</f>
        <v/>
      </c>
      <c r="P1001" s="2"/>
      <c r="Q1001" s="2"/>
      <c r="R1001" s="2"/>
      <c r="S1001" s="2"/>
      <c r="T1001" s="5"/>
      <c r="U1001" s="5"/>
    </row>
    <row r="1002" customFormat="false" ht="15.75" hidden="false" customHeight="false" outlineLevel="0" collapsed="false">
      <c r="A1002" s="4"/>
      <c r="B1002" s="2"/>
      <c r="C1002" s="2"/>
      <c r="D1002" s="2"/>
      <c r="E1002" s="2"/>
      <c r="F1002" s="3" t="str">
        <f aca="false">IFERROR(__xludf.dummyfunction("if($T1002&lt;&gt;"""",REGEXEXTRACT(SUBSTITUTE ($T1002,F$1&amp;"" CE"",""""), F$1&amp;""[\w &amp;]*, (\d+\.\d+)""),"""")
"),"")</f>
        <v/>
      </c>
      <c r="G1002" s="3" t="str">
        <f aca="false">IFERROR(__xludf.dummyfunction("if($T1002&lt;&gt;"""",REGEXEXTRACT($T1002, G$1&amp;""[\w &amp;]*, (\d+\.\d+)""),"""")
"),"")</f>
        <v/>
      </c>
      <c r="H1002" s="3"/>
      <c r="I1002" s="3" t="str">
        <f aca="false">IFERROR(__xludf.dummyfunction("if($T1002&lt;&gt;"""",REGEXEXTRACT(SUBSTITUTE ($T1002,I$1&amp;"" CE"",""""), I$1&amp;""[\w &amp;]*, (\d+\.\d+)""),"""")
"),"")</f>
        <v/>
      </c>
      <c r="J1002" s="3" t="str">
        <f aca="false">IFERROR(__xludf.dummyfunction("if($T1002&lt;&gt;"""",REGEXEXTRACT($T1002, J$1&amp;""[\w &amp;]*, (\d+\.\d+)""),"""")
"),"")</f>
        <v/>
      </c>
      <c r="K1002" s="3"/>
      <c r="L1002" s="3" t="str">
        <f aca="false">IFERROR(__xludf.dummyfunction("if($T1002&lt;&gt;"""",REGEXEXTRACT(SUBSTITUTE ($T1002,L$1&amp;"" CE"",""""), L$1&amp;""[\w &amp;]*, (\d+\.\d+)""),"""")
"),"")</f>
        <v/>
      </c>
      <c r="M1002" s="3" t="str">
        <f aca="false">IFERROR(__xludf.dummyfunction("if($T1002&lt;&gt;"""",REGEXEXTRACT($T1002, M$1&amp;""[\w &amp;]*, (\d+\.\d+)""),"""")
"),"")</f>
        <v/>
      </c>
      <c r="N1002" s="3" t="str">
        <f aca="false">IFERROR(__xludf.dummyfunction("if($T1002&lt;&gt;"""",REGEXEXTRACT(SUBSTITUTE ($T1002,N$1&amp;"" CE"",""""), N$1&amp;""[\w &amp;]*, (\d+\.\d+)""),"""")
"),"")</f>
        <v/>
      </c>
      <c r="O1002" s="3" t="str">
        <f aca="false">IFERROR(__xludf.dummyfunction("if($T1002&lt;&gt;"""",REGEXEXTRACT($T1002, O$1&amp;""[\w &amp;]*, (\d+\.\d+)""),"""")
"),"")</f>
        <v/>
      </c>
      <c r="P1002" s="2"/>
      <c r="Q1002" s="2"/>
      <c r="R1002" s="2"/>
      <c r="S1002" s="2"/>
      <c r="T1002" s="5"/>
      <c r="U1002" s="5"/>
    </row>
    <row r="1003" customFormat="false" ht="15.75" hidden="false" customHeight="false" outlineLevel="0" collapsed="false">
      <c r="A1003" s="4"/>
      <c r="B1003" s="2"/>
      <c r="C1003" s="2"/>
      <c r="D1003" s="2"/>
      <c r="E1003" s="2"/>
      <c r="F1003" s="3" t="str">
        <f aca="false">IFERROR(__xludf.dummyfunction("if($T1003&lt;&gt;"""",REGEXEXTRACT(SUBSTITUTE ($T1003,F$1&amp;"" CE"",""""), F$1&amp;""[\w &amp;]*, (\d+\.\d+)""),"""")
"),"")</f>
        <v/>
      </c>
      <c r="G1003" s="3" t="str">
        <f aca="false">IFERROR(__xludf.dummyfunction("if($T1003&lt;&gt;"""",REGEXEXTRACT($T1003, G$1&amp;""[\w &amp;]*, (\d+\.\d+)""),"""")
"),"")</f>
        <v/>
      </c>
      <c r="H1003" s="3"/>
      <c r="I1003" s="3" t="str">
        <f aca="false">IFERROR(__xludf.dummyfunction("if($T1003&lt;&gt;"""",REGEXEXTRACT(SUBSTITUTE ($T1003,I$1&amp;"" CE"",""""), I$1&amp;""[\w &amp;]*, (\d+\.\d+)""),"""")
"),"")</f>
        <v/>
      </c>
      <c r="J1003" s="3" t="str">
        <f aca="false">IFERROR(__xludf.dummyfunction("if($T1003&lt;&gt;"""",REGEXEXTRACT($T1003, J$1&amp;""[\w &amp;]*, (\d+\.\d+)""),"""")
"),"")</f>
        <v/>
      </c>
      <c r="K1003" s="3"/>
      <c r="L1003" s="3" t="str">
        <f aca="false">IFERROR(__xludf.dummyfunction("if($T1003&lt;&gt;"""",REGEXEXTRACT(SUBSTITUTE ($T1003,L$1&amp;"" CE"",""""), L$1&amp;""[\w &amp;]*, (\d+\.\d+)""),"""")
"),"")</f>
        <v/>
      </c>
      <c r="M1003" s="3" t="str">
        <f aca="false">IFERROR(__xludf.dummyfunction("if($T1003&lt;&gt;"""",REGEXEXTRACT($T1003, M$1&amp;""[\w &amp;]*, (\d+\.\d+)""),"""")
"),"")</f>
        <v/>
      </c>
      <c r="N1003" s="3" t="str">
        <f aca="false">IFERROR(__xludf.dummyfunction("if($T1003&lt;&gt;"""",REGEXEXTRACT(SUBSTITUTE ($T1003,N$1&amp;"" CE"",""""), N$1&amp;""[\w &amp;]*, (\d+\.\d+)""),"""")
"),"")</f>
        <v/>
      </c>
      <c r="O1003" s="3" t="str">
        <f aca="false">IFERROR(__xludf.dummyfunction("if($T1003&lt;&gt;"""",REGEXEXTRACT($T1003, O$1&amp;""[\w &amp;]*, (\d+\.\d+)""),"""")
"),"")</f>
        <v/>
      </c>
      <c r="P1003" s="2"/>
      <c r="Q1003" s="2"/>
      <c r="R1003" s="2"/>
      <c r="S1003" s="2"/>
      <c r="T1003" s="5"/>
      <c r="U1003" s="5"/>
    </row>
    <row r="1004" customFormat="false" ht="15.75" hidden="false" customHeight="false" outlineLevel="0" collapsed="false">
      <c r="A1004" s="4"/>
      <c r="B1004" s="2"/>
      <c r="C1004" s="2"/>
      <c r="D1004" s="2"/>
      <c r="E1004" s="2"/>
      <c r="F1004" s="3" t="str">
        <f aca="false">IFERROR(__xludf.dummyfunction("if($T1004&lt;&gt;"""",REGEXEXTRACT(SUBSTITUTE ($T1004,F$1&amp;"" CE"",""""), F$1&amp;""[\w &amp;]*, (\d+\.\d+)""),"""")
"),"")</f>
        <v/>
      </c>
      <c r="G1004" s="3" t="str">
        <f aca="false">IFERROR(__xludf.dummyfunction("if($T1004&lt;&gt;"""",REGEXEXTRACT($T1004, G$1&amp;""[\w &amp;]*, (\d+\.\d+)""),"""")
"),"")</f>
        <v/>
      </c>
      <c r="H1004" s="3"/>
      <c r="I1004" s="3" t="str">
        <f aca="false">IFERROR(__xludf.dummyfunction("if($T1004&lt;&gt;"""",REGEXEXTRACT(SUBSTITUTE ($T1004,I$1&amp;"" CE"",""""), I$1&amp;""[\w &amp;]*, (\d+\.\d+)""),"""")
"),"")</f>
        <v/>
      </c>
      <c r="J1004" s="3" t="str">
        <f aca="false">IFERROR(__xludf.dummyfunction("if($T1004&lt;&gt;"""",REGEXEXTRACT($T1004, J$1&amp;""[\w &amp;]*, (\d+\.\d+)""),"""")
"),"")</f>
        <v/>
      </c>
      <c r="K1004" s="3"/>
      <c r="L1004" s="3" t="str">
        <f aca="false">IFERROR(__xludf.dummyfunction("if($T1004&lt;&gt;"""",REGEXEXTRACT(SUBSTITUTE ($T1004,L$1&amp;"" CE"",""""), L$1&amp;""[\w &amp;]*, (\d+\.\d+)""),"""")
"),"")</f>
        <v/>
      </c>
      <c r="M1004" s="3" t="str">
        <f aca="false">IFERROR(__xludf.dummyfunction("if($T1004&lt;&gt;"""",REGEXEXTRACT($T1004, M$1&amp;""[\w &amp;]*, (\d+\.\d+)""),"""")
"),"")</f>
        <v/>
      </c>
      <c r="N1004" s="3" t="str">
        <f aca="false">IFERROR(__xludf.dummyfunction("if($T1004&lt;&gt;"""",REGEXEXTRACT(SUBSTITUTE ($T1004,N$1&amp;"" CE"",""""), N$1&amp;""[\w &amp;]*, (\d+\.\d+)""),"""")
"),"")</f>
        <v/>
      </c>
      <c r="O1004" s="3" t="str">
        <f aca="false">IFERROR(__xludf.dummyfunction("if($T1004&lt;&gt;"""",REGEXEXTRACT($T1004, O$1&amp;""[\w &amp;]*, (\d+\.\d+)""),"""")
"),"")</f>
        <v/>
      </c>
      <c r="P1004" s="2"/>
      <c r="Q1004" s="2"/>
      <c r="R1004" s="2"/>
      <c r="S1004" s="2"/>
      <c r="T1004" s="5"/>
      <c r="U1004" s="5"/>
    </row>
    <row r="1005" customFormat="false" ht="15.75" hidden="false" customHeight="false" outlineLevel="0" collapsed="false">
      <c r="A1005" s="4"/>
      <c r="B1005" s="2"/>
      <c r="C1005" s="2"/>
      <c r="D1005" s="2"/>
      <c r="E1005" s="2"/>
      <c r="F1005" s="3" t="str">
        <f aca="false">IFERROR(__xludf.dummyfunction("if($T1005&lt;&gt;"""",REGEXEXTRACT(SUBSTITUTE ($T1005,F$1&amp;"" CE"",""""), F$1&amp;""[\w &amp;]*, (\d+\.\d+)""),"""")
"),"")</f>
        <v/>
      </c>
      <c r="G1005" s="3" t="str">
        <f aca="false">IFERROR(__xludf.dummyfunction("if($T1005&lt;&gt;"""",REGEXEXTRACT($T1005, G$1&amp;""[\w &amp;]*, (\d+\.\d+)""),"""")
"),"")</f>
        <v/>
      </c>
      <c r="H1005" s="3"/>
      <c r="I1005" s="3" t="str">
        <f aca="false">IFERROR(__xludf.dummyfunction("if($T1005&lt;&gt;"""",REGEXEXTRACT(SUBSTITUTE ($T1005,I$1&amp;"" CE"",""""), I$1&amp;""[\w &amp;]*, (\d+\.\d+)""),"""")
"),"")</f>
        <v/>
      </c>
      <c r="J1005" s="3" t="str">
        <f aca="false">IFERROR(__xludf.dummyfunction("if($T1005&lt;&gt;"""",REGEXEXTRACT($T1005, J$1&amp;""[\w &amp;]*, (\d+\.\d+)""),"""")
"),"")</f>
        <v/>
      </c>
      <c r="K1005" s="3"/>
      <c r="L1005" s="3" t="str">
        <f aca="false">IFERROR(__xludf.dummyfunction("if($T1005&lt;&gt;"""",REGEXEXTRACT(SUBSTITUTE ($T1005,L$1&amp;"" CE"",""""), L$1&amp;""[\w &amp;]*, (\d+\.\d+)""),"""")
"),"")</f>
        <v/>
      </c>
      <c r="M1005" s="3" t="str">
        <f aca="false">IFERROR(__xludf.dummyfunction("if($T1005&lt;&gt;"""",REGEXEXTRACT($T1005, M$1&amp;""[\w &amp;]*, (\d+\.\d+)""),"""")
"),"")</f>
        <v/>
      </c>
      <c r="N1005" s="3" t="str">
        <f aca="false">IFERROR(__xludf.dummyfunction("if($T1005&lt;&gt;"""",REGEXEXTRACT(SUBSTITUTE ($T1005,N$1&amp;"" CE"",""""), N$1&amp;""[\w &amp;]*, (\d+\.\d+)""),"""")
"),"")</f>
        <v/>
      </c>
      <c r="O1005" s="3" t="str">
        <f aca="false">IFERROR(__xludf.dummyfunction("if($T1005&lt;&gt;"""",REGEXEXTRACT($T1005, O$1&amp;""[\w &amp;]*, (\d+\.\d+)""),"""")
"),"")</f>
        <v/>
      </c>
      <c r="P1005" s="2"/>
      <c r="Q1005" s="2"/>
      <c r="R1005" s="2"/>
      <c r="S1005" s="2"/>
      <c r="T1005" s="5"/>
      <c r="U1005" s="5"/>
    </row>
    <row r="1006" customFormat="false" ht="15.75" hidden="false" customHeight="false" outlineLevel="0" collapsed="false">
      <c r="A1006" s="4"/>
      <c r="B1006" s="2"/>
      <c r="C1006" s="2"/>
      <c r="D1006" s="2"/>
      <c r="E1006" s="2"/>
      <c r="F1006" s="3" t="str">
        <f aca="false">IFERROR(__xludf.dummyfunction("if($T1006&lt;&gt;"""",REGEXEXTRACT(SUBSTITUTE ($T1006,F$1&amp;"" CE"",""""), F$1&amp;""[\w &amp;]*, (\d+\.\d+)""),"""")
"),"")</f>
        <v/>
      </c>
      <c r="G1006" s="3" t="str">
        <f aca="false">IFERROR(__xludf.dummyfunction("if($T1006&lt;&gt;"""",REGEXEXTRACT($T1006, G$1&amp;""[\w &amp;]*, (\d+\.\d+)""),"""")
"),"")</f>
        <v/>
      </c>
      <c r="H1006" s="3"/>
      <c r="I1006" s="3" t="str">
        <f aca="false">IFERROR(__xludf.dummyfunction("if($T1006&lt;&gt;"""",REGEXEXTRACT(SUBSTITUTE ($T1006,I$1&amp;"" CE"",""""), I$1&amp;""[\w &amp;]*, (\d+\.\d+)""),"""")
"),"")</f>
        <v/>
      </c>
      <c r="J1006" s="3" t="str">
        <f aca="false">IFERROR(__xludf.dummyfunction("if($T1006&lt;&gt;"""",REGEXEXTRACT($T1006, J$1&amp;""[\w &amp;]*, (\d+\.\d+)""),"""")
"),"")</f>
        <v/>
      </c>
      <c r="K1006" s="3"/>
      <c r="L1006" s="3" t="str">
        <f aca="false">IFERROR(__xludf.dummyfunction("if($T1006&lt;&gt;"""",REGEXEXTRACT(SUBSTITUTE ($T1006,L$1&amp;"" CE"",""""), L$1&amp;""[\w &amp;]*, (\d+\.\d+)""),"""")
"),"")</f>
        <v/>
      </c>
      <c r="M1006" s="3" t="str">
        <f aca="false">IFERROR(__xludf.dummyfunction("if($T1006&lt;&gt;"""",REGEXEXTRACT($T1006, M$1&amp;""[\w &amp;]*, (\d+\.\d+)""),"""")
"),"")</f>
        <v/>
      </c>
      <c r="N1006" s="3" t="str">
        <f aca="false">IFERROR(__xludf.dummyfunction("if($T1006&lt;&gt;"""",REGEXEXTRACT(SUBSTITUTE ($T1006,N$1&amp;"" CE"",""""), N$1&amp;""[\w &amp;]*, (\d+\.\d+)""),"""")
"),"")</f>
        <v/>
      </c>
      <c r="O1006" s="3" t="str">
        <f aca="false">IFERROR(__xludf.dummyfunction("if($T1006&lt;&gt;"""",REGEXEXTRACT($T1006, O$1&amp;""[\w &amp;]*, (\d+\.\d+)""),"""")
"),"")</f>
        <v/>
      </c>
      <c r="P1006" s="2"/>
      <c r="Q1006" s="2"/>
      <c r="R1006" s="2"/>
      <c r="S1006" s="2"/>
      <c r="T1006" s="5"/>
      <c r="U1006" s="5"/>
    </row>
    <row r="1007" customFormat="false" ht="15.75" hidden="false" customHeight="false" outlineLevel="0" collapsed="false">
      <c r="A1007" s="4"/>
      <c r="B1007" s="2"/>
      <c r="C1007" s="2"/>
      <c r="D1007" s="2"/>
      <c r="E1007" s="2"/>
      <c r="F1007" s="3" t="str">
        <f aca="false">IFERROR(__xludf.dummyfunction("if($T1007&lt;&gt;"""",REGEXEXTRACT(SUBSTITUTE ($T1007,F$1&amp;"" CE"",""""), F$1&amp;""[\w &amp;]*, (\d+\.\d+)""),"""")
"),"")</f>
        <v/>
      </c>
      <c r="G1007" s="3" t="str">
        <f aca="false">IFERROR(__xludf.dummyfunction("if($T1007&lt;&gt;"""",REGEXEXTRACT($T1007, G$1&amp;""[\w &amp;]*, (\d+\.\d+)""),"""")
"),"")</f>
        <v/>
      </c>
      <c r="H1007" s="3"/>
      <c r="I1007" s="3" t="str">
        <f aca="false">IFERROR(__xludf.dummyfunction("if($T1007&lt;&gt;"""",REGEXEXTRACT(SUBSTITUTE ($T1007,I$1&amp;"" CE"",""""), I$1&amp;""[\w &amp;]*, (\d+\.\d+)""),"""")
"),"")</f>
        <v/>
      </c>
      <c r="J1007" s="3" t="str">
        <f aca="false">IFERROR(__xludf.dummyfunction("if($T1007&lt;&gt;"""",REGEXEXTRACT($T1007, J$1&amp;""[\w &amp;]*, (\d+\.\d+)""),"""")
"),"")</f>
        <v/>
      </c>
      <c r="K1007" s="3"/>
      <c r="L1007" s="3" t="str">
        <f aca="false">IFERROR(__xludf.dummyfunction("if($T1007&lt;&gt;"""",REGEXEXTRACT(SUBSTITUTE ($T1007,L$1&amp;"" CE"",""""), L$1&amp;""[\w &amp;]*, (\d+\.\d+)""),"""")
"),"")</f>
        <v/>
      </c>
      <c r="M1007" s="3" t="str">
        <f aca="false">IFERROR(__xludf.dummyfunction("if($T1007&lt;&gt;"""",REGEXEXTRACT($T1007, M$1&amp;""[\w &amp;]*, (\d+\.\d+)""),"""")
"),"")</f>
        <v/>
      </c>
      <c r="N1007" s="3" t="str">
        <f aca="false">IFERROR(__xludf.dummyfunction("if($T1007&lt;&gt;"""",REGEXEXTRACT(SUBSTITUTE ($T1007,N$1&amp;"" CE"",""""), N$1&amp;""[\w &amp;]*, (\d+\.\d+)""),"""")
"),"")</f>
        <v/>
      </c>
      <c r="O1007" s="3" t="str">
        <f aca="false">IFERROR(__xludf.dummyfunction("if($T1007&lt;&gt;"""",REGEXEXTRACT($T1007, O$1&amp;""[\w &amp;]*, (\d+\.\d+)""),"""")
"),"")</f>
        <v/>
      </c>
      <c r="P1007" s="2"/>
      <c r="Q1007" s="2"/>
      <c r="R1007" s="2"/>
      <c r="S1007" s="2"/>
      <c r="T1007" s="5"/>
      <c r="U1007" s="5"/>
    </row>
    <row r="1008" customFormat="false" ht="15.75" hidden="false" customHeight="false" outlineLevel="0" collapsed="false">
      <c r="A1008" s="4"/>
      <c r="B1008" s="2"/>
      <c r="C1008" s="2"/>
      <c r="D1008" s="2"/>
      <c r="E1008" s="2"/>
      <c r="F1008" s="3" t="str">
        <f aca="false">IFERROR(__xludf.dummyfunction("if($T1008&lt;&gt;"""",REGEXEXTRACT(SUBSTITUTE ($T1008,F$1&amp;"" CE"",""""), F$1&amp;""[\w &amp;]*, (\d+\.\d+)""),"""")
"),"")</f>
        <v/>
      </c>
      <c r="G1008" s="3" t="str">
        <f aca="false">IFERROR(__xludf.dummyfunction("if($T1008&lt;&gt;"""",REGEXEXTRACT($T1008, G$1&amp;""[\w &amp;]*, (\d+\.\d+)""),"""")
"),"")</f>
        <v/>
      </c>
      <c r="H1008" s="3"/>
      <c r="I1008" s="3" t="str">
        <f aca="false">IFERROR(__xludf.dummyfunction("if($T1008&lt;&gt;"""",REGEXEXTRACT(SUBSTITUTE ($T1008,I$1&amp;"" CE"",""""), I$1&amp;""[\w &amp;]*, (\d+\.\d+)""),"""")
"),"")</f>
        <v/>
      </c>
      <c r="J1008" s="3" t="str">
        <f aca="false">IFERROR(__xludf.dummyfunction("if($T1008&lt;&gt;"""",REGEXEXTRACT($T1008, J$1&amp;""[\w &amp;]*, (\d+\.\d+)""),"""")
"),"")</f>
        <v/>
      </c>
      <c r="K1008" s="3"/>
      <c r="L1008" s="3" t="str">
        <f aca="false">IFERROR(__xludf.dummyfunction("if($T1008&lt;&gt;"""",REGEXEXTRACT(SUBSTITUTE ($T1008,L$1&amp;"" CE"",""""), L$1&amp;""[\w &amp;]*, (\d+\.\d+)""),"""")
"),"")</f>
        <v/>
      </c>
      <c r="M1008" s="3" t="str">
        <f aca="false">IFERROR(__xludf.dummyfunction("if($T1008&lt;&gt;"""",REGEXEXTRACT($T1008, M$1&amp;""[\w &amp;]*, (\d+\.\d+)""),"""")
"),"")</f>
        <v/>
      </c>
      <c r="N1008" s="3" t="str">
        <f aca="false">IFERROR(__xludf.dummyfunction("if($T1008&lt;&gt;"""",REGEXEXTRACT(SUBSTITUTE ($T1008,N$1&amp;"" CE"",""""), N$1&amp;""[\w &amp;]*, (\d+\.\d+)""),"""")
"),"")</f>
        <v/>
      </c>
      <c r="O1008" s="3" t="str">
        <f aca="false">IFERROR(__xludf.dummyfunction("if($T1008&lt;&gt;"""",REGEXEXTRACT($T1008, O$1&amp;""[\w &amp;]*, (\d+\.\d+)""),"""")
"),"")</f>
        <v/>
      </c>
      <c r="P1008" s="2"/>
      <c r="Q1008" s="2"/>
      <c r="R1008" s="2"/>
      <c r="S1008" s="2"/>
      <c r="T1008" s="5"/>
      <c r="U1008" s="5"/>
    </row>
    <row r="1009" customFormat="false" ht="15.75" hidden="false" customHeight="false" outlineLevel="0" collapsed="false">
      <c r="A1009" s="4"/>
      <c r="B1009" s="2"/>
      <c r="C1009" s="2"/>
      <c r="D1009" s="2"/>
      <c r="E1009" s="2"/>
      <c r="F1009" s="3" t="str">
        <f aca="false">IFERROR(__xludf.dummyfunction("if($T1009&lt;&gt;"""",REGEXEXTRACT(SUBSTITUTE ($T1009,F$1&amp;"" CE"",""""), F$1&amp;""[\w &amp;]*, (\d+\.\d+)""),"""")
"),"")</f>
        <v/>
      </c>
      <c r="G1009" s="3" t="str">
        <f aca="false">IFERROR(__xludf.dummyfunction("if($T1009&lt;&gt;"""",REGEXEXTRACT($T1009, G$1&amp;""[\w &amp;]*, (\d+\.\d+)""),"""")
"),"")</f>
        <v/>
      </c>
      <c r="H1009" s="3"/>
      <c r="I1009" s="3" t="str">
        <f aca="false">IFERROR(__xludf.dummyfunction("if($T1009&lt;&gt;"""",REGEXEXTRACT(SUBSTITUTE ($T1009,I$1&amp;"" CE"",""""), I$1&amp;""[\w &amp;]*, (\d+\.\d+)""),"""")
"),"")</f>
        <v/>
      </c>
      <c r="J1009" s="3" t="str">
        <f aca="false">IFERROR(__xludf.dummyfunction("if($T1009&lt;&gt;"""",REGEXEXTRACT($T1009, J$1&amp;""[\w &amp;]*, (\d+\.\d+)""),"""")
"),"")</f>
        <v/>
      </c>
      <c r="K1009" s="3"/>
      <c r="L1009" s="3" t="str">
        <f aca="false">IFERROR(__xludf.dummyfunction("if($T1009&lt;&gt;"""",REGEXEXTRACT(SUBSTITUTE ($T1009,L$1&amp;"" CE"",""""), L$1&amp;""[\w &amp;]*, (\d+\.\d+)""),"""")
"),"")</f>
        <v/>
      </c>
      <c r="M1009" s="3" t="str">
        <f aca="false">IFERROR(__xludf.dummyfunction("if($T1009&lt;&gt;"""",REGEXEXTRACT($T1009, M$1&amp;""[\w &amp;]*, (\d+\.\d+)""),"""")
"),"")</f>
        <v/>
      </c>
      <c r="N1009" s="3" t="str">
        <f aca="false">IFERROR(__xludf.dummyfunction("if($T1009&lt;&gt;"""",REGEXEXTRACT(SUBSTITUTE ($T1009,N$1&amp;"" CE"",""""), N$1&amp;""[\w &amp;]*, (\d+\.\d+)""),"""")
"),"")</f>
        <v/>
      </c>
      <c r="O1009" s="3" t="str">
        <f aca="false">IFERROR(__xludf.dummyfunction("if($T1009&lt;&gt;"""",REGEXEXTRACT($T1009, O$1&amp;""[\w &amp;]*, (\d+\.\d+)""),"""")
"),"")</f>
        <v/>
      </c>
      <c r="P1009" s="2"/>
      <c r="Q1009" s="2"/>
      <c r="R1009" s="2"/>
      <c r="S1009" s="2"/>
      <c r="T1009" s="5"/>
      <c r="U1009" s="5"/>
    </row>
    <row r="1010" customFormat="false" ht="15.75" hidden="false" customHeight="false" outlineLevel="0" collapsed="false">
      <c r="A1010" s="4"/>
      <c r="B1010" s="2"/>
      <c r="C1010" s="2"/>
      <c r="D1010" s="2"/>
      <c r="E1010" s="2"/>
      <c r="F1010" s="3" t="str">
        <f aca="false">IFERROR(__xludf.dummyfunction("if($T1010&lt;&gt;"""",REGEXEXTRACT(SUBSTITUTE ($T1010,F$1&amp;"" CE"",""""), F$1&amp;""[\w &amp;]*, (\d+\.\d+)""),"""")
"),"")</f>
        <v/>
      </c>
      <c r="G1010" s="3" t="str">
        <f aca="false">IFERROR(__xludf.dummyfunction("if($T1010&lt;&gt;"""",REGEXEXTRACT($T1010, G$1&amp;""[\w &amp;]*, (\d+\.\d+)""),"""")
"),"")</f>
        <v/>
      </c>
      <c r="H1010" s="3"/>
      <c r="I1010" s="3" t="str">
        <f aca="false">IFERROR(__xludf.dummyfunction("if($T1010&lt;&gt;"""",REGEXEXTRACT(SUBSTITUTE ($T1010,I$1&amp;"" CE"",""""), I$1&amp;""[\w &amp;]*, (\d+\.\d+)""),"""")
"),"")</f>
        <v/>
      </c>
      <c r="J1010" s="3" t="str">
        <f aca="false">IFERROR(__xludf.dummyfunction("if($T1010&lt;&gt;"""",REGEXEXTRACT($T1010, J$1&amp;""[\w &amp;]*, (\d+\.\d+)""),"""")
"),"")</f>
        <v/>
      </c>
      <c r="K1010" s="3"/>
      <c r="L1010" s="3" t="str">
        <f aca="false">IFERROR(__xludf.dummyfunction("if($T1010&lt;&gt;"""",REGEXEXTRACT(SUBSTITUTE ($T1010,L$1&amp;"" CE"",""""), L$1&amp;""[\w &amp;]*, (\d+\.\d+)""),"""")
"),"")</f>
        <v/>
      </c>
      <c r="M1010" s="3" t="str">
        <f aca="false">IFERROR(__xludf.dummyfunction("if($T1010&lt;&gt;"""",REGEXEXTRACT($T1010, M$1&amp;""[\w &amp;]*, (\d+\.\d+)""),"""")
"),"")</f>
        <v/>
      </c>
      <c r="N1010" s="3" t="str">
        <f aca="false">IFERROR(__xludf.dummyfunction("if($T1010&lt;&gt;"""",REGEXEXTRACT(SUBSTITUTE ($T1010,N$1&amp;"" CE"",""""), N$1&amp;""[\w &amp;]*, (\d+\.\d+)""),"""")
"),"")</f>
        <v/>
      </c>
      <c r="O1010" s="3" t="str">
        <f aca="false">IFERROR(__xludf.dummyfunction("if($T1010&lt;&gt;"""",REGEXEXTRACT($T1010, O$1&amp;""[\w &amp;]*, (\d+\.\d+)""),"""")
"),"")</f>
        <v/>
      </c>
      <c r="P1010" s="2"/>
      <c r="Q1010" s="2"/>
      <c r="R1010" s="2"/>
      <c r="S1010" s="2"/>
      <c r="T1010" s="5"/>
      <c r="U1010" s="5"/>
    </row>
    <row r="1011" customFormat="false" ht="15.75" hidden="false" customHeight="false" outlineLevel="0" collapsed="false">
      <c r="A1011" s="4"/>
      <c r="B1011" s="2"/>
      <c r="C1011" s="2"/>
      <c r="D1011" s="2"/>
      <c r="E1011" s="2"/>
      <c r="F1011" s="3" t="str">
        <f aca="false">IFERROR(__xludf.dummyfunction("if($T1011&lt;&gt;"""",REGEXEXTRACT(SUBSTITUTE ($T1011,F$1&amp;"" CE"",""""), F$1&amp;""[\w &amp;]*, (\d+\.\d+)""),"""")
"),"")</f>
        <v/>
      </c>
      <c r="G1011" s="3" t="str">
        <f aca="false">IFERROR(__xludf.dummyfunction("if($T1011&lt;&gt;"""",REGEXEXTRACT($T1011, G$1&amp;""[\w &amp;]*, (\d+\.\d+)""),"""")
"),"")</f>
        <v/>
      </c>
      <c r="H1011" s="3"/>
      <c r="I1011" s="3" t="str">
        <f aca="false">IFERROR(__xludf.dummyfunction("if($T1011&lt;&gt;"""",REGEXEXTRACT(SUBSTITUTE ($T1011,I$1&amp;"" CE"",""""), I$1&amp;""[\w &amp;]*, (\d+\.\d+)""),"""")
"),"")</f>
        <v/>
      </c>
      <c r="J1011" s="3" t="str">
        <f aca="false">IFERROR(__xludf.dummyfunction("if($T1011&lt;&gt;"""",REGEXEXTRACT($T1011, J$1&amp;""[\w &amp;]*, (\d+\.\d+)""),"""")
"),"")</f>
        <v/>
      </c>
      <c r="K1011" s="3"/>
      <c r="L1011" s="3" t="str">
        <f aca="false">IFERROR(__xludf.dummyfunction("if($T1011&lt;&gt;"""",REGEXEXTRACT(SUBSTITUTE ($T1011,L$1&amp;"" CE"",""""), L$1&amp;""[\w &amp;]*, (\d+\.\d+)""),"""")
"),"")</f>
        <v/>
      </c>
      <c r="M1011" s="3" t="str">
        <f aca="false">IFERROR(__xludf.dummyfunction("if($T1011&lt;&gt;"""",REGEXEXTRACT($T1011, M$1&amp;""[\w &amp;]*, (\d+\.\d+)""),"""")
"),"")</f>
        <v/>
      </c>
      <c r="N1011" s="3" t="str">
        <f aca="false">IFERROR(__xludf.dummyfunction("if($T1011&lt;&gt;"""",REGEXEXTRACT(SUBSTITUTE ($T1011,N$1&amp;"" CE"",""""), N$1&amp;""[\w &amp;]*, (\d+\.\d+)""),"""")
"),"")</f>
        <v/>
      </c>
      <c r="O1011" s="3" t="str">
        <f aca="false">IFERROR(__xludf.dummyfunction("if($T1011&lt;&gt;"""",REGEXEXTRACT($T1011, O$1&amp;""[\w &amp;]*, (\d+\.\d+)""),"""")
"),"")</f>
        <v/>
      </c>
      <c r="P1011" s="2"/>
      <c r="Q1011" s="2"/>
      <c r="R1011" s="2"/>
      <c r="S1011" s="2"/>
      <c r="T1011" s="5"/>
      <c r="U1011" s="5"/>
    </row>
    <row r="1012" customFormat="false" ht="15.75" hidden="false" customHeight="false" outlineLevel="0" collapsed="false">
      <c r="A1012" s="4"/>
      <c r="B1012" s="2"/>
      <c r="C1012" s="2"/>
      <c r="D1012" s="2"/>
      <c r="E1012" s="2"/>
      <c r="F1012" s="3" t="str">
        <f aca="false">IFERROR(__xludf.dummyfunction("if($T1012&lt;&gt;"""",REGEXEXTRACT(SUBSTITUTE ($T1012,F$1&amp;"" CE"",""""), F$1&amp;""[\w &amp;]*, (\d+\.\d+)""),"""")
"),"")</f>
        <v/>
      </c>
      <c r="G1012" s="3" t="str">
        <f aca="false">IFERROR(__xludf.dummyfunction("if($T1012&lt;&gt;"""",REGEXEXTRACT($T1012, G$1&amp;""[\w &amp;]*, (\d+\.\d+)""),"""")
"),"")</f>
        <v/>
      </c>
      <c r="H1012" s="3"/>
      <c r="I1012" s="3" t="str">
        <f aca="false">IFERROR(__xludf.dummyfunction("if($T1012&lt;&gt;"""",REGEXEXTRACT(SUBSTITUTE ($T1012,I$1&amp;"" CE"",""""), I$1&amp;""[\w &amp;]*, (\d+\.\d+)""),"""")
"),"")</f>
        <v/>
      </c>
      <c r="J1012" s="3" t="str">
        <f aca="false">IFERROR(__xludf.dummyfunction("if($T1012&lt;&gt;"""",REGEXEXTRACT($T1012, J$1&amp;""[\w &amp;]*, (\d+\.\d+)""),"""")
"),"")</f>
        <v/>
      </c>
      <c r="K1012" s="3"/>
      <c r="L1012" s="3" t="str">
        <f aca="false">IFERROR(__xludf.dummyfunction("if($T1012&lt;&gt;"""",REGEXEXTRACT(SUBSTITUTE ($T1012,L$1&amp;"" CE"",""""), L$1&amp;""[\w &amp;]*, (\d+\.\d+)""),"""")
"),"")</f>
        <v/>
      </c>
      <c r="M1012" s="3" t="str">
        <f aca="false">IFERROR(__xludf.dummyfunction("if($T1012&lt;&gt;"""",REGEXEXTRACT($T1012, M$1&amp;""[\w &amp;]*, (\d+\.\d+)""),"""")
"),"")</f>
        <v/>
      </c>
      <c r="N1012" s="3" t="str">
        <f aca="false">IFERROR(__xludf.dummyfunction("if($T1012&lt;&gt;"""",REGEXEXTRACT(SUBSTITUTE ($T1012,N$1&amp;"" CE"",""""), N$1&amp;""[\w &amp;]*, (\d+\.\d+)""),"""")
"),"")</f>
        <v/>
      </c>
      <c r="O1012" s="3" t="str">
        <f aca="false">IFERROR(__xludf.dummyfunction("if($T1012&lt;&gt;"""",REGEXEXTRACT($T1012, O$1&amp;""[\w &amp;]*, (\d+\.\d+)""),"""")
"),"")</f>
        <v/>
      </c>
      <c r="P1012" s="2"/>
      <c r="Q1012" s="2"/>
      <c r="R1012" s="2"/>
      <c r="S1012" s="2"/>
      <c r="T1012" s="5"/>
      <c r="U1012" s="5"/>
    </row>
    <row r="1013" customFormat="false" ht="15.75" hidden="false" customHeight="false" outlineLevel="0" collapsed="false">
      <c r="A1013" s="4"/>
      <c r="B1013" s="2"/>
      <c r="C1013" s="2"/>
      <c r="D1013" s="2"/>
      <c r="E1013" s="2"/>
      <c r="F1013" s="3" t="str">
        <f aca="false">IFERROR(__xludf.dummyfunction("if($T1013&lt;&gt;"""",REGEXEXTRACT(SUBSTITUTE ($T1013,F$1&amp;"" CE"",""""), F$1&amp;""[\w &amp;]*, (\d+\.\d+)""),"""")
"),"")</f>
        <v/>
      </c>
      <c r="G1013" s="3" t="str">
        <f aca="false">IFERROR(__xludf.dummyfunction("if($T1013&lt;&gt;"""",REGEXEXTRACT($T1013, G$1&amp;""[\w &amp;]*, (\d+\.\d+)""),"""")
"),"")</f>
        <v/>
      </c>
      <c r="H1013" s="3"/>
      <c r="I1013" s="3" t="str">
        <f aca="false">IFERROR(__xludf.dummyfunction("if($T1013&lt;&gt;"""",REGEXEXTRACT(SUBSTITUTE ($T1013,I$1&amp;"" CE"",""""), I$1&amp;""[\w &amp;]*, (\d+\.\d+)""),"""")
"),"")</f>
        <v/>
      </c>
      <c r="J1013" s="3" t="str">
        <f aca="false">IFERROR(__xludf.dummyfunction("if($T1013&lt;&gt;"""",REGEXEXTRACT($T1013, J$1&amp;""[\w &amp;]*, (\d+\.\d+)""),"""")
"),"")</f>
        <v/>
      </c>
      <c r="K1013" s="3"/>
      <c r="L1013" s="3" t="str">
        <f aca="false">IFERROR(__xludf.dummyfunction("if($T1013&lt;&gt;"""",REGEXEXTRACT(SUBSTITUTE ($T1013,L$1&amp;"" CE"",""""), L$1&amp;""[\w &amp;]*, (\d+\.\d+)""),"""")
"),"")</f>
        <v/>
      </c>
      <c r="M1013" s="3" t="str">
        <f aca="false">IFERROR(__xludf.dummyfunction("if($T1013&lt;&gt;"""",REGEXEXTRACT($T1013, M$1&amp;""[\w &amp;]*, (\d+\.\d+)""),"""")
"),"")</f>
        <v/>
      </c>
      <c r="N1013" s="3" t="str">
        <f aca="false">IFERROR(__xludf.dummyfunction("if($T1013&lt;&gt;"""",REGEXEXTRACT(SUBSTITUTE ($T1013,N$1&amp;"" CE"",""""), N$1&amp;""[\w &amp;]*, (\d+\.\d+)""),"""")
"),"")</f>
        <v/>
      </c>
      <c r="O1013" s="3" t="str">
        <f aca="false">IFERROR(__xludf.dummyfunction("if($T1013&lt;&gt;"""",REGEXEXTRACT($T1013, O$1&amp;""[\w &amp;]*, (\d+\.\d+)""),"""")
"),"")</f>
        <v/>
      </c>
      <c r="P1013" s="2"/>
      <c r="Q1013" s="2"/>
      <c r="R1013" s="2"/>
      <c r="S1013" s="2"/>
      <c r="T1013" s="5"/>
      <c r="U1013" s="5"/>
    </row>
    <row r="1014" customFormat="false" ht="15.75" hidden="false" customHeight="false" outlineLevel="0" collapsed="false">
      <c r="A1014" s="4"/>
      <c r="B1014" s="2"/>
      <c r="C1014" s="2"/>
      <c r="D1014" s="2"/>
      <c r="E1014" s="2"/>
      <c r="F1014" s="3" t="str">
        <f aca="false">IFERROR(__xludf.dummyfunction("if($T1014&lt;&gt;"""",REGEXEXTRACT(SUBSTITUTE ($T1014,F$1&amp;"" CE"",""""), F$1&amp;""[\w &amp;]*, (\d+\.\d+)""),"""")
"),"")</f>
        <v/>
      </c>
      <c r="G1014" s="3" t="str">
        <f aca="false">IFERROR(__xludf.dummyfunction("if($T1014&lt;&gt;"""",REGEXEXTRACT($T1014, G$1&amp;""[\w &amp;]*, (\d+\.\d+)""),"""")
"),"")</f>
        <v/>
      </c>
      <c r="H1014" s="3"/>
      <c r="I1014" s="3" t="str">
        <f aca="false">IFERROR(__xludf.dummyfunction("if($T1014&lt;&gt;"""",REGEXEXTRACT(SUBSTITUTE ($T1014,I$1&amp;"" CE"",""""), I$1&amp;""[\w &amp;]*, (\d+\.\d+)""),"""")
"),"")</f>
        <v/>
      </c>
      <c r="J1014" s="3" t="str">
        <f aca="false">IFERROR(__xludf.dummyfunction("if($T1014&lt;&gt;"""",REGEXEXTRACT($T1014, J$1&amp;""[\w &amp;]*, (\d+\.\d+)""),"""")
"),"")</f>
        <v/>
      </c>
      <c r="K1014" s="3"/>
      <c r="L1014" s="3" t="str">
        <f aca="false">IFERROR(__xludf.dummyfunction("if($T1014&lt;&gt;"""",REGEXEXTRACT(SUBSTITUTE ($T1014,L$1&amp;"" CE"",""""), L$1&amp;""[\w &amp;]*, (\d+\.\d+)""),"""")
"),"")</f>
        <v/>
      </c>
      <c r="M1014" s="3" t="str">
        <f aca="false">IFERROR(__xludf.dummyfunction("if($T1014&lt;&gt;"""",REGEXEXTRACT($T1014, M$1&amp;""[\w &amp;]*, (\d+\.\d+)""),"""")
"),"")</f>
        <v/>
      </c>
      <c r="N1014" s="3" t="str">
        <f aca="false">IFERROR(__xludf.dummyfunction("if($T1014&lt;&gt;"""",REGEXEXTRACT(SUBSTITUTE ($T1014,N$1&amp;"" CE"",""""), N$1&amp;""[\w &amp;]*, (\d+\.\d+)""),"""")
"),"")</f>
        <v/>
      </c>
      <c r="O1014" s="3" t="str">
        <f aca="false">IFERROR(__xludf.dummyfunction("if($T1014&lt;&gt;"""",REGEXEXTRACT($T1014, O$1&amp;""[\w &amp;]*, (\d+\.\d+)""),"""")
"),"")</f>
        <v/>
      </c>
      <c r="P1014" s="2"/>
      <c r="Q1014" s="2"/>
      <c r="R1014" s="2"/>
      <c r="S1014" s="2"/>
      <c r="T1014" s="5"/>
      <c r="U1014" s="5"/>
    </row>
    <row r="1015" customFormat="false" ht="15.75" hidden="false" customHeight="false" outlineLevel="0" collapsed="false">
      <c r="A1015" s="4"/>
      <c r="B1015" s="2"/>
      <c r="C1015" s="2"/>
      <c r="D1015" s="2"/>
      <c r="E1015" s="2"/>
      <c r="F1015" s="3" t="str">
        <f aca="false">IFERROR(__xludf.dummyfunction("if($T1015&lt;&gt;"""",REGEXEXTRACT(SUBSTITUTE ($T1015,F$1&amp;"" CE"",""""), F$1&amp;""[\w &amp;]*, (\d+\.\d+)""),"""")
"),"")</f>
        <v/>
      </c>
      <c r="G1015" s="3" t="str">
        <f aca="false">IFERROR(__xludf.dummyfunction("if($T1015&lt;&gt;"""",REGEXEXTRACT($T1015, G$1&amp;""[\w &amp;]*, (\d+\.\d+)""),"""")
"),"")</f>
        <v/>
      </c>
      <c r="H1015" s="3"/>
      <c r="I1015" s="3" t="str">
        <f aca="false">IFERROR(__xludf.dummyfunction("if($T1015&lt;&gt;"""",REGEXEXTRACT(SUBSTITUTE ($T1015,I$1&amp;"" CE"",""""), I$1&amp;""[\w &amp;]*, (\d+\.\d+)""),"""")
"),"")</f>
        <v/>
      </c>
      <c r="J1015" s="3" t="str">
        <f aca="false">IFERROR(__xludf.dummyfunction("if($T1015&lt;&gt;"""",REGEXEXTRACT($T1015, J$1&amp;""[\w &amp;]*, (\d+\.\d+)""),"""")
"),"")</f>
        <v/>
      </c>
      <c r="K1015" s="3"/>
      <c r="L1015" s="3" t="str">
        <f aca="false">IFERROR(__xludf.dummyfunction("if($T1015&lt;&gt;"""",REGEXEXTRACT(SUBSTITUTE ($T1015,L$1&amp;"" CE"",""""), L$1&amp;""[\w &amp;]*, (\d+\.\d+)""),"""")
"),"")</f>
        <v/>
      </c>
      <c r="M1015" s="3" t="str">
        <f aca="false">IFERROR(__xludf.dummyfunction("if($T1015&lt;&gt;"""",REGEXEXTRACT($T1015, M$1&amp;""[\w &amp;]*, (\d+\.\d+)""),"""")
"),"")</f>
        <v/>
      </c>
      <c r="N1015" s="3" t="str">
        <f aca="false">IFERROR(__xludf.dummyfunction("if($T1015&lt;&gt;"""",REGEXEXTRACT(SUBSTITUTE ($T1015,N$1&amp;"" CE"",""""), N$1&amp;""[\w &amp;]*, (\d+\.\d+)""),"""")
"),"")</f>
        <v/>
      </c>
      <c r="O1015" s="3" t="str">
        <f aca="false">IFERROR(__xludf.dummyfunction("if($T1015&lt;&gt;"""",REGEXEXTRACT($T1015, O$1&amp;""[\w &amp;]*, (\d+\.\d+)""),"""")
"),"")</f>
        <v/>
      </c>
      <c r="P1015" s="2"/>
      <c r="Q1015" s="2"/>
      <c r="R1015" s="2"/>
      <c r="S1015" s="2"/>
      <c r="T1015" s="5"/>
      <c r="U1015" s="5"/>
    </row>
    <row r="1016" customFormat="false" ht="15.75" hidden="false" customHeight="false" outlineLevel="0" collapsed="false">
      <c r="A1016" s="4"/>
      <c r="B1016" s="2"/>
      <c r="C1016" s="2"/>
      <c r="D1016" s="2"/>
      <c r="E1016" s="2"/>
      <c r="F1016" s="3" t="str">
        <f aca="false">IFERROR(__xludf.dummyfunction("if($T1016&lt;&gt;"""",REGEXEXTRACT(SUBSTITUTE ($T1016,F$1&amp;"" CE"",""""), F$1&amp;""[\w &amp;]*, (\d+\.\d+)""),"""")
"),"")</f>
        <v/>
      </c>
      <c r="G1016" s="3" t="str">
        <f aca="false">IFERROR(__xludf.dummyfunction("if($T1016&lt;&gt;"""",REGEXEXTRACT($T1016, G$1&amp;""[\w &amp;]*, (\d+\.\d+)""),"""")
"),"")</f>
        <v/>
      </c>
      <c r="H1016" s="3"/>
      <c r="I1016" s="3" t="str">
        <f aca="false">IFERROR(__xludf.dummyfunction("if($T1016&lt;&gt;"""",REGEXEXTRACT(SUBSTITUTE ($T1016,I$1&amp;"" CE"",""""), I$1&amp;""[\w &amp;]*, (\d+\.\d+)""),"""")
"),"")</f>
        <v/>
      </c>
      <c r="J1016" s="3" t="str">
        <f aca="false">IFERROR(__xludf.dummyfunction("if($T1016&lt;&gt;"""",REGEXEXTRACT($T1016, J$1&amp;""[\w &amp;]*, (\d+\.\d+)""),"""")
"),"")</f>
        <v/>
      </c>
      <c r="K1016" s="3"/>
      <c r="L1016" s="3" t="str">
        <f aca="false">IFERROR(__xludf.dummyfunction("if($T1016&lt;&gt;"""",REGEXEXTRACT(SUBSTITUTE ($T1016,L$1&amp;"" CE"",""""), L$1&amp;""[\w &amp;]*, (\d+\.\d+)""),"""")
"),"")</f>
        <v/>
      </c>
      <c r="M1016" s="3" t="str">
        <f aca="false">IFERROR(__xludf.dummyfunction("if($T1016&lt;&gt;"""",REGEXEXTRACT($T1016, M$1&amp;""[\w &amp;]*, (\d+\.\d+)""),"""")
"),"")</f>
        <v/>
      </c>
      <c r="N1016" s="3" t="str">
        <f aca="false">IFERROR(__xludf.dummyfunction("if($T1016&lt;&gt;"""",REGEXEXTRACT(SUBSTITUTE ($T1016,N$1&amp;"" CE"",""""), N$1&amp;""[\w &amp;]*, (\d+\.\d+)""),"""")
"),"")</f>
        <v/>
      </c>
      <c r="O1016" s="3" t="str">
        <f aca="false">IFERROR(__xludf.dummyfunction("if($T1016&lt;&gt;"""",REGEXEXTRACT($T1016, O$1&amp;""[\w &amp;]*, (\d+\.\d+)""),"""")
"),"")</f>
        <v/>
      </c>
      <c r="P1016" s="2"/>
      <c r="Q1016" s="2"/>
      <c r="R1016" s="2"/>
      <c r="S1016" s="2"/>
      <c r="T1016" s="5"/>
      <c r="U1016" s="5"/>
    </row>
    <row r="1017" customFormat="false" ht="15.75" hidden="false" customHeight="false" outlineLevel="0" collapsed="false">
      <c r="A1017" s="4"/>
      <c r="B1017" s="2"/>
      <c r="C1017" s="2"/>
      <c r="D1017" s="2"/>
      <c r="E1017" s="2"/>
      <c r="F1017" s="3" t="str">
        <f aca="false">IFERROR(__xludf.dummyfunction("if($T1017&lt;&gt;"""",REGEXEXTRACT(SUBSTITUTE ($T1017,F$1&amp;"" CE"",""""), F$1&amp;""[\w &amp;]*, (\d+\.\d+)""),"""")
"),"")</f>
        <v/>
      </c>
      <c r="G1017" s="3" t="str">
        <f aca="false">IFERROR(__xludf.dummyfunction("if($T1017&lt;&gt;"""",REGEXEXTRACT($T1017, G$1&amp;""[\w &amp;]*, (\d+\.\d+)""),"""")
"),"")</f>
        <v/>
      </c>
      <c r="H1017" s="3"/>
      <c r="I1017" s="3" t="str">
        <f aca="false">IFERROR(__xludf.dummyfunction("if($T1017&lt;&gt;"""",REGEXEXTRACT(SUBSTITUTE ($T1017,I$1&amp;"" CE"",""""), I$1&amp;""[\w &amp;]*, (\d+\.\d+)""),"""")
"),"")</f>
        <v/>
      </c>
      <c r="J1017" s="3" t="str">
        <f aca="false">IFERROR(__xludf.dummyfunction("if($T1017&lt;&gt;"""",REGEXEXTRACT($T1017, J$1&amp;""[\w &amp;]*, (\d+\.\d+)""),"""")
"),"")</f>
        <v/>
      </c>
      <c r="K1017" s="3"/>
      <c r="L1017" s="3" t="str">
        <f aca="false">IFERROR(__xludf.dummyfunction("if($T1017&lt;&gt;"""",REGEXEXTRACT(SUBSTITUTE ($T1017,L$1&amp;"" CE"",""""), L$1&amp;""[\w &amp;]*, (\d+\.\d+)""),"""")
"),"")</f>
        <v/>
      </c>
      <c r="M1017" s="3" t="str">
        <f aca="false">IFERROR(__xludf.dummyfunction("if($T1017&lt;&gt;"""",REGEXEXTRACT($T1017, M$1&amp;""[\w &amp;]*, (\d+\.\d+)""),"""")
"),"")</f>
        <v/>
      </c>
      <c r="N1017" s="3" t="str">
        <f aca="false">IFERROR(__xludf.dummyfunction("if($T1017&lt;&gt;"""",REGEXEXTRACT(SUBSTITUTE ($T1017,N$1&amp;"" CE"",""""), N$1&amp;""[\w &amp;]*, (\d+\.\d+)""),"""")
"),"")</f>
        <v/>
      </c>
      <c r="O1017" s="3" t="str">
        <f aca="false">IFERROR(__xludf.dummyfunction("if($T1017&lt;&gt;"""",REGEXEXTRACT($T1017, O$1&amp;""[\w &amp;]*, (\d+\.\d+)""),"""")
"),"")</f>
        <v/>
      </c>
      <c r="P1017" s="2"/>
      <c r="Q1017" s="2"/>
      <c r="R1017" s="2"/>
      <c r="S1017" s="2"/>
      <c r="T1017" s="5"/>
      <c r="U1017" s="5"/>
    </row>
    <row r="1018" customFormat="false" ht="15.75" hidden="false" customHeight="false" outlineLevel="0" collapsed="false">
      <c r="A1018" s="4"/>
      <c r="B1018" s="2"/>
      <c r="C1018" s="2"/>
      <c r="D1018" s="2"/>
      <c r="E1018" s="2"/>
      <c r="F1018" s="3" t="str">
        <f aca="false">IFERROR(__xludf.dummyfunction("if($T1018&lt;&gt;"""",REGEXEXTRACT(SUBSTITUTE ($T1018,F$1&amp;"" CE"",""""), F$1&amp;""[\w &amp;]*, (\d+\.\d+)""),"""")
"),"")</f>
        <v/>
      </c>
      <c r="G1018" s="3" t="str">
        <f aca="false">IFERROR(__xludf.dummyfunction("if($T1018&lt;&gt;"""",REGEXEXTRACT($T1018, G$1&amp;""[\w &amp;]*, (\d+\.\d+)""),"""")
"),"")</f>
        <v/>
      </c>
      <c r="H1018" s="3"/>
      <c r="I1018" s="3" t="str">
        <f aca="false">IFERROR(__xludf.dummyfunction("if($T1018&lt;&gt;"""",REGEXEXTRACT(SUBSTITUTE ($T1018,I$1&amp;"" CE"",""""), I$1&amp;""[\w &amp;]*, (\d+\.\d+)""),"""")
"),"")</f>
        <v/>
      </c>
      <c r="J1018" s="3" t="str">
        <f aca="false">IFERROR(__xludf.dummyfunction("if($T1018&lt;&gt;"""",REGEXEXTRACT($T1018, J$1&amp;""[\w &amp;]*, (\d+\.\d+)""),"""")
"),"")</f>
        <v/>
      </c>
      <c r="K1018" s="3"/>
      <c r="L1018" s="3" t="str">
        <f aca="false">IFERROR(__xludf.dummyfunction("if($T1018&lt;&gt;"""",REGEXEXTRACT(SUBSTITUTE ($T1018,L$1&amp;"" CE"",""""), L$1&amp;""[\w &amp;]*, (\d+\.\d+)""),"""")
"),"")</f>
        <v/>
      </c>
      <c r="M1018" s="3" t="str">
        <f aca="false">IFERROR(__xludf.dummyfunction("if($T1018&lt;&gt;"""",REGEXEXTRACT($T1018, M$1&amp;""[\w &amp;]*, (\d+\.\d+)""),"""")
"),"")</f>
        <v/>
      </c>
      <c r="N1018" s="3" t="str">
        <f aca="false">IFERROR(__xludf.dummyfunction("if($T1018&lt;&gt;"""",REGEXEXTRACT(SUBSTITUTE ($T1018,N$1&amp;"" CE"",""""), N$1&amp;""[\w &amp;]*, (\d+\.\d+)""),"""")
"),"")</f>
        <v/>
      </c>
      <c r="O1018" s="3" t="str">
        <f aca="false">IFERROR(__xludf.dummyfunction("if($T1018&lt;&gt;"""",REGEXEXTRACT($T1018, O$1&amp;""[\w &amp;]*, (\d+\.\d+)""),"""")
"),"")</f>
        <v/>
      </c>
      <c r="P1018" s="2"/>
      <c r="Q1018" s="2"/>
      <c r="R1018" s="2"/>
      <c r="S1018" s="2"/>
      <c r="T1018" s="5"/>
      <c r="U1018" s="5"/>
    </row>
    <row r="1019" customFormat="false" ht="15.75" hidden="false" customHeight="false" outlineLevel="0" collapsed="false">
      <c r="A1019" s="4"/>
      <c r="B1019" s="2"/>
      <c r="C1019" s="2"/>
      <c r="D1019" s="2"/>
      <c r="E1019" s="2"/>
      <c r="F1019" s="3" t="str">
        <f aca="false">IFERROR(__xludf.dummyfunction("if($T1019&lt;&gt;"""",REGEXEXTRACT(SUBSTITUTE ($T1019,F$1&amp;"" CE"",""""), F$1&amp;""[\w &amp;]*, (\d+\.\d+)""),"""")
"),"")</f>
        <v/>
      </c>
      <c r="G1019" s="3" t="str">
        <f aca="false">IFERROR(__xludf.dummyfunction("if($T1019&lt;&gt;"""",REGEXEXTRACT($T1019, G$1&amp;""[\w &amp;]*, (\d+\.\d+)""),"""")
"),"")</f>
        <v/>
      </c>
      <c r="H1019" s="3"/>
      <c r="I1019" s="3" t="str">
        <f aca="false">IFERROR(__xludf.dummyfunction("if($T1019&lt;&gt;"""",REGEXEXTRACT(SUBSTITUTE ($T1019,I$1&amp;"" CE"",""""), I$1&amp;""[\w &amp;]*, (\d+\.\d+)""),"""")
"),"")</f>
        <v/>
      </c>
      <c r="J1019" s="3" t="str">
        <f aca="false">IFERROR(__xludf.dummyfunction("if($T1019&lt;&gt;"""",REGEXEXTRACT($T1019, J$1&amp;""[\w &amp;]*, (\d+\.\d+)""),"""")
"),"")</f>
        <v/>
      </c>
      <c r="K1019" s="3"/>
      <c r="L1019" s="3" t="str">
        <f aca="false">IFERROR(__xludf.dummyfunction("if($T1019&lt;&gt;"""",REGEXEXTRACT(SUBSTITUTE ($T1019,L$1&amp;"" CE"",""""), L$1&amp;""[\w &amp;]*, (\d+\.\d+)""),"""")
"),"")</f>
        <v/>
      </c>
      <c r="M1019" s="3" t="str">
        <f aca="false">IFERROR(__xludf.dummyfunction("if($T1019&lt;&gt;"""",REGEXEXTRACT($T1019, M$1&amp;""[\w &amp;]*, (\d+\.\d+)""),"""")
"),"")</f>
        <v/>
      </c>
      <c r="N1019" s="3" t="str">
        <f aca="false">IFERROR(__xludf.dummyfunction("if($T1019&lt;&gt;"""",REGEXEXTRACT(SUBSTITUTE ($T1019,N$1&amp;"" CE"",""""), N$1&amp;""[\w &amp;]*, (\d+\.\d+)""),"""")
"),"")</f>
        <v/>
      </c>
      <c r="O1019" s="3" t="str">
        <f aca="false">IFERROR(__xludf.dummyfunction("if($T1019&lt;&gt;"""",REGEXEXTRACT($T1019, O$1&amp;""[\w &amp;]*, (\d+\.\d+)""),"""")
"),"")</f>
        <v/>
      </c>
      <c r="P1019" s="2"/>
      <c r="Q1019" s="2"/>
      <c r="R1019" s="2"/>
      <c r="S1019" s="2"/>
      <c r="T1019" s="5"/>
      <c r="U1019" s="5"/>
    </row>
    <row r="1020" customFormat="false" ht="15.75" hidden="false" customHeight="false" outlineLevel="0" collapsed="false">
      <c r="A1020" s="4"/>
      <c r="B1020" s="2"/>
      <c r="C1020" s="2"/>
      <c r="D1020" s="2"/>
      <c r="E1020" s="2"/>
      <c r="F1020" s="3" t="str">
        <f aca="false">IFERROR(__xludf.dummyfunction("if($T1020&lt;&gt;"""",REGEXEXTRACT(SUBSTITUTE ($T1020,F$1&amp;"" CE"",""""), F$1&amp;""[\w &amp;]*, (\d+\.\d+)""),"""")
"),"")</f>
        <v/>
      </c>
      <c r="G1020" s="3" t="str">
        <f aca="false">IFERROR(__xludf.dummyfunction("if($T1020&lt;&gt;"""",REGEXEXTRACT($T1020, G$1&amp;""[\w &amp;]*, (\d+\.\d+)""),"""")
"),"")</f>
        <v/>
      </c>
      <c r="H1020" s="3"/>
      <c r="I1020" s="3" t="str">
        <f aca="false">IFERROR(__xludf.dummyfunction("if($T1020&lt;&gt;"""",REGEXEXTRACT(SUBSTITUTE ($T1020,I$1&amp;"" CE"",""""), I$1&amp;""[\w &amp;]*, (\d+\.\d+)""),"""")
"),"")</f>
        <v/>
      </c>
      <c r="J1020" s="3" t="str">
        <f aca="false">IFERROR(__xludf.dummyfunction("if($T1020&lt;&gt;"""",REGEXEXTRACT($T1020, J$1&amp;""[\w &amp;]*, (\d+\.\d+)""),"""")
"),"")</f>
        <v/>
      </c>
      <c r="K1020" s="3"/>
      <c r="L1020" s="3" t="str">
        <f aca="false">IFERROR(__xludf.dummyfunction("if($T1020&lt;&gt;"""",REGEXEXTRACT(SUBSTITUTE ($T1020,L$1&amp;"" CE"",""""), L$1&amp;""[\w &amp;]*, (\d+\.\d+)""),"""")
"),"")</f>
        <v/>
      </c>
      <c r="M1020" s="3" t="str">
        <f aca="false">IFERROR(__xludf.dummyfunction("if($T1020&lt;&gt;"""",REGEXEXTRACT($T1020, M$1&amp;""[\w &amp;]*, (\d+\.\d+)""),"""")
"),"")</f>
        <v/>
      </c>
      <c r="N1020" s="3" t="str">
        <f aca="false">IFERROR(__xludf.dummyfunction("if($T1020&lt;&gt;"""",REGEXEXTRACT(SUBSTITUTE ($T1020,N$1&amp;"" CE"",""""), N$1&amp;""[\w &amp;]*, (\d+\.\d+)""),"""")
"),"")</f>
        <v/>
      </c>
      <c r="O1020" s="3" t="str">
        <f aca="false">IFERROR(__xludf.dummyfunction("if($T1020&lt;&gt;"""",REGEXEXTRACT($T1020, O$1&amp;""[\w &amp;]*, (\d+\.\d+)""),"""")
"),"")</f>
        <v/>
      </c>
      <c r="P1020" s="2"/>
      <c r="Q1020" s="2"/>
      <c r="R1020" s="2"/>
      <c r="S1020" s="2"/>
      <c r="T1020" s="5"/>
      <c r="U1020" s="5"/>
    </row>
    <row r="1021" customFormat="false" ht="15.75" hidden="false" customHeight="false" outlineLevel="0" collapsed="false">
      <c r="A1021" s="4"/>
      <c r="B1021" s="2"/>
      <c r="C1021" s="2"/>
      <c r="D1021" s="2"/>
      <c r="E1021" s="2"/>
      <c r="F1021" s="3" t="str">
        <f aca="false">IFERROR(__xludf.dummyfunction("if($T1021&lt;&gt;"""",REGEXEXTRACT(SUBSTITUTE ($T1021,F$1&amp;"" CE"",""""), F$1&amp;""[\w &amp;]*, (\d+\.\d+)""),"""")
"),"")</f>
        <v/>
      </c>
      <c r="G1021" s="3" t="str">
        <f aca="false">IFERROR(__xludf.dummyfunction("if($T1021&lt;&gt;"""",REGEXEXTRACT($T1021, G$1&amp;""[\w &amp;]*, (\d+\.\d+)""),"""")
"),"")</f>
        <v/>
      </c>
      <c r="H1021" s="3"/>
      <c r="I1021" s="3" t="str">
        <f aca="false">IFERROR(__xludf.dummyfunction("if($T1021&lt;&gt;"""",REGEXEXTRACT(SUBSTITUTE ($T1021,I$1&amp;"" CE"",""""), I$1&amp;""[\w &amp;]*, (\d+\.\d+)""),"""")
"),"")</f>
        <v/>
      </c>
      <c r="J1021" s="3" t="str">
        <f aca="false">IFERROR(__xludf.dummyfunction("if($T1021&lt;&gt;"""",REGEXEXTRACT($T1021, J$1&amp;""[\w &amp;]*, (\d+\.\d+)""),"""")
"),"")</f>
        <v/>
      </c>
      <c r="K1021" s="3"/>
      <c r="L1021" s="3" t="str">
        <f aca="false">IFERROR(__xludf.dummyfunction("if($T1021&lt;&gt;"""",REGEXEXTRACT(SUBSTITUTE ($T1021,L$1&amp;"" CE"",""""), L$1&amp;""[\w &amp;]*, (\d+\.\d+)""),"""")
"),"")</f>
        <v/>
      </c>
      <c r="M1021" s="3" t="str">
        <f aca="false">IFERROR(__xludf.dummyfunction("if($T1021&lt;&gt;"""",REGEXEXTRACT($T1021, M$1&amp;""[\w &amp;]*, (\d+\.\d+)""),"""")
"),"")</f>
        <v/>
      </c>
      <c r="N1021" s="3" t="str">
        <f aca="false">IFERROR(__xludf.dummyfunction("if($T1021&lt;&gt;"""",REGEXEXTRACT(SUBSTITUTE ($T1021,N$1&amp;"" CE"",""""), N$1&amp;""[\w &amp;]*, (\d+\.\d+)""),"""")
"),"")</f>
        <v/>
      </c>
      <c r="O1021" s="3" t="str">
        <f aca="false">IFERROR(__xludf.dummyfunction("if($T1021&lt;&gt;"""",REGEXEXTRACT($T1021, O$1&amp;""[\w &amp;]*, (\d+\.\d+)""),"""")
"),"")</f>
        <v/>
      </c>
      <c r="P1021" s="2"/>
      <c r="Q1021" s="2"/>
      <c r="R1021" s="2"/>
      <c r="S1021" s="2"/>
      <c r="T1021" s="5"/>
      <c r="U1021" s="5"/>
    </row>
    <row r="1022" customFormat="false" ht="15.75" hidden="false" customHeight="false" outlineLevel="0" collapsed="false">
      <c r="A1022" s="4"/>
      <c r="B1022" s="2"/>
      <c r="C1022" s="2"/>
      <c r="D1022" s="2"/>
      <c r="E1022" s="2"/>
      <c r="F1022" s="3" t="str">
        <f aca="false">IFERROR(__xludf.dummyfunction("if($T1022&lt;&gt;"""",REGEXEXTRACT(SUBSTITUTE ($T1022,F$1&amp;"" CE"",""""), F$1&amp;""[\w &amp;]*, (\d+\.\d+)""),"""")
"),"")</f>
        <v/>
      </c>
      <c r="G1022" s="3" t="str">
        <f aca="false">IFERROR(__xludf.dummyfunction("if($T1022&lt;&gt;"""",REGEXEXTRACT($T1022, G$1&amp;""[\w &amp;]*, (\d+\.\d+)""),"""")
"),"")</f>
        <v/>
      </c>
      <c r="H1022" s="3"/>
      <c r="I1022" s="3" t="str">
        <f aca="false">IFERROR(__xludf.dummyfunction("if($T1022&lt;&gt;"""",REGEXEXTRACT(SUBSTITUTE ($T1022,I$1&amp;"" CE"",""""), I$1&amp;""[\w &amp;]*, (\d+\.\d+)""),"""")
"),"")</f>
        <v/>
      </c>
      <c r="J1022" s="3" t="str">
        <f aca="false">IFERROR(__xludf.dummyfunction("if($T1022&lt;&gt;"""",REGEXEXTRACT($T1022, J$1&amp;""[\w &amp;]*, (\d+\.\d+)""),"""")
"),"")</f>
        <v/>
      </c>
      <c r="K1022" s="3"/>
      <c r="L1022" s="3" t="str">
        <f aca="false">IFERROR(__xludf.dummyfunction("if($T1022&lt;&gt;"""",REGEXEXTRACT(SUBSTITUTE ($T1022,L$1&amp;"" CE"",""""), L$1&amp;""[\w &amp;]*, (\d+\.\d+)""),"""")
"),"")</f>
        <v/>
      </c>
      <c r="M1022" s="3" t="str">
        <f aca="false">IFERROR(__xludf.dummyfunction("if($T1022&lt;&gt;"""",REGEXEXTRACT($T1022, M$1&amp;""[\w &amp;]*, (\d+\.\d+)""),"""")
"),"")</f>
        <v/>
      </c>
      <c r="N1022" s="3" t="str">
        <f aca="false">IFERROR(__xludf.dummyfunction("if($T1022&lt;&gt;"""",REGEXEXTRACT(SUBSTITUTE ($T1022,N$1&amp;"" CE"",""""), N$1&amp;""[\w &amp;]*, (\d+\.\d+)""),"""")
"),"")</f>
        <v/>
      </c>
      <c r="O1022" s="3" t="str">
        <f aca="false">IFERROR(__xludf.dummyfunction("if($T1022&lt;&gt;"""",REGEXEXTRACT($T1022, O$1&amp;""[\w &amp;]*, (\d+\.\d+)""),"""")
"),"")</f>
        <v/>
      </c>
      <c r="P1022" s="2"/>
      <c r="Q1022" s="2"/>
      <c r="R1022" s="2"/>
      <c r="S1022" s="2"/>
      <c r="T1022" s="5"/>
      <c r="U1022" s="5"/>
    </row>
    <row r="1023" customFormat="false" ht="15.75" hidden="false" customHeight="false" outlineLevel="0" collapsed="false">
      <c r="A1023" s="4"/>
      <c r="B1023" s="2"/>
      <c r="C1023" s="2"/>
      <c r="D1023" s="2"/>
      <c r="E1023" s="2"/>
      <c r="F1023" s="3" t="str">
        <f aca="false">IFERROR(__xludf.dummyfunction("if($T1023&lt;&gt;"""",REGEXEXTRACT(SUBSTITUTE ($T1023,F$1&amp;"" CE"",""""), F$1&amp;""[\w &amp;]*, (\d+\.\d+)""),"""")
"),"")</f>
        <v/>
      </c>
      <c r="G1023" s="3" t="str">
        <f aca="false">IFERROR(__xludf.dummyfunction("if($T1023&lt;&gt;"""",REGEXEXTRACT($T1023, G$1&amp;""[\w &amp;]*, (\d+\.\d+)""),"""")
"),"")</f>
        <v/>
      </c>
      <c r="H1023" s="3"/>
      <c r="I1023" s="3" t="str">
        <f aca="false">IFERROR(__xludf.dummyfunction("if($T1023&lt;&gt;"""",REGEXEXTRACT(SUBSTITUTE ($T1023,I$1&amp;"" CE"",""""), I$1&amp;""[\w &amp;]*, (\d+\.\d+)""),"""")
"),"")</f>
        <v/>
      </c>
      <c r="J1023" s="3" t="str">
        <f aca="false">IFERROR(__xludf.dummyfunction("if($T1023&lt;&gt;"""",REGEXEXTRACT($T1023, J$1&amp;""[\w &amp;]*, (\d+\.\d+)""),"""")
"),"")</f>
        <v/>
      </c>
      <c r="K1023" s="3"/>
      <c r="L1023" s="3" t="str">
        <f aca="false">IFERROR(__xludf.dummyfunction("if($T1023&lt;&gt;"""",REGEXEXTRACT(SUBSTITUTE ($T1023,L$1&amp;"" CE"",""""), L$1&amp;""[\w &amp;]*, (\d+\.\d+)""),"""")
"),"")</f>
        <v/>
      </c>
      <c r="M1023" s="3" t="str">
        <f aca="false">IFERROR(__xludf.dummyfunction("if($T1023&lt;&gt;"""",REGEXEXTRACT($T1023, M$1&amp;""[\w &amp;]*, (\d+\.\d+)""),"""")
"),"")</f>
        <v/>
      </c>
      <c r="N1023" s="3" t="str">
        <f aca="false">IFERROR(__xludf.dummyfunction("if($T1023&lt;&gt;"""",REGEXEXTRACT(SUBSTITUTE ($T1023,N$1&amp;"" CE"",""""), N$1&amp;""[\w &amp;]*, (\d+\.\d+)""),"""")
"),"")</f>
        <v/>
      </c>
      <c r="O1023" s="3" t="str">
        <f aca="false">IFERROR(__xludf.dummyfunction("if($T1023&lt;&gt;"""",REGEXEXTRACT($T1023, O$1&amp;""[\w &amp;]*, (\d+\.\d+)""),"""")
"),"")</f>
        <v/>
      </c>
      <c r="P1023" s="2"/>
      <c r="Q1023" s="2"/>
      <c r="R1023" s="2"/>
      <c r="S1023" s="2"/>
      <c r="T1023" s="5"/>
      <c r="U1023" s="5"/>
    </row>
    <row r="1024" customFormat="false" ht="15.75" hidden="false" customHeight="false" outlineLevel="0" collapsed="false">
      <c r="A1024" s="4"/>
      <c r="B1024" s="2"/>
      <c r="C1024" s="2"/>
      <c r="D1024" s="2"/>
      <c r="E1024" s="2"/>
      <c r="F1024" s="3" t="str">
        <f aca="false">IFERROR(__xludf.dummyfunction("if($T1024&lt;&gt;"""",REGEXEXTRACT(SUBSTITUTE ($T1024,F$1&amp;"" CE"",""""), F$1&amp;""[\w &amp;]*, (\d+\.\d+)""),"""")
"),"")</f>
        <v/>
      </c>
      <c r="G1024" s="3" t="str">
        <f aca="false">IFERROR(__xludf.dummyfunction("if($T1024&lt;&gt;"""",REGEXEXTRACT($T1024, G$1&amp;""[\w &amp;]*, (\d+\.\d+)""),"""")
"),"")</f>
        <v/>
      </c>
      <c r="H1024" s="3"/>
      <c r="I1024" s="3" t="str">
        <f aca="false">IFERROR(__xludf.dummyfunction("if($T1024&lt;&gt;"""",REGEXEXTRACT(SUBSTITUTE ($T1024,I$1&amp;"" CE"",""""), I$1&amp;""[\w &amp;]*, (\d+\.\d+)""),"""")
"),"")</f>
        <v/>
      </c>
      <c r="J1024" s="3" t="str">
        <f aca="false">IFERROR(__xludf.dummyfunction("if($T1024&lt;&gt;"""",REGEXEXTRACT($T1024, J$1&amp;""[\w &amp;]*, (\d+\.\d+)""),"""")
"),"")</f>
        <v/>
      </c>
      <c r="K1024" s="3"/>
      <c r="L1024" s="3" t="str">
        <f aca="false">IFERROR(__xludf.dummyfunction("if($T1024&lt;&gt;"""",REGEXEXTRACT(SUBSTITUTE ($T1024,L$1&amp;"" CE"",""""), L$1&amp;""[\w &amp;]*, (\d+\.\d+)""),"""")
"),"")</f>
        <v/>
      </c>
      <c r="M1024" s="3" t="str">
        <f aca="false">IFERROR(__xludf.dummyfunction("if($T1024&lt;&gt;"""",REGEXEXTRACT($T1024, M$1&amp;""[\w &amp;]*, (\d+\.\d+)""),"""")
"),"")</f>
        <v/>
      </c>
      <c r="N1024" s="3" t="str">
        <f aca="false">IFERROR(__xludf.dummyfunction("if($T1024&lt;&gt;"""",REGEXEXTRACT(SUBSTITUTE ($T1024,N$1&amp;"" CE"",""""), N$1&amp;""[\w &amp;]*, (\d+\.\d+)""),"""")
"),"")</f>
        <v/>
      </c>
      <c r="O1024" s="3" t="str">
        <f aca="false">IFERROR(__xludf.dummyfunction("if($T1024&lt;&gt;"""",REGEXEXTRACT($T1024, O$1&amp;""[\w &amp;]*, (\d+\.\d+)""),"""")
"),"")</f>
        <v/>
      </c>
      <c r="P1024" s="2"/>
      <c r="Q1024" s="2"/>
      <c r="R1024" s="2"/>
      <c r="S1024" s="2"/>
      <c r="T1024" s="5"/>
      <c r="U1024" s="5"/>
    </row>
    <row r="1025" customFormat="false" ht="15.75" hidden="false" customHeight="false" outlineLevel="0" collapsed="false">
      <c r="A1025" s="4"/>
      <c r="B1025" s="2"/>
      <c r="C1025" s="2"/>
      <c r="D1025" s="2"/>
      <c r="E1025" s="2"/>
      <c r="F1025" s="3" t="str">
        <f aca="false">IFERROR(__xludf.dummyfunction("if($T1025&lt;&gt;"""",REGEXEXTRACT(SUBSTITUTE ($T1025,F$1&amp;"" CE"",""""), F$1&amp;""[\w &amp;]*, (\d+\.\d+)""),"""")
"),"")</f>
        <v/>
      </c>
      <c r="G1025" s="3" t="str">
        <f aca="false">IFERROR(__xludf.dummyfunction("if($T1025&lt;&gt;"""",REGEXEXTRACT($T1025, G$1&amp;""[\w &amp;]*, (\d+\.\d+)""),"""")
"),"")</f>
        <v/>
      </c>
      <c r="H1025" s="3"/>
      <c r="I1025" s="3" t="str">
        <f aca="false">IFERROR(__xludf.dummyfunction("if($T1025&lt;&gt;"""",REGEXEXTRACT(SUBSTITUTE ($T1025,I$1&amp;"" CE"",""""), I$1&amp;""[\w &amp;]*, (\d+\.\d+)""),"""")
"),"")</f>
        <v/>
      </c>
      <c r="J1025" s="3" t="str">
        <f aca="false">IFERROR(__xludf.dummyfunction("if($T1025&lt;&gt;"""",REGEXEXTRACT($T1025, J$1&amp;""[\w &amp;]*, (\d+\.\d+)""),"""")
"),"")</f>
        <v/>
      </c>
      <c r="K1025" s="3"/>
      <c r="L1025" s="3" t="str">
        <f aca="false">IFERROR(__xludf.dummyfunction("if($T1025&lt;&gt;"""",REGEXEXTRACT(SUBSTITUTE ($T1025,L$1&amp;"" CE"",""""), L$1&amp;""[\w &amp;]*, (\d+\.\d+)""),"""")
"),"")</f>
        <v/>
      </c>
      <c r="M1025" s="3" t="str">
        <f aca="false">IFERROR(__xludf.dummyfunction("if($T1025&lt;&gt;"""",REGEXEXTRACT($T1025, M$1&amp;""[\w &amp;]*, (\d+\.\d+)""),"""")
"),"")</f>
        <v/>
      </c>
      <c r="N1025" s="3" t="str">
        <f aca="false">IFERROR(__xludf.dummyfunction("if($T1025&lt;&gt;"""",REGEXEXTRACT(SUBSTITUTE ($T1025,N$1&amp;"" CE"",""""), N$1&amp;""[\w &amp;]*, (\d+\.\d+)""),"""")
"),"")</f>
        <v/>
      </c>
      <c r="O1025" s="3" t="str">
        <f aca="false">IFERROR(__xludf.dummyfunction("if($T1025&lt;&gt;"""",REGEXEXTRACT($T1025, O$1&amp;""[\w &amp;]*, (\d+\.\d+)""),"""")
"),"")</f>
        <v/>
      </c>
      <c r="P1025" s="2"/>
      <c r="Q1025" s="2"/>
      <c r="R1025" s="2"/>
      <c r="S1025" s="2"/>
      <c r="T1025" s="5"/>
      <c r="U1025" s="5"/>
    </row>
    <row r="1026" customFormat="false" ht="15.75" hidden="false" customHeight="false" outlineLevel="0" collapsed="false">
      <c r="A1026" s="4"/>
      <c r="B1026" s="2"/>
      <c r="C1026" s="2"/>
      <c r="D1026" s="2"/>
      <c r="E1026" s="2"/>
      <c r="F1026" s="3" t="str">
        <f aca="false">IFERROR(__xludf.dummyfunction("if($T1026&lt;&gt;"""",REGEXEXTRACT(SUBSTITUTE ($T1026,F$1&amp;"" CE"",""""), F$1&amp;""[\w &amp;]*, (\d+\.\d+)""),"""")
"),"")</f>
        <v/>
      </c>
      <c r="G1026" s="3" t="str">
        <f aca="false">IFERROR(__xludf.dummyfunction("if($T1026&lt;&gt;"""",REGEXEXTRACT($T1026, G$1&amp;""[\w &amp;]*, (\d+\.\d+)""),"""")
"),"")</f>
        <v/>
      </c>
      <c r="H1026" s="3"/>
      <c r="I1026" s="3" t="str">
        <f aca="false">IFERROR(__xludf.dummyfunction("if($T1026&lt;&gt;"""",REGEXEXTRACT(SUBSTITUTE ($T1026,I$1&amp;"" CE"",""""), I$1&amp;""[\w &amp;]*, (\d+\.\d+)""),"""")
"),"")</f>
        <v/>
      </c>
      <c r="J1026" s="3" t="str">
        <f aca="false">IFERROR(__xludf.dummyfunction("if($T1026&lt;&gt;"""",REGEXEXTRACT($T1026, J$1&amp;""[\w &amp;]*, (\d+\.\d+)""),"""")
"),"")</f>
        <v/>
      </c>
      <c r="K1026" s="3"/>
      <c r="L1026" s="3" t="str">
        <f aca="false">IFERROR(__xludf.dummyfunction("if($T1026&lt;&gt;"""",REGEXEXTRACT(SUBSTITUTE ($T1026,L$1&amp;"" CE"",""""), L$1&amp;""[\w &amp;]*, (\d+\.\d+)""),"""")
"),"")</f>
        <v/>
      </c>
      <c r="M1026" s="3" t="str">
        <f aca="false">IFERROR(__xludf.dummyfunction("if($T1026&lt;&gt;"""",REGEXEXTRACT($T1026, M$1&amp;""[\w &amp;]*, (\d+\.\d+)""),"""")
"),"")</f>
        <v/>
      </c>
      <c r="N1026" s="3" t="str">
        <f aca="false">IFERROR(__xludf.dummyfunction("if($T1026&lt;&gt;"""",REGEXEXTRACT(SUBSTITUTE ($T1026,N$1&amp;"" CE"",""""), N$1&amp;""[\w &amp;]*, (\d+\.\d+)""),"""")
"),"")</f>
        <v/>
      </c>
      <c r="O1026" s="3" t="str">
        <f aca="false">IFERROR(__xludf.dummyfunction("if($T1026&lt;&gt;"""",REGEXEXTRACT($T1026, O$1&amp;""[\w &amp;]*, (\d+\.\d+)""),"""")
"),"")</f>
        <v/>
      </c>
      <c r="P1026" s="2"/>
      <c r="Q1026" s="2"/>
      <c r="R1026" s="2"/>
      <c r="S1026" s="2"/>
      <c r="T1026" s="5"/>
      <c r="U1026" s="5"/>
    </row>
    <row r="1027" customFormat="false" ht="15.75" hidden="false" customHeight="false" outlineLevel="0" collapsed="false">
      <c r="A1027" s="4"/>
      <c r="B1027" s="2"/>
      <c r="C1027" s="2"/>
      <c r="D1027" s="2"/>
      <c r="E1027" s="2"/>
      <c r="F1027" s="3" t="str">
        <f aca="false">IFERROR(__xludf.dummyfunction("if($T1027&lt;&gt;"""",REGEXEXTRACT(SUBSTITUTE ($T1027,F$1&amp;"" CE"",""""), F$1&amp;""[\w &amp;]*, (\d+\.\d+)""),"""")
"),"")</f>
        <v/>
      </c>
      <c r="G1027" s="3" t="str">
        <f aca="false">IFERROR(__xludf.dummyfunction("if($T1027&lt;&gt;"""",REGEXEXTRACT($T1027, G$1&amp;""[\w &amp;]*, (\d+\.\d+)""),"""")
"),"")</f>
        <v/>
      </c>
      <c r="H1027" s="3"/>
      <c r="I1027" s="3" t="str">
        <f aca="false">IFERROR(__xludf.dummyfunction("if($T1027&lt;&gt;"""",REGEXEXTRACT(SUBSTITUTE ($T1027,I$1&amp;"" CE"",""""), I$1&amp;""[\w &amp;]*, (\d+\.\d+)""),"""")
"),"")</f>
        <v/>
      </c>
      <c r="J1027" s="3" t="str">
        <f aca="false">IFERROR(__xludf.dummyfunction("if($T1027&lt;&gt;"""",REGEXEXTRACT($T1027, J$1&amp;""[\w &amp;]*, (\d+\.\d+)""),"""")
"),"")</f>
        <v/>
      </c>
      <c r="K1027" s="3"/>
      <c r="L1027" s="3" t="str">
        <f aca="false">IFERROR(__xludf.dummyfunction("if($T1027&lt;&gt;"""",REGEXEXTRACT(SUBSTITUTE ($T1027,L$1&amp;"" CE"",""""), L$1&amp;""[\w &amp;]*, (\d+\.\d+)""),"""")
"),"")</f>
        <v/>
      </c>
      <c r="M1027" s="3" t="str">
        <f aca="false">IFERROR(__xludf.dummyfunction("if($T1027&lt;&gt;"""",REGEXEXTRACT($T1027, M$1&amp;""[\w &amp;]*, (\d+\.\d+)""),"""")
"),"")</f>
        <v/>
      </c>
      <c r="N1027" s="3" t="str">
        <f aca="false">IFERROR(__xludf.dummyfunction("if($T1027&lt;&gt;"""",REGEXEXTRACT(SUBSTITUTE ($T1027,N$1&amp;"" CE"",""""), N$1&amp;""[\w &amp;]*, (\d+\.\d+)""),"""")
"),"")</f>
        <v/>
      </c>
      <c r="O1027" s="3" t="str">
        <f aca="false">IFERROR(__xludf.dummyfunction("if($T1027&lt;&gt;"""",REGEXEXTRACT($T1027, O$1&amp;""[\w &amp;]*, (\d+\.\d+)""),"""")
"),"")</f>
        <v/>
      </c>
      <c r="P1027" s="2"/>
      <c r="Q1027" s="2"/>
      <c r="R1027" s="2"/>
      <c r="S1027" s="2"/>
      <c r="T1027" s="5"/>
      <c r="U1027" s="5"/>
    </row>
    <row r="1028" customFormat="false" ht="15.75" hidden="false" customHeight="false" outlineLevel="0" collapsed="false">
      <c r="A1028" s="4"/>
      <c r="B1028" s="2"/>
      <c r="C1028" s="2"/>
      <c r="D1028" s="2"/>
      <c r="E1028" s="2"/>
      <c r="F1028" s="3" t="str">
        <f aca="false">IFERROR(__xludf.dummyfunction("if($T1028&lt;&gt;"""",REGEXEXTRACT(SUBSTITUTE ($T1028,F$1&amp;"" CE"",""""), F$1&amp;""[\w &amp;]*, (\d+\.\d+)""),"""")
"),"")</f>
        <v/>
      </c>
      <c r="G1028" s="3" t="str">
        <f aca="false">IFERROR(__xludf.dummyfunction("if($T1028&lt;&gt;"""",REGEXEXTRACT($T1028, G$1&amp;""[\w &amp;]*, (\d+\.\d+)""),"""")
"),"")</f>
        <v/>
      </c>
      <c r="H1028" s="3"/>
      <c r="I1028" s="3" t="str">
        <f aca="false">IFERROR(__xludf.dummyfunction("if($T1028&lt;&gt;"""",REGEXEXTRACT(SUBSTITUTE ($T1028,I$1&amp;"" CE"",""""), I$1&amp;""[\w &amp;]*, (\d+\.\d+)""),"""")
"),"")</f>
        <v/>
      </c>
      <c r="J1028" s="3" t="str">
        <f aca="false">IFERROR(__xludf.dummyfunction("if($T1028&lt;&gt;"""",REGEXEXTRACT($T1028, J$1&amp;""[\w &amp;]*, (\d+\.\d+)""),"""")
"),"")</f>
        <v/>
      </c>
      <c r="K1028" s="3"/>
      <c r="L1028" s="3" t="str">
        <f aca="false">IFERROR(__xludf.dummyfunction("if($T1028&lt;&gt;"""",REGEXEXTRACT(SUBSTITUTE ($T1028,L$1&amp;"" CE"",""""), L$1&amp;""[\w &amp;]*, (\d+\.\d+)""),"""")
"),"")</f>
        <v/>
      </c>
      <c r="M1028" s="3" t="str">
        <f aca="false">IFERROR(__xludf.dummyfunction("if($T1028&lt;&gt;"""",REGEXEXTRACT($T1028, M$1&amp;""[\w &amp;]*, (\d+\.\d+)""),"""")
"),"")</f>
        <v/>
      </c>
      <c r="N1028" s="3" t="str">
        <f aca="false">IFERROR(__xludf.dummyfunction("if($T1028&lt;&gt;"""",REGEXEXTRACT(SUBSTITUTE ($T1028,N$1&amp;"" CE"",""""), N$1&amp;""[\w &amp;]*, (\d+\.\d+)""),"""")
"),"")</f>
        <v/>
      </c>
      <c r="O1028" s="3" t="str">
        <f aca="false">IFERROR(__xludf.dummyfunction("if($T1028&lt;&gt;"""",REGEXEXTRACT($T1028, O$1&amp;""[\w &amp;]*, (\d+\.\d+)""),"""")
"),"")</f>
        <v/>
      </c>
      <c r="P1028" s="2"/>
      <c r="Q1028" s="2"/>
      <c r="R1028" s="2"/>
      <c r="S1028" s="2"/>
      <c r="T1028" s="5"/>
      <c r="U1028" s="5"/>
    </row>
    <row r="1029" customFormat="false" ht="15.75" hidden="false" customHeight="false" outlineLevel="0" collapsed="false">
      <c r="A1029" s="4"/>
      <c r="B1029" s="2"/>
      <c r="C1029" s="2"/>
      <c r="D1029" s="2"/>
      <c r="E1029" s="2"/>
      <c r="F1029" s="3" t="str">
        <f aca="false">IFERROR(__xludf.dummyfunction("if($T1029&lt;&gt;"""",REGEXEXTRACT(SUBSTITUTE ($T1029,F$1&amp;"" CE"",""""), F$1&amp;""[\w &amp;]*, (\d+\.\d+)""),"""")
"),"")</f>
        <v/>
      </c>
      <c r="G1029" s="3" t="str">
        <f aca="false">IFERROR(__xludf.dummyfunction("if($T1029&lt;&gt;"""",REGEXEXTRACT($T1029, G$1&amp;""[\w &amp;]*, (\d+\.\d+)""),"""")
"),"")</f>
        <v/>
      </c>
      <c r="H1029" s="3"/>
      <c r="I1029" s="3" t="str">
        <f aca="false">IFERROR(__xludf.dummyfunction("if($T1029&lt;&gt;"""",REGEXEXTRACT(SUBSTITUTE ($T1029,I$1&amp;"" CE"",""""), I$1&amp;""[\w &amp;]*, (\d+\.\d+)""),"""")
"),"")</f>
        <v/>
      </c>
      <c r="J1029" s="3" t="str">
        <f aca="false">IFERROR(__xludf.dummyfunction("if($T1029&lt;&gt;"""",REGEXEXTRACT($T1029, J$1&amp;""[\w &amp;]*, (\d+\.\d+)""),"""")
"),"")</f>
        <v/>
      </c>
      <c r="K1029" s="3"/>
      <c r="L1029" s="3" t="str">
        <f aca="false">IFERROR(__xludf.dummyfunction("if($T1029&lt;&gt;"""",REGEXEXTRACT(SUBSTITUTE ($T1029,L$1&amp;"" CE"",""""), L$1&amp;""[\w &amp;]*, (\d+\.\d+)""),"""")
"),"")</f>
        <v/>
      </c>
      <c r="M1029" s="3" t="str">
        <f aca="false">IFERROR(__xludf.dummyfunction("if($T1029&lt;&gt;"""",REGEXEXTRACT($T1029, M$1&amp;""[\w &amp;]*, (\d+\.\d+)""),"""")
"),"")</f>
        <v/>
      </c>
      <c r="N1029" s="3" t="str">
        <f aca="false">IFERROR(__xludf.dummyfunction("if($T1029&lt;&gt;"""",REGEXEXTRACT(SUBSTITUTE ($T1029,N$1&amp;"" CE"",""""), N$1&amp;""[\w &amp;]*, (\d+\.\d+)""),"""")
"),"")</f>
        <v/>
      </c>
      <c r="O1029" s="3" t="str">
        <f aca="false">IFERROR(__xludf.dummyfunction("if($T1029&lt;&gt;"""",REGEXEXTRACT($T1029, O$1&amp;""[\w &amp;]*, (\d+\.\d+)""),"""")
"),"")</f>
        <v/>
      </c>
      <c r="P1029" s="2"/>
      <c r="Q1029" s="2"/>
      <c r="R1029" s="2"/>
      <c r="S1029" s="2"/>
      <c r="T1029" s="5"/>
      <c r="U1029" s="5"/>
    </row>
    <row r="1030" customFormat="false" ht="15.75" hidden="false" customHeight="false" outlineLevel="0" collapsed="false">
      <c r="A1030" s="4"/>
      <c r="B1030" s="2"/>
      <c r="C1030" s="2"/>
      <c r="D1030" s="2"/>
      <c r="E1030" s="2"/>
      <c r="F1030" s="3" t="str">
        <f aca="false">IFERROR(__xludf.dummyfunction("if($T1030&lt;&gt;"""",REGEXEXTRACT(SUBSTITUTE ($T1030,F$1&amp;"" CE"",""""), F$1&amp;""[\w &amp;]*, (\d+\.\d+)""),"""")
"),"")</f>
        <v/>
      </c>
      <c r="G1030" s="3" t="str">
        <f aca="false">IFERROR(__xludf.dummyfunction("if($T1030&lt;&gt;"""",REGEXEXTRACT($T1030, G$1&amp;""[\w &amp;]*, (\d+\.\d+)""),"""")
"),"")</f>
        <v/>
      </c>
      <c r="H1030" s="3"/>
      <c r="I1030" s="3" t="str">
        <f aca="false">IFERROR(__xludf.dummyfunction("if($T1030&lt;&gt;"""",REGEXEXTRACT(SUBSTITUTE ($T1030,I$1&amp;"" CE"",""""), I$1&amp;""[\w &amp;]*, (\d+\.\d+)""),"""")
"),"")</f>
        <v/>
      </c>
      <c r="J1030" s="3" t="str">
        <f aca="false">IFERROR(__xludf.dummyfunction("if($T1030&lt;&gt;"""",REGEXEXTRACT($T1030, J$1&amp;""[\w &amp;]*, (\d+\.\d+)""),"""")
"),"")</f>
        <v/>
      </c>
      <c r="K1030" s="3"/>
      <c r="L1030" s="3" t="str">
        <f aca="false">IFERROR(__xludf.dummyfunction("if($T1030&lt;&gt;"""",REGEXEXTRACT(SUBSTITUTE ($T1030,L$1&amp;"" CE"",""""), L$1&amp;""[\w &amp;]*, (\d+\.\d+)""),"""")
"),"")</f>
        <v/>
      </c>
      <c r="M1030" s="3" t="str">
        <f aca="false">IFERROR(__xludf.dummyfunction("if($T1030&lt;&gt;"""",REGEXEXTRACT($T1030, M$1&amp;""[\w &amp;]*, (\d+\.\d+)""),"""")
"),"")</f>
        <v/>
      </c>
      <c r="N1030" s="3" t="str">
        <f aca="false">IFERROR(__xludf.dummyfunction("if($T1030&lt;&gt;"""",REGEXEXTRACT(SUBSTITUTE ($T1030,N$1&amp;"" CE"",""""), N$1&amp;""[\w &amp;]*, (\d+\.\d+)""),"""")
"),"")</f>
        <v/>
      </c>
      <c r="O1030" s="3" t="str">
        <f aca="false">IFERROR(__xludf.dummyfunction("if($T1030&lt;&gt;"""",REGEXEXTRACT($T1030, O$1&amp;""[\w &amp;]*, (\d+\.\d+)""),"""")
"),"")</f>
        <v/>
      </c>
      <c r="P1030" s="2"/>
      <c r="Q1030" s="2"/>
      <c r="R1030" s="2"/>
      <c r="S1030" s="2"/>
      <c r="T1030" s="5"/>
      <c r="U1030" s="5"/>
    </row>
    <row r="1031" customFormat="false" ht="15.75" hidden="false" customHeight="false" outlineLevel="0" collapsed="false">
      <c r="A1031" s="4"/>
      <c r="B1031" s="2"/>
      <c r="C1031" s="2"/>
      <c r="D1031" s="2"/>
      <c r="E1031" s="2"/>
      <c r="F1031" s="3" t="str">
        <f aca="false">IFERROR(__xludf.dummyfunction("if($T1031&lt;&gt;"""",REGEXEXTRACT(SUBSTITUTE ($T1031,F$1&amp;"" CE"",""""), F$1&amp;""[\w &amp;]*, (\d+\.\d+)""),"""")
"),"")</f>
        <v/>
      </c>
      <c r="G1031" s="3" t="str">
        <f aca="false">IFERROR(__xludf.dummyfunction("if($T1031&lt;&gt;"""",REGEXEXTRACT($T1031, G$1&amp;""[\w &amp;]*, (\d+\.\d+)""),"""")
"),"")</f>
        <v/>
      </c>
      <c r="H1031" s="3"/>
      <c r="I1031" s="3" t="str">
        <f aca="false">IFERROR(__xludf.dummyfunction("if($T1031&lt;&gt;"""",REGEXEXTRACT(SUBSTITUTE ($T1031,I$1&amp;"" CE"",""""), I$1&amp;""[\w &amp;]*, (\d+\.\d+)""),"""")
"),"")</f>
        <v/>
      </c>
      <c r="J1031" s="3" t="str">
        <f aca="false">IFERROR(__xludf.dummyfunction("if($T1031&lt;&gt;"""",REGEXEXTRACT($T1031, J$1&amp;""[\w &amp;]*, (\d+\.\d+)""),"""")
"),"")</f>
        <v/>
      </c>
      <c r="K1031" s="3"/>
      <c r="L1031" s="3" t="str">
        <f aca="false">IFERROR(__xludf.dummyfunction("if($T1031&lt;&gt;"""",REGEXEXTRACT(SUBSTITUTE ($T1031,L$1&amp;"" CE"",""""), L$1&amp;""[\w &amp;]*, (\d+\.\d+)""),"""")
"),"")</f>
        <v/>
      </c>
      <c r="M1031" s="3" t="str">
        <f aca="false">IFERROR(__xludf.dummyfunction("if($T1031&lt;&gt;"""",REGEXEXTRACT($T1031, M$1&amp;""[\w &amp;]*, (\d+\.\d+)""),"""")
"),"")</f>
        <v/>
      </c>
      <c r="N1031" s="3" t="str">
        <f aca="false">IFERROR(__xludf.dummyfunction("if($T1031&lt;&gt;"""",REGEXEXTRACT(SUBSTITUTE ($T1031,N$1&amp;"" CE"",""""), N$1&amp;""[\w &amp;]*, (\d+\.\d+)""),"""")
"),"")</f>
        <v/>
      </c>
      <c r="O1031" s="3" t="str">
        <f aca="false">IFERROR(__xludf.dummyfunction("if($T1031&lt;&gt;"""",REGEXEXTRACT($T1031, O$1&amp;""[\w &amp;]*, (\d+\.\d+)""),"""")
"),"")</f>
        <v/>
      </c>
      <c r="P1031" s="2"/>
      <c r="Q1031" s="2"/>
      <c r="R1031" s="2"/>
      <c r="S1031" s="2"/>
      <c r="T1031" s="5"/>
      <c r="U1031" s="5"/>
    </row>
    <row r="1032" customFormat="false" ht="15.75" hidden="false" customHeight="false" outlineLevel="0" collapsed="false">
      <c r="A1032" s="4"/>
      <c r="B1032" s="2"/>
      <c r="C1032" s="2"/>
      <c r="D1032" s="2"/>
      <c r="E1032" s="2"/>
      <c r="F1032" s="3" t="str">
        <f aca="false">IFERROR(__xludf.dummyfunction("if($T1032&lt;&gt;"""",REGEXEXTRACT(SUBSTITUTE ($T1032,F$1&amp;"" CE"",""""), F$1&amp;""[\w &amp;]*, (\d+\.\d+)""),"""")
"),"")</f>
        <v/>
      </c>
      <c r="G1032" s="3" t="str">
        <f aca="false">IFERROR(__xludf.dummyfunction("if($T1032&lt;&gt;"""",REGEXEXTRACT($T1032, G$1&amp;""[\w &amp;]*, (\d+\.\d+)""),"""")
"),"")</f>
        <v/>
      </c>
      <c r="H1032" s="3"/>
      <c r="I1032" s="3" t="str">
        <f aca="false">IFERROR(__xludf.dummyfunction("if($T1032&lt;&gt;"""",REGEXEXTRACT(SUBSTITUTE ($T1032,I$1&amp;"" CE"",""""), I$1&amp;""[\w &amp;]*, (\d+\.\d+)""),"""")
"),"")</f>
        <v/>
      </c>
      <c r="J1032" s="3" t="str">
        <f aca="false">IFERROR(__xludf.dummyfunction("if($T1032&lt;&gt;"""",REGEXEXTRACT($T1032, J$1&amp;""[\w &amp;]*, (\d+\.\d+)""),"""")
"),"")</f>
        <v/>
      </c>
      <c r="K1032" s="3"/>
      <c r="L1032" s="3" t="str">
        <f aca="false">IFERROR(__xludf.dummyfunction("if($T1032&lt;&gt;"""",REGEXEXTRACT(SUBSTITUTE ($T1032,L$1&amp;"" CE"",""""), L$1&amp;""[\w &amp;]*, (\d+\.\d+)""),"""")
"),"")</f>
        <v/>
      </c>
      <c r="M1032" s="3" t="str">
        <f aca="false">IFERROR(__xludf.dummyfunction("if($T1032&lt;&gt;"""",REGEXEXTRACT($T1032, M$1&amp;""[\w &amp;]*, (\d+\.\d+)""),"""")
"),"")</f>
        <v/>
      </c>
      <c r="N1032" s="3" t="str">
        <f aca="false">IFERROR(__xludf.dummyfunction("if($T1032&lt;&gt;"""",REGEXEXTRACT(SUBSTITUTE ($T1032,N$1&amp;"" CE"",""""), N$1&amp;""[\w &amp;]*, (\d+\.\d+)""),"""")
"),"")</f>
        <v/>
      </c>
      <c r="O1032" s="3" t="str">
        <f aca="false">IFERROR(__xludf.dummyfunction("if($T1032&lt;&gt;"""",REGEXEXTRACT($T1032, O$1&amp;""[\w &amp;]*, (\d+\.\d+)""),"""")
"),"")</f>
        <v/>
      </c>
      <c r="P1032" s="2"/>
      <c r="Q1032" s="2"/>
      <c r="R1032" s="2"/>
      <c r="S1032" s="2"/>
      <c r="T1032" s="5"/>
      <c r="U1032" s="5"/>
    </row>
    <row r="1033" customFormat="false" ht="15.75" hidden="false" customHeight="false" outlineLevel="0" collapsed="false">
      <c r="A1033" s="4"/>
      <c r="B1033" s="2"/>
      <c r="C1033" s="2"/>
      <c r="D1033" s="2"/>
      <c r="E1033" s="2"/>
      <c r="F1033" s="3" t="str">
        <f aca="false">IFERROR(__xludf.dummyfunction("if($T1033&lt;&gt;"""",REGEXEXTRACT(SUBSTITUTE ($T1033,F$1&amp;"" CE"",""""), F$1&amp;""[\w &amp;]*, (\d+\.\d+)""),"""")
"),"")</f>
        <v/>
      </c>
      <c r="G1033" s="3" t="str">
        <f aca="false">IFERROR(__xludf.dummyfunction("if($T1033&lt;&gt;"""",REGEXEXTRACT($T1033, G$1&amp;""[\w &amp;]*, (\d+\.\d+)""),"""")
"),"")</f>
        <v/>
      </c>
      <c r="H1033" s="3"/>
      <c r="I1033" s="3" t="str">
        <f aca="false">IFERROR(__xludf.dummyfunction("if($T1033&lt;&gt;"""",REGEXEXTRACT(SUBSTITUTE ($T1033,I$1&amp;"" CE"",""""), I$1&amp;""[\w &amp;]*, (\d+\.\d+)""),"""")
"),"")</f>
        <v/>
      </c>
      <c r="J1033" s="3" t="str">
        <f aca="false">IFERROR(__xludf.dummyfunction("if($T1033&lt;&gt;"""",REGEXEXTRACT($T1033, J$1&amp;""[\w &amp;]*, (\d+\.\d+)""),"""")
"),"")</f>
        <v/>
      </c>
      <c r="K1033" s="3"/>
      <c r="L1033" s="3" t="str">
        <f aca="false">IFERROR(__xludf.dummyfunction("if($T1033&lt;&gt;"""",REGEXEXTRACT(SUBSTITUTE ($T1033,L$1&amp;"" CE"",""""), L$1&amp;""[\w &amp;]*, (\d+\.\d+)""),"""")
"),"")</f>
        <v/>
      </c>
      <c r="M1033" s="3" t="str">
        <f aca="false">IFERROR(__xludf.dummyfunction("if($T1033&lt;&gt;"""",REGEXEXTRACT($T1033, M$1&amp;""[\w &amp;]*, (\d+\.\d+)""),"""")
"),"")</f>
        <v/>
      </c>
      <c r="N1033" s="3" t="str">
        <f aca="false">IFERROR(__xludf.dummyfunction("if($T1033&lt;&gt;"""",REGEXEXTRACT(SUBSTITUTE ($T1033,N$1&amp;"" CE"",""""), N$1&amp;""[\w &amp;]*, (\d+\.\d+)""),"""")
"),"")</f>
        <v/>
      </c>
      <c r="O1033" s="3" t="str">
        <f aca="false">IFERROR(__xludf.dummyfunction("if($T1033&lt;&gt;"""",REGEXEXTRACT($T1033, O$1&amp;""[\w &amp;]*, (\d+\.\d+)""),"""")
"),"")</f>
        <v/>
      </c>
      <c r="P1033" s="2"/>
      <c r="Q1033" s="2"/>
      <c r="R1033" s="2"/>
      <c r="S1033" s="2"/>
      <c r="T1033" s="5"/>
      <c r="U1033" s="5"/>
    </row>
    <row r="1034" customFormat="false" ht="15.75" hidden="false" customHeight="false" outlineLevel="0" collapsed="false">
      <c r="A1034" s="4"/>
      <c r="B1034" s="2"/>
      <c r="C1034" s="2"/>
      <c r="D1034" s="2"/>
      <c r="E1034" s="2"/>
      <c r="F1034" s="3" t="str">
        <f aca="false">IFERROR(__xludf.dummyfunction("if($T1034&lt;&gt;"""",REGEXEXTRACT(SUBSTITUTE ($T1034,F$1&amp;"" CE"",""""), F$1&amp;""[\w &amp;]*, (\d+\.\d+)""),"""")
"),"")</f>
        <v/>
      </c>
      <c r="G1034" s="3" t="str">
        <f aca="false">IFERROR(__xludf.dummyfunction("if($T1034&lt;&gt;"""",REGEXEXTRACT($T1034, G$1&amp;""[\w &amp;]*, (\d+\.\d+)""),"""")
"),"")</f>
        <v/>
      </c>
      <c r="H1034" s="3"/>
      <c r="I1034" s="3" t="str">
        <f aca="false">IFERROR(__xludf.dummyfunction("if($T1034&lt;&gt;"""",REGEXEXTRACT(SUBSTITUTE ($T1034,I$1&amp;"" CE"",""""), I$1&amp;""[\w &amp;]*, (\d+\.\d+)""),"""")
"),"")</f>
        <v/>
      </c>
      <c r="J1034" s="3" t="str">
        <f aca="false">IFERROR(__xludf.dummyfunction("if($T1034&lt;&gt;"""",REGEXEXTRACT($T1034, J$1&amp;""[\w &amp;]*, (\d+\.\d+)""),"""")
"),"")</f>
        <v/>
      </c>
      <c r="K1034" s="3"/>
      <c r="L1034" s="3" t="str">
        <f aca="false">IFERROR(__xludf.dummyfunction("if($T1034&lt;&gt;"""",REGEXEXTRACT(SUBSTITUTE ($T1034,L$1&amp;"" CE"",""""), L$1&amp;""[\w &amp;]*, (\d+\.\d+)""),"""")
"),"")</f>
        <v/>
      </c>
      <c r="M1034" s="3" t="str">
        <f aca="false">IFERROR(__xludf.dummyfunction("if($T1034&lt;&gt;"""",REGEXEXTRACT($T1034, M$1&amp;""[\w &amp;]*, (\d+\.\d+)""),"""")
"),"")</f>
        <v/>
      </c>
      <c r="N1034" s="3" t="str">
        <f aca="false">IFERROR(__xludf.dummyfunction("if($T1034&lt;&gt;"""",REGEXEXTRACT(SUBSTITUTE ($T1034,N$1&amp;"" CE"",""""), N$1&amp;""[\w &amp;]*, (\d+\.\d+)""),"""")
"),"")</f>
        <v/>
      </c>
      <c r="O1034" s="3" t="str">
        <f aca="false">IFERROR(__xludf.dummyfunction("if($T1034&lt;&gt;"""",REGEXEXTRACT($T1034, O$1&amp;""[\w &amp;]*, (\d+\.\d+)""),"""")
"),"")</f>
        <v/>
      </c>
      <c r="P1034" s="2"/>
      <c r="Q1034" s="2"/>
      <c r="R1034" s="2"/>
      <c r="S1034" s="2"/>
      <c r="T1034" s="5"/>
      <c r="U1034" s="5"/>
    </row>
    <row r="1035" customFormat="false" ht="15.75" hidden="false" customHeight="false" outlineLevel="0" collapsed="false">
      <c r="A1035" s="4"/>
      <c r="B1035" s="2"/>
      <c r="C1035" s="2"/>
      <c r="D1035" s="2"/>
      <c r="E1035" s="2"/>
      <c r="F1035" s="3" t="str">
        <f aca="false">IFERROR(__xludf.dummyfunction("if($T1035&lt;&gt;"""",REGEXEXTRACT(SUBSTITUTE ($T1035,F$1&amp;"" CE"",""""), F$1&amp;""[\w &amp;]*, (\d+\.\d+)""),"""")
"),"")</f>
        <v/>
      </c>
      <c r="G1035" s="3" t="str">
        <f aca="false">IFERROR(__xludf.dummyfunction("if($T1035&lt;&gt;"""",REGEXEXTRACT($T1035, G$1&amp;""[\w &amp;]*, (\d+\.\d+)""),"""")
"),"")</f>
        <v/>
      </c>
      <c r="H1035" s="3"/>
      <c r="I1035" s="3" t="str">
        <f aca="false">IFERROR(__xludf.dummyfunction("if($T1035&lt;&gt;"""",REGEXEXTRACT(SUBSTITUTE ($T1035,I$1&amp;"" CE"",""""), I$1&amp;""[\w &amp;]*, (\d+\.\d+)""),"""")
"),"")</f>
        <v/>
      </c>
      <c r="J1035" s="3" t="str">
        <f aca="false">IFERROR(__xludf.dummyfunction("if($T1035&lt;&gt;"""",REGEXEXTRACT($T1035, J$1&amp;""[\w &amp;]*, (\d+\.\d+)""),"""")
"),"")</f>
        <v/>
      </c>
      <c r="K1035" s="3"/>
      <c r="L1035" s="3" t="str">
        <f aca="false">IFERROR(__xludf.dummyfunction("if($T1035&lt;&gt;"""",REGEXEXTRACT(SUBSTITUTE ($T1035,L$1&amp;"" CE"",""""), L$1&amp;""[\w &amp;]*, (\d+\.\d+)""),"""")
"),"")</f>
        <v/>
      </c>
      <c r="M1035" s="3" t="str">
        <f aca="false">IFERROR(__xludf.dummyfunction("if($T1035&lt;&gt;"""",REGEXEXTRACT($T1035, M$1&amp;""[\w &amp;]*, (\d+\.\d+)""),"""")
"),"")</f>
        <v/>
      </c>
      <c r="N1035" s="3" t="str">
        <f aca="false">IFERROR(__xludf.dummyfunction("if($T1035&lt;&gt;"""",REGEXEXTRACT(SUBSTITUTE ($T1035,N$1&amp;"" CE"",""""), N$1&amp;""[\w &amp;]*, (\d+\.\d+)""),"""")
"),"")</f>
        <v/>
      </c>
      <c r="O1035" s="3" t="str">
        <f aca="false">IFERROR(__xludf.dummyfunction("if($T1035&lt;&gt;"""",REGEXEXTRACT($T1035, O$1&amp;""[\w &amp;]*, (\d+\.\d+)""),"""")
"),"")</f>
        <v/>
      </c>
      <c r="P1035" s="2"/>
      <c r="Q1035" s="2"/>
      <c r="R1035" s="2"/>
      <c r="S1035" s="2"/>
      <c r="T1035" s="5"/>
      <c r="U1035" s="5"/>
    </row>
    <row r="1036" customFormat="false" ht="15.75" hidden="false" customHeight="false" outlineLevel="0" collapsed="false">
      <c r="A1036" s="4"/>
      <c r="B1036" s="2"/>
      <c r="C1036" s="2"/>
      <c r="D1036" s="2"/>
      <c r="E1036" s="2"/>
      <c r="F1036" s="3" t="str">
        <f aca="false">IFERROR(__xludf.dummyfunction("if($T1036&lt;&gt;"""",REGEXEXTRACT(SUBSTITUTE ($T1036,F$1&amp;"" CE"",""""), F$1&amp;""[\w &amp;]*, (\d+\.\d+)""),"""")
"),"")</f>
        <v/>
      </c>
      <c r="G1036" s="3" t="str">
        <f aca="false">IFERROR(__xludf.dummyfunction("if($T1036&lt;&gt;"""",REGEXEXTRACT($T1036, G$1&amp;""[\w &amp;]*, (\d+\.\d+)""),"""")
"),"")</f>
        <v/>
      </c>
      <c r="H1036" s="3"/>
      <c r="I1036" s="3" t="str">
        <f aca="false">IFERROR(__xludf.dummyfunction("if($T1036&lt;&gt;"""",REGEXEXTRACT(SUBSTITUTE ($T1036,I$1&amp;"" CE"",""""), I$1&amp;""[\w &amp;]*, (\d+\.\d+)""),"""")
"),"")</f>
        <v/>
      </c>
      <c r="J1036" s="3" t="str">
        <f aca="false">IFERROR(__xludf.dummyfunction("if($T1036&lt;&gt;"""",REGEXEXTRACT($T1036, J$1&amp;""[\w &amp;]*, (\d+\.\d+)""),"""")
"),"")</f>
        <v/>
      </c>
      <c r="K1036" s="3"/>
      <c r="L1036" s="3" t="str">
        <f aca="false">IFERROR(__xludf.dummyfunction("if($T1036&lt;&gt;"""",REGEXEXTRACT(SUBSTITUTE ($T1036,L$1&amp;"" CE"",""""), L$1&amp;""[\w &amp;]*, (\d+\.\d+)""),"""")
"),"")</f>
        <v/>
      </c>
      <c r="M1036" s="3" t="str">
        <f aca="false">IFERROR(__xludf.dummyfunction("if($T1036&lt;&gt;"""",REGEXEXTRACT($T1036, M$1&amp;""[\w &amp;]*, (\d+\.\d+)""),"""")
"),"")</f>
        <v/>
      </c>
      <c r="N1036" s="3" t="str">
        <f aca="false">IFERROR(__xludf.dummyfunction("if($T1036&lt;&gt;"""",REGEXEXTRACT(SUBSTITUTE ($T1036,N$1&amp;"" CE"",""""), N$1&amp;""[\w &amp;]*, (\d+\.\d+)""),"""")
"),"")</f>
        <v/>
      </c>
      <c r="O1036" s="3" t="str">
        <f aca="false">IFERROR(__xludf.dummyfunction("if($T1036&lt;&gt;"""",REGEXEXTRACT($T1036, O$1&amp;""[\w &amp;]*, (\d+\.\d+)""),"""")
"),"")</f>
        <v/>
      </c>
      <c r="P1036" s="2"/>
      <c r="Q1036" s="2"/>
      <c r="R1036" s="2"/>
      <c r="S1036" s="2"/>
      <c r="T1036" s="5"/>
      <c r="U1036" s="5"/>
    </row>
    <row r="1037" customFormat="false" ht="15.75" hidden="false" customHeight="false" outlineLevel="0" collapsed="false">
      <c r="A1037" s="4"/>
      <c r="B1037" s="2"/>
      <c r="C1037" s="2"/>
      <c r="D1037" s="2"/>
      <c r="E1037" s="2"/>
      <c r="F1037" s="3" t="str">
        <f aca="false">IFERROR(__xludf.dummyfunction("if($T1037&lt;&gt;"""",REGEXEXTRACT(SUBSTITUTE ($T1037,F$1&amp;"" CE"",""""), F$1&amp;""[\w &amp;]*, (\d+\.\d+)""),"""")
"),"")</f>
        <v/>
      </c>
      <c r="G1037" s="3" t="str">
        <f aca="false">IFERROR(__xludf.dummyfunction("if($T1037&lt;&gt;"""",REGEXEXTRACT($T1037, G$1&amp;""[\w &amp;]*, (\d+\.\d+)""),"""")
"),"")</f>
        <v/>
      </c>
      <c r="H1037" s="3"/>
      <c r="I1037" s="3" t="str">
        <f aca="false">IFERROR(__xludf.dummyfunction("if($T1037&lt;&gt;"""",REGEXEXTRACT(SUBSTITUTE ($T1037,I$1&amp;"" CE"",""""), I$1&amp;""[\w &amp;]*, (\d+\.\d+)""),"""")
"),"")</f>
        <v/>
      </c>
      <c r="J1037" s="3" t="str">
        <f aca="false">IFERROR(__xludf.dummyfunction("if($T1037&lt;&gt;"""",REGEXEXTRACT($T1037, J$1&amp;""[\w &amp;]*, (\d+\.\d+)""),"""")
"),"")</f>
        <v/>
      </c>
      <c r="K1037" s="3"/>
      <c r="L1037" s="3" t="str">
        <f aca="false">IFERROR(__xludf.dummyfunction("if($T1037&lt;&gt;"""",REGEXEXTRACT(SUBSTITUTE ($T1037,L$1&amp;"" CE"",""""), L$1&amp;""[\w &amp;]*, (\d+\.\d+)""),"""")
"),"")</f>
        <v/>
      </c>
      <c r="M1037" s="3" t="str">
        <f aca="false">IFERROR(__xludf.dummyfunction("if($T1037&lt;&gt;"""",REGEXEXTRACT($T1037, M$1&amp;""[\w &amp;]*, (\d+\.\d+)""),"""")
"),"")</f>
        <v/>
      </c>
      <c r="N1037" s="3" t="str">
        <f aca="false">IFERROR(__xludf.dummyfunction("if($T1037&lt;&gt;"""",REGEXEXTRACT(SUBSTITUTE ($T1037,N$1&amp;"" CE"",""""), N$1&amp;""[\w &amp;]*, (\d+\.\d+)""),"""")
"),"")</f>
        <v/>
      </c>
      <c r="O1037" s="3" t="str">
        <f aca="false">IFERROR(__xludf.dummyfunction("if($T1037&lt;&gt;"""",REGEXEXTRACT($T1037, O$1&amp;""[\w &amp;]*, (\d+\.\d+)""),"""")
"),"")</f>
        <v/>
      </c>
      <c r="P1037" s="2"/>
      <c r="Q1037" s="2"/>
      <c r="R1037" s="2"/>
      <c r="S1037" s="2"/>
      <c r="T1037" s="5"/>
      <c r="U1037" s="5"/>
    </row>
    <row r="1038" customFormat="false" ht="15.75" hidden="false" customHeight="false" outlineLevel="0" collapsed="false">
      <c r="A1038" s="4"/>
      <c r="B1038" s="2"/>
      <c r="C1038" s="2"/>
      <c r="D1038" s="2"/>
      <c r="E1038" s="2"/>
      <c r="F1038" s="3" t="str">
        <f aca="false">IFERROR(__xludf.dummyfunction("if($T1038&lt;&gt;"""",REGEXEXTRACT(SUBSTITUTE ($T1038,F$1&amp;"" CE"",""""), F$1&amp;""[\w &amp;]*, (\d+\.\d+)""),"""")
"),"")</f>
        <v/>
      </c>
      <c r="G1038" s="3" t="str">
        <f aca="false">IFERROR(__xludf.dummyfunction("if($T1038&lt;&gt;"""",REGEXEXTRACT($T1038, G$1&amp;""[\w &amp;]*, (\d+\.\d+)""),"""")
"),"")</f>
        <v/>
      </c>
      <c r="H1038" s="3"/>
      <c r="I1038" s="3" t="str">
        <f aca="false">IFERROR(__xludf.dummyfunction("if($T1038&lt;&gt;"""",REGEXEXTRACT(SUBSTITUTE ($T1038,I$1&amp;"" CE"",""""), I$1&amp;""[\w &amp;]*, (\d+\.\d+)""),"""")
"),"")</f>
        <v/>
      </c>
      <c r="J1038" s="3" t="str">
        <f aca="false">IFERROR(__xludf.dummyfunction("if($T1038&lt;&gt;"""",REGEXEXTRACT($T1038, J$1&amp;""[\w &amp;]*, (\d+\.\d+)""),"""")
"),"")</f>
        <v/>
      </c>
      <c r="K1038" s="3"/>
      <c r="L1038" s="3" t="str">
        <f aca="false">IFERROR(__xludf.dummyfunction("if($T1038&lt;&gt;"""",REGEXEXTRACT(SUBSTITUTE ($T1038,L$1&amp;"" CE"",""""), L$1&amp;""[\w &amp;]*, (\d+\.\d+)""),"""")
"),"")</f>
        <v/>
      </c>
      <c r="M1038" s="3" t="str">
        <f aca="false">IFERROR(__xludf.dummyfunction("if($T1038&lt;&gt;"""",REGEXEXTRACT($T1038, M$1&amp;""[\w &amp;]*, (\d+\.\d+)""),"""")
"),"")</f>
        <v/>
      </c>
      <c r="N1038" s="3" t="str">
        <f aca="false">IFERROR(__xludf.dummyfunction("if($T1038&lt;&gt;"""",REGEXEXTRACT(SUBSTITUTE ($T1038,N$1&amp;"" CE"",""""), N$1&amp;""[\w &amp;]*, (\d+\.\d+)""),"""")
"),"")</f>
        <v/>
      </c>
      <c r="O1038" s="3" t="str">
        <f aca="false">IFERROR(__xludf.dummyfunction("if($T1038&lt;&gt;"""",REGEXEXTRACT($T1038, O$1&amp;""[\w &amp;]*, (\d+\.\d+)""),"""")
"),"")</f>
        <v/>
      </c>
      <c r="P1038" s="2"/>
      <c r="Q1038" s="2"/>
      <c r="R1038" s="2"/>
      <c r="S1038" s="2"/>
      <c r="T1038" s="5"/>
      <c r="U1038" s="5"/>
    </row>
    <row r="1039" customFormat="false" ht="15.75" hidden="false" customHeight="false" outlineLevel="0" collapsed="false">
      <c r="A1039" s="4"/>
      <c r="B1039" s="2"/>
      <c r="C1039" s="2"/>
      <c r="D1039" s="2"/>
      <c r="E1039" s="2"/>
      <c r="F1039" s="3" t="str">
        <f aca="false">IFERROR(__xludf.dummyfunction("if($T1039&lt;&gt;"""",REGEXEXTRACT(SUBSTITUTE ($T1039,F$1&amp;"" CE"",""""), F$1&amp;""[\w &amp;]*, (\d+\.\d+)""),"""")
"),"")</f>
        <v/>
      </c>
      <c r="G1039" s="3" t="str">
        <f aca="false">IFERROR(__xludf.dummyfunction("if($T1039&lt;&gt;"""",REGEXEXTRACT($T1039, G$1&amp;""[\w &amp;]*, (\d+\.\d+)""),"""")
"),"")</f>
        <v/>
      </c>
      <c r="H1039" s="3"/>
      <c r="I1039" s="3" t="str">
        <f aca="false">IFERROR(__xludf.dummyfunction("if($T1039&lt;&gt;"""",REGEXEXTRACT(SUBSTITUTE ($T1039,I$1&amp;"" CE"",""""), I$1&amp;""[\w &amp;]*, (\d+\.\d+)""),"""")
"),"")</f>
        <v/>
      </c>
      <c r="J1039" s="3" t="str">
        <f aca="false">IFERROR(__xludf.dummyfunction("if($T1039&lt;&gt;"""",REGEXEXTRACT($T1039, J$1&amp;""[\w &amp;]*, (\d+\.\d+)""),"""")
"),"")</f>
        <v/>
      </c>
      <c r="K1039" s="3"/>
      <c r="L1039" s="3" t="str">
        <f aca="false">IFERROR(__xludf.dummyfunction("if($T1039&lt;&gt;"""",REGEXEXTRACT(SUBSTITUTE ($T1039,L$1&amp;"" CE"",""""), L$1&amp;""[\w &amp;]*, (\d+\.\d+)""),"""")
"),"")</f>
        <v/>
      </c>
      <c r="M1039" s="3" t="str">
        <f aca="false">IFERROR(__xludf.dummyfunction("if($T1039&lt;&gt;"""",REGEXEXTRACT($T1039, M$1&amp;""[\w &amp;]*, (\d+\.\d+)""),"""")
"),"")</f>
        <v/>
      </c>
      <c r="N1039" s="3" t="str">
        <f aca="false">IFERROR(__xludf.dummyfunction("if($T1039&lt;&gt;"""",REGEXEXTRACT(SUBSTITUTE ($T1039,N$1&amp;"" CE"",""""), N$1&amp;""[\w &amp;]*, (\d+\.\d+)""),"""")
"),"")</f>
        <v/>
      </c>
      <c r="O1039" s="3" t="str">
        <f aca="false">IFERROR(__xludf.dummyfunction("if($T1039&lt;&gt;"""",REGEXEXTRACT($T1039, O$1&amp;""[\w &amp;]*, (\d+\.\d+)""),"""")
"),"")</f>
        <v/>
      </c>
      <c r="P1039" s="2"/>
      <c r="Q1039" s="2"/>
      <c r="R1039" s="2"/>
      <c r="S1039" s="2"/>
      <c r="T1039" s="5"/>
      <c r="U1039" s="5"/>
    </row>
    <row r="1040" customFormat="false" ht="15.75" hidden="false" customHeight="false" outlineLevel="0" collapsed="false">
      <c r="A1040" s="4"/>
      <c r="B1040" s="2"/>
      <c r="C1040" s="2"/>
      <c r="D1040" s="2"/>
      <c r="E1040" s="2"/>
      <c r="F1040" s="3" t="str">
        <f aca="false">IFERROR(__xludf.dummyfunction("if($T1040&lt;&gt;"""",REGEXEXTRACT(SUBSTITUTE ($T1040,F$1&amp;"" CE"",""""), F$1&amp;""[\w &amp;]*, (\d+\.\d+)""),"""")
"),"")</f>
        <v/>
      </c>
      <c r="G1040" s="3" t="str">
        <f aca="false">IFERROR(__xludf.dummyfunction("if($T1040&lt;&gt;"""",REGEXEXTRACT($T1040, G$1&amp;""[\w &amp;]*, (\d+\.\d+)""),"""")
"),"")</f>
        <v/>
      </c>
      <c r="H1040" s="3"/>
      <c r="I1040" s="3" t="str">
        <f aca="false">IFERROR(__xludf.dummyfunction("if($T1040&lt;&gt;"""",REGEXEXTRACT(SUBSTITUTE ($T1040,I$1&amp;"" CE"",""""), I$1&amp;""[\w &amp;]*, (\d+\.\d+)""),"""")
"),"")</f>
        <v/>
      </c>
      <c r="J1040" s="3" t="str">
        <f aca="false">IFERROR(__xludf.dummyfunction("if($T1040&lt;&gt;"""",REGEXEXTRACT($T1040, J$1&amp;""[\w &amp;]*, (\d+\.\d+)""),"""")
"),"")</f>
        <v/>
      </c>
      <c r="K1040" s="3"/>
      <c r="L1040" s="3" t="str">
        <f aca="false">IFERROR(__xludf.dummyfunction("if($T1040&lt;&gt;"""",REGEXEXTRACT(SUBSTITUTE ($T1040,L$1&amp;"" CE"",""""), L$1&amp;""[\w &amp;]*, (\d+\.\d+)""),"""")
"),"")</f>
        <v/>
      </c>
      <c r="M1040" s="3" t="str">
        <f aca="false">IFERROR(__xludf.dummyfunction("if($T1040&lt;&gt;"""",REGEXEXTRACT($T1040, M$1&amp;""[\w &amp;]*, (\d+\.\d+)""),"""")
"),"")</f>
        <v/>
      </c>
      <c r="N1040" s="3" t="str">
        <f aca="false">IFERROR(__xludf.dummyfunction("if($T1040&lt;&gt;"""",REGEXEXTRACT(SUBSTITUTE ($T1040,N$1&amp;"" CE"",""""), N$1&amp;""[\w &amp;]*, (\d+\.\d+)""),"""")
"),"")</f>
        <v/>
      </c>
      <c r="O1040" s="3" t="str">
        <f aca="false">IFERROR(__xludf.dummyfunction("if($T1040&lt;&gt;"""",REGEXEXTRACT($T1040, O$1&amp;""[\w &amp;]*, (\d+\.\d+)""),"""")
"),"")</f>
        <v/>
      </c>
      <c r="P1040" s="2"/>
      <c r="Q1040" s="2"/>
      <c r="R1040" s="2"/>
      <c r="S1040" s="2"/>
      <c r="T1040" s="5"/>
      <c r="U1040" s="5"/>
    </row>
    <row r="1041" customFormat="false" ht="15.75" hidden="false" customHeight="false" outlineLevel="0" collapsed="false">
      <c r="A1041" s="4"/>
      <c r="B1041" s="2"/>
      <c r="C1041" s="2"/>
      <c r="D1041" s="2"/>
      <c r="E1041" s="2"/>
      <c r="F1041" s="3" t="str">
        <f aca="false">IFERROR(__xludf.dummyfunction("if($T1041&lt;&gt;"""",REGEXEXTRACT(SUBSTITUTE ($T1041,F$1&amp;"" CE"",""""), F$1&amp;""[\w &amp;]*, (\d+\.\d+)""),"""")
"),"")</f>
        <v/>
      </c>
      <c r="G1041" s="3" t="str">
        <f aca="false">IFERROR(__xludf.dummyfunction("if($T1041&lt;&gt;"""",REGEXEXTRACT($T1041, G$1&amp;""[\w &amp;]*, (\d+\.\d+)""),"""")
"),"")</f>
        <v/>
      </c>
      <c r="H1041" s="3"/>
      <c r="I1041" s="3" t="str">
        <f aca="false">IFERROR(__xludf.dummyfunction("if($T1041&lt;&gt;"""",REGEXEXTRACT(SUBSTITUTE ($T1041,I$1&amp;"" CE"",""""), I$1&amp;""[\w &amp;]*, (\d+\.\d+)""),"""")
"),"")</f>
        <v/>
      </c>
      <c r="J1041" s="3" t="str">
        <f aca="false">IFERROR(__xludf.dummyfunction("if($T1041&lt;&gt;"""",REGEXEXTRACT($T1041, J$1&amp;""[\w &amp;]*, (\d+\.\d+)""),"""")
"),"")</f>
        <v/>
      </c>
      <c r="K1041" s="3"/>
      <c r="L1041" s="3" t="str">
        <f aca="false">IFERROR(__xludf.dummyfunction("if($T1041&lt;&gt;"""",REGEXEXTRACT(SUBSTITUTE ($T1041,L$1&amp;"" CE"",""""), L$1&amp;""[\w &amp;]*, (\d+\.\d+)""),"""")
"),"")</f>
        <v/>
      </c>
      <c r="M1041" s="3" t="str">
        <f aca="false">IFERROR(__xludf.dummyfunction("if($T1041&lt;&gt;"""",REGEXEXTRACT($T1041, M$1&amp;""[\w &amp;]*, (\d+\.\d+)""),"""")
"),"")</f>
        <v/>
      </c>
      <c r="N1041" s="3" t="str">
        <f aca="false">IFERROR(__xludf.dummyfunction("if($T1041&lt;&gt;"""",REGEXEXTRACT(SUBSTITUTE ($T1041,N$1&amp;"" CE"",""""), N$1&amp;""[\w &amp;]*, (\d+\.\d+)""),"""")
"),"")</f>
        <v/>
      </c>
      <c r="O1041" s="3" t="str">
        <f aca="false">IFERROR(__xludf.dummyfunction("if($T1041&lt;&gt;"""",REGEXEXTRACT($T1041, O$1&amp;""[\w &amp;]*, (\d+\.\d+)""),"""")
"),"")</f>
        <v/>
      </c>
      <c r="P1041" s="2"/>
      <c r="Q1041" s="2"/>
      <c r="R1041" s="2"/>
      <c r="S1041" s="2"/>
      <c r="T1041" s="5"/>
      <c r="U1041" s="5"/>
    </row>
    <row r="1042" customFormat="false" ht="15.75" hidden="false" customHeight="false" outlineLevel="0" collapsed="false">
      <c r="A1042" s="4"/>
      <c r="B1042" s="2"/>
      <c r="C1042" s="2"/>
      <c r="D1042" s="2"/>
      <c r="E1042" s="2"/>
      <c r="F1042" s="3" t="str">
        <f aca="false">IFERROR(__xludf.dummyfunction("if($T1042&lt;&gt;"""",REGEXEXTRACT(SUBSTITUTE ($T1042,F$1&amp;"" CE"",""""), F$1&amp;""[\w &amp;]*, (\d+\.\d+)""),"""")
"),"")</f>
        <v/>
      </c>
      <c r="G1042" s="3" t="str">
        <f aca="false">IFERROR(__xludf.dummyfunction("if($T1042&lt;&gt;"""",REGEXEXTRACT($T1042, G$1&amp;""[\w &amp;]*, (\d+\.\d+)""),"""")
"),"")</f>
        <v/>
      </c>
      <c r="H1042" s="3"/>
      <c r="I1042" s="3" t="str">
        <f aca="false">IFERROR(__xludf.dummyfunction("if($T1042&lt;&gt;"""",REGEXEXTRACT(SUBSTITUTE ($T1042,I$1&amp;"" CE"",""""), I$1&amp;""[\w &amp;]*, (\d+\.\d+)""),"""")
"),"")</f>
        <v/>
      </c>
      <c r="J1042" s="3" t="str">
        <f aca="false">IFERROR(__xludf.dummyfunction("if($T1042&lt;&gt;"""",REGEXEXTRACT($T1042, J$1&amp;""[\w &amp;]*, (\d+\.\d+)""),"""")
"),"")</f>
        <v/>
      </c>
      <c r="K1042" s="3"/>
      <c r="L1042" s="3" t="str">
        <f aca="false">IFERROR(__xludf.dummyfunction("if($T1042&lt;&gt;"""",REGEXEXTRACT(SUBSTITUTE ($T1042,L$1&amp;"" CE"",""""), L$1&amp;""[\w &amp;]*, (\d+\.\d+)""),"""")
"),"")</f>
        <v/>
      </c>
      <c r="M1042" s="3" t="str">
        <f aca="false">IFERROR(__xludf.dummyfunction("if($T1042&lt;&gt;"""",REGEXEXTRACT($T1042, M$1&amp;""[\w &amp;]*, (\d+\.\d+)""),"""")
"),"")</f>
        <v/>
      </c>
      <c r="N1042" s="3" t="str">
        <f aca="false">IFERROR(__xludf.dummyfunction("if($T1042&lt;&gt;"""",REGEXEXTRACT(SUBSTITUTE ($T1042,N$1&amp;"" CE"",""""), N$1&amp;""[\w &amp;]*, (\d+\.\d+)""),"""")
"),"")</f>
        <v/>
      </c>
      <c r="O1042" s="3" t="str">
        <f aca="false">IFERROR(__xludf.dummyfunction("if($T1042&lt;&gt;"""",REGEXEXTRACT($T1042, O$1&amp;""[\w &amp;]*, (\d+\.\d+)""),"""")
"),"")</f>
        <v/>
      </c>
      <c r="P1042" s="2"/>
      <c r="Q1042" s="2"/>
      <c r="R1042" s="2"/>
      <c r="S1042" s="2"/>
      <c r="T1042" s="5"/>
      <c r="U1042" s="5"/>
    </row>
    <row r="1043" customFormat="false" ht="15.75" hidden="false" customHeight="false" outlineLevel="0" collapsed="false">
      <c r="A1043" s="4"/>
      <c r="B1043" s="2"/>
      <c r="C1043" s="2"/>
      <c r="D1043" s="2"/>
      <c r="E1043" s="2"/>
      <c r="F1043" s="3" t="str">
        <f aca="false">IFERROR(__xludf.dummyfunction("if($T1043&lt;&gt;"""",REGEXEXTRACT(SUBSTITUTE ($T1043,F$1&amp;"" CE"",""""), F$1&amp;""[\w &amp;]*, (\d+\.\d+)""),"""")
"),"")</f>
        <v/>
      </c>
      <c r="G1043" s="3" t="str">
        <f aca="false">IFERROR(__xludf.dummyfunction("if($T1043&lt;&gt;"""",REGEXEXTRACT($T1043, G$1&amp;""[\w &amp;]*, (\d+\.\d+)""),"""")
"),"")</f>
        <v/>
      </c>
      <c r="H1043" s="3"/>
      <c r="I1043" s="3" t="str">
        <f aca="false">IFERROR(__xludf.dummyfunction("if($T1043&lt;&gt;"""",REGEXEXTRACT(SUBSTITUTE ($T1043,I$1&amp;"" CE"",""""), I$1&amp;""[\w &amp;]*, (\d+\.\d+)""),"""")
"),"")</f>
        <v/>
      </c>
      <c r="J1043" s="3" t="str">
        <f aca="false">IFERROR(__xludf.dummyfunction("if($T1043&lt;&gt;"""",REGEXEXTRACT($T1043, J$1&amp;""[\w &amp;]*, (\d+\.\d+)""),"""")
"),"")</f>
        <v/>
      </c>
      <c r="K1043" s="3"/>
      <c r="L1043" s="3" t="str">
        <f aca="false">IFERROR(__xludf.dummyfunction("if($T1043&lt;&gt;"""",REGEXEXTRACT(SUBSTITUTE ($T1043,L$1&amp;"" CE"",""""), L$1&amp;""[\w &amp;]*, (\d+\.\d+)""),"""")
"),"")</f>
        <v/>
      </c>
      <c r="M1043" s="3" t="str">
        <f aca="false">IFERROR(__xludf.dummyfunction("if($T1043&lt;&gt;"""",REGEXEXTRACT($T1043, M$1&amp;""[\w &amp;]*, (\d+\.\d+)""),"""")
"),"")</f>
        <v/>
      </c>
      <c r="N1043" s="3" t="str">
        <f aca="false">IFERROR(__xludf.dummyfunction("if($T1043&lt;&gt;"""",REGEXEXTRACT(SUBSTITUTE ($T1043,N$1&amp;"" CE"",""""), N$1&amp;""[\w &amp;]*, (\d+\.\d+)""),"""")
"),"")</f>
        <v/>
      </c>
      <c r="O1043" s="3" t="str">
        <f aca="false">IFERROR(__xludf.dummyfunction("if($T1043&lt;&gt;"""",REGEXEXTRACT($T1043, O$1&amp;""[\w &amp;]*, (\d+\.\d+)""),"""")
"),"")</f>
        <v/>
      </c>
      <c r="P1043" s="2"/>
      <c r="Q1043" s="2"/>
      <c r="R1043" s="2"/>
      <c r="S1043" s="2"/>
      <c r="T1043" s="5"/>
      <c r="U1043" s="5"/>
    </row>
    <row r="1044" customFormat="false" ht="15.75" hidden="false" customHeight="false" outlineLevel="0" collapsed="false">
      <c r="A1044" s="4"/>
      <c r="B1044" s="2"/>
      <c r="C1044" s="2"/>
      <c r="D1044" s="2"/>
      <c r="E1044" s="2"/>
      <c r="F1044" s="3" t="str">
        <f aca="false">IFERROR(__xludf.dummyfunction("if($T1044&lt;&gt;"""",REGEXEXTRACT(SUBSTITUTE ($T1044,F$1&amp;"" CE"",""""), F$1&amp;""[\w &amp;]*, (\d+\.\d+)""),"""")
"),"")</f>
        <v/>
      </c>
      <c r="G1044" s="3" t="str">
        <f aca="false">IFERROR(__xludf.dummyfunction("if($T1044&lt;&gt;"""",REGEXEXTRACT($T1044, G$1&amp;""[\w &amp;]*, (\d+\.\d+)""),"""")
"),"")</f>
        <v/>
      </c>
      <c r="H1044" s="3"/>
      <c r="I1044" s="3" t="str">
        <f aca="false">IFERROR(__xludf.dummyfunction("if($T1044&lt;&gt;"""",REGEXEXTRACT(SUBSTITUTE ($T1044,I$1&amp;"" CE"",""""), I$1&amp;""[\w &amp;]*, (\d+\.\d+)""),"""")
"),"")</f>
        <v/>
      </c>
      <c r="J1044" s="3" t="str">
        <f aca="false">IFERROR(__xludf.dummyfunction("if($T1044&lt;&gt;"""",REGEXEXTRACT($T1044, J$1&amp;""[\w &amp;]*, (\d+\.\d+)""),"""")
"),"")</f>
        <v/>
      </c>
      <c r="K1044" s="3"/>
      <c r="L1044" s="3" t="str">
        <f aca="false">IFERROR(__xludf.dummyfunction("if($T1044&lt;&gt;"""",REGEXEXTRACT(SUBSTITUTE ($T1044,L$1&amp;"" CE"",""""), L$1&amp;""[\w &amp;]*, (\d+\.\d+)""),"""")
"),"")</f>
        <v/>
      </c>
      <c r="M1044" s="3" t="str">
        <f aca="false">IFERROR(__xludf.dummyfunction("if($T1044&lt;&gt;"""",REGEXEXTRACT($T1044, M$1&amp;""[\w &amp;]*, (\d+\.\d+)""),"""")
"),"")</f>
        <v/>
      </c>
      <c r="N1044" s="3" t="str">
        <f aca="false">IFERROR(__xludf.dummyfunction("if($T1044&lt;&gt;"""",REGEXEXTRACT(SUBSTITUTE ($T1044,N$1&amp;"" CE"",""""), N$1&amp;""[\w &amp;]*, (\d+\.\d+)""),"""")
"),"")</f>
        <v/>
      </c>
      <c r="O1044" s="3" t="str">
        <f aca="false">IFERROR(__xludf.dummyfunction("if($T1044&lt;&gt;"""",REGEXEXTRACT($T1044, O$1&amp;""[\w &amp;]*, (\d+\.\d+)""),"""")
"),"")</f>
        <v/>
      </c>
      <c r="P1044" s="2"/>
      <c r="Q1044" s="2"/>
      <c r="R1044" s="2"/>
      <c r="S1044" s="2"/>
      <c r="T1044" s="5"/>
      <c r="U1044" s="5"/>
    </row>
    <row r="1045" customFormat="false" ht="15.75" hidden="false" customHeight="false" outlineLevel="0" collapsed="false">
      <c r="A1045" s="4"/>
      <c r="B1045" s="2"/>
      <c r="C1045" s="2"/>
      <c r="D1045" s="2"/>
      <c r="E1045" s="2"/>
      <c r="F1045" s="3" t="str">
        <f aca="false">IFERROR(__xludf.dummyfunction("if($T1045&lt;&gt;"""",REGEXEXTRACT(SUBSTITUTE ($T1045,F$1&amp;"" CE"",""""), F$1&amp;""[\w &amp;]*, (\d+\.\d+)""),"""")
"),"")</f>
        <v/>
      </c>
      <c r="G1045" s="3" t="str">
        <f aca="false">IFERROR(__xludf.dummyfunction("if($T1045&lt;&gt;"""",REGEXEXTRACT($T1045, G$1&amp;""[\w &amp;]*, (\d+\.\d+)""),"""")
"),"")</f>
        <v/>
      </c>
      <c r="H1045" s="3"/>
      <c r="I1045" s="3" t="str">
        <f aca="false">IFERROR(__xludf.dummyfunction("if($T1045&lt;&gt;"""",REGEXEXTRACT(SUBSTITUTE ($T1045,I$1&amp;"" CE"",""""), I$1&amp;""[\w &amp;]*, (\d+\.\d+)""),"""")
"),"")</f>
        <v/>
      </c>
      <c r="J1045" s="3" t="str">
        <f aca="false">IFERROR(__xludf.dummyfunction("if($T1045&lt;&gt;"""",REGEXEXTRACT($T1045, J$1&amp;""[\w &amp;]*, (\d+\.\d+)""),"""")
"),"")</f>
        <v/>
      </c>
      <c r="K1045" s="3"/>
      <c r="L1045" s="3" t="str">
        <f aca="false">IFERROR(__xludf.dummyfunction("if($T1045&lt;&gt;"""",REGEXEXTRACT(SUBSTITUTE ($T1045,L$1&amp;"" CE"",""""), L$1&amp;""[\w &amp;]*, (\d+\.\d+)""),"""")
"),"")</f>
        <v/>
      </c>
      <c r="M1045" s="3" t="str">
        <f aca="false">IFERROR(__xludf.dummyfunction("if($T1045&lt;&gt;"""",REGEXEXTRACT($T1045, M$1&amp;""[\w &amp;]*, (\d+\.\d+)""),"""")
"),"")</f>
        <v/>
      </c>
      <c r="N1045" s="3" t="str">
        <f aca="false">IFERROR(__xludf.dummyfunction("if($T1045&lt;&gt;"""",REGEXEXTRACT(SUBSTITUTE ($T1045,N$1&amp;"" CE"",""""), N$1&amp;""[\w &amp;]*, (\d+\.\d+)""),"""")
"),"")</f>
        <v/>
      </c>
      <c r="O1045" s="3" t="str">
        <f aca="false">IFERROR(__xludf.dummyfunction("if($T1045&lt;&gt;"""",REGEXEXTRACT($T1045, O$1&amp;""[\w &amp;]*, (\d+\.\d+)""),"""")
"),"")</f>
        <v/>
      </c>
      <c r="P1045" s="2"/>
      <c r="Q1045" s="2"/>
      <c r="R1045" s="2"/>
      <c r="S1045" s="2"/>
      <c r="T1045" s="5"/>
      <c r="U1045" s="5"/>
    </row>
    <row r="1046" customFormat="false" ht="15.75" hidden="false" customHeight="false" outlineLevel="0" collapsed="false">
      <c r="A1046" s="4"/>
      <c r="B1046" s="2"/>
      <c r="C1046" s="2"/>
      <c r="D1046" s="2"/>
      <c r="E1046" s="2"/>
      <c r="F1046" s="3" t="str">
        <f aca="false">IFERROR(__xludf.dummyfunction("if($T1046&lt;&gt;"""",REGEXEXTRACT(SUBSTITUTE ($T1046,F$1&amp;"" CE"",""""), F$1&amp;""[\w &amp;]*, (\d+\.\d+)""),"""")
"),"")</f>
        <v/>
      </c>
      <c r="G1046" s="3" t="str">
        <f aca="false">IFERROR(__xludf.dummyfunction("if($T1046&lt;&gt;"""",REGEXEXTRACT($T1046, G$1&amp;""[\w &amp;]*, (\d+\.\d+)""),"""")
"),"")</f>
        <v/>
      </c>
      <c r="H1046" s="3"/>
      <c r="I1046" s="3" t="str">
        <f aca="false">IFERROR(__xludf.dummyfunction("if($T1046&lt;&gt;"""",REGEXEXTRACT(SUBSTITUTE ($T1046,I$1&amp;"" CE"",""""), I$1&amp;""[\w &amp;]*, (\d+\.\d+)""),"""")
"),"")</f>
        <v/>
      </c>
      <c r="J1046" s="3" t="str">
        <f aca="false">IFERROR(__xludf.dummyfunction("if($T1046&lt;&gt;"""",REGEXEXTRACT($T1046, J$1&amp;""[\w &amp;]*, (\d+\.\d+)""),"""")
"),"")</f>
        <v/>
      </c>
      <c r="K1046" s="3"/>
      <c r="L1046" s="3" t="str">
        <f aca="false">IFERROR(__xludf.dummyfunction("if($T1046&lt;&gt;"""",REGEXEXTRACT(SUBSTITUTE ($T1046,L$1&amp;"" CE"",""""), L$1&amp;""[\w &amp;]*, (\d+\.\d+)""),"""")
"),"")</f>
        <v/>
      </c>
      <c r="M1046" s="3" t="str">
        <f aca="false">IFERROR(__xludf.dummyfunction("if($T1046&lt;&gt;"""",REGEXEXTRACT($T1046, M$1&amp;""[\w &amp;]*, (\d+\.\d+)""),"""")
"),"")</f>
        <v/>
      </c>
      <c r="N1046" s="3" t="str">
        <f aca="false">IFERROR(__xludf.dummyfunction("if($T1046&lt;&gt;"""",REGEXEXTRACT(SUBSTITUTE ($T1046,N$1&amp;"" CE"",""""), N$1&amp;""[\w &amp;]*, (\d+\.\d+)""),"""")
"),"")</f>
        <v/>
      </c>
      <c r="O1046" s="3" t="str">
        <f aca="false">IFERROR(__xludf.dummyfunction("if($T1046&lt;&gt;"""",REGEXEXTRACT($T1046, O$1&amp;""[\w &amp;]*, (\d+\.\d+)""),"""")
"),"")</f>
        <v/>
      </c>
      <c r="P1046" s="2"/>
      <c r="Q1046" s="2"/>
      <c r="R1046" s="2"/>
      <c r="S1046" s="2"/>
      <c r="T1046" s="5"/>
      <c r="U1046" s="5"/>
    </row>
    <row r="1047" customFormat="false" ht="15.75" hidden="false" customHeight="false" outlineLevel="0" collapsed="false">
      <c r="A1047" s="4"/>
      <c r="B1047" s="2"/>
      <c r="C1047" s="2"/>
      <c r="D1047" s="2"/>
      <c r="E1047" s="2"/>
      <c r="F1047" s="3" t="str">
        <f aca="false">IFERROR(__xludf.dummyfunction("if($T1047&lt;&gt;"""",REGEXEXTRACT(SUBSTITUTE ($T1047,F$1&amp;"" CE"",""""), F$1&amp;""[\w &amp;]*, (\d+\.\d+)""),"""")
"),"")</f>
        <v/>
      </c>
      <c r="G1047" s="3" t="str">
        <f aca="false">IFERROR(__xludf.dummyfunction("if($T1047&lt;&gt;"""",REGEXEXTRACT($T1047, G$1&amp;""[\w &amp;]*, (\d+\.\d+)""),"""")
"),"")</f>
        <v/>
      </c>
      <c r="H1047" s="3"/>
      <c r="I1047" s="3" t="str">
        <f aca="false">IFERROR(__xludf.dummyfunction("if($T1047&lt;&gt;"""",REGEXEXTRACT(SUBSTITUTE ($T1047,I$1&amp;"" CE"",""""), I$1&amp;""[\w &amp;]*, (\d+\.\d+)""),"""")
"),"")</f>
        <v/>
      </c>
      <c r="J1047" s="3" t="str">
        <f aca="false">IFERROR(__xludf.dummyfunction("if($T1047&lt;&gt;"""",REGEXEXTRACT($T1047, J$1&amp;""[\w &amp;]*, (\d+\.\d+)""),"""")
"),"")</f>
        <v/>
      </c>
      <c r="K1047" s="3"/>
      <c r="L1047" s="3" t="str">
        <f aca="false">IFERROR(__xludf.dummyfunction("if($T1047&lt;&gt;"""",REGEXEXTRACT(SUBSTITUTE ($T1047,L$1&amp;"" CE"",""""), L$1&amp;""[\w &amp;]*, (\d+\.\d+)""),"""")
"),"")</f>
        <v/>
      </c>
      <c r="M1047" s="3" t="str">
        <f aca="false">IFERROR(__xludf.dummyfunction("if($T1047&lt;&gt;"""",REGEXEXTRACT($T1047, M$1&amp;""[\w &amp;]*, (\d+\.\d+)""),"""")
"),"")</f>
        <v/>
      </c>
      <c r="N1047" s="3" t="str">
        <f aca="false">IFERROR(__xludf.dummyfunction("if($T1047&lt;&gt;"""",REGEXEXTRACT(SUBSTITUTE ($T1047,N$1&amp;"" CE"",""""), N$1&amp;""[\w &amp;]*, (\d+\.\d+)""),"""")
"),"")</f>
        <v/>
      </c>
      <c r="O1047" s="3" t="str">
        <f aca="false">IFERROR(__xludf.dummyfunction("if($T1047&lt;&gt;"""",REGEXEXTRACT($T1047, O$1&amp;""[\w &amp;]*, (\d+\.\d+)""),"""")
"),"")</f>
        <v/>
      </c>
      <c r="P1047" s="2"/>
      <c r="Q1047" s="2"/>
      <c r="R1047" s="2"/>
      <c r="S1047" s="2"/>
      <c r="T1047" s="5"/>
      <c r="U1047" s="5"/>
    </row>
    <row r="1048" customFormat="false" ht="15.75" hidden="false" customHeight="false" outlineLevel="0" collapsed="false">
      <c r="A1048" s="4"/>
      <c r="B1048" s="2"/>
      <c r="C1048" s="2"/>
      <c r="D1048" s="2"/>
      <c r="E1048" s="2"/>
      <c r="F1048" s="3" t="str">
        <f aca="false">IFERROR(__xludf.dummyfunction("if($T1048&lt;&gt;"""",REGEXEXTRACT(SUBSTITUTE ($T1048,F$1&amp;"" CE"",""""), F$1&amp;""[\w &amp;]*, (\d+\.\d+)""),"""")
"),"")</f>
        <v/>
      </c>
      <c r="G1048" s="3" t="str">
        <f aca="false">IFERROR(__xludf.dummyfunction("if($T1048&lt;&gt;"""",REGEXEXTRACT($T1048, G$1&amp;""[\w &amp;]*, (\d+\.\d+)""),"""")
"),"")</f>
        <v/>
      </c>
      <c r="H1048" s="3"/>
      <c r="I1048" s="3" t="str">
        <f aca="false">IFERROR(__xludf.dummyfunction("if($T1048&lt;&gt;"""",REGEXEXTRACT(SUBSTITUTE ($T1048,I$1&amp;"" CE"",""""), I$1&amp;""[\w &amp;]*, (\d+\.\d+)""),"""")
"),"")</f>
        <v/>
      </c>
      <c r="J1048" s="3" t="str">
        <f aca="false">IFERROR(__xludf.dummyfunction("if($T1048&lt;&gt;"""",REGEXEXTRACT($T1048, J$1&amp;""[\w &amp;]*, (\d+\.\d+)""),"""")
"),"")</f>
        <v/>
      </c>
      <c r="K1048" s="3"/>
      <c r="L1048" s="3" t="str">
        <f aca="false">IFERROR(__xludf.dummyfunction("if($T1048&lt;&gt;"""",REGEXEXTRACT(SUBSTITUTE ($T1048,L$1&amp;"" CE"",""""), L$1&amp;""[\w &amp;]*, (\d+\.\d+)""),"""")
"),"")</f>
        <v/>
      </c>
      <c r="M1048" s="3" t="str">
        <f aca="false">IFERROR(__xludf.dummyfunction("if($T1048&lt;&gt;"""",REGEXEXTRACT($T1048, M$1&amp;""[\w &amp;]*, (\d+\.\d+)""),"""")
"),"")</f>
        <v/>
      </c>
      <c r="N1048" s="3" t="str">
        <f aca="false">IFERROR(__xludf.dummyfunction("if($T1048&lt;&gt;"""",REGEXEXTRACT(SUBSTITUTE ($T1048,N$1&amp;"" CE"",""""), N$1&amp;""[\w &amp;]*, (\d+\.\d+)""),"""")
"),"")</f>
        <v/>
      </c>
      <c r="O1048" s="3" t="str">
        <f aca="false">IFERROR(__xludf.dummyfunction("if($T1048&lt;&gt;"""",REGEXEXTRACT($T1048, O$1&amp;""[\w &amp;]*, (\d+\.\d+)""),"""")
"),"")</f>
        <v/>
      </c>
      <c r="P1048" s="2"/>
      <c r="Q1048" s="2"/>
      <c r="R1048" s="2"/>
      <c r="S1048" s="2"/>
      <c r="T1048" s="5"/>
      <c r="U1048" s="5"/>
    </row>
    <row r="1049" customFormat="false" ht="15.75" hidden="false" customHeight="false" outlineLevel="0" collapsed="false">
      <c r="A1049" s="4"/>
      <c r="B1049" s="2"/>
      <c r="C1049" s="2"/>
      <c r="D1049" s="2"/>
      <c r="E1049" s="2"/>
      <c r="F1049" s="3" t="str">
        <f aca="false">IFERROR(__xludf.dummyfunction("if($T1049&lt;&gt;"""",REGEXEXTRACT(SUBSTITUTE ($T1049,F$1&amp;"" CE"",""""), F$1&amp;""[\w &amp;]*, (\d+\.\d+)""),"""")
"),"")</f>
        <v/>
      </c>
      <c r="G1049" s="3" t="str">
        <f aca="false">IFERROR(__xludf.dummyfunction("if($T1049&lt;&gt;"""",REGEXEXTRACT($T1049, G$1&amp;""[\w &amp;]*, (\d+\.\d+)""),"""")
"),"")</f>
        <v/>
      </c>
      <c r="H1049" s="3"/>
      <c r="I1049" s="3" t="str">
        <f aca="false">IFERROR(__xludf.dummyfunction("if($T1049&lt;&gt;"""",REGEXEXTRACT(SUBSTITUTE ($T1049,I$1&amp;"" CE"",""""), I$1&amp;""[\w &amp;]*, (\d+\.\d+)""),"""")
"),"")</f>
        <v/>
      </c>
      <c r="J1049" s="3" t="str">
        <f aca="false">IFERROR(__xludf.dummyfunction("if($T1049&lt;&gt;"""",REGEXEXTRACT($T1049, J$1&amp;""[\w &amp;]*, (\d+\.\d+)""),"""")
"),"")</f>
        <v/>
      </c>
      <c r="K1049" s="3"/>
      <c r="L1049" s="3" t="str">
        <f aca="false">IFERROR(__xludf.dummyfunction("if($T1049&lt;&gt;"""",REGEXEXTRACT(SUBSTITUTE ($T1049,L$1&amp;"" CE"",""""), L$1&amp;""[\w &amp;]*, (\d+\.\d+)""),"""")
"),"")</f>
        <v/>
      </c>
      <c r="M1049" s="3" t="str">
        <f aca="false">IFERROR(__xludf.dummyfunction("if($T1049&lt;&gt;"""",REGEXEXTRACT($T1049, M$1&amp;""[\w &amp;]*, (\d+\.\d+)""),"""")
"),"")</f>
        <v/>
      </c>
      <c r="N1049" s="3" t="str">
        <f aca="false">IFERROR(__xludf.dummyfunction("if($T1049&lt;&gt;"""",REGEXEXTRACT(SUBSTITUTE ($T1049,N$1&amp;"" CE"",""""), N$1&amp;""[\w &amp;]*, (\d+\.\d+)""),"""")
"),"")</f>
        <v/>
      </c>
      <c r="O1049" s="3" t="str">
        <f aca="false">IFERROR(__xludf.dummyfunction("if($T1049&lt;&gt;"""",REGEXEXTRACT($T1049, O$1&amp;""[\w &amp;]*, (\d+\.\d+)""),"""")
"),"")</f>
        <v/>
      </c>
      <c r="P1049" s="2"/>
      <c r="Q1049" s="2"/>
      <c r="R1049" s="2"/>
      <c r="S1049" s="2"/>
      <c r="T1049" s="5"/>
      <c r="U1049" s="5"/>
    </row>
    <row r="1050" customFormat="false" ht="15.75" hidden="false" customHeight="false" outlineLevel="0" collapsed="false">
      <c r="A1050" s="4"/>
      <c r="B1050" s="2"/>
      <c r="C1050" s="2"/>
      <c r="D1050" s="2"/>
      <c r="E1050" s="2"/>
      <c r="F1050" s="3" t="str">
        <f aca="false">IFERROR(__xludf.dummyfunction("if($T1050&lt;&gt;"""",REGEXEXTRACT(SUBSTITUTE ($T1050,F$1&amp;"" CE"",""""), F$1&amp;""[\w &amp;]*, (\d+\.\d+)""),"""")
"),"")</f>
        <v/>
      </c>
      <c r="G1050" s="3" t="str">
        <f aca="false">IFERROR(__xludf.dummyfunction("if($T1050&lt;&gt;"""",REGEXEXTRACT($T1050, G$1&amp;""[\w &amp;]*, (\d+\.\d+)""),"""")
"),"")</f>
        <v/>
      </c>
      <c r="H1050" s="3"/>
      <c r="I1050" s="3" t="str">
        <f aca="false">IFERROR(__xludf.dummyfunction("if($T1050&lt;&gt;"""",REGEXEXTRACT(SUBSTITUTE ($T1050,I$1&amp;"" CE"",""""), I$1&amp;""[\w &amp;]*, (\d+\.\d+)""),"""")
"),"")</f>
        <v/>
      </c>
      <c r="J1050" s="3" t="str">
        <f aca="false">IFERROR(__xludf.dummyfunction("if($T1050&lt;&gt;"""",REGEXEXTRACT($T1050, J$1&amp;""[\w &amp;]*, (\d+\.\d+)""),"""")
"),"")</f>
        <v/>
      </c>
      <c r="K1050" s="3"/>
      <c r="L1050" s="3" t="str">
        <f aca="false">IFERROR(__xludf.dummyfunction("if($T1050&lt;&gt;"""",REGEXEXTRACT(SUBSTITUTE ($T1050,L$1&amp;"" CE"",""""), L$1&amp;""[\w &amp;]*, (\d+\.\d+)""),"""")
"),"")</f>
        <v/>
      </c>
      <c r="M1050" s="3" t="str">
        <f aca="false">IFERROR(__xludf.dummyfunction("if($T1050&lt;&gt;"""",REGEXEXTRACT($T1050, M$1&amp;""[\w &amp;]*, (\d+\.\d+)""),"""")
"),"")</f>
        <v/>
      </c>
      <c r="N1050" s="3" t="str">
        <f aca="false">IFERROR(__xludf.dummyfunction("if($T1050&lt;&gt;"""",REGEXEXTRACT(SUBSTITUTE ($T1050,N$1&amp;"" CE"",""""), N$1&amp;""[\w &amp;]*, (\d+\.\d+)""),"""")
"),"")</f>
        <v/>
      </c>
      <c r="O1050" s="3" t="str">
        <f aca="false">IFERROR(__xludf.dummyfunction("if($T1050&lt;&gt;"""",REGEXEXTRACT($T1050, O$1&amp;""[\w &amp;]*, (\d+\.\d+)""),"""")
"),"")</f>
        <v/>
      </c>
      <c r="P1050" s="2"/>
      <c r="Q1050" s="2"/>
      <c r="R1050" s="2"/>
      <c r="S1050" s="2"/>
      <c r="T1050" s="5"/>
      <c r="U1050" s="5"/>
    </row>
    <row r="1051" customFormat="false" ht="15.75" hidden="false" customHeight="false" outlineLevel="0" collapsed="false">
      <c r="A1051" s="4"/>
      <c r="B1051" s="2"/>
      <c r="C1051" s="2"/>
      <c r="D1051" s="2"/>
      <c r="E1051" s="2"/>
      <c r="F1051" s="3" t="str">
        <f aca="false">IFERROR(__xludf.dummyfunction("if($T1051&lt;&gt;"""",REGEXEXTRACT(SUBSTITUTE ($T1051,F$1&amp;"" CE"",""""), F$1&amp;""[\w &amp;]*, (\d+\.\d+)""),"""")
"),"")</f>
        <v/>
      </c>
      <c r="G1051" s="3" t="str">
        <f aca="false">IFERROR(__xludf.dummyfunction("if($T1051&lt;&gt;"""",REGEXEXTRACT($T1051, G$1&amp;""[\w &amp;]*, (\d+\.\d+)""),"""")
"),"")</f>
        <v/>
      </c>
      <c r="H1051" s="3"/>
      <c r="I1051" s="3" t="str">
        <f aca="false">IFERROR(__xludf.dummyfunction("if($T1051&lt;&gt;"""",REGEXEXTRACT(SUBSTITUTE ($T1051,I$1&amp;"" CE"",""""), I$1&amp;""[\w &amp;]*, (\d+\.\d+)""),"""")
"),"")</f>
        <v/>
      </c>
      <c r="J1051" s="3" t="str">
        <f aca="false">IFERROR(__xludf.dummyfunction("if($T1051&lt;&gt;"""",REGEXEXTRACT($T1051, J$1&amp;""[\w &amp;]*, (\d+\.\d+)""),"""")
"),"")</f>
        <v/>
      </c>
      <c r="K1051" s="3"/>
      <c r="L1051" s="3" t="str">
        <f aca="false">IFERROR(__xludf.dummyfunction("if($T1051&lt;&gt;"""",REGEXEXTRACT(SUBSTITUTE ($T1051,L$1&amp;"" CE"",""""), L$1&amp;""[\w &amp;]*, (\d+\.\d+)""),"""")
"),"")</f>
        <v/>
      </c>
      <c r="M1051" s="3" t="str">
        <f aca="false">IFERROR(__xludf.dummyfunction("if($T1051&lt;&gt;"""",REGEXEXTRACT($T1051, M$1&amp;""[\w &amp;]*, (\d+\.\d+)""),"""")
"),"")</f>
        <v/>
      </c>
      <c r="N1051" s="3" t="str">
        <f aca="false">IFERROR(__xludf.dummyfunction("if($T1051&lt;&gt;"""",REGEXEXTRACT(SUBSTITUTE ($T1051,N$1&amp;"" CE"",""""), N$1&amp;""[\w &amp;]*, (\d+\.\d+)""),"""")
"),"")</f>
        <v/>
      </c>
      <c r="O1051" s="3" t="str">
        <f aca="false">IFERROR(__xludf.dummyfunction("if($T1051&lt;&gt;"""",REGEXEXTRACT($T1051, O$1&amp;""[\w &amp;]*, (\d+\.\d+)""),"""")
"),"")</f>
        <v/>
      </c>
      <c r="P1051" s="2"/>
      <c r="Q1051" s="2"/>
      <c r="R1051" s="2"/>
      <c r="S1051" s="2"/>
      <c r="T1051" s="5"/>
      <c r="U1051" s="5"/>
    </row>
    <row r="1052" customFormat="false" ht="15.75" hidden="false" customHeight="false" outlineLevel="0" collapsed="false">
      <c r="A1052" s="4"/>
      <c r="B1052" s="2"/>
      <c r="C1052" s="2"/>
      <c r="D1052" s="2"/>
      <c r="E1052" s="2"/>
      <c r="F1052" s="3" t="str">
        <f aca="false">IFERROR(__xludf.dummyfunction("if($T1052&lt;&gt;"""",REGEXEXTRACT(SUBSTITUTE ($T1052,F$1&amp;"" CE"",""""), F$1&amp;""[\w &amp;]*, (\d+\.\d+)""),"""")
"),"")</f>
        <v/>
      </c>
      <c r="G1052" s="3" t="str">
        <f aca="false">IFERROR(__xludf.dummyfunction("if($T1052&lt;&gt;"""",REGEXEXTRACT($T1052, G$1&amp;""[\w &amp;]*, (\d+\.\d+)""),"""")
"),"")</f>
        <v/>
      </c>
      <c r="H1052" s="3"/>
      <c r="I1052" s="3" t="str">
        <f aca="false">IFERROR(__xludf.dummyfunction("if($T1052&lt;&gt;"""",REGEXEXTRACT(SUBSTITUTE ($T1052,I$1&amp;"" CE"",""""), I$1&amp;""[\w &amp;]*, (\d+\.\d+)""),"""")
"),"")</f>
        <v/>
      </c>
      <c r="J1052" s="3" t="str">
        <f aca="false">IFERROR(__xludf.dummyfunction("if($T1052&lt;&gt;"""",REGEXEXTRACT($T1052, J$1&amp;""[\w &amp;]*, (\d+\.\d+)""),"""")
"),"")</f>
        <v/>
      </c>
      <c r="K1052" s="3"/>
      <c r="L1052" s="3" t="str">
        <f aca="false">IFERROR(__xludf.dummyfunction("if($T1052&lt;&gt;"""",REGEXEXTRACT(SUBSTITUTE ($T1052,L$1&amp;"" CE"",""""), L$1&amp;""[\w &amp;]*, (\d+\.\d+)""),"""")
"),"")</f>
        <v/>
      </c>
      <c r="M1052" s="3" t="str">
        <f aca="false">IFERROR(__xludf.dummyfunction("if($T1052&lt;&gt;"""",REGEXEXTRACT($T1052, M$1&amp;""[\w &amp;]*, (\d+\.\d+)""),"""")
"),"")</f>
        <v/>
      </c>
      <c r="N1052" s="3" t="str">
        <f aca="false">IFERROR(__xludf.dummyfunction("if($T1052&lt;&gt;"""",REGEXEXTRACT(SUBSTITUTE ($T1052,N$1&amp;"" CE"",""""), N$1&amp;""[\w &amp;]*, (\d+\.\d+)""),"""")
"),"")</f>
        <v/>
      </c>
      <c r="O1052" s="3" t="str">
        <f aca="false">IFERROR(__xludf.dummyfunction("if($T1052&lt;&gt;"""",REGEXEXTRACT($T1052, O$1&amp;""[\w &amp;]*, (\d+\.\d+)""),"""")
"),"")</f>
        <v/>
      </c>
      <c r="P1052" s="2"/>
      <c r="Q1052" s="2"/>
      <c r="R1052" s="2"/>
      <c r="S1052" s="2"/>
      <c r="T1052" s="5"/>
      <c r="U1052" s="5"/>
    </row>
    <row r="1053" customFormat="false" ht="15.75" hidden="false" customHeight="false" outlineLevel="0" collapsed="false">
      <c r="A1053" s="4"/>
      <c r="B1053" s="2"/>
      <c r="C1053" s="2"/>
      <c r="D1053" s="2"/>
      <c r="E1053" s="2"/>
      <c r="F1053" s="3" t="str">
        <f aca="false">IFERROR(__xludf.dummyfunction("if($T1053&lt;&gt;"""",REGEXEXTRACT(SUBSTITUTE ($T1053,F$1&amp;"" CE"",""""), F$1&amp;""[\w &amp;]*, (\d+\.\d+)""),"""")
"),"")</f>
        <v/>
      </c>
      <c r="G1053" s="3" t="str">
        <f aca="false">IFERROR(__xludf.dummyfunction("if($T1053&lt;&gt;"""",REGEXEXTRACT($T1053, G$1&amp;""[\w &amp;]*, (\d+\.\d+)""),"""")
"),"")</f>
        <v/>
      </c>
      <c r="H1053" s="3"/>
      <c r="I1053" s="3" t="str">
        <f aca="false">IFERROR(__xludf.dummyfunction("if($T1053&lt;&gt;"""",REGEXEXTRACT(SUBSTITUTE ($T1053,I$1&amp;"" CE"",""""), I$1&amp;""[\w &amp;]*, (\d+\.\d+)""),"""")
"),"")</f>
        <v/>
      </c>
      <c r="J1053" s="3" t="str">
        <f aca="false">IFERROR(__xludf.dummyfunction("if($T1053&lt;&gt;"""",REGEXEXTRACT($T1053, J$1&amp;""[\w &amp;]*, (\d+\.\d+)""),"""")
"),"")</f>
        <v/>
      </c>
      <c r="K1053" s="3"/>
      <c r="L1053" s="3" t="str">
        <f aca="false">IFERROR(__xludf.dummyfunction("if($T1053&lt;&gt;"""",REGEXEXTRACT(SUBSTITUTE ($T1053,L$1&amp;"" CE"",""""), L$1&amp;""[\w &amp;]*, (\d+\.\d+)""),"""")
"),"")</f>
        <v/>
      </c>
      <c r="M1053" s="3" t="str">
        <f aca="false">IFERROR(__xludf.dummyfunction("if($T1053&lt;&gt;"""",REGEXEXTRACT($T1053, M$1&amp;""[\w &amp;]*, (\d+\.\d+)""),"""")
"),"")</f>
        <v/>
      </c>
      <c r="N1053" s="3" t="str">
        <f aca="false">IFERROR(__xludf.dummyfunction("if($T1053&lt;&gt;"""",REGEXEXTRACT(SUBSTITUTE ($T1053,N$1&amp;"" CE"",""""), N$1&amp;""[\w &amp;]*, (\d+\.\d+)""),"""")
"),"")</f>
        <v/>
      </c>
      <c r="O1053" s="3" t="str">
        <f aca="false">IFERROR(__xludf.dummyfunction("if($T1053&lt;&gt;"""",REGEXEXTRACT($T1053, O$1&amp;""[\w &amp;]*, (\d+\.\d+)""),"""")
"),"")</f>
        <v/>
      </c>
      <c r="P1053" s="2"/>
      <c r="Q1053" s="2"/>
      <c r="R1053" s="2"/>
      <c r="S1053" s="2"/>
      <c r="T1053" s="5"/>
      <c r="U1053" s="5"/>
    </row>
    <row r="1054" customFormat="false" ht="15.75" hidden="false" customHeight="false" outlineLevel="0" collapsed="false">
      <c r="A1054" s="4"/>
      <c r="B1054" s="2"/>
      <c r="C1054" s="2"/>
      <c r="D1054" s="2"/>
      <c r="E1054" s="2"/>
      <c r="F1054" s="3" t="str">
        <f aca="false">IFERROR(__xludf.dummyfunction("if($T1054&lt;&gt;"""",REGEXEXTRACT(SUBSTITUTE ($T1054,F$1&amp;"" CE"",""""), F$1&amp;""[\w &amp;]*, (\d+\.\d+)""),"""")
"),"")</f>
        <v/>
      </c>
      <c r="G1054" s="3" t="str">
        <f aca="false">IFERROR(__xludf.dummyfunction("if($T1054&lt;&gt;"""",REGEXEXTRACT($T1054, G$1&amp;""[\w &amp;]*, (\d+\.\d+)""),"""")
"),"")</f>
        <v/>
      </c>
      <c r="H1054" s="3"/>
      <c r="I1054" s="3" t="str">
        <f aca="false">IFERROR(__xludf.dummyfunction("if($T1054&lt;&gt;"""",REGEXEXTRACT(SUBSTITUTE ($T1054,I$1&amp;"" CE"",""""), I$1&amp;""[\w &amp;]*, (\d+\.\d+)""),"""")
"),"")</f>
        <v/>
      </c>
      <c r="J1054" s="3" t="str">
        <f aca="false">IFERROR(__xludf.dummyfunction("if($T1054&lt;&gt;"""",REGEXEXTRACT($T1054, J$1&amp;""[\w &amp;]*, (\d+\.\d+)""),"""")
"),"")</f>
        <v/>
      </c>
      <c r="K1054" s="3"/>
      <c r="L1054" s="3" t="str">
        <f aca="false">IFERROR(__xludf.dummyfunction("if($T1054&lt;&gt;"""",REGEXEXTRACT(SUBSTITUTE ($T1054,L$1&amp;"" CE"",""""), L$1&amp;""[\w &amp;]*, (\d+\.\d+)""),"""")
"),"")</f>
        <v/>
      </c>
      <c r="M1054" s="3" t="str">
        <f aca="false">IFERROR(__xludf.dummyfunction("if($T1054&lt;&gt;"""",REGEXEXTRACT($T1054, M$1&amp;""[\w &amp;]*, (\d+\.\d+)""),"""")
"),"")</f>
        <v/>
      </c>
      <c r="N1054" s="3" t="str">
        <f aca="false">IFERROR(__xludf.dummyfunction("if($T1054&lt;&gt;"""",REGEXEXTRACT(SUBSTITUTE ($T1054,N$1&amp;"" CE"",""""), N$1&amp;""[\w &amp;]*, (\d+\.\d+)""),"""")
"),"")</f>
        <v/>
      </c>
      <c r="O1054" s="3" t="str">
        <f aca="false">IFERROR(__xludf.dummyfunction("if($T1054&lt;&gt;"""",REGEXEXTRACT($T1054, O$1&amp;""[\w &amp;]*, (\d+\.\d+)""),"""")
"),"")</f>
        <v/>
      </c>
      <c r="P1054" s="2"/>
      <c r="Q1054" s="2"/>
      <c r="R1054" s="2"/>
      <c r="S1054" s="2"/>
      <c r="T1054" s="5"/>
      <c r="U1054" s="5"/>
    </row>
    <row r="1055" customFormat="false" ht="15.75" hidden="false" customHeight="false" outlineLevel="0" collapsed="false">
      <c r="A1055" s="4"/>
      <c r="B1055" s="2"/>
      <c r="C1055" s="2"/>
      <c r="D1055" s="2"/>
      <c r="E1055" s="2"/>
      <c r="F1055" s="3" t="str">
        <f aca="false">IFERROR(__xludf.dummyfunction("if($T1055&lt;&gt;"""",REGEXEXTRACT(SUBSTITUTE ($T1055,F$1&amp;"" CE"",""""), F$1&amp;""[\w &amp;]*, (\d+\.\d+)""),"""")
"),"")</f>
        <v/>
      </c>
      <c r="G1055" s="3" t="str">
        <f aca="false">IFERROR(__xludf.dummyfunction("if($T1055&lt;&gt;"""",REGEXEXTRACT($T1055, G$1&amp;""[\w &amp;]*, (\d+\.\d+)""),"""")
"),"")</f>
        <v/>
      </c>
      <c r="H1055" s="3"/>
      <c r="I1055" s="3" t="str">
        <f aca="false">IFERROR(__xludf.dummyfunction("if($T1055&lt;&gt;"""",REGEXEXTRACT(SUBSTITUTE ($T1055,I$1&amp;"" CE"",""""), I$1&amp;""[\w &amp;]*, (\d+\.\d+)""),"""")
"),"")</f>
        <v/>
      </c>
      <c r="J1055" s="3" t="str">
        <f aca="false">IFERROR(__xludf.dummyfunction("if($T1055&lt;&gt;"""",REGEXEXTRACT($T1055, J$1&amp;""[\w &amp;]*, (\d+\.\d+)""),"""")
"),"")</f>
        <v/>
      </c>
      <c r="K1055" s="3"/>
      <c r="L1055" s="3" t="str">
        <f aca="false">IFERROR(__xludf.dummyfunction("if($T1055&lt;&gt;"""",REGEXEXTRACT(SUBSTITUTE ($T1055,L$1&amp;"" CE"",""""), L$1&amp;""[\w &amp;]*, (\d+\.\d+)""),"""")
"),"")</f>
        <v/>
      </c>
      <c r="M1055" s="3" t="str">
        <f aca="false">IFERROR(__xludf.dummyfunction("if($T1055&lt;&gt;"""",REGEXEXTRACT($T1055, M$1&amp;""[\w &amp;]*, (\d+\.\d+)""),"""")
"),"")</f>
        <v/>
      </c>
      <c r="N1055" s="3" t="str">
        <f aca="false">IFERROR(__xludf.dummyfunction("if($T1055&lt;&gt;"""",REGEXEXTRACT(SUBSTITUTE ($T1055,N$1&amp;"" CE"",""""), N$1&amp;""[\w &amp;]*, (\d+\.\d+)""),"""")
"),"")</f>
        <v/>
      </c>
      <c r="O1055" s="3" t="str">
        <f aca="false">IFERROR(__xludf.dummyfunction("if($T1055&lt;&gt;"""",REGEXEXTRACT($T1055, O$1&amp;""[\w &amp;]*, (\d+\.\d+)""),"""")
"),"")</f>
        <v/>
      </c>
      <c r="P1055" s="2"/>
      <c r="Q1055" s="2"/>
      <c r="R1055" s="2"/>
      <c r="S1055" s="2"/>
      <c r="T1055" s="5"/>
      <c r="U1055" s="5"/>
    </row>
    <row r="1056" customFormat="false" ht="15.75" hidden="false" customHeight="false" outlineLevel="0" collapsed="false">
      <c r="A1056" s="4"/>
      <c r="B1056" s="2"/>
      <c r="C1056" s="2"/>
      <c r="D1056" s="2"/>
      <c r="E1056" s="2"/>
      <c r="F1056" s="3" t="str">
        <f aca="false">IFERROR(__xludf.dummyfunction("if($T1056&lt;&gt;"""",REGEXEXTRACT(SUBSTITUTE ($T1056,F$1&amp;"" CE"",""""), F$1&amp;""[\w &amp;]*, (\d+\.\d+)""),"""")
"),"")</f>
        <v/>
      </c>
      <c r="G1056" s="3" t="str">
        <f aca="false">IFERROR(__xludf.dummyfunction("if($T1056&lt;&gt;"""",REGEXEXTRACT($T1056, G$1&amp;""[\w &amp;]*, (\d+\.\d+)""),"""")
"),"")</f>
        <v/>
      </c>
      <c r="H1056" s="3"/>
      <c r="I1056" s="3" t="str">
        <f aca="false">IFERROR(__xludf.dummyfunction("if($T1056&lt;&gt;"""",REGEXEXTRACT(SUBSTITUTE ($T1056,I$1&amp;"" CE"",""""), I$1&amp;""[\w &amp;]*, (\d+\.\d+)""),"""")
"),"")</f>
        <v/>
      </c>
      <c r="J1056" s="3" t="str">
        <f aca="false">IFERROR(__xludf.dummyfunction("if($T1056&lt;&gt;"""",REGEXEXTRACT($T1056, J$1&amp;""[\w &amp;]*, (\d+\.\d+)""),"""")
"),"")</f>
        <v/>
      </c>
      <c r="K1056" s="3"/>
      <c r="L1056" s="3" t="str">
        <f aca="false">IFERROR(__xludf.dummyfunction("if($T1056&lt;&gt;"""",REGEXEXTRACT(SUBSTITUTE ($T1056,L$1&amp;"" CE"",""""), L$1&amp;""[\w &amp;]*, (\d+\.\d+)""),"""")
"),"")</f>
        <v/>
      </c>
      <c r="M1056" s="3" t="str">
        <f aca="false">IFERROR(__xludf.dummyfunction("if($T1056&lt;&gt;"""",REGEXEXTRACT($T1056, M$1&amp;""[\w &amp;]*, (\d+\.\d+)""),"""")
"),"")</f>
        <v/>
      </c>
      <c r="N1056" s="3" t="str">
        <f aca="false">IFERROR(__xludf.dummyfunction("if($T1056&lt;&gt;"""",REGEXEXTRACT(SUBSTITUTE ($T1056,N$1&amp;"" CE"",""""), N$1&amp;""[\w &amp;]*, (\d+\.\d+)""),"""")
"),"")</f>
        <v/>
      </c>
      <c r="O1056" s="3" t="str">
        <f aca="false">IFERROR(__xludf.dummyfunction("if($T1056&lt;&gt;"""",REGEXEXTRACT($T1056, O$1&amp;""[\w &amp;]*, (\d+\.\d+)""),"""")
"),"")</f>
        <v/>
      </c>
      <c r="P1056" s="2"/>
      <c r="Q1056" s="2"/>
      <c r="R1056" s="2"/>
      <c r="S1056" s="2"/>
      <c r="T1056" s="5"/>
      <c r="U1056" s="5"/>
    </row>
    <row r="1057" customFormat="false" ht="15.75" hidden="false" customHeight="false" outlineLevel="0" collapsed="false">
      <c r="A1057" s="4"/>
      <c r="B1057" s="2"/>
      <c r="C1057" s="2"/>
      <c r="D1057" s="2"/>
      <c r="E1057" s="2"/>
      <c r="F1057" s="3" t="str">
        <f aca="false">IFERROR(__xludf.dummyfunction("if($T1057&lt;&gt;"""",REGEXEXTRACT(SUBSTITUTE ($T1057,F$1&amp;"" CE"",""""), F$1&amp;""[\w &amp;]*, (\d+\.\d+)""),"""")
"),"")</f>
        <v/>
      </c>
      <c r="G1057" s="3" t="str">
        <f aca="false">IFERROR(__xludf.dummyfunction("if($T1057&lt;&gt;"""",REGEXEXTRACT($T1057, G$1&amp;""[\w &amp;]*, (\d+\.\d+)""),"""")
"),"")</f>
        <v/>
      </c>
      <c r="H1057" s="3"/>
      <c r="I1057" s="3" t="str">
        <f aca="false">IFERROR(__xludf.dummyfunction("if($T1057&lt;&gt;"""",REGEXEXTRACT(SUBSTITUTE ($T1057,I$1&amp;"" CE"",""""), I$1&amp;""[\w &amp;]*, (\d+\.\d+)""),"""")
"),"")</f>
        <v/>
      </c>
      <c r="J1057" s="3" t="str">
        <f aca="false">IFERROR(__xludf.dummyfunction("if($T1057&lt;&gt;"""",REGEXEXTRACT($T1057, J$1&amp;""[\w &amp;]*, (\d+\.\d+)""),"""")
"),"")</f>
        <v/>
      </c>
      <c r="K1057" s="3"/>
      <c r="L1057" s="3" t="str">
        <f aca="false">IFERROR(__xludf.dummyfunction("if($T1057&lt;&gt;"""",REGEXEXTRACT(SUBSTITUTE ($T1057,L$1&amp;"" CE"",""""), L$1&amp;""[\w &amp;]*, (\d+\.\d+)""),"""")
"),"")</f>
        <v/>
      </c>
      <c r="M1057" s="3" t="str">
        <f aca="false">IFERROR(__xludf.dummyfunction("if($T1057&lt;&gt;"""",REGEXEXTRACT($T1057, M$1&amp;""[\w &amp;]*, (\d+\.\d+)""),"""")
"),"")</f>
        <v/>
      </c>
      <c r="N1057" s="3" t="str">
        <f aca="false">IFERROR(__xludf.dummyfunction("if($T1057&lt;&gt;"""",REGEXEXTRACT(SUBSTITUTE ($T1057,N$1&amp;"" CE"",""""), N$1&amp;""[\w &amp;]*, (\d+\.\d+)""),"""")
"),"")</f>
        <v/>
      </c>
      <c r="O1057" s="3" t="str">
        <f aca="false">IFERROR(__xludf.dummyfunction("if($T1057&lt;&gt;"""",REGEXEXTRACT($T1057, O$1&amp;""[\w &amp;]*, (\d+\.\d+)""),"""")
"),"")</f>
        <v/>
      </c>
      <c r="P1057" s="2"/>
      <c r="Q1057" s="2"/>
      <c r="R1057" s="2"/>
      <c r="S1057" s="2"/>
      <c r="T1057" s="5"/>
      <c r="U1057" s="5"/>
    </row>
    <row r="1058" customFormat="false" ht="15.75" hidden="false" customHeight="false" outlineLevel="0" collapsed="false">
      <c r="A1058" s="4"/>
      <c r="B1058" s="2"/>
      <c r="C1058" s="2"/>
      <c r="D1058" s="2"/>
      <c r="E1058" s="2"/>
      <c r="F1058" s="3" t="str">
        <f aca="false">IFERROR(__xludf.dummyfunction("if($T1058&lt;&gt;"""",REGEXEXTRACT(SUBSTITUTE ($T1058,F$1&amp;"" CE"",""""), F$1&amp;""[\w &amp;]*, (\d+\.\d+)""),"""")
"),"")</f>
        <v/>
      </c>
      <c r="G1058" s="3" t="str">
        <f aca="false">IFERROR(__xludf.dummyfunction("if($T1058&lt;&gt;"""",REGEXEXTRACT($T1058, G$1&amp;""[\w &amp;]*, (\d+\.\d+)""),"""")
"),"")</f>
        <v/>
      </c>
      <c r="H1058" s="3"/>
      <c r="I1058" s="3" t="str">
        <f aca="false">IFERROR(__xludf.dummyfunction("if($T1058&lt;&gt;"""",REGEXEXTRACT(SUBSTITUTE ($T1058,I$1&amp;"" CE"",""""), I$1&amp;""[\w &amp;]*, (\d+\.\d+)""),"""")
"),"")</f>
        <v/>
      </c>
      <c r="J1058" s="3" t="str">
        <f aca="false">IFERROR(__xludf.dummyfunction("if($T1058&lt;&gt;"""",REGEXEXTRACT($T1058, J$1&amp;""[\w &amp;]*, (\d+\.\d+)""),"""")
"),"")</f>
        <v/>
      </c>
      <c r="K1058" s="3"/>
      <c r="L1058" s="3" t="str">
        <f aca="false">IFERROR(__xludf.dummyfunction("if($T1058&lt;&gt;"""",REGEXEXTRACT(SUBSTITUTE ($T1058,L$1&amp;"" CE"",""""), L$1&amp;""[\w &amp;]*, (\d+\.\d+)""),"""")
"),"")</f>
        <v/>
      </c>
      <c r="M1058" s="3" t="str">
        <f aca="false">IFERROR(__xludf.dummyfunction("if($T1058&lt;&gt;"""",REGEXEXTRACT($T1058, M$1&amp;""[\w &amp;]*, (\d+\.\d+)""),"""")
"),"")</f>
        <v/>
      </c>
      <c r="N1058" s="3" t="str">
        <f aca="false">IFERROR(__xludf.dummyfunction("if($T1058&lt;&gt;"""",REGEXEXTRACT(SUBSTITUTE ($T1058,N$1&amp;"" CE"",""""), N$1&amp;""[\w &amp;]*, (\d+\.\d+)""),"""")
"),"")</f>
        <v/>
      </c>
      <c r="O1058" s="3" t="str">
        <f aca="false">IFERROR(__xludf.dummyfunction("if($T1058&lt;&gt;"""",REGEXEXTRACT($T1058, O$1&amp;""[\w &amp;]*, (\d+\.\d+)""),"""")
"),"")</f>
        <v/>
      </c>
      <c r="P1058" s="2"/>
      <c r="Q1058" s="2"/>
      <c r="R1058" s="2"/>
      <c r="S1058" s="2"/>
      <c r="T1058" s="5"/>
      <c r="U1058" s="5"/>
    </row>
    <row r="1059" customFormat="false" ht="15.75" hidden="false" customHeight="false" outlineLevel="0" collapsed="false">
      <c r="A1059" s="4"/>
      <c r="B1059" s="2"/>
      <c r="C1059" s="2"/>
      <c r="D1059" s="2"/>
      <c r="E1059" s="2"/>
      <c r="F1059" s="3" t="str">
        <f aca="false">IFERROR(__xludf.dummyfunction("if($T1059&lt;&gt;"""",REGEXEXTRACT(SUBSTITUTE ($T1059,F$1&amp;"" CE"",""""), F$1&amp;""[\w &amp;]*, (\d+\.\d+)""),"""")
"),"")</f>
        <v/>
      </c>
      <c r="G1059" s="3" t="str">
        <f aca="false">IFERROR(__xludf.dummyfunction("if($T1059&lt;&gt;"""",REGEXEXTRACT($T1059, G$1&amp;""[\w &amp;]*, (\d+\.\d+)""),"""")
"),"")</f>
        <v/>
      </c>
      <c r="H1059" s="3"/>
      <c r="I1059" s="3" t="str">
        <f aca="false">IFERROR(__xludf.dummyfunction("if($T1059&lt;&gt;"""",REGEXEXTRACT(SUBSTITUTE ($T1059,I$1&amp;"" CE"",""""), I$1&amp;""[\w &amp;]*, (\d+\.\d+)""),"""")
"),"")</f>
        <v/>
      </c>
      <c r="J1059" s="3" t="str">
        <f aca="false">IFERROR(__xludf.dummyfunction("if($T1059&lt;&gt;"""",REGEXEXTRACT($T1059, J$1&amp;""[\w &amp;]*, (\d+\.\d+)""),"""")
"),"")</f>
        <v/>
      </c>
      <c r="K1059" s="3"/>
      <c r="L1059" s="3" t="str">
        <f aca="false">IFERROR(__xludf.dummyfunction("if($T1059&lt;&gt;"""",REGEXEXTRACT(SUBSTITUTE ($T1059,L$1&amp;"" CE"",""""), L$1&amp;""[\w &amp;]*, (\d+\.\d+)""),"""")
"),"")</f>
        <v/>
      </c>
      <c r="M1059" s="3" t="str">
        <f aca="false">IFERROR(__xludf.dummyfunction("if($T1059&lt;&gt;"""",REGEXEXTRACT($T1059, M$1&amp;""[\w &amp;]*, (\d+\.\d+)""),"""")
"),"")</f>
        <v/>
      </c>
      <c r="N1059" s="3" t="str">
        <f aca="false">IFERROR(__xludf.dummyfunction("if($T1059&lt;&gt;"""",REGEXEXTRACT(SUBSTITUTE ($T1059,N$1&amp;"" CE"",""""), N$1&amp;""[\w &amp;]*, (\d+\.\d+)""),"""")
"),"")</f>
        <v/>
      </c>
      <c r="O1059" s="3" t="str">
        <f aca="false">IFERROR(__xludf.dummyfunction("if($T1059&lt;&gt;"""",REGEXEXTRACT($T1059, O$1&amp;""[\w &amp;]*, (\d+\.\d+)""),"""")
"),"")</f>
        <v/>
      </c>
      <c r="P1059" s="2"/>
      <c r="Q1059" s="2"/>
      <c r="R1059" s="2"/>
      <c r="S1059" s="2"/>
      <c r="T1059" s="5"/>
      <c r="U1059" s="5"/>
    </row>
    <row r="1060" customFormat="false" ht="15.75" hidden="false" customHeight="false" outlineLevel="0" collapsed="false">
      <c r="A1060" s="4"/>
      <c r="B1060" s="2"/>
      <c r="C1060" s="2"/>
      <c r="D1060" s="2"/>
      <c r="E1060" s="2"/>
      <c r="F1060" s="3" t="str">
        <f aca="false">IFERROR(__xludf.dummyfunction("if($T1060&lt;&gt;"""",REGEXEXTRACT(SUBSTITUTE ($T1060,F$1&amp;"" CE"",""""), F$1&amp;""[\w &amp;]*, (\d+\.\d+)""),"""")
"),"")</f>
        <v/>
      </c>
      <c r="G1060" s="3" t="str">
        <f aca="false">IFERROR(__xludf.dummyfunction("if($T1060&lt;&gt;"""",REGEXEXTRACT($T1060, G$1&amp;""[\w &amp;]*, (\d+\.\d+)""),"""")
"),"")</f>
        <v/>
      </c>
      <c r="H1060" s="3"/>
      <c r="I1060" s="3" t="str">
        <f aca="false">IFERROR(__xludf.dummyfunction("if($T1060&lt;&gt;"""",REGEXEXTRACT(SUBSTITUTE ($T1060,I$1&amp;"" CE"",""""), I$1&amp;""[\w &amp;]*, (\d+\.\d+)""),"""")
"),"")</f>
        <v/>
      </c>
      <c r="J1060" s="3" t="str">
        <f aca="false">IFERROR(__xludf.dummyfunction("if($T1060&lt;&gt;"""",REGEXEXTRACT($T1060, J$1&amp;""[\w &amp;]*, (\d+\.\d+)""),"""")
"),"")</f>
        <v/>
      </c>
      <c r="K1060" s="3"/>
      <c r="L1060" s="3" t="str">
        <f aca="false">IFERROR(__xludf.dummyfunction("if($T1060&lt;&gt;"""",REGEXEXTRACT(SUBSTITUTE ($T1060,L$1&amp;"" CE"",""""), L$1&amp;""[\w &amp;]*, (\d+\.\d+)""),"""")
"),"")</f>
        <v/>
      </c>
      <c r="M1060" s="3" t="str">
        <f aca="false">IFERROR(__xludf.dummyfunction("if($T1060&lt;&gt;"""",REGEXEXTRACT($T1060, M$1&amp;""[\w &amp;]*, (\d+\.\d+)""),"""")
"),"")</f>
        <v/>
      </c>
      <c r="N1060" s="3" t="str">
        <f aca="false">IFERROR(__xludf.dummyfunction("if($T1060&lt;&gt;"""",REGEXEXTRACT(SUBSTITUTE ($T1060,N$1&amp;"" CE"",""""), N$1&amp;""[\w &amp;]*, (\d+\.\d+)""),"""")
"),"")</f>
        <v/>
      </c>
      <c r="O1060" s="3" t="str">
        <f aca="false">IFERROR(__xludf.dummyfunction("if($T1060&lt;&gt;"""",REGEXEXTRACT($T1060, O$1&amp;""[\w &amp;]*, (\d+\.\d+)""),"""")
"),"")</f>
        <v/>
      </c>
      <c r="P1060" s="2"/>
      <c r="Q1060" s="2"/>
      <c r="R1060" s="2"/>
      <c r="S1060" s="2"/>
      <c r="T1060" s="5"/>
      <c r="U1060" s="5"/>
    </row>
    <row r="1061" customFormat="false" ht="15.75" hidden="false" customHeight="false" outlineLevel="0" collapsed="false">
      <c r="A1061" s="4"/>
      <c r="B1061" s="2"/>
      <c r="C1061" s="2"/>
      <c r="D1061" s="2"/>
      <c r="E1061" s="2"/>
      <c r="F1061" s="3" t="str">
        <f aca="false">IFERROR(__xludf.dummyfunction("if($T1061&lt;&gt;"""",REGEXEXTRACT(SUBSTITUTE ($T1061,F$1&amp;"" CE"",""""), F$1&amp;""[\w &amp;]*, (\d+\.\d+)""),"""")
"),"")</f>
        <v/>
      </c>
      <c r="G1061" s="3" t="str">
        <f aca="false">IFERROR(__xludf.dummyfunction("if($T1061&lt;&gt;"""",REGEXEXTRACT($T1061, G$1&amp;""[\w &amp;]*, (\d+\.\d+)""),"""")
"),"")</f>
        <v/>
      </c>
      <c r="H1061" s="3"/>
      <c r="I1061" s="3" t="str">
        <f aca="false">IFERROR(__xludf.dummyfunction("if($T1061&lt;&gt;"""",REGEXEXTRACT(SUBSTITUTE ($T1061,I$1&amp;"" CE"",""""), I$1&amp;""[\w &amp;]*, (\d+\.\d+)""),"""")
"),"")</f>
        <v/>
      </c>
      <c r="J1061" s="3" t="str">
        <f aca="false">IFERROR(__xludf.dummyfunction("if($T1061&lt;&gt;"""",REGEXEXTRACT($T1061, J$1&amp;""[\w &amp;]*, (\d+\.\d+)""),"""")
"),"")</f>
        <v/>
      </c>
      <c r="K1061" s="3"/>
      <c r="L1061" s="3" t="str">
        <f aca="false">IFERROR(__xludf.dummyfunction("if($T1061&lt;&gt;"""",REGEXEXTRACT(SUBSTITUTE ($T1061,L$1&amp;"" CE"",""""), L$1&amp;""[\w &amp;]*, (\d+\.\d+)""),"""")
"),"")</f>
        <v/>
      </c>
      <c r="M1061" s="3" t="str">
        <f aca="false">IFERROR(__xludf.dummyfunction("if($T1061&lt;&gt;"""",REGEXEXTRACT($T1061, M$1&amp;""[\w &amp;]*, (\d+\.\d+)""),"""")
"),"")</f>
        <v/>
      </c>
      <c r="N1061" s="3" t="str">
        <f aca="false">IFERROR(__xludf.dummyfunction("if($T1061&lt;&gt;"""",REGEXEXTRACT(SUBSTITUTE ($T1061,N$1&amp;"" CE"",""""), N$1&amp;""[\w &amp;]*, (\d+\.\d+)""),"""")
"),"")</f>
        <v/>
      </c>
      <c r="O1061" s="3" t="str">
        <f aca="false">IFERROR(__xludf.dummyfunction("if($T1061&lt;&gt;"""",REGEXEXTRACT($T1061, O$1&amp;""[\w &amp;]*, (\d+\.\d+)""),"""")
"),"")</f>
        <v/>
      </c>
      <c r="P1061" s="2"/>
      <c r="Q1061" s="2"/>
      <c r="R1061" s="2"/>
      <c r="S1061" s="2"/>
      <c r="T1061" s="5"/>
      <c r="U1061" s="5"/>
    </row>
    <row r="1062" customFormat="false" ht="15.75" hidden="false" customHeight="false" outlineLevel="0" collapsed="false">
      <c r="A1062" s="4"/>
      <c r="B1062" s="2"/>
      <c r="C1062" s="2"/>
      <c r="D1062" s="2"/>
      <c r="E1062" s="2"/>
      <c r="F1062" s="3" t="str">
        <f aca="false">IFERROR(__xludf.dummyfunction("if($T1062&lt;&gt;"""",REGEXEXTRACT(SUBSTITUTE ($T1062,F$1&amp;"" CE"",""""), F$1&amp;""[\w &amp;]*, (\d+\.\d+)""),"""")
"),"")</f>
        <v/>
      </c>
      <c r="G1062" s="3" t="str">
        <f aca="false">IFERROR(__xludf.dummyfunction("if($T1062&lt;&gt;"""",REGEXEXTRACT($T1062, G$1&amp;""[\w &amp;]*, (\d+\.\d+)""),"""")
"),"")</f>
        <v/>
      </c>
      <c r="H1062" s="3"/>
      <c r="I1062" s="3" t="str">
        <f aca="false">IFERROR(__xludf.dummyfunction("if($T1062&lt;&gt;"""",REGEXEXTRACT(SUBSTITUTE ($T1062,I$1&amp;"" CE"",""""), I$1&amp;""[\w &amp;]*, (\d+\.\d+)""),"""")
"),"")</f>
        <v/>
      </c>
      <c r="J1062" s="3" t="str">
        <f aca="false">IFERROR(__xludf.dummyfunction("if($T1062&lt;&gt;"""",REGEXEXTRACT($T1062, J$1&amp;""[\w &amp;]*, (\d+\.\d+)""),"""")
"),"")</f>
        <v/>
      </c>
      <c r="K1062" s="3"/>
      <c r="L1062" s="3" t="str">
        <f aca="false">IFERROR(__xludf.dummyfunction("if($T1062&lt;&gt;"""",REGEXEXTRACT(SUBSTITUTE ($T1062,L$1&amp;"" CE"",""""), L$1&amp;""[\w &amp;]*, (\d+\.\d+)""),"""")
"),"")</f>
        <v/>
      </c>
      <c r="M1062" s="3" t="str">
        <f aca="false">IFERROR(__xludf.dummyfunction("if($T1062&lt;&gt;"""",REGEXEXTRACT($T1062, M$1&amp;""[\w &amp;]*, (\d+\.\d+)""),"""")
"),"")</f>
        <v/>
      </c>
      <c r="N1062" s="3" t="str">
        <f aca="false">IFERROR(__xludf.dummyfunction("if($T1062&lt;&gt;"""",REGEXEXTRACT(SUBSTITUTE ($T1062,N$1&amp;"" CE"",""""), N$1&amp;""[\w &amp;]*, (\d+\.\d+)""),"""")
"),"")</f>
        <v/>
      </c>
      <c r="O1062" s="3" t="str">
        <f aca="false">IFERROR(__xludf.dummyfunction("if($T1062&lt;&gt;"""",REGEXEXTRACT($T1062, O$1&amp;""[\w &amp;]*, (\d+\.\d+)""),"""")
"),"")</f>
        <v/>
      </c>
      <c r="P1062" s="2"/>
      <c r="Q1062" s="2"/>
      <c r="R1062" s="2"/>
      <c r="S1062" s="2"/>
      <c r="T1062" s="5"/>
      <c r="U1062" s="5"/>
    </row>
    <row r="1063" customFormat="false" ht="15.75" hidden="false" customHeight="false" outlineLevel="0" collapsed="false">
      <c r="A1063" s="4"/>
      <c r="B1063" s="2"/>
      <c r="C1063" s="2"/>
      <c r="D1063" s="2"/>
      <c r="E1063" s="2"/>
      <c r="F1063" s="3" t="str">
        <f aca="false">IFERROR(__xludf.dummyfunction("if($T1063&lt;&gt;"""",REGEXEXTRACT(SUBSTITUTE ($T1063,F$1&amp;"" CE"",""""), F$1&amp;""[\w &amp;]*, (\d+\.\d+)""),"""")
"),"")</f>
        <v/>
      </c>
      <c r="G1063" s="3" t="str">
        <f aca="false">IFERROR(__xludf.dummyfunction("if($T1063&lt;&gt;"""",REGEXEXTRACT($T1063, G$1&amp;""[\w &amp;]*, (\d+\.\d+)""),"""")
"),"")</f>
        <v/>
      </c>
      <c r="H1063" s="3"/>
      <c r="I1063" s="3" t="str">
        <f aca="false">IFERROR(__xludf.dummyfunction("if($T1063&lt;&gt;"""",REGEXEXTRACT(SUBSTITUTE ($T1063,I$1&amp;"" CE"",""""), I$1&amp;""[\w &amp;]*, (\d+\.\d+)""),"""")
"),"")</f>
        <v/>
      </c>
      <c r="J1063" s="3" t="str">
        <f aca="false">IFERROR(__xludf.dummyfunction("if($T1063&lt;&gt;"""",REGEXEXTRACT($T1063, J$1&amp;""[\w &amp;]*, (\d+\.\d+)""),"""")
"),"")</f>
        <v/>
      </c>
      <c r="K1063" s="3"/>
      <c r="L1063" s="3" t="str">
        <f aca="false">IFERROR(__xludf.dummyfunction("if($T1063&lt;&gt;"""",REGEXEXTRACT(SUBSTITUTE ($T1063,L$1&amp;"" CE"",""""), L$1&amp;""[\w &amp;]*, (\d+\.\d+)""),"""")
"),"")</f>
        <v/>
      </c>
      <c r="M1063" s="3" t="str">
        <f aca="false">IFERROR(__xludf.dummyfunction("if($T1063&lt;&gt;"""",REGEXEXTRACT($T1063, M$1&amp;""[\w &amp;]*, (\d+\.\d+)""),"""")
"),"")</f>
        <v/>
      </c>
      <c r="N1063" s="3" t="str">
        <f aca="false">IFERROR(__xludf.dummyfunction("if($T1063&lt;&gt;"""",REGEXEXTRACT(SUBSTITUTE ($T1063,N$1&amp;"" CE"",""""), N$1&amp;""[\w &amp;]*, (\d+\.\d+)""),"""")
"),"")</f>
        <v/>
      </c>
      <c r="O1063" s="3" t="str">
        <f aca="false">IFERROR(__xludf.dummyfunction("if($T1063&lt;&gt;"""",REGEXEXTRACT($T1063, O$1&amp;""[\w &amp;]*, (\d+\.\d+)""),"""")
"),"")</f>
        <v/>
      </c>
      <c r="P1063" s="2"/>
      <c r="Q1063" s="2"/>
      <c r="R1063" s="2"/>
      <c r="S1063" s="2"/>
      <c r="T1063" s="5"/>
      <c r="U1063" s="5"/>
    </row>
    <row r="1064" customFormat="false" ht="15.75" hidden="false" customHeight="false" outlineLevel="0" collapsed="false">
      <c r="A1064" s="4"/>
      <c r="B1064" s="2"/>
      <c r="C1064" s="2"/>
      <c r="D1064" s="2"/>
      <c r="E1064" s="2"/>
      <c r="F1064" s="3" t="str">
        <f aca="false">IFERROR(__xludf.dummyfunction("if($T1064&lt;&gt;"""",REGEXEXTRACT(SUBSTITUTE ($T1064,F$1&amp;"" CE"",""""), F$1&amp;""[\w &amp;]*, (\d+\.\d+)""),"""")
"),"")</f>
        <v/>
      </c>
      <c r="G1064" s="3" t="str">
        <f aca="false">IFERROR(__xludf.dummyfunction("if($T1064&lt;&gt;"""",REGEXEXTRACT($T1064, G$1&amp;""[\w &amp;]*, (\d+\.\d+)""),"""")
"),"")</f>
        <v/>
      </c>
      <c r="H1064" s="3"/>
      <c r="I1064" s="3" t="str">
        <f aca="false">IFERROR(__xludf.dummyfunction("if($T1064&lt;&gt;"""",REGEXEXTRACT(SUBSTITUTE ($T1064,I$1&amp;"" CE"",""""), I$1&amp;""[\w &amp;]*, (\d+\.\d+)""),"""")
"),"")</f>
        <v/>
      </c>
      <c r="J1064" s="3" t="str">
        <f aca="false">IFERROR(__xludf.dummyfunction("if($T1064&lt;&gt;"""",REGEXEXTRACT($T1064, J$1&amp;""[\w &amp;]*, (\d+\.\d+)""),"""")
"),"")</f>
        <v/>
      </c>
      <c r="K1064" s="3"/>
      <c r="L1064" s="3" t="str">
        <f aca="false">IFERROR(__xludf.dummyfunction("if($T1064&lt;&gt;"""",REGEXEXTRACT(SUBSTITUTE ($T1064,L$1&amp;"" CE"",""""), L$1&amp;""[\w &amp;]*, (\d+\.\d+)""),"""")
"),"")</f>
        <v/>
      </c>
      <c r="M1064" s="3" t="str">
        <f aca="false">IFERROR(__xludf.dummyfunction("if($T1064&lt;&gt;"""",REGEXEXTRACT($T1064, M$1&amp;""[\w &amp;]*, (\d+\.\d+)""),"""")
"),"")</f>
        <v/>
      </c>
      <c r="N1064" s="3" t="str">
        <f aca="false">IFERROR(__xludf.dummyfunction("if($T1064&lt;&gt;"""",REGEXEXTRACT(SUBSTITUTE ($T1064,N$1&amp;"" CE"",""""), N$1&amp;""[\w &amp;]*, (\d+\.\d+)""),"""")
"),"")</f>
        <v/>
      </c>
      <c r="O1064" s="3" t="str">
        <f aca="false">IFERROR(__xludf.dummyfunction("if($T1064&lt;&gt;"""",REGEXEXTRACT($T1064, O$1&amp;""[\w &amp;]*, (\d+\.\d+)""),"""")
"),"")</f>
        <v/>
      </c>
      <c r="P1064" s="2"/>
      <c r="Q1064" s="2"/>
      <c r="R1064" s="2"/>
      <c r="S1064" s="2"/>
      <c r="T1064" s="5"/>
      <c r="U1064" s="5"/>
    </row>
    <row r="1065" customFormat="false" ht="15.75" hidden="false" customHeight="false" outlineLevel="0" collapsed="false">
      <c r="A1065" s="4"/>
      <c r="B1065" s="2"/>
      <c r="C1065" s="2"/>
      <c r="D1065" s="2"/>
      <c r="E1065" s="2"/>
      <c r="F1065" s="3" t="str">
        <f aca="false">IFERROR(__xludf.dummyfunction("if($T1065&lt;&gt;"""",REGEXEXTRACT(SUBSTITUTE ($T1065,F$1&amp;"" CE"",""""), F$1&amp;""[\w &amp;]*, (\d+\.\d+)""),"""")
"),"")</f>
        <v/>
      </c>
      <c r="G1065" s="3" t="str">
        <f aca="false">IFERROR(__xludf.dummyfunction("if($T1065&lt;&gt;"""",REGEXEXTRACT($T1065, G$1&amp;""[\w &amp;]*, (\d+\.\d+)""),"""")
"),"")</f>
        <v/>
      </c>
      <c r="H1065" s="3"/>
      <c r="I1065" s="3" t="str">
        <f aca="false">IFERROR(__xludf.dummyfunction("if($T1065&lt;&gt;"""",REGEXEXTRACT(SUBSTITUTE ($T1065,I$1&amp;"" CE"",""""), I$1&amp;""[\w &amp;]*, (\d+\.\d+)""),"""")
"),"")</f>
        <v/>
      </c>
      <c r="J1065" s="3" t="str">
        <f aca="false">IFERROR(__xludf.dummyfunction("if($T1065&lt;&gt;"""",REGEXEXTRACT($T1065, J$1&amp;""[\w &amp;]*, (\d+\.\d+)""),"""")
"),"")</f>
        <v/>
      </c>
      <c r="K1065" s="3"/>
      <c r="L1065" s="3" t="str">
        <f aca="false">IFERROR(__xludf.dummyfunction("if($T1065&lt;&gt;"""",REGEXEXTRACT(SUBSTITUTE ($T1065,L$1&amp;"" CE"",""""), L$1&amp;""[\w &amp;]*, (\d+\.\d+)""),"""")
"),"")</f>
        <v/>
      </c>
      <c r="M1065" s="3" t="str">
        <f aca="false">IFERROR(__xludf.dummyfunction("if($T1065&lt;&gt;"""",REGEXEXTRACT($T1065, M$1&amp;""[\w &amp;]*, (\d+\.\d+)""),"""")
"),"")</f>
        <v/>
      </c>
      <c r="N1065" s="3" t="str">
        <f aca="false">IFERROR(__xludf.dummyfunction("if($T1065&lt;&gt;"""",REGEXEXTRACT(SUBSTITUTE ($T1065,N$1&amp;"" CE"",""""), N$1&amp;""[\w &amp;]*, (\d+\.\d+)""),"""")
"),"")</f>
        <v/>
      </c>
      <c r="O1065" s="3" t="str">
        <f aca="false">IFERROR(__xludf.dummyfunction("if($T1065&lt;&gt;"""",REGEXEXTRACT($T1065, O$1&amp;""[\w &amp;]*, (\d+\.\d+)""),"""")
"),"")</f>
        <v/>
      </c>
      <c r="P1065" s="2"/>
      <c r="Q1065" s="2"/>
      <c r="R1065" s="2"/>
      <c r="S1065" s="2"/>
      <c r="T1065" s="5"/>
      <c r="U1065" s="5"/>
    </row>
    <row r="1066" customFormat="false" ht="15.75" hidden="false" customHeight="false" outlineLevel="0" collapsed="false">
      <c r="A1066" s="4"/>
      <c r="B1066" s="2"/>
      <c r="C1066" s="2"/>
      <c r="D1066" s="2"/>
      <c r="E1066" s="2"/>
      <c r="F1066" s="3" t="str">
        <f aca="false">IFERROR(__xludf.dummyfunction("if($T1066&lt;&gt;"""",REGEXEXTRACT(SUBSTITUTE ($T1066,F$1&amp;"" CE"",""""), F$1&amp;""[\w &amp;]*, (\d+\.\d+)""),"""")
"),"")</f>
        <v/>
      </c>
      <c r="G1066" s="3" t="str">
        <f aca="false">IFERROR(__xludf.dummyfunction("if($T1066&lt;&gt;"""",REGEXEXTRACT($T1066, G$1&amp;""[\w &amp;]*, (\d+\.\d+)""),"""")
"),"")</f>
        <v/>
      </c>
      <c r="H1066" s="3"/>
      <c r="I1066" s="3" t="str">
        <f aca="false">IFERROR(__xludf.dummyfunction("if($T1066&lt;&gt;"""",REGEXEXTRACT(SUBSTITUTE ($T1066,I$1&amp;"" CE"",""""), I$1&amp;""[\w &amp;]*, (\d+\.\d+)""),"""")
"),"")</f>
        <v/>
      </c>
      <c r="J1066" s="3" t="str">
        <f aca="false">IFERROR(__xludf.dummyfunction("if($T1066&lt;&gt;"""",REGEXEXTRACT($T1066, J$1&amp;""[\w &amp;]*, (\d+\.\d+)""),"""")
"),"")</f>
        <v/>
      </c>
      <c r="K1066" s="3"/>
      <c r="L1066" s="3" t="str">
        <f aca="false">IFERROR(__xludf.dummyfunction("if($T1066&lt;&gt;"""",REGEXEXTRACT(SUBSTITUTE ($T1066,L$1&amp;"" CE"",""""), L$1&amp;""[\w &amp;]*, (\d+\.\d+)""),"""")
"),"")</f>
        <v/>
      </c>
      <c r="M1066" s="3" t="str">
        <f aca="false">IFERROR(__xludf.dummyfunction("if($T1066&lt;&gt;"""",REGEXEXTRACT($T1066, M$1&amp;""[\w &amp;]*, (\d+\.\d+)""),"""")
"),"")</f>
        <v/>
      </c>
      <c r="N1066" s="3" t="str">
        <f aca="false">IFERROR(__xludf.dummyfunction("if($T1066&lt;&gt;"""",REGEXEXTRACT(SUBSTITUTE ($T1066,N$1&amp;"" CE"",""""), N$1&amp;""[\w &amp;]*, (\d+\.\d+)""),"""")
"),"")</f>
        <v/>
      </c>
      <c r="O1066" s="3" t="str">
        <f aca="false">IFERROR(__xludf.dummyfunction("if($T1066&lt;&gt;"""",REGEXEXTRACT($T1066, O$1&amp;""[\w &amp;]*, (\d+\.\d+)""),"""")
"),"")</f>
        <v/>
      </c>
      <c r="P1066" s="2"/>
      <c r="Q1066" s="2"/>
      <c r="R1066" s="2"/>
      <c r="S1066" s="2"/>
      <c r="T1066" s="5"/>
      <c r="U1066" s="5"/>
    </row>
    <row r="1067" customFormat="false" ht="15.75" hidden="false" customHeight="false" outlineLevel="0" collapsed="false">
      <c r="A1067" s="4"/>
      <c r="B1067" s="2"/>
      <c r="C1067" s="2"/>
      <c r="D1067" s="2"/>
      <c r="E1067" s="2"/>
      <c r="F1067" s="3" t="str">
        <f aca="false">IFERROR(__xludf.dummyfunction("if($T1067&lt;&gt;"""",REGEXEXTRACT(SUBSTITUTE ($T1067,F$1&amp;"" CE"",""""), F$1&amp;""[\w &amp;]*, (\d+\.\d+)""),"""")
"),"")</f>
        <v/>
      </c>
      <c r="G1067" s="3" t="str">
        <f aca="false">IFERROR(__xludf.dummyfunction("if($T1067&lt;&gt;"""",REGEXEXTRACT($T1067, G$1&amp;""[\w &amp;]*, (\d+\.\d+)""),"""")
"),"")</f>
        <v/>
      </c>
      <c r="H1067" s="3"/>
      <c r="I1067" s="3" t="str">
        <f aca="false">IFERROR(__xludf.dummyfunction("if($T1067&lt;&gt;"""",REGEXEXTRACT(SUBSTITUTE ($T1067,I$1&amp;"" CE"",""""), I$1&amp;""[\w &amp;]*, (\d+\.\d+)""),"""")
"),"")</f>
        <v/>
      </c>
      <c r="J1067" s="3" t="str">
        <f aca="false">IFERROR(__xludf.dummyfunction("if($T1067&lt;&gt;"""",REGEXEXTRACT($T1067, J$1&amp;""[\w &amp;]*, (\d+\.\d+)""),"""")
"),"")</f>
        <v/>
      </c>
      <c r="K1067" s="3"/>
      <c r="L1067" s="3" t="str">
        <f aca="false">IFERROR(__xludf.dummyfunction("if($T1067&lt;&gt;"""",REGEXEXTRACT(SUBSTITUTE ($T1067,L$1&amp;"" CE"",""""), L$1&amp;""[\w &amp;]*, (\d+\.\d+)""),"""")
"),"")</f>
        <v/>
      </c>
      <c r="M1067" s="3" t="str">
        <f aca="false">IFERROR(__xludf.dummyfunction("if($T1067&lt;&gt;"""",REGEXEXTRACT($T1067, M$1&amp;""[\w &amp;]*, (\d+\.\d+)""),"""")
"),"")</f>
        <v/>
      </c>
      <c r="N1067" s="3" t="str">
        <f aca="false">IFERROR(__xludf.dummyfunction("if($T1067&lt;&gt;"""",REGEXEXTRACT(SUBSTITUTE ($T1067,N$1&amp;"" CE"",""""), N$1&amp;""[\w &amp;]*, (\d+\.\d+)""),"""")
"),"")</f>
        <v/>
      </c>
      <c r="O1067" s="3" t="str">
        <f aca="false">IFERROR(__xludf.dummyfunction("if($T1067&lt;&gt;"""",REGEXEXTRACT($T1067, O$1&amp;""[\w &amp;]*, (\d+\.\d+)""),"""")
"),"")</f>
        <v/>
      </c>
      <c r="P1067" s="2"/>
      <c r="Q1067" s="2"/>
      <c r="R1067" s="2"/>
      <c r="S1067" s="2"/>
      <c r="T1067" s="5"/>
      <c r="U1067" s="5"/>
    </row>
    <row r="1068" customFormat="false" ht="15.75" hidden="false" customHeight="false" outlineLevel="0" collapsed="false">
      <c r="A1068" s="4"/>
      <c r="B1068" s="2"/>
      <c r="C1068" s="2"/>
      <c r="D1068" s="2"/>
      <c r="E1068" s="2"/>
      <c r="F1068" s="3" t="str">
        <f aca="false">IFERROR(__xludf.dummyfunction("if($T1068&lt;&gt;"""",REGEXEXTRACT(SUBSTITUTE ($T1068,F$1&amp;"" CE"",""""), F$1&amp;""[\w &amp;]*, (\d+\.\d+)""),"""")
"),"")</f>
        <v/>
      </c>
      <c r="G1068" s="3" t="str">
        <f aca="false">IFERROR(__xludf.dummyfunction("if($T1068&lt;&gt;"""",REGEXEXTRACT($T1068, G$1&amp;""[\w &amp;]*, (\d+\.\d+)""),"""")
"),"")</f>
        <v/>
      </c>
      <c r="H1068" s="3"/>
      <c r="I1068" s="3" t="str">
        <f aca="false">IFERROR(__xludf.dummyfunction("if($T1068&lt;&gt;"""",REGEXEXTRACT(SUBSTITUTE ($T1068,I$1&amp;"" CE"",""""), I$1&amp;""[\w &amp;]*, (\d+\.\d+)""),"""")
"),"")</f>
        <v/>
      </c>
      <c r="J1068" s="3" t="str">
        <f aca="false">IFERROR(__xludf.dummyfunction("if($T1068&lt;&gt;"""",REGEXEXTRACT($T1068, J$1&amp;""[\w &amp;]*, (\d+\.\d+)""),"""")
"),"")</f>
        <v/>
      </c>
      <c r="K1068" s="3"/>
      <c r="L1068" s="3" t="str">
        <f aca="false">IFERROR(__xludf.dummyfunction("if($T1068&lt;&gt;"""",REGEXEXTRACT(SUBSTITUTE ($T1068,L$1&amp;"" CE"",""""), L$1&amp;""[\w &amp;]*, (\d+\.\d+)""),"""")
"),"")</f>
        <v/>
      </c>
      <c r="M1068" s="3" t="str">
        <f aca="false">IFERROR(__xludf.dummyfunction("if($T1068&lt;&gt;"""",REGEXEXTRACT($T1068, M$1&amp;""[\w &amp;]*, (\d+\.\d+)""),"""")
"),"")</f>
        <v/>
      </c>
      <c r="N1068" s="3" t="str">
        <f aca="false">IFERROR(__xludf.dummyfunction("if($T1068&lt;&gt;"""",REGEXEXTRACT(SUBSTITUTE ($T1068,N$1&amp;"" CE"",""""), N$1&amp;""[\w &amp;]*, (\d+\.\d+)""),"""")
"),"")</f>
        <v/>
      </c>
      <c r="O1068" s="3" t="str">
        <f aca="false">IFERROR(__xludf.dummyfunction("if($T1068&lt;&gt;"""",REGEXEXTRACT($T1068, O$1&amp;""[\w &amp;]*, (\d+\.\d+)""),"""")
"),"")</f>
        <v/>
      </c>
      <c r="P1068" s="2"/>
      <c r="Q1068" s="2"/>
      <c r="R1068" s="2"/>
      <c r="S1068" s="2"/>
      <c r="T1068" s="5"/>
      <c r="U1068" s="5"/>
    </row>
    <row r="1069" customFormat="false" ht="15.75" hidden="false" customHeight="false" outlineLevel="0" collapsed="false">
      <c r="A1069" s="4"/>
      <c r="B1069" s="2"/>
      <c r="C1069" s="2"/>
      <c r="D1069" s="2"/>
      <c r="E1069" s="2"/>
      <c r="F1069" s="3" t="str">
        <f aca="false">IFERROR(__xludf.dummyfunction("if($T1069&lt;&gt;"""",REGEXEXTRACT(SUBSTITUTE ($T1069,F$1&amp;"" CE"",""""), F$1&amp;""[\w &amp;]*, (\d+\.\d+)""),"""")
"),"")</f>
        <v/>
      </c>
      <c r="G1069" s="3" t="str">
        <f aca="false">IFERROR(__xludf.dummyfunction("if($T1069&lt;&gt;"""",REGEXEXTRACT($T1069, G$1&amp;""[\w &amp;]*, (\d+\.\d+)""),"""")
"),"")</f>
        <v/>
      </c>
      <c r="H1069" s="3"/>
      <c r="I1069" s="3" t="str">
        <f aca="false">IFERROR(__xludf.dummyfunction("if($T1069&lt;&gt;"""",REGEXEXTRACT(SUBSTITUTE ($T1069,I$1&amp;"" CE"",""""), I$1&amp;""[\w &amp;]*, (\d+\.\d+)""),"""")
"),"")</f>
        <v/>
      </c>
      <c r="J1069" s="3" t="str">
        <f aca="false">IFERROR(__xludf.dummyfunction("if($T1069&lt;&gt;"""",REGEXEXTRACT($T1069, J$1&amp;""[\w &amp;]*, (\d+\.\d+)""),"""")
"),"")</f>
        <v/>
      </c>
      <c r="K1069" s="3"/>
      <c r="L1069" s="3" t="str">
        <f aca="false">IFERROR(__xludf.dummyfunction("if($T1069&lt;&gt;"""",REGEXEXTRACT(SUBSTITUTE ($T1069,L$1&amp;"" CE"",""""), L$1&amp;""[\w &amp;]*, (\d+\.\d+)""),"""")
"),"")</f>
        <v/>
      </c>
      <c r="M1069" s="3" t="str">
        <f aca="false">IFERROR(__xludf.dummyfunction("if($T1069&lt;&gt;"""",REGEXEXTRACT($T1069, M$1&amp;""[\w &amp;]*, (\d+\.\d+)""),"""")
"),"")</f>
        <v/>
      </c>
      <c r="N1069" s="3" t="str">
        <f aca="false">IFERROR(__xludf.dummyfunction("if($T1069&lt;&gt;"""",REGEXEXTRACT(SUBSTITUTE ($T1069,N$1&amp;"" CE"",""""), N$1&amp;""[\w &amp;]*, (\d+\.\d+)""),"""")
"),"")</f>
        <v/>
      </c>
      <c r="O1069" s="3" t="str">
        <f aca="false">IFERROR(__xludf.dummyfunction("if($T1069&lt;&gt;"""",REGEXEXTRACT($T1069, O$1&amp;""[\w &amp;]*, (\d+\.\d+)""),"""")
"),"")</f>
        <v/>
      </c>
      <c r="P1069" s="2"/>
      <c r="Q1069" s="2"/>
      <c r="R1069" s="2"/>
      <c r="S1069" s="2"/>
      <c r="T1069" s="5"/>
      <c r="U1069" s="5"/>
    </row>
    <row r="1070" customFormat="false" ht="15.75" hidden="false" customHeight="false" outlineLevel="0" collapsed="false">
      <c r="A1070" s="4"/>
      <c r="B1070" s="2"/>
      <c r="C1070" s="2"/>
      <c r="D1070" s="2"/>
      <c r="E1070" s="2"/>
      <c r="F1070" s="3" t="str">
        <f aca="false">IFERROR(__xludf.dummyfunction("if($T1070&lt;&gt;"""",REGEXEXTRACT(SUBSTITUTE ($T1070,F$1&amp;"" CE"",""""), F$1&amp;""[\w &amp;]*, (\d+\.\d+)""),"""")
"),"")</f>
        <v/>
      </c>
      <c r="G1070" s="3" t="str">
        <f aca="false">IFERROR(__xludf.dummyfunction("if($T1070&lt;&gt;"""",REGEXEXTRACT($T1070, G$1&amp;""[\w &amp;]*, (\d+\.\d+)""),"""")
"),"")</f>
        <v/>
      </c>
      <c r="H1070" s="3"/>
      <c r="I1070" s="3" t="str">
        <f aca="false">IFERROR(__xludf.dummyfunction("if($T1070&lt;&gt;"""",REGEXEXTRACT(SUBSTITUTE ($T1070,I$1&amp;"" CE"",""""), I$1&amp;""[\w &amp;]*, (\d+\.\d+)""),"""")
"),"")</f>
        <v/>
      </c>
      <c r="J1070" s="3" t="str">
        <f aca="false">IFERROR(__xludf.dummyfunction("if($T1070&lt;&gt;"""",REGEXEXTRACT($T1070, J$1&amp;""[\w &amp;]*, (\d+\.\d+)""),"""")
"),"")</f>
        <v/>
      </c>
      <c r="K1070" s="3"/>
      <c r="L1070" s="3" t="str">
        <f aca="false">IFERROR(__xludf.dummyfunction("if($T1070&lt;&gt;"""",REGEXEXTRACT(SUBSTITUTE ($T1070,L$1&amp;"" CE"",""""), L$1&amp;""[\w &amp;]*, (\d+\.\d+)""),"""")
"),"")</f>
        <v/>
      </c>
      <c r="M1070" s="3" t="str">
        <f aca="false">IFERROR(__xludf.dummyfunction("if($T1070&lt;&gt;"""",REGEXEXTRACT($T1070, M$1&amp;""[\w &amp;]*, (\d+\.\d+)""),"""")
"),"")</f>
        <v/>
      </c>
      <c r="N1070" s="3" t="str">
        <f aca="false">IFERROR(__xludf.dummyfunction("if($T1070&lt;&gt;"""",REGEXEXTRACT(SUBSTITUTE ($T1070,N$1&amp;"" CE"",""""), N$1&amp;""[\w &amp;]*, (\d+\.\d+)""),"""")
"),"")</f>
        <v/>
      </c>
      <c r="O1070" s="3" t="str">
        <f aca="false">IFERROR(__xludf.dummyfunction("if($T1070&lt;&gt;"""",REGEXEXTRACT($T1070, O$1&amp;""[\w &amp;]*, (\d+\.\d+)""),"""")
"),"")</f>
        <v/>
      </c>
      <c r="P1070" s="2"/>
      <c r="Q1070" s="2"/>
      <c r="R1070" s="2"/>
      <c r="S1070" s="2"/>
      <c r="T1070" s="5"/>
      <c r="U1070" s="5"/>
    </row>
    <row r="1071" customFormat="false" ht="15.75" hidden="false" customHeight="false" outlineLevel="0" collapsed="false">
      <c r="A1071" s="4"/>
      <c r="B1071" s="2"/>
      <c r="C1071" s="2"/>
      <c r="D1071" s="2"/>
      <c r="E1071" s="2"/>
      <c r="F1071" s="3" t="str">
        <f aca="false">IFERROR(__xludf.dummyfunction("if($T1071&lt;&gt;"""",REGEXEXTRACT(SUBSTITUTE ($T1071,F$1&amp;"" CE"",""""), F$1&amp;""[\w &amp;]*, (\d+\.\d+)""),"""")
"),"")</f>
        <v/>
      </c>
      <c r="G1071" s="3" t="str">
        <f aca="false">IFERROR(__xludf.dummyfunction("if($T1071&lt;&gt;"""",REGEXEXTRACT($T1071, G$1&amp;""[\w &amp;]*, (\d+\.\d+)""),"""")
"),"")</f>
        <v/>
      </c>
      <c r="H1071" s="3"/>
      <c r="I1071" s="3" t="str">
        <f aca="false">IFERROR(__xludf.dummyfunction("if($T1071&lt;&gt;"""",REGEXEXTRACT(SUBSTITUTE ($T1071,I$1&amp;"" CE"",""""), I$1&amp;""[\w &amp;]*, (\d+\.\d+)""),"""")
"),"")</f>
        <v/>
      </c>
      <c r="J1071" s="3" t="str">
        <f aca="false">IFERROR(__xludf.dummyfunction("if($T1071&lt;&gt;"""",REGEXEXTRACT($T1071, J$1&amp;""[\w &amp;]*, (\d+\.\d+)""),"""")
"),"")</f>
        <v/>
      </c>
      <c r="K1071" s="3"/>
      <c r="L1071" s="3" t="str">
        <f aca="false">IFERROR(__xludf.dummyfunction("if($T1071&lt;&gt;"""",REGEXEXTRACT(SUBSTITUTE ($T1071,L$1&amp;"" CE"",""""), L$1&amp;""[\w &amp;]*, (\d+\.\d+)""),"""")
"),"")</f>
        <v/>
      </c>
      <c r="M1071" s="3" t="str">
        <f aca="false">IFERROR(__xludf.dummyfunction("if($T1071&lt;&gt;"""",REGEXEXTRACT($T1071, M$1&amp;""[\w &amp;]*, (\d+\.\d+)""),"""")
"),"")</f>
        <v/>
      </c>
      <c r="N1071" s="3" t="str">
        <f aca="false">IFERROR(__xludf.dummyfunction("if($T1071&lt;&gt;"""",REGEXEXTRACT(SUBSTITUTE ($T1071,N$1&amp;"" CE"",""""), N$1&amp;""[\w &amp;]*, (\d+\.\d+)""),"""")
"),"")</f>
        <v/>
      </c>
      <c r="O1071" s="3" t="str">
        <f aca="false">IFERROR(__xludf.dummyfunction("if($T1071&lt;&gt;"""",REGEXEXTRACT($T1071, O$1&amp;""[\w &amp;]*, (\d+\.\d+)""),"""")
"),"")</f>
        <v/>
      </c>
      <c r="P1071" s="2"/>
      <c r="Q1071" s="2"/>
      <c r="R1071" s="2"/>
      <c r="S1071" s="2"/>
      <c r="T1071" s="5"/>
      <c r="U1071" s="5"/>
    </row>
    <row r="1072" customFormat="false" ht="15.75" hidden="false" customHeight="false" outlineLevel="0" collapsed="false">
      <c r="A1072" s="4"/>
      <c r="B1072" s="2"/>
      <c r="C1072" s="2"/>
      <c r="D1072" s="2"/>
      <c r="E1072" s="2"/>
      <c r="F1072" s="3" t="str">
        <f aca="false">IFERROR(__xludf.dummyfunction("if($T1072&lt;&gt;"""",REGEXEXTRACT(SUBSTITUTE ($T1072,F$1&amp;"" CE"",""""), F$1&amp;""[\w &amp;]*, (\d+\.\d+)""),"""")
"),"")</f>
        <v/>
      </c>
      <c r="G1072" s="3" t="str">
        <f aca="false">IFERROR(__xludf.dummyfunction("if($T1072&lt;&gt;"""",REGEXEXTRACT($T1072, G$1&amp;""[\w &amp;]*, (\d+\.\d+)""),"""")
"),"")</f>
        <v/>
      </c>
      <c r="H1072" s="3"/>
      <c r="I1072" s="3" t="str">
        <f aca="false">IFERROR(__xludf.dummyfunction("if($T1072&lt;&gt;"""",REGEXEXTRACT(SUBSTITUTE ($T1072,I$1&amp;"" CE"",""""), I$1&amp;""[\w &amp;]*, (\d+\.\d+)""),"""")
"),"")</f>
        <v/>
      </c>
      <c r="J1072" s="3" t="str">
        <f aca="false">IFERROR(__xludf.dummyfunction("if($T1072&lt;&gt;"""",REGEXEXTRACT($T1072, J$1&amp;""[\w &amp;]*, (\d+\.\d+)""),"""")
"),"")</f>
        <v/>
      </c>
      <c r="K1072" s="3"/>
      <c r="L1072" s="3" t="str">
        <f aca="false">IFERROR(__xludf.dummyfunction("if($T1072&lt;&gt;"""",REGEXEXTRACT(SUBSTITUTE ($T1072,L$1&amp;"" CE"",""""), L$1&amp;""[\w &amp;]*, (\d+\.\d+)""),"""")
"),"")</f>
        <v/>
      </c>
      <c r="M1072" s="3" t="str">
        <f aca="false">IFERROR(__xludf.dummyfunction("if($T1072&lt;&gt;"""",REGEXEXTRACT($T1072, M$1&amp;""[\w &amp;]*, (\d+\.\d+)""),"""")
"),"")</f>
        <v/>
      </c>
      <c r="N1072" s="3" t="str">
        <f aca="false">IFERROR(__xludf.dummyfunction("if($T1072&lt;&gt;"""",REGEXEXTRACT(SUBSTITUTE ($T1072,N$1&amp;"" CE"",""""), N$1&amp;""[\w &amp;]*, (\d+\.\d+)""),"""")
"),"")</f>
        <v/>
      </c>
      <c r="O1072" s="3" t="str">
        <f aca="false">IFERROR(__xludf.dummyfunction("if($T1072&lt;&gt;"""",REGEXEXTRACT($T1072, O$1&amp;""[\w &amp;]*, (\d+\.\d+)""),"""")
"),"")</f>
        <v/>
      </c>
      <c r="P1072" s="2"/>
      <c r="Q1072" s="2"/>
      <c r="R1072" s="2"/>
      <c r="S1072" s="2"/>
      <c r="T1072" s="5"/>
      <c r="U1072" s="5"/>
    </row>
    <row r="1073" customFormat="false" ht="15.75" hidden="false" customHeight="false" outlineLevel="0" collapsed="false">
      <c r="A1073" s="4"/>
      <c r="B1073" s="2"/>
      <c r="C1073" s="2"/>
      <c r="D1073" s="2"/>
      <c r="E1073" s="2"/>
      <c r="F1073" s="3" t="str">
        <f aca="false">IFERROR(__xludf.dummyfunction("if($T1073&lt;&gt;"""",REGEXEXTRACT(SUBSTITUTE ($T1073,F$1&amp;"" CE"",""""), F$1&amp;""[\w &amp;]*, (\d+\.\d+)""),"""")
"),"")</f>
        <v/>
      </c>
      <c r="G1073" s="3" t="str">
        <f aca="false">IFERROR(__xludf.dummyfunction("if($T1073&lt;&gt;"""",REGEXEXTRACT($T1073, G$1&amp;""[\w &amp;]*, (\d+\.\d+)""),"""")
"),"")</f>
        <v/>
      </c>
      <c r="H1073" s="3"/>
      <c r="I1073" s="3" t="str">
        <f aca="false">IFERROR(__xludf.dummyfunction("if($T1073&lt;&gt;"""",REGEXEXTRACT(SUBSTITUTE ($T1073,I$1&amp;"" CE"",""""), I$1&amp;""[\w &amp;]*, (\d+\.\d+)""),"""")
"),"")</f>
        <v/>
      </c>
      <c r="J1073" s="3" t="str">
        <f aca="false">IFERROR(__xludf.dummyfunction("if($T1073&lt;&gt;"""",REGEXEXTRACT($T1073, J$1&amp;""[\w &amp;]*, (\d+\.\d+)""),"""")
"),"")</f>
        <v/>
      </c>
      <c r="K1073" s="3"/>
      <c r="L1073" s="3" t="str">
        <f aca="false">IFERROR(__xludf.dummyfunction("if($T1073&lt;&gt;"""",REGEXEXTRACT(SUBSTITUTE ($T1073,L$1&amp;"" CE"",""""), L$1&amp;""[\w &amp;]*, (\d+\.\d+)""),"""")
"),"")</f>
        <v/>
      </c>
      <c r="M1073" s="3" t="str">
        <f aca="false">IFERROR(__xludf.dummyfunction("if($T1073&lt;&gt;"""",REGEXEXTRACT($T1073, M$1&amp;""[\w &amp;]*, (\d+\.\d+)""),"""")
"),"")</f>
        <v/>
      </c>
      <c r="N1073" s="3" t="str">
        <f aca="false">IFERROR(__xludf.dummyfunction("if($T1073&lt;&gt;"""",REGEXEXTRACT(SUBSTITUTE ($T1073,N$1&amp;"" CE"",""""), N$1&amp;""[\w &amp;]*, (\d+\.\d+)""),"""")
"),"")</f>
        <v/>
      </c>
      <c r="O1073" s="3" t="str">
        <f aca="false">IFERROR(__xludf.dummyfunction("if($T1073&lt;&gt;"""",REGEXEXTRACT($T1073, O$1&amp;""[\w &amp;]*, (\d+\.\d+)""),"""")
"),"")</f>
        <v/>
      </c>
      <c r="P1073" s="2"/>
      <c r="Q1073" s="2"/>
      <c r="R1073" s="2"/>
      <c r="S1073" s="2"/>
      <c r="T1073" s="5"/>
      <c r="U1073" s="5"/>
    </row>
    <row r="1074" customFormat="false" ht="15.75" hidden="false" customHeight="false" outlineLevel="0" collapsed="false">
      <c r="A1074" s="4"/>
      <c r="B1074" s="2"/>
      <c r="C1074" s="2"/>
      <c r="D1074" s="2"/>
      <c r="E1074" s="2"/>
      <c r="F1074" s="3" t="str">
        <f aca="false">IFERROR(__xludf.dummyfunction("if($T1074&lt;&gt;"""",REGEXEXTRACT(SUBSTITUTE ($T1074,F$1&amp;"" CE"",""""), F$1&amp;""[\w &amp;]*, (\d+\.\d+)""),"""")
"),"")</f>
        <v/>
      </c>
      <c r="G1074" s="3" t="str">
        <f aca="false">IFERROR(__xludf.dummyfunction("if($T1074&lt;&gt;"""",REGEXEXTRACT($T1074, G$1&amp;""[\w &amp;]*, (\d+\.\d+)""),"""")
"),"")</f>
        <v/>
      </c>
      <c r="H1074" s="3"/>
      <c r="I1074" s="3" t="str">
        <f aca="false">IFERROR(__xludf.dummyfunction("if($T1074&lt;&gt;"""",REGEXEXTRACT(SUBSTITUTE ($T1074,I$1&amp;"" CE"",""""), I$1&amp;""[\w &amp;]*, (\d+\.\d+)""),"""")
"),"")</f>
        <v/>
      </c>
      <c r="J1074" s="3" t="str">
        <f aca="false">IFERROR(__xludf.dummyfunction("if($T1074&lt;&gt;"""",REGEXEXTRACT($T1074, J$1&amp;""[\w &amp;]*, (\d+\.\d+)""),"""")
"),"")</f>
        <v/>
      </c>
      <c r="K1074" s="3"/>
      <c r="L1074" s="3" t="str">
        <f aca="false">IFERROR(__xludf.dummyfunction("if($T1074&lt;&gt;"""",REGEXEXTRACT(SUBSTITUTE ($T1074,L$1&amp;"" CE"",""""), L$1&amp;""[\w &amp;]*, (\d+\.\d+)""),"""")
"),"")</f>
        <v/>
      </c>
      <c r="M1074" s="3" t="str">
        <f aca="false">IFERROR(__xludf.dummyfunction("if($T1074&lt;&gt;"""",REGEXEXTRACT($T1074, M$1&amp;""[\w &amp;]*, (\d+\.\d+)""),"""")
"),"")</f>
        <v/>
      </c>
      <c r="N1074" s="3" t="str">
        <f aca="false">IFERROR(__xludf.dummyfunction("if($T1074&lt;&gt;"""",REGEXEXTRACT(SUBSTITUTE ($T1074,N$1&amp;"" CE"",""""), N$1&amp;""[\w &amp;]*, (\d+\.\d+)""),"""")
"),"")</f>
        <v/>
      </c>
      <c r="O1074" s="3" t="str">
        <f aca="false">IFERROR(__xludf.dummyfunction("if($T1074&lt;&gt;"""",REGEXEXTRACT($T1074, O$1&amp;""[\w &amp;]*, (\d+\.\d+)""),"""")
"),"")</f>
        <v/>
      </c>
      <c r="P1074" s="2"/>
      <c r="Q1074" s="2"/>
      <c r="R1074" s="2"/>
      <c r="S1074" s="2"/>
      <c r="T1074" s="5"/>
      <c r="U1074" s="5"/>
    </row>
    <row r="1075" customFormat="false" ht="15.75" hidden="false" customHeight="false" outlineLevel="0" collapsed="false">
      <c r="A1075" s="4"/>
      <c r="B1075" s="2"/>
      <c r="C1075" s="2"/>
      <c r="D1075" s="2"/>
      <c r="E1075" s="2"/>
      <c r="F1075" s="3" t="str">
        <f aca="false">IFERROR(__xludf.dummyfunction("if($T1075&lt;&gt;"""",REGEXEXTRACT(SUBSTITUTE ($T1075,F$1&amp;"" CE"",""""), F$1&amp;""[\w &amp;]*, (\d+\.\d+)""),"""")
"),"")</f>
        <v/>
      </c>
      <c r="G1075" s="3" t="str">
        <f aca="false">IFERROR(__xludf.dummyfunction("if($T1075&lt;&gt;"""",REGEXEXTRACT($T1075, G$1&amp;""[\w &amp;]*, (\d+\.\d+)""),"""")
"),"")</f>
        <v/>
      </c>
      <c r="H1075" s="3"/>
      <c r="I1075" s="3" t="str">
        <f aca="false">IFERROR(__xludf.dummyfunction("if($T1075&lt;&gt;"""",REGEXEXTRACT(SUBSTITUTE ($T1075,I$1&amp;"" CE"",""""), I$1&amp;""[\w &amp;]*, (\d+\.\d+)""),"""")
"),"")</f>
        <v/>
      </c>
      <c r="J1075" s="3" t="str">
        <f aca="false">IFERROR(__xludf.dummyfunction("if($T1075&lt;&gt;"""",REGEXEXTRACT($T1075, J$1&amp;""[\w &amp;]*, (\d+\.\d+)""),"""")
"),"")</f>
        <v/>
      </c>
      <c r="K1075" s="3"/>
      <c r="L1075" s="3" t="str">
        <f aca="false">IFERROR(__xludf.dummyfunction("if($T1075&lt;&gt;"""",REGEXEXTRACT(SUBSTITUTE ($T1075,L$1&amp;"" CE"",""""), L$1&amp;""[\w &amp;]*, (\d+\.\d+)""),"""")
"),"")</f>
        <v/>
      </c>
      <c r="M1075" s="3" t="str">
        <f aca="false">IFERROR(__xludf.dummyfunction("if($T1075&lt;&gt;"""",REGEXEXTRACT($T1075, M$1&amp;""[\w &amp;]*, (\d+\.\d+)""),"""")
"),"")</f>
        <v/>
      </c>
      <c r="N1075" s="3" t="str">
        <f aca="false">IFERROR(__xludf.dummyfunction("if($T1075&lt;&gt;"""",REGEXEXTRACT(SUBSTITUTE ($T1075,N$1&amp;"" CE"",""""), N$1&amp;""[\w &amp;]*, (\d+\.\d+)""),"""")
"),"")</f>
        <v/>
      </c>
      <c r="O1075" s="3" t="str">
        <f aca="false">IFERROR(__xludf.dummyfunction("if($T1075&lt;&gt;"""",REGEXEXTRACT($T1075, O$1&amp;""[\w &amp;]*, (\d+\.\d+)""),"""")
"),"")</f>
        <v/>
      </c>
      <c r="P1075" s="2"/>
      <c r="Q1075" s="2"/>
      <c r="R1075" s="2"/>
      <c r="S1075" s="2"/>
      <c r="T1075" s="5"/>
      <c r="U1075" s="5"/>
    </row>
    <row r="1076" customFormat="false" ht="15.75" hidden="false" customHeight="false" outlineLevel="0" collapsed="false">
      <c r="A1076" s="4"/>
      <c r="B1076" s="2"/>
      <c r="C1076" s="2"/>
      <c r="D1076" s="2"/>
      <c r="E1076" s="2"/>
      <c r="F1076" s="3" t="str">
        <f aca="false">IFERROR(__xludf.dummyfunction("if($T1076&lt;&gt;"""",REGEXEXTRACT(SUBSTITUTE ($T1076,F$1&amp;"" CE"",""""), F$1&amp;""[\w &amp;]*, (\d+\.\d+)""),"""")
"),"")</f>
        <v/>
      </c>
      <c r="G1076" s="3" t="str">
        <f aca="false">IFERROR(__xludf.dummyfunction("if($T1076&lt;&gt;"""",REGEXEXTRACT($T1076, G$1&amp;""[\w &amp;]*, (\d+\.\d+)""),"""")
"),"")</f>
        <v/>
      </c>
      <c r="H1076" s="3"/>
      <c r="I1076" s="3" t="str">
        <f aca="false">IFERROR(__xludf.dummyfunction("if($T1076&lt;&gt;"""",REGEXEXTRACT(SUBSTITUTE ($T1076,I$1&amp;"" CE"",""""), I$1&amp;""[\w &amp;]*, (\d+\.\d+)""),"""")
"),"")</f>
        <v/>
      </c>
      <c r="J1076" s="3" t="str">
        <f aca="false">IFERROR(__xludf.dummyfunction("if($T1076&lt;&gt;"""",REGEXEXTRACT($T1076, J$1&amp;""[\w &amp;]*, (\d+\.\d+)""),"""")
"),"")</f>
        <v/>
      </c>
      <c r="K1076" s="3"/>
      <c r="L1076" s="3" t="str">
        <f aca="false">IFERROR(__xludf.dummyfunction("if($T1076&lt;&gt;"""",REGEXEXTRACT(SUBSTITUTE ($T1076,L$1&amp;"" CE"",""""), L$1&amp;""[\w &amp;]*, (\d+\.\d+)""),"""")
"),"")</f>
        <v/>
      </c>
      <c r="M1076" s="3" t="str">
        <f aca="false">IFERROR(__xludf.dummyfunction("if($T1076&lt;&gt;"""",REGEXEXTRACT($T1076, M$1&amp;""[\w &amp;]*, (\d+\.\d+)""),"""")
"),"")</f>
        <v/>
      </c>
      <c r="N1076" s="3" t="str">
        <f aca="false">IFERROR(__xludf.dummyfunction("if($T1076&lt;&gt;"""",REGEXEXTRACT(SUBSTITUTE ($T1076,N$1&amp;"" CE"",""""), N$1&amp;""[\w &amp;]*, (\d+\.\d+)""),"""")
"),"")</f>
        <v/>
      </c>
      <c r="O1076" s="3" t="str">
        <f aca="false">IFERROR(__xludf.dummyfunction("if($T1076&lt;&gt;"""",REGEXEXTRACT($T1076, O$1&amp;""[\w &amp;]*, (\d+\.\d+)""),"""")
"),"")</f>
        <v/>
      </c>
      <c r="P1076" s="2"/>
      <c r="Q1076" s="2"/>
      <c r="R1076" s="2"/>
      <c r="S1076" s="2"/>
      <c r="T1076" s="5"/>
      <c r="U1076" s="5"/>
    </row>
    <row r="1077" customFormat="false" ht="15.75" hidden="false" customHeight="false" outlineLevel="0" collapsed="false">
      <c r="A1077" s="4"/>
      <c r="B1077" s="2"/>
      <c r="C1077" s="2"/>
      <c r="D1077" s="2"/>
      <c r="E1077" s="2"/>
      <c r="F1077" s="3" t="str">
        <f aca="false">IFERROR(__xludf.dummyfunction("if($T1077&lt;&gt;"""",REGEXEXTRACT(SUBSTITUTE ($T1077,F$1&amp;"" CE"",""""), F$1&amp;""[\w &amp;]*, (\d+\.\d+)""),"""")
"),"")</f>
        <v/>
      </c>
      <c r="G1077" s="3" t="str">
        <f aca="false">IFERROR(__xludf.dummyfunction("if($T1077&lt;&gt;"""",REGEXEXTRACT($T1077, G$1&amp;""[\w &amp;]*, (\d+\.\d+)""),"""")
"),"")</f>
        <v/>
      </c>
      <c r="H1077" s="3"/>
      <c r="I1077" s="3" t="str">
        <f aca="false">IFERROR(__xludf.dummyfunction("if($T1077&lt;&gt;"""",REGEXEXTRACT(SUBSTITUTE ($T1077,I$1&amp;"" CE"",""""), I$1&amp;""[\w &amp;]*, (\d+\.\d+)""),"""")
"),"")</f>
        <v/>
      </c>
      <c r="J1077" s="3" t="str">
        <f aca="false">IFERROR(__xludf.dummyfunction("if($T1077&lt;&gt;"""",REGEXEXTRACT($T1077, J$1&amp;""[\w &amp;]*, (\d+\.\d+)""),"""")
"),"")</f>
        <v/>
      </c>
      <c r="K1077" s="3"/>
      <c r="L1077" s="3" t="str">
        <f aca="false">IFERROR(__xludf.dummyfunction("if($T1077&lt;&gt;"""",REGEXEXTRACT(SUBSTITUTE ($T1077,L$1&amp;"" CE"",""""), L$1&amp;""[\w &amp;]*, (\d+\.\d+)""),"""")
"),"")</f>
        <v/>
      </c>
      <c r="M1077" s="3" t="str">
        <f aca="false">IFERROR(__xludf.dummyfunction("if($T1077&lt;&gt;"""",REGEXEXTRACT($T1077, M$1&amp;""[\w &amp;]*, (\d+\.\d+)""),"""")
"),"")</f>
        <v/>
      </c>
      <c r="N1077" s="3" t="str">
        <f aca="false">IFERROR(__xludf.dummyfunction("if($T1077&lt;&gt;"""",REGEXEXTRACT(SUBSTITUTE ($T1077,N$1&amp;"" CE"",""""), N$1&amp;""[\w &amp;]*, (\d+\.\d+)""),"""")
"),"")</f>
        <v/>
      </c>
      <c r="O1077" s="3" t="str">
        <f aca="false">IFERROR(__xludf.dummyfunction("if($T1077&lt;&gt;"""",REGEXEXTRACT($T1077, O$1&amp;""[\w &amp;]*, (\d+\.\d+)""),"""")
"),"")</f>
        <v/>
      </c>
      <c r="P1077" s="2"/>
      <c r="Q1077" s="2"/>
      <c r="R1077" s="2"/>
      <c r="S1077" s="2"/>
      <c r="T1077" s="5"/>
      <c r="U1077" s="5"/>
    </row>
    <row r="1078" customFormat="false" ht="15.75" hidden="false" customHeight="false" outlineLevel="0" collapsed="false">
      <c r="A1078" s="4"/>
      <c r="B1078" s="2"/>
      <c r="C1078" s="2"/>
      <c r="D1078" s="2"/>
      <c r="E1078" s="2"/>
      <c r="F1078" s="3" t="str">
        <f aca="false">IFERROR(__xludf.dummyfunction("if($T1078&lt;&gt;"""",REGEXEXTRACT(SUBSTITUTE ($T1078,F$1&amp;"" CE"",""""), F$1&amp;""[\w &amp;]*, (\d+\.\d+)""),"""")
"),"")</f>
        <v/>
      </c>
      <c r="G1078" s="3" t="str">
        <f aca="false">IFERROR(__xludf.dummyfunction("if($T1078&lt;&gt;"""",REGEXEXTRACT($T1078, G$1&amp;""[\w &amp;]*, (\d+\.\d+)""),"""")
"),"")</f>
        <v/>
      </c>
      <c r="H1078" s="3"/>
      <c r="I1078" s="3" t="str">
        <f aca="false">IFERROR(__xludf.dummyfunction("if($T1078&lt;&gt;"""",REGEXEXTRACT(SUBSTITUTE ($T1078,I$1&amp;"" CE"",""""), I$1&amp;""[\w &amp;]*, (\d+\.\d+)""),"""")
"),"")</f>
        <v/>
      </c>
      <c r="J1078" s="3" t="str">
        <f aca="false">IFERROR(__xludf.dummyfunction("if($T1078&lt;&gt;"""",REGEXEXTRACT($T1078, J$1&amp;""[\w &amp;]*, (\d+\.\d+)""),"""")
"),"")</f>
        <v/>
      </c>
      <c r="K1078" s="3"/>
      <c r="L1078" s="3" t="str">
        <f aca="false">IFERROR(__xludf.dummyfunction("if($T1078&lt;&gt;"""",REGEXEXTRACT(SUBSTITUTE ($T1078,L$1&amp;"" CE"",""""), L$1&amp;""[\w &amp;]*, (\d+\.\d+)""),"""")
"),"")</f>
        <v/>
      </c>
      <c r="M1078" s="3" t="str">
        <f aca="false">IFERROR(__xludf.dummyfunction("if($T1078&lt;&gt;"""",REGEXEXTRACT($T1078, M$1&amp;""[\w &amp;]*, (\d+\.\d+)""),"""")
"),"")</f>
        <v/>
      </c>
      <c r="N1078" s="3" t="str">
        <f aca="false">IFERROR(__xludf.dummyfunction("if($T1078&lt;&gt;"""",REGEXEXTRACT(SUBSTITUTE ($T1078,N$1&amp;"" CE"",""""), N$1&amp;""[\w &amp;]*, (\d+\.\d+)""),"""")
"),"")</f>
        <v/>
      </c>
      <c r="O1078" s="3" t="str">
        <f aca="false">IFERROR(__xludf.dummyfunction("if($T1078&lt;&gt;"""",REGEXEXTRACT($T1078, O$1&amp;""[\w &amp;]*, (\d+\.\d+)""),"""")
"),"")</f>
        <v/>
      </c>
      <c r="P1078" s="2"/>
      <c r="Q1078" s="2"/>
      <c r="R1078" s="2"/>
      <c r="S1078" s="2"/>
      <c r="T1078" s="5"/>
      <c r="U1078" s="5"/>
    </row>
    <row r="1079" customFormat="false" ht="15.75" hidden="false" customHeight="false" outlineLevel="0" collapsed="false">
      <c r="A1079" s="4"/>
      <c r="B1079" s="2"/>
      <c r="C1079" s="2"/>
      <c r="D1079" s="2"/>
      <c r="E1079" s="2"/>
      <c r="F1079" s="3" t="str">
        <f aca="false">IFERROR(__xludf.dummyfunction("if($T1079&lt;&gt;"""",REGEXEXTRACT(SUBSTITUTE ($T1079,F$1&amp;"" CE"",""""), F$1&amp;""[\w &amp;]*, (\d+\.\d+)""),"""")
"),"")</f>
        <v/>
      </c>
      <c r="G1079" s="3" t="str">
        <f aca="false">IFERROR(__xludf.dummyfunction("if($T1079&lt;&gt;"""",REGEXEXTRACT($T1079, G$1&amp;""[\w &amp;]*, (\d+\.\d+)""),"""")
"),"")</f>
        <v/>
      </c>
      <c r="H1079" s="3"/>
      <c r="I1079" s="3" t="str">
        <f aca="false">IFERROR(__xludf.dummyfunction("if($T1079&lt;&gt;"""",REGEXEXTRACT(SUBSTITUTE ($T1079,I$1&amp;"" CE"",""""), I$1&amp;""[\w &amp;]*, (\d+\.\d+)""),"""")
"),"")</f>
        <v/>
      </c>
      <c r="J1079" s="3" t="str">
        <f aca="false">IFERROR(__xludf.dummyfunction("if($T1079&lt;&gt;"""",REGEXEXTRACT($T1079, J$1&amp;""[\w &amp;]*, (\d+\.\d+)""),"""")
"),"")</f>
        <v/>
      </c>
      <c r="K1079" s="3"/>
      <c r="L1079" s="3" t="str">
        <f aca="false">IFERROR(__xludf.dummyfunction("if($T1079&lt;&gt;"""",REGEXEXTRACT(SUBSTITUTE ($T1079,L$1&amp;"" CE"",""""), L$1&amp;""[\w &amp;]*, (\d+\.\d+)""),"""")
"),"")</f>
        <v/>
      </c>
      <c r="M1079" s="3" t="str">
        <f aca="false">IFERROR(__xludf.dummyfunction("if($T1079&lt;&gt;"""",REGEXEXTRACT($T1079, M$1&amp;""[\w &amp;]*, (\d+\.\d+)""),"""")
"),"")</f>
        <v/>
      </c>
      <c r="N1079" s="3" t="str">
        <f aca="false">IFERROR(__xludf.dummyfunction("if($T1079&lt;&gt;"""",REGEXEXTRACT(SUBSTITUTE ($T1079,N$1&amp;"" CE"",""""), N$1&amp;""[\w &amp;]*, (\d+\.\d+)""),"""")
"),"")</f>
        <v/>
      </c>
      <c r="O1079" s="3" t="str">
        <f aca="false">IFERROR(__xludf.dummyfunction("if($T1079&lt;&gt;"""",REGEXEXTRACT($T1079, O$1&amp;""[\w &amp;]*, (\d+\.\d+)""),"""")
"),"")</f>
        <v/>
      </c>
      <c r="P1079" s="2"/>
      <c r="Q1079" s="2"/>
      <c r="R1079" s="2"/>
      <c r="S1079" s="2"/>
      <c r="T1079" s="5"/>
      <c r="U1079" s="5"/>
    </row>
    <row r="1080" customFormat="false" ht="15.75" hidden="false" customHeight="false" outlineLevel="0" collapsed="false">
      <c r="A1080" s="4"/>
      <c r="B1080" s="2"/>
      <c r="C1080" s="2"/>
      <c r="D1080" s="2"/>
      <c r="E1080" s="2"/>
      <c r="F1080" s="3" t="str">
        <f aca="false">IFERROR(__xludf.dummyfunction("if($T1080&lt;&gt;"""",REGEXEXTRACT(SUBSTITUTE ($T1080,F$1&amp;"" CE"",""""), F$1&amp;""[\w &amp;]*, (\d+\.\d+)""),"""")
"),"")</f>
        <v/>
      </c>
      <c r="G1080" s="3" t="str">
        <f aca="false">IFERROR(__xludf.dummyfunction("if($T1080&lt;&gt;"""",REGEXEXTRACT($T1080, G$1&amp;""[\w &amp;]*, (\d+\.\d+)""),"""")
"),"")</f>
        <v/>
      </c>
      <c r="H1080" s="3"/>
      <c r="I1080" s="3" t="str">
        <f aca="false">IFERROR(__xludf.dummyfunction("if($T1080&lt;&gt;"""",REGEXEXTRACT(SUBSTITUTE ($T1080,I$1&amp;"" CE"",""""), I$1&amp;""[\w &amp;]*, (\d+\.\d+)""),"""")
"),"")</f>
        <v/>
      </c>
      <c r="J1080" s="3" t="str">
        <f aca="false">IFERROR(__xludf.dummyfunction("if($T1080&lt;&gt;"""",REGEXEXTRACT($T1080, J$1&amp;""[\w &amp;]*, (\d+\.\d+)""),"""")
"),"")</f>
        <v/>
      </c>
      <c r="K1080" s="3"/>
      <c r="L1080" s="3" t="str">
        <f aca="false">IFERROR(__xludf.dummyfunction("if($T1080&lt;&gt;"""",REGEXEXTRACT(SUBSTITUTE ($T1080,L$1&amp;"" CE"",""""), L$1&amp;""[\w &amp;]*, (\d+\.\d+)""),"""")
"),"")</f>
        <v/>
      </c>
      <c r="M1080" s="3" t="str">
        <f aca="false">IFERROR(__xludf.dummyfunction("if($T1080&lt;&gt;"""",REGEXEXTRACT($T1080, M$1&amp;""[\w &amp;]*, (\d+\.\d+)""),"""")
"),"")</f>
        <v/>
      </c>
      <c r="N1080" s="3" t="str">
        <f aca="false">IFERROR(__xludf.dummyfunction("if($T1080&lt;&gt;"""",REGEXEXTRACT(SUBSTITUTE ($T1080,N$1&amp;"" CE"",""""), N$1&amp;""[\w &amp;]*, (\d+\.\d+)""),"""")
"),"")</f>
        <v/>
      </c>
      <c r="O1080" s="3" t="str">
        <f aca="false">IFERROR(__xludf.dummyfunction("if($T1080&lt;&gt;"""",REGEXEXTRACT($T1080, O$1&amp;""[\w &amp;]*, (\d+\.\d+)""),"""")
"),"")</f>
        <v/>
      </c>
      <c r="P1080" s="2"/>
      <c r="Q1080" s="2"/>
      <c r="R1080" s="2"/>
      <c r="S1080" s="2"/>
      <c r="T1080" s="5"/>
      <c r="U1080" s="5"/>
    </row>
    <row r="1081" customFormat="false" ht="15.75" hidden="false" customHeight="false" outlineLevel="0" collapsed="false">
      <c r="A1081" s="4"/>
      <c r="B1081" s="2"/>
      <c r="C1081" s="2"/>
      <c r="D1081" s="2"/>
      <c r="E1081" s="2"/>
      <c r="F1081" s="3" t="str">
        <f aca="false">IFERROR(__xludf.dummyfunction("if($T1081&lt;&gt;"""",REGEXEXTRACT(SUBSTITUTE ($T1081,F$1&amp;"" CE"",""""), F$1&amp;""[\w &amp;]*, (\d+\.\d+)""),"""")
"),"")</f>
        <v/>
      </c>
      <c r="G1081" s="3" t="str">
        <f aca="false">IFERROR(__xludf.dummyfunction("if($T1081&lt;&gt;"""",REGEXEXTRACT($T1081, G$1&amp;""[\w &amp;]*, (\d+\.\d+)""),"""")
"),"")</f>
        <v/>
      </c>
      <c r="H1081" s="3"/>
      <c r="I1081" s="3" t="str">
        <f aca="false">IFERROR(__xludf.dummyfunction("if($T1081&lt;&gt;"""",REGEXEXTRACT(SUBSTITUTE ($T1081,I$1&amp;"" CE"",""""), I$1&amp;""[\w &amp;]*, (\d+\.\d+)""),"""")
"),"")</f>
        <v/>
      </c>
      <c r="J1081" s="3" t="str">
        <f aca="false">IFERROR(__xludf.dummyfunction("if($T1081&lt;&gt;"""",REGEXEXTRACT($T1081, J$1&amp;""[\w &amp;]*, (\d+\.\d+)""),"""")
"),"")</f>
        <v/>
      </c>
      <c r="K1081" s="3"/>
      <c r="L1081" s="3" t="str">
        <f aca="false">IFERROR(__xludf.dummyfunction("if($T1081&lt;&gt;"""",REGEXEXTRACT(SUBSTITUTE ($T1081,L$1&amp;"" CE"",""""), L$1&amp;""[\w &amp;]*, (\d+\.\d+)""),"""")
"),"")</f>
        <v/>
      </c>
      <c r="M1081" s="3" t="str">
        <f aca="false">IFERROR(__xludf.dummyfunction("if($T1081&lt;&gt;"""",REGEXEXTRACT($T1081, M$1&amp;""[\w &amp;]*, (\d+\.\d+)""),"""")
"),"")</f>
        <v/>
      </c>
      <c r="N1081" s="3" t="str">
        <f aca="false">IFERROR(__xludf.dummyfunction("if($T1081&lt;&gt;"""",REGEXEXTRACT(SUBSTITUTE ($T1081,N$1&amp;"" CE"",""""), N$1&amp;""[\w &amp;]*, (\d+\.\d+)""),"""")
"),"")</f>
        <v/>
      </c>
      <c r="O1081" s="3" t="str">
        <f aca="false">IFERROR(__xludf.dummyfunction("if($T1081&lt;&gt;"""",REGEXEXTRACT($T1081, O$1&amp;""[\w &amp;]*, (\d+\.\d+)""),"""")
"),"")</f>
        <v/>
      </c>
      <c r="P1081" s="2"/>
      <c r="Q1081" s="2"/>
      <c r="R1081" s="2"/>
      <c r="S1081" s="2"/>
      <c r="T1081" s="5"/>
      <c r="U1081" s="5"/>
    </row>
    <row r="1082" customFormat="false" ht="15.75" hidden="false" customHeight="false" outlineLevel="0" collapsed="false">
      <c r="A1082" s="4"/>
      <c r="B1082" s="2"/>
      <c r="C1082" s="2"/>
      <c r="D1082" s="2"/>
      <c r="E1082" s="2"/>
      <c r="F1082" s="3" t="str">
        <f aca="false">IFERROR(__xludf.dummyfunction("if($T1082&lt;&gt;"""",REGEXEXTRACT(SUBSTITUTE ($T1082,F$1&amp;"" CE"",""""), F$1&amp;""[\w &amp;]*, (\d+\.\d+)""),"""")
"),"")</f>
        <v/>
      </c>
      <c r="G1082" s="3" t="str">
        <f aca="false">IFERROR(__xludf.dummyfunction("if($T1082&lt;&gt;"""",REGEXEXTRACT($T1082, G$1&amp;""[\w &amp;]*, (\d+\.\d+)""),"""")
"),"")</f>
        <v/>
      </c>
      <c r="H1082" s="3"/>
      <c r="I1082" s="3" t="str">
        <f aca="false">IFERROR(__xludf.dummyfunction("if($T1082&lt;&gt;"""",REGEXEXTRACT(SUBSTITUTE ($T1082,I$1&amp;"" CE"",""""), I$1&amp;""[\w &amp;]*, (\d+\.\d+)""),"""")
"),"")</f>
        <v/>
      </c>
      <c r="J1082" s="3" t="str">
        <f aca="false">IFERROR(__xludf.dummyfunction("if($T1082&lt;&gt;"""",REGEXEXTRACT($T1082, J$1&amp;""[\w &amp;]*, (\d+\.\d+)""),"""")
"),"")</f>
        <v/>
      </c>
      <c r="K1082" s="3"/>
      <c r="L1082" s="3" t="str">
        <f aca="false">IFERROR(__xludf.dummyfunction("if($T1082&lt;&gt;"""",REGEXEXTRACT(SUBSTITUTE ($T1082,L$1&amp;"" CE"",""""), L$1&amp;""[\w &amp;]*, (\d+\.\d+)""),"""")
"),"")</f>
        <v/>
      </c>
      <c r="M1082" s="3" t="str">
        <f aca="false">IFERROR(__xludf.dummyfunction("if($T1082&lt;&gt;"""",REGEXEXTRACT($T1082, M$1&amp;""[\w &amp;]*, (\d+\.\d+)""),"""")
"),"")</f>
        <v/>
      </c>
      <c r="N1082" s="3" t="str">
        <f aca="false">IFERROR(__xludf.dummyfunction("if($T1082&lt;&gt;"""",REGEXEXTRACT(SUBSTITUTE ($T1082,N$1&amp;"" CE"",""""), N$1&amp;""[\w &amp;]*, (\d+\.\d+)""),"""")
"),"")</f>
        <v/>
      </c>
      <c r="O1082" s="3" t="str">
        <f aca="false">IFERROR(__xludf.dummyfunction("if($T1082&lt;&gt;"""",REGEXEXTRACT($T1082, O$1&amp;""[\w &amp;]*, (\d+\.\d+)""),"""")
"),"")</f>
        <v/>
      </c>
      <c r="P1082" s="2"/>
      <c r="Q1082" s="2"/>
      <c r="R1082" s="2"/>
      <c r="S1082" s="2"/>
      <c r="T1082" s="5"/>
      <c r="U1082" s="5"/>
    </row>
    <row r="1083" customFormat="false" ht="15.75" hidden="false" customHeight="false" outlineLevel="0" collapsed="false">
      <c r="A1083" s="4"/>
      <c r="B1083" s="2"/>
      <c r="C1083" s="2"/>
      <c r="D1083" s="2"/>
      <c r="E1083" s="2"/>
      <c r="F1083" s="3" t="str">
        <f aca="false">IFERROR(__xludf.dummyfunction("if($T1083&lt;&gt;"""",REGEXEXTRACT(SUBSTITUTE ($T1083,F$1&amp;"" CE"",""""), F$1&amp;""[\w &amp;]*, (\d+\.\d+)""),"""")
"),"")</f>
        <v/>
      </c>
      <c r="G1083" s="3" t="str">
        <f aca="false">IFERROR(__xludf.dummyfunction("if($T1083&lt;&gt;"""",REGEXEXTRACT($T1083, G$1&amp;""[\w &amp;]*, (\d+\.\d+)""),"""")
"),"")</f>
        <v/>
      </c>
      <c r="H1083" s="3"/>
      <c r="I1083" s="3" t="str">
        <f aca="false">IFERROR(__xludf.dummyfunction("if($T1083&lt;&gt;"""",REGEXEXTRACT(SUBSTITUTE ($T1083,I$1&amp;"" CE"",""""), I$1&amp;""[\w &amp;]*, (\d+\.\d+)""),"""")
"),"")</f>
        <v/>
      </c>
      <c r="J1083" s="3" t="str">
        <f aca="false">IFERROR(__xludf.dummyfunction("if($T1083&lt;&gt;"""",REGEXEXTRACT($T1083, J$1&amp;""[\w &amp;]*, (\d+\.\d+)""),"""")
"),"")</f>
        <v/>
      </c>
      <c r="K1083" s="3"/>
      <c r="L1083" s="3" t="str">
        <f aca="false">IFERROR(__xludf.dummyfunction("if($T1083&lt;&gt;"""",REGEXEXTRACT(SUBSTITUTE ($T1083,L$1&amp;"" CE"",""""), L$1&amp;""[\w &amp;]*, (\d+\.\d+)""),"""")
"),"")</f>
        <v/>
      </c>
      <c r="M1083" s="3" t="str">
        <f aca="false">IFERROR(__xludf.dummyfunction("if($T1083&lt;&gt;"""",REGEXEXTRACT($T1083, M$1&amp;""[\w &amp;]*, (\d+\.\d+)""),"""")
"),"")</f>
        <v/>
      </c>
      <c r="N1083" s="3" t="str">
        <f aca="false">IFERROR(__xludf.dummyfunction("if($T1083&lt;&gt;"""",REGEXEXTRACT(SUBSTITUTE ($T1083,N$1&amp;"" CE"",""""), N$1&amp;""[\w &amp;]*, (\d+\.\d+)""),"""")
"),"")</f>
        <v/>
      </c>
      <c r="O1083" s="3" t="str">
        <f aca="false">IFERROR(__xludf.dummyfunction("if($T1083&lt;&gt;"""",REGEXEXTRACT($T1083, O$1&amp;""[\w &amp;]*, (\d+\.\d+)""),"""")
"),"")</f>
        <v/>
      </c>
      <c r="P1083" s="2"/>
      <c r="Q1083" s="2"/>
      <c r="R1083" s="2"/>
      <c r="S1083" s="2"/>
      <c r="T1083" s="5"/>
      <c r="U1083" s="5"/>
    </row>
    <row r="1084" customFormat="false" ht="15.75" hidden="false" customHeight="false" outlineLevel="0" collapsed="false">
      <c r="A1084" s="4"/>
      <c r="B1084" s="2"/>
      <c r="C1084" s="2"/>
      <c r="D1084" s="2"/>
      <c r="E1084" s="2"/>
      <c r="F1084" s="3" t="str">
        <f aca="false">IFERROR(__xludf.dummyfunction("if($T1084&lt;&gt;"""",REGEXEXTRACT(SUBSTITUTE ($T1084,F$1&amp;"" CE"",""""), F$1&amp;""[\w &amp;]*, (\d+\.\d+)""),"""")
"),"")</f>
        <v/>
      </c>
      <c r="G1084" s="3" t="str">
        <f aca="false">IFERROR(__xludf.dummyfunction("if($T1084&lt;&gt;"""",REGEXEXTRACT($T1084, G$1&amp;""[\w &amp;]*, (\d+\.\d+)""),"""")
"),"")</f>
        <v/>
      </c>
      <c r="H1084" s="3"/>
      <c r="I1084" s="3" t="str">
        <f aca="false">IFERROR(__xludf.dummyfunction("if($T1084&lt;&gt;"""",REGEXEXTRACT(SUBSTITUTE ($T1084,I$1&amp;"" CE"",""""), I$1&amp;""[\w &amp;]*, (\d+\.\d+)""),"""")
"),"")</f>
        <v/>
      </c>
      <c r="J1084" s="3" t="str">
        <f aca="false">IFERROR(__xludf.dummyfunction("if($T1084&lt;&gt;"""",REGEXEXTRACT($T1084, J$1&amp;""[\w &amp;]*, (\d+\.\d+)""),"""")
"),"")</f>
        <v/>
      </c>
      <c r="K1084" s="3"/>
      <c r="L1084" s="3" t="str">
        <f aca="false">IFERROR(__xludf.dummyfunction("if($T1084&lt;&gt;"""",REGEXEXTRACT(SUBSTITUTE ($T1084,L$1&amp;"" CE"",""""), L$1&amp;""[\w &amp;]*, (\d+\.\d+)""),"""")
"),"")</f>
        <v/>
      </c>
      <c r="M1084" s="3" t="str">
        <f aca="false">IFERROR(__xludf.dummyfunction("if($T1084&lt;&gt;"""",REGEXEXTRACT($T1084, M$1&amp;""[\w &amp;]*, (\d+\.\d+)""),"""")
"),"")</f>
        <v/>
      </c>
      <c r="N1084" s="3" t="str">
        <f aca="false">IFERROR(__xludf.dummyfunction("if($T1084&lt;&gt;"""",REGEXEXTRACT(SUBSTITUTE ($T1084,N$1&amp;"" CE"",""""), N$1&amp;""[\w &amp;]*, (\d+\.\d+)""),"""")
"),"")</f>
        <v/>
      </c>
      <c r="O1084" s="3" t="str">
        <f aca="false">IFERROR(__xludf.dummyfunction("if($T1084&lt;&gt;"""",REGEXEXTRACT($T1084, O$1&amp;""[\w &amp;]*, (\d+\.\d+)""),"""")
"),"")</f>
        <v/>
      </c>
      <c r="P1084" s="2"/>
      <c r="Q1084" s="2"/>
      <c r="R1084" s="2"/>
      <c r="S1084" s="2"/>
      <c r="T1084" s="5"/>
      <c r="U1084" s="5"/>
    </row>
    <row r="1085" customFormat="false" ht="15.75" hidden="false" customHeight="false" outlineLevel="0" collapsed="false">
      <c r="A1085" s="4"/>
      <c r="B1085" s="2"/>
      <c r="C1085" s="2"/>
      <c r="D1085" s="2"/>
      <c r="E1085" s="2"/>
      <c r="F1085" s="3" t="str">
        <f aca="false">IFERROR(__xludf.dummyfunction("if($T1085&lt;&gt;"""",REGEXEXTRACT(SUBSTITUTE ($T1085,F$1&amp;"" CE"",""""), F$1&amp;""[\w &amp;]*, (\d+\.\d+)""),"""")
"),"")</f>
        <v/>
      </c>
      <c r="G1085" s="3" t="str">
        <f aca="false">IFERROR(__xludf.dummyfunction("if($T1085&lt;&gt;"""",REGEXEXTRACT($T1085, G$1&amp;""[\w &amp;]*, (\d+\.\d+)""),"""")
"),"")</f>
        <v/>
      </c>
      <c r="H1085" s="3"/>
      <c r="I1085" s="3" t="str">
        <f aca="false">IFERROR(__xludf.dummyfunction("if($T1085&lt;&gt;"""",REGEXEXTRACT(SUBSTITUTE ($T1085,I$1&amp;"" CE"",""""), I$1&amp;""[\w &amp;]*, (\d+\.\d+)""),"""")
"),"")</f>
        <v/>
      </c>
      <c r="J1085" s="3" t="str">
        <f aca="false">IFERROR(__xludf.dummyfunction("if($T1085&lt;&gt;"""",REGEXEXTRACT($T1085, J$1&amp;""[\w &amp;]*, (\d+\.\d+)""),"""")
"),"")</f>
        <v/>
      </c>
      <c r="K1085" s="3"/>
      <c r="L1085" s="3" t="str">
        <f aca="false">IFERROR(__xludf.dummyfunction("if($T1085&lt;&gt;"""",REGEXEXTRACT(SUBSTITUTE ($T1085,L$1&amp;"" CE"",""""), L$1&amp;""[\w &amp;]*, (\d+\.\d+)""),"""")
"),"")</f>
        <v/>
      </c>
      <c r="M1085" s="3" t="str">
        <f aca="false">IFERROR(__xludf.dummyfunction("if($T1085&lt;&gt;"""",REGEXEXTRACT($T1085, M$1&amp;""[\w &amp;]*, (\d+\.\d+)""),"""")
"),"")</f>
        <v/>
      </c>
      <c r="N1085" s="3" t="str">
        <f aca="false">IFERROR(__xludf.dummyfunction("if($T1085&lt;&gt;"""",REGEXEXTRACT(SUBSTITUTE ($T1085,N$1&amp;"" CE"",""""), N$1&amp;""[\w &amp;]*, (\d+\.\d+)""),"""")
"),"")</f>
        <v/>
      </c>
      <c r="O1085" s="3" t="str">
        <f aca="false">IFERROR(__xludf.dummyfunction("if($T1085&lt;&gt;"""",REGEXEXTRACT($T1085, O$1&amp;""[\w &amp;]*, (\d+\.\d+)""),"""")
"),"")</f>
        <v/>
      </c>
      <c r="P1085" s="2"/>
      <c r="Q1085" s="2"/>
      <c r="R1085" s="2"/>
      <c r="S1085" s="2"/>
      <c r="T1085" s="5"/>
      <c r="U1085" s="5"/>
    </row>
    <row r="1086" customFormat="false" ht="15.75" hidden="false" customHeight="false" outlineLevel="0" collapsed="false">
      <c r="A1086" s="4"/>
      <c r="B1086" s="2"/>
      <c r="C1086" s="2"/>
      <c r="D1086" s="2"/>
      <c r="E1086" s="2"/>
      <c r="F1086" s="3" t="str">
        <f aca="false">IFERROR(__xludf.dummyfunction("if($T1086&lt;&gt;"""",REGEXEXTRACT(SUBSTITUTE ($T1086,F$1&amp;"" CE"",""""), F$1&amp;""[\w &amp;]*, (\d+\.\d+)""),"""")
"),"")</f>
        <v/>
      </c>
      <c r="G1086" s="3" t="str">
        <f aca="false">IFERROR(__xludf.dummyfunction("if($T1086&lt;&gt;"""",REGEXEXTRACT($T1086, G$1&amp;""[\w &amp;]*, (\d+\.\d+)""),"""")
"),"")</f>
        <v/>
      </c>
      <c r="H1086" s="3"/>
      <c r="I1086" s="3" t="str">
        <f aca="false">IFERROR(__xludf.dummyfunction("if($T1086&lt;&gt;"""",REGEXEXTRACT(SUBSTITUTE ($T1086,I$1&amp;"" CE"",""""), I$1&amp;""[\w &amp;]*, (\d+\.\d+)""),"""")
"),"")</f>
        <v/>
      </c>
      <c r="J1086" s="3" t="str">
        <f aca="false">IFERROR(__xludf.dummyfunction("if($T1086&lt;&gt;"""",REGEXEXTRACT($T1086, J$1&amp;""[\w &amp;]*, (\d+\.\d+)""),"""")
"),"")</f>
        <v/>
      </c>
      <c r="K1086" s="3"/>
      <c r="L1086" s="3" t="str">
        <f aca="false">IFERROR(__xludf.dummyfunction("if($T1086&lt;&gt;"""",REGEXEXTRACT(SUBSTITUTE ($T1086,L$1&amp;"" CE"",""""), L$1&amp;""[\w &amp;]*, (\d+\.\d+)""),"""")
"),"")</f>
        <v/>
      </c>
      <c r="M1086" s="3" t="str">
        <f aca="false">IFERROR(__xludf.dummyfunction("if($T1086&lt;&gt;"""",REGEXEXTRACT($T1086, M$1&amp;""[\w &amp;]*, (\d+\.\d+)""),"""")
"),"")</f>
        <v/>
      </c>
      <c r="N1086" s="3" t="str">
        <f aca="false">IFERROR(__xludf.dummyfunction("if($T1086&lt;&gt;"""",REGEXEXTRACT(SUBSTITUTE ($T1086,N$1&amp;"" CE"",""""), N$1&amp;""[\w &amp;]*, (\d+\.\d+)""),"""")
"),"")</f>
        <v/>
      </c>
      <c r="O1086" s="3" t="str">
        <f aca="false">IFERROR(__xludf.dummyfunction("if($T1086&lt;&gt;"""",REGEXEXTRACT($T1086, O$1&amp;""[\w &amp;]*, (\d+\.\d+)""),"""")
"),"")</f>
        <v/>
      </c>
      <c r="P1086" s="2"/>
      <c r="Q1086" s="2"/>
      <c r="R1086" s="2"/>
      <c r="S1086" s="2"/>
      <c r="T1086" s="5"/>
      <c r="U1086" s="5"/>
    </row>
    <row r="1087" customFormat="false" ht="15.75" hidden="false" customHeight="false" outlineLevel="0" collapsed="false">
      <c r="A1087" s="4"/>
      <c r="B1087" s="2"/>
      <c r="C1087" s="2"/>
      <c r="D1087" s="2"/>
      <c r="E1087" s="2"/>
      <c r="F1087" s="3" t="str">
        <f aca="false">IFERROR(__xludf.dummyfunction("if($T1087&lt;&gt;"""",REGEXEXTRACT(SUBSTITUTE ($T1087,F$1&amp;"" CE"",""""), F$1&amp;""[\w &amp;]*, (\d+\.\d+)""),"""")
"),"")</f>
        <v/>
      </c>
      <c r="G1087" s="3" t="str">
        <f aca="false">IFERROR(__xludf.dummyfunction("if($T1087&lt;&gt;"""",REGEXEXTRACT($T1087, G$1&amp;""[\w &amp;]*, (\d+\.\d+)""),"""")
"),"")</f>
        <v/>
      </c>
      <c r="H1087" s="3"/>
      <c r="I1087" s="3" t="str">
        <f aca="false">IFERROR(__xludf.dummyfunction("if($T1087&lt;&gt;"""",REGEXEXTRACT(SUBSTITUTE ($T1087,I$1&amp;"" CE"",""""), I$1&amp;""[\w &amp;]*, (\d+\.\d+)""),"""")
"),"")</f>
        <v/>
      </c>
      <c r="J1087" s="3" t="str">
        <f aca="false">IFERROR(__xludf.dummyfunction("if($T1087&lt;&gt;"""",REGEXEXTRACT($T1087, J$1&amp;""[\w &amp;]*, (\d+\.\d+)""),"""")
"),"")</f>
        <v/>
      </c>
      <c r="K1087" s="3"/>
      <c r="L1087" s="3" t="str">
        <f aca="false">IFERROR(__xludf.dummyfunction("if($T1087&lt;&gt;"""",REGEXEXTRACT(SUBSTITUTE ($T1087,L$1&amp;"" CE"",""""), L$1&amp;""[\w &amp;]*, (\d+\.\d+)""),"""")
"),"")</f>
        <v/>
      </c>
      <c r="M1087" s="3" t="str">
        <f aca="false">IFERROR(__xludf.dummyfunction("if($T1087&lt;&gt;"""",REGEXEXTRACT($T1087, M$1&amp;""[\w &amp;]*, (\d+\.\d+)""),"""")
"),"")</f>
        <v/>
      </c>
      <c r="N1087" s="3" t="str">
        <f aca="false">IFERROR(__xludf.dummyfunction("if($T1087&lt;&gt;"""",REGEXEXTRACT(SUBSTITUTE ($T1087,N$1&amp;"" CE"",""""), N$1&amp;""[\w &amp;]*, (\d+\.\d+)""),"""")
"),"")</f>
        <v/>
      </c>
      <c r="O1087" s="3" t="str">
        <f aca="false">IFERROR(__xludf.dummyfunction("if($T1087&lt;&gt;"""",REGEXEXTRACT($T1087, O$1&amp;""[\w &amp;]*, (\d+\.\d+)""),"""")
"),"")</f>
        <v/>
      </c>
      <c r="P1087" s="2"/>
      <c r="Q1087" s="2"/>
      <c r="R1087" s="2"/>
      <c r="S1087" s="2"/>
      <c r="T1087" s="5"/>
      <c r="U1087" s="5"/>
    </row>
    <row r="1088" customFormat="false" ht="15.75" hidden="false" customHeight="false" outlineLevel="0" collapsed="false">
      <c r="A1088" s="4"/>
      <c r="B1088" s="2"/>
      <c r="C1088" s="2"/>
      <c r="D1088" s="2"/>
      <c r="E1088" s="2"/>
      <c r="F1088" s="3" t="str">
        <f aca="false">IFERROR(__xludf.dummyfunction("if($T1088&lt;&gt;"""",REGEXEXTRACT(SUBSTITUTE ($T1088,F$1&amp;"" CE"",""""), F$1&amp;""[\w &amp;]*, (\d+\.\d+)""),"""")
"),"")</f>
        <v/>
      </c>
      <c r="G1088" s="3" t="str">
        <f aca="false">IFERROR(__xludf.dummyfunction("if($T1088&lt;&gt;"""",REGEXEXTRACT($T1088, G$1&amp;""[\w &amp;]*, (\d+\.\d+)""),"""")
"),"")</f>
        <v/>
      </c>
      <c r="H1088" s="3"/>
      <c r="I1088" s="3" t="str">
        <f aca="false">IFERROR(__xludf.dummyfunction("if($T1088&lt;&gt;"""",REGEXEXTRACT(SUBSTITUTE ($T1088,I$1&amp;"" CE"",""""), I$1&amp;""[\w &amp;]*, (\d+\.\d+)""),"""")
"),"")</f>
        <v/>
      </c>
      <c r="J1088" s="3" t="str">
        <f aca="false">IFERROR(__xludf.dummyfunction("if($T1088&lt;&gt;"""",REGEXEXTRACT($T1088, J$1&amp;""[\w &amp;]*, (\d+\.\d+)""),"""")
"),"")</f>
        <v/>
      </c>
      <c r="K1088" s="3"/>
      <c r="L1088" s="3" t="str">
        <f aca="false">IFERROR(__xludf.dummyfunction("if($T1088&lt;&gt;"""",REGEXEXTRACT(SUBSTITUTE ($T1088,L$1&amp;"" CE"",""""), L$1&amp;""[\w &amp;]*, (\d+\.\d+)""),"""")
"),"")</f>
        <v/>
      </c>
      <c r="M1088" s="3" t="str">
        <f aca="false">IFERROR(__xludf.dummyfunction("if($T1088&lt;&gt;"""",REGEXEXTRACT($T1088, M$1&amp;""[\w &amp;]*, (\d+\.\d+)""),"""")
"),"")</f>
        <v/>
      </c>
      <c r="N1088" s="3" t="str">
        <f aca="false">IFERROR(__xludf.dummyfunction("if($T1088&lt;&gt;"""",REGEXEXTRACT(SUBSTITUTE ($T1088,N$1&amp;"" CE"",""""), N$1&amp;""[\w &amp;]*, (\d+\.\d+)""),"""")
"),"")</f>
        <v/>
      </c>
      <c r="O1088" s="3" t="str">
        <f aca="false">IFERROR(__xludf.dummyfunction("if($T1088&lt;&gt;"""",REGEXEXTRACT($T1088, O$1&amp;""[\w &amp;]*, (\d+\.\d+)""),"""")
"),"")</f>
        <v/>
      </c>
      <c r="P1088" s="2"/>
      <c r="Q1088" s="2"/>
      <c r="R1088" s="2"/>
      <c r="S1088" s="2"/>
      <c r="T1088" s="5"/>
      <c r="U1088" s="5"/>
    </row>
    <row r="1089" customFormat="false" ht="15.75" hidden="false" customHeight="false" outlineLevel="0" collapsed="false">
      <c r="A1089" s="4"/>
      <c r="B1089" s="2"/>
      <c r="C1089" s="2"/>
      <c r="D1089" s="2"/>
      <c r="E1089" s="2"/>
      <c r="F1089" s="3" t="str">
        <f aca="false">IFERROR(__xludf.dummyfunction("if($T1089&lt;&gt;"""",REGEXEXTRACT(SUBSTITUTE ($T1089,F$1&amp;"" CE"",""""), F$1&amp;""[\w &amp;]*, (\d+\.\d+)""),"""")
"),"")</f>
        <v/>
      </c>
      <c r="G1089" s="3" t="str">
        <f aca="false">IFERROR(__xludf.dummyfunction("if($T1089&lt;&gt;"""",REGEXEXTRACT($T1089, G$1&amp;""[\w &amp;]*, (\d+\.\d+)""),"""")
"),"")</f>
        <v/>
      </c>
      <c r="H1089" s="3"/>
      <c r="I1089" s="3" t="str">
        <f aca="false">IFERROR(__xludf.dummyfunction("if($T1089&lt;&gt;"""",REGEXEXTRACT(SUBSTITUTE ($T1089,I$1&amp;"" CE"",""""), I$1&amp;""[\w &amp;]*, (\d+\.\d+)""),"""")
"),"")</f>
        <v/>
      </c>
      <c r="J1089" s="3" t="str">
        <f aca="false">IFERROR(__xludf.dummyfunction("if($T1089&lt;&gt;"""",REGEXEXTRACT($T1089, J$1&amp;""[\w &amp;]*, (\d+\.\d+)""),"""")
"),"")</f>
        <v/>
      </c>
      <c r="K1089" s="3"/>
      <c r="L1089" s="3" t="str">
        <f aca="false">IFERROR(__xludf.dummyfunction("if($T1089&lt;&gt;"""",REGEXEXTRACT(SUBSTITUTE ($T1089,L$1&amp;"" CE"",""""), L$1&amp;""[\w &amp;]*, (\d+\.\d+)""),"""")
"),"")</f>
        <v/>
      </c>
      <c r="M1089" s="3" t="str">
        <f aca="false">IFERROR(__xludf.dummyfunction("if($T1089&lt;&gt;"""",REGEXEXTRACT($T1089, M$1&amp;""[\w &amp;]*, (\d+\.\d+)""),"""")
"),"")</f>
        <v/>
      </c>
      <c r="N1089" s="3" t="str">
        <f aca="false">IFERROR(__xludf.dummyfunction("if($T1089&lt;&gt;"""",REGEXEXTRACT(SUBSTITUTE ($T1089,N$1&amp;"" CE"",""""), N$1&amp;""[\w &amp;]*, (\d+\.\d+)""),"""")
"),"")</f>
        <v/>
      </c>
      <c r="O1089" s="3" t="str">
        <f aca="false">IFERROR(__xludf.dummyfunction("if($T1089&lt;&gt;"""",REGEXEXTRACT($T1089, O$1&amp;""[\w &amp;]*, (\d+\.\d+)""),"""")
"),"")</f>
        <v/>
      </c>
      <c r="P1089" s="2"/>
      <c r="Q1089" s="2"/>
      <c r="R1089" s="2"/>
      <c r="S1089" s="2"/>
      <c r="T1089" s="5"/>
      <c r="U1089" s="5"/>
    </row>
    <row r="1090" customFormat="false" ht="15.75" hidden="false" customHeight="false" outlineLevel="0" collapsed="false">
      <c r="A1090" s="4"/>
      <c r="B1090" s="2"/>
      <c r="C1090" s="2"/>
      <c r="D1090" s="2"/>
      <c r="E1090" s="2"/>
      <c r="F1090" s="3" t="str">
        <f aca="false">IFERROR(__xludf.dummyfunction("if($T1090&lt;&gt;"""",REGEXEXTRACT(SUBSTITUTE ($T1090,F$1&amp;"" CE"",""""), F$1&amp;""[\w &amp;]*, (\d+\.\d+)""),"""")
"),"")</f>
        <v/>
      </c>
      <c r="G1090" s="3" t="str">
        <f aca="false">IFERROR(__xludf.dummyfunction("if($T1090&lt;&gt;"""",REGEXEXTRACT($T1090, G$1&amp;""[\w &amp;]*, (\d+\.\d+)""),"""")
"),"")</f>
        <v/>
      </c>
      <c r="H1090" s="3"/>
      <c r="I1090" s="3" t="str">
        <f aca="false">IFERROR(__xludf.dummyfunction("if($T1090&lt;&gt;"""",REGEXEXTRACT(SUBSTITUTE ($T1090,I$1&amp;"" CE"",""""), I$1&amp;""[\w &amp;]*, (\d+\.\d+)""),"""")
"),"")</f>
        <v/>
      </c>
      <c r="J1090" s="3" t="str">
        <f aca="false">IFERROR(__xludf.dummyfunction("if($T1090&lt;&gt;"""",REGEXEXTRACT($T1090, J$1&amp;""[\w &amp;]*, (\d+\.\d+)""),"""")
"),"")</f>
        <v/>
      </c>
      <c r="K1090" s="3"/>
      <c r="L1090" s="3" t="str">
        <f aca="false">IFERROR(__xludf.dummyfunction("if($T1090&lt;&gt;"""",REGEXEXTRACT(SUBSTITUTE ($T1090,L$1&amp;"" CE"",""""), L$1&amp;""[\w &amp;]*, (\d+\.\d+)""),"""")
"),"")</f>
        <v/>
      </c>
      <c r="M1090" s="3" t="str">
        <f aca="false">IFERROR(__xludf.dummyfunction("if($T1090&lt;&gt;"""",REGEXEXTRACT($T1090, M$1&amp;""[\w &amp;]*, (\d+\.\d+)""),"""")
"),"")</f>
        <v/>
      </c>
      <c r="N1090" s="3" t="str">
        <f aca="false">IFERROR(__xludf.dummyfunction("if($T1090&lt;&gt;"""",REGEXEXTRACT(SUBSTITUTE ($T1090,N$1&amp;"" CE"",""""), N$1&amp;""[\w &amp;]*, (\d+\.\d+)""),"""")
"),"")</f>
        <v/>
      </c>
      <c r="O1090" s="3" t="str">
        <f aca="false">IFERROR(__xludf.dummyfunction("if($T1090&lt;&gt;"""",REGEXEXTRACT($T1090, O$1&amp;""[\w &amp;]*, (\d+\.\d+)""),"""")
"),"")</f>
        <v/>
      </c>
      <c r="P1090" s="2"/>
      <c r="Q1090" s="2"/>
      <c r="R1090" s="2"/>
      <c r="S1090" s="2"/>
      <c r="T1090" s="5"/>
      <c r="U1090" s="5"/>
    </row>
    <row r="1091" customFormat="false" ht="15.75" hidden="false" customHeight="false" outlineLevel="0" collapsed="false">
      <c r="A1091" s="4"/>
      <c r="B1091" s="2"/>
      <c r="C1091" s="2"/>
      <c r="D1091" s="2"/>
      <c r="E1091" s="2"/>
      <c r="F1091" s="3" t="str">
        <f aca="false">IFERROR(__xludf.dummyfunction("if($T1091&lt;&gt;"""",REGEXEXTRACT(SUBSTITUTE ($T1091,F$1&amp;"" CE"",""""), F$1&amp;""[\w &amp;]*, (\d+\.\d+)""),"""")
"),"")</f>
        <v/>
      </c>
      <c r="G1091" s="3" t="str">
        <f aca="false">IFERROR(__xludf.dummyfunction("if($T1091&lt;&gt;"""",REGEXEXTRACT($T1091, G$1&amp;""[\w &amp;]*, (\d+\.\d+)""),"""")
"),"")</f>
        <v/>
      </c>
      <c r="H1091" s="3"/>
      <c r="I1091" s="3" t="str">
        <f aca="false">IFERROR(__xludf.dummyfunction("if($T1091&lt;&gt;"""",REGEXEXTRACT(SUBSTITUTE ($T1091,I$1&amp;"" CE"",""""), I$1&amp;""[\w &amp;]*, (\d+\.\d+)""),"""")
"),"")</f>
        <v/>
      </c>
      <c r="J1091" s="3" t="str">
        <f aca="false">IFERROR(__xludf.dummyfunction("if($T1091&lt;&gt;"""",REGEXEXTRACT($T1091, J$1&amp;""[\w &amp;]*, (\d+\.\d+)""),"""")
"),"")</f>
        <v/>
      </c>
      <c r="K1091" s="3"/>
      <c r="L1091" s="3" t="str">
        <f aca="false">IFERROR(__xludf.dummyfunction("if($T1091&lt;&gt;"""",REGEXEXTRACT(SUBSTITUTE ($T1091,L$1&amp;"" CE"",""""), L$1&amp;""[\w &amp;]*, (\d+\.\d+)""),"""")
"),"")</f>
        <v/>
      </c>
      <c r="M1091" s="3" t="str">
        <f aca="false">IFERROR(__xludf.dummyfunction("if($T1091&lt;&gt;"""",REGEXEXTRACT($T1091, M$1&amp;""[\w &amp;]*, (\d+\.\d+)""),"""")
"),"")</f>
        <v/>
      </c>
      <c r="N1091" s="3" t="str">
        <f aca="false">IFERROR(__xludf.dummyfunction("if($T1091&lt;&gt;"""",REGEXEXTRACT(SUBSTITUTE ($T1091,N$1&amp;"" CE"",""""), N$1&amp;""[\w &amp;]*, (\d+\.\d+)""),"""")
"),"")</f>
        <v/>
      </c>
      <c r="O1091" s="3" t="str">
        <f aca="false">IFERROR(__xludf.dummyfunction("if($T1091&lt;&gt;"""",REGEXEXTRACT($T1091, O$1&amp;""[\w &amp;]*, (\d+\.\d+)""),"""")
"),"")</f>
        <v/>
      </c>
      <c r="P1091" s="2"/>
      <c r="Q1091" s="2"/>
      <c r="R1091" s="2"/>
      <c r="S1091" s="2"/>
      <c r="T1091" s="5"/>
      <c r="U1091" s="5"/>
    </row>
    <row r="1092" customFormat="false" ht="15.75" hidden="false" customHeight="false" outlineLevel="0" collapsed="false">
      <c r="A1092" s="4"/>
      <c r="B1092" s="2"/>
      <c r="C1092" s="2"/>
      <c r="D1092" s="2"/>
      <c r="E1092" s="2"/>
      <c r="F1092" s="3" t="str">
        <f aca="false">IFERROR(__xludf.dummyfunction("if($T1092&lt;&gt;"""",REGEXEXTRACT(SUBSTITUTE ($T1092,F$1&amp;"" CE"",""""), F$1&amp;""[\w &amp;]*, (\d+\.\d+)""),"""")
"),"")</f>
        <v/>
      </c>
      <c r="G1092" s="3" t="str">
        <f aca="false">IFERROR(__xludf.dummyfunction("if($T1092&lt;&gt;"""",REGEXEXTRACT($T1092, G$1&amp;""[\w &amp;]*, (\d+\.\d+)""),"""")
"),"")</f>
        <v/>
      </c>
      <c r="H1092" s="3"/>
      <c r="I1092" s="3" t="str">
        <f aca="false">IFERROR(__xludf.dummyfunction("if($T1092&lt;&gt;"""",REGEXEXTRACT(SUBSTITUTE ($T1092,I$1&amp;"" CE"",""""), I$1&amp;""[\w &amp;]*, (\d+\.\d+)""),"""")
"),"")</f>
        <v/>
      </c>
      <c r="J1092" s="3" t="str">
        <f aca="false">IFERROR(__xludf.dummyfunction("if($T1092&lt;&gt;"""",REGEXEXTRACT($T1092, J$1&amp;""[\w &amp;]*, (\d+\.\d+)""),"""")
"),"")</f>
        <v/>
      </c>
      <c r="K1092" s="3"/>
      <c r="L1092" s="3" t="str">
        <f aca="false">IFERROR(__xludf.dummyfunction("if($T1092&lt;&gt;"""",REGEXEXTRACT(SUBSTITUTE ($T1092,L$1&amp;"" CE"",""""), L$1&amp;""[\w &amp;]*, (\d+\.\d+)""),"""")
"),"")</f>
        <v/>
      </c>
      <c r="M1092" s="3" t="str">
        <f aca="false">IFERROR(__xludf.dummyfunction("if($T1092&lt;&gt;"""",REGEXEXTRACT($T1092, M$1&amp;""[\w &amp;]*, (\d+\.\d+)""),"""")
"),"")</f>
        <v/>
      </c>
      <c r="N1092" s="3" t="str">
        <f aca="false">IFERROR(__xludf.dummyfunction("if($T1092&lt;&gt;"""",REGEXEXTRACT(SUBSTITUTE ($T1092,N$1&amp;"" CE"",""""), N$1&amp;""[\w &amp;]*, (\d+\.\d+)""),"""")
"),"")</f>
        <v/>
      </c>
      <c r="O1092" s="3" t="str">
        <f aca="false">IFERROR(__xludf.dummyfunction("if($T1092&lt;&gt;"""",REGEXEXTRACT($T1092, O$1&amp;""[\w &amp;]*, (\d+\.\d+)""),"""")
"),"")</f>
        <v/>
      </c>
      <c r="P1092" s="2"/>
      <c r="Q1092" s="2"/>
      <c r="R1092" s="2"/>
      <c r="S1092" s="2"/>
      <c r="T1092" s="5"/>
      <c r="U1092" s="5"/>
    </row>
    <row r="1093" customFormat="false" ht="15.75" hidden="false" customHeight="false" outlineLevel="0" collapsed="false">
      <c r="A1093" s="4"/>
      <c r="B1093" s="2"/>
      <c r="C1093" s="2"/>
      <c r="D1093" s="2"/>
      <c r="E1093" s="2"/>
      <c r="F1093" s="3" t="str">
        <f aca="false">IFERROR(__xludf.dummyfunction("if($T1093&lt;&gt;"""",REGEXEXTRACT(SUBSTITUTE ($T1093,F$1&amp;"" CE"",""""), F$1&amp;""[\w &amp;]*, (\d+\.\d+)""),"""")
"),"")</f>
        <v/>
      </c>
      <c r="G1093" s="3" t="str">
        <f aca="false">IFERROR(__xludf.dummyfunction("if($T1093&lt;&gt;"""",REGEXEXTRACT($T1093, G$1&amp;""[\w &amp;]*, (\d+\.\d+)""),"""")
"),"")</f>
        <v/>
      </c>
      <c r="H1093" s="3"/>
      <c r="I1093" s="3" t="str">
        <f aca="false">IFERROR(__xludf.dummyfunction("if($T1093&lt;&gt;"""",REGEXEXTRACT(SUBSTITUTE ($T1093,I$1&amp;"" CE"",""""), I$1&amp;""[\w &amp;]*, (\d+\.\d+)""),"""")
"),"")</f>
        <v/>
      </c>
      <c r="J1093" s="3" t="str">
        <f aca="false">IFERROR(__xludf.dummyfunction("if($T1093&lt;&gt;"""",REGEXEXTRACT($T1093, J$1&amp;""[\w &amp;]*, (\d+\.\d+)""),"""")
"),"")</f>
        <v/>
      </c>
      <c r="K1093" s="3"/>
      <c r="L1093" s="3" t="str">
        <f aca="false">IFERROR(__xludf.dummyfunction("if($T1093&lt;&gt;"""",REGEXEXTRACT(SUBSTITUTE ($T1093,L$1&amp;"" CE"",""""), L$1&amp;""[\w &amp;]*, (\d+\.\d+)""),"""")
"),"")</f>
        <v/>
      </c>
      <c r="M1093" s="3" t="str">
        <f aca="false">IFERROR(__xludf.dummyfunction("if($T1093&lt;&gt;"""",REGEXEXTRACT($T1093, M$1&amp;""[\w &amp;]*, (\d+\.\d+)""),"""")
"),"")</f>
        <v/>
      </c>
      <c r="N1093" s="3" t="str">
        <f aca="false">IFERROR(__xludf.dummyfunction("if($T1093&lt;&gt;"""",REGEXEXTRACT(SUBSTITUTE ($T1093,N$1&amp;"" CE"",""""), N$1&amp;""[\w &amp;]*, (\d+\.\d+)""),"""")
"),"")</f>
        <v/>
      </c>
      <c r="O1093" s="3" t="str">
        <f aca="false">IFERROR(__xludf.dummyfunction("if($T1093&lt;&gt;"""",REGEXEXTRACT($T1093, O$1&amp;""[\w &amp;]*, (\d+\.\d+)""),"""")
"),"")</f>
        <v/>
      </c>
      <c r="P1093" s="2"/>
      <c r="Q1093" s="2"/>
      <c r="R1093" s="2"/>
      <c r="S1093" s="2"/>
      <c r="T1093" s="5"/>
      <c r="U1093" s="5"/>
    </row>
    <row r="1094" customFormat="false" ht="15.75" hidden="false" customHeight="false" outlineLevel="0" collapsed="false">
      <c r="A1094" s="4"/>
      <c r="B1094" s="2"/>
      <c r="C1094" s="2"/>
      <c r="D1094" s="2"/>
      <c r="E1094" s="2"/>
      <c r="F1094" s="3" t="str">
        <f aca="false">IFERROR(__xludf.dummyfunction("if($T1094&lt;&gt;"""",REGEXEXTRACT(SUBSTITUTE ($T1094,F$1&amp;"" CE"",""""), F$1&amp;""[\w &amp;]*, (\d+\.\d+)""),"""")
"),"")</f>
        <v/>
      </c>
      <c r="G1094" s="3" t="str">
        <f aca="false">IFERROR(__xludf.dummyfunction("if($T1094&lt;&gt;"""",REGEXEXTRACT($T1094, G$1&amp;""[\w &amp;]*, (\d+\.\d+)""),"""")
"),"")</f>
        <v/>
      </c>
      <c r="H1094" s="3"/>
      <c r="I1094" s="3" t="str">
        <f aca="false">IFERROR(__xludf.dummyfunction("if($T1094&lt;&gt;"""",REGEXEXTRACT(SUBSTITUTE ($T1094,I$1&amp;"" CE"",""""), I$1&amp;""[\w &amp;]*, (\d+\.\d+)""),"""")
"),"")</f>
        <v/>
      </c>
      <c r="J1094" s="3" t="str">
        <f aca="false">IFERROR(__xludf.dummyfunction("if($T1094&lt;&gt;"""",REGEXEXTRACT($T1094, J$1&amp;""[\w &amp;]*, (\d+\.\d+)""),"""")
"),"")</f>
        <v/>
      </c>
      <c r="K1094" s="3"/>
      <c r="L1094" s="3" t="str">
        <f aca="false">IFERROR(__xludf.dummyfunction("if($T1094&lt;&gt;"""",REGEXEXTRACT(SUBSTITUTE ($T1094,L$1&amp;"" CE"",""""), L$1&amp;""[\w &amp;]*, (\d+\.\d+)""),"""")
"),"")</f>
        <v/>
      </c>
      <c r="M1094" s="3" t="str">
        <f aca="false">IFERROR(__xludf.dummyfunction("if($T1094&lt;&gt;"""",REGEXEXTRACT($T1094, M$1&amp;""[\w &amp;]*, (\d+\.\d+)""),"""")
"),"")</f>
        <v/>
      </c>
      <c r="N1094" s="3" t="str">
        <f aca="false">IFERROR(__xludf.dummyfunction("if($T1094&lt;&gt;"""",REGEXEXTRACT(SUBSTITUTE ($T1094,N$1&amp;"" CE"",""""), N$1&amp;""[\w &amp;]*, (\d+\.\d+)""),"""")
"),"")</f>
        <v/>
      </c>
      <c r="O1094" s="3" t="str">
        <f aca="false">IFERROR(__xludf.dummyfunction("if($T1094&lt;&gt;"""",REGEXEXTRACT($T1094, O$1&amp;""[\w &amp;]*, (\d+\.\d+)""),"""")
"),"")</f>
        <v/>
      </c>
      <c r="P1094" s="2"/>
      <c r="Q1094" s="2"/>
      <c r="R1094" s="2"/>
      <c r="S1094" s="2"/>
      <c r="T1094" s="5"/>
      <c r="U1094" s="5"/>
    </row>
    <row r="1095" customFormat="false" ht="15.75" hidden="false" customHeight="false" outlineLevel="0" collapsed="false">
      <c r="A1095" s="4"/>
      <c r="B1095" s="2"/>
      <c r="C1095" s="2"/>
      <c r="D1095" s="2"/>
      <c r="E1095" s="2"/>
      <c r="F1095" s="3" t="str">
        <f aca="false">IFERROR(__xludf.dummyfunction("if($T1095&lt;&gt;"""",REGEXEXTRACT(SUBSTITUTE ($T1095,F$1&amp;"" CE"",""""), F$1&amp;""[\w &amp;]*, (\d+\.\d+)""),"""")
"),"")</f>
        <v/>
      </c>
      <c r="G1095" s="3" t="str">
        <f aca="false">IFERROR(__xludf.dummyfunction("if($T1095&lt;&gt;"""",REGEXEXTRACT($T1095, G$1&amp;""[\w &amp;]*, (\d+\.\d+)""),"""")
"),"")</f>
        <v/>
      </c>
      <c r="H1095" s="3"/>
      <c r="I1095" s="3" t="str">
        <f aca="false">IFERROR(__xludf.dummyfunction("if($T1095&lt;&gt;"""",REGEXEXTRACT(SUBSTITUTE ($T1095,I$1&amp;"" CE"",""""), I$1&amp;""[\w &amp;]*, (\d+\.\d+)""),"""")
"),"")</f>
        <v/>
      </c>
      <c r="J1095" s="3" t="str">
        <f aca="false">IFERROR(__xludf.dummyfunction("if($T1095&lt;&gt;"""",REGEXEXTRACT($T1095, J$1&amp;""[\w &amp;]*, (\d+\.\d+)""),"""")
"),"")</f>
        <v/>
      </c>
      <c r="K1095" s="3"/>
      <c r="L1095" s="3" t="str">
        <f aca="false">IFERROR(__xludf.dummyfunction("if($T1095&lt;&gt;"""",REGEXEXTRACT(SUBSTITUTE ($T1095,L$1&amp;"" CE"",""""), L$1&amp;""[\w &amp;]*, (\d+\.\d+)""),"""")
"),"")</f>
        <v/>
      </c>
      <c r="M1095" s="3" t="str">
        <f aca="false">IFERROR(__xludf.dummyfunction("if($T1095&lt;&gt;"""",REGEXEXTRACT($T1095, M$1&amp;""[\w &amp;]*, (\d+\.\d+)""),"""")
"),"")</f>
        <v/>
      </c>
      <c r="N1095" s="3" t="str">
        <f aca="false">IFERROR(__xludf.dummyfunction("if($T1095&lt;&gt;"""",REGEXEXTRACT(SUBSTITUTE ($T1095,N$1&amp;"" CE"",""""), N$1&amp;""[\w &amp;]*, (\d+\.\d+)""),"""")
"),"")</f>
        <v/>
      </c>
      <c r="O1095" s="3" t="str">
        <f aca="false">IFERROR(__xludf.dummyfunction("if($T1095&lt;&gt;"""",REGEXEXTRACT($T1095, O$1&amp;""[\w &amp;]*, (\d+\.\d+)""),"""")
"),"")</f>
        <v/>
      </c>
      <c r="P1095" s="2"/>
      <c r="Q1095" s="2"/>
      <c r="R1095" s="2"/>
      <c r="S1095" s="2"/>
      <c r="T1095" s="5"/>
      <c r="U1095" s="5"/>
    </row>
    <row r="1096" customFormat="false" ht="15.75" hidden="false" customHeight="false" outlineLevel="0" collapsed="false">
      <c r="A1096" s="4"/>
      <c r="B1096" s="2"/>
      <c r="C1096" s="2"/>
      <c r="D1096" s="2"/>
      <c r="E1096" s="2"/>
      <c r="F1096" s="3" t="str">
        <f aca="false">IFERROR(__xludf.dummyfunction("if($T1096&lt;&gt;"""",REGEXEXTRACT(SUBSTITUTE ($T1096,F$1&amp;"" CE"",""""), F$1&amp;""[\w &amp;]*, (\d+\.\d+)""),"""")
"),"")</f>
        <v/>
      </c>
      <c r="G1096" s="3" t="str">
        <f aca="false">IFERROR(__xludf.dummyfunction("if($T1096&lt;&gt;"""",REGEXEXTRACT($T1096, G$1&amp;""[\w &amp;]*, (\d+\.\d+)""),"""")
"),"")</f>
        <v/>
      </c>
      <c r="H1096" s="3"/>
      <c r="I1096" s="3" t="str">
        <f aca="false">IFERROR(__xludf.dummyfunction("if($T1096&lt;&gt;"""",REGEXEXTRACT(SUBSTITUTE ($T1096,I$1&amp;"" CE"",""""), I$1&amp;""[\w &amp;]*, (\d+\.\d+)""),"""")
"),"")</f>
        <v/>
      </c>
      <c r="J1096" s="3" t="str">
        <f aca="false">IFERROR(__xludf.dummyfunction("if($T1096&lt;&gt;"""",REGEXEXTRACT($T1096, J$1&amp;""[\w &amp;]*, (\d+\.\d+)""),"""")
"),"")</f>
        <v/>
      </c>
      <c r="K1096" s="3"/>
      <c r="L1096" s="3" t="str">
        <f aca="false">IFERROR(__xludf.dummyfunction("if($T1096&lt;&gt;"""",REGEXEXTRACT(SUBSTITUTE ($T1096,L$1&amp;"" CE"",""""), L$1&amp;""[\w &amp;]*, (\d+\.\d+)""),"""")
"),"")</f>
        <v/>
      </c>
      <c r="M1096" s="3" t="str">
        <f aca="false">IFERROR(__xludf.dummyfunction("if($T1096&lt;&gt;"""",REGEXEXTRACT($T1096, M$1&amp;""[\w &amp;]*, (\d+\.\d+)""),"""")
"),"")</f>
        <v/>
      </c>
      <c r="N1096" s="3" t="str">
        <f aca="false">IFERROR(__xludf.dummyfunction("if($T1096&lt;&gt;"""",REGEXEXTRACT(SUBSTITUTE ($T1096,N$1&amp;"" CE"",""""), N$1&amp;""[\w &amp;]*, (\d+\.\d+)""),"""")
"),"")</f>
        <v/>
      </c>
      <c r="O1096" s="3" t="str">
        <f aca="false">IFERROR(__xludf.dummyfunction("if($T1096&lt;&gt;"""",REGEXEXTRACT($T1096, O$1&amp;""[\w &amp;]*, (\d+\.\d+)""),"""")
"),"")</f>
        <v/>
      </c>
      <c r="P1096" s="2"/>
      <c r="Q1096" s="2"/>
      <c r="R1096" s="2"/>
      <c r="S1096" s="2"/>
      <c r="T1096" s="5"/>
      <c r="U1096" s="5"/>
    </row>
    <row r="1097" customFormat="false" ht="15.75" hidden="false" customHeight="false" outlineLevel="0" collapsed="false">
      <c r="A1097" s="4"/>
      <c r="B1097" s="2"/>
      <c r="C1097" s="2"/>
      <c r="D1097" s="2"/>
      <c r="E1097" s="2"/>
      <c r="F1097" s="3" t="str">
        <f aca="false">IFERROR(__xludf.dummyfunction("if($T1097&lt;&gt;"""",REGEXEXTRACT(SUBSTITUTE ($T1097,F$1&amp;"" CE"",""""), F$1&amp;""[\w &amp;]*, (\d+\.\d+)""),"""")
"),"")</f>
        <v/>
      </c>
      <c r="G1097" s="3" t="str">
        <f aca="false">IFERROR(__xludf.dummyfunction("if($T1097&lt;&gt;"""",REGEXEXTRACT($T1097, G$1&amp;""[\w &amp;]*, (\d+\.\d+)""),"""")
"),"")</f>
        <v/>
      </c>
      <c r="H1097" s="3"/>
      <c r="I1097" s="3" t="str">
        <f aca="false">IFERROR(__xludf.dummyfunction("if($T1097&lt;&gt;"""",REGEXEXTRACT(SUBSTITUTE ($T1097,I$1&amp;"" CE"",""""), I$1&amp;""[\w &amp;]*, (\d+\.\d+)""),"""")
"),"")</f>
        <v/>
      </c>
      <c r="J1097" s="3" t="str">
        <f aca="false">IFERROR(__xludf.dummyfunction("if($T1097&lt;&gt;"""",REGEXEXTRACT($T1097, J$1&amp;""[\w &amp;]*, (\d+\.\d+)""),"""")
"),"")</f>
        <v/>
      </c>
      <c r="K1097" s="3"/>
      <c r="L1097" s="3" t="str">
        <f aca="false">IFERROR(__xludf.dummyfunction("if($T1097&lt;&gt;"""",REGEXEXTRACT(SUBSTITUTE ($T1097,L$1&amp;"" CE"",""""), L$1&amp;""[\w &amp;]*, (\d+\.\d+)""),"""")
"),"")</f>
        <v/>
      </c>
      <c r="M1097" s="3" t="str">
        <f aca="false">IFERROR(__xludf.dummyfunction("if($T1097&lt;&gt;"""",REGEXEXTRACT($T1097, M$1&amp;""[\w &amp;]*, (\d+\.\d+)""),"""")
"),"")</f>
        <v/>
      </c>
      <c r="N1097" s="3" t="str">
        <f aca="false">IFERROR(__xludf.dummyfunction("if($T1097&lt;&gt;"""",REGEXEXTRACT(SUBSTITUTE ($T1097,N$1&amp;"" CE"",""""), N$1&amp;""[\w &amp;]*, (\d+\.\d+)""),"""")
"),"")</f>
        <v/>
      </c>
      <c r="O1097" s="3" t="str">
        <f aca="false">IFERROR(__xludf.dummyfunction("if($T1097&lt;&gt;"""",REGEXEXTRACT($T1097, O$1&amp;""[\w &amp;]*, (\d+\.\d+)""),"""")
"),"")</f>
        <v/>
      </c>
      <c r="P1097" s="2"/>
      <c r="Q1097" s="2"/>
      <c r="R1097" s="2"/>
      <c r="S1097" s="2"/>
      <c r="T1097" s="5"/>
      <c r="U1097" s="5"/>
    </row>
    <row r="1098" customFormat="false" ht="15.75" hidden="false" customHeight="false" outlineLevel="0" collapsed="false">
      <c r="A1098" s="4"/>
      <c r="B1098" s="2"/>
      <c r="C1098" s="2"/>
      <c r="D1098" s="2"/>
      <c r="E1098" s="2"/>
      <c r="F1098" s="3" t="str">
        <f aca="false">IFERROR(__xludf.dummyfunction("if($T1098&lt;&gt;"""",REGEXEXTRACT(SUBSTITUTE ($T1098,F$1&amp;"" CE"",""""), F$1&amp;""[\w &amp;]*, (\d+\.\d+)""),"""")
"),"")</f>
        <v/>
      </c>
      <c r="G1098" s="3" t="str">
        <f aca="false">IFERROR(__xludf.dummyfunction("if($T1098&lt;&gt;"""",REGEXEXTRACT($T1098, G$1&amp;""[\w &amp;]*, (\d+\.\d+)""),"""")
"),"")</f>
        <v/>
      </c>
      <c r="H1098" s="3"/>
      <c r="I1098" s="3" t="str">
        <f aca="false">IFERROR(__xludf.dummyfunction("if($T1098&lt;&gt;"""",REGEXEXTRACT(SUBSTITUTE ($T1098,I$1&amp;"" CE"",""""), I$1&amp;""[\w &amp;]*, (\d+\.\d+)""),"""")
"),"")</f>
        <v/>
      </c>
      <c r="J1098" s="3" t="str">
        <f aca="false">IFERROR(__xludf.dummyfunction("if($T1098&lt;&gt;"""",REGEXEXTRACT($T1098, J$1&amp;""[\w &amp;]*, (\d+\.\d+)""),"""")
"),"")</f>
        <v/>
      </c>
      <c r="K1098" s="3"/>
      <c r="L1098" s="3" t="str">
        <f aca="false">IFERROR(__xludf.dummyfunction("if($T1098&lt;&gt;"""",REGEXEXTRACT(SUBSTITUTE ($T1098,L$1&amp;"" CE"",""""), L$1&amp;""[\w &amp;]*, (\d+\.\d+)""),"""")
"),"")</f>
        <v/>
      </c>
      <c r="M1098" s="3" t="str">
        <f aca="false">IFERROR(__xludf.dummyfunction("if($T1098&lt;&gt;"""",REGEXEXTRACT($T1098, M$1&amp;""[\w &amp;]*, (\d+\.\d+)""),"""")
"),"")</f>
        <v/>
      </c>
      <c r="N1098" s="3" t="str">
        <f aca="false">IFERROR(__xludf.dummyfunction("if($T1098&lt;&gt;"""",REGEXEXTRACT(SUBSTITUTE ($T1098,N$1&amp;"" CE"",""""), N$1&amp;""[\w &amp;]*, (\d+\.\d+)""),"""")
"),"")</f>
        <v/>
      </c>
      <c r="O1098" s="3" t="str">
        <f aca="false">IFERROR(__xludf.dummyfunction("if($T1098&lt;&gt;"""",REGEXEXTRACT($T1098, O$1&amp;""[\w &amp;]*, (\d+\.\d+)""),"""")
"),"")</f>
        <v/>
      </c>
      <c r="P1098" s="2"/>
      <c r="Q1098" s="2"/>
      <c r="R1098" s="2"/>
      <c r="S1098" s="2"/>
      <c r="T1098" s="5"/>
      <c r="U1098" s="5"/>
    </row>
    <row r="1099" customFormat="false" ht="15.75" hidden="false" customHeight="false" outlineLevel="0" collapsed="false">
      <c r="A1099" s="4"/>
      <c r="B1099" s="2"/>
      <c r="C1099" s="2"/>
      <c r="D1099" s="2"/>
      <c r="E1099" s="2"/>
      <c r="F1099" s="3" t="str">
        <f aca="false">IFERROR(__xludf.dummyfunction("if($T1099&lt;&gt;"""",REGEXEXTRACT(SUBSTITUTE ($T1099,F$1&amp;"" CE"",""""), F$1&amp;""[\w &amp;]*, (\d+\.\d+)""),"""")
"),"")</f>
        <v/>
      </c>
      <c r="G1099" s="3" t="str">
        <f aca="false">IFERROR(__xludf.dummyfunction("if($T1099&lt;&gt;"""",REGEXEXTRACT($T1099, G$1&amp;""[\w &amp;]*, (\d+\.\d+)""),"""")
"),"")</f>
        <v/>
      </c>
      <c r="H1099" s="3"/>
      <c r="I1099" s="3" t="str">
        <f aca="false">IFERROR(__xludf.dummyfunction("if($T1099&lt;&gt;"""",REGEXEXTRACT(SUBSTITUTE ($T1099,I$1&amp;"" CE"",""""), I$1&amp;""[\w &amp;]*, (\d+\.\d+)""),"""")
"),"")</f>
        <v/>
      </c>
      <c r="J1099" s="3" t="str">
        <f aca="false">IFERROR(__xludf.dummyfunction("if($T1099&lt;&gt;"""",REGEXEXTRACT($T1099, J$1&amp;""[\w &amp;]*, (\d+\.\d+)""),"""")
"),"")</f>
        <v/>
      </c>
      <c r="K1099" s="3"/>
      <c r="L1099" s="3" t="str">
        <f aca="false">IFERROR(__xludf.dummyfunction("if($T1099&lt;&gt;"""",REGEXEXTRACT(SUBSTITUTE ($T1099,L$1&amp;"" CE"",""""), L$1&amp;""[\w &amp;]*, (\d+\.\d+)""),"""")
"),"")</f>
        <v/>
      </c>
      <c r="M1099" s="3" t="str">
        <f aca="false">IFERROR(__xludf.dummyfunction("if($T1099&lt;&gt;"""",REGEXEXTRACT($T1099, M$1&amp;""[\w &amp;]*, (\d+\.\d+)""),"""")
"),"")</f>
        <v/>
      </c>
      <c r="N1099" s="3" t="str">
        <f aca="false">IFERROR(__xludf.dummyfunction("if($T1099&lt;&gt;"""",REGEXEXTRACT(SUBSTITUTE ($T1099,N$1&amp;"" CE"",""""), N$1&amp;""[\w &amp;]*, (\d+\.\d+)""),"""")
"),"")</f>
        <v/>
      </c>
      <c r="O1099" s="3" t="str">
        <f aca="false">IFERROR(__xludf.dummyfunction("if($T1099&lt;&gt;"""",REGEXEXTRACT($T1099, O$1&amp;""[\w &amp;]*, (\d+\.\d+)""),"""")
"),"")</f>
        <v/>
      </c>
      <c r="P1099" s="2"/>
      <c r="Q1099" s="2"/>
      <c r="R1099" s="2"/>
      <c r="S1099" s="2"/>
      <c r="T1099" s="5"/>
      <c r="U1099" s="5"/>
    </row>
    <row r="1100" customFormat="false" ht="15.75" hidden="false" customHeight="false" outlineLevel="0" collapsed="false">
      <c r="A1100" s="4"/>
      <c r="B1100" s="2"/>
      <c r="C1100" s="2"/>
      <c r="D1100" s="2"/>
      <c r="E1100" s="2"/>
      <c r="F1100" s="3" t="str">
        <f aca="false">IFERROR(__xludf.dummyfunction("if($T1100&lt;&gt;"""",REGEXEXTRACT(SUBSTITUTE ($T1100,F$1&amp;"" CE"",""""), F$1&amp;""[\w &amp;]*, (\d+\.\d+)""),"""")
"),"")</f>
        <v/>
      </c>
      <c r="G1100" s="3" t="str">
        <f aca="false">IFERROR(__xludf.dummyfunction("if($T1100&lt;&gt;"""",REGEXEXTRACT($T1100, G$1&amp;""[\w &amp;]*, (\d+\.\d+)""),"""")
"),"")</f>
        <v/>
      </c>
      <c r="H1100" s="3"/>
      <c r="I1100" s="3" t="str">
        <f aca="false">IFERROR(__xludf.dummyfunction("if($T1100&lt;&gt;"""",REGEXEXTRACT(SUBSTITUTE ($T1100,I$1&amp;"" CE"",""""), I$1&amp;""[\w &amp;]*, (\d+\.\d+)""),"""")
"),"")</f>
        <v/>
      </c>
      <c r="J1100" s="3" t="str">
        <f aca="false">IFERROR(__xludf.dummyfunction("if($T1100&lt;&gt;"""",REGEXEXTRACT($T1100, J$1&amp;""[\w &amp;]*, (\d+\.\d+)""),"""")
"),"")</f>
        <v/>
      </c>
      <c r="K1100" s="3"/>
      <c r="L1100" s="3" t="str">
        <f aca="false">IFERROR(__xludf.dummyfunction("if($T1100&lt;&gt;"""",REGEXEXTRACT(SUBSTITUTE ($T1100,L$1&amp;"" CE"",""""), L$1&amp;""[\w &amp;]*, (\d+\.\d+)""),"""")
"),"")</f>
        <v/>
      </c>
      <c r="M1100" s="3" t="str">
        <f aca="false">IFERROR(__xludf.dummyfunction("if($T1100&lt;&gt;"""",REGEXEXTRACT($T1100, M$1&amp;""[\w &amp;]*, (\d+\.\d+)""),"""")
"),"")</f>
        <v/>
      </c>
      <c r="N1100" s="3" t="str">
        <f aca="false">IFERROR(__xludf.dummyfunction("if($T1100&lt;&gt;"""",REGEXEXTRACT(SUBSTITUTE ($T1100,N$1&amp;"" CE"",""""), N$1&amp;""[\w &amp;]*, (\d+\.\d+)""),"""")
"),"")</f>
        <v/>
      </c>
      <c r="O1100" s="3" t="str">
        <f aca="false">IFERROR(__xludf.dummyfunction("if($T1100&lt;&gt;"""",REGEXEXTRACT($T1100, O$1&amp;""[\w &amp;]*, (\d+\.\d+)""),"""")
"),"")</f>
        <v/>
      </c>
      <c r="P1100" s="2"/>
      <c r="Q1100" s="2"/>
      <c r="R1100" s="2"/>
      <c r="S1100" s="2"/>
      <c r="T1100" s="5"/>
      <c r="U1100" s="5"/>
    </row>
    <row r="1101" customFormat="false" ht="15.75" hidden="false" customHeight="false" outlineLevel="0" collapsed="false">
      <c r="A1101" s="4"/>
      <c r="B1101" s="2"/>
      <c r="C1101" s="2"/>
      <c r="D1101" s="2"/>
      <c r="E1101" s="2"/>
      <c r="F1101" s="3" t="str">
        <f aca="false">IFERROR(__xludf.dummyfunction("if($T1101&lt;&gt;"""",REGEXEXTRACT(SUBSTITUTE ($T1101,F$1&amp;"" CE"",""""), F$1&amp;""[\w &amp;]*, (\d+\.\d+)""),"""")
"),"")</f>
        <v/>
      </c>
      <c r="G1101" s="3" t="str">
        <f aca="false">IFERROR(__xludf.dummyfunction("if($T1101&lt;&gt;"""",REGEXEXTRACT($T1101, G$1&amp;""[\w &amp;]*, (\d+\.\d+)""),"""")
"),"")</f>
        <v/>
      </c>
      <c r="H1101" s="3"/>
      <c r="I1101" s="3" t="str">
        <f aca="false">IFERROR(__xludf.dummyfunction("if($T1101&lt;&gt;"""",REGEXEXTRACT(SUBSTITUTE ($T1101,I$1&amp;"" CE"",""""), I$1&amp;""[\w &amp;]*, (\d+\.\d+)""),"""")
"),"")</f>
        <v/>
      </c>
      <c r="J1101" s="3" t="str">
        <f aca="false">IFERROR(__xludf.dummyfunction("if($T1101&lt;&gt;"""",REGEXEXTRACT($T1101, J$1&amp;""[\w &amp;]*, (\d+\.\d+)""),"""")
"),"")</f>
        <v/>
      </c>
      <c r="K1101" s="3"/>
      <c r="L1101" s="3" t="str">
        <f aca="false">IFERROR(__xludf.dummyfunction("if($T1101&lt;&gt;"""",REGEXEXTRACT(SUBSTITUTE ($T1101,L$1&amp;"" CE"",""""), L$1&amp;""[\w &amp;]*, (\d+\.\d+)""),"""")
"),"")</f>
        <v/>
      </c>
      <c r="M1101" s="3" t="str">
        <f aca="false">IFERROR(__xludf.dummyfunction("if($T1101&lt;&gt;"""",REGEXEXTRACT($T1101, M$1&amp;""[\w &amp;]*, (\d+\.\d+)""),"""")
"),"")</f>
        <v/>
      </c>
      <c r="N1101" s="3" t="str">
        <f aca="false">IFERROR(__xludf.dummyfunction("if($T1101&lt;&gt;"""",REGEXEXTRACT(SUBSTITUTE ($T1101,N$1&amp;"" CE"",""""), N$1&amp;""[\w &amp;]*, (\d+\.\d+)""),"""")
"),"")</f>
        <v/>
      </c>
      <c r="O1101" s="3" t="str">
        <f aca="false">IFERROR(__xludf.dummyfunction("if($T1101&lt;&gt;"""",REGEXEXTRACT($T1101, O$1&amp;""[\w &amp;]*, (\d+\.\d+)""),"""")
"),"")</f>
        <v/>
      </c>
      <c r="P1101" s="2"/>
      <c r="Q1101" s="2"/>
      <c r="R1101" s="2"/>
      <c r="S1101" s="2"/>
      <c r="T1101" s="5"/>
      <c r="U1101" s="5"/>
    </row>
    <row r="1102" customFormat="false" ht="15.75" hidden="false" customHeight="false" outlineLevel="0" collapsed="false">
      <c r="A1102" s="4"/>
      <c r="B1102" s="2"/>
      <c r="C1102" s="2"/>
      <c r="D1102" s="2"/>
      <c r="E1102" s="2"/>
      <c r="F1102" s="3" t="str">
        <f aca="false">IFERROR(__xludf.dummyfunction("if($T1102&lt;&gt;"""",REGEXEXTRACT(SUBSTITUTE ($T1102,F$1&amp;"" CE"",""""), F$1&amp;""[\w &amp;]*, (\d+\.\d+)""),"""")
"),"")</f>
        <v/>
      </c>
      <c r="G1102" s="3" t="str">
        <f aca="false">IFERROR(__xludf.dummyfunction("if($T1102&lt;&gt;"""",REGEXEXTRACT($T1102, G$1&amp;""[\w &amp;]*, (\d+\.\d+)""),"""")
"),"")</f>
        <v/>
      </c>
      <c r="H1102" s="3"/>
      <c r="I1102" s="3" t="str">
        <f aca="false">IFERROR(__xludf.dummyfunction("if($T1102&lt;&gt;"""",REGEXEXTRACT(SUBSTITUTE ($T1102,I$1&amp;"" CE"",""""), I$1&amp;""[\w &amp;]*, (\d+\.\d+)""),"""")
"),"")</f>
        <v/>
      </c>
      <c r="J1102" s="3" t="str">
        <f aca="false">IFERROR(__xludf.dummyfunction("if($T1102&lt;&gt;"""",REGEXEXTRACT($T1102, J$1&amp;""[\w &amp;]*, (\d+\.\d+)""),"""")
"),"")</f>
        <v/>
      </c>
      <c r="K1102" s="3"/>
      <c r="L1102" s="3" t="str">
        <f aca="false">IFERROR(__xludf.dummyfunction("if($T1102&lt;&gt;"""",REGEXEXTRACT(SUBSTITUTE ($T1102,L$1&amp;"" CE"",""""), L$1&amp;""[\w &amp;]*, (\d+\.\d+)""),"""")
"),"")</f>
        <v/>
      </c>
      <c r="M1102" s="3" t="str">
        <f aca="false">IFERROR(__xludf.dummyfunction("if($T1102&lt;&gt;"""",REGEXEXTRACT($T1102, M$1&amp;""[\w &amp;]*, (\d+\.\d+)""),"""")
"),"")</f>
        <v/>
      </c>
      <c r="N1102" s="3" t="str">
        <f aca="false">IFERROR(__xludf.dummyfunction("if($T1102&lt;&gt;"""",REGEXEXTRACT(SUBSTITUTE ($T1102,N$1&amp;"" CE"",""""), N$1&amp;""[\w &amp;]*, (\d+\.\d+)""),"""")
"),"")</f>
        <v/>
      </c>
      <c r="O1102" s="3" t="str">
        <f aca="false">IFERROR(__xludf.dummyfunction("if($T1102&lt;&gt;"""",REGEXEXTRACT($T1102, O$1&amp;""[\w &amp;]*, (\d+\.\d+)""),"""")
"),"")</f>
        <v/>
      </c>
      <c r="P1102" s="2"/>
      <c r="Q1102" s="2"/>
      <c r="R1102" s="2"/>
      <c r="S1102" s="2"/>
      <c r="T1102" s="5"/>
      <c r="U1102" s="5"/>
    </row>
    <row r="1103" customFormat="false" ht="15.75" hidden="false" customHeight="false" outlineLevel="0" collapsed="false">
      <c r="A1103" s="4"/>
      <c r="B1103" s="2"/>
      <c r="C1103" s="2"/>
      <c r="D1103" s="2"/>
      <c r="E1103" s="2"/>
      <c r="F1103" s="3" t="str">
        <f aca="false">IFERROR(__xludf.dummyfunction("if($T1103&lt;&gt;"""",REGEXEXTRACT(SUBSTITUTE ($T1103,F$1&amp;"" CE"",""""), F$1&amp;""[\w &amp;]*, (\d+\.\d+)""),"""")
"),"")</f>
        <v/>
      </c>
      <c r="G1103" s="3" t="str">
        <f aca="false">IFERROR(__xludf.dummyfunction("if($T1103&lt;&gt;"""",REGEXEXTRACT($T1103, G$1&amp;""[\w &amp;]*, (\d+\.\d+)""),"""")
"),"")</f>
        <v/>
      </c>
      <c r="H1103" s="3"/>
      <c r="I1103" s="3" t="str">
        <f aca="false">IFERROR(__xludf.dummyfunction("if($T1103&lt;&gt;"""",REGEXEXTRACT(SUBSTITUTE ($T1103,I$1&amp;"" CE"",""""), I$1&amp;""[\w &amp;]*, (\d+\.\d+)""),"""")
"),"")</f>
        <v/>
      </c>
      <c r="J1103" s="3" t="str">
        <f aca="false">IFERROR(__xludf.dummyfunction("if($T1103&lt;&gt;"""",REGEXEXTRACT($T1103, J$1&amp;""[\w &amp;]*, (\d+\.\d+)""),"""")
"),"")</f>
        <v/>
      </c>
      <c r="K1103" s="3"/>
      <c r="L1103" s="3" t="str">
        <f aca="false">IFERROR(__xludf.dummyfunction("if($T1103&lt;&gt;"""",REGEXEXTRACT(SUBSTITUTE ($T1103,L$1&amp;"" CE"",""""), L$1&amp;""[\w &amp;]*, (\d+\.\d+)""),"""")
"),"")</f>
        <v/>
      </c>
      <c r="M1103" s="3" t="str">
        <f aca="false">IFERROR(__xludf.dummyfunction("if($T1103&lt;&gt;"""",REGEXEXTRACT($T1103, M$1&amp;""[\w &amp;]*, (\d+\.\d+)""),"""")
"),"")</f>
        <v/>
      </c>
      <c r="N1103" s="3" t="str">
        <f aca="false">IFERROR(__xludf.dummyfunction("if($T1103&lt;&gt;"""",REGEXEXTRACT(SUBSTITUTE ($T1103,N$1&amp;"" CE"",""""), N$1&amp;""[\w &amp;]*, (\d+\.\d+)""),"""")
"),"")</f>
        <v/>
      </c>
      <c r="O1103" s="3" t="str">
        <f aca="false">IFERROR(__xludf.dummyfunction("if($T1103&lt;&gt;"""",REGEXEXTRACT($T1103, O$1&amp;""[\w &amp;]*, (\d+\.\d+)""),"""")
"),"")</f>
        <v/>
      </c>
      <c r="P1103" s="2"/>
      <c r="Q1103" s="2"/>
      <c r="R1103" s="2"/>
      <c r="S1103" s="2"/>
      <c r="T1103" s="5"/>
      <c r="U1103" s="5"/>
    </row>
    <row r="1104" customFormat="false" ht="15.75" hidden="false" customHeight="false" outlineLevel="0" collapsed="false">
      <c r="A1104" s="4"/>
      <c r="B1104" s="2"/>
      <c r="C1104" s="2"/>
      <c r="D1104" s="2"/>
      <c r="E1104" s="2"/>
      <c r="F1104" s="3" t="str">
        <f aca="false">IFERROR(__xludf.dummyfunction("if($T1104&lt;&gt;"""",REGEXEXTRACT(SUBSTITUTE ($T1104,F$1&amp;"" CE"",""""), F$1&amp;""[\w &amp;]*, (\d+\.\d+)""),"""")
"),"")</f>
        <v/>
      </c>
      <c r="G1104" s="3" t="str">
        <f aca="false">IFERROR(__xludf.dummyfunction("if($T1104&lt;&gt;"""",REGEXEXTRACT($T1104, G$1&amp;""[\w &amp;]*, (\d+\.\d+)""),"""")
"),"")</f>
        <v/>
      </c>
      <c r="H1104" s="3"/>
      <c r="I1104" s="3" t="str">
        <f aca="false">IFERROR(__xludf.dummyfunction("if($T1104&lt;&gt;"""",REGEXEXTRACT(SUBSTITUTE ($T1104,I$1&amp;"" CE"",""""), I$1&amp;""[\w &amp;]*, (\d+\.\d+)""),"""")
"),"")</f>
        <v/>
      </c>
      <c r="J1104" s="3" t="str">
        <f aca="false">IFERROR(__xludf.dummyfunction("if($T1104&lt;&gt;"""",REGEXEXTRACT($T1104, J$1&amp;""[\w &amp;]*, (\d+\.\d+)""),"""")
"),"")</f>
        <v/>
      </c>
      <c r="K1104" s="3"/>
      <c r="L1104" s="3" t="str">
        <f aca="false">IFERROR(__xludf.dummyfunction("if($T1104&lt;&gt;"""",REGEXEXTRACT(SUBSTITUTE ($T1104,L$1&amp;"" CE"",""""), L$1&amp;""[\w &amp;]*, (\d+\.\d+)""),"""")
"),"")</f>
        <v/>
      </c>
      <c r="M1104" s="3" t="str">
        <f aca="false">IFERROR(__xludf.dummyfunction("if($T1104&lt;&gt;"""",REGEXEXTRACT($T1104, M$1&amp;""[\w &amp;]*, (\d+\.\d+)""),"""")
"),"")</f>
        <v/>
      </c>
      <c r="N1104" s="3" t="str">
        <f aca="false">IFERROR(__xludf.dummyfunction("if($T1104&lt;&gt;"""",REGEXEXTRACT(SUBSTITUTE ($T1104,N$1&amp;"" CE"",""""), N$1&amp;""[\w &amp;]*, (\d+\.\d+)""),"""")
"),"")</f>
        <v/>
      </c>
      <c r="O1104" s="3" t="str">
        <f aca="false">IFERROR(__xludf.dummyfunction("if($T1104&lt;&gt;"""",REGEXEXTRACT($T1104, O$1&amp;""[\w &amp;]*, (\d+\.\d+)""),"""")
"),"")</f>
        <v/>
      </c>
      <c r="P1104" s="2"/>
      <c r="Q1104" s="2"/>
      <c r="R1104" s="2"/>
      <c r="S1104" s="2"/>
      <c r="T1104" s="5"/>
      <c r="U1104" s="5"/>
    </row>
    <row r="1105" customFormat="false" ht="15.75" hidden="false" customHeight="false" outlineLevel="0" collapsed="false">
      <c r="A1105" s="4"/>
      <c r="B1105" s="2"/>
      <c r="C1105" s="2"/>
      <c r="D1105" s="2"/>
      <c r="E1105" s="2"/>
      <c r="F1105" s="3" t="str">
        <f aca="false">IFERROR(__xludf.dummyfunction("if($T1105&lt;&gt;"""",REGEXEXTRACT(SUBSTITUTE ($T1105,F$1&amp;"" CE"",""""), F$1&amp;""[\w &amp;]*, (\d+\.\d+)""),"""")
"),"")</f>
        <v/>
      </c>
      <c r="G1105" s="3" t="str">
        <f aca="false">IFERROR(__xludf.dummyfunction("if($T1105&lt;&gt;"""",REGEXEXTRACT($T1105, G$1&amp;""[\w &amp;]*, (\d+\.\d+)""),"""")
"),"")</f>
        <v/>
      </c>
      <c r="H1105" s="3"/>
      <c r="I1105" s="3" t="str">
        <f aca="false">IFERROR(__xludf.dummyfunction("if($T1105&lt;&gt;"""",REGEXEXTRACT(SUBSTITUTE ($T1105,I$1&amp;"" CE"",""""), I$1&amp;""[\w &amp;]*, (\d+\.\d+)""),"""")
"),"")</f>
        <v/>
      </c>
      <c r="J1105" s="3" t="str">
        <f aca="false">IFERROR(__xludf.dummyfunction("if($T1105&lt;&gt;"""",REGEXEXTRACT($T1105, J$1&amp;""[\w &amp;]*, (\d+\.\d+)""),"""")
"),"")</f>
        <v/>
      </c>
      <c r="K1105" s="3"/>
      <c r="L1105" s="3" t="str">
        <f aca="false">IFERROR(__xludf.dummyfunction("if($T1105&lt;&gt;"""",REGEXEXTRACT(SUBSTITUTE ($T1105,L$1&amp;"" CE"",""""), L$1&amp;""[\w &amp;]*, (\d+\.\d+)""),"""")
"),"")</f>
        <v/>
      </c>
      <c r="M1105" s="3" t="str">
        <f aca="false">IFERROR(__xludf.dummyfunction("if($T1105&lt;&gt;"""",REGEXEXTRACT($T1105, M$1&amp;""[\w &amp;]*, (\d+\.\d+)""),"""")
"),"")</f>
        <v/>
      </c>
      <c r="N1105" s="3" t="str">
        <f aca="false">IFERROR(__xludf.dummyfunction("if($T1105&lt;&gt;"""",REGEXEXTRACT(SUBSTITUTE ($T1105,N$1&amp;"" CE"",""""), N$1&amp;""[\w &amp;]*, (\d+\.\d+)""),"""")
"),"")</f>
        <v/>
      </c>
      <c r="O1105" s="3" t="str">
        <f aca="false">IFERROR(__xludf.dummyfunction("if($T1105&lt;&gt;"""",REGEXEXTRACT($T1105, O$1&amp;""[\w &amp;]*, (\d+\.\d+)""),"""")
"),"")</f>
        <v/>
      </c>
      <c r="P1105" s="2"/>
      <c r="Q1105" s="2"/>
      <c r="R1105" s="2"/>
      <c r="S1105" s="2"/>
      <c r="T1105" s="5"/>
      <c r="U1105" s="5"/>
    </row>
    <row r="1106" customFormat="false" ht="15.75" hidden="false" customHeight="false" outlineLevel="0" collapsed="false">
      <c r="A1106" s="4"/>
      <c r="B1106" s="2"/>
      <c r="C1106" s="2"/>
      <c r="D1106" s="2"/>
      <c r="E1106" s="2"/>
      <c r="F1106" s="3" t="str">
        <f aca="false">IFERROR(__xludf.dummyfunction("if($T1106&lt;&gt;"""",REGEXEXTRACT(SUBSTITUTE ($T1106,F$1&amp;"" CE"",""""), F$1&amp;""[\w &amp;]*, (\d+\.\d+)""),"""")
"),"")</f>
        <v/>
      </c>
      <c r="G1106" s="3" t="str">
        <f aca="false">IFERROR(__xludf.dummyfunction("if($T1106&lt;&gt;"""",REGEXEXTRACT($T1106, G$1&amp;""[\w &amp;]*, (\d+\.\d+)""),"""")
"),"")</f>
        <v/>
      </c>
      <c r="H1106" s="3"/>
      <c r="I1106" s="3" t="str">
        <f aca="false">IFERROR(__xludf.dummyfunction("if($T1106&lt;&gt;"""",REGEXEXTRACT(SUBSTITUTE ($T1106,I$1&amp;"" CE"",""""), I$1&amp;""[\w &amp;]*, (\d+\.\d+)""),"""")
"),"")</f>
        <v/>
      </c>
      <c r="J1106" s="3" t="str">
        <f aca="false">IFERROR(__xludf.dummyfunction("if($T1106&lt;&gt;"""",REGEXEXTRACT($T1106, J$1&amp;""[\w &amp;]*, (\d+\.\d+)""),"""")
"),"")</f>
        <v/>
      </c>
      <c r="K1106" s="3"/>
      <c r="L1106" s="3" t="str">
        <f aca="false">IFERROR(__xludf.dummyfunction("if($T1106&lt;&gt;"""",REGEXEXTRACT(SUBSTITUTE ($T1106,L$1&amp;"" CE"",""""), L$1&amp;""[\w &amp;]*, (\d+\.\d+)""),"""")
"),"")</f>
        <v/>
      </c>
      <c r="M1106" s="3" t="str">
        <f aca="false">IFERROR(__xludf.dummyfunction("if($T1106&lt;&gt;"""",REGEXEXTRACT($T1106, M$1&amp;""[\w &amp;]*, (\d+\.\d+)""),"""")
"),"")</f>
        <v/>
      </c>
      <c r="N1106" s="3" t="str">
        <f aca="false">IFERROR(__xludf.dummyfunction("if($T1106&lt;&gt;"""",REGEXEXTRACT(SUBSTITUTE ($T1106,N$1&amp;"" CE"",""""), N$1&amp;""[\w &amp;]*, (\d+\.\d+)""),"""")
"),"")</f>
        <v/>
      </c>
      <c r="O1106" s="3" t="str">
        <f aca="false">IFERROR(__xludf.dummyfunction("if($T1106&lt;&gt;"""",REGEXEXTRACT($T1106, O$1&amp;""[\w &amp;]*, (\d+\.\d+)""),"""")
"),"")</f>
        <v/>
      </c>
      <c r="P1106" s="2"/>
      <c r="Q1106" s="2"/>
      <c r="R1106" s="2"/>
      <c r="S1106" s="2"/>
      <c r="T1106" s="5"/>
      <c r="U1106" s="5"/>
    </row>
    <row r="1107" customFormat="false" ht="15.75" hidden="false" customHeight="false" outlineLevel="0" collapsed="false">
      <c r="A1107" s="4"/>
      <c r="B1107" s="2"/>
      <c r="C1107" s="2"/>
      <c r="D1107" s="2"/>
      <c r="E1107" s="2"/>
      <c r="F1107" s="3" t="str">
        <f aca="false">IFERROR(__xludf.dummyfunction("if($T1107&lt;&gt;"""",REGEXEXTRACT(SUBSTITUTE ($T1107,F$1&amp;"" CE"",""""), F$1&amp;""[\w &amp;]*, (\d+\.\d+)""),"""")
"),"")</f>
        <v/>
      </c>
      <c r="G1107" s="3" t="str">
        <f aca="false">IFERROR(__xludf.dummyfunction("if($T1107&lt;&gt;"""",REGEXEXTRACT($T1107, G$1&amp;""[\w &amp;]*, (\d+\.\d+)""),"""")
"),"")</f>
        <v/>
      </c>
      <c r="H1107" s="3"/>
      <c r="I1107" s="3" t="str">
        <f aca="false">IFERROR(__xludf.dummyfunction("if($T1107&lt;&gt;"""",REGEXEXTRACT(SUBSTITUTE ($T1107,I$1&amp;"" CE"",""""), I$1&amp;""[\w &amp;]*, (\d+\.\d+)""),"""")
"),"")</f>
        <v/>
      </c>
      <c r="J1107" s="3" t="str">
        <f aca="false">IFERROR(__xludf.dummyfunction("if($T1107&lt;&gt;"""",REGEXEXTRACT($T1107, J$1&amp;""[\w &amp;]*, (\d+\.\d+)""),"""")
"),"")</f>
        <v/>
      </c>
      <c r="K1107" s="3"/>
      <c r="L1107" s="3" t="str">
        <f aca="false">IFERROR(__xludf.dummyfunction("if($T1107&lt;&gt;"""",REGEXEXTRACT(SUBSTITUTE ($T1107,L$1&amp;"" CE"",""""), L$1&amp;""[\w &amp;]*, (\d+\.\d+)""),"""")
"),"")</f>
        <v/>
      </c>
      <c r="M1107" s="3" t="str">
        <f aca="false">IFERROR(__xludf.dummyfunction("if($T1107&lt;&gt;"""",REGEXEXTRACT($T1107, M$1&amp;""[\w &amp;]*, (\d+\.\d+)""),"""")
"),"")</f>
        <v/>
      </c>
      <c r="N1107" s="3" t="str">
        <f aca="false">IFERROR(__xludf.dummyfunction("if($T1107&lt;&gt;"""",REGEXEXTRACT(SUBSTITUTE ($T1107,N$1&amp;"" CE"",""""), N$1&amp;""[\w &amp;]*, (\d+\.\d+)""),"""")
"),"")</f>
        <v/>
      </c>
      <c r="O1107" s="3" t="str">
        <f aca="false">IFERROR(__xludf.dummyfunction("if($T1107&lt;&gt;"""",REGEXEXTRACT($T1107, O$1&amp;""[\w &amp;]*, (\d+\.\d+)""),"""")
"),"")</f>
        <v/>
      </c>
      <c r="P1107" s="2"/>
      <c r="Q1107" s="2"/>
      <c r="R1107" s="2"/>
      <c r="S1107" s="2"/>
      <c r="T1107" s="5"/>
      <c r="U1107" s="5"/>
    </row>
    <row r="1108" customFormat="false" ht="15.75" hidden="false" customHeight="false" outlineLevel="0" collapsed="false">
      <c r="A1108" s="4"/>
      <c r="B1108" s="2"/>
      <c r="C1108" s="2"/>
      <c r="D1108" s="2"/>
      <c r="E1108" s="2"/>
      <c r="F1108" s="3" t="str">
        <f aca="false">IFERROR(__xludf.dummyfunction("if($T1108&lt;&gt;"""",REGEXEXTRACT(SUBSTITUTE ($T1108,F$1&amp;"" CE"",""""), F$1&amp;""[\w &amp;]*, (\d+\.\d+)""),"""")
"),"")</f>
        <v/>
      </c>
      <c r="G1108" s="3" t="str">
        <f aca="false">IFERROR(__xludf.dummyfunction("if($T1108&lt;&gt;"""",REGEXEXTRACT($T1108, G$1&amp;""[\w &amp;]*, (\d+\.\d+)""),"""")
"),"")</f>
        <v/>
      </c>
      <c r="H1108" s="3"/>
      <c r="I1108" s="3" t="str">
        <f aca="false">IFERROR(__xludf.dummyfunction("if($T1108&lt;&gt;"""",REGEXEXTRACT(SUBSTITUTE ($T1108,I$1&amp;"" CE"",""""), I$1&amp;""[\w &amp;]*, (\d+\.\d+)""),"""")
"),"")</f>
        <v/>
      </c>
      <c r="J1108" s="3" t="str">
        <f aca="false">IFERROR(__xludf.dummyfunction("if($T1108&lt;&gt;"""",REGEXEXTRACT($T1108, J$1&amp;""[\w &amp;]*, (\d+\.\d+)""),"""")
"),"")</f>
        <v/>
      </c>
      <c r="K1108" s="3"/>
      <c r="L1108" s="3" t="str">
        <f aca="false">IFERROR(__xludf.dummyfunction("if($T1108&lt;&gt;"""",REGEXEXTRACT(SUBSTITUTE ($T1108,L$1&amp;"" CE"",""""), L$1&amp;""[\w &amp;]*, (\d+\.\d+)""),"""")
"),"")</f>
        <v/>
      </c>
      <c r="M1108" s="3" t="str">
        <f aca="false">IFERROR(__xludf.dummyfunction("if($T1108&lt;&gt;"""",REGEXEXTRACT($T1108, M$1&amp;""[\w &amp;]*, (\d+\.\d+)""),"""")
"),"")</f>
        <v/>
      </c>
      <c r="N1108" s="3" t="str">
        <f aca="false">IFERROR(__xludf.dummyfunction("if($T1108&lt;&gt;"""",REGEXEXTRACT(SUBSTITUTE ($T1108,N$1&amp;"" CE"",""""), N$1&amp;""[\w &amp;]*, (\d+\.\d+)""),"""")
"),"")</f>
        <v/>
      </c>
      <c r="O1108" s="3" t="str">
        <f aca="false">IFERROR(__xludf.dummyfunction("if($T1108&lt;&gt;"""",REGEXEXTRACT($T1108, O$1&amp;""[\w &amp;]*, (\d+\.\d+)""),"""")
"),"")</f>
        <v/>
      </c>
      <c r="P1108" s="2"/>
      <c r="Q1108" s="2"/>
      <c r="R1108" s="2"/>
      <c r="S1108" s="2"/>
      <c r="T1108" s="5"/>
      <c r="U1108" s="5"/>
    </row>
    <row r="1109" customFormat="false" ht="15.75" hidden="false" customHeight="false" outlineLevel="0" collapsed="false">
      <c r="A1109" s="4"/>
      <c r="B1109" s="2"/>
      <c r="C1109" s="2"/>
      <c r="D1109" s="2"/>
      <c r="E1109" s="2"/>
      <c r="F1109" s="3" t="str">
        <f aca="false">IFERROR(__xludf.dummyfunction("if($T1109&lt;&gt;"""",REGEXEXTRACT(SUBSTITUTE ($T1109,F$1&amp;"" CE"",""""), F$1&amp;""[\w &amp;]*, (\d+\.\d+)""),"""")
"),"")</f>
        <v/>
      </c>
      <c r="G1109" s="3" t="str">
        <f aca="false">IFERROR(__xludf.dummyfunction("if($T1109&lt;&gt;"""",REGEXEXTRACT($T1109, G$1&amp;""[\w &amp;]*, (\d+\.\d+)""),"""")
"),"")</f>
        <v/>
      </c>
      <c r="H1109" s="3"/>
      <c r="I1109" s="3" t="str">
        <f aca="false">IFERROR(__xludf.dummyfunction("if($T1109&lt;&gt;"""",REGEXEXTRACT(SUBSTITUTE ($T1109,I$1&amp;"" CE"",""""), I$1&amp;""[\w &amp;]*, (\d+\.\d+)""),"""")
"),"")</f>
        <v/>
      </c>
      <c r="J1109" s="3" t="str">
        <f aca="false">IFERROR(__xludf.dummyfunction("if($T1109&lt;&gt;"""",REGEXEXTRACT($T1109, J$1&amp;""[\w &amp;]*, (\d+\.\d+)""),"""")
"),"")</f>
        <v/>
      </c>
      <c r="K1109" s="3"/>
      <c r="L1109" s="3" t="str">
        <f aca="false">IFERROR(__xludf.dummyfunction("if($T1109&lt;&gt;"""",REGEXEXTRACT(SUBSTITUTE ($T1109,L$1&amp;"" CE"",""""), L$1&amp;""[\w &amp;]*, (\d+\.\d+)""),"""")
"),"")</f>
        <v/>
      </c>
      <c r="M1109" s="3" t="str">
        <f aca="false">IFERROR(__xludf.dummyfunction("if($T1109&lt;&gt;"""",REGEXEXTRACT($T1109, M$1&amp;""[\w &amp;]*, (\d+\.\d+)""),"""")
"),"")</f>
        <v/>
      </c>
      <c r="N1109" s="3" t="str">
        <f aca="false">IFERROR(__xludf.dummyfunction("if($T1109&lt;&gt;"""",REGEXEXTRACT(SUBSTITUTE ($T1109,N$1&amp;"" CE"",""""), N$1&amp;""[\w &amp;]*, (\d+\.\d+)""),"""")
"),"")</f>
        <v/>
      </c>
      <c r="O1109" s="3" t="str">
        <f aca="false">IFERROR(__xludf.dummyfunction("if($T1109&lt;&gt;"""",REGEXEXTRACT($T1109, O$1&amp;""[\w &amp;]*, (\d+\.\d+)""),"""")
"),"")</f>
        <v/>
      </c>
      <c r="P1109" s="2"/>
      <c r="Q1109" s="2"/>
      <c r="R1109" s="2"/>
      <c r="S1109" s="2"/>
      <c r="T1109" s="5"/>
      <c r="U1109" s="5"/>
    </row>
    <row r="1110" customFormat="false" ht="15.75" hidden="false" customHeight="false" outlineLevel="0" collapsed="false">
      <c r="A1110" s="4"/>
      <c r="B1110" s="2"/>
      <c r="C1110" s="2"/>
      <c r="D1110" s="2"/>
      <c r="E1110" s="2"/>
      <c r="F1110" s="3" t="str">
        <f aca="false">IFERROR(__xludf.dummyfunction("if($T1110&lt;&gt;"""",REGEXEXTRACT(SUBSTITUTE ($T1110,F$1&amp;"" CE"",""""), F$1&amp;""[\w &amp;]*, (\d+\.\d+)""),"""")
"),"")</f>
        <v/>
      </c>
      <c r="G1110" s="3" t="str">
        <f aca="false">IFERROR(__xludf.dummyfunction("if($T1110&lt;&gt;"""",REGEXEXTRACT($T1110, G$1&amp;""[\w &amp;]*, (\d+\.\d+)""),"""")
"),"")</f>
        <v/>
      </c>
      <c r="H1110" s="3"/>
      <c r="I1110" s="3" t="str">
        <f aca="false">IFERROR(__xludf.dummyfunction("if($T1110&lt;&gt;"""",REGEXEXTRACT(SUBSTITUTE ($T1110,I$1&amp;"" CE"",""""), I$1&amp;""[\w &amp;]*, (\d+\.\d+)""),"""")
"),"")</f>
        <v/>
      </c>
      <c r="J1110" s="3" t="str">
        <f aca="false">IFERROR(__xludf.dummyfunction("if($T1110&lt;&gt;"""",REGEXEXTRACT($T1110, J$1&amp;""[\w &amp;]*, (\d+\.\d+)""),"""")
"),"")</f>
        <v/>
      </c>
      <c r="K1110" s="3"/>
      <c r="L1110" s="3" t="str">
        <f aca="false">IFERROR(__xludf.dummyfunction("if($T1110&lt;&gt;"""",REGEXEXTRACT(SUBSTITUTE ($T1110,L$1&amp;"" CE"",""""), L$1&amp;""[\w &amp;]*, (\d+\.\d+)""),"""")
"),"")</f>
        <v/>
      </c>
      <c r="M1110" s="3" t="str">
        <f aca="false">IFERROR(__xludf.dummyfunction("if($T1110&lt;&gt;"""",REGEXEXTRACT($T1110, M$1&amp;""[\w &amp;]*, (\d+\.\d+)""),"""")
"),"")</f>
        <v/>
      </c>
      <c r="N1110" s="3" t="str">
        <f aca="false">IFERROR(__xludf.dummyfunction("if($T1110&lt;&gt;"""",REGEXEXTRACT(SUBSTITUTE ($T1110,N$1&amp;"" CE"",""""), N$1&amp;""[\w &amp;]*, (\d+\.\d+)""),"""")
"),"")</f>
        <v/>
      </c>
      <c r="O1110" s="3" t="str">
        <f aca="false">IFERROR(__xludf.dummyfunction("if($T1110&lt;&gt;"""",REGEXEXTRACT($T1110, O$1&amp;""[\w &amp;]*, (\d+\.\d+)""),"""")
"),"")</f>
        <v/>
      </c>
      <c r="P1110" s="2"/>
      <c r="Q1110" s="2"/>
      <c r="R1110" s="2"/>
      <c r="S1110" s="2"/>
      <c r="T1110" s="5"/>
      <c r="U1110" s="5"/>
    </row>
    <row r="1111" customFormat="false" ht="15.75" hidden="false" customHeight="false" outlineLevel="0" collapsed="false">
      <c r="A1111" s="4"/>
      <c r="B1111" s="2"/>
      <c r="C1111" s="2"/>
      <c r="D1111" s="2"/>
      <c r="E1111" s="2"/>
      <c r="F1111" s="3" t="str">
        <f aca="false">IFERROR(__xludf.dummyfunction("if($T1111&lt;&gt;"""",REGEXEXTRACT(SUBSTITUTE ($T1111,F$1&amp;"" CE"",""""), F$1&amp;""[\w &amp;]*, (\d+\.\d+)""),"""")
"),"")</f>
        <v/>
      </c>
      <c r="G1111" s="3" t="str">
        <f aca="false">IFERROR(__xludf.dummyfunction("if($T1111&lt;&gt;"""",REGEXEXTRACT($T1111, G$1&amp;""[\w &amp;]*, (\d+\.\d+)""),"""")
"),"")</f>
        <v/>
      </c>
      <c r="H1111" s="3"/>
      <c r="I1111" s="3" t="str">
        <f aca="false">IFERROR(__xludf.dummyfunction("if($T1111&lt;&gt;"""",REGEXEXTRACT(SUBSTITUTE ($T1111,I$1&amp;"" CE"",""""), I$1&amp;""[\w &amp;]*, (\d+\.\d+)""),"""")
"),"")</f>
        <v/>
      </c>
      <c r="J1111" s="3" t="str">
        <f aca="false">IFERROR(__xludf.dummyfunction("if($T1111&lt;&gt;"""",REGEXEXTRACT($T1111, J$1&amp;""[\w &amp;]*, (\d+\.\d+)""),"""")
"),"")</f>
        <v/>
      </c>
      <c r="K1111" s="3"/>
      <c r="L1111" s="3" t="str">
        <f aca="false">IFERROR(__xludf.dummyfunction("if($T1111&lt;&gt;"""",REGEXEXTRACT(SUBSTITUTE ($T1111,L$1&amp;"" CE"",""""), L$1&amp;""[\w &amp;]*, (\d+\.\d+)""),"""")
"),"")</f>
        <v/>
      </c>
      <c r="M1111" s="3" t="str">
        <f aca="false">IFERROR(__xludf.dummyfunction("if($T1111&lt;&gt;"""",REGEXEXTRACT($T1111, M$1&amp;""[\w &amp;]*, (\d+\.\d+)""),"""")
"),"")</f>
        <v/>
      </c>
      <c r="N1111" s="3" t="str">
        <f aca="false">IFERROR(__xludf.dummyfunction("if($T1111&lt;&gt;"""",REGEXEXTRACT(SUBSTITUTE ($T1111,N$1&amp;"" CE"",""""), N$1&amp;""[\w &amp;]*, (\d+\.\d+)""),"""")
"),"")</f>
        <v/>
      </c>
      <c r="O1111" s="3" t="str">
        <f aca="false">IFERROR(__xludf.dummyfunction("if($T1111&lt;&gt;"""",REGEXEXTRACT($T1111, O$1&amp;""[\w &amp;]*, (\d+\.\d+)""),"""")
"),"")</f>
        <v/>
      </c>
      <c r="P1111" s="2"/>
      <c r="Q1111" s="2"/>
      <c r="R1111" s="2"/>
      <c r="S1111" s="2"/>
      <c r="T1111" s="5"/>
      <c r="U1111" s="5"/>
    </row>
    <row r="1112" customFormat="false" ht="15.75" hidden="false" customHeight="false" outlineLevel="0" collapsed="false">
      <c r="A1112" s="4"/>
      <c r="B1112" s="2"/>
      <c r="C1112" s="2"/>
      <c r="D1112" s="2"/>
      <c r="E1112" s="2"/>
      <c r="F1112" s="3" t="str">
        <f aca="false">IFERROR(__xludf.dummyfunction("if($T1112&lt;&gt;"""",REGEXEXTRACT(SUBSTITUTE ($T1112,F$1&amp;"" CE"",""""), F$1&amp;""[\w &amp;]*, (\d+\.\d+)""),"""")
"),"")</f>
        <v/>
      </c>
      <c r="G1112" s="3" t="str">
        <f aca="false">IFERROR(__xludf.dummyfunction("if($T1112&lt;&gt;"""",REGEXEXTRACT($T1112, G$1&amp;""[\w &amp;]*, (\d+\.\d+)""),"""")
"),"")</f>
        <v/>
      </c>
      <c r="H1112" s="3"/>
      <c r="I1112" s="3" t="str">
        <f aca="false">IFERROR(__xludf.dummyfunction("if($T1112&lt;&gt;"""",REGEXEXTRACT(SUBSTITUTE ($T1112,I$1&amp;"" CE"",""""), I$1&amp;""[\w &amp;]*, (\d+\.\d+)""),"""")
"),"")</f>
        <v/>
      </c>
      <c r="J1112" s="3" t="str">
        <f aca="false">IFERROR(__xludf.dummyfunction("if($T1112&lt;&gt;"""",REGEXEXTRACT($T1112, J$1&amp;""[\w &amp;]*, (\d+\.\d+)""),"""")
"),"")</f>
        <v/>
      </c>
      <c r="K1112" s="3"/>
      <c r="L1112" s="3" t="str">
        <f aca="false">IFERROR(__xludf.dummyfunction("if($T1112&lt;&gt;"""",REGEXEXTRACT(SUBSTITUTE ($T1112,L$1&amp;"" CE"",""""), L$1&amp;""[\w &amp;]*, (\d+\.\d+)""),"""")
"),"")</f>
        <v/>
      </c>
      <c r="M1112" s="3" t="str">
        <f aca="false">IFERROR(__xludf.dummyfunction("if($T1112&lt;&gt;"""",REGEXEXTRACT($T1112, M$1&amp;""[\w &amp;]*, (\d+\.\d+)""),"""")
"),"")</f>
        <v/>
      </c>
      <c r="N1112" s="3" t="str">
        <f aca="false">IFERROR(__xludf.dummyfunction("if($T1112&lt;&gt;"""",REGEXEXTRACT(SUBSTITUTE ($T1112,N$1&amp;"" CE"",""""), N$1&amp;""[\w &amp;]*, (\d+\.\d+)""),"""")
"),"")</f>
        <v/>
      </c>
      <c r="O1112" s="3" t="str">
        <f aca="false">IFERROR(__xludf.dummyfunction("if($T1112&lt;&gt;"""",REGEXEXTRACT($T1112, O$1&amp;""[\w &amp;]*, (\d+\.\d+)""),"""")
"),"")</f>
        <v/>
      </c>
      <c r="P1112" s="2"/>
      <c r="Q1112" s="2"/>
      <c r="R1112" s="2"/>
      <c r="S1112" s="2"/>
      <c r="T1112" s="5"/>
      <c r="U1112" s="5"/>
    </row>
    <row r="1113" customFormat="false" ht="15.75" hidden="false" customHeight="false" outlineLevel="0" collapsed="false">
      <c r="A1113" s="5"/>
      <c r="B1113" s="2"/>
      <c r="C1113" s="2"/>
      <c r="D1113" s="2"/>
      <c r="E1113" s="2"/>
      <c r="F1113" s="3"/>
      <c r="G1113" s="3"/>
      <c r="H1113" s="3"/>
      <c r="I1113" s="3"/>
      <c r="J1113" s="3"/>
      <c r="K1113" s="3"/>
      <c r="L1113" s="3"/>
      <c r="M1113" s="3"/>
      <c r="N1113" s="3"/>
      <c r="O1113" s="3"/>
      <c r="P1113" s="2"/>
      <c r="Q1113" s="2"/>
      <c r="R1113" s="2"/>
      <c r="S1113" s="2"/>
      <c r="T1113" s="5"/>
      <c r="U1113" s="5"/>
    </row>
    <row r="1114" customFormat="false" ht="15.75" hidden="false" customHeight="false" outlineLevel="0" collapsed="false">
      <c r="A1114" s="5"/>
      <c r="B1114" s="2"/>
      <c r="C1114" s="2"/>
      <c r="D1114" s="2"/>
      <c r="E1114" s="2"/>
      <c r="F1114" s="3"/>
      <c r="G1114" s="3"/>
      <c r="H1114" s="3"/>
      <c r="I1114" s="3"/>
      <c r="J1114" s="3"/>
      <c r="K1114" s="3"/>
      <c r="L1114" s="3"/>
      <c r="M1114" s="3"/>
      <c r="N1114" s="3"/>
      <c r="O1114" s="3"/>
      <c r="P1114" s="2"/>
      <c r="Q1114" s="2"/>
      <c r="R1114" s="2"/>
      <c r="S1114" s="2"/>
      <c r="T1114" s="5"/>
      <c r="U1114" s="5"/>
    </row>
    <row r="1115" customFormat="false" ht="15.75" hidden="false" customHeight="false" outlineLevel="0" collapsed="false">
      <c r="A1115" s="5"/>
      <c r="B1115" s="2"/>
      <c r="C1115" s="2"/>
      <c r="D1115" s="2"/>
      <c r="E1115" s="2"/>
      <c r="F1115" s="3"/>
      <c r="G1115" s="3"/>
      <c r="H1115" s="3"/>
      <c r="I1115" s="3"/>
      <c r="J1115" s="3"/>
      <c r="K1115" s="3"/>
      <c r="L1115" s="3"/>
      <c r="M1115" s="3"/>
      <c r="N1115" s="3"/>
      <c r="O1115" s="3"/>
      <c r="P1115" s="2"/>
      <c r="Q1115" s="2"/>
      <c r="R1115" s="2"/>
      <c r="S1115" s="2"/>
      <c r="T1115" s="5"/>
      <c r="U1115" s="5"/>
    </row>
    <row r="1116" customFormat="false" ht="15.75" hidden="false" customHeight="false" outlineLevel="0" collapsed="false">
      <c r="A1116" s="4"/>
      <c r="B1116" s="2"/>
      <c r="C1116" s="2"/>
      <c r="D1116" s="2"/>
      <c r="E1116" s="2"/>
      <c r="F1116" s="3"/>
      <c r="G1116" s="3"/>
      <c r="H1116" s="3"/>
      <c r="I1116" s="3"/>
      <c r="J1116" s="3"/>
      <c r="K1116" s="3"/>
      <c r="L1116" s="3"/>
      <c r="M1116" s="3"/>
      <c r="N1116" s="3"/>
      <c r="O1116" s="3"/>
      <c r="P1116" s="2"/>
      <c r="Q1116" s="2"/>
      <c r="R1116" s="2"/>
      <c r="S1116" s="2"/>
      <c r="T1116" s="5"/>
      <c r="U1116" s="5"/>
    </row>
    <row r="1117" customFormat="false" ht="15.75" hidden="false" customHeight="false" outlineLevel="0" collapsed="false">
      <c r="A1117" s="4"/>
      <c r="B1117" s="2"/>
      <c r="C1117" s="2"/>
      <c r="D1117" s="2"/>
      <c r="E1117" s="2"/>
      <c r="F1117" s="3"/>
      <c r="G1117" s="3"/>
      <c r="H1117" s="3"/>
      <c r="I1117" s="3"/>
      <c r="J1117" s="3"/>
      <c r="K1117" s="3"/>
      <c r="L1117" s="3"/>
      <c r="M1117" s="3"/>
      <c r="N1117" s="3"/>
      <c r="O1117" s="3"/>
      <c r="P1117" s="2"/>
      <c r="Q1117" s="2"/>
      <c r="R1117" s="2"/>
      <c r="S1117" s="2"/>
      <c r="T1117" s="5"/>
      <c r="U1117" s="5"/>
    </row>
    <row r="1118" customFormat="false" ht="15.75" hidden="false" customHeight="false" outlineLevel="0" collapsed="false">
      <c r="A1118" s="4"/>
      <c r="B1118" s="2"/>
      <c r="C1118" s="2"/>
      <c r="D1118" s="2"/>
      <c r="E1118" s="2"/>
      <c r="F1118" s="3"/>
      <c r="G1118" s="3"/>
      <c r="H1118" s="3"/>
      <c r="I1118" s="3"/>
      <c r="J1118" s="3"/>
      <c r="K1118" s="3"/>
      <c r="L1118" s="3"/>
      <c r="M1118" s="3"/>
      <c r="N1118" s="3"/>
      <c r="O1118" s="3"/>
      <c r="P1118" s="2"/>
      <c r="Q1118" s="2"/>
      <c r="R1118" s="2"/>
      <c r="S1118" s="2"/>
      <c r="T1118" s="5"/>
      <c r="U1118" s="5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T11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F2" activePane="bottomRight" state="frozen"/>
      <selection pane="topLeft" activeCell="A1" activeCellId="0" sqref="A1"/>
      <selection pane="topRight" activeCell="F1" activeCellId="0" sqref="F1"/>
      <selection pane="bottomLeft" activeCell="A2" activeCellId="0" sqref="A2"/>
      <selection pane="bottomRight" activeCell="F2" activeCellId="0" sqref="F2"/>
    </sheetView>
  </sheetViews>
  <sheetFormatPr defaultColWidth="12.6328125" defaultRowHeight="15.75" zeroHeight="false" outlineLevelRow="0" outlineLevelCol="0"/>
  <cols>
    <col collapsed="false" customWidth="true" hidden="false" outlineLevel="0" max="13" min="13" style="0" width="14.51"/>
    <col collapsed="false" customWidth="true" hidden="false" outlineLevel="0" max="15" min="15" style="0" width="14.75"/>
    <col collapsed="false" customWidth="true" hidden="false" outlineLevel="0" max="16" min="16" style="0" width="16.63"/>
    <col collapsed="false" customWidth="true" hidden="false" outlineLevel="0" max="19" min="17" style="0" width="17.63"/>
    <col collapsed="false" customWidth="true" hidden="false" outlineLevel="0" max="20" min="20" style="0" width="25.51"/>
  </cols>
  <sheetData>
    <row r="1" customFormat="false" ht="15.75" hidden="false" customHeight="false" outlineLevel="0" collapsed="false">
      <c r="A1" s="1" t="str">
        <f aca="false">IFERROR(__xludf.dummyfunction("QUERY(GOOGLEFINANCE(""vix"",""All"",""2024/4/16"",""2025/12/31""), ""select Col1,Col2,Col3,Col4,Col5"", -1)"),"Date")</f>
        <v>Date</v>
      </c>
      <c r="B1" s="2" t="str">
        <f aca="false">IFERROR(__xludf.dummyfunction("""COMPUTED_VALUE"""),"Open")</f>
        <v>Open</v>
      </c>
      <c r="C1" s="2" t="str">
        <f aca="false">IFERROR(__xludf.dummyfunction("""COMPUTED_VALUE"""),"High")</f>
        <v>High</v>
      </c>
      <c r="D1" s="2" t="str">
        <f aca="false">IFERROR(__xludf.dummyfunction("""COMPUTED_VALUE"""),"Low")</f>
        <v>Low</v>
      </c>
      <c r="E1" s="2" t="str">
        <f aca="false">IFERROR(__xludf.dummyfunction("""COMPUTED_VALUE"""),"Close")</f>
        <v>Close</v>
      </c>
      <c r="F1" s="3" t="s">
        <v>0</v>
      </c>
      <c r="G1" s="3" t="s">
        <v>1</v>
      </c>
      <c r="H1" s="3" t="s">
        <v>2</v>
      </c>
      <c r="I1" s="3" t="s">
        <v>3</v>
      </c>
      <c r="J1" s="3" t="s">
        <v>4</v>
      </c>
      <c r="K1" s="3" t="s">
        <v>5</v>
      </c>
      <c r="L1" s="3" t="s">
        <v>6</v>
      </c>
      <c r="M1" s="3" t="s">
        <v>7</v>
      </c>
      <c r="N1" s="3" t="s">
        <v>8</v>
      </c>
      <c r="O1" s="3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</row>
    <row r="2" customFormat="false" ht="15.75" hidden="false" customHeight="false" outlineLevel="0" collapsed="false">
      <c r="A2" s="4" t="n">
        <f aca="false">IFERROR(__xludf.dummyfunction("""COMPUTED_VALUE"""),45398.6361111111)</f>
        <v>45398.6361111111</v>
      </c>
      <c r="B2" s="2" t="n">
        <f aca="false">IFERROR(__xludf.dummyfunction("""COMPUTED_VALUE"""),19)</f>
        <v>19</v>
      </c>
      <c r="C2" s="2" t="n">
        <f aca="false">IFERROR(__xludf.dummyfunction("""COMPUTED_VALUE"""),19)</f>
        <v>19</v>
      </c>
      <c r="D2" s="2" t="n">
        <f aca="false">IFERROR(__xludf.dummyfunction("""COMPUTED_VALUE"""),17.64)</f>
        <v>17.64</v>
      </c>
      <c r="E2" s="2" t="n">
        <f aca="false">IFERROR(__xludf.dummyfunction("""COMPUTED_VALUE"""),18.4)</f>
        <v>18.4</v>
      </c>
      <c r="F2" s="3" t="n">
        <f aca="false">IFERROR(__xludf.dummyfunction("if($T2&lt;&gt;"""",VALUE(REGEXEXTRACT(SUBSTITUTE ($T2,F$1&amp;"" CE"",""""), F$1&amp;""[\w &amp;]*, (\d+\.\d+)"")),"""")
"),20)</f>
        <v>20</v>
      </c>
      <c r="G2" s="3" t="n">
        <f aca="false">IFERROR(__xludf.dummyfunction("if($T2&lt;&gt;"""",VALUE(REGEXEXTRACT($T2, G$1&amp;""[\w &amp;]*, (\d+\.\d+)"")),"""")
"),20)</f>
        <v>20</v>
      </c>
      <c r="H2" s="3" t="n">
        <f aca="false">IFERROR(__xludf.dummyfunction("if($T2&lt;&gt;"""",VALUE(REGEXEXTRACT($T2, H$1&amp;""[\w &amp;]*, (\d+\.\d+)"")),"""")
"),170)</f>
        <v>170</v>
      </c>
      <c r="I2" s="3" t="n">
        <f aca="false">IFERROR(__xludf.dummyfunction("if($T2&lt;&gt;"""",VALUE(REGEXEXTRACT(SUBSTITUTE ($T2,I$1&amp;"" CE"",""""), I$1&amp;""[\w &amp;]*, (\d+\.\d+)"")),"""")
"),18)</f>
        <v>18</v>
      </c>
      <c r="J2" s="3" t="n">
        <f aca="false">IFERROR(__xludf.dummyfunction("if($T2&lt;&gt;"""",VALUE(REGEXEXTRACT($T2, J$1&amp;""[\w &amp;]*, (\d+\.\d+)"")),"""")
"),15)</f>
        <v>15</v>
      </c>
      <c r="K2" s="3" t="n">
        <f aca="false">IFERROR(__xludf.dummyfunction("if($T2&lt;&gt;"""",VALUE(REGEXEXTRACT($T2, K$1&amp;""[\w &amp;]*, (\d+\.\d+)"")),"""")
"),10)</f>
        <v>10</v>
      </c>
      <c r="L2" s="3" t="n">
        <f aca="false">IFERROR(__xludf.dummyfunction("if($T2&lt;&gt;"""",VALUE(REGEXEXTRACT(SUBSTITUTE ($T2,L$1&amp;"" CE"",""""), L$1&amp;""[\w &amp;]*, (\d+\.\d+)"")),"""")
"),16)</f>
        <v>16</v>
      </c>
      <c r="M2" s="3" t="n">
        <f aca="false">IFERROR(__xludf.dummyfunction("if($T2&lt;&gt;"""",VALUE(REGEXEXTRACT($T2, M$1&amp;""[\w &amp;]*, (\d+\.\d+)"")),"""")
"),15.5)</f>
        <v>15.5</v>
      </c>
      <c r="N2" s="3" t="n">
        <f aca="false">IFERROR(__xludf.dummyfunction("if($T2&lt;&gt;"""",VALUE(REGEXEXTRACT(SUBSTITUTE($T2,N$1&amp;"" CE"",""""), N$1&amp;""[\w &amp;]*, (\d+\.\d+)"")),"""")
"),20)</f>
        <v>20</v>
      </c>
      <c r="O2" s="3" t="n">
        <f aca="false">IFERROR(__xludf.dummyfunction("if($T2&lt;&gt;"""",VALUE(REGEXEXTRACT($T2, O$1&amp;""[\w &amp;]*, (\d+\.\d+)"")),"""")
"),17)</f>
        <v>17</v>
      </c>
      <c r="P2" s="2" t="n">
        <f aca="false">IFERROR(__xludf.dummyfunction("if($T2&lt;&gt;"""",VALUE(REGEXEXTRACT($T2, P$1&amp;""[\w &amp;]*, (\d+\.\d+)"")),"""")
"),17.3)</f>
        <v>17.3</v>
      </c>
      <c r="Q2" s="2" t="n">
        <f aca="false">IFERROR(__xludf.dummyfunction("if($T2&lt;&gt;"""",VALUE(REGEXEXTRACT($T2, Q$1&amp;""[\w &amp;]*, (\d+\.\d+)"")),"""")
"),15.4)</f>
        <v>15.4</v>
      </c>
      <c r="R2" s="2" t="n">
        <f aca="false">IFERROR(__xludf.dummyfunction("if($T2&lt;&gt;"""",VALUE(REGEXEXTRACT($T2, SUBSTITUTE(R$1, ""+"", ""\+"")&amp;""[\w &amp;]*, (\d+\.\d+)"")),"""")"),20.68)</f>
        <v>20.68</v>
      </c>
      <c r="S2" s="2" t="n">
        <f aca="false">IFERROR(__xludf.dummyfunction("if($T2&lt;&gt;"""",VALUE(REGEXEXTRACT($T2, SUBSTITUTE(S$1, ""+"", ""\+"")&amp;""[\w &amp;]*, (\d+\.\d+)"")),"""")"),22.58)</f>
        <v>22.58</v>
      </c>
      <c r="T2" s="5" t="s">
        <v>227</v>
      </c>
    </row>
    <row r="3" customFormat="false" ht="15.75" hidden="false" customHeight="false" outlineLevel="0" collapsed="false">
      <c r="A3" s="4" t="n">
        <f aca="false">IFERROR(__xludf.dummyfunction("""COMPUTED_VALUE"""),45399.6361111111)</f>
        <v>45399.6361111111</v>
      </c>
      <c r="B3" s="2" t="n">
        <f aca="false">IFERROR(__xludf.dummyfunction("""COMPUTED_VALUE"""),18)</f>
        <v>18</v>
      </c>
      <c r="C3" s="2" t="n">
        <f aca="false">IFERROR(__xludf.dummyfunction("""COMPUTED_VALUE"""),19.11)</f>
        <v>19.11</v>
      </c>
      <c r="D3" s="2" t="n">
        <f aca="false">IFERROR(__xludf.dummyfunction("""COMPUTED_VALUE"""),17.54)</f>
        <v>17.54</v>
      </c>
      <c r="E3" s="2" t="n">
        <f aca="false">IFERROR(__xludf.dummyfunction("""COMPUTED_VALUE"""),18.21)</f>
        <v>18.21</v>
      </c>
      <c r="F3" s="3" t="n">
        <f aca="false">IFERROR(__xludf.dummyfunction("if($T3&lt;&gt;"""",VALUE(REGEXEXTRACT(SUBSTITUTE ($T3,F$1&amp;"" CE"",""""), F$1&amp;""[\w &amp;]*, (\d+\.\d+)"")),"""")
"),20)</f>
        <v>20</v>
      </c>
      <c r="G3" s="3" t="n">
        <f aca="false">IFERROR(__xludf.dummyfunction("if($T3&lt;&gt;"""",VALUE(REGEXEXTRACT($T3, G$1&amp;""[\w &amp;]*, (\d+\.\d+)"")),"""")
"),20)</f>
        <v>20</v>
      </c>
      <c r="H3" s="3" t="n">
        <f aca="false">IFERROR(__xludf.dummyfunction("if($T3&lt;&gt;"""",VALUE(REGEXEXTRACT($T3, H$1&amp;""[\w &amp;]*, (\d+\.\d+)"")),"""")
"),170)</f>
        <v>170</v>
      </c>
      <c r="I3" s="3" t="n">
        <f aca="false">IFERROR(__xludf.dummyfunction("if($T3&lt;&gt;"""",VALUE(REGEXEXTRACT(SUBSTITUTE ($T3,I$1&amp;"" CE"",""""), I$1&amp;""[\w &amp;]*, (\d+\.\d+)"")),"""")
"),18)</f>
        <v>18</v>
      </c>
      <c r="J3" s="3" t="n">
        <f aca="false">IFERROR(__xludf.dummyfunction("if($T3&lt;&gt;"""",VALUE(REGEXEXTRACT($T3, J$1&amp;""[\w &amp;]*, (\d+\.\d+)"")),"""")
"),15)</f>
        <v>15</v>
      </c>
      <c r="K3" s="3" t="n">
        <f aca="false">IFERROR(__xludf.dummyfunction("if($T3&lt;&gt;"""",VALUE(REGEXEXTRACT($T3, K$1&amp;""[\w &amp;]*, (\d+\.\d+)"")),"""")
"),10)</f>
        <v>10</v>
      </c>
      <c r="L3" s="3" t="n">
        <f aca="false">IFERROR(__xludf.dummyfunction("if($T3&lt;&gt;"""",VALUE(REGEXEXTRACT(SUBSTITUTE ($T3,L$1&amp;"" CE"",""""), L$1&amp;""[\w &amp;]*, (\d+\.\d+)"")),"""")
"),16)</f>
        <v>16</v>
      </c>
      <c r="M3" s="3" t="n">
        <f aca="false">IFERROR(__xludf.dummyfunction("if($T3&lt;&gt;"""",VALUE(REGEXEXTRACT($T3, M$1&amp;""[\w &amp;]*, (\d+\.\d+)"")),"""")
"),15.5)</f>
        <v>15.5</v>
      </c>
      <c r="N3" s="3" t="n">
        <f aca="false">IFERROR(__xludf.dummyfunction("if($T3&lt;&gt;"""",VALUE(REGEXEXTRACT(SUBSTITUTE ($T3,N$1&amp;"" CE"",""""), N$1&amp;""[\w &amp;]*, (\d+\.\d+)"")),"""")
"),20)</f>
        <v>20</v>
      </c>
      <c r="O3" s="3" t="n">
        <f aca="false">IFERROR(__xludf.dummyfunction("if($T3&lt;&gt;"""",VALUE(REGEXEXTRACT($T3, O$1&amp;""[\w &amp;]*, (\d+\.\d+)"")),"""")
"),17)</f>
        <v>17</v>
      </c>
      <c r="P3" s="2" t="n">
        <f aca="false">IFERROR(__xludf.dummyfunction("if($T3&lt;&gt;"""",VALUE(REGEXEXTRACT($T3, P$1&amp;""[\w &amp;]*, (\d+\.\d+)"")),"""")
"),17.13)</f>
        <v>17.13</v>
      </c>
      <c r="Q3" s="2" t="n">
        <f aca="false">IFERROR(__xludf.dummyfunction("if($T3&lt;&gt;"""",VALUE(REGEXEXTRACT($T3, Q$1&amp;""[\w &amp;]*, (\d+\.\d+)"")),"""")
"),15.78)</f>
        <v>15.78</v>
      </c>
      <c r="R3" s="2" t="n">
        <f aca="false">IFERROR(__xludf.dummyfunction("if($T3&lt;&gt;"""",VALUE(REGEXEXTRACT($T3, SUBSTITUTE(R$1, ""+"", ""\+"")&amp;""[\w &amp;]*, (\d+\.\d+)"")),"""")"),18.61)</f>
        <v>18.61</v>
      </c>
      <c r="S3" s="2" t="n">
        <f aca="false">IFERROR(__xludf.dummyfunction("if($T3&lt;&gt;"""",VALUE(REGEXEXTRACT($T3, SUBSTITUTE(S$1, ""+"", ""\+"")&amp;""[\w &amp;]*, (\d+\.\d+)"")),"""")"),19.96)</f>
        <v>19.96</v>
      </c>
      <c r="T3" s="5" t="s">
        <v>228</v>
      </c>
    </row>
    <row r="4" customFormat="false" ht="15.75" hidden="false" customHeight="false" outlineLevel="0" collapsed="false">
      <c r="A4" s="4" t="n">
        <f aca="false">IFERROR(__xludf.dummyfunction("""COMPUTED_VALUE"""),45400.6361111111)</f>
        <v>45400.6361111111</v>
      </c>
      <c r="B4" s="2" t="n">
        <f aca="false">IFERROR(__xludf.dummyfunction("""COMPUTED_VALUE"""),18.01)</f>
        <v>18.01</v>
      </c>
      <c r="C4" s="2" t="n">
        <f aca="false">IFERROR(__xludf.dummyfunction("""COMPUTED_VALUE"""),18.37)</f>
        <v>18.37</v>
      </c>
      <c r="D4" s="2" t="n">
        <f aca="false">IFERROR(__xludf.dummyfunction("""COMPUTED_VALUE"""),17.21)</f>
        <v>17.21</v>
      </c>
      <c r="E4" s="2" t="n">
        <f aca="false">IFERROR(__xludf.dummyfunction("""COMPUTED_VALUE"""),18)</f>
        <v>18</v>
      </c>
      <c r="F4" s="3" t="n">
        <f aca="false">IFERROR(__xludf.dummyfunction("if($T4&lt;&gt;"""",VALUE(REGEXEXTRACT(SUBSTITUTE ($T4,F$1&amp;"" CE"",""""), F$1&amp;""[\w &amp;]*, (\d+\.\d+)"")),"""")
"),20)</f>
        <v>20</v>
      </c>
      <c r="G4" s="3" t="n">
        <f aca="false">IFERROR(__xludf.dummyfunction("if($T4&lt;&gt;"""",VALUE(REGEXEXTRACT($T4, G$1&amp;""[\w &amp;]*, (\d+\.\d+)"")),"""")
"),18)</f>
        <v>18</v>
      </c>
      <c r="H4" s="3" t="n">
        <f aca="false">IFERROR(__xludf.dummyfunction("if($T4&lt;&gt;"""",VALUE(REGEXEXTRACT($T4, H$1&amp;""[\w &amp;]*, (\d+\.\d+)"")),"""")
"),170)</f>
        <v>170</v>
      </c>
      <c r="I4" s="3" t="n">
        <f aca="false">IFERROR(__xludf.dummyfunction("if($T4&lt;&gt;"""",VALUE(REGEXEXTRACT(SUBSTITUTE ($T4,I$1&amp;"" CE"",""""), I$1&amp;""[\w &amp;]*, (\d+\.\d+)"")),"""")
"),18)</f>
        <v>18</v>
      </c>
      <c r="J4" s="3" t="n">
        <f aca="false">IFERROR(__xludf.dummyfunction("if($T4&lt;&gt;"""",VALUE(REGEXEXTRACT($T4, J$1&amp;""[\w &amp;]*, (\d+\.\d+)"")),"""")
"),15)</f>
        <v>15</v>
      </c>
      <c r="K4" s="3" t="n">
        <f aca="false">IFERROR(__xludf.dummyfunction("if($T4&lt;&gt;"""",VALUE(REGEXEXTRACT($T4, K$1&amp;""[\w &amp;]*, (\d+\.\d+)"")),"""")
"),10)</f>
        <v>10</v>
      </c>
      <c r="L4" s="3" t="n">
        <f aca="false">IFERROR(__xludf.dummyfunction("if($T4&lt;&gt;"""",VALUE(REGEXEXTRACT(SUBSTITUTE ($T4,L$1&amp;"" CE"",""""), L$1&amp;""[\w &amp;]*, (\d+\.\d+)"")),"""")
"),16)</f>
        <v>16</v>
      </c>
      <c r="M4" s="3" t="n">
        <f aca="false">IFERROR(__xludf.dummyfunction("if($T4&lt;&gt;"""",VALUE(REGEXEXTRACT($T4, M$1&amp;""[\w &amp;]*, (\d+\.\d+)"")),"""")
"),17)</f>
        <v>17</v>
      </c>
      <c r="N4" s="3" t="n">
        <f aca="false">IFERROR(__xludf.dummyfunction("if($T4&lt;&gt;"""",VALUE(REGEXEXTRACT(SUBSTITUTE ($T4,N$1&amp;"" CE"",""""), N$1&amp;""[\w &amp;]*, (\d+\.\d+)"")),"""")
"),20)</f>
        <v>20</v>
      </c>
      <c r="O4" s="3" t="n">
        <f aca="false">IFERROR(__xludf.dummyfunction("if($T4&lt;&gt;"""",VALUE(REGEXEXTRACT($T4, O$1&amp;""[\w &amp;]*, (\d+\.\d+)"")),"""")
"),18)</f>
        <v>18</v>
      </c>
      <c r="P4" s="2" t="n">
        <f aca="false">IFERROR(__xludf.dummyfunction("if($T4&lt;&gt;"""",VALUE(REGEXEXTRACT($T4, P$1&amp;""[\w &amp;]*, (\d+\.\d+)"")),"""")
"),15.84)</f>
        <v>15.84</v>
      </c>
      <c r="Q4" s="2" t="n">
        <f aca="false">IFERROR(__xludf.dummyfunction("if($T4&lt;&gt;"""",VALUE(REGEXEXTRACT($T4, Q$1&amp;""[\w &amp;]*, (\d+\.\d+)"")),"""")
"),14.92)</f>
        <v>14.92</v>
      </c>
      <c r="R4" s="2" t="n">
        <f aca="false">IFERROR(__xludf.dummyfunction("if($T4&lt;&gt;"""",VALUE(REGEXEXTRACT($T4, SUBSTITUTE(R$1, ""+"", ""\+"")&amp;""[\w &amp;]*, (\d+\.\d+)"")),"""")"),20.26)</f>
        <v>20.26</v>
      </c>
      <c r="S4" s="2" t="n">
        <f aca="false">IFERROR(__xludf.dummyfunction("if($T4&lt;&gt;"""",VALUE(REGEXEXTRACT($T4, SUBSTITUTE(S$1, ""+"", ""\+"")&amp;""[\w &amp;]*, (\d+\.\d+)"")),"""")"),21.18)</f>
        <v>21.18</v>
      </c>
      <c r="T4" s="5" t="s">
        <v>229</v>
      </c>
    </row>
    <row r="5" customFormat="false" ht="15.75" hidden="false" customHeight="false" outlineLevel="0" collapsed="false">
      <c r="A5" s="4" t="n">
        <f aca="false">IFERROR(__xludf.dummyfunction("""COMPUTED_VALUE"""),45401.6361111111)</f>
        <v>45401.6361111111</v>
      </c>
      <c r="B5" s="2" t="n">
        <f aca="false">IFERROR(__xludf.dummyfunction("""COMPUTED_VALUE"""),19.39)</f>
        <v>19.39</v>
      </c>
      <c r="C5" s="2" t="n">
        <f aca="false">IFERROR(__xludf.dummyfunction("""COMPUTED_VALUE"""),19.39)</f>
        <v>19.39</v>
      </c>
      <c r="D5" s="2" t="n">
        <f aca="false">IFERROR(__xludf.dummyfunction("""COMPUTED_VALUE"""),18.17)</f>
        <v>18.17</v>
      </c>
      <c r="E5" s="2" t="n">
        <f aca="false">IFERROR(__xludf.dummyfunction("""COMPUTED_VALUE"""),18.71)</f>
        <v>18.71</v>
      </c>
      <c r="F5" s="3" t="n">
        <f aca="false">IFERROR(__xludf.dummyfunction("if($T5&lt;&gt;"""",VALUE(REGEXEXTRACT(SUBSTITUTE ($T5,F$1&amp;"" CE"",""""), F$1&amp;""[\w &amp;]*, (\d+\.\d+)"")),"""")
"),20)</f>
        <v>20</v>
      </c>
      <c r="G5" s="3" t="n">
        <f aca="false">IFERROR(__xludf.dummyfunction("if($T5&lt;&gt;"""",VALUE(REGEXEXTRACT($T5, G$1&amp;""[\w &amp;]*, (\d+\.\d+)"")),"""")
"),18)</f>
        <v>18</v>
      </c>
      <c r="H5" s="3" t="n">
        <f aca="false">IFERROR(__xludf.dummyfunction("if($T5&lt;&gt;"""",VALUE(REGEXEXTRACT($T5, H$1&amp;""[\w &amp;]*, (\d+\.\d+)"")),"""")
"),170)</f>
        <v>170</v>
      </c>
      <c r="I5" s="3" t="n">
        <f aca="false">IFERROR(__xludf.dummyfunction("if($T5&lt;&gt;"""",VALUE(REGEXEXTRACT(SUBSTITUTE ($T5,I$1&amp;"" CE"",""""), I$1&amp;""[\w &amp;]*, (\d+\.\d+)"")),"""")
"),18)</f>
        <v>18</v>
      </c>
      <c r="J5" s="3" t="n">
        <f aca="false">IFERROR(__xludf.dummyfunction("if($T5&lt;&gt;"""",VALUE(REGEXEXTRACT($T5, J$1&amp;""[\w &amp;]*, (\d+\.\d+)"")),"""")
"),15)</f>
        <v>15</v>
      </c>
      <c r="K5" s="3" t="n">
        <f aca="false">IFERROR(__xludf.dummyfunction("if($T5&lt;&gt;"""",VALUE(REGEXEXTRACT($T5, K$1&amp;""[\w &amp;]*, (\d+\.\d+)"")),"""")
"),10)</f>
        <v>10</v>
      </c>
      <c r="L5" s="3" t="n">
        <f aca="false">IFERROR(__xludf.dummyfunction("if($T5&lt;&gt;"""",VALUE(REGEXEXTRACT(SUBSTITUTE ($T5,L$1&amp;"" CE"",""""), L$1&amp;""[\w &amp;]*, (\d+\.\d+)"")),"""")
"),16)</f>
        <v>16</v>
      </c>
      <c r="M5" s="3" t="n">
        <f aca="false">IFERROR(__xludf.dummyfunction("if($T5&lt;&gt;"""",VALUE(REGEXEXTRACT($T5, M$1&amp;""[\w &amp;]*, (\d+\.\d+)"")),"""")
"),17)</f>
        <v>17</v>
      </c>
      <c r="N5" s="3" t="n">
        <f aca="false">IFERROR(__xludf.dummyfunction("if($T5&lt;&gt;"""",VALUE(REGEXEXTRACT(SUBSTITUTE ($T5,N$1&amp;"" CE"",""""), N$1&amp;""[\w &amp;]*, (\d+\.\d+)"")),"""")
"),20)</f>
        <v>20</v>
      </c>
      <c r="O5" s="3" t="n">
        <f aca="false">IFERROR(__xludf.dummyfunction("if($T5&lt;&gt;"""",VALUE(REGEXEXTRACT($T5, O$1&amp;""[\w &amp;]*, (\d+\.\d+)"")),"""")
"),18)</f>
        <v>18</v>
      </c>
      <c r="P5" s="2" t="n">
        <f aca="false">IFERROR(__xludf.dummyfunction("if($T5&lt;&gt;"""",VALUE(REGEXEXTRACT($T5, P$1&amp;""[\w &amp;]*, (\d+\.\d+)"")),"""")
"),17.16)</f>
        <v>17.16</v>
      </c>
      <c r="Q5" s="2" t="n">
        <f aca="false">IFERROR(__xludf.dummyfunction("if($T5&lt;&gt;"""",VALUE(REGEXEXTRACT($T5, Q$1&amp;""[\w &amp;]*, (\d+\.\d+)"")),"""")
"),16.09)</f>
        <v>16.09</v>
      </c>
      <c r="R5" s="2" t="n">
        <f aca="false">IFERROR(__xludf.dummyfunction("if($T5&lt;&gt;"""",VALUE(REGEXEXTRACT($T5, SUBSTITUTE(R$1, ""+"", ""\+"")&amp;""[\w &amp;]*, (\d+\.\d+)"")),"""")"),21.68)</f>
        <v>21.68</v>
      </c>
      <c r="S5" s="2" t="n">
        <f aca="false">IFERROR(__xludf.dummyfunction("if($T5&lt;&gt;"""",VALUE(REGEXEXTRACT($T5, SUBSTITUTE(S$1, ""+"", ""\+"")&amp;""[\w &amp;]*, (\d+\.\d+)"")),"""")"),22.75)</f>
        <v>22.75</v>
      </c>
      <c r="T5" s="5" t="s">
        <v>230</v>
      </c>
    </row>
    <row r="6" customFormat="false" ht="15.75" hidden="false" customHeight="false" outlineLevel="0" collapsed="false">
      <c r="A6" s="4" t="n">
        <f aca="false">IFERROR(__xludf.dummyfunction("""COMPUTED_VALUE"""),45404.6361111111)</f>
        <v>45404.6361111111</v>
      </c>
      <c r="B6" s="2" t="n">
        <f aca="false">IFERROR(__xludf.dummyfunction("""COMPUTED_VALUE"""),18.59)</f>
        <v>18.59</v>
      </c>
      <c r="C6" s="2" t="n">
        <f aca="false">IFERROR(__xludf.dummyfunction("""COMPUTED_VALUE"""),18.72)</f>
        <v>18.72</v>
      </c>
      <c r="D6" s="2" t="n">
        <f aca="false">IFERROR(__xludf.dummyfunction("""COMPUTED_VALUE"""),16.69)</f>
        <v>16.69</v>
      </c>
      <c r="E6" s="2" t="n">
        <f aca="false">IFERROR(__xludf.dummyfunction("""COMPUTED_VALUE"""),16.94)</f>
        <v>16.94</v>
      </c>
      <c r="F6" s="3" t="n">
        <f aca="false">IFERROR(__xludf.dummyfunction("if($T6&lt;&gt;"""",VALUE(REGEXEXTRACT(SUBSTITUTE ($T6,F$1&amp;"" CE"",""""), F$1&amp;""[\w &amp;]*, (\d+\.\d+)"")),"""")
"),20)</f>
        <v>20</v>
      </c>
      <c r="G6" s="3" t="n">
        <f aca="false">IFERROR(__xludf.dummyfunction("if($T6&lt;&gt;"""",VALUE(REGEXEXTRACT($T6, G$1&amp;""[\w &amp;]*, (\d+\.\d+)"")),"""")
"),18)</f>
        <v>18</v>
      </c>
      <c r="H6" s="3" t="n">
        <f aca="false">IFERROR(__xludf.dummyfunction("if($T6&lt;&gt;"""",VALUE(REGEXEXTRACT($T6, H$1&amp;""[\w &amp;]*, (\d+\.\d+)"")),"""")
"),170)</f>
        <v>170</v>
      </c>
      <c r="I6" s="3" t="n">
        <f aca="false">IFERROR(__xludf.dummyfunction("if($T6&lt;&gt;"""",VALUE(REGEXEXTRACT(SUBSTITUTE ($T6,I$1&amp;"" CE"",""""), I$1&amp;""[\w &amp;]*, (\d+\.\d+)"")),"""")
"),18)</f>
        <v>18</v>
      </c>
      <c r="J6" s="3" t="n">
        <f aca="false">IFERROR(__xludf.dummyfunction("if($T6&lt;&gt;"""",VALUE(REGEXEXTRACT($T6, J$1&amp;""[\w &amp;]*, (\d+\.\d+)"")),"""")
"),15)</f>
        <v>15</v>
      </c>
      <c r="K6" s="3" t="n">
        <f aca="false">IFERROR(__xludf.dummyfunction("if($T6&lt;&gt;"""",VALUE(REGEXEXTRACT($T6, K$1&amp;""[\w &amp;]*, (\d+\.\d+)"")),"""")
"),10)</f>
        <v>10</v>
      </c>
      <c r="L6" s="3" t="n">
        <f aca="false">IFERROR(__xludf.dummyfunction("if($T6&lt;&gt;"""",VALUE(REGEXEXTRACT(SUBSTITUTE ($T6,L$1&amp;"" CE"",""""), L$1&amp;""[\w &amp;]*, (\d+\.\d+)"")),"""")
"),16)</f>
        <v>16</v>
      </c>
      <c r="M6" s="3" t="n">
        <f aca="false">IFERROR(__xludf.dummyfunction("if($T6&lt;&gt;"""",VALUE(REGEXEXTRACT($T6, M$1&amp;""[\w &amp;]*, (\d+\.\d+)"")),"""")
"),17)</f>
        <v>17</v>
      </c>
      <c r="N6" s="3" t="n">
        <f aca="false">IFERROR(__xludf.dummyfunction("if($T6&lt;&gt;"""",VALUE(REGEXEXTRACT(SUBSTITUTE ($T6,N$1&amp;"" CE"",""""), N$1&amp;""[\w &amp;]*, (\d+\.\d+)"")),"""")
"),20)</f>
        <v>20</v>
      </c>
      <c r="O6" s="3" t="n">
        <f aca="false">IFERROR(__xludf.dummyfunction("if($T6&lt;&gt;"""",VALUE(REGEXEXTRACT($T6, O$1&amp;""[\w &amp;]*, (\d+\.\d+)"")),"""")
"),18)</f>
        <v>18</v>
      </c>
      <c r="P6" s="2" t="n">
        <f aca="false">IFERROR(__xludf.dummyfunction("if($T6&lt;&gt;"""",VALUE(REGEXEXTRACT($T6, P$1&amp;""[\w &amp;]*, (\d+\.\d+)"")),"""")
"),16.77)</f>
        <v>16.77</v>
      </c>
      <c r="Q6" s="2" t="n">
        <f aca="false">IFERROR(__xludf.dummyfunction("if($T6&lt;&gt;"""",VALUE(REGEXEXTRACT($T6, Q$1&amp;""[\w &amp;]*, (\d+\.\d+)"")),"""")
"),15.53)</f>
        <v>15.53</v>
      </c>
      <c r="R6" s="2" t="n">
        <f aca="false">IFERROR(__xludf.dummyfunction("if($T6&lt;&gt;"""",VALUE(REGEXEXTRACT($T6, SUBSTITUTE(R$1, ""+"", ""\+"")&amp;""[\w &amp;]*, (\d+\.\d+)"")),"""")"),19.79)</f>
        <v>19.79</v>
      </c>
      <c r="S6" s="2" t="n">
        <f aca="false">IFERROR(__xludf.dummyfunction("if($T6&lt;&gt;"""",VALUE(REGEXEXTRACT($T6, SUBSTITUTE(S$1, ""+"", ""\+"")&amp;""[\w &amp;]*, (\d+\.\d+)"")),"""")"),21.03)</f>
        <v>21.03</v>
      </c>
      <c r="T6" s="5" t="s">
        <v>231</v>
      </c>
    </row>
    <row r="7" customFormat="false" ht="15.75" hidden="false" customHeight="false" outlineLevel="0" collapsed="false">
      <c r="A7" s="4" t="n">
        <f aca="false">IFERROR(__xludf.dummyfunction("""COMPUTED_VALUE"""),45405.6361111111)</f>
        <v>45405.6361111111</v>
      </c>
      <c r="B7" s="2" t="n">
        <f aca="false">IFERROR(__xludf.dummyfunction("""COMPUTED_VALUE"""),16.57)</f>
        <v>16.57</v>
      </c>
      <c r="C7" s="2" t="n">
        <f aca="false">IFERROR(__xludf.dummyfunction("""COMPUTED_VALUE"""),16.57)</f>
        <v>16.57</v>
      </c>
      <c r="D7" s="2" t="n">
        <f aca="false">IFERROR(__xludf.dummyfunction("""COMPUTED_VALUE"""),15.69)</f>
        <v>15.69</v>
      </c>
      <c r="E7" s="2" t="n">
        <f aca="false">IFERROR(__xludf.dummyfunction("""COMPUTED_VALUE"""),15.69)</f>
        <v>15.69</v>
      </c>
      <c r="F7" s="3" t="n">
        <f aca="false">IFERROR(__xludf.dummyfunction("if($T7&lt;&gt;"""",VALUE(REGEXEXTRACT(SUBSTITUTE ($T7,F$1&amp;"" CE"",""""), F$1&amp;""[\w &amp;]*, (\d+\.\d+)"")),"""")
"),20)</f>
        <v>20</v>
      </c>
      <c r="G7" s="3" t="n">
        <f aca="false">IFERROR(__xludf.dummyfunction("if($T7&lt;&gt;"""",VALUE(REGEXEXTRACT($T7, G$1&amp;""[\w &amp;]*, (\d+\.\d+)"")),"""")
"),18)</f>
        <v>18</v>
      </c>
      <c r="H7" s="3" t="n">
        <f aca="false">IFERROR(__xludf.dummyfunction("if($T7&lt;&gt;"""",VALUE(REGEXEXTRACT($T7, H$1&amp;""[\w &amp;]*, (\d+\.\d+)"")),"""")
"),170)</f>
        <v>170</v>
      </c>
      <c r="I7" s="3" t="n">
        <f aca="false">IFERROR(__xludf.dummyfunction("if($T7&lt;&gt;"""",VALUE(REGEXEXTRACT(SUBSTITUTE ($T7,I$1&amp;"" CE"",""""), I$1&amp;""[\w &amp;]*, (\d+\.\d+)"")),"""")
"),18)</f>
        <v>18</v>
      </c>
      <c r="J7" s="3" t="n">
        <f aca="false">IFERROR(__xludf.dummyfunction("if($T7&lt;&gt;"""",VALUE(REGEXEXTRACT($T7, J$1&amp;""[\w &amp;]*, (\d+\.\d+)"")),"""")
"),15)</f>
        <v>15</v>
      </c>
      <c r="K7" s="3" t="n">
        <f aca="false">IFERROR(__xludf.dummyfunction("if($T7&lt;&gt;"""",VALUE(REGEXEXTRACT($T7, K$1&amp;""[\w &amp;]*, (\d+\.\d+)"")),"""")
"),10)</f>
        <v>10</v>
      </c>
      <c r="L7" s="3" t="n">
        <f aca="false">IFERROR(__xludf.dummyfunction("if($T7&lt;&gt;"""",VALUE(REGEXEXTRACT(SUBSTITUTE ($T7,L$1&amp;"" CE"",""""), L$1&amp;""[\w &amp;]*, (\d+\.\d+)"")),"""")
"),16)</f>
        <v>16</v>
      </c>
      <c r="M7" s="3" t="n">
        <f aca="false">IFERROR(__xludf.dummyfunction("if($T7&lt;&gt;"""",VALUE(REGEXEXTRACT($T7, M$1&amp;""[\w &amp;]*, (\d+\.\d+)"")),"""")
"),17)</f>
        <v>17</v>
      </c>
      <c r="N7" s="3" t="n">
        <f aca="false">IFERROR(__xludf.dummyfunction("if($T7&lt;&gt;"""",VALUE(REGEXEXTRACT(SUBSTITUTE ($T7,N$1&amp;"" CE"",""""), N$1&amp;""[\w &amp;]*, (\d+\.\d+)"")),"""")
"),20)</f>
        <v>20</v>
      </c>
      <c r="O7" s="3" t="n">
        <f aca="false">IFERROR(__xludf.dummyfunction("if($T7&lt;&gt;"""",VALUE(REGEXEXTRACT($T7, O$1&amp;""[\w &amp;]*, (\d+\.\d+)"")),"""")
"),18)</f>
        <v>18</v>
      </c>
      <c r="P7" s="2" t="n">
        <f aca="false">IFERROR(__xludf.dummyfunction("if($T7&lt;&gt;"""",VALUE(REGEXEXTRACT($T7, P$1&amp;""[\w &amp;]*, (\d+\.\d+)"")),"""")
"),15.68)</f>
        <v>15.68</v>
      </c>
      <c r="Q7" s="2" t="n">
        <f aca="false">IFERROR(__xludf.dummyfunction("if($T7&lt;&gt;"""",VALUE(REGEXEXTRACT($T7, Q$1&amp;""[\w &amp;]*, (\d+\.\d+)"")),"""")
"),14.52)</f>
        <v>14.52</v>
      </c>
      <c r="R7" s="2" t="n">
        <f aca="false">IFERROR(__xludf.dummyfunction("if($T7&lt;&gt;"""",VALUE(REGEXEXTRACT($T7, SUBSTITUTE(R$1, ""+"", ""\+"")&amp;""[\w &amp;]*, (\d+\.\d+)"")),"""")"),17.74)</f>
        <v>17.74</v>
      </c>
      <c r="S7" s="2" t="n">
        <f aca="false">IFERROR(__xludf.dummyfunction("if($T7&lt;&gt;"""",VALUE(REGEXEXTRACT($T7, SUBSTITUTE(S$1, ""+"", ""\+"")&amp;""[\w &amp;]*, (\d+\.\d+)"")),"""")"),18.9)</f>
        <v>18.9</v>
      </c>
      <c r="T7" s="5" t="s">
        <v>232</v>
      </c>
    </row>
    <row r="8" customFormat="false" ht="15.75" hidden="false" customHeight="false" outlineLevel="0" collapsed="false">
      <c r="A8" s="4" t="n">
        <f aca="false">IFERROR(__xludf.dummyfunction("""COMPUTED_VALUE"""),45406.6361111111)</f>
        <v>45406.6361111111</v>
      </c>
      <c r="B8" s="2" t="n">
        <f aca="false">IFERROR(__xludf.dummyfunction("""COMPUTED_VALUE"""),15.83)</f>
        <v>15.83</v>
      </c>
      <c r="C8" s="2" t="n">
        <f aca="false">IFERROR(__xludf.dummyfunction("""COMPUTED_VALUE"""),16.38)</f>
        <v>16.38</v>
      </c>
      <c r="D8" s="2" t="n">
        <f aca="false">IFERROR(__xludf.dummyfunction("""COMPUTED_VALUE"""),15.58)</f>
        <v>15.58</v>
      </c>
      <c r="E8" s="2" t="n">
        <f aca="false">IFERROR(__xludf.dummyfunction("""COMPUTED_VALUE"""),15.97)</f>
        <v>15.97</v>
      </c>
      <c r="F8" s="3" t="n">
        <f aca="false">IFERROR(__xludf.dummyfunction("if($T8&lt;&gt;"""",VALUE(REGEXEXTRACT(SUBSTITUTE ($T8,F$1&amp;"" CE"",""""), F$1&amp;""[\w &amp;]*, (\d+\.\d+)"")),"""")
"),20)</f>
        <v>20</v>
      </c>
      <c r="G8" s="3" t="n">
        <f aca="false">IFERROR(__xludf.dummyfunction("if($T8&lt;&gt;"""",VALUE(REGEXEXTRACT($T8, G$1&amp;""[\w &amp;]*, (\d+\.\d+)"")),"""")
"),16)</f>
        <v>16</v>
      </c>
      <c r="H8" s="3" t="n">
        <f aca="false">IFERROR(__xludf.dummyfunction("if($T8&lt;&gt;"""",VALUE(REGEXEXTRACT($T8, H$1&amp;""[\w &amp;]*, (\d+\.\d+)"")),"""")
"),170)</f>
        <v>170</v>
      </c>
      <c r="I8" s="3" t="n">
        <f aca="false">IFERROR(__xludf.dummyfunction("if($T8&lt;&gt;"""",VALUE(REGEXEXTRACT(SUBSTITUTE ($T8,I$1&amp;"" CE"",""""), I$1&amp;""[\w &amp;]*, (\d+\.\d+)"")),"""")
"),18)</f>
        <v>18</v>
      </c>
      <c r="J8" s="3" t="n">
        <f aca="false">IFERROR(__xludf.dummyfunction("if($T8&lt;&gt;"""",VALUE(REGEXEXTRACT($T8, J$1&amp;""[\w &amp;]*, (\d+\.\d+)"")),"""")
"),15)</f>
        <v>15</v>
      </c>
      <c r="K8" s="3" t="n">
        <f aca="false">IFERROR(__xludf.dummyfunction("if($T8&lt;&gt;"""",VALUE(REGEXEXTRACT($T8, K$1&amp;""[\w &amp;]*, (\d+\.\d+)"")),"""")
"),10)</f>
        <v>10</v>
      </c>
      <c r="L8" s="3" t="n">
        <f aca="false">IFERROR(__xludf.dummyfunction("if($T8&lt;&gt;"""",VALUE(REGEXEXTRACT(SUBSTITUTE ($T8,L$1&amp;"" CE"",""""), L$1&amp;""[\w &amp;]*, (\d+\.\d+)"")),"""")
"),16)</f>
        <v>16</v>
      </c>
      <c r="M8" s="3" t="n">
        <f aca="false">IFERROR(__xludf.dummyfunction("if($T8&lt;&gt;"""",VALUE(REGEXEXTRACT($T8, M$1&amp;""[\w &amp;]*, (\d+\.\d+)"")),"""")
"),15)</f>
        <v>15</v>
      </c>
      <c r="N8" s="3" t="n">
        <f aca="false">IFERROR(__xludf.dummyfunction("if($T8&lt;&gt;"""",VALUE(REGEXEXTRACT(SUBSTITUTE ($T8,N$1&amp;"" CE"",""""), N$1&amp;""[\w &amp;]*, (\d+\.\d+)"")),"""")
"),20)</f>
        <v>20</v>
      </c>
      <c r="O8" s="3" t="n">
        <f aca="false">IFERROR(__xludf.dummyfunction("if($T8&lt;&gt;"""",VALUE(REGEXEXTRACT($T8, O$1&amp;""[\w &amp;]*, (\d+\.\d+)"")),"""")
"),16)</f>
        <v>16</v>
      </c>
      <c r="P8" s="2" t="n">
        <f aca="false">IFERROR(__xludf.dummyfunction("if($T8&lt;&gt;"""",VALUE(REGEXEXTRACT($T8, P$1&amp;""[\w &amp;]*, (\d+\.\d+)"")),"""")
"),15.33)</f>
        <v>15.33</v>
      </c>
      <c r="Q8" s="2" t="n">
        <f aca="false">IFERROR(__xludf.dummyfunction("if($T8&lt;&gt;"""",VALUE(REGEXEXTRACT($T8, Q$1&amp;""[\w &amp;]*, (\d+\.\d+)"")),"""")
"),14.43)</f>
        <v>14.43</v>
      </c>
      <c r="R8" s="2" t="n">
        <f aca="false">IFERROR(__xludf.dummyfunction("if($T8&lt;&gt;"""",VALUE(REGEXEXTRACT($T8, SUBSTITUTE(R$1, ""+"", ""\+"")&amp;""[\w &amp;]*, (\d+\.\d+)"")),"""")"),16.31)</f>
        <v>16.31</v>
      </c>
      <c r="S8" s="2" t="n">
        <f aca="false">IFERROR(__xludf.dummyfunction("if($T8&lt;&gt;"""",VALUE(REGEXEXTRACT($T8, SUBSTITUTE(S$1, ""+"", ""\+"")&amp;""[\w &amp;]*, (\d+\.\d+)"")),"""")"),17.21)</f>
        <v>17.21</v>
      </c>
      <c r="T8" s="5" t="s">
        <v>233</v>
      </c>
    </row>
    <row r="9" customFormat="false" ht="15.75" hidden="false" customHeight="false" outlineLevel="0" collapsed="false">
      <c r="A9" s="4" t="n">
        <f aca="false">IFERROR(__xludf.dummyfunction("""COMPUTED_VALUE"""),45407.6361111111)</f>
        <v>45407.6361111111</v>
      </c>
      <c r="B9" s="2" t="n">
        <f aca="false">IFERROR(__xludf.dummyfunction("""COMPUTED_VALUE"""),16.26)</f>
        <v>16.26</v>
      </c>
      <c r="C9" s="2" t="n">
        <f aca="false">IFERROR(__xludf.dummyfunction("""COMPUTED_VALUE"""),17.55)</f>
        <v>17.55</v>
      </c>
      <c r="D9" s="2" t="n">
        <f aca="false">IFERROR(__xludf.dummyfunction("""COMPUTED_VALUE"""),15.27)</f>
        <v>15.27</v>
      </c>
      <c r="E9" s="2" t="n">
        <f aca="false">IFERROR(__xludf.dummyfunction("""COMPUTED_VALUE"""),15.37)</f>
        <v>15.37</v>
      </c>
      <c r="F9" s="3" t="n">
        <f aca="false">IFERROR(__xludf.dummyfunction("if($T9&lt;&gt;"""",VALUE(REGEXEXTRACT(SUBSTITUTE ($T9,F$1&amp;"" CE"",""""), F$1&amp;""[\w &amp;]*, (\d+\.\d+)"")),"""")
"),20)</f>
        <v>20</v>
      </c>
      <c r="G9" s="3" t="n">
        <f aca="false">IFERROR(__xludf.dummyfunction("if($T9&lt;&gt;"""",VALUE(REGEXEXTRACT($T9, G$1&amp;""[\w &amp;]*, (\d+\.\d+)"")),"""")
"),16)</f>
        <v>16</v>
      </c>
      <c r="H9" s="3" t="n">
        <f aca="false">IFERROR(__xludf.dummyfunction("if($T9&lt;&gt;"""",VALUE(REGEXEXTRACT($T9, H$1&amp;""[\w &amp;]*, (\d+\.\d+)"")),"""")
"),170)</f>
        <v>170</v>
      </c>
      <c r="I9" s="3" t="n">
        <f aca="false">IFERROR(__xludf.dummyfunction("if($T9&lt;&gt;"""",VALUE(REGEXEXTRACT(SUBSTITUTE ($T9,I$1&amp;"" CE"",""""), I$1&amp;""[\w &amp;]*, (\d+\.\d+)"")),"""")
"),18)</f>
        <v>18</v>
      </c>
      <c r="J9" s="3" t="n">
        <f aca="false">IFERROR(__xludf.dummyfunction("if($T9&lt;&gt;"""",VALUE(REGEXEXTRACT($T9, J$1&amp;""[\w &amp;]*, (\d+\.\d+)"")),"""")
"),15)</f>
        <v>15</v>
      </c>
      <c r="K9" s="3" t="n">
        <f aca="false">IFERROR(__xludf.dummyfunction("if($T9&lt;&gt;"""",VALUE(REGEXEXTRACT($T9, K$1&amp;""[\w &amp;]*, (\d+\.\d+)"")),"""")
"),10)</f>
        <v>10</v>
      </c>
      <c r="L9" s="3" t="n">
        <f aca="false">IFERROR(__xludf.dummyfunction("if($T9&lt;&gt;"""",VALUE(REGEXEXTRACT(SUBSTITUTE ($T9,L$1&amp;"" CE"",""""), L$1&amp;""[\w &amp;]*, (\d+\.\d+)"")),"""")
"),16)</f>
        <v>16</v>
      </c>
      <c r="M9" s="3" t="n">
        <f aca="false">IFERROR(__xludf.dummyfunction("if($T9&lt;&gt;"""",VALUE(REGEXEXTRACT($T9, M$1&amp;""[\w &amp;]*, (\d+\.\d+)"")),"""")
"),15)</f>
        <v>15</v>
      </c>
      <c r="N9" s="3" t="n">
        <f aca="false">IFERROR(__xludf.dummyfunction("if($T9&lt;&gt;"""",VALUE(REGEXEXTRACT(SUBSTITUTE ($T9,N$1&amp;"" CE"",""""), N$1&amp;""[\w &amp;]*, (\d+\.\d+)"")),"""")
"),20)</f>
        <v>20</v>
      </c>
      <c r="O9" s="3" t="n">
        <f aca="false">IFERROR(__xludf.dummyfunction("if($T9&lt;&gt;"""",VALUE(REGEXEXTRACT($T9, O$1&amp;""[\w &amp;]*, (\d+\.\d+)"")),"""")
"),16)</f>
        <v>16</v>
      </c>
      <c r="P9" s="2" t="n">
        <f aca="false">IFERROR(__xludf.dummyfunction("if($T9&lt;&gt;"""",VALUE(REGEXEXTRACT($T9, P$1&amp;""[\w &amp;]*, (\d+\.\d+)"")),"""")
"),14.68)</f>
        <v>14.68</v>
      </c>
      <c r="Q9" s="2" t="n">
        <f aca="false">IFERROR(__xludf.dummyfunction("if($T9&lt;&gt;"""",VALUE(REGEXEXTRACT($T9, Q$1&amp;""[\w &amp;]*, (\d+\.\d+)"")),"""")
"),14.04)</f>
        <v>14.04</v>
      </c>
      <c r="R9" s="2" t="n">
        <f aca="false">IFERROR(__xludf.dummyfunction("if($T9&lt;&gt;"""",VALUE(REGEXEXTRACT($T9, SUBSTITUTE(R$1, ""+"", ""\+"")&amp;""[\w &amp;]*, (\d+\.\d+)"")),"""")"),17.78)</f>
        <v>17.78</v>
      </c>
      <c r="S9" s="2" t="n">
        <f aca="false">IFERROR(__xludf.dummyfunction("if($T9&lt;&gt;"""",VALUE(REGEXEXTRACT($T9, SUBSTITUTE(S$1, ""+"", ""\+"")&amp;""[\w &amp;]*, (\d+\.\d+)"")),"""")"),18.42)</f>
        <v>18.42</v>
      </c>
      <c r="T9" s="5" t="s">
        <v>234</v>
      </c>
    </row>
    <row r="10" customFormat="false" ht="15.75" hidden="false" customHeight="false" outlineLevel="0" collapsed="false">
      <c r="A10" s="4" t="n">
        <f aca="false">IFERROR(__xludf.dummyfunction("""COMPUTED_VALUE"""),45408.6361111111)</f>
        <v>45408.6361111111</v>
      </c>
      <c r="B10" s="2" t="n">
        <f aca="false">IFERROR(__xludf.dummyfunction("""COMPUTED_VALUE"""),15.55)</f>
        <v>15.55</v>
      </c>
      <c r="C10" s="2" t="n">
        <f aca="false">IFERROR(__xludf.dummyfunction("""COMPUTED_VALUE"""),16.06)</f>
        <v>16.06</v>
      </c>
      <c r="D10" s="2" t="n">
        <f aca="false">IFERROR(__xludf.dummyfunction("""COMPUTED_VALUE"""),14.92)</f>
        <v>14.92</v>
      </c>
      <c r="E10" s="2" t="n">
        <f aca="false">IFERROR(__xludf.dummyfunction("""COMPUTED_VALUE"""),15.03)</f>
        <v>15.03</v>
      </c>
      <c r="F10" s="3" t="n">
        <f aca="false">IFERROR(__xludf.dummyfunction("if($T10&lt;&gt;"""",VALUE(REGEXEXTRACT(SUBSTITUTE ($T10,F$1&amp;"" CE"",""""), F$1&amp;""[\w &amp;]*, (\d+\.\d+)"")),"""")
"),20)</f>
        <v>20</v>
      </c>
      <c r="G10" s="3" t="n">
        <f aca="false">IFERROR(__xludf.dummyfunction("if($T10&lt;&gt;"""",VALUE(REGEXEXTRACT($T10, G$1&amp;""[\w &amp;]*, (\d+\.\d+)"")),"""")
"),16)</f>
        <v>16</v>
      </c>
      <c r="H10" s="3" t="n">
        <f aca="false">IFERROR(__xludf.dummyfunction("if($T10&lt;&gt;"""",VALUE(REGEXEXTRACT($T10, H$1&amp;""[\w &amp;]*, (\d+\.\d+)"")),"""")
"),170)</f>
        <v>170</v>
      </c>
      <c r="I10" s="3" t="n">
        <f aca="false">IFERROR(__xludf.dummyfunction("if($T10&lt;&gt;"""",VALUE(REGEXEXTRACT(SUBSTITUTE ($T10,I$1&amp;"" CE"",""""), I$1&amp;""[\w &amp;]*, (\d+\.\d+)"")),"""")
"),18)</f>
        <v>18</v>
      </c>
      <c r="J10" s="3" t="n">
        <f aca="false">IFERROR(__xludf.dummyfunction("if($T10&lt;&gt;"""",VALUE(REGEXEXTRACT($T10, J$1&amp;""[\w &amp;]*, (\d+\.\d+)"")),"""")
"),15)</f>
        <v>15</v>
      </c>
      <c r="K10" s="3" t="n">
        <f aca="false">IFERROR(__xludf.dummyfunction("if($T10&lt;&gt;"""",VALUE(REGEXEXTRACT($T10, K$1&amp;""[\w &amp;]*, (\d+\.\d+)"")),"""")
"),10)</f>
        <v>10</v>
      </c>
      <c r="L10" s="3" t="n">
        <f aca="false">IFERROR(__xludf.dummyfunction("if($T10&lt;&gt;"""",VALUE(REGEXEXTRACT(SUBSTITUTE ($T10,L$1&amp;"" CE"",""""), L$1&amp;""[\w &amp;]*, (\d+\.\d+)"")),"""")
"),16)</f>
        <v>16</v>
      </c>
      <c r="M10" s="3" t="n">
        <f aca="false">IFERROR(__xludf.dummyfunction("if($T10&lt;&gt;"""",VALUE(REGEXEXTRACT($T10, M$1&amp;""[\w &amp;]*, (\d+\.\d+)"")),"""")
"),15)</f>
        <v>15</v>
      </c>
      <c r="N10" s="3" t="n">
        <f aca="false">IFERROR(__xludf.dummyfunction("if($T10&lt;&gt;"""",VALUE(REGEXEXTRACT(SUBSTITUTE ($T10,N$1&amp;"" CE"",""""), N$1&amp;""[\w &amp;]*, (\d+\.\d+)"")),"""")
"),20)</f>
        <v>20</v>
      </c>
      <c r="O10" s="3" t="n">
        <f aca="false">IFERROR(__xludf.dummyfunction("if($T10&lt;&gt;"""",VALUE(REGEXEXTRACT($T10, O$1&amp;""[\w &amp;]*, (\d+\.\d+)"")),"""")
"),15)</f>
        <v>15</v>
      </c>
      <c r="P10" s="2" t="n">
        <f aca="false">IFERROR(__xludf.dummyfunction("if($T10&lt;&gt;"""",VALUE(REGEXEXTRACT($T10, P$1&amp;""[\w &amp;]*, (\d+\.\d+)"")),"""")
"),14.4)</f>
        <v>14.4</v>
      </c>
      <c r="Q10" s="2" t="n">
        <f aca="false">IFERROR(__xludf.dummyfunction("if($T10&lt;&gt;"""",VALUE(REGEXEXTRACT($T10, Q$1&amp;""[\w &amp;]*, (\d+\.\d+)"")),"""")
"),13.81)</f>
        <v>13.81</v>
      </c>
      <c r="R10" s="2" t="n">
        <f aca="false">IFERROR(__xludf.dummyfunction("if($T10&lt;&gt;"""",VALUE(REGEXEXTRACT($T10, SUBSTITUTE(R$1, ""+"", ""\+"")&amp;""[\w &amp;]*, (\d+\.\d+)"")),"""")"),16.9)</f>
        <v>16.9</v>
      </c>
      <c r="S10" s="2" t="n">
        <f aca="false">IFERROR(__xludf.dummyfunction("if($T10&lt;&gt;"""",VALUE(REGEXEXTRACT($T10, SUBSTITUTE(S$1, ""+"", ""\+"")&amp;""[\w &amp;]*, (\d+\.\d+)"")),"""")"),17.49)</f>
        <v>17.49</v>
      </c>
      <c r="T10" s="5" t="s">
        <v>235</v>
      </c>
    </row>
    <row r="11" customFormat="false" ht="15.75" hidden="false" customHeight="false" outlineLevel="0" collapsed="false">
      <c r="A11" s="4" t="n">
        <f aca="false">IFERROR(__xludf.dummyfunction("""COMPUTED_VALUE"""),45411.6361111111)</f>
        <v>45411.6361111111</v>
      </c>
      <c r="B11" s="2" t="n">
        <f aca="false">IFERROR(__xludf.dummyfunction("""COMPUTED_VALUE"""),15.37)</f>
        <v>15.37</v>
      </c>
      <c r="C11" s="2" t="n">
        <f aca="false">IFERROR(__xludf.dummyfunction("""COMPUTED_VALUE"""),15.42)</f>
        <v>15.42</v>
      </c>
      <c r="D11" s="2" t="n">
        <f aca="false">IFERROR(__xludf.dummyfunction("""COMPUTED_VALUE"""),14.63)</f>
        <v>14.63</v>
      </c>
      <c r="E11" s="2" t="n">
        <f aca="false">IFERROR(__xludf.dummyfunction("""COMPUTED_VALUE"""),14.67)</f>
        <v>14.67</v>
      </c>
      <c r="F11" s="3" t="n">
        <f aca="false">IFERROR(__xludf.dummyfunction("if($T11&lt;&gt;"""",VALUE(REGEXEXTRACT(SUBSTITUTE ($T11,F$1&amp;"" CE"",""""), F$1&amp;""[\w &amp;]*, (\d+\.\d+)"")),"""")
"),20)</f>
        <v>20</v>
      </c>
      <c r="G11" s="3" t="n">
        <f aca="false">IFERROR(__xludf.dummyfunction("if($T11&lt;&gt;"""",VALUE(REGEXEXTRACT($T11, G$1&amp;""[\w &amp;]*, (\d+\.\d+)"")),"""")
"),17)</f>
        <v>17</v>
      </c>
      <c r="H11" s="3" t="n">
        <f aca="false">IFERROR(__xludf.dummyfunction("if($T11&lt;&gt;"""",VALUE(REGEXEXTRACT($T11, H$1&amp;""[\w &amp;]*, (\d+\.\d+)"")),"""")
"),170)</f>
        <v>170</v>
      </c>
      <c r="I11" s="3" t="n">
        <f aca="false">IFERROR(__xludf.dummyfunction("if($T11&lt;&gt;"""",VALUE(REGEXEXTRACT(SUBSTITUTE ($T11,I$1&amp;"" CE"",""""), I$1&amp;""[\w &amp;]*, (\d+\.\d+)"")),"""")
"),18)</f>
        <v>18</v>
      </c>
      <c r="J11" s="3" t="n">
        <f aca="false">IFERROR(__xludf.dummyfunction("if($T11&lt;&gt;"""",VALUE(REGEXEXTRACT($T11, J$1&amp;""[\w &amp;]*, (\d+\.\d+)"")),"""")
"),15)</f>
        <v>15</v>
      </c>
      <c r="K11" s="3" t="n">
        <f aca="false">IFERROR(__xludf.dummyfunction("if($T11&lt;&gt;"""",VALUE(REGEXEXTRACT($T11, K$1&amp;""[\w &amp;]*, (\d+\.\d+)"")),"""")
"),10)</f>
        <v>10</v>
      </c>
      <c r="L11" s="3" t="n">
        <f aca="false">IFERROR(__xludf.dummyfunction("if($T11&lt;&gt;"""",VALUE(REGEXEXTRACT(SUBSTITUTE ($T11,L$1&amp;"" CE"",""""), L$1&amp;""[\w &amp;]*, (\d+\.\d+)"")),"""")
"),16)</f>
        <v>16</v>
      </c>
      <c r="M11" s="3" t="n">
        <f aca="false">IFERROR(__xludf.dummyfunction("if($T11&lt;&gt;"""",VALUE(REGEXEXTRACT($T11, M$1&amp;""[\w &amp;]*, (\d+\.\d+)"")),"""")
"),15)</f>
        <v>15</v>
      </c>
      <c r="N11" s="3" t="n">
        <f aca="false">IFERROR(__xludf.dummyfunction("if($T11&lt;&gt;"""",VALUE(REGEXEXTRACT(SUBSTITUTE ($T11,N$1&amp;"" CE"",""""), N$1&amp;""[\w &amp;]*, (\d+\.\d+)"")),"""")
"),20)</f>
        <v>20</v>
      </c>
      <c r="O11" s="3" t="n">
        <f aca="false">IFERROR(__xludf.dummyfunction("if($T11&lt;&gt;"""",VALUE(REGEXEXTRACT($T11, O$1&amp;""[\w &amp;]*, (\d+\.\d+)"")),"""")
"),17)</f>
        <v>17</v>
      </c>
      <c r="P11" s="2" t="n">
        <f aca="false">IFERROR(__xludf.dummyfunction("if($T11&lt;&gt;"""",VALUE(REGEXEXTRACT($T11, P$1&amp;""[\w &amp;]*, (\d+\.\d+)"")),"""")
"),14.32)</f>
        <v>14.32</v>
      </c>
      <c r="Q11" s="2" t="n">
        <f aca="false">IFERROR(__xludf.dummyfunction("if($T11&lt;&gt;"""",VALUE(REGEXEXTRACT($T11, Q$1&amp;""[\w &amp;]*, (\d+\.\d+)"")),"""")
"),13.57)</f>
        <v>13.57</v>
      </c>
      <c r="R11" s="2" t="n">
        <f aca="false">IFERROR(__xludf.dummyfunction("if($T11&lt;&gt;"""",VALUE(REGEXEXTRACT($T11, SUBSTITUTE(R$1, ""+"", ""\+"")&amp;""[\w &amp;]*, (\d+\.\d+)"")),"""")"),16.12)</f>
        <v>16.12</v>
      </c>
      <c r="S11" s="2" t="n">
        <f aca="false">IFERROR(__xludf.dummyfunction("if($T11&lt;&gt;"""",VALUE(REGEXEXTRACT($T11, SUBSTITUTE(S$1, ""+"", ""\+"")&amp;""[\w &amp;]*, (\d+\.\d+)"")),"""")"),16.87)</f>
        <v>16.87</v>
      </c>
      <c r="T11" s="5" t="s">
        <v>236</v>
      </c>
    </row>
    <row r="12" customFormat="false" ht="15.75" hidden="false" customHeight="false" outlineLevel="0" collapsed="false">
      <c r="A12" s="4" t="n">
        <f aca="false">IFERROR(__xludf.dummyfunction("""COMPUTED_VALUE"""),45412.6361111111)</f>
        <v>45412.6361111111</v>
      </c>
      <c r="B12" s="2" t="n">
        <f aca="false">IFERROR(__xludf.dummyfunction("""COMPUTED_VALUE"""),14.77)</f>
        <v>14.77</v>
      </c>
      <c r="C12" s="2" t="n">
        <f aca="false">IFERROR(__xludf.dummyfunction("""COMPUTED_VALUE"""),15.9)</f>
        <v>15.9</v>
      </c>
      <c r="D12" s="2" t="n">
        <f aca="false">IFERROR(__xludf.dummyfunction("""COMPUTED_VALUE"""),14.67)</f>
        <v>14.67</v>
      </c>
      <c r="E12" s="2" t="n">
        <f aca="false">IFERROR(__xludf.dummyfunction("""COMPUTED_VALUE"""),15.65)</f>
        <v>15.65</v>
      </c>
      <c r="F12" s="3" t="n">
        <f aca="false">IFERROR(__xludf.dummyfunction("if($T12&lt;&gt;"""",VALUE(REGEXEXTRACT(SUBSTITUTE ($T12,F$1&amp;"" CE"",""""), F$1&amp;""[\w &amp;]*, (\d+\.\d+)"")),"""")
"),20)</f>
        <v>20</v>
      </c>
      <c r="G12" s="3" t="n">
        <f aca="false">IFERROR(__xludf.dummyfunction("if($T12&lt;&gt;"""",VALUE(REGEXEXTRACT($T12, G$1&amp;""[\w &amp;]*, (\d+\.\d+)"")),"""")
"),17)</f>
        <v>17</v>
      </c>
      <c r="H12" s="3" t="n">
        <f aca="false">IFERROR(__xludf.dummyfunction("if($T12&lt;&gt;"""",VALUE(REGEXEXTRACT($T12, H$1&amp;""[\w &amp;]*, (\d+\.\d+)"")),"""")
"),170)</f>
        <v>170</v>
      </c>
      <c r="I12" s="3" t="n">
        <f aca="false">IFERROR(__xludf.dummyfunction("if($T12&lt;&gt;"""",VALUE(REGEXEXTRACT(SUBSTITUTE ($T12,I$1&amp;"" CE"",""""), I$1&amp;""[\w &amp;]*, (\d+\.\d+)"")),"""")
"),18)</f>
        <v>18</v>
      </c>
      <c r="J12" s="3" t="n">
        <f aca="false">IFERROR(__xludf.dummyfunction("if($T12&lt;&gt;"""",VALUE(REGEXEXTRACT($T12, J$1&amp;""[\w &amp;]*, (\d+\.\d+)"")),"""")
"),14)</f>
        <v>14</v>
      </c>
      <c r="K12" s="3" t="n">
        <f aca="false">IFERROR(__xludf.dummyfunction("if($T12&lt;&gt;"""",VALUE(REGEXEXTRACT($T12, K$1&amp;""[\w &amp;]*, (\d+\.\d+)"")),"""")
"),10)</f>
        <v>10</v>
      </c>
      <c r="L12" s="3" t="n">
        <f aca="false">IFERROR(__xludf.dummyfunction("if($T12&lt;&gt;"""",VALUE(REGEXEXTRACT(SUBSTITUTE ($T12,L$1&amp;"" CE"",""""), L$1&amp;""[\w &amp;]*, (\d+\.\d+)"")),"""")
"),16)</f>
        <v>16</v>
      </c>
      <c r="M12" s="3" t="n">
        <f aca="false">IFERROR(__xludf.dummyfunction("if($T12&lt;&gt;"""",VALUE(REGEXEXTRACT($T12, M$1&amp;""[\w &amp;]*, (\d+\.\d+)"")),"""")
"),15)</f>
        <v>15</v>
      </c>
      <c r="N12" s="3" t="n">
        <f aca="false">IFERROR(__xludf.dummyfunction("if($T12&lt;&gt;"""",VALUE(REGEXEXTRACT(SUBSTITUTE ($T12,N$1&amp;"" CE"",""""), N$1&amp;""[\w &amp;]*, (\d+\.\d+)"")),"""")
"),20)</f>
        <v>20</v>
      </c>
      <c r="O12" s="3" t="n">
        <f aca="false">IFERROR(__xludf.dummyfunction("if($T12&lt;&gt;"""",VALUE(REGEXEXTRACT($T12, O$1&amp;""[\w &amp;]*, (\d+\.\d+)"")),"""")
"),17)</f>
        <v>17</v>
      </c>
      <c r="P12" s="2" t="n">
        <f aca="false">IFERROR(__xludf.dummyfunction("if($T12&lt;&gt;"""",VALUE(REGEXEXTRACT($T12, P$1&amp;""[\w &amp;]*, (\d+\.\d+)"")),"""")
"),14.15)</f>
        <v>14.15</v>
      </c>
      <c r="Q12" s="2" t="n">
        <f aca="false">IFERROR(__xludf.dummyfunction("if($T12&lt;&gt;"""",VALUE(REGEXEXTRACT($T12, Q$1&amp;""[\w &amp;]*, (\d+\.\d+)"")),"""")
"),13.41)</f>
        <v>13.41</v>
      </c>
      <c r="R12" s="2" t="n">
        <f aca="false">IFERROR(__xludf.dummyfunction("if($T12&lt;&gt;"""",VALUE(REGEXEXTRACT($T12, SUBSTITUTE(R$1, ""+"", ""\+"")&amp;""[\w &amp;]*, (\d+\.\d+)"")),"""")"),15.48)</f>
        <v>15.48</v>
      </c>
      <c r="S12" s="2" t="n">
        <f aca="false">IFERROR(__xludf.dummyfunction("if($T12&lt;&gt;"""",VALUE(REGEXEXTRACT($T12, SUBSTITUTE(S$1, ""+"", ""\+"")&amp;""[\w &amp;]*, (\d+\.\d+)"")),"""")"),16.23)</f>
        <v>16.23</v>
      </c>
      <c r="T12" s="5" t="s">
        <v>237</v>
      </c>
    </row>
    <row r="13" customFormat="false" ht="15.75" hidden="false" customHeight="false" outlineLevel="0" collapsed="false">
      <c r="A13" s="4" t="n">
        <f aca="false">IFERROR(__xludf.dummyfunction("""COMPUTED_VALUE"""),45413.6361111111)</f>
        <v>45413.6361111111</v>
      </c>
      <c r="B13" s="2" t="n">
        <f aca="false">IFERROR(__xludf.dummyfunction("""COMPUTED_VALUE"""),16.08)</f>
        <v>16.08</v>
      </c>
      <c r="C13" s="2" t="n">
        <f aca="false">IFERROR(__xludf.dummyfunction("""COMPUTED_VALUE"""),16.22)</f>
        <v>16.22</v>
      </c>
      <c r="D13" s="2" t="n">
        <f aca="false">IFERROR(__xludf.dummyfunction("""COMPUTED_VALUE"""),14.35)</f>
        <v>14.35</v>
      </c>
      <c r="E13" s="2" t="n">
        <f aca="false">IFERROR(__xludf.dummyfunction("""COMPUTED_VALUE"""),15.39)</f>
        <v>15.39</v>
      </c>
      <c r="F13" s="3" t="n">
        <f aca="false">IFERROR(__xludf.dummyfunction("if($T13&lt;&gt;"""",VALUE(REGEXEXTRACT(SUBSTITUTE ($T13,F$1&amp;"" CE"",""""), F$1&amp;""[\w &amp;]*, (\d+\.\d+)"")),"""")
"),20)</f>
        <v>20</v>
      </c>
      <c r="G13" s="3" t="n">
        <f aca="false">IFERROR(__xludf.dummyfunction("if($T13&lt;&gt;"""",VALUE(REGEXEXTRACT($T13, G$1&amp;""[\w &amp;]*, (\d+\.\d+)"")),"""")
"),16)</f>
        <v>16</v>
      </c>
      <c r="H13" s="3" t="n">
        <f aca="false">IFERROR(__xludf.dummyfunction("if($T13&lt;&gt;"""",VALUE(REGEXEXTRACT($T13, H$1&amp;""[\w &amp;]*, (\d+\.\d+)"")),"""")
"),170)</f>
        <v>170</v>
      </c>
      <c r="I13" s="3" t="n">
        <f aca="false">IFERROR(__xludf.dummyfunction("if($T13&lt;&gt;"""",VALUE(REGEXEXTRACT(SUBSTITUTE ($T13,I$1&amp;"" CE"",""""), I$1&amp;""[\w &amp;]*, (\d+\.\d+)"")),"""")
"),18)</f>
        <v>18</v>
      </c>
      <c r="J13" s="3" t="n">
        <f aca="false">IFERROR(__xludf.dummyfunction("if($T13&lt;&gt;"""",VALUE(REGEXEXTRACT($T13, J$1&amp;""[\w &amp;]*, (\d+\.\d+)"")),"""")
"),15)</f>
        <v>15</v>
      </c>
      <c r="K13" s="3" t="n">
        <f aca="false">IFERROR(__xludf.dummyfunction("if($T13&lt;&gt;"""",VALUE(REGEXEXTRACT($T13, K$1&amp;""[\w &amp;]*, (\d+\.\d+)"")),"""")
"),10)</f>
        <v>10</v>
      </c>
      <c r="L13" s="3" t="n">
        <f aca="false">IFERROR(__xludf.dummyfunction("if($T13&lt;&gt;"""",VALUE(REGEXEXTRACT(SUBSTITUTE ($T13,L$1&amp;"" CE"",""""), L$1&amp;""[\w &amp;]*, (\d+\.\d+)"")),"""")
"),16)</f>
        <v>16</v>
      </c>
      <c r="M13" s="3" t="n">
        <f aca="false">IFERROR(__xludf.dummyfunction("if($T13&lt;&gt;"""",VALUE(REGEXEXTRACT($T13, M$1&amp;""[\w &amp;]*, (\d+\.\d+)"")),"""")
"),15)</f>
        <v>15</v>
      </c>
      <c r="N13" s="3" t="n">
        <f aca="false">IFERROR(__xludf.dummyfunction("if($T13&lt;&gt;"""",VALUE(REGEXEXTRACT(SUBSTITUTE ($T13,N$1&amp;"" CE"",""""), N$1&amp;""[\w &amp;]*, (\d+\.\d+)"")),"""")
"),20)</f>
        <v>20</v>
      </c>
      <c r="O13" s="3" t="n">
        <f aca="false">IFERROR(__xludf.dummyfunction("if($T13&lt;&gt;"""",VALUE(REGEXEXTRACT($T13, O$1&amp;""[\w &amp;]*, (\d+\.\d+)"")),"""")
"),16)</f>
        <v>16</v>
      </c>
      <c r="P13" s="2" t="n">
        <f aca="false">IFERROR(__xludf.dummyfunction("if($T13&lt;&gt;"""",VALUE(REGEXEXTRACT($T13, P$1&amp;""[\w &amp;]*, (\d+\.\d+)"")),"""")
"),15.55)</f>
        <v>15.55</v>
      </c>
      <c r="Q13" s="2" t="n">
        <f aca="false">IFERROR(__xludf.dummyfunction("if($T13&lt;&gt;"""",VALUE(REGEXEXTRACT($T13, Q$1&amp;""[\w &amp;]*, (\d+\.\d+)"")),"""")
"),14.59)</f>
        <v>14.59</v>
      </c>
      <c r="R13" s="2" t="n">
        <f aca="false">IFERROR(__xludf.dummyfunction("if($T13&lt;&gt;"""",VALUE(REGEXEXTRACT($T13, SUBSTITUTE(R$1, ""+"", ""\+"")&amp;""[\w &amp;]*, (\d+\.\d+)"")),"""")"),16.61)</f>
        <v>16.61</v>
      </c>
      <c r="S13" s="2" t="n">
        <f aca="false">IFERROR(__xludf.dummyfunction("if($T13&lt;&gt;"""",VALUE(REGEXEXTRACT($T13, SUBSTITUTE(S$1, ""+"", ""\+"")&amp;""[\w &amp;]*, (\d+\.\d+)"")),"""")"),17.57)</f>
        <v>17.57</v>
      </c>
      <c r="T13" s="5" t="s">
        <v>238</v>
      </c>
    </row>
    <row r="14" customFormat="false" ht="15.75" hidden="false" customHeight="false" outlineLevel="0" collapsed="false">
      <c r="A14" s="4" t="n">
        <f aca="false">IFERROR(__xludf.dummyfunction("""COMPUTED_VALUE"""),45414.6361111111)</f>
        <v>45414.6361111111</v>
      </c>
      <c r="B14" s="2" t="n">
        <f aca="false">IFERROR(__xludf.dummyfunction("""COMPUTED_VALUE"""),14.95)</f>
        <v>14.95</v>
      </c>
      <c r="C14" s="2" t="n">
        <f aca="false">IFERROR(__xludf.dummyfunction("""COMPUTED_VALUE"""),16.09)</f>
        <v>16.09</v>
      </c>
      <c r="D14" s="2" t="n">
        <f aca="false">IFERROR(__xludf.dummyfunction("""COMPUTED_VALUE"""),14.6)</f>
        <v>14.6</v>
      </c>
      <c r="E14" s="2" t="n">
        <f aca="false">IFERROR(__xludf.dummyfunction("""COMPUTED_VALUE"""),14.68)</f>
        <v>14.68</v>
      </c>
      <c r="F14" s="3" t="n">
        <f aca="false">IFERROR(__xludf.dummyfunction("if($T14&lt;&gt;"""",VALUE(REGEXEXTRACT(SUBSTITUTE ($T14,F$1&amp;"" CE"",""""), F$1&amp;""[\w &amp;]*, (\d+\.\d+)"")),"""")
"),20)</f>
        <v>20</v>
      </c>
      <c r="G14" s="3" t="n">
        <f aca="false">IFERROR(__xludf.dummyfunction("if($T14&lt;&gt;"""",VALUE(REGEXEXTRACT($T14, G$1&amp;""[\w &amp;]*, (\d+\.\d+)"")),"""")
"),15)</f>
        <v>15</v>
      </c>
      <c r="H14" s="3" t="n">
        <f aca="false">IFERROR(__xludf.dummyfunction("if($T14&lt;&gt;"""",VALUE(REGEXEXTRACT($T14, H$1&amp;""[\w &amp;]*, (\d+\.\d+)"")),"""")
"),170)</f>
        <v>170</v>
      </c>
      <c r="I14" s="3" t="n">
        <f aca="false">IFERROR(__xludf.dummyfunction("if($T14&lt;&gt;"""",VALUE(REGEXEXTRACT(SUBSTITUTE ($T14,I$1&amp;"" CE"",""""), I$1&amp;""[\w &amp;]*, (\d+\.\d+)"")),"""")
"),18)</f>
        <v>18</v>
      </c>
      <c r="J14" s="3" t="n">
        <f aca="false">IFERROR(__xludf.dummyfunction("if($T14&lt;&gt;"""",VALUE(REGEXEXTRACT($T14, J$1&amp;""[\w &amp;]*, (\d+\.\d+)"")),"""")
"),14)</f>
        <v>14</v>
      </c>
      <c r="K14" s="3" t="n">
        <f aca="false">IFERROR(__xludf.dummyfunction("if($T14&lt;&gt;"""",VALUE(REGEXEXTRACT($T14, K$1&amp;""[\w &amp;]*, (\d+\.\d+)"")),"""")
"),10)</f>
        <v>10</v>
      </c>
      <c r="L14" s="3" t="n">
        <f aca="false">IFERROR(__xludf.dummyfunction("if($T14&lt;&gt;"""",VALUE(REGEXEXTRACT(SUBSTITUTE ($T14,L$1&amp;"" CE"",""""), L$1&amp;""[\w &amp;]*, (\d+\.\d+)"")),"""")
"),16)</f>
        <v>16</v>
      </c>
      <c r="M14" s="3" t="n">
        <f aca="false">IFERROR(__xludf.dummyfunction("if($T14&lt;&gt;"""",VALUE(REGEXEXTRACT($T14, M$1&amp;""[\w &amp;]*, (\d+\.\d+)"")),"""")
"),14.5)</f>
        <v>14.5</v>
      </c>
      <c r="N14" s="3" t="n">
        <f aca="false">IFERROR(__xludf.dummyfunction("if($T14&lt;&gt;"""",VALUE(REGEXEXTRACT(SUBSTITUTE ($T14,N$1&amp;"" CE"",""""), N$1&amp;""[\w &amp;]*, (\d+\.\d+)"")),"""")
"),20)</f>
        <v>20</v>
      </c>
      <c r="O14" s="3" t="n">
        <f aca="false">IFERROR(__xludf.dummyfunction("if($T14&lt;&gt;"""",VALUE(REGEXEXTRACT($T14, O$1&amp;""[\w &amp;]*, (\d+\.\d+)"")),"""")
"),15)</f>
        <v>15</v>
      </c>
      <c r="P14" s="2" t="n">
        <f aca="false">IFERROR(__xludf.dummyfunction("if($T14&lt;&gt;"""",VALUE(REGEXEXTRACT($T14, P$1&amp;""[\w &amp;]*, (\d+\.\d+)"")),"""")
"),13.72)</f>
        <v>13.72</v>
      </c>
      <c r="Q14" s="2" t="n">
        <f aca="false">IFERROR(__xludf.dummyfunction("if($T14&lt;&gt;"""",VALUE(REGEXEXTRACT($T14, Q$1&amp;""[\w &amp;]*, (\d+\.\d+)"")),"""")
"),13.19)</f>
        <v>13.19</v>
      </c>
      <c r="R14" s="2" t="n">
        <f aca="false">IFERROR(__xludf.dummyfunction("if($T14&lt;&gt;"""",VALUE(REGEXEXTRACT($T14, SUBSTITUTE(R$1, ""+"", ""\+"")&amp;""[\w &amp;]*, (\d+\.\d+)"")),"""")"),16.23)</f>
        <v>16.23</v>
      </c>
      <c r="S14" s="2" t="n">
        <f aca="false">IFERROR(__xludf.dummyfunction("if($T14&lt;&gt;"""",VALUE(REGEXEXTRACT($T14, SUBSTITUTE(S$1, ""+"", ""\+"")&amp;""[\w &amp;]*, (\d+\.\d+)"")),"""")"),16.75)</f>
        <v>16.75</v>
      </c>
      <c r="T14" s="5" t="s">
        <v>239</v>
      </c>
    </row>
    <row r="15" customFormat="false" ht="15.75" hidden="false" customHeight="false" outlineLevel="0" collapsed="false">
      <c r="A15" s="4" t="n">
        <f aca="false">IFERROR(__xludf.dummyfunction("""COMPUTED_VALUE"""),45415.6361111111)</f>
        <v>45415.6361111111</v>
      </c>
      <c r="B15" s="2" t="n">
        <f aca="false">IFERROR(__xludf.dummyfunction("""COMPUTED_VALUE"""),14.49)</f>
        <v>14.49</v>
      </c>
      <c r="C15" s="2" t="n">
        <f aca="false">IFERROR(__xludf.dummyfunction("""COMPUTED_VALUE"""),14.49)</f>
        <v>14.49</v>
      </c>
      <c r="D15" s="2" t="n">
        <f aca="false">IFERROR(__xludf.dummyfunction("""COMPUTED_VALUE"""),13.48)</f>
        <v>13.48</v>
      </c>
      <c r="E15" s="2" t="n">
        <f aca="false">IFERROR(__xludf.dummyfunction("""COMPUTED_VALUE"""),13.49)</f>
        <v>13.49</v>
      </c>
      <c r="F15" s="3" t="n">
        <f aca="false">IFERROR(__xludf.dummyfunction("if($T15&lt;&gt;"""",VALUE(REGEXEXTRACT(SUBSTITUTE ($T15,F$1&amp;"" CE"",""""), F$1&amp;""[\w &amp;]*, (\d+\.\d+)"")),"""")
"),20)</f>
        <v>20</v>
      </c>
      <c r="G15" s="3" t="n">
        <f aca="false">IFERROR(__xludf.dummyfunction("if($T15&lt;&gt;"""",VALUE(REGEXEXTRACT($T15, G$1&amp;""[\w &amp;]*, (\d+\.\d+)"")),"""")
"),15)</f>
        <v>15</v>
      </c>
      <c r="H15" s="3" t="n">
        <f aca="false">IFERROR(__xludf.dummyfunction("if($T15&lt;&gt;"""",VALUE(REGEXEXTRACT($T15, H$1&amp;""[\w &amp;]*, (\d+\.\d+)"")),"""")
"),170)</f>
        <v>170</v>
      </c>
      <c r="I15" s="3" t="n">
        <f aca="false">IFERROR(__xludf.dummyfunction("if($T15&lt;&gt;"""",VALUE(REGEXEXTRACT(SUBSTITUTE ($T15,I$1&amp;"" CE"",""""), I$1&amp;""[\w &amp;]*, (\d+\.\d+)"")),"""")
"),18)</f>
        <v>18</v>
      </c>
      <c r="J15" s="3" t="n">
        <f aca="false">IFERROR(__xludf.dummyfunction("if($T15&lt;&gt;"""",VALUE(REGEXEXTRACT($T15, J$1&amp;""[\w &amp;]*, (\d+\.\d+)"")),"""")
"),14)</f>
        <v>14</v>
      </c>
      <c r="K15" s="3" t="n">
        <f aca="false">IFERROR(__xludf.dummyfunction("if($T15&lt;&gt;"""",VALUE(REGEXEXTRACT($T15, K$1&amp;""[\w &amp;]*, (\d+\.\d+)"")),"""")
"),10)</f>
        <v>10</v>
      </c>
      <c r="L15" s="3" t="n">
        <f aca="false">IFERROR(__xludf.dummyfunction("if($T15&lt;&gt;"""",VALUE(REGEXEXTRACT(SUBSTITUTE ($T15,L$1&amp;"" CE"",""""), L$1&amp;""[\w &amp;]*, (\d+\.\d+)"")),"""")
"),16)</f>
        <v>16</v>
      </c>
      <c r="M15" s="3" t="n">
        <f aca="false">IFERROR(__xludf.dummyfunction("if($T15&lt;&gt;"""",VALUE(REGEXEXTRACT($T15, M$1&amp;""[\w &amp;]*, (\d+\.\d+)"")),"""")
"),14.5)</f>
        <v>14.5</v>
      </c>
      <c r="N15" s="3" t="n">
        <f aca="false">IFERROR(__xludf.dummyfunction("if($T15&lt;&gt;"""",VALUE(REGEXEXTRACT(SUBSTITUTE ($T15,N$1&amp;"" CE"",""""), N$1&amp;""[\w &amp;]*, (\d+\.\d+)"")),"""")
"),20)</f>
        <v>20</v>
      </c>
      <c r="O15" s="3" t="n">
        <f aca="false">IFERROR(__xludf.dummyfunction("if($T15&lt;&gt;"""",VALUE(REGEXEXTRACT($T15, O$1&amp;""[\w &amp;]*, (\d+\.\d+)"")),"""")
"),15)</f>
        <v>15</v>
      </c>
      <c r="P15" s="2" t="n">
        <f aca="false">IFERROR(__xludf.dummyfunction("if($T15&lt;&gt;"""",VALUE(REGEXEXTRACT($T15, P$1&amp;""[\w &amp;]*, (\d+\.\d+)"")),"""")
"),13.45)</f>
        <v>13.45</v>
      </c>
      <c r="Q15" s="2" t="n">
        <f aca="false">IFERROR(__xludf.dummyfunction("if($T15&lt;&gt;"""",VALUE(REGEXEXTRACT($T15, Q$1&amp;""[\w &amp;]*, (\d+\.\d+)"")),"""")
"),12.95)</f>
        <v>12.95</v>
      </c>
      <c r="R15" s="2" t="n">
        <f aca="false">IFERROR(__xludf.dummyfunction("if($T15&lt;&gt;"""",VALUE(REGEXEXTRACT($T15, SUBSTITUTE(R$1, ""+"", ""\+"")&amp;""[\w &amp;]*, (\d+\.\d+)"")),"""")"),15.53)</f>
        <v>15.53</v>
      </c>
      <c r="S15" s="2" t="n">
        <f aca="false">IFERROR(__xludf.dummyfunction("if($T15&lt;&gt;"""",VALUE(REGEXEXTRACT($T15, SUBSTITUTE(S$1, ""+"", ""\+"")&amp;""[\w &amp;]*, (\d+\.\d+)"")),"""")"),16.03)</f>
        <v>16.03</v>
      </c>
      <c r="T15" s="5" t="s">
        <v>240</v>
      </c>
    </row>
    <row r="16" customFormat="false" ht="15.75" hidden="false" customHeight="false" outlineLevel="0" collapsed="false">
      <c r="A16" s="4" t="n">
        <f aca="false">IFERROR(__xludf.dummyfunction("""COMPUTED_VALUE"""),45418.6361111111)</f>
        <v>45418.6361111111</v>
      </c>
      <c r="B16" s="2" t="n">
        <f aca="false">IFERROR(__xludf.dummyfunction("""COMPUTED_VALUE"""),13.98)</f>
        <v>13.98</v>
      </c>
      <c r="C16" s="2" t="n">
        <f aca="false">IFERROR(__xludf.dummyfunction("""COMPUTED_VALUE"""),14.02)</f>
        <v>14.02</v>
      </c>
      <c r="D16" s="2" t="n">
        <f aca="false">IFERROR(__xludf.dummyfunction("""COMPUTED_VALUE"""),13.44)</f>
        <v>13.44</v>
      </c>
      <c r="E16" s="2" t="n">
        <f aca="false">IFERROR(__xludf.dummyfunction("""COMPUTED_VALUE"""),13.49)</f>
        <v>13.49</v>
      </c>
      <c r="F16" s="3" t="n">
        <f aca="false">IFERROR(__xludf.dummyfunction("if($T16&lt;&gt;"""",VALUE(REGEXEXTRACT(SUBSTITUTE ($T16,F$1&amp;"" CE"",""""), F$1&amp;""[\w &amp;]*, (\d+\.\d+)"")),"""")
"),20)</f>
        <v>20</v>
      </c>
      <c r="G16" s="3" t="n">
        <f aca="false">IFERROR(__xludf.dummyfunction("if($T16&lt;&gt;"""",VALUE(REGEXEXTRACT($T16, G$1&amp;""[\w &amp;]*, (\d+\.\d+)"")),"""")
"),15)</f>
        <v>15</v>
      </c>
      <c r="H16" s="3" t="n">
        <f aca="false">IFERROR(__xludf.dummyfunction("if($T16&lt;&gt;"""",VALUE(REGEXEXTRACT($T16, H$1&amp;""[\w &amp;]*, (\d+\.\d+)"")),"""")
"),170)</f>
        <v>170</v>
      </c>
      <c r="I16" s="3" t="n">
        <f aca="false">IFERROR(__xludf.dummyfunction("if($T16&lt;&gt;"""",VALUE(REGEXEXTRACT(SUBSTITUTE ($T16,I$1&amp;"" CE"",""""), I$1&amp;""[\w &amp;]*, (\d+\.\d+)"")),"""")
"),16)</f>
        <v>16</v>
      </c>
      <c r="J16" s="3" t="n">
        <f aca="false">IFERROR(__xludf.dummyfunction("if($T16&lt;&gt;"""",VALUE(REGEXEXTRACT($T16, J$1&amp;""[\w &amp;]*, (\d+\.\d+)"")),"""")
"),14)</f>
        <v>14</v>
      </c>
      <c r="K16" s="3" t="n">
        <f aca="false">IFERROR(__xludf.dummyfunction("if($T16&lt;&gt;"""",VALUE(REGEXEXTRACT($T16, K$1&amp;""[\w &amp;]*, (\d+\.\d+)"")),"""")
"),10)</f>
        <v>10</v>
      </c>
      <c r="L16" s="3" t="n">
        <f aca="false">IFERROR(__xludf.dummyfunction("if($T16&lt;&gt;"""",VALUE(REGEXEXTRACT(SUBSTITUTE ($T16,L$1&amp;"" CE"",""""), L$1&amp;""[\w &amp;]*, (\d+\.\d+)"")),"""")
"),16)</f>
        <v>16</v>
      </c>
      <c r="M16" s="3" t="n">
        <f aca="false">IFERROR(__xludf.dummyfunction("if($T16&lt;&gt;"""",VALUE(REGEXEXTRACT($T16, M$1&amp;""[\w &amp;]*, (\d+\.\d+)"")),"""")
"),14)</f>
        <v>14</v>
      </c>
      <c r="N16" s="3" t="n">
        <f aca="false">IFERROR(__xludf.dummyfunction("if($T16&lt;&gt;"""",VALUE(REGEXEXTRACT(SUBSTITUTE ($T16,N$1&amp;"" CE"",""""), N$1&amp;""[\w &amp;]*, (\d+\.\d+)"")),"""")
"),20)</f>
        <v>20</v>
      </c>
      <c r="O16" s="3" t="n">
        <f aca="false">IFERROR(__xludf.dummyfunction("if($T16&lt;&gt;"""",VALUE(REGEXEXTRACT($T16, O$1&amp;""[\w &amp;]*, (\d+\.\d+)"")),"""")
"),15)</f>
        <v>15</v>
      </c>
      <c r="P16" s="2" t="n">
        <f aca="false">IFERROR(__xludf.dummyfunction("if($T16&lt;&gt;"""",VALUE(REGEXEXTRACT($T16, P$1&amp;""[\w &amp;]*, (\d+\.\d+)"")),"""")
"),13.06)</f>
        <v>13.06</v>
      </c>
      <c r="Q16" s="2" t="n">
        <f aca="false">IFERROR(__xludf.dummyfunction("if($T16&lt;&gt;"""",VALUE(REGEXEXTRACT($T16, Q$1&amp;""[\w &amp;]*, (\d+\.\d+)"")),"""")
"),12.42)</f>
        <v>12.42</v>
      </c>
      <c r="R16" s="2" t="n">
        <f aca="false">IFERROR(__xludf.dummyfunction("if($T16&lt;&gt;"""",VALUE(REGEXEXTRACT($T16, SUBSTITUTE(R$1, ""+"", ""\+"")&amp;""[\w &amp;]*, (\d+\.\d+)"")),"""")"),14.6)</f>
        <v>14.6</v>
      </c>
      <c r="S16" s="2" t="n">
        <f aca="false">IFERROR(__xludf.dummyfunction("if($T16&lt;&gt;"""",VALUE(REGEXEXTRACT($T16, SUBSTITUTE(S$1, ""+"", ""\+"")&amp;""[\w &amp;]*, (\d+\.\d+)"")),"""")"),15.24)</f>
        <v>15.24</v>
      </c>
      <c r="T16" s="5" t="s">
        <v>241</v>
      </c>
    </row>
    <row r="17" customFormat="false" ht="15.75" hidden="false" customHeight="false" outlineLevel="0" collapsed="false">
      <c r="A17" s="4" t="n">
        <f aca="false">IFERROR(__xludf.dummyfunction("""COMPUTED_VALUE"""),45419.6361111111)</f>
        <v>45419.6361111111</v>
      </c>
      <c r="B17" s="2" t="n">
        <f aca="false">IFERROR(__xludf.dummyfunction("""COMPUTED_VALUE"""),13.55)</f>
        <v>13.55</v>
      </c>
      <c r="C17" s="2" t="n">
        <f aca="false">IFERROR(__xludf.dummyfunction("""COMPUTED_VALUE"""),13.64)</f>
        <v>13.64</v>
      </c>
      <c r="D17" s="2" t="n">
        <f aca="false">IFERROR(__xludf.dummyfunction("""COMPUTED_VALUE"""),13.16)</f>
        <v>13.16</v>
      </c>
      <c r="E17" s="2" t="n">
        <f aca="false">IFERROR(__xludf.dummyfunction("""COMPUTED_VALUE"""),13.23)</f>
        <v>13.23</v>
      </c>
      <c r="F17" s="3" t="n">
        <f aca="false">IFERROR(__xludf.dummyfunction("if($T17&lt;&gt;"""",VALUE(REGEXEXTRACT(SUBSTITUTE ($T17,F$1&amp;"" CE"",""""), F$1&amp;""[\w &amp;]*, (\d+\.\d+)"")),"""")
"),20)</f>
        <v>20</v>
      </c>
      <c r="G17" s="3" t="n">
        <f aca="false">IFERROR(__xludf.dummyfunction("if($T17&lt;&gt;"""",VALUE(REGEXEXTRACT($T17, G$1&amp;""[\w &amp;]*, (\d+\.\d+)"")),"""")
"),15)</f>
        <v>15</v>
      </c>
      <c r="H17" s="3" t="n">
        <f aca="false">IFERROR(__xludf.dummyfunction("if($T17&lt;&gt;"""",VALUE(REGEXEXTRACT($T17, H$1&amp;""[\w &amp;]*, (\d+\.\d+)"")),"""")
"),170)</f>
        <v>170</v>
      </c>
      <c r="I17" s="3" t="n">
        <f aca="false">IFERROR(__xludf.dummyfunction("if($T17&lt;&gt;"""",VALUE(REGEXEXTRACT(SUBSTITUTE ($T17,I$1&amp;"" CE"",""""), I$1&amp;""[\w &amp;]*, (\d+\.\d+)"")),"""")
"),16)</f>
        <v>16</v>
      </c>
      <c r="J17" s="3" t="n">
        <f aca="false">IFERROR(__xludf.dummyfunction("if($T17&lt;&gt;"""",VALUE(REGEXEXTRACT($T17, J$1&amp;""[\w &amp;]*, (\d+\.\d+)"")),"""")
"),14)</f>
        <v>14</v>
      </c>
      <c r="K17" s="3" t="n">
        <f aca="false">IFERROR(__xludf.dummyfunction("if($T17&lt;&gt;"""",VALUE(REGEXEXTRACT($T17, K$1&amp;""[\w &amp;]*, (\d+\.\d+)"")),"""")
"),10)</f>
        <v>10</v>
      </c>
      <c r="L17" s="3" t="n">
        <f aca="false">IFERROR(__xludf.dummyfunction("if($T17&lt;&gt;"""",VALUE(REGEXEXTRACT(SUBSTITUTE ($T17,L$1&amp;"" CE"",""""), L$1&amp;""[\w &amp;]*, (\d+\.\d+)"")),"""")
"),16)</f>
        <v>16</v>
      </c>
      <c r="M17" s="3" t="n">
        <f aca="false">IFERROR(__xludf.dummyfunction("if($T17&lt;&gt;"""",VALUE(REGEXEXTRACT($T17, M$1&amp;""[\w &amp;]*, (\d+\.\d+)"")),"""")
"),14)</f>
        <v>14</v>
      </c>
      <c r="N17" s="3" t="n">
        <f aca="false">IFERROR(__xludf.dummyfunction("if($T17&lt;&gt;"""",VALUE(REGEXEXTRACT(SUBSTITUTE ($T17,N$1&amp;"" CE"",""""), N$1&amp;""[\w &amp;]*, (\d+\.\d+)"")),"""")
"),20)</f>
        <v>20</v>
      </c>
      <c r="O17" s="3" t="n">
        <f aca="false">IFERROR(__xludf.dummyfunction("if($T17&lt;&gt;"""",VALUE(REGEXEXTRACT($T17, O$1&amp;""[\w &amp;]*, (\d+\.\d+)"")),"""")
"),14)</f>
        <v>14</v>
      </c>
      <c r="P17" s="2" t="n">
        <f aca="false">IFERROR(__xludf.dummyfunction("if($T17&lt;&gt;"""",VALUE(REGEXEXTRACT($T17, P$1&amp;""[\w &amp;]*, (\d+\.\d+)"")),"""")
"),12.94)</f>
        <v>12.94</v>
      </c>
      <c r="Q17" s="2" t="n">
        <f aca="false">IFERROR(__xludf.dummyfunction("if($T17&lt;&gt;"""",VALUE(REGEXEXTRACT($T17, Q$1&amp;""[\w &amp;]*, (\d+\.\d+)"")),"""")
"),12.25)</f>
        <v>12.25</v>
      </c>
      <c r="R17" s="2" t="n">
        <f aca="false">IFERROR(__xludf.dummyfunction("if($T17&lt;&gt;"""",VALUE(REGEXEXTRACT($T17, SUBSTITUTE(R$1, ""+"", ""\+"")&amp;""[\w &amp;]*, (\d+\.\d+)"")),"""")"),14.16)</f>
        <v>14.16</v>
      </c>
      <c r="S17" s="2" t="n">
        <f aca="false">IFERROR(__xludf.dummyfunction("if($T17&lt;&gt;"""",VALUE(REGEXEXTRACT($T17, SUBSTITUTE(S$1, ""+"", ""\+"")&amp;""[\w &amp;]*, (\d+\.\d+)"")),"""")"),14.85)</f>
        <v>14.85</v>
      </c>
      <c r="T17" s="5" t="s">
        <v>242</v>
      </c>
    </row>
    <row r="18" customFormat="false" ht="15.75" hidden="false" customHeight="false" outlineLevel="0" collapsed="false">
      <c r="A18" s="4" t="n">
        <f aca="false">IFERROR(__xludf.dummyfunction("""COMPUTED_VALUE"""),45420.6361111111)</f>
        <v>45420.6361111111</v>
      </c>
      <c r="B18" s="2" t="n">
        <f aca="false">IFERROR(__xludf.dummyfunction("""COMPUTED_VALUE"""),13.3)</f>
        <v>13.3</v>
      </c>
      <c r="C18" s="2" t="n">
        <f aca="false">IFERROR(__xludf.dummyfunction("""COMPUTED_VALUE"""),13.51)</f>
        <v>13.51</v>
      </c>
      <c r="D18" s="2" t="n">
        <f aca="false">IFERROR(__xludf.dummyfunction("""COMPUTED_VALUE"""),12.94)</f>
        <v>12.94</v>
      </c>
      <c r="E18" s="2" t="n">
        <f aca="false">IFERROR(__xludf.dummyfunction("""COMPUTED_VALUE"""),13)</f>
        <v>13</v>
      </c>
      <c r="F18" s="3" t="n">
        <f aca="false">IFERROR(__xludf.dummyfunction("if($T18&lt;&gt;"""",VALUE(REGEXEXTRACT(SUBSTITUTE ($T18,F$1&amp;"" CE"",""""), F$1&amp;""[\w &amp;]*, (\d+\.\d+)"")),"""")
"),20)</f>
        <v>20</v>
      </c>
      <c r="G18" s="3" t="n">
        <f aca="false">IFERROR(__xludf.dummyfunction("if($T18&lt;&gt;"""",VALUE(REGEXEXTRACT($T18, G$1&amp;""[\w &amp;]*, (\d+\.\d+)"")),"""")
"),15)</f>
        <v>15</v>
      </c>
      <c r="H18" s="3" t="n">
        <f aca="false">IFERROR(__xludf.dummyfunction("if($T18&lt;&gt;"""",VALUE(REGEXEXTRACT($T18, H$1&amp;""[\w &amp;]*, (\d+\.\d+)"")),"""")
"),170)</f>
        <v>170</v>
      </c>
      <c r="I18" s="3" t="n">
        <f aca="false">IFERROR(__xludf.dummyfunction("if($T18&lt;&gt;"""",VALUE(REGEXEXTRACT(SUBSTITUTE ($T18,I$1&amp;"" CE"",""""), I$1&amp;""[\w &amp;]*, (\d+\.\d+)"")),"""")
"),16)</f>
        <v>16</v>
      </c>
      <c r="J18" s="3" t="n">
        <f aca="false">IFERROR(__xludf.dummyfunction("if($T18&lt;&gt;"""",VALUE(REGEXEXTRACT($T18, J$1&amp;""[\w &amp;]*, (\d+\.\d+)"")),"""")
"),14)</f>
        <v>14</v>
      </c>
      <c r="K18" s="3" t="n">
        <f aca="false">IFERROR(__xludf.dummyfunction("if($T18&lt;&gt;"""",VALUE(REGEXEXTRACT($T18, K$1&amp;""[\w &amp;]*, (\d+\.\d+)"")),"""")
"),10)</f>
        <v>10</v>
      </c>
      <c r="L18" s="3" t="n">
        <f aca="false">IFERROR(__xludf.dummyfunction("if($T18&lt;&gt;"""",VALUE(REGEXEXTRACT(SUBSTITUTE ($T18,L$1&amp;"" CE"",""""), L$1&amp;""[\w &amp;]*, (\d+\.\d+)"")),"""")
"),15.5)</f>
        <v>15.5</v>
      </c>
      <c r="M18" s="3" t="n">
        <f aca="false">IFERROR(__xludf.dummyfunction("if($T18&lt;&gt;"""",VALUE(REGEXEXTRACT($T18, M$1&amp;""[\w &amp;]*, (\d+\.\d+)"")),"""")
"),14)</f>
        <v>14</v>
      </c>
      <c r="N18" s="3" t="n">
        <f aca="false">IFERROR(__xludf.dummyfunction("if($T18&lt;&gt;"""",VALUE(REGEXEXTRACT(SUBSTITUTE ($T18,N$1&amp;"" CE"",""""), N$1&amp;""[\w &amp;]*, (\d+\.\d+)"")),"""")
"),20)</f>
        <v>20</v>
      </c>
      <c r="O18" s="3" t="n">
        <f aca="false">IFERROR(__xludf.dummyfunction("if($T18&lt;&gt;"""",VALUE(REGEXEXTRACT($T18, O$1&amp;""[\w &amp;]*, (\d+\.\d+)"")),"""")
"),14)</f>
        <v>14</v>
      </c>
      <c r="P18" s="2" t="n">
        <f aca="false">IFERROR(__xludf.dummyfunction("if($T18&lt;&gt;"""",VALUE(REGEXEXTRACT($T18, P$1&amp;""[\w &amp;]*, (\d+\.\d+)"")),"""")
"),13.04)</f>
        <v>13.04</v>
      </c>
      <c r="Q18" s="2" t="n">
        <f aca="false">IFERROR(__xludf.dummyfunction("if($T18&lt;&gt;"""",VALUE(REGEXEXTRACT($T18, Q$1&amp;""[\w &amp;]*, (\d+\.\d+)"")),"""")
"),12.54)</f>
        <v>12.54</v>
      </c>
      <c r="R18" s="2" t="n">
        <f aca="false">IFERROR(__xludf.dummyfunction("if($T18&lt;&gt;"""",VALUE(REGEXEXTRACT($T18, SUBSTITUTE(R$1, ""+"", ""\+"")&amp;""[\w &amp;]*, (\d+\.\d+)"")),"""")"),13.58)</f>
        <v>13.58</v>
      </c>
      <c r="S18" s="2" t="n">
        <f aca="false">IFERROR(__xludf.dummyfunction("if($T18&lt;&gt;"""",VALUE(REGEXEXTRACT($T18, SUBSTITUTE(S$1, ""+"", ""\+"")&amp;""[\w &amp;]*, (\d+\.\d+)"")),"""")"),14.08)</f>
        <v>14.08</v>
      </c>
      <c r="T18" s="5" t="s">
        <v>243</v>
      </c>
    </row>
    <row r="19" customFormat="false" ht="15.75" hidden="false" customHeight="false" outlineLevel="0" collapsed="false">
      <c r="A19" s="4" t="n">
        <f aca="false">IFERROR(__xludf.dummyfunction("""COMPUTED_VALUE"""),45421.6361111111)</f>
        <v>45421.6361111111</v>
      </c>
      <c r="B19" s="2" t="n">
        <f aca="false">IFERROR(__xludf.dummyfunction("""COMPUTED_VALUE"""),13.25)</f>
        <v>13.25</v>
      </c>
      <c r="C19" s="2" t="n">
        <f aca="false">IFERROR(__xludf.dummyfunction("""COMPUTED_VALUE"""),13.25)</f>
        <v>13.25</v>
      </c>
      <c r="D19" s="2" t="n">
        <f aca="false">IFERROR(__xludf.dummyfunction("""COMPUTED_VALUE"""),12.68)</f>
        <v>12.68</v>
      </c>
      <c r="E19" s="2" t="n">
        <f aca="false">IFERROR(__xludf.dummyfunction("""COMPUTED_VALUE"""),12.69)</f>
        <v>12.69</v>
      </c>
      <c r="F19" s="3" t="n">
        <f aca="false">IFERROR(__xludf.dummyfunction("if($T19&lt;&gt;"""",VALUE(REGEXEXTRACT(SUBSTITUTE ($T19,F$1&amp;"" CE"",""""), F$1&amp;""[\w &amp;]*, (\d+\.\d+)"")),"""")
"),20)</f>
        <v>20</v>
      </c>
      <c r="G19" s="3" t="n">
        <f aca="false">IFERROR(__xludf.dummyfunction("if($T19&lt;&gt;"""",VALUE(REGEXEXTRACT($T19, G$1&amp;""[\w &amp;]*, (\d+\.\d+)"")),"""")
"),17)</f>
        <v>17</v>
      </c>
      <c r="H19" s="3" t="n">
        <f aca="false">IFERROR(__xludf.dummyfunction("if($T19&lt;&gt;"""",VALUE(REGEXEXTRACT($T19, H$1&amp;""[\w &amp;]*, (\d+\.\d+)"")),"""")
"),170)</f>
        <v>170</v>
      </c>
      <c r="I19" s="3" t="n">
        <f aca="false">IFERROR(__xludf.dummyfunction("if($T19&lt;&gt;"""",VALUE(REGEXEXTRACT(SUBSTITUTE ($T19,I$1&amp;"" CE"",""""), I$1&amp;""[\w &amp;]*, (\d+\.\d+)"")),"""")
"),16)</f>
        <v>16</v>
      </c>
      <c r="J19" s="3" t="n">
        <f aca="false">IFERROR(__xludf.dummyfunction("if($T19&lt;&gt;"""",VALUE(REGEXEXTRACT($T19, J$1&amp;""[\w &amp;]*, (\d+\.\d+)"")),"""")
"),13.5)</f>
        <v>13.5</v>
      </c>
      <c r="K19" s="3" t="n">
        <f aca="false">IFERROR(__xludf.dummyfunction("if($T19&lt;&gt;"""",VALUE(REGEXEXTRACT($T19, K$1&amp;""[\w &amp;]*, (\d+\.\d+)"")),"""")
"),10)</f>
        <v>10</v>
      </c>
      <c r="L19" s="3" t="n">
        <f aca="false">IFERROR(__xludf.dummyfunction("if($T19&lt;&gt;"""",VALUE(REGEXEXTRACT(SUBSTITUTE ($T19,L$1&amp;"" CE"",""""), L$1&amp;""[\w &amp;]*, (\d+\.\d+)"")),"""")
"),15.5)</f>
        <v>15.5</v>
      </c>
      <c r="M19" s="3" t="n">
        <f aca="false">IFERROR(__xludf.dummyfunction("if($T19&lt;&gt;"""",VALUE(REGEXEXTRACT($T19, M$1&amp;""[\w &amp;]*, (\d+\.\d+)"")),"""")
"),13.5)</f>
        <v>13.5</v>
      </c>
      <c r="N19" s="3" t="n">
        <f aca="false">IFERROR(__xludf.dummyfunction("if($T19&lt;&gt;"""",VALUE(REGEXEXTRACT(SUBSTITUTE ($T19,N$1&amp;"" CE"",""""), N$1&amp;""[\w &amp;]*, (\d+\.\d+)"")),"""")
"),20)</f>
        <v>20</v>
      </c>
      <c r="O19" s="3" t="n">
        <f aca="false">IFERROR(__xludf.dummyfunction("if($T19&lt;&gt;"""",VALUE(REGEXEXTRACT($T19, O$1&amp;""[\w &amp;]*, (\d+\.\d+)"")),"""")
"),17)</f>
        <v>17</v>
      </c>
      <c r="P19" s="2" t="n">
        <f aca="false">IFERROR(__xludf.dummyfunction("if($T19&lt;&gt;"""",VALUE(REGEXEXTRACT($T19, P$1&amp;""[\w &amp;]*, (\d+\.\d+)"")),"""")
"),12.16)</f>
        <v>12.16</v>
      </c>
      <c r="Q19" s="2" t="n">
        <f aca="false">IFERROR(__xludf.dummyfunction("if($T19&lt;&gt;"""",VALUE(REGEXEXTRACT($T19, Q$1&amp;""[\w &amp;]*, (\d+\.\d+)"")),"""")
"),11.72)</f>
        <v>11.72</v>
      </c>
      <c r="R19" s="2" t="n">
        <f aca="false">IFERROR(__xludf.dummyfunction("if($T19&lt;&gt;"""",VALUE(REGEXEXTRACT($T19, SUBSTITUTE(R$1, ""+"", ""\+"")&amp;""[\w &amp;]*, (\d+\.\d+)"")),"""")"),14.31)</f>
        <v>14.31</v>
      </c>
      <c r="S19" s="2" t="n">
        <f aca="false">IFERROR(__xludf.dummyfunction("if($T19&lt;&gt;"""",VALUE(REGEXEXTRACT($T19, SUBSTITUTE(S$1, ""+"", ""\+"")&amp;""[\w &amp;]*, (\d+\.\d+)"")),"""")"),14.76)</f>
        <v>14.76</v>
      </c>
      <c r="T19" s="5" t="s">
        <v>244</v>
      </c>
    </row>
    <row r="20" customFormat="false" ht="15.75" hidden="false" customHeight="false" outlineLevel="0" collapsed="false">
      <c r="A20" s="4" t="n">
        <f aca="false">IFERROR(__xludf.dummyfunction("""COMPUTED_VALUE"""),45422.6361111111)</f>
        <v>45422.6361111111</v>
      </c>
      <c r="B20" s="2" t="n">
        <f aca="false">IFERROR(__xludf.dummyfunction("""COMPUTED_VALUE"""),12.84)</f>
        <v>12.84</v>
      </c>
      <c r="C20" s="2" t="n">
        <f aca="false">IFERROR(__xludf.dummyfunction("""COMPUTED_VALUE"""),12.96)</f>
        <v>12.96</v>
      </c>
      <c r="D20" s="2" t="n">
        <f aca="false">IFERROR(__xludf.dummyfunction("""COMPUTED_VALUE"""),12.5)</f>
        <v>12.5</v>
      </c>
      <c r="E20" s="2" t="n">
        <f aca="false">IFERROR(__xludf.dummyfunction("""COMPUTED_VALUE"""),12.55)</f>
        <v>12.55</v>
      </c>
      <c r="F20" s="3" t="n">
        <f aca="false">IFERROR(__xludf.dummyfunction("if($T20&lt;&gt;"""",VALUE(REGEXEXTRACT(SUBSTITUTE ($T20,F$1&amp;"" CE"",""""), F$1&amp;""[\w &amp;]*, (\d+\.\d+)"")),"""")
"),20)</f>
        <v>20</v>
      </c>
      <c r="G20" s="3" t="n">
        <f aca="false">IFERROR(__xludf.dummyfunction("if($T20&lt;&gt;"""",VALUE(REGEXEXTRACT($T20, G$1&amp;""[\w &amp;]*, (\d+\.\d+)"")),"""")
"),14)</f>
        <v>14</v>
      </c>
      <c r="H20" s="3" t="n">
        <f aca="false">IFERROR(__xludf.dummyfunction("if($T20&lt;&gt;"""",VALUE(REGEXEXTRACT($T20, H$1&amp;""[\w &amp;]*, (\d+\.\d+)"")),"""")
"),170)</f>
        <v>170</v>
      </c>
      <c r="I20" s="3" t="n">
        <f aca="false">IFERROR(__xludf.dummyfunction("if($T20&lt;&gt;"""",VALUE(REGEXEXTRACT(SUBSTITUTE ($T20,I$1&amp;"" CE"",""""), I$1&amp;""[\w &amp;]*, (\d+\.\d+)"")),"""")
"),16)</f>
        <v>16</v>
      </c>
      <c r="J20" s="3" t="n">
        <f aca="false">IFERROR(__xludf.dummyfunction("if($T20&lt;&gt;"""",VALUE(REGEXEXTRACT($T20, J$1&amp;""[\w &amp;]*, (\d+\.\d+)"")),"""")
"),13.5)</f>
        <v>13.5</v>
      </c>
      <c r="K20" s="3" t="n">
        <f aca="false">IFERROR(__xludf.dummyfunction("if($T20&lt;&gt;"""",VALUE(REGEXEXTRACT($T20, K$1&amp;""[\w &amp;]*, (\d+\.\d+)"")),"""")
"),10)</f>
        <v>10</v>
      </c>
      <c r="L20" s="3" t="n">
        <f aca="false">IFERROR(__xludf.dummyfunction("if($T20&lt;&gt;"""",VALUE(REGEXEXTRACT(SUBSTITUTE ($T20,L$1&amp;"" CE"",""""), L$1&amp;""[\w &amp;]*, (\d+\.\d+)"")),"""")
"),15.5)</f>
        <v>15.5</v>
      </c>
      <c r="M20" s="3" t="n">
        <f aca="false">IFERROR(__xludf.dummyfunction("if($T20&lt;&gt;"""",VALUE(REGEXEXTRACT($T20, M$1&amp;""[\w &amp;]*, (\d+\.\d+)"")),"""")
"),12)</f>
        <v>12</v>
      </c>
      <c r="N20" s="3" t="n">
        <f aca="false">IFERROR(__xludf.dummyfunction("if($T20&lt;&gt;"""",VALUE(REGEXEXTRACT(SUBSTITUTE ($T20,N$1&amp;"" CE"",""""), N$1&amp;""[\w &amp;]*, (\d+\.\d+)"")),"""")
"),20)</f>
        <v>20</v>
      </c>
      <c r="O20" s="3" t="n">
        <f aca="false">IFERROR(__xludf.dummyfunction("if($T20&lt;&gt;"""",VALUE(REGEXEXTRACT($T20, O$1&amp;""[\w &amp;]*, (\d+\.\d+)"")),"""")
"),17)</f>
        <v>17</v>
      </c>
      <c r="P20" s="2" t="n">
        <f aca="false">IFERROR(__xludf.dummyfunction("if($T20&lt;&gt;"""",VALUE(REGEXEXTRACT($T20, P$1&amp;""[\w &amp;]*, (\d+\.\d+)"")),"""")
"),11.96)</f>
        <v>11.96</v>
      </c>
      <c r="Q20" s="2" t="n">
        <f aca="false">IFERROR(__xludf.dummyfunction("if($T20&lt;&gt;"""",VALUE(REGEXEXTRACT($T20, Q$1&amp;""[\w &amp;]*, (\d+\.\d+)"")),"""")
"),11.55)</f>
        <v>11.55</v>
      </c>
      <c r="R20" s="2" t="n">
        <f aca="false">IFERROR(__xludf.dummyfunction("if($T20&lt;&gt;"""",VALUE(REGEXEXTRACT($T20, SUBSTITUTE(R$1, ""+"", ""\+"")&amp;""[\w &amp;]*, (\d+\.\d+)"")),"""")"),13.72)</f>
        <v>13.72</v>
      </c>
      <c r="S20" s="2" t="n">
        <f aca="false">IFERROR(__xludf.dummyfunction("if($T20&lt;&gt;"""",VALUE(REGEXEXTRACT($T20, SUBSTITUTE(S$1, ""+"", ""\+"")&amp;""[\w &amp;]*, (\d+\.\d+)"")),"""")"),14.13)</f>
        <v>14.13</v>
      </c>
      <c r="T20" s="5" t="s">
        <v>245</v>
      </c>
    </row>
    <row r="21" customFormat="false" ht="15.75" hidden="false" customHeight="false" outlineLevel="0" collapsed="false">
      <c r="A21" s="4" t="n">
        <f aca="false">IFERROR(__xludf.dummyfunction("""COMPUTED_VALUE"""),45425.6361111111)</f>
        <v>45425.6361111111</v>
      </c>
      <c r="B21" s="2" t="n">
        <f aca="false">IFERROR(__xludf.dummyfunction("""COMPUTED_VALUE"""),13.26)</f>
        <v>13.26</v>
      </c>
      <c r="C21" s="2" t="n">
        <f aca="false">IFERROR(__xludf.dummyfunction("""COMPUTED_VALUE"""),13.66)</f>
        <v>13.66</v>
      </c>
      <c r="D21" s="2" t="n">
        <f aca="false">IFERROR(__xludf.dummyfunction("""COMPUTED_VALUE"""),13.25)</f>
        <v>13.25</v>
      </c>
      <c r="E21" s="2" t="n">
        <f aca="false">IFERROR(__xludf.dummyfunction("""COMPUTED_VALUE"""),13.6)</f>
        <v>13.6</v>
      </c>
      <c r="F21" s="3" t="n">
        <f aca="false">IFERROR(__xludf.dummyfunction("if($T21&lt;&gt;"""",VALUE(REGEXEXTRACT(SUBSTITUTE ($T21,F$1&amp;"" CE"",""""), F$1&amp;""[\w &amp;]*, (\d+\.\d+)"")),"""")
"),20)</f>
        <v>20</v>
      </c>
      <c r="G21" s="3" t="n">
        <f aca="false">IFERROR(__xludf.dummyfunction("if($T21&lt;&gt;"""",VALUE(REGEXEXTRACT($T21, G$1&amp;""[\w &amp;]*, (\d+\.\d+)"")),"""")
"),14)</f>
        <v>14</v>
      </c>
      <c r="H21" s="3" t="n">
        <f aca="false">IFERROR(__xludf.dummyfunction("if($T21&lt;&gt;"""",VALUE(REGEXEXTRACT($T21, H$1&amp;""[\w &amp;]*, (\d+\.\d+)"")),"""")
"),170)</f>
        <v>170</v>
      </c>
      <c r="I21" s="3" t="n">
        <f aca="false">IFERROR(__xludf.dummyfunction("if($T21&lt;&gt;"""",VALUE(REGEXEXTRACT(SUBSTITUTE ($T21,I$1&amp;"" CE"",""""), I$1&amp;""[\w &amp;]*, (\d+\.\d+)"")),"""")
"),16)</f>
        <v>16</v>
      </c>
      <c r="J21" s="3" t="n">
        <f aca="false">IFERROR(__xludf.dummyfunction("if($T21&lt;&gt;"""",VALUE(REGEXEXTRACT($T21, J$1&amp;""[\w &amp;]*, (\d+\.\d+)"")),"""")
"),13.5)</f>
        <v>13.5</v>
      </c>
      <c r="K21" s="3" t="n">
        <f aca="false">IFERROR(__xludf.dummyfunction("if($T21&lt;&gt;"""",VALUE(REGEXEXTRACT($T21, K$1&amp;""[\w &amp;]*, (\d+\.\d+)"")),"""")
"),10)</f>
        <v>10</v>
      </c>
      <c r="L21" s="3" t="n">
        <f aca="false">IFERROR(__xludf.dummyfunction("if($T21&lt;&gt;"""",VALUE(REGEXEXTRACT(SUBSTITUTE ($T21,L$1&amp;"" CE"",""""), L$1&amp;""[\w &amp;]*, (\d+\.\d+)"")),"""")
"),15.5)</f>
        <v>15.5</v>
      </c>
      <c r="M21" s="3" t="n">
        <f aca="false">IFERROR(__xludf.dummyfunction("if($T21&lt;&gt;"""",VALUE(REGEXEXTRACT($T21, M$1&amp;""[\w &amp;]*, (\d+\.\d+)"")),"""")
"),12)</f>
        <v>12</v>
      </c>
      <c r="N21" s="3" t="n">
        <f aca="false">IFERROR(__xludf.dummyfunction("if($T21&lt;&gt;"""",VALUE(REGEXEXTRACT(SUBSTITUTE ($T21,N$1&amp;"" CE"",""""), N$1&amp;""[\w &amp;]*, (\d+\.\d+)"")),"""")
"),20)</f>
        <v>20</v>
      </c>
      <c r="O21" s="3" t="n">
        <f aca="false">IFERROR(__xludf.dummyfunction("if($T21&lt;&gt;"""",VALUE(REGEXEXTRACT($T21, O$1&amp;""[\w &amp;]*, (\d+\.\d+)"")),"""")
"),14)</f>
        <v>14</v>
      </c>
      <c r="P21" s="2" t="n">
        <f aca="false">IFERROR(__xludf.dummyfunction("if($T21&lt;&gt;"""",VALUE(REGEXEXTRACT($T21, P$1&amp;""[\w &amp;]*, (\d+\.\d+)"")),"""")
"),12.64)</f>
        <v>12.64</v>
      </c>
      <c r="Q21" s="2" t="n">
        <f aca="false">IFERROR(__xludf.dummyfunction("if($T21&lt;&gt;"""",VALUE(REGEXEXTRACT($T21, Q$1&amp;""[\w &amp;]*, (\d+\.\d+)"")),"""")
"),12.06)</f>
        <v>12.06</v>
      </c>
      <c r="R21" s="2" t="n">
        <f aca="false">IFERROR(__xludf.dummyfunction("if($T21&lt;&gt;"""",VALUE(REGEXEXTRACT($T21, SUBSTITUTE(R$1, ""+"", ""\+"")&amp;""[\w &amp;]*, (\d+\.\d+)"")),"""")"),14.04)</f>
        <v>14.04</v>
      </c>
      <c r="S21" s="2" t="n">
        <f aca="false">IFERROR(__xludf.dummyfunction("if($T21&lt;&gt;"""",VALUE(REGEXEXTRACT($T21, SUBSTITUTE(S$1, ""+"", ""\+"")&amp;""[\w &amp;]*, (\d+\.\d+)"")),"""")"),14.62)</f>
        <v>14.62</v>
      </c>
      <c r="T21" s="5" t="s">
        <v>246</v>
      </c>
    </row>
    <row r="22" customFormat="false" ht="15.75" hidden="false" customHeight="false" outlineLevel="0" collapsed="false">
      <c r="A22" s="4" t="n">
        <f aca="false">IFERROR(__xludf.dummyfunction("""COMPUTED_VALUE"""),45426.6361111111)</f>
        <v>45426.6361111111</v>
      </c>
      <c r="B22" s="2" t="n">
        <f aca="false">IFERROR(__xludf.dummyfunction("""COMPUTED_VALUE"""),13.81)</f>
        <v>13.81</v>
      </c>
      <c r="C22" s="2" t="n">
        <f aca="false">IFERROR(__xludf.dummyfunction("""COMPUTED_VALUE"""),14.03)</f>
        <v>14.03</v>
      </c>
      <c r="D22" s="2" t="n">
        <f aca="false">IFERROR(__xludf.dummyfunction("""COMPUTED_VALUE"""),13.27)</f>
        <v>13.27</v>
      </c>
      <c r="E22" s="2" t="n">
        <f aca="false">IFERROR(__xludf.dummyfunction("""COMPUTED_VALUE"""),13.42)</f>
        <v>13.42</v>
      </c>
      <c r="F22" s="3" t="n">
        <f aca="false">IFERROR(__xludf.dummyfunction("if($T22&lt;&gt;"""",VALUE(REGEXEXTRACT(SUBSTITUTE ($T22,F$1&amp;"" CE"",""""), F$1&amp;""[\w &amp;]*, (\d+\.\d+)"")),"""")
"),20)</f>
        <v>20</v>
      </c>
      <c r="G22" s="3" t="n">
        <f aca="false">IFERROR(__xludf.dummyfunction("if($T22&lt;&gt;"""",VALUE(REGEXEXTRACT($T22, G$1&amp;""[\w &amp;]*, (\d+\.\d+)"")),"""")
"),14)</f>
        <v>14</v>
      </c>
      <c r="H22" s="3" t="n">
        <f aca="false">IFERROR(__xludf.dummyfunction("if($T22&lt;&gt;"""",VALUE(REGEXEXTRACT($T22, H$1&amp;""[\w &amp;]*, (\d+\.\d+)"")),"""")
"),170)</f>
        <v>170</v>
      </c>
      <c r="I22" s="3" t="n">
        <f aca="false">IFERROR(__xludf.dummyfunction("if($T22&lt;&gt;"""",VALUE(REGEXEXTRACT(SUBSTITUTE ($T22,I$1&amp;"" CE"",""""), I$1&amp;""[\w &amp;]*, (\d+\.\d+)"")),"""")
"),16)</f>
        <v>16</v>
      </c>
      <c r="J22" s="3" t="n">
        <f aca="false">IFERROR(__xludf.dummyfunction("if($T22&lt;&gt;"""",VALUE(REGEXEXTRACT($T22, J$1&amp;""[\w &amp;]*, (\d+\.\d+)"")),"""")
"),13.5)</f>
        <v>13.5</v>
      </c>
      <c r="K22" s="3" t="n">
        <f aca="false">IFERROR(__xludf.dummyfunction("if($T22&lt;&gt;"""",VALUE(REGEXEXTRACT($T22, K$1&amp;""[\w &amp;]*, (\d+\.\d+)"")),"""")
"),10)</f>
        <v>10</v>
      </c>
      <c r="L22" s="3" t="n">
        <f aca="false">IFERROR(__xludf.dummyfunction("if($T22&lt;&gt;"""",VALUE(REGEXEXTRACT(SUBSTITUTE ($T22,L$1&amp;"" CE"",""""), L$1&amp;""[\w &amp;]*, (\d+\.\d+)"")),"""")
"),15.5)</f>
        <v>15.5</v>
      </c>
      <c r="M22" s="3" t="n">
        <f aca="false">IFERROR(__xludf.dummyfunction("if($T22&lt;&gt;"""",VALUE(REGEXEXTRACT($T22, M$1&amp;""[\w &amp;]*, (\d+\.\d+)"")),"""")
"),12)</f>
        <v>12</v>
      </c>
      <c r="N22" s="3" t="n">
        <f aca="false">IFERROR(__xludf.dummyfunction("if($T22&lt;&gt;"""",VALUE(REGEXEXTRACT(SUBSTITUTE ($T22,N$1&amp;"" CE"",""""), N$1&amp;""[\w &amp;]*, (\d+\.\d+)"")),"""")
"),20)</f>
        <v>20</v>
      </c>
      <c r="O22" s="3" t="n">
        <f aca="false">IFERROR(__xludf.dummyfunction("if($T22&lt;&gt;"""",VALUE(REGEXEXTRACT($T22, O$1&amp;""[\w &amp;]*, (\d+\.\d+)"")),"""")
"),14)</f>
        <v>14</v>
      </c>
      <c r="P22" s="2" t="n">
        <f aca="false">IFERROR(__xludf.dummyfunction("if($T22&lt;&gt;"""",VALUE(REGEXEXTRACT($T22, P$1&amp;""[\w &amp;]*, (\d+\.\d+)"")),"""")
"),13.14)</f>
        <v>13.14</v>
      </c>
      <c r="Q22" s="2" t="n">
        <f aca="false">IFERROR(__xludf.dummyfunction("if($T22&lt;&gt;"""",VALUE(REGEXEXTRACT($T22, Q$1&amp;""[\w &amp;]*, (\d+\.\d+)"")),"""")
"),12.37)</f>
        <v>12.37</v>
      </c>
      <c r="R22" s="2" t="n">
        <f aca="false">IFERROR(__xludf.dummyfunction("if($T22&lt;&gt;"""",VALUE(REGEXEXTRACT($T22, SUBSTITUTE(R$1, ""+"", ""\+"")&amp;""[\w &amp;]*, (\d+\.\d+)"")),"""")"),14.5)</f>
        <v>14.5</v>
      </c>
      <c r="S22" s="2" t="n">
        <f aca="false">IFERROR(__xludf.dummyfunction("if($T22&lt;&gt;"""",VALUE(REGEXEXTRACT($T22, SUBSTITUTE(S$1, ""+"", ""\+"")&amp;""[\w &amp;]*, (\d+\.\d+)"")),"""")"),15.27)</f>
        <v>15.27</v>
      </c>
      <c r="T22" s="5" t="s">
        <v>247</v>
      </c>
    </row>
    <row r="23" customFormat="false" ht="15.75" hidden="false" customHeight="false" outlineLevel="0" collapsed="false">
      <c r="A23" s="4" t="n">
        <f aca="false">IFERROR(__xludf.dummyfunction("""COMPUTED_VALUE"""),45427.6361111111)</f>
        <v>45427.6361111111</v>
      </c>
      <c r="B23" s="2" t="n">
        <f aca="false">IFERROR(__xludf.dummyfunction("""COMPUTED_VALUE"""),13.88)</f>
        <v>13.88</v>
      </c>
      <c r="C23" s="2" t="n">
        <f aca="false">IFERROR(__xludf.dummyfunction("""COMPUTED_VALUE"""),13.88)</f>
        <v>13.88</v>
      </c>
      <c r="D23" s="2" t="n">
        <f aca="false">IFERROR(__xludf.dummyfunction("""COMPUTED_VALUE"""),12.38)</f>
        <v>12.38</v>
      </c>
      <c r="E23" s="2" t="n">
        <f aca="false">IFERROR(__xludf.dummyfunction("""COMPUTED_VALUE"""),12.45)</f>
        <v>12.45</v>
      </c>
      <c r="F23" s="3" t="n">
        <f aca="false">IFERROR(__xludf.dummyfunction("if($T23&lt;&gt;"""",VALUE(REGEXEXTRACT(SUBSTITUTE ($T23,F$1&amp;"" CE"",""""), F$1&amp;""[\w &amp;]*, (\d+\.\d+)"")),"""")
"),22)</f>
        <v>22</v>
      </c>
      <c r="G23" s="3" t="n">
        <f aca="false">IFERROR(__xludf.dummyfunction("if($T23&lt;&gt;"""",VALUE(REGEXEXTRACT($T23, G$1&amp;""[\w &amp;]*, (\d+\.\d+)"")),"""")
"),14)</f>
        <v>14</v>
      </c>
      <c r="H23" s="3" t="n">
        <f aca="false">IFERROR(__xludf.dummyfunction("if($T23&lt;&gt;"""",VALUE(REGEXEXTRACT($T23, H$1&amp;""[\w &amp;]*, (\d+\.\d+)"")),"""")
"),140)</f>
        <v>140</v>
      </c>
      <c r="I23" s="3" t="n">
        <f aca="false">IFERROR(__xludf.dummyfunction("if($T23&lt;&gt;"""",VALUE(REGEXEXTRACT(SUBSTITUTE ($T23,I$1&amp;"" CE"",""""), I$1&amp;""[\w &amp;]*, (\d+\.\d+)"")),"""")
"),15)</f>
        <v>15</v>
      </c>
      <c r="J23" s="3" t="n">
        <f aca="false">IFERROR(__xludf.dummyfunction("if($T23&lt;&gt;"""",VALUE(REGEXEXTRACT($T23, J$1&amp;""[\w &amp;]*, (\d+\.\d+)"")),"""")
"),13.5)</f>
        <v>13.5</v>
      </c>
      <c r="K23" s="3" t="n">
        <f aca="false">IFERROR(__xludf.dummyfunction("if($T23&lt;&gt;"""",VALUE(REGEXEXTRACT($T23, K$1&amp;""[\w &amp;]*, (\d+\.\d+)"")),"""")
"),10)</f>
        <v>10</v>
      </c>
      <c r="L23" s="3" t="n">
        <f aca="false">IFERROR(__xludf.dummyfunction("if($T23&lt;&gt;"""",VALUE(REGEXEXTRACT(SUBSTITUTE ($T23,L$1&amp;"" CE"",""""), L$1&amp;""[\w &amp;]*, (\d+\.\d+)"")),"""")
"),15.5)</f>
        <v>15.5</v>
      </c>
      <c r="M23" s="3" t="n">
        <f aca="false">IFERROR(__xludf.dummyfunction("if($T23&lt;&gt;"""",VALUE(REGEXEXTRACT($T23, M$1&amp;""[\w &amp;]*, (\d+\.\d+)"")),"""")
"),13.5)</f>
        <v>13.5</v>
      </c>
      <c r="N23" s="3" t="n">
        <f aca="false">IFERROR(__xludf.dummyfunction("if($T23&lt;&gt;"""",VALUE(REGEXEXTRACT(SUBSTITUTE ($T23,N$1&amp;"" CE"",""""), N$1&amp;""[\w &amp;]*, (\d+\.\d+)"")),"""")
"),16)</f>
        <v>16</v>
      </c>
      <c r="O23" s="3" t="n">
        <f aca="false">IFERROR(__xludf.dummyfunction("if($T23&lt;&gt;"""",VALUE(REGEXEXTRACT($T23, O$1&amp;""[\w &amp;]*, (\d+\.\d+)"")),"""")
"),13.5)</f>
        <v>13.5</v>
      </c>
      <c r="P23" s="2" t="n">
        <f aca="false">IFERROR(__xludf.dummyfunction("if($T23&lt;&gt;"""",VALUE(REGEXEXTRACT($T23, P$1&amp;""[\w &amp;]*, (\d+\.\d+)"")),"""")
"),13.48)</f>
        <v>13.48</v>
      </c>
      <c r="Q23" s="2" t="n">
        <f aca="false">IFERROR(__xludf.dummyfunction("if($T23&lt;&gt;"""",VALUE(REGEXEXTRACT($T23, Q$1&amp;""[\w &amp;]*, (\d+\.\d+)"")),"""")
"),12.72)</f>
        <v>12.72</v>
      </c>
      <c r="R23" s="2" t="n">
        <f aca="false">IFERROR(__xludf.dummyfunction("if($T23&lt;&gt;"""",VALUE(REGEXEXTRACT($T23, SUBSTITUTE(R$1, ""+"", ""\+"")&amp;""[\w &amp;]*, (\d+\.\d+)"")),"""")"),14.31)</f>
        <v>14.31</v>
      </c>
      <c r="S23" s="2" t="n">
        <f aca="false">IFERROR(__xludf.dummyfunction("if($T23&lt;&gt;"""",VALUE(REGEXEXTRACT($T23, SUBSTITUTE(S$1, ""+"", ""\+"")&amp;""[\w &amp;]*, (\d+\.\d+)"")),"""")"),15.06)</f>
        <v>15.06</v>
      </c>
      <c r="T23" s="5" t="s">
        <v>248</v>
      </c>
    </row>
    <row r="24" customFormat="false" ht="15.75" hidden="false" customHeight="false" outlineLevel="0" collapsed="false">
      <c r="A24" s="4" t="n">
        <f aca="false">IFERROR(__xludf.dummyfunction("""COMPUTED_VALUE"""),45428.6361111111)</f>
        <v>45428.6361111111</v>
      </c>
      <c r="B24" s="2" t="n">
        <f aca="false">IFERROR(__xludf.dummyfunction("""COMPUTED_VALUE"""),12.45)</f>
        <v>12.45</v>
      </c>
      <c r="C24" s="2" t="n">
        <f aca="false">IFERROR(__xludf.dummyfunction("""COMPUTED_VALUE"""),12.67)</f>
        <v>12.67</v>
      </c>
      <c r="D24" s="2" t="n">
        <f aca="false">IFERROR(__xludf.dummyfunction("""COMPUTED_VALUE"""),12.33)</f>
        <v>12.33</v>
      </c>
      <c r="E24" s="2" t="n">
        <f aca="false">IFERROR(__xludf.dummyfunction("""COMPUTED_VALUE"""),12.42)</f>
        <v>12.42</v>
      </c>
      <c r="F24" s="3" t="n">
        <f aca="false">IFERROR(__xludf.dummyfunction("if($T24&lt;&gt;"""",VALUE(REGEXEXTRACT(SUBSTITUTE ($T24,F$1&amp;"" CE"",""""), F$1&amp;""[\w &amp;]*, (\d+\.\d+)"")),"""")
"),17)</f>
        <v>17</v>
      </c>
      <c r="G24" s="3" t="n">
        <f aca="false">IFERROR(__xludf.dummyfunction("if($T24&lt;&gt;"""",VALUE(REGEXEXTRACT($T24, G$1&amp;""[\w &amp;]*, (\d+\.\d+)"")),"""")
"),18)</f>
        <v>18</v>
      </c>
      <c r="H24" s="3" t="n">
        <f aca="false">IFERROR(__xludf.dummyfunction("if($T24&lt;&gt;"""",VALUE(REGEXEXTRACT($T24, H$1&amp;""[\w &amp;]*, (\d+\.\d+)"")),"""")
"),140)</f>
        <v>140</v>
      </c>
      <c r="I24" s="3" t="n">
        <f aca="false">IFERROR(__xludf.dummyfunction("if($T24&lt;&gt;"""",VALUE(REGEXEXTRACT(SUBSTITUTE ($T24,I$1&amp;"" CE"",""""), I$1&amp;""[\w &amp;]*, (\d+\.\d+)"")),"""")
"),15)</f>
        <v>15</v>
      </c>
      <c r="J24" s="3" t="n">
        <f aca="false">IFERROR(__xludf.dummyfunction("if($T24&lt;&gt;"""",VALUE(REGEXEXTRACT($T24, J$1&amp;""[\w &amp;]*, (\d+\.\d+)"")),"""")
"),13)</f>
        <v>13</v>
      </c>
      <c r="K24" s="3" t="n">
        <f aca="false">IFERROR(__xludf.dummyfunction("if($T24&lt;&gt;"""",VALUE(REGEXEXTRACT($T24, K$1&amp;""[\w &amp;]*, (\d+\.\d+)"")),"""")
"),10)</f>
        <v>10</v>
      </c>
      <c r="L24" s="3" t="n">
        <f aca="false">IFERROR(__xludf.dummyfunction("if($T24&lt;&gt;"""",VALUE(REGEXEXTRACT(SUBSTITUTE ($T24,L$1&amp;"" CE"",""""), L$1&amp;""[\w &amp;]*, (\d+\.\d+)"")),"""")
"),15.5)</f>
        <v>15.5</v>
      </c>
      <c r="M24" s="3" t="n">
        <f aca="false">IFERROR(__xludf.dummyfunction("if($T24&lt;&gt;"""",VALUE(REGEXEXTRACT($T24, M$1&amp;""[\w &amp;]*, (\d+\.\d+)"")),"""")
"),15.5)</f>
        <v>15.5</v>
      </c>
      <c r="N24" s="3" t="n">
        <f aca="false">IFERROR(__xludf.dummyfunction("if($T24&lt;&gt;"""",VALUE(REGEXEXTRACT(SUBSTITUTE ($T24,N$1&amp;"" CE"",""""), N$1&amp;""[\w &amp;]*, (\d+\.\d+)"")),"""")
"),16)</f>
        <v>16</v>
      </c>
      <c r="O24" s="3" t="n">
        <f aca="false">IFERROR(__xludf.dummyfunction("if($T24&lt;&gt;"""",VALUE(REGEXEXTRACT($T24, O$1&amp;""[\w &amp;]*, (\d+\.\d+)"")),"""")
"),13.5)</f>
        <v>13.5</v>
      </c>
      <c r="P24" s="2" t="n">
        <f aca="false">IFERROR(__xludf.dummyfunction("if($T24&lt;&gt;"""",VALUE(REGEXEXTRACT($T24, P$1&amp;""[\w &amp;]*, (\d+\.\d+)"")),"""")
"),11.52)</f>
        <v>11.52</v>
      </c>
      <c r="Q24" s="2" t="n">
        <f aca="false">IFERROR(__xludf.dummyfunction("if($T24&lt;&gt;"""",VALUE(REGEXEXTRACT($T24, Q$1&amp;""[\w &amp;]*, (\d+\.\d+)"")),"""")
"),11.14)</f>
        <v>11.14</v>
      </c>
      <c r="R24" s="2" t="n">
        <f aca="false">IFERROR(__xludf.dummyfunction("if($T24&lt;&gt;"""",VALUE(REGEXEXTRACT($T24, SUBSTITUTE(R$1, ""+"", ""\+"")&amp;""[\w &amp;]*, (\d+\.\d+)"")),"""")"),13.36)</f>
        <v>13.36</v>
      </c>
      <c r="S24" s="2" t="n">
        <f aca="false">IFERROR(__xludf.dummyfunction("if($T24&lt;&gt;"""",VALUE(REGEXEXTRACT($T24, SUBSTITUTE(S$1, ""+"", ""\+"")&amp;""[\w &amp;]*, (\d+\.\d+)"")),"""")"),13.74)</f>
        <v>13.74</v>
      </c>
      <c r="T24" s="5" t="s">
        <v>249</v>
      </c>
    </row>
    <row r="25" customFormat="false" ht="15.75" hidden="false" customHeight="false" outlineLevel="0" collapsed="false">
      <c r="A25" s="4" t="n">
        <f aca="false">IFERROR(__xludf.dummyfunction("""COMPUTED_VALUE"""),45429.6361111111)</f>
        <v>45429.6361111111</v>
      </c>
      <c r="B25" s="2" t="n">
        <f aca="false">IFERROR(__xludf.dummyfunction("""COMPUTED_VALUE"""),12.38)</f>
        <v>12.38</v>
      </c>
      <c r="C25" s="2" t="n">
        <f aca="false">IFERROR(__xludf.dummyfunction("""COMPUTED_VALUE"""),12.48)</f>
        <v>12.48</v>
      </c>
      <c r="D25" s="2" t="n">
        <f aca="false">IFERROR(__xludf.dummyfunction("""COMPUTED_VALUE"""),11.91)</f>
        <v>11.91</v>
      </c>
      <c r="E25" s="2" t="n">
        <f aca="false">IFERROR(__xludf.dummyfunction("""COMPUTED_VALUE"""),11.99)</f>
        <v>11.99</v>
      </c>
      <c r="F25" s="3" t="n">
        <f aca="false">IFERROR(__xludf.dummyfunction("if($T25&lt;&gt;"""",VALUE(REGEXEXTRACT(SUBSTITUTE ($T25,F$1&amp;"" CE"",""""), F$1&amp;""[\w &amp;]*, (\d+\.\d+)"")),"""")
"),16)</f>
        <v>16</v>
      </c>
      <c r="G25" s="3" t="n">
        <f aca="false">IFERROR(__xludf.dummyfunction("if($T25&lt;&gt;"""",VALUE(REGEXEXTRACT($T25, G$1&amp;""[\w &amp;]*, (\d+\.\d+)"")),"""")
"),18)</f>
        <v>18</v>
      </c>
      <c r="H25" s="3" t="n">
        <f aca="false">IFERROR(__xludf.dummyfunction("if($T25&lt;&gt;"""",VALUE(REGEXEXTRACT($T25, H$1&amp;""[\w &amp;]*, (\d+\.\d+)"")),"""")
"),140)</f>
        <v>140</v>
      </c>
      <c r="I25" s="3" t="n">
        <f aca="false">IFERROR(__xludf.dummyfunction("if($T25&lt;&gt;"""",VALUE(REGEXEXTRACT(SUBSTITUTE ($T25,I$1&amp;"" CE"",""""), I$1&amp;""[\w &amp;]*, (\d+\.\d+)"")),"""")
"),15)</f>
        <v>15</v>
      </c>
      <c r="J25" s="3" t="n">
        <f aca="false">IFERROR(__xludf.dummyfunction("if($T25&lt;&gt;"""",VALUE(REGEXEXTRACT($T25, J$1&amp;""[\w &amp;]*, (\d+\.\d+)"")),"""")
"),13)</f>
        <v>13</v>
      </c>
      <c r="K25" s="3" t="n">
        <f aca="false">IFERROR(__xludf.dummyfunction("if($T25&lt;&gt;"""",VALUE(REGEXEXTRACT($T25, K$1&amp;""[\w &amp;]*, (\d+\.\d+)"")),"""")
"),17)</f>
        <v>17</v>
      </c>
      <c r="L25" s="3" t="n">
        <f aca="false">IFERROR(__xludf.dummyfunction("if($T25&lt;&gt;"""",VALUE(REGEXEXTRACT(SUBSTITUTE ($T25,L$1&amp;"" CE"",""""), L$1&amp;""[\w &amp;]*, (\d+\.\d+)"")),"""")
"),15.5)</f>
        <v>15.5</v>
      </c>
      <c r="M25" s="3" t="n">
        <f aca="false">IFERROR(__xludf.dummyfunction("if($T25&lt;&gt;"""",VALUE(REGEXEXTRACT($T25, M$1&amp;""[\w &amp;]*, (\d+\.\d+)"")),"""")
"),15.5)</f>
        <v>15.5</v>
      </c>
      <c r="N25" s="3" t="n">
        <f aca="false">IFERROR(__xludf.dummyfunction("if($T25&lt;&gt;"""",VALUE(REGEXEXTRACT(SUBSTITUTE ($T25,N$1&amp;"" CE"",""""), N$1&amp;""[\w &amp;]*, (\d+\.\d+)"")),"""")
"),16)</f>
        <v>16</v>
      </c>
      <c r="O25" s="3" t="n">
        <f aca="false">IFERROR(__xludf.dummyfunction("if($T25&lt;&gt;"""",VALUE(REGEXEXTRACT($T25, O$1&amp;""[\w &amp;]*, (\d+\.\d+)"")),"""")
"),13)</f>
        <v>13</v>
      </c>
      <c r="P25" s="2" t="n">
        <f aca="false">IFERROR(__xludf.dummyfunction("if($T25&lt;&gt;"""",VALUE(REGEXEXTRACT($T25, P$1&amp;""[\w &amp;]*, (\d+\.\d+)"")),"""")
"),11.57)</f>
        <v>11.57</v>
      </c>
      <c r="Q25" s="2" t="n">
        <f aca="false">IFERROR(__xludf.dummyfunction("if($T25&lt;&gt;"""",VALUE(REGEXEXTRACT($T25, Q$1&amp;""[\w &amp;]*, (\d+\.\d+)"")),"""")
"),11.19)</f>
        <v>11.19</v>
      </c>
      <c r="R25" s="2" t="n">
        <f aca="false">IFERROR(__xludf.dummyfunction("if($T25&lt;&gt;"""",VALUE(REGEXEXTRACT($T25, SUBSTITUTE(R$1, ""+"", ""\+"")&amp;""[\w &amp;]*, (\d+\.\d+)"")),"""")"),13.19)</f>
        <v>13.19</v>
      </c>
      <c r="S25" s="2" t="n">
        <f aca="false">IFERROR(__xludf.dummyfunction("if($T25&lt;&gt;"""",VALUE(REGEXEXTRACT($T25, SUBSTITUTE(S$1, ""+"", ""\+"")&amp;""[\w &amp;]*, (\d+\.\d+)"")),"""")"),13.57)</f>
        <v>13.57</v>
      </c>
      <c r="T25" s="5" t="s">
        <v>250</v>
      </c>
    </row>
    <row r="26" customFormat="false" ht="15.75" hidden="false" customHeight="false" outlineLevel="0" collapsed="false">
      <c r="A26" s="4" t="n">
        <f aca="false">IFERROR(__xludf.dummyfunction("""COMPUTED_VALUE"""),45432.6361111111)</f>
        <v>45432.6361111111</v>
      </c>
      <c r="B26" s="2" t="n">
        <f aca="false">IFERROR(__xludf.dummyfunction("""COMPUTED_VALUE"""),12.27)</f>
        <v>12.27</v>
      </c>
      <c r="C26" s="2" t="n">
        <f aca="false">IFERROR(__xludf.dummyfunction("""COMPUTED_VALUE"""),12.59)</f>
        <v>12.59</v>
      </c>
      <c r="D26" s="2" t="n">
        <f aca="false">IFERROR(__xludf.dummyfunction("""COMPUTED_VALUE"""),12.07)</f>
        <v>12.07</v>
      </c>
      <c r="E26" s="2" t="n">
        <f aca="false">IFERROR(__xludf.dummyfunction("""COMPUTED_VALUE"""),12.15)</f>
        <v>12.15</v>
      </c>
      <c r="F26" s="3" t="n">
        <f aca="false">IFERROR(__xludf.dummyfunction("if($T26&lt;&gt;"""",VALUE(REGEXEXTRACT(SUBSTITUTE ($T26,F$1&amp;"" CE"",""""), F$1&amp;""[\w &amp;]*, (\d+\.\d+)"")),"""")
"),16)</f>
        <v>16</v>
      </c>
      <c r="G26" s="3" t="n">
        <f aca="false">IFERROR(__xludf.dummyfunction("if($T26&lt;&gt;"""",VALUE(REGEXEXTRACT($T26, G$1&amp;""[\w &amp;]*, (\d+\.\d+)"")),"""")
"),18)</f>
        <v>18</v>
      </c>
      <c r="H26" s="3" t="n">
        <f aca="false">IFERROR(__xludf.dummyfunction("if($T26&lt;&gt;"""",VALUE(REGEXEXTRACT($T26, H$1&amp;""[\w &amp;]*, (\d+\.\d+)"")),"""")
"),140)</f>
        <v>140</v>
      </c>
      <c r="I26" s="3" t="n">
        <f aca="false">IFERROR(__xludf.dummyfunction("if($T26&lt;&gt;"""",VALUE(REGEXEXTRACT(SUBSTITUTE ($T26,I$1&amp;"" CE"",""""), I$1&amp;""[\w &amp;]*, (\d+\.\d+)"")),"""")
"),15)</f>
        <v>15</v>
      </c>
      <c r="J26" s="3" t="n">
        <f aca="false">IFERROR(__xludf.dummyfunction("if($T26&lt;&gt;"""",VALUE(REGEXEXTRACT($T26, J$1&amp;""[\w &amp;]*, (\d+\.\d+)"")),"""")
"),12)</f>
        <v>12</v>
      </c>
      <c r="K26" s="3" t="n">
        <f aca="false">IFERROR(__xludf.dummyfunction("if($T26&lt;&gt;"""",VALUE(REGEXEXTRACT($T26, K$1&amp;""[\w &amp;]*, (\d+\.\d+)"")),"""")
"),10)</f>
        <v>10</v>
      </c>
      <c r="L26" s="3" t="n">
        <f aca="false">IFERROR(__xludf.dummyfunction("if($T26&lt;&gt;"""",VALUE(REGEXEXTRACT(SUBSTITUTE ($T26,L$1&amp;"" CE"",""""), L$1&amp;""[\w &amp;]*, (\d+\.\d+)"")),"""")
"),15.5)</f>
        <v>15.5</v>
      </c>
      <c r="M26" s="3" t="n">
        <f aca="false">IFERROR(__xludf.dummyfunction("if($T26&lt;&gt;"""",VALUE(REGEXEXTRACT($T26, M$1&amp;""[\w &amp;]*, (\d+\.\d+)"")),"""")
"),15.5)</f>
        <v>15.5</v>
      </c>
      <c r="N26" s="3" t="n">
        <f aca="false">IFERROR(__xludf.dummyfunction("if($T26&lt;&gt;"""",VALUE(REGEXEXTRACT(SUBSTITUTE ($T26,N$1&amp;"" CE"",""""), N$1&amp;""[\w &amp;]*, (\d+\.\d+)"")),"""")
"),16)</f>
        <v>16</v>
      </c>
      <c r="O26" s="3" t="n">
        <f aca="false">IFERROR(__xludf.dummyfunction("if($T26&lt;&gt;"""",VALUE(REGEXEXTRACT($T26, O$1&amp;""[\w &amp;]*, (\d+\.\d+)"")),"""")
"),13)</f>
        <v>13</v>
      </c>
      <c r="P26" s="2" t="n">
        <f aca="false">IFERROR(__xludf.dummyfunction("if($T26&lt;&gt;"""",VALUE(REGEXEXTRACT($T26, P$1&amp;""[\w &amp;]*, (\d+\.\d+)"")),"""")
"),11.59)</f>
        <v>11.59</v>
      </c>
      <c r="Q26" s="2" t="n">
        <f aca="false">IFERROR(__xludf.dummyfunction("if($T26&lt;&gt;"""",VALUE(REGEXEXTRACT($T26, Q$1&amp;""[\w &amp;]*, (\d+\.\d+)"")),"""")
"),11.11)</f>
        <v>11.11</v>
      </c>
      <c r="R26" s="2" t="n">
        <f aca="false">IFERROR(__xludf.dummyfunction("if($T26&lt;&gt;"""",VALUE(REGEXEXTRACT($T26, SUBSTITUTE(R$1, ""+"", ""\+"")&amp;""[\w &amp;]*, (\d+\.\d+)"")),"""")"),12.75)</f>
        <v>12.75</v>
      </c>
      <c r="S26" s="2" t="n">
        <f aca="false">IFERROR(__xludf.dummyfunction("if($T26&lt;&gt;"""",VALUE(REGEXEXTRACT($T26, SUBSTITUTE(S$1, ""+"", ""\+"")&amp;""[\w &amp;]*, (\d+\.\d+)"")),"""")"),13.23)</f>
        <v>13.23</v>
      </c>
      <c r="T26" s="5" t="s">
        <v>251</v>
      </c>
    </row>
    <row r="27" customFormat="false" ht="15.75" hidden="false" customHeight="false" outlineLevel="0" collapsed="false">
      <c r="A27" s="4" t="n">
        <f aca="false">IFERROR(__xludf.dummyfunction("""COMPUTED_VALUE"""),45433.6361111111)</f>
        <v>45433.6361111111</v>
      </c>
      <c r="B27" s="2" t="n">
        <f aca="false">IFERROR(__xludf.dummyfunction("""COMPUTED_VALUE"""),12.42)</f>
        <v>12.42</v>
      </c>
      <c r="C27" s="2" t="n">
        <f aca="false">IFERROR(__xludf.dummyfunction("""COMPUTED_VALUE"""),12.56)</f>
        <v>12.56</v>
      </c>
      <c r="D27" s="2" t="n">
        <f aca="false">IFERROR(__xludf.dummyfunction("""COMPUTED_VALUE"""),11.84)</f>
        <v>11.84</v>
      </c>
      <c r="E27" s="2" t="n">
        <f aca="false">IFERROR(__xludf.dummyfunction("""COMPUTED_VALUE"""),11.86)</f>
        <v>11.86</v>
      </c>
      <c r="F27" s="3" t="n">
        <f aca="false">IFERROR(__xludf.dummyfunction("if($T27&lt;&gt;"""",VALUE(REGEXEXTRACT(SUBSTITUTE ($T27,F$1&amp;"" CE"",""""), F$1&amp;""[\w &amp;]*, (\d+\.\d+)"")),"""")
"),16)</f>
        <v>16</v>
      </c>
      <c r="G27" s="3" t="n">
        <f aca="false">IFERROR(__xludf.dummyfunction("if($T27&lt;&gt;"""",VALUE(REGEXEXTRACT($T27, G$1&amp;""[\w &amp;]*, (\d+\.\d+)"")),"""")
"),18)</f>
        <v>18</v>
      </c>
      <c r="H27" s="3" t="n">
        <f aca="false">IFERROR(__xludf.dummyfunction("if($T27&lt;&gt;"""",VALUE(REGEXEXTRACT($T27, H$1&amp;""[\w &amp;]*, (\d+\.\d+)"")),"""")
"),140)</f>
        <v>140</v>
      </c>
      <c r="I27" s="3" t="n">
        <f aca="false">IFERROR(__xludf.dummyfunction("if($T27&lt;&gt;"""",VALUE(REGEXEXTRACT(SUBSTITUTE ($T27,I$1&amp;"" CE"",""""), I$1&amp;""[\w &amp;]*, (\d+\.\d+)"")),"""")
"),15)</f>
        <v>15</v>
      </c>
      <c r="J27" s="3" t="n">
        <f aca="false">IFERROR(__xludf.dummyfunction("if($T27&lt;&gt;"""",VALUE(REGEXEXTRACT($T27, J$1&amp;""[\w &amp;]*, (\d+\.\d+)"")),"""")
"),13)</f>
        <v>13</v>
      </c>
      <c r="K27" s="3" t="n">
        <f aca="false">IFERROR(__xludf.dummyfunction("if($T27&lt;&gt;"""",VALUE(REGEXEXTRACT($T27, K$1&amp;""[\w &amp;]*, (\d+\.\d+)"")),"""")
"),10)</f>
        <v>10</v>
      </c>
      <c r="L27" s="3" t="n">
        <f aca="false">IFERROR(__xludf.dummyfunction("if($T27&lt;&gt;"""",VALUE(REGEXEXTRACT(SUBSTITUTE ($T27,L$1&amp;"" CE"",""""), L$1&amp;""[\w &amp;]*, (\d+\.\d+)"")),"""")
"),15.5)</f>
        <v>15.5</v>
      </c>
      <c r="M27" s="3" t="n">
        <f aca="false">IFERROR(__xludf.dummyfunction("if($T27&lt;&gt;"""",VALUE(REGEXEXTRACT($T27, M$1&amp;""[\w &amp;]*, (\d+\.\d+)"")),"""")
"),15.5)</f>
        <v>15.5</v>
      </c>
      <c r="N27" s="3" t="n">
        <f aca="false">IFERROR(__xludf.dummyfunction("if($T27&lt;&gt;"""",VALUE(REGEXEXTRACT(SUBSTITUTE ($T27,N$1&amp;"" CE"",""""), N$1&amp;""[\w &amp;]*, (\d+\.\d+)"")),"""")
"),16)</f>
        <v>16</v>
      </c>
      <c r="O27" s="3" t="n">
        <f aca="false">IFERROR(__xludf.dummyfunction("if($T27&lt;&gt;"""",VALUE(REGEXEXTRACT($T27, O$1&amp;""[\w &amp;]*, (\d+\.\d+)"")),"""")
"),13)</f>
        <v>13</v>
      </c>
      <c r="P27" s="2" t="n">
        <f aca="false">IFERROR(__xludf.dummyfunction("if($T27&lt;&gt;"""",VALUE(REGEXEXTRACT($T27, P$1&amp;""[\w &amp;]*, (\d+\.\d+)"")),"""")
"),11.94)</f>
        <v>11.94</v>
      </c>
      <c r="Q27" s="2" t="n">
        <f aca="false">IFERROR(__xludf.dummyfunction("if($T27&lt;&gt;"""",VALUE(REGEXEXTRACT($T27, Q$1&amp;""[\w &amp;]*, (\d+\.\d+)"")),"""")
"),11.38)</f>
        <v>11.38</v>
      </c>
      <c r="R27" s="2" t="n">
        <f aca="false">IFERROR(__xludf.dummyfunction("if($T27&lt;&gt;"""",VALUE(REGEXEXTRACT($T27, SUBSTITUTE(R$1, ""+"", ""\+"")&amp;""[\w &amp;]*, (\d+\.\d+)"")),"""")"),12.94)</f>
        <v>12.94</v>
      </c>
      <c r="S27" s="2" t="n">
        <f aca="false">IFERROR(__xludf.dummyfunction("if($T27&lt;&gt;"""",VALUE(REGEXEXTRACT($T27, SUBSTITUTE(S$1, ""+"", ""\+"")&amp;""[\w &amp;]*, (\d+\.\d+)"")),"""")"),13.5)</f>
        <v>13.5</v>
      </c>
      <c r="T27" s="5" t="s">
        <v>252</v>
      </c>
    </row>
    <row r="28" customFormat="false" ht="15.75" hidden="false" customHeight="false" outlineLevel="0" collapsed="false">
      <c r="A28" s="4" t="n">
        <f aca="false">IFERROR(__xludf.dummyfunction("""COMPUTED_VALUE"""),45434.6361111111)</f>
        <v>45434.6361111111</v>
      </c>
      <c r="B28" s="2" t="n">
        <f aca="false">IFERROR(__xludf.dummyfunction("""COMPUTED_VALUE"""),12.13)</f>
        <v>12.13</v>
      </c>
      <c r="C28" s="2" t="n">
        <f aca="false">IFERROR(__xludf.dummyfunction("""COMPUTED_VALUE"""),12.81)</f>
        <v>12.81</v>
      </c>
      <c r="D28" s="2" t="n">
        <f aca="false">IFERROR(__xludf.dummyfunction("""COMPUTED_VALUE"""),11.78)</f>
        <v>11.78</v>
      </c>
      <c r="E28" s="2" t="n">
        <f aca="false">IFERROR(__xludf.dummyfunction("""COMPUTED_VALUE"""),12.29)</f>
        <v>12.29</v>
      </c>
      <c r="F28" s="3" t="n">
        <f aca="false">IFERROR(__xludf.dummyfunction("if($T28&lt;&gt;"""",VALUE(REGEXEXTRACT(SUBSTITUTE ($T28,F$1&amp;"" CE"",""""), F$1&amp;""[\w &amp;]*, (\d+\.\d+)"")),"""")
"),16)</f>
        <v>16</v>
      </c>
      <c r="G28" s="3" t="n">
        <f aca="false">IFERROR(__xludf.dummyfunction("if($T28&lt;&gt;"""",VALUE(REGEXEXTRACT($T28, G$1&amp;""[\w &amp;]*, (\d+\.\d+)"")),"""")
"),10)</f>
        <v>10</v>
      </c>
      <c r="H28" s="3" t="n">
        <f aca="false">IFERROR(__xludf.dummyfunction("if($T28&lt;&gt;"""",VALUE(REGEXEXTRACT($T28, H$1&amp;""[\w &amp;]*, (\d+\.\d+)"")),"""")
"),140)</f>
        <v>140</v>
      </c>
      <c r="I28" s="3" t="n">
        <f aca="false">IFERROR(__xludf.dummyfunction("if($T28&lt;&gt;"""",VALUE(REGEXEXTRACT(SUBSTITUTE ($T28,I$1&amp;"" CE"",""""), I$1&amp;""[\w &amp;]*, (\d+\.\d+)"")),"""")
"),15)</f>
        <v>15</v>
      </c>
      <c r="J28" s="3" t="n">
        <f aca="false">IFERROR(__xludf.dummyfunction("if($T28&lt;&gt;"""",VALUE(REGEXEXTRACT($T28, J$1&amp;""[\w &amp;]*, (\d+\.\d+)"")),"""")
"),12)</f>
        <v>12</v>
      </c>
      <c r="K28" s="3" t="n">
        <f aca="false">IFERROR(__xludf.dummyfunction("if($T28&lt;&gt;"""",VALUE(REGEXEXTRACT($T28, K$1&amp;""[\w &amp;]*, (\d+\.\d+)"")),"""")
"),10)</f>
        <v>10</v>
      </c>
      <c r="L28" s="3" t="n">
        <f aca="false">IFERROR(__xludf.dummyfunction("if($T28&lt;&gt;"""",VALUE(REGEXEXTRACT(SUBSTITUTE ($T28,L$1&amp;"" CE"",""""), L$1&amp;""[\w &amp;]*, (\d+\.\d+)"")),"""")
"),15.5)</f>
        <v>15.5</v>
      </c>
      <c r="M28" s="3" t="n">
        <f aca="false">IFERROR(__xludf.dummyfunction("if($T28&lt;&gt;"""",VALUE(REGEXEXTRACT($T28, M$1&amp;""[\w &amp;]*, (\d+\.\d+)"")),"""")
"),33)</f>
        <v>33</v>
      </c>
      <c r="N28" s="3" t="n">
        <f aca="false">IFERROR(__xludf.dummyfunction("if($T28&lt;&gt;"""",VALUE(REGEXEXTRACT(SUBSTITUTE ($T28,N$1&amp;"" CE"",""""), N$1&amp;""[\w &amp;]*, (\d+\.\d+)"")),"""")
"),16)</f>
        <v>16</v>
      </c>
      <c r="O28" s="3" t="n">
        <f aca="false">IFERROR(__xludf.dummyfunction("if($T28&lt;&gt;"""",VALUE(REGEXEXTRACT($T28, O$1&amp;""[\w &amp;]*, (\d+\.\d+)"")),"""")
"),12)</f>
        <v>12</v>
      </c>
      <c r="P28" s="2" t="n">
        <f aca="false">IFERROR(__xludf.dummyfunction("if($T28&lt;&gt;"""",VALUE(REGEXEXTRACT($T28, P$1&amp;""[\w &amp;]*, (\d+\.\d+)"")),"""")
"),11.89)</f>
        <v>11.89</v>
      </c>
      <c r="Q28" s="2" t="n">
        <f aca="false">IFERROR(__xludf.dummyfunction("if($T28&lt;&gt;"""",VALUE(REGEXEXTRACT($T28, Q$1&amp;""[\w &amp;]*, (\d+\.\d+)"")),"""")
"),11.45)</f>
        <v>11.45</v>
      </c>
      <c r="R28" s="2" t="n">
        <f aca="false">IFERROR(__xludf.dummyfunction("if($T28&lt;&gt;"""",VALUE(REGEXEXTRACT($T28, SUBSTITUTE(R$1, ""+"", ""\+"")&amp;""[\w &amp;]*, (\d+\.\d+)"")),"""")"),12.37)</f>
        <v>12.37</v>
      </c>
      <c r="S28" s="2" t="n">
        <f aca="false">IFERROR(__xludf.dummyfunction("if($T28&lt;&gt;"""",VALUE(REGEXEXTRACT($T28, SUBSTITUTE(S$1, ""+"", ""\+"")&amp;""[\w &amp;]*, (\d+\.\d+)"")),"""")"),12.81)</f>
        <v>12.81</v>
      </c>
      <c r="T28" s="5" t="s">
        <v>253</v>
      </c>
    </row>
    <row r="29" customFormat="false" ht="15.75" hidden="false" customHeight="false" outlineLevel="0" collapsed="false">
      <c r="A29" s="4" t="n">
        <f aca="false">IFERROR(__xludf.dummyfunction("""COMPUTED_VALUE"""),45435.6361111111)</f>
        <v>45435.6361111111</v>
      </c>
      <c r="B29" s="2" t="n">
        <f aca="false">IFERROR(__xludf.dummyfunction("""COMPUTED_VALUE"""),11.6)</f>
        <v>11.6</v>
      </c>
      <c r="C29" s="2" t="n">
        <f aca="false">IFERROR(__xludf.dummyfunction("""COMPUTED_VALUE"""),13.37)</f>
        <v>13.37</v>
      </c>
      <c r="D29" s="2" t="n">
        <f aca="false">IFERROR(__xludf.dummyfunction("""COMPUTED_VALUE"""),11.6)</f>
        <v>11.6</v>
      </c>
      <c r="E29" s="2" t="n">
        <f aca="false">IFERROR(__xludf.dummyfunction("""COMPUTED_VALUE"""),12.77)</f>
        <v>12.77</v>
      </c>
      <c r="F29" s="3" t="n">
        <f aca="false">IFERROR(__xludf.dummyfunction("if($T29&lt;&gt;"""",VALUE(REGEXEXTRACT(SUBSTITUTE ($T29,F$1&amp;"" CE"",""""), F$1&amp;""[\w &amp;]*, (\d+\.\d+)"")),"""")
"),16)</f>
        <v>16</v>
      </c>
      <c r="G29" s="3" t="n">
        <f aca="false">IFERROR(__xludf.dummyfunction("if($T29&lt;&gt;"""",VALUE(REGEXEXTRACT($T29, G$1&amp;""[\w &amp;]*, (\d+\.\d+)"")),"""")
"),13)</f>
        <v>13</v>
      </c>
      <c r="H29" s="3" t="n">
        <f aca="false">IFERROR(__xludf.dummyfunction("if($T29&lt;&gt;"""",VALUE(REGEXEXTRACT($T29, H$1&amp;""[\w &amp;]*, (\d+\.\d+)"")),"""")
"),140)</f>
        <v>140</v>
      </c>
      <c r="I29" s="3" t="n">
        <f aca="false">IFERROR(__xludf.dummyfunction("if($T29&lt;&gt;"""",VALUE(REGEXEXTRACT(SUBSTITUTE ($T29,I$1&amp;"" CE"",""""), I$1&amp;""[\w &amp;]*, (\d+\.\d+)"")),"""")
"),15)</f>
        <v>15</v>
      </c>
      <c r="J29" s="3" t="n">
        <f aca="false">IFERROR(__xludf.dummyfunction("if($T29&lt;&gt;"""",VALUE(REGEXEXTRACT($T29, J$1&amp;""[\w &amp;]*, (\d+\.\d+)"")),"""")
"),75)</f>
        <v>75</v>
      </c>
      <c r="K29" s="3" t="n">
        <f aca="false">IFERROR(__xludf.dummyfunction("if($T29&lt;&gt;"""",VALUE(REGEXEXTRACT($T29, K$1&amp;""[\w &amp;]*, (\d+\.\d+)"")),"""")
"),10)</f>
        <v>10</v>
      </c>
      <c r="L29" s="3" t="n">
        <f aca="false">IFERROR(__xludf.dummyfunction("if($T29&lt;&gt;"""",VALUE(REGEXEXTRACT(SUBSTITUTE ($T29,L$1&amp;"" CE"",""""), L$1&amp;""[\w &amp;]*, (\d+\.\d+)"")),"""")
"),15.5)</f>
        <v>15.5</v>
      </c>
      <c r="M29" s="3" t="n">
        <f aca="false">IFERROR(__xludf.dummyfunction("if($T29&lt;&gt;"""",VALUE(REGEXEXTRACT($T29, M$1&amp;""[\w &amp;]*, (\d+\.\d+)"")),"""")
"),10)</f>
        <v>10</v>
      </c>
      <c r="N29" s="3" t="n">
        <f aca="false">IFERROR(__xludf.dummyfunction("if($T29&lt;&gt;"""",VALUE(REGEXEXTRACT(SUBSTITUTE ($T29,N$1&amp;"" CE"",""""), N$1&amp;""[\w &amp;]*, (\d+\.\d+)"")),"""")
"),16)</f>
        <v>16</v>
      </c>
      <c r="O29" s="3" t="n">
        <f aca="false">IFERROR(__xludf.dummyfunction("if($T29&lt;&gt;"""",VALUE(REGEXEXTRACT($T29, O$1&amp;""[\w &amp;]*, (\d+\.\d+)"")),"""")
"),13)</f>
        <v>13</v>
      </c>
      <c r="P29" s="2" t="n">
        <f aca="false">IFERROR(__xludf.dummyfunction("if($T29&lt;&gt;"""",VALUE(REGEXEXTRACT($T29, P$1&amp;""[\w &amp;]*, (\d+\.\d+)"")),"""")
"),10.92)</f>
        <v>10.92</v>
      </c>
      <c r="Q29" s="2" t="n">
        <f aca="false">IFERROR(__xludf.dummyfunction("if($T29&lt;&gt;"""",VALUE(REGEXEXTRACT($T29, Q$1&amp;""[\w &amp;]*, (\d+\.\d+)"")),"""")
"),10.65)</f>
        <v>10.65</v>
      </c>
      <c r="R29" s="2" t="n">
        <f aca="false">IFERROR(__xludf.dummyfunction("if($T29&lt;&gt;"""",VALUE(REGEXEXTRACT($T29, SUBSTITUTE(R$1, ""+"", ""\+"")&amp;""[\w &amp;]*, (\d+\.\d+)"")),"""")"),12.24)</f>
        <v>12.24</v>
      </c>
      <c r="S29" s="2" t="n">
        <f aca="false">IFERROR(__xludf.dummyfunction("if($T29&lt;&gt;"""",VALUE(REGEXEXTRACT($T29, SUBSTITUTE(S$1, ""+"", ""\+"")&amp;""[\w &amp;]*, (\d+\.\d+)"")),"""")"),12.51)</f>
        <v>12.51</v>
      </c>
      <c r="T29" s="5" t="s">
        <v>254</v>
      </c>
    </row>
    <row r="30" customFormat="false" ht="15.75" hidden="false" customHeight="false" outlineLevel="0" collapsed="false">
      <c r="A30" s="4" t="n">
        <f aca="false">IFERROR(__xludf.dummyfunction("""COMPUTED_VALUE"""),45436.6361111111)</f>
        <v>45436.6361111111</v>
      </c>
      <c r="B30" s="2" t="n">
        <f aca="false">IFERROR(__xludf.dummyfunction("""COMPUTED_VALUE"""),12.57)</f>
        <v>12.57</v>
      </c>
      <c r="C30" s="2" t="n">
        <f aca="false">IFERROR(__xludf.dummyfunction("""COMPUTED_VALUE"""),12.57)</f>
        <v>12.57</v>
      </c>
      <c r="D30" s="2" t="n">
        <f aca="false">IFERROR(__xludf.dummyfunction("""COMPUTED_VALUE"""),11.89)</f>
        <v>11.89</v>
      </c>
      <c r="E30" s="2" t="n">
        <f aca="false">IFERROR(__xludf.dummyfunction("""COMPUTED_VALUE"""),11.93)</f>
        <v>11.93</v>
      </c>
      <c r="F30" s="3" t="n">
        <f aca="false">IFERROR(__xludf.dummyfunction("if($T30&lt;&gt;"""",VALUE(REGEXEXTRACT(SUBSTITUTE ($T30,F$1&amp;"" CE"",""""), F$1&amp;""[\w &amp;]*, (\d+\.\d+)"")),"""")
"),16)</f>
        <v>16</v>
      </c>
      <c r="G30" s="3" t="n">
        <f aca="false">IFERROR(__xludf.dummyfunction("if($T30&lt;&gt;"""",VALUE(REGEXEXTRACT($T30, G$1&amp;""[\w &amp;]*, (\d+\.\d+)"")),"""")
"),15)</f>
        <v>15</v>
      </c>
      <c r="H30" s="3" t="n">
        <f aca="false">IFERROR(__xludf.dummyfunction("if($T30&lt;&gt;"""",VALUE(REGEXEXTRACT($T30, H$1&amp;""[\w &amp;]*, (\d+\.\d+)"")),"""")
"),140)</f>
        <v>140</v>
      </c>
      <c r="I30" s="3" t="n">
        <f aca="false">IFERROR(__xludf.dummyfunction("if($T30&lt;&gt;"""",VALUE(REGEXEXTRACT(SUBSTITUTE ($T30,I$1&amp;"" CE"",""""), I$1&amp;""[\w &amp;]*, (\d+\.\d+)"")),"""")
"),15)</f>
        <v>15</v>
      </c>
      <c r="J30" s="3" t="n">
        <f aca="false">IFERROR(__xludf.dummyfunction("if($T30&lt;&gt;"""",VALUE(REGEXEXTRACT($T30, J$1&amp;""[\w &amp;]*, (\d+\.\d+)"")),"""")
"),12)</f>
        <v>12</v>
      </c>
      <c r="K30" s="3" t="n">
        <f aca="false">IFERROR(__xludf.dummyfunction("if($T30&lt;&gt;"""",VALUE(REGEXEXTRACT($T30, K$1&amp;""[\w &amp;]*, (\d+\.\d+)"")),"""")
"),10.5)</f>
        <v>10.5</v>
      </c>
      <c r="L30" s="3" t="n">
        <f aca="false">IFERROR(__xludf.dummyfunction("if($T30&lt;&gt;"""",VALUE(REGEXEXTRACT(SUBSTITUTE ($T30,L$1&amp;"" CE"",""""), L$1&amp;""[\w &amp;]*, (\d+\.\d+)"")),"""")
"),14.5)</f>
        <v>14.5</v>
      </c>
      <c r="M30" s="3" t="n">
        <f aca="false">IFERROR(__xludf.dummyfunction("if($T30&lt;&gt;"""",VALUE(REGEXEXTRACT($T30, M$1&amp;""[\w &amp;]*, (\d+\.\d+)"")),"""")
"),12)</f>
        <v>12</v>
      </c>
      <c r="N30" s="3" t="n">
        <f aca="false">IFERROR(__xludf.dummyfunction("if($T30&lt;&gt;"""",VALUE(REGEXEXTRACT(SUBSTITUTE ($T30,N$1&amp;"" CE"",""""), N$1&amp;""[\w &amp;]*, (\d+\.\d+)"")),"""")
"),15)</f>
        <v>15</v>
      </c>
      <c r="O30" s="3" t="n">
        <f aca="false">IFERROR(__xludf.dummyfunction("if($T30&lt;&gt;"""",VALUE(REGEXEXTRACT($T30, O$1&amp;""[\w &amp;]*, (\d+\.\d+)"")),"""")
"),15)</f>
        <v>15</v>
      </c>
      <c r="P30" s="2" t="n">
        <f aca="false">IFERROR(__xludf.dummyfunction("if($T30&lt;&gt;"""",VALUE(REGEXEXTRACT($T30, P$1&amp;""[\w &amp;]*, (\d+\.\d+)"")),"""")
"),11.69)</f>
        <v>11.69</v>
      </c>
      <c r="Q30" s="2" t="n">
        <f aca="false">IFERROR(__xludf.dummyfunction("if($T30&lt;&gt;"""",VALUE(REGEXEXTRACT($T30, Q$1&amp;""[\w &amp;]*, (\d+\.\d+)"")),"""")
"),11.27)</f>
        <v>11.27</v>
      </c>
      <c r="R30" s="2" t="n">
        <f aca="false">IFERROR(__xludf.dummyfunction("if($T30&lt;&gt;"""",VALUE(REGEXEXTRACT($T30, SUBSTITUTE(R$1, ""+"", ""\+"")&amp;""[\w &amp;]*, (\d+\.\d+)"")),"""")"),13.48)</f>
        <v>13.48</v>
      </c>
      <c r="S30" s="2" t="n">
        <f aca="false">IFERROR(__xludf.dummyfunction("if($T30&lt;&gt;"""",VALUE(REGEXEXTRACT($T30, SUBSTITUTE(S$1, ""+"", ""\+"")&amp;""[\w &amp;]*, (\d+\.\d+)"")),"""")"),13.91)</f>
        <v>13.91</v>
      </c>
      <c r="T30" s="5" t="s">
        <v>255</v>
      </c>
    </row>
    <row r="31" customFormat="false" ht="15.75" hidden="false" customHeight="false" outlineLevel="0" collapsed="false">
      <c r="A31" s="4" t="n">
        <f aca="false">IFERROR(__xludf.dummyfunction("""COMPUTED_VALUE"""),45440.6361111111)</f>
        <v>45440.6361111111</v>
      </c>
      <c r="B31" s="2" t="n">
        <f aca="false">IFERROR(__xludf.dummyfunction("""COMPUTED_VALUE"""),12.5)</f>
        <v>12.5</v>
      </c>
      <c r="C31" s="2" t="n">
        <f aca="false">IFERROR(__xludf.dummyfunction("""COMPUTED_VALUE"""),13.44)</f>
        <v>13.44</v>
      </c>
      <c r="D31" s="2" t="n">
        <f aca="false">IFERROR(__xludf.dummyfunction("""COMPUTED_VALUE"""),12.5)</f>
        <v>12.5</v>
      </c>
      <c r="E31" s="2" t="n">
        <f aca="false">IFERROR(__xludf.dummyfunction("""COMPUTED_VALUE"""),12.92)</f>
        <v>12.92</v>
      </c>
      <c r="F31" s="3" t="n">
        <f aca="false">IFERROR(__xludf.dummyfunction("if($T31&lt;&gt;"""",VALUE(REGEXEXTRACT(SUBSTITUTE ($T31,F$1&amp;"" CE"",""""), F$1&amp;""[\w &amp;]*, (\d+\.\d+)"")),"""")
"),16)</f>
        <v>16</v>
      </c>
      <c r="G31" s="3" t="n">
        <f aca="false">IFERROR(__xludf.dummyfunction("if($T31&lt;&gt;"""",VALUE(REGEXEXTRACT($T31, G$1&amp;""[\w &amp;]*, (\d+\.\d+)"")),"""")
"),15)</f>
        <v>15</v>
      </c>
      <c r="H31" s="3" t="n">
        <f aca="false">IFERROR(__xludf.dummyfunction("if($T31&lt;&gt;"""",VALUE(REGEXEXTRACT($T31, H$1&amp;""[\w &amp;]*, (\d+\.\d+)"")),"""")
"),140)</f>
        <v>140</v>
      </c>
      <c r="I31" s="3" t="n">
        <f aca="false">IFERROR(__xludf.dummyfunction("if($T31&lt;&gt;"""",VALUE(REGEXEXTRACT(SUBSTITUTE ($T31,I$1&amp;"" CE"",""""), I$1&amp;""[\w &amp;]*, (\d+\.\d+)"")),"""")
"),15)</f>
        <v>15</v>
      </c>
      <c r="J31" s="3" t="n">
        <f aca="false">IFERROR(__xludf.dummyfunction("if($T31&lt;&gt;"""",VALUE(REGEXEXTRACT($T31, J$1&amp;""[\w &amp;]*, (\d+\.\d+)"")),"""")
"),12)</f>
        <v>12</v>
      </c>
      <c r="K31" s="3" t="n">
        <f aca="false">IFERROR(__xludf.dummyfunction("if($T31&lt;&gt;"""",VALUE(REGEXEXTRACT($T31, K$1&amp;""[\w &amp;]*, (\d+\.\d+)"")),"""")
"),10.5)</f>
        <v>10.5</v>
      </c>
      <c r="L31" s="3" t="n">
        <f aca="false">IFERROR(__xludf.dummyfunction("if($T31&lt;&gt;"""",VALUE(REGEXEXTRACT(SUBSTITUTE ($T31,L$1&amp;"" CE"",""""), L$1&amp;""[\w &amp;]*, (\d+\.\d+)"")),"""")
"),14.5)</f>
        <v>14.5</v>
      </c>
      <c r="M31" s="3" t="n">
        <f aca="false">IFERROR(__xludf.dummyfunction("if($T31&lt;&gt;"""",VALUE(REGEXEXTRACT($T31, M$1&amp;""[\w &amp;]*, (\d+\.\d+)"")),"""")
"),12)</f>
        <v>12</v>
      </c>
      <c r="N31" s="3" t="n">
        <f aca="false">IFERROR(__xludf.dummyfunction("if($T31&lt;&gt;"""",VALUE(REGEXEXTRACT(SUBSTITUTE ($T31,N$1&amp;"" CE"",""""), N$1&amp;""[\w &amp;]*, (\d+\.\d+)"")),"""")
"),15)</f>
        <v>15</v>
      </c>
      <c r="O31" s="3" t="n">
        <f aca="false">IFERROR(__xludf.dummyfunction("if($T31&lt;&gt;"""",VALUE(REGEXEXTRACT($T31, O$1&amp;""[\w &amp;]*, (\d+\.\d+)"")),"""")
"),12)</f>
        <v>12</v>
      </c>
      <c r="P31" s="2" t="n">
        <f aca="false">IFERROR(__xludf.dummyfunction("if($T31&lt;&gt;"""",VALUE(REGEXEXTRACT($T31, P$1&amp;""[\w &amp;]*, (\d+\.\d+)"")),"""")
"),11.97)</f>
        <v>11.97</v>
      </c>
      <c r="Q31" s="2" t="n">
        <f aca="false">IFERROR(__xludf.dummyfunction("if($T31&lt;&gt;"""",VALUE(REGEXEXTRACT($T31, Q$1&amp;""[\w &amp;]*, (\d+\.\d+)"")),"""")
"),11.35)</f>
        <v>11.35</v>
      </c>
      <c r="R31" s="2" t="n">
        <f aca="false">IFERROR(__xludf.dummyfunction("if($T31&lt;&gt;"""",VALUE(REGEXEXTRACT($T31, SUBSTITUTE(R$1, ""+"", ""\+"")&amp;""[\w &amp;]*, (\d+\.\d+)"")),"""")"),13.07)</f>
        <v>13.07</v>
      </c>
      <c r="S31" s="2" t="n">
        <f aca="false">IFERROR(__xludf.dummyfunction("if($T31&lt;&gt;"""",VALUE(REGEXEXTRACT($T31, SUBSTITUTE(S$1, ""+"", ""\+"")&amp;""[\w &amp;]*, (\d+\.\d+)"")),"""")"),13.69)</f>
        <v>13.69</v>
      </c>
      <c r="T31" s="5" t="s">
        <v>256</v>
      </c>
    </row>
    <row r="32" customFormat="false" ht="15.75" hidden="false" customHeight="false" outlineLevel="0" collapsed="false">
      <c r="A32" s="4" t="n">
        <f aca="false">IFERROR(__xludf.dummyfunction("""COMPUTED_VALUE"""),45441.6361111111)</f>
        <v>45441.6361111111</v>
      </c>
      <c r="B32" s="2" t="n">
        <f aca="false">IFERROR(__xludf.dummyfunction("""COMPUTED_VALUE"""),14.11)</f>
        <v>14.11</v>
      </c>
      <c r="C32" s="2" t="n">
        <f aca="false">IFERROR(__xludf.dummyfunction("""COMPUTED_VALUE"""),14.32)</f>
        <v>14.32</v>
      </c>
      <c r="D32" s="2" t="n">
        <f aca="false">IFERROR(__xludf.dummyfunction("""COMPUTED_VALUE"""),13.69)</f>
        <v>13.69</v>
      </c>
      <c r="E32" s="2" t="n">
        <f aca="false">IFERROR(__xludf.dummyfunction("""COMPUTED_VALUE"""),14.28)</f>
        <v>14.28</v>
      </c>
      <c r="F32" s="3" t="n">
        <f aca="false">IFERROR(__xludf.dummyfunction("if($T32&lt;&gt;"""",VALUE(REGEXEXTRACT(SUBSTITUTE ($T32,F$1&amp;"" CE"",""""), F$1&amp;""[\w &amp;]*, (\d+\.\d+)"")),"""")
"),16)</f>
        <v>16</v>
      </c>
      <c r="G32" s="3" t="n">
        <f aca="false">IFERROR(__xludf.dummyfunction("if($T32&lt;&gt;"""",VALUE(REGEXEXTRACT($T32, G$1&amp;""[\w &amp;]*, (\d+\.\d+)"")),"""")
"),20)</f>
        <v>20</v>
      </c>
      <c r="H32" s="3" t="n">
        <f aca="false">IFERROR(__xludf.dummyfunction("if($T32&lt;&gt;"""",VALUE(REGEXEXTRACT($T32, H$1&amp;""[\w &amp;]*, (\d+\.\d+)"")),"""")
"),140)</f>
        <v>140</v>
      </c>
      <c r="I32" s="3" t="n">
        <f aca="false">IFERROR(__xludf.dummyfunction("if($T32&lt;&gt;"""",VALUE(REGEXEXTRACT(SUBSTITUTE ($T32,I$1&amp;"" CE"",""""), I$1&amp;""[\w &amp;]*, (\d+\.\d+)"")),"""")
"),15)</f>
        <v>15</v>
      </c>
      <c r="J32" s="3" t="n">
        <f aca="false">IFERROR(__xludf.dummyfunction("if($T32&lt;&gt;"""",VALUE(REGEXEXTRACT($T32, J$1&amp;""[\w &amp;]*, (\d+\.\d+)"")),"""")
"),13)</f>
        <v>13</v>
      </c>
      <c r="K32" s="3" t="n">
        <f aca="false">IFERROR(__xludf.dummyfunction("if($T32&lt;&gt;"""",VALUE(REGEXEXTRACT($T32, K$1&amp;""[\w &amp;]*, (\d+\.\d+)"")),"""")
"),10.5)</f>
        <v>10.5</v>
      </c>
      <c r="L32" s="3" t="n">
        <f aca="false">IFERROR(__xludf.dummyfunction("if($T32&lt;&gt;"""",VALUE(REGEXEXTRACT(SUBSTITUTE ($T32,L$1&amp;"" CE"",""""), L$1&amp;""[\w &amp;]*, (\d+\.\d+)"")),"""")
"),15)</f>
        <v>15</v>
      </c>
      <c r="M32" s="3" t="n">
        <f aca="false">IFERROR(__xludf.dummyfunction("if($T32&lt;&gt;"""",VALUE(REGEXEXTRACT($T32, M$1&amp;""[\w &amp;]*, (\d+\.\d+)"")),"""")
"),14.5)</f>
        <v>14.5</v>
      </c>
      <c r="N32" s="3" t="n">
        <f aca="false">IFERROR(__xludf.dummyfunction("if($T32&lt;&gt;"""",VALUE(REGEXEXTRACT(SUBSTITUTE ($T32,N$1&amp;"" CE"",""""), N$1&amp;""[\w &amp;]*, (\d+\.\d+)"")),"""")
"),15)</f>
        <v>15</v>
      </c>
      <c r="O32" s="3" t="n">
        <f aca="false">IFERROR(__xludf.dummyfunction("if($T32&lt;&gt;"""",VALUE(REGEXEXTRACT($T32, O$1&amp;""[\w &amp;]*, (\d+\.\d+)"")),"""")
"),16)</f>
        <v>16</v>
      </c>
      <c r="P32" s="2" t="n">
        <f aca="false">IFERROR(__xludf.dummyfunction("if($T32&lt;&gt;"""",VALUE(REGEXEXTRACT($T32, P$1&amp;""[\w &amp;]*, (\d+\.\d+)"")),"""")
"),13.72)</f>
        <v>13.72</v>
      </c>
      <c r="Q32" s="2" t="n">
        <f aca="false">IFERROR(__xludf.dummyfunction("if($T32&lt;&gt;"""",VALUE(REGEXEXTRACT($T32, Q$1&amp;""[\w &amp;]*, (\d+\.\d+)"")),"""")
"),12.97)</f>
        <v>12.97</v>
      </c>
      <c r="R32" s="2" t="n">
        <f aca="false">IFERROR(__xludf.dummyfunction("if($T32&lt;&gt;"""",VALUE(REGEXEXTRACT($T32, SUBSTITUTE(R$1, ""+"", ""\+"")&amp;""[\w &amp;]*, (\d+\.\d+)"")),"""")"),14.54)</f>
        <v>14.54</v>
      </c>
      <c r="S32" s="2" t="n">
        <f aca="false">IFERROR(__xludf.dummyfunction("if($T32&lt;&gt;"""",VALUE(REGEXEXTRACT($T32, SUBSTITUTE(S$1, ""+"", ""\+"")&amp;""[\w &amp;]*, (\d+\.\d+)"")),"""")"),15.29)</f>
        <v>15.29</v>
      </c>
      <c r="T32" s="5" t="s">
        <v>257</v>
      </c>
    </row>
    <row r="33" customFormat="false" ht="15.75" hidden="false" customHeight="false" outlineLevel="0" collapsed="false">
      <c r="A33" s="4" t="n">
        <f aca="false">IFERROR(__xludf.dummyfunction("""COMPUTED_VALUE"""),45442.6361111111)</f>
        <v>45442.6361111111</v>
      </c>
      <c r="B33" s="2" t="n">
        <f aca="false">IFERROR(__xludf.dummyfunction("""COMPUTED_VALUE"""),14.45)</f>
        <v>14.45</v>
      </c>
      <c r="C33" s="2" t="n">
        <f aca="false">IFERROR(__xludf.dummyfunction("""COMPUTED_VALUE"""),14.45)</f>
        <v>14.45</v>
      </c>
      <c r="D33" s="2" t="n">
        <f aca="false">IFERROR(__xludf.dummyfunction("""COMPUTED_VALUE"""),13.67)</f>
        <v>13.67</v>
      </c>
      <c r="E33" s="2" t="n">
        <f aca="false">IFERROR(__xludf.dummyfunction("""COMPUTED_VALUE"""),14.47)</f>
        <v>14.47</v>
      </c>
      <c r="F33" s="3" t="n">
        <f aca="false">IFERROR(__xludf.dummyfunction("if($T33&lt;&gt;"""",VALUE(REGEXEXTRACT(SUBSTITUTE ($T33,F$1&amp;"" CE"",""""), F$1&amp;""[\w &amp;]*, (\d+\.\d+)"")),"""")
"),16)</f>
        <v>16</v>
      </c>
      <c r="G33" s="3" t="n">
        <f aca="false">IFERROR(__xludf.dummyfunction("if($T33&lt;&gt;"""",VALUE(REGEXEXTRACT($T33, G$1&amp;""[\w &amp;]*, (\d+\.\d+)"")),"""")
"),20)</f>
        <v>20</v>
      </c>
      <c r="H33" s="3" t="n">
        <f aca="false">IFERROR(__xludf.dummyfunction("if($T33&lt;&gt;"""",VALUE(REGEXEXTRACT($T33, H$1&amp;""[\w &amp;]*, (\d+\.\d+)"")),"""")
"),140)</f>
        <v>140</v>
      </c>
      <c r="I33" s="3" t="n">
        <f aca="false">IFERROR(__xludf.dummyfunction("if($T33&lt;&gt;"""",VALUE(REGEXEXTRACT(SUBSTITUTE ($T33,I$1&amp;"" CE"",""""), I$1&amp;""[\w &amp;]*, (\d+\.\d+)"")),"""")
"),15)</f>
        <v>15</v>
      </c>
      <c r="J33" s="3" t="n">
        <f aca="false">IFERROR(__xludf.dummyfunction("if($T33&lt;&gt;"""",VALUE(REGEXEXTRACT($T33, J$1&amp;""[\w &amp;]*, (\d+\.\d+)"")),"""")
"),13)</f>
        <v>13</v>
      </c>
      <c r="K33" s="3" t="n">
        <f aca="false">IFERROR(__xludf.dummyfunction("if($T33&lt;&gt;"""",VALUE(REGEXEXTRACT($T33, K$1&amp;""[\w &amp;]*, (\d+\.\d+)"")),"""")
"),10.5)</f>
        <v>10.5</v>
      </c>
      <c r="L33" s="3" t="n">
        <f aca="false">IFERROR(__xludf.dummyfunction("if($T33&lt;&gt;"""",VALUE(REGEXEXTRACT(SUBSTITUTE ($T33,L$1&amp;"" CE"",""""), L$1&amp;""[\w &amp;]*, (\d+\.\d+)"")),"""")
"),15)</f>
        <v>15</v>
      </c>
      <c r="M33" s="3" t="n">
        <f aca="false">IFERROR(__xludf.dummyfunction("if($T33&lt;&gt;"""",VALUE(REGEXEXTRACT($T33, M$1&amp;""[\w &amp;]*, (\d+\.\d+)"")),"""")
"),14.5)</f>
        <v>14.5</v>
      </c>
      <c r="N33" s="3" t="n">
        <f aca="false">IFERROR(__xludf.dummyfunction("if($T33&lt;&gt;"""",VALUE(REGEXEXTRACT(SUBSTITUTE ($T33,N$1&amp;"" CE"",""""), N$1&amp;""[\w &amp;]*, (\d+\.\d+)"")),"""")
"),16)</f>
        <v>16</v>
      </c>
      <c r="O33" s="3" t="n">
        <f aca="false">IFERROR(__xludf.dummyfunction("if($T33&lt;&gt;"""",VALUE(REGEXEXTRACT($T33, O$1&amp;""[\w &amp;]*, (\d+\.\d+)"")),"""")
"),16)</f>
        <v>16</v>
      </c>
      <c r="P33" s="2" t="n">
        <f aca="false">IFERROR(__xludf.dummyfunction("if($T33&lt;&gt;"""",VALUE(REGEXEXTRACT($T33, P$1&amp;""[\w &amp;]*, (\d+\.\d+)"")),"""")
"),13.01)</f>
        <v>13.01</v>
      </c>
      <c r="Q33" s="2" t="n">
        <f aca="false">IFERROR(__xludf.dummyfunction("if($T33&lt;&gt;"""",VALUE(REGEXEXTRACT($T33, Q$1&amp;""[\w &amp;]*, (\d+\.\d+)"")),"""")
"),12.42)</f>
        <v>12.42</v>
      </c>
      <c r="R33" s="2" t="n">
        <f aca="false">IFERROR(__xludf.dummyfunction("if($T33&lt;&gt;"""",VALUE(REGEXEXTRACT($T33, SUBSTITUTE(R$1, ""+"", ""\+"")&amp;""[\w &amp;]*, (\d+\.\d+)"")),"""")"),15.89)</f>
        <v>15.89</v>
      </c>
      <c r="S33" s="2" t="n">
        <f aca="false">IFERROR(__xludf.dummyfunction("if($T33&lt;&gt;"""",VALUE(REGEXEXTRACT($T33, SUBSTITUTE(S$1, ""+"", ""\+"")&amp;""[\w &amp;]*, (\d+\.\d+)"")),"""")"),16.48)</f>
        <v>16.48</v>
      </c>
      <c r="T33" s="5" t="s">
        <v>258</v>
      </c>
    </row>
    <row r="34" customFormat="false" ht="15.75" hidden="false" customHeight="false" outlineLevel="0" collapsed="false">
      <c r="A34" s="4" t="n">
        <f aca="false">IFERROR(__xludf.dummyfunction("""COMPUTED_VALUE"""),45443.6361111111)</f>
        <v>45443.6361111111</v>
      </c>
      <c r="B34" s="2" t="n">
        <f aca="false">IFERROR(__xludf.dummyfunction("""COMPUTED_VALUE"""),14.38)</f>
        <v>14.38</v>
      </c>
      <c r="C34" s="2" t="n">
        <f aca="false">IFERROR(__xludf.dummyfunction("""COMPUTED_VALUE"""),14.87)</f>
        <v>14.87</v>
      </c>
      <c r="D34" s="2" t="n">
        <f aca="false">IFERROR(__xludf.dummyfunction("""COMPUTED_VALUE"""),12.84)</f>
        <v>12.84</v>
      </c>
      <c r="E34" s="2" t="n">
        <f aca="false">IFERROR(__xludf.dummyfunction("""COMPUTED_VALUE"""),12.92)</f>
        <v>12.92</v>
      </c>
      <c r="F34" s="3" t="n">
        <f aca="false">IFERROR(__xludf.dummyfunction("if($T34&lt;&gt;"""",VALUE(REGEXEXTRACT(SUBSTITUTE ($T34,F$1&amp;"" CE"",""""), F$1&amp;""[\w &amp;]*, (\d+\.\d+)"")),"""")
"),16)</f>
        <v>16</v>
      </c>
      <c r="G34" s="3" t="n">
        <f aca="false">IFERROR(__xludf.dummyfunction("if($T34&lt;&gt;"""",VALUE(REGEXEXTRACT($T34, G$1&amp;""[\w &amp;]*, (\d+\.\d+)"")),"""")
"),20)</f>
        <v>20</v>
      </c>
      <c r="H34" s="3" t="n">
        <f aca="false">IFERROR(__xludf.dummyfunction("if($T34&lt;&gt;"""",VALUE(REGEXEXTRACT($T34, H$1&amp;""[\w &amp;]*, (\d+\.\d+)"")),"""")
"),140)</f>
        <v>140</v>
      </c>
      <c r="I34" s="3" t="n">
        <f aca="false">IFERROR(__xludf.dummyfunction("if($T34&lt;&gt;"""",VALUE(REGEXEXTRACT(SUBSTITUTE ($T34,I$1&amp;"" CE"",""""), I$1&amp;""[\w &amp;]*, (\d+\.\d+)"")),"""")
"),15)</f>
        <v>15</v>
      </c>
      <c r="J34" s="3" t="n">
        <f aca="false">IFERROR(__xludf.dummyfunction("if($T34&lt;&gt;"""",VALUE(REGEXEXTRACT($T34, J$1&amp;""[\w &amp;]*, (\d+\.\d+)"")),"""")
"),13)</f>
        <v>13</v>
      </c>
      <c r="K34" s="3" t="n">
        <f aca="false">IFERROR(__xludf.dummyfunction("if($T34&lt;&gt;"""",VALUE(REGEXEXTRACT($T34, K$1&amp;""[\w &amp;]*, (\d+\.\d+)"")),"""")
"),12)</f>
        <v>12</v>
      </c>
      <c r="L34" s="3" t="n">
        <f aca="false">IFERROR(__xludf.dummyfunction("if($T34&lt;&gt;"""",VALUE(REGEXEXTRACT(SUBSTITUTE ($T34,L$1&amp;"" CE"",""""), L$1&amp;""[\w &amp;]*, (\d+\.\d+)"")),"""")
"),15)</f>
        <v>15</v>
      </c>
      <c r="M34" s="3" t="n">
        <f aca="false">IFERROR(__xludf.dummyfunction("if($T34&lt;&gt;"""",VALUE(REGEXEXTRACT($T34, M$1&amp;""[\w &amp;]*, (\d+\.\d+)"")),"""")
"),14.5)</f>
        <v>14.5</v>
      </c>
      <c r="N34" s="3" t="n">
        <f aca="false">IFERROR(__xludf.dummyfunction("if($T34&lt;&gt;"""",VALUE(REGEXEXTRACT(SUBSTITUTE ($T34,N$1&amp;"" CE"",""""), N$1&amp;""[\w &amp;]*, (\d+\.\d+)"")),"""")
"),16)</f>
        <v>16</v>
      </c>
      <c r="O34" s="3" t="n">
        <f aca="false">IFERROR(__xludf.dummyfunction("if($T34&lt;&gt;"""",VALUE(REGEXEXTRACT($T34, O$1&amp;""[\w &amp;]*, (\d+\.\d+)"")),"""")
"),14)</f>
        <v>14</v>
      </c>
      <c r="P34" s="2" t="n">
        <f aca="false">IFERROR(__xludf.dummyfunction("if($T34&lt;&gt;"""",VALUE(REGEXEXTRACT($T34, P$1&amp;""[\w &amp;]*, (\d+\.\d+)"")),"""")
"),13.22)</f>
        <v>13.22</v>
      </c>
      <c r="Q34" s="2" t="n">
        <f aca="false">IFERROR(__xludf.dummyfunction("if($T34&lt;&gt;"""",VALUE(REGEXEXTRACT($T34, Q$1&amp;""[\w &amp;]*, (\d+\.\d+)"")),"""")
"),12.62)</f>
        <v>12.62</v>
      </c>
      <c r="R34" s="2" t="n">
        <f aca="false">IFERROR(__xludf.dummyfunction("if($T34&lt;&gt;"""",VALUE(REGEXEXTRACT($T34, SUBSTITUTE(R$1, ""+"", ""\+"")&amp;""[\w &amp;]*, (\d+\.\d+)"")),"""")"),15.78)</f>
        <v>15.78</v>
      </c>
      <c r="S34" s="2" t="n">
        <f aca="false">IFERROR(__xludf.dummyfunction("if($T34&lt;&gt;"""",VALUE(REGEXEXTRACT($T34, SUBSTITUTE(S$1, ""+"", ""\+"")&amp;""[\w &amp;]*, (\d+\.\d+)"")),"""")"),16.38)</f>
        <v>16.38</v>
      </c>
      <c r="T34" s="5" t="s">
        <v>259</v>
      </c>
    </row>
    <row r="35" customFormat="false" ht="15.75" hidden="false" customHeight="false" outlineLevel="0" collapsed="false">
      <c r="A35" s="4" t="n">
        <f aca="false">IFERROR(__xludf.dummyfunction("""COMPUTED_VALUE"""),45446.6361111111)</f>
        <v>45446.6361111111</v>
      </c>
      <c r="B35" s="2" t="n">
        <f aca="false">IFERROR(__xludf.dummyfunction("""COMPUTED_VALUE"""),13.08)</f>
        <v>13.08</v>
      </c>
      <c r="C35" s="2" t="n">
        <f aca="false">IFERROR(__xludf.dummyfunction("""COMPUTED_VALUE"""),14.31)</f>
        <v>14.31</v>
      </c>
      <c r="D35" s="2" t="n">
        <f aca="false">IFERROR(__xludf.dummyfunction("""COMPUTED_VALUE"""),13)</f>
        <v>13</v>
      </c>
      <c r="E35" s="2" t="n">
        <f aca="false">IFERROR(__xludf.dummyfunction("""COMPUTED_VALUE"""),13.11)</f>
        <v>13.11</v>
      </c>
      <c r="F35" s="3" t="n">
        <f aca="false">IFERROR(__xludf.dummyfunction("if($T35&lt;&gt;"""",VALUE(REGEXEXTRACT(SUBSTITUTE ($T35,F$1&amp;"" CE"",""""), F$1&amp;""[\w &amp;]*, (\d+\.\d+)"")),"""")
"),14)</f>
        <v>14</v>
      </c>
      <c r="G35" s="3" t="n">
        <f aca="false">IFERROR(__xludf.dummyfunction("if($T35&lt;&gt;"""",VALUE(REGEXEXTRACT($T35, G$1&amp;""[\w &amp;]*, (\d+\.\d+)"")),"""")
"),14.5)</f>
        <v>14.5</v>
      </c>
      <c r="H35" s="3" t="n">
        <f aca="false">IFERROR(__xludf.dummyfunction("if($T35&lt;&gt;"""",VALUE(REGEXEXTRACT($T35, H$1&amp;""[\w &amp;]*, (\d+\.\d+)"")),"""")
"),14.5)</f>
        <v>14.5</v>
      </c>
      <c r="I35" s="3" t="n">
        <f aca="false">IFERROR(__xludf.dummyfunction("if($T35&lt;&gt;"""",VALUE(REGEXEXTRACT(SUBSTITUTE ($T35,I$1&amp;"" CE"",""""), I$1&amp;""[\w &amp;]*, (\d+\.\d+)"")),"""")
"),14)</f>
        <v>14</v>
      </c>
      <c r="J35" s="3" t="n">
        <f aca="false">IFERROR(__xludf.dummyfunction("if($T35&lt;&gt;"""",VALUE(REGEXEXTRACT($T35, J$1&amp;""[\w &amp;]*, (\d+\.\d+)"")),"""")
"),12.5)</f>
        <v>12.5</v>
      </c>
      <c r="K35" s="3" t="n">
        <f aca="false">IFERROR(__xludf.dummyfunction("if($T35&lt;&gt;"""",VALUE(REGEXEXTRACT($T35, K$1&amp;""[\w &amp;]*, (\d+\.\d+)"")),"""")
"),10)</f>
        <v>10</v>
      </c>
      <c r="L35" s="3" t="n">
        <f aca="false">IFERROR(__xludf.dummyfunction("if($T35&lt;&gt;"""",VALUE(REGEXEXTRACT(SUBSTITUTE ($T35,L$1&amp;"" CE"",""""), L$1&amp;""[\w &amp;]*, (\d+\.\d+)"")),"""")
"),14.5)</f>
        <v>14.5</v>
      </c>
      <c r="M35" s="3" t="n">
        <f aca="false">IFERROR(__xludf.dummyfunction("if($T35&lt;&gt;"""",VALUE(REGEXEXTRACT($T35, M$1&amp;""[\w &amp;]*, (\d+\.\d+)"")),"""")
"),12.5)</f>
        <v>12.5</v>
      </c>
      <c r="N35" s="3" t="n">
        <f aca="false">IFERROR(__xludf.dummyfunction("if($T35&lt;&gt;"""",VALUE(REGEXEXTRACT(SUBSTITUTE ($T35,N$1&amp;"" CE"",""""), N$1&amp;""[\w &amp;]*, (\d+\.\d+)"")),"""")
"),14)</f>
        <v>14</v>
      </c>
      <c r="O35" s="3" t="n">
        <f aca="false">IFERROR(__xludf.dummyfunction("if($T35&lt;&gt;"""",VALUE(REGEXEXTRACT($T35, O$1&amp;""[\w &amp;]*, (\d+\.\d+)"")),"""")
"),14.5)</f>
        <v>14.5</v>
      </c>
      <c r="P35" s="2" t="n">
        <f aca="false">IFERROR(__xludf.dummyfunction("if($T35&lt;&gt;"""",VALUE(REGEXEXTRACT($T35, P$1&amp;""[\w &amp;]*, (\d+\.\d+)"")),"""")
"),12.58)</f>
        <v>12.58</v>
      </c>
      <c r="Q35" s="2" t="n">
        <f aca="false">IFERROR(__xludf.dummyfunction("if($T35&lt;&gt;"""",VALUE(REGEXEXTRACT($T35, Q$1&amp;""[\w &amp;]*, (\d+\.\d+)"")),"""")
"),12.1)</f>
        <v>12.1</v>
      </c>
      <c r="R35" s="2" t="n">
        <f aca="false">IFERROR(__xludf.dummyfunction("if($T35&lt;&gt;"""",VALUE(REGEXEXTRACT($T35, SUBSTITUTE(R$1, ""+"", ""\+"")&amp;""[\w &amp;]*, (\d+\.\d+)"")),"""")"),13.76)</f>
        <v>13.76</v>
      </c>
      <c r="S35" s="2" t="n">
        <f aca="false">IFERROR(__xludf.dummyfunction("if($T35&lt;&gt;"""",VALUE(REGEXEXTRACT($T35, SUBSTITUTE(S$1, ""+"", ""\+"")&amp;""[\w &amp;]*, (\d+\.\d+)"")),"""")"),14.24)</f>
        <v>14.24</v>
      </c>
      <c r="T35" s="5" t="s">
        <v>260</v>
      </c>
    </row>
    <row r="36" customFormat="false" ht="15.75" hidden="false" customHeight="false" outlineLevel="0" collapsed="false">
      <c r="A36" s="4" t="n">
        <f aca="false">IFERROR(__xludf.dummyfunction("""COMPUTED_VALUE"""),45447.6361111111)</f>
        <v>45447.6361111111</v>
      </c>
      <c r="B36" s="2" t="n">
        <f aca="false">IFERROR(__xludf.dummyfunction("""COMPUTED_VALUE"""),13.85)</f>
        <v>13.85</v>
      </c>
      <c r="C36" s="2" t="n">
        <f aca="false">IFERROR(__xludf.dummyfunction("""COMPUTED_VALUE"""),13.85)</f>
        <v>13.85</v>
      </c>
      <c r="D36" s="2" t="n">
        <f aca="false">IFERROR(__xludf.dummyfunction("""COMPUTED_VALUE"""),13.11)</f>
        <v>13.11</v>
      </c>
      <c r="E36" s="2" t="n">
        <f aca="false">IFERROR(__xludf.dummyfunction("""COMPUTED_VALUE"""),13.16)</f>
        <v>13.16</v>
      </c>
      <c r="F36" s="3" t="n">
        <f aca="false">IFERROR(__xludf.dummyfunction("if($T36&lt;&gt;"""",VALUE(REGEXEXTRACT(SUBSTITUTE ($T36,F$1&amp;"" CE"",""""), F$1&amp;""[\w &amp;]*, (\d+\.\d+)"")),"""")
"),16)</f>
        <v>16</v>
      </c>
      <c r="G36" s="3" t="n">
        <f aca="false">IFERROR(__xludf.dummyfunction("if($T36&lt;&gt;"""",VALUE(REGEXEXTRACT($T36, G$1&amp;""[\w &amp;]*, (\d+\.\d+)"")),"""")
"),16)</f>
        <v>16</v>
      </c>
      <c r="H36" s="3" t="n">
        <f aca="false">IFERROR(__xludf.dummyfunction("if($T36&lt;&gt;"""",VALUE(REGEXEXTRACT($T36, H$1&amp;""[\w &amp;]*, (\d+\.\d+)"")),"""")
"),14.5)</f>
        <v>14.5</v>
      </c>
      <c r="I36" s="3" t="n">
        <f aca="false">IFERROR(__xludf.dummyfunction("if($T36&lt;&gt;"""",VALUE(REGEXEXTRACT(SUBSTITUTE ($T36,I$1&amp;"" CE"",""""), I$1&amp;""[\w &amp;]*, (\d+\.\d+)"")),"""")
"),14)</f>
        <v>14</v>
      </c>
      <c r="J36" s="3" t="n">
        <f aca="false">IFERROR(__xludf.dummyfunction("if($T36&lt;&gt;"""",VALUE(REGEXEXTRACT($T36, J$1&amp;""[\w &amp;]*, (\d+\.\d+)"")),"""")
"),12.5)</f>
        <v>12.5</v>
      </c>
      <c r="K36" s="3" t="n">
        <f aca="false">IFERROR(__xludf.dummyfunction("if($T36&lt;&gt;"""",VALUE(REGEXEXTRACT($T36, K$1&amp;""[\w &amp;]*, (\d+\.\d+)"")),"""")
"),15)</f>
        <v>15</v>
      </c>
      <c r="L36" s="3" t="n">
        <f aca="false">IFERROR(__xludf.dummyfunction("if($T36&lt;&gt;"""",VALUE(REGEXEXTRACT(SUBSTITUTE ($T36,L$1&amp;"" CE"",""""), L$1&amp;""[\w &amp;]*, (\d+\.\d+)"")),"""")
"),14.5)</f>
        <v>14.5</v>
      </c>
      <c r="M36" s="3" t="n">
        <f aca="false">IFERROR(__xludf.dummyfunction("if($T36&lt;&gt;"""",VALUE(REGEXEXTRACT($T36, M$1&amp;""[\w &amp;]*, (\d+\.\d+)"")),"""")
"),12.5)</f>
        <v>12.5</v>
      </c>
      <c r="N36" s="3" t="n">
        <f aca="false">IFERROR(__xludf.dummyfunction("if($T36&lt;&gt;"""",VALUE(REGEXEXTRACT(SUBSTITUTE ($T36,N$1&amp;"" CE"",""""), N$1&amp;""[\w &amp;]*, (\d+\.\d+)"")),"""")
"),14)</f>
        <v>14</v>
      </c>
      <c r="O36" s="3" t="n">
        <f aca="false">IFERROR(__xludf.dummyfunction("if($T36&lt;&gt;"""",VALUE(REGEXEXTRACT($T36, O$1&amp;""[\w &amp;]*, (\d+\.\d+)"")),"""")
"),16)</f>
        <v>16</v>
      </c>
      <c r="P36" s="2" t="n">
        <f aca="false">IFERROR(__xludf.dummyfunction("if($T36&lt;&gt;"""",VALUE(REGEXEXTRACT($T36, P$1&amp;""[\w &amp;]*, (\d+\.\d+)"")),"""")
"),13.46)</f>
        <v>13.46</v>
      </c>
      <c r="Q36" s="2" t="n">
        <f aca="false">IFERROR(__xludf.dummyfunction("if($T36&lt;&gt;"""",VALUE(REGEXEXTRACT($T36, Q$1&amp;""[\w &amp;]*, (\d+\.\d+)"")),"""")
"),13.26)</f>
        <v>13.26</v>
      </c>
      <c r="R36" s="2" t="n">
        <f aca="false">IFERROR(__xludf.dummyfunction("if($T36&lt;&gt;"""",VALUE(REGEXEXTRACT($T36, SUBSTITUTE(R$1, ""+"", ""\+"")&amp;""[\w &amp;]*, (\d+\.\d+)"")),"""")"),13.84)</f>
        <v>13.84</v>
      </c>
      <c r="S36" s="2" t="n">
        <f aca="false">IFERROR(__xludf.dummyfunction("if($T36&lt;&gt;"""",VALUE(REGEXEXTRACT($T36, SUBSTITUTE(S$1, ""+"", ""\+"")&amp;""[\w &amp;]*, (\d+\.\d+)"")),"""")"),14.04)</f>
        <v>14.04</v>
      </c>
      <c r="T36" s="5" t="s">
        <v>261</v>
      </c>
    </row>
    <row r="37" customFormat="false" ht="15.75" hidden="false" customHeight="false" outlineLevel="0" collapsed="false">
      <c r="A37" s="4" t="n">
        <f aca="false">IFERROR(__xludf.dummyfunction("""COMPUTED_VALUE"""),45448.6361111111)</f>
        <v>45448.6361111111</v>
      </c>
      <c r="B37" s="2" t="n">
        <f aca="false">IFERROR(__xludf.dummyfunction("""COMPUTED_VALUE"""),12.96)</f>
        <v>12.96</v>
      </c>
      <c r="C37" s="2" t="n">
        <f aca="false">IFERROR(__xludf.dummyfunction("""COMPUTED_VALUE"""),13.25)</f>
        <v>13.25</v>
      </c>
      <c r="D37" s="2" t="n">
        <f aca="false">IFERROR(__xludf.dummyfunction("""COMPUTED_VALUE"""),12.6)</f>
        <v>12.6</v>
      </c>
      <c r="E37" s="2" t="n">
        <f aca="false">IFERROR(__xludf.dummyfunction("""COMPUTED_VALUE"""),12.63)</f>
        <v>12.63</v>
      </c>
      <c r="F37" s="3" t="n">
        <f aca="false">IFERROR(__xludf.dummyfunction("if($T37&lt;&gt;"""",VALUE(REGEXEXTRACT(SUBSTITUTE ($T37,F$1&amp;"" CE"",""""), F$1&amp;""[\w &amp;]*, (\d+\.\d+)"")),"""")
"),14)</f>
        <v>14</v>
      </c>
      <c r="G37" s="3" t="n">
        <f aca="false">IFERROR(__xludf.dummyfunction("if($T37&lt;&gt;"""",VALUE(REGEXEXTRACT($T37, G$1&amp;""[\w &amp;]*, (\d+\.\d+)"")),"""")
"),13)</f>
        <v>13</v>
      </c>
      <c r="H37" s="3" t="n">
        <f aca="false">IFERROR(__xludf.dummyfunction("if($T37&lt;&gt;"""",VALUE(REGEXEXTRACT($T37, H$1&amp;""[\w &amp;]*, (\d+\.\d+)"")),"""")
"),14.5)</f>
        <v>14.5</v>
      </c>
      <c r="I37" s="3" t="n">
        <f aca="false">IFERROR(__xludf.dummyfunction("if($T37&lt;&gt;"""",VALUE(REGEXEXTRACT(SUBSTITUTE ($T37,I$1&amp;"" CE"",""""), I$1&amp;""[\w &amp;]*, (\d+\.\d+)"")),"""")
"),13)</f>
        <v>13</v>
      </c>
      <c r="J37" s="3" t="n">
        <f aca="false">IFERROR(__xludf.dummyfunction("if($T37&lt;&gt;"""",VALUE(REGEXEXTRACT($T37, J$1&amp;""[\w &amp;]*, (\d+\.\d+)"")),"""")
"),12.5)</f>
        <v>12.5</v>
      </c>
      <c r="K37" s="3" t="n">
        <f aca="false">IFERROR(__xludf.dummyfunction("if($T37&lt;&gt;"""",VALUE(REGEXEXTRACT($T37, K$1&amp;""[\w &amp;]*, (\d+\.\d+)"")),"""")
"),10)</f>
        <v>10</v>
      </c>
      <c r="L37" s="3" t="n">
        <f aca="false">IFERROR(__xludf.dummyfunction("if($T37&lt;&gt;"""",VALUE(REGEXEXTRACT(SUBSTITUTE ($T37,L$1&amp;"" CE"",""""), L$1&amp;""[\w &amp;]*, (\d+\.\d+)"")),"""")
"),14.5)</f>
        <v>14.5</v>
      </c>
      <c r="M37" s="3" t="n">
        <f aca="false">IFERROR(__xludf.dummyfunction("if($T37&lt;&gt;"""",VALUE(REGEXEXTRACT($T37, M$1&amp;""[\w &amp;]*, (\d+\.\d+)"")),"""")
"),12.5)</f>
        <v>12.5</v>
      </c>
      <c r="N37" s="3" t="n">
        <f aca="false">IFERROR(__xludf.dummyfunction("if($T37&lt;&gt;"""",VALUE(REGEXEXTRACT(SUBSTITUTE ($T37,N$1&amp;"" CE"",""""), N$1&amp;""[\w &amp;]*, (\d+\.\d+)"")),"""")
"),14)</f>
        <v>14</v>
      </c>
      <c r="O37" s="3" t="n">
        <f aca="false">IFERROR(__xludf.dummyfunction("if($T37&lt;&gt;"""",VALUE(REGEXEXTRACT($T37, O$1&amp;""[\w &amp;]*, (\d+\.\d+)"")),"""")
"),13)</f>
        <v>13</v>
      </c>
      <c r="P37" s="2" t="n">
        <f aca="false">IFERROR(__xludf.dummyfunction("if($T37&lt;&gt;"""",VALUE(REGEXEXTRACT($T37, P$1&amp;""[\w &amp;]*, (\d+\.\d+)"")),"""")
"),12.65)</f>
        <v>12.65</v>
      </c>
      <c r="Q37" s="2" t="n">
        <f aca="false">IFERROR(__xludf.dummyfunction("if($T37&lt;&gt;"""",VALUE(REGEXEXTRACT($T37, Q$1&amp;""[\w &amp;]*, (\d+\.\d+)"")),"""")
"),12.07)</f>
        <v>12.07</v>
      </c>
      <c r="R37" s="2" t="n">
        <f aca="false">IFERROR(__xludf.dummyfunction("if($T37&lt;&gt;"""",VALUE(REGEXEXTRACT($T37, SUBSTITUTE(R$1, ""+"", ""\+"")&amp;""[\w &amp;]*, (\d+\.\d+)"")),"""")"),13.29)</f>
        <v>13.29</v>
      </c>
      <c r="S37" s="2" t="n">
        <f aca="false">IFERROR(__xludf.dummyfunction("if($T37&lt;&gt;"""",VALUE(REGEXEXTRACT($T37, SUBSTITUTE(S$1, ""+"", ""\+"")&amp;""[\w &amp;]*, (\d+\.\d+)"")),"""")"),13.87)</f>
        <v>13.87</v>
      </c>
      <c r="T37" s="5" t="s">
        <v>262</v>
      </c>
    </row>
    <row r="38" customFormat="false" ht="15.75" hidden="false" customHeight="false" outlineLevel="0" collapsed="false">
      <c r="A38" s="4" t="n">
        <f aca="false">IFERROR(__xludf.dummyfunction("""COMPUTED_VALUE"""),45449.6361111111)</f>
        <v>45449.6361111111</v>
      </c>
      <c r="B38" s="2" t="n">
        <f aca="false">IFERROR(__xludf.dummyfunction("""COMPUTED_VALUE"""),12.74)</f>
        <v>12.74</v>
      </c>
      <c r="C38" s="2" t="n">
        <f aca="false">IFERROR(__xludf.dummyfunction("""COMPUTED_VALUE"""),12.98)</f>
        <v>12.98</v>
      </c>
      <c r="D38" s="2" t="n">
        <f aca="false">IFERROR(__xludf.dummyfunction("""COMPUTED_VALUE"""),12.54)</f>
        <v>12.54</v>
      </c>
      <c r="E38" s="2" t="n">
        <f aca="false">IFERROR(__xludf.dummyfunction("""COMPUTED_VALUE"""),12.58)</f>
        <v>12.58</v>
      </c>
      <c r="F38" s="3" t="str">
        <f aca="false">IFERROR(__xludf.dummyfunction("if($T38&lt;&gt;"""",VALUE(REGEXEXTRACT(SUBSTITUTE ($T38,F$1&amp;"" CE"",""""), F$1&amp;""[\w &amp;]*, (\d+\.\d+)"")),"""")
"),"")</f>
        <v/>
      </c>
      <c r="G38" s="3" t="str">
        <f aca="false">IFERROR(__xludf.dummyfunction("if($T38&lt;&gt;"""",VALUE(REGEXEXTRACT($T38, G$1&amp;""[\w &amp;]*, (\d+\.\d+)"")),"""")
"),"")</f>
        <v/>
      </c>
      <c r="H38" s="3" t="str">
        <f aca="false">IFERROR(__xludf.dummyfunction("if($T38&lt;&gt;"""",VALUE(REGEXEXTRACT($T38, H$1&amp;""[\w &amp;]*, (\d+\.\d+)"")),"""")
"),"")</f>
        <v/>
      </c>
      <c r="I38" s="3" t="str">
        <f aca="false">IFERROR(__xludf.dummyfunction("if($T38&lt;&gt;"""",VALUE(REGEXEXTRACT(SUBSTITUTE ($T38,I$1&amp;"" CE"",""""), I$1&amp;""[\w &amp;]*, (\d+\.\d+)"")),"""")
"),"")</f>
        <v/>
      </c>
      <c r="J38" s="3" t="str">
        <f aca="false">IFERROR(__xludf.dummyfunction("if($T38&lt;&gt;"""",VALUE(REGEXEXTRACT($T38, J$1&amp;""[\w &amp;]*, (\d+\.\d+)"")),"""")
"),"")</f>
        <v/>
      </c>
      <c r="K38" s="3" t="str">
        <f aca="false">IFERROR(__xludf.dummyfunction("if($T38&lt;&gt;"""",VALUE(REGEXEXTRACT($T38, K$1&amp;""[\w &amp;]*, (\d+\.\d+)"")),"""")
"),"")</f>
        <v/>
      </c>
      <c r="L38" s="3" t="str">
        <f aca="false">IFERROR(__xludf.dummyfunction("if($T38&lt;&gt;"""",VALUE(REGEXEXTRACT(SUBSTITUTE ($T38,L$1&amp;"" CE"",""""), L$1&amp;""[\w &amp;]*, (\d+\.\d+)"")),"""")
"),"")</f>
        <v/>
      </c>
      <c r="M38" s="3" t="str">
        <f aca="false">IFERROR(__xludf.dummyfunction("if($T38&lt;&gt;"""",VALUE(REGEXEXTRACT($T38, M$1&amp;""[\w &amp;]*, (\d+\.\d+)"")),"""")
"),"")</f>
        <v/>
      </c>
      <c r="N38" s="3" t="str">
        <f aca="false">IFERROR(__xludf.dummyfunction("if($T38&lt;&gt;"""",VALUE(REGEXEXTRACT(SUBSTITUTE ($T38,N$1&amp;"" CE"",""""), N$1&amp;""[\w &amp;]*, (\d+\.\d+)"")),"""")
"),"")</f>
        <v/>
      </c>
      <c r="O38" s="3" t="str">
        <f aca="false">IFERROR(__xludf.dummyfunction("if($T38&lt;&gt;"""",VALUE(REGEXEXTRACT($T38, O$1&amp;""[\w &amp;]*, (\d+\.\d+)"")),"""")
"),"")</f>
        <v/>
      </c>
      <c r="P38" s="2" t="str">
        <f aca="false">IFERROR(__xludf.dummyfunction("if($T38&lt;&gt;"""",VALUE(REGEXEXTRACT($T38, P$1&amp;""[\w &amp;]*, (\d+\.\d+)"")),"""")
"),"")</f>
        <v/>
      </c>
      <c r="Q38" s="2" t="str">
        <f aca="false">IFERROR(__xludf.dummyfunction("if($T38&lt;&gt;"""",VALUE(REGEXEXTRACT($T38, Q$1&amp;""[\w &amp;]*, (\d+\.\d+)"")),"""")
"),"")</f>
        <v/>
      </c>
      <c r="R38" s="2" t="str">
        <f aca="false">IFERROR(__xludf.dummyfunction("if($T38&lt;&gt;"""",VALUE(REGEXEXTRACT($T38, SUBSTITUTE(R$1, ""+"", ""\+"")&amp;""[\w &amp;]*, (\d+\.\d+)"")),"""")"),"")</f>
        <v/>
      </c>
      <c r="S38" s="2" t="str">
        <f aca="false">IFERROR(__xludf.dummyfunction("if($T38&lt;&gt;"""",VALUE(REGEXEXTRACT($T38, SUBSTITUTE(S$1, ""+"", ""\+"")&amp;""[\w &amp;]*, (\d+\.\d+)"")),"""")"),"")</f>
        <v/>
      </c>
      <c r="T38" s="5"/>
    </row>
    <row r="39" customFormat="false" ht="15.75" hidden="false" customHeight="false" outlineLevel="0" collapsed="false">
      <c r="A39" s="4" t="n">
        <f aca="false">IFERROR(__xludf.dummyfunction("""COMPUTED_VALUE"""),45450.6361111111)</f>
        <v>45450.6361111111</v>
      </c>
      <c r="B39" s="2" t="n">
        <f aca="false">IFERROR(__xludf.dummyfunction("""COMPUTED_VALUE"""),12.86)</f>
        <v>12.86</v>
      </c>
      <c r="C39" s="2" t="n">
        <f aca="false">IFERROR(__xludf.dummyfunction("""COMPUTED_VALUE"""),13.08)</f>
        <v>13.08</v>
      </c>
      <c r="D39" s="2" t="n">
        <f aca="false">IFERROR(__xludf.dummyfunction("""COMPUTED_VALUE"""),12.11)</f>
        <v>12.11</v>
      </c>
      <c r="E39" s="2" t="n">
        <f aca="false">IFERROR(__xludf.dummyfunction("""COMPUTED_VALUE"""),12.22)</f>
        <v>12.22</v>
      </c>
      <c r="F39" s="3" t="n">
        <f aca="false">IFERROR(__xludf.dummyfunction("if($T39&lt;&gt;"""",VALUE(REGEXEXTRACT(SUBSTITUTE ($T39,F$1&amp;"" CE"",""""), F$1&amp;""[\w &amp;]*, (\d+\.\d+)"")),"""")
"),14)</f>
        <v>14</v>
      </c>
      <c r="G39" s="3" t="n">
        <f aca="false">IFERROR(__xludf.dummyfunction("if($T39&lt;&gt;"""",VALUE(REGEXEXTRACT($T39, G$1&amp;""[\w &amp;]*, (\d+\.\d+)"")),"""")
"),16)</f>
        <v>16</v>
      </c>
      <c r="H39" s="3" t="n">
        <f aca="false">IFERROR(__xludf.dummyfunction("if($T39&lt;&gt;"""",VALUE(REGEXEXTRACT($T39, H$1&amp;""[\w &amp;]*, (\d+\.\d+)"")),"""")
"),14.5)</f>
        <v>14.5</v>
      </c>
      <c r="I39" s="3" t="n">
        <f aca="false">IFERROR(__xludf.dummyfunction("if($T39&lt;&gt;"""",VALUE(REGEXEXTRACT(SUBSTITUTE ($T39,I$1&amp;"" CE"",""""), I$1&amp;""[\w &amp;]*, (\d+\.\d+)"")),"""")
"),13)</f>
        <v>13</v>
      </c>
      <c r="J39" s="3" t="n">
        <f aca="false">IFERROR(__xludf.dummyfunction("if($T39&lt;&gt;"""",VALUE(REGEXEXTRACT($T39, J$1&amp;""[\w &amp;]*, (\d+\.\d+)"")),"""")
"),20)</f>
        <v>20</v>
      </c>
      <c r="K39" s="3" t="n">
        <f aca="false">IFERROR(__xludf.dummyfunction("if($T39&lt;&gt;"""",VALUE(REGEXEXTRACT($T39, K$1&amp;""[\w &amp;]*, (\d+\.\d+)"")),"""")
"),10)</f>
        <v>10</v>
      </c>
      <c r="L39" s="3" t="n">
        <f aca="false">IFERROR(__xludf.dummyfunction("if($T39&lt;&gt;"""",VALUE(REGEXEXTRACT(SUBSTITUTE ($T39,L$1&amp;"" CE"",""""), L$1&amp;""[\w &amp;]*, (\d+\.\d+)"")),"""")
"),14.5)</f>
        <v>14.5</v>
      </c>
      <c r="M39" s="3" t="n">
        <f aca="false">IFERROR(__xludf.dummyfunction("if($T39&lt;&gt;"""",VALUE(REGEXEXTRACT($T39, M$1&amp;""[\w &amp;]*, (\d+\.\d+)"")),"""")
"),11.5)</f>
        <v>11.5</v>
      </c>
      <c r="N39" s="3" t="n">
        <f aca="false">IFERROR(__xludf.dummyfunction("if($T39&lt;&gt;"""",VALUE(REGEXEXTRACT(SUBSTITUTE ($T39,N$1&amp;"" CE"",""""), N$1&amp;""[\w &amp;]*, (\d+\.\d+)"")),"""")
"),14)</f>
        <v>14</v>
      </c>
      <c r="O39" s="3" t="n">
        <f aca="false">IFERROR(__xludf.dummyfunction("if($T39&lt;&gt;"""",VALUE(REGEXEXTRACT($T39, O$1&amp;""[\w &amp;]*, (\d+\.\d+)"")),"""")
"),12.5)</f>
        <v>12.5</v>
      </c>
      <c r="P39" s="2" t="n">
        <f aca="false">IFERROR(__xludf.dummyfunction("if($T39&lt;&gt;"""",VALUE(REGEXEXTRACT($T39, P$1&amp;""[\w &amp;]*, (\d+\.\d+)"")),"""")
"),11.95)</f>
        <v>11.95</v>
      </c>
      <c r="Q39" s="2" t="n">
        <f aca="false">IFERROR(__xludf.dummyfunction("if($T39&lt;&gt;"""",VALUE(REGEXEXTRACT($T39, Q$1&amp;""[\w &amp;]*, (\d+\.\d+)"")),"""")
"),11.57)</f>
        <v>11.57</v>
      </c>
      <c r="R39" s="2" t="n">
        <f aca="false">IFERROR(__xludf.dummyfunction("if($T39&lt;&gt;"""",VALUE(REGEXEXTRACT($T39, SUBSTITUTE(R$1, ""+"", ""\+"")&amp;""[\w &amp;]*, (\d+\.\d+)"")),"""")"),13.75)</f>
        <v>13.75</v>
      </c>
      <c r="S39" s="2" t="n">
        <f aca="false">IFERROR(__xludf.dummyfunction("if($T39&lt;&gt;"""",VALUE(REGEXEXTRACT($T39, SUBSTITUTE(S$1, ""+"", ""\+"")&amp;""[\w &amp;]*, (\d+\.\d+)"")),"""")"),14.13)</f>
        <v>14.13</v>
      </c>
      <c r="T39" s="5" t="s">
        <v>263</v>
      </c>
    </row>
    <row r="40" customFormat="false" ht="15.75" hidden="false" customHeight="false" outlineLevel="0" collapsed="false">
      <c r="A40" s="4" t="n">
        <f aca="false">IFERROR(__xludf.dummyfunction("""COMPUTED_VALUE"""),45453.6361111111)</f>
        <v>45453.6361111111</v>
      </c>
      <c r="B40" s="2" t="n">
        <f aca="false">IFERROR(__xludf.dummyfunction("""COMPUTED_VALUE"""),13.09)</f>
        <v>13.09</v>
      </c>
      <c r="C40" s="2" t="n">
        <f aca="false">IFERROR(__xludf.dummyfunction("""COMPUTED_VALUE"""),13.28)</f>
        <v>13.28</v>
      </c>
      <c r="D40" s="2" t="n">
        <f aca="false">IFERROR(__xludf.dummyfunction("""COMPUTED_VALUE"""),12.62)</f>
        <v>12.62</v>
      </c>
      <c r="E40" s="2" t="n">
        <f aca="false">IFERROR(__xludf.dummyfunction("""COMPUTED_VALUE"""),12.74)</f>
        <v>12.74</v>
      </c>
      <c r="F40" s="3" t="n">
        <f aca="false">IFERROR(__xludf.dummyfunction("if($T40&lt;&gt;"""",VALUE(REGEXEXTRACT(SUBSTITUTE ($T40,F$1&amp;"" CE"",""""), F$1&amp;""[\w &amp;]*, (\d+\.\d+)"")),"""")
"),14)</f>
        <v>14</v>
      </c>
      <c r="G40" s="3" t="n">
        <f aca="false">IFERROR(__xludf.dummyfunction("if($T40&lt;&gt;"""",VALUE(REGEXEXTRACT($T40, G$1&amp;""[\w &amp;]*, (\d+\.\d+)"")),"""")
"),13)</f>
        <v>13</v>
      </c>
      <c r="H40" s="3" t="n">
        <f aca="false">IFERROR(__xludf.dummyfunction("if($T40&lt;&gt;"""",VALUE(REGEXEXTRACT($T40, H$1&amp;""[\w &amp;]*, (\d+\.\d+)"")),"""")
"),14.5)</f>
        <v>14.5</v>
      </c>
      <c r="I40" s="3" t="n">
        <f aca="false">IFERROR(__xludf.dummyfunction("if($T40&lt;&gt;"""",VALUE(REGEXEXTRACT(SUBSTITUTE ($T40,I$1&amp;"" CE"",""""), I$1&amp;""[\w &amp;]*, (\d+\.\d+)"")),"""")
"),13)</f>
        <v>13</v>
      </c>
      <c r="J40" s="3" t="n">
        <f aca="false">IFERROR(__xludf.dummyfunction("if($T40&lt;&gt;"""",VALUE(REGEXEXTRACT($T40, J$1&amp;""[\w &amp;]*, (\d+\.\d+)"")),"""")
"),20)</f>
        <v>20</v>
      </c>
      <c r="K40" s="3" t="n">
        <f aca="false">IFERROR(__xludf.dummyfunction("if($T40&lt;&gt;"""",VALUE(REGEXEXTRACT($T40, K$1&amp;""[\w &amp;]*, (\d+\.\d+)"")),"""")
"),10)</f>
        <v>10</v>
      </c>
      <c r="L40" s="3" t="n">
        <f aca="false">IFERROR(__xludf.dummyfunction("if($T40&lt;&gt;"""",VALUE(REGEXEXTRACT(SUBSTITUTE ($T40,L$1&amp;"" CE"",""""), L$1&amp;""[\w &amp;]*, (\d+\.\d+)"")),"""")
"),14.5)</f>
        <v>14.5</v>
      </c>
      <c r="M40" s="3" t="n">
        <f aca="false">IFERROR(__xludf.dummyfunction("if($T40&lt;&gt;"""",VALUE(REGEXEXTRACT($T40, M$1&amp;""[\w &amp;]*, (\d+\.\d+)"")),"""")
"),11.5)</f>
        <v>11.5</v>
      </c>
      <c r="N40" s="3" t="n">
        <f aca="false">IFERROR(__xludf.dummyfunction("if($T40&lt;&gt;"""",VALUE(REGEXEXTRACT(SUBSTITUTE ($T40,N$1&amp;"" CE"",""""), N$1&amp;""[\w &amp;]*, (\d+\.\d+)"")),"""")
"),14)</f>
        <v>14</v>
      </c>
      <c r="O40" s="3" t="n">
        <f aca="false">IFERROR(__xludf.dummyfunction("if($T40&lt;&gt;"""",VALUE(REGEXEXTRACT($T40, O$1&amp;""[\w &amp;]*, (\d+\.\d+)"")),"""")
"),12.5)</f>
        <v>12.5</v>
      </c>
      <c r="P40" s="2" t="n">
        <f aca="false">IFERROR(__xludf.dummyfunction("if($T40&lt;&gt;"""",VALUE(REGEXEXTRACT($T40, P$1&amp;""[\w &amp;]*, (\d+\.\d+)"")),"""")
"),12.42)</f>
        <v>12.42</v>
      </c>
      <c r="Q40" s="2" t="n">
        <f aca="false">IFERROR(__xludf.dummyfunction("if($T40&lt;&gt;"""",VALUE(REGEXEXTRACT($T40, Q$1&amp;""[\w &amp;]*, (\d+\.\d+)"")),"""")
"),11.88)</f>
        <v>11.88</v>
      </c>
      <c r="R40" s="2" t="n">
        <f aca="false">IFERROR(__xludf.dummyfunction("if($T40&lt;&gt;"""",VALUE(REGEXEXTRACT($T40, SUBSTITUTE(R$1, ""+"", ""\+"")&amp;""[\w &amp;]*, (\d+\.\d+)"")),"""")"),13.9)</f>
        <v>13.9</v>
      </c>
      <c r="S40" s="2" t="n">
        <f aca="false">IFERROR(__xludf.dummyfunction("if($T40&lt;&gt;"""",VALUE(REGEXEXTRACT($T40, SUBSTITUTE(S$1, ""+"", ""\+"")&amp;""[\w &amp;]*, (\d+\.\d+)"")),"""")"),14.44)</f>
        <v>14.44</v>
      </c>
      <c r="T40" s="5" t="s">
        <v>264</v>
      </c>
    </row>
    <row r="41" customFormat="false" ht="15.75" hidden="false" customHeight="false" outlineLevel="0" collapsed="false">
      <c r="A41" s="4" t="n">
        <f aca="false">IFERROR(__xludf.dummyfunction("""COMPUTED_VALUE"""),45454.6361111111)</f>
        <v>45454.6361111111</v>
      </c>
      <c r="B41" s="2" t="n">
        <f aca="false">IFERROR(__xludf.dummyfunction("""COMPUTED_VALUE"""),13.24)</f>
        <v>13.24</v>
      </c>
      <c r="C41" s="2" t="n">
        <f aca="false">IFERROR(__xludf.dummyfunction("""COMPUTED_VALUE"""),13.47)</f>
        <v>13.47</v>
      </c>
      <c r="D41" s="2" t="n">
        <f aca="false">IFERROR(__xludf.dummyfunction("""COMPUTED_VALUE"""),13.24)</f>
        <v>13.24</v>
      </c>
      <c r="E41" s="2" t="n">
        <f aca="false">IFERROR(__xludf.dummyfunction("""COMPUTED_VALUE"""),12.85)</f>
        <v>12.85</v>
      </c>
      <c r="F41" s="3" t="str">
        <f aca="false">IFERROR(__xludf.dummyfunction("if($T41&lt;&gt;"""",VALUE(REGEXEXTRACT(SUBSTITUTE ($T41,F$1&amp;"" CE"",""""), F$1&amp;""[\w &amp;]*, (\d+\.\d+)"")),"""")
"),"")</f>
        <v/>
      </c>
      <c r="G41" s="3" t="str">
        <f aca="false">IFERROR(__xludf.dummyfunction("if($T41&lt;&gt;"""",VALUE(REGEXEXTRACT($T41, G$1&amp;""[\w &amp;]*, (\d+\.\d+)"")),"""")
"),"")</f>
        <v/>
      </c>
      <c r="H41" s="3" t="str">
        <f aca="false">IFERROR(__xludf.dummyfunction("if($T41&lt;&gt;"""",VALUE(REGEXEXTRACT($T41, H$1&amp;""[\w &amp;]*, (\d+\.\d+)"")),"""")
"),"")</f>
        <v/>
      </c>
      <c r="I41" s="3" t="str">
        <f aca="false">IFERROR(__xludf.dummyfunction("if($T41&lt;&gt;"""",VALUE(REGEXEXTRACT(SUBSTITUTE ($T41,I$1&amp;"" CE"",""""), I$1&amp;""[\w &amp;]*, (\d+\.\d+)"")),"""")
"),"")</f>
        <v/>
      </c>
      <c r="J41" s="3" t="str">
        <f aca="false">IFERROR(__xludf.dummyfunction("if($T41&lt;&gt;"""",VALUE(REGEXEXTRACT($T41, J$1&amp;""[\w &amp;]*, (\d+\.\d+)"")),"""")
"),"")</f>
        <v/>
      </c>
      <c r="K41" s="3" t="str">
        <f aca="false">IFERROR(__xludf.dummyfunction("if($T41&lt;&gt;"""",VALUE(REGEXEXTRACT($T41, K$1&amp;""[\w &amp;]*, (\d+\.\d+)"")),"""")
"),"")</f>
        <v/>
      </c>
      <c r="L41" s="3" t="str">
        <f aca="false">IFERROR(__xludf.dummyfunction("if($T41&lt;&gt;"""",VALUE(REGEXEXTRACT(SUBSTITUTE ($T41,L$1&amp;"" CE"",""""), L$1&amp;""[\w &amp;]*, (\d+\.\d+)"")),"""")
"),"")</f>
        <v/>
      </c>
      <c r="M41" s="3" t="str">
        <f aca="false">IFERROR(__xludf.dummyfunction("if($T41&lt;&gt;"""",VALUE(REGEXEXTRACT($T41, M$1&amp;""[\w &amp;]*, (\d+\.\d+)"")),"""")
"),"")</f>
        <v/>
      </c>
      <c r="N41" s="3" t="str">
        <f aca="false">IFERROR(__xludf.dummyfunction("if($T41&lt;&gt;"""",VALUE(REGEXEXTRACT(SUBSTITUTE ($T41,N$1&amp;"" CE"",""""), N$1&amp;""[\w &amp;]*, (\d+\.\d+)"")),"""")
"),"")</f>
        <v/>
      </c>
      <c r="O41" s="3" t="str">
        <f aca="false">IFERROR(__xludf.dummyfunction("if($T41&lt;&gt;"""",VALUE(REGEXEXTRACT($T41, O$1&amp;""[\w &amp;]*, (\d+\.\d+)"")),"""")
"),"")</f>
        <v/>
      </c>
      <c r="P41" s="2" t="str">
        <f aca="false">IFERROR(__xludf.dummyfunction("if($T41&lt;&gt;"""",VALUE(REGEXEXTRACT($T41, P$1&amp;""[\w &amp;]*, (\d+\.\d+)"")),"""")
"),"")</f>
        <v/>
      </c>
      <c r="Q41" s="2" t="str">
        <f aca="false">IFERROR(__xludf.dummyfunction("if($T41&lt;&gt;"""",VALUE(REGEXEXTRACT($T41, Q$1&amp;""[\w &amp;]*, (\d+\.\d+)"")),"""")
"),"")</f>
        <v/>
      </c>
      <c r="R41" s="2" t="str">
        <f aca="false">IFERROR(__xludf.dummyfunction("if($T41&lt;&gt;"""",VALUE(REGEXEXTRACT($T41, SUBSTITUTE(R$1, ""+"", ""\+"")&amp;""[\w &amp;]*, (\d+\.\d+)"")),"""")"),"")</f>
        <v/>
      </c>
      <c r="S41" s="2" t="str">
        <f aca="false">IFERROR(__xludf.dummyfunction("if($T41&lt;&gt;"""",VALUE(REGEXEXTRACT($T41, SUBSTITUTE(S$1, ""+"", ""\+"")&amp;""[\w &amp;]*, (\d+\.\d+)"")),"""")"),"")</f>
        <v/>
      </c>
      <c r="T41" s="5"/>
    </row>
    <row r="42" customFormat="false" ht="15.75" hidden="false" customHeight="false" outlineLevel="0" collapsed="false">
      <c r="A42" s="4" t="n">
        <f aca="false">IFERROR(__xludf.dummyfunction("""COMPUTED_VALUE"""),45455.6361111111)</f>
        <v>45455.6361111111</v>
      </c>
      <c r="B42" s="2" t="n">
        <f aca="false">IFERROR(__xludf.dummyfunction("""COMPUTED_VALUE"""),13.09)</f>
        <v>13.09</v>
      </c>
      <c r="C42" s="2" t="n">
        <f aca="false">IFERROR(__xludf.dummyfunction("""COMPUTED_VALUE"""),13.09)</f>
        <v>13.09</v>
      </c>
      <c r="D42" s="2" t="n">
        <f aca="false">IFERROR(__xludf.dummyfunction("""COMPUTED_VALUE"""),11.94)</f>
        <v>11.94</v>
      </c>
      <c r="E42" s="2" t="n">
        <f aca="false">IFERROR(__xludf.dummyfunction("""COMPUTED_VALUE"""),12.04)</f>
        <v>12.04</v>
      </c>
      <c r="F42" s="3" t="str">
        <f aca="false">IFERROR(__xludf.dummyfunction("if($T42&lt;&gt;"""",VALUE(REGEXEXTRACT(SUBSTITUTE ($T42,F$1&amp;"" CE"",""""), F$1&amp;""[\w &amp;]*, (\d+\.\d+)"")),"""")
"),"")</f>
        <v/>
      </c>
      <c r="G42" s="3" t="str">
        <f aca="false">IFERROR(__xludf.dummyfunction("if($T42&lt;&gt;"""",VALUE(REGEXEXTRACT($T42, G$1&amp;""[\w &amp;]*, (\d+\.\d+)"")),"""")
"),"")</f>
        <v/>
      </c>
      <c r="H42" s="3" t="str">
        <f aca="false">IFERROR(__xludf.dummyfunction("if($T42&lt;&gt;"""",VALUE(REGEXEXTRACT($T42, H$1&amp;""[\w &amp;]*, (\d+\.\d+)"")),"""")
"),"")</f>
        <v/>
      </c>
      <c r="I42" s="3" t="str">
        <f aca="false">IFERROR(__xludf.dummyfunction("if($T42&lt;&gt;"""",VALUE(REGEXEXTRACT(SUBSTITUTE ($T42,I$1&amp;"" CE"",""""), I$1&amp;""[\w &amp;]*, (\d+\.\d+)"")),"""")
"),"")</f>
        <v/>
      </c>
      <c r="J42" s="3" t="str">
        <f aca="false">IFERROR(__xludf.dummyfunction("if($T42&lt;&gt;"""",VALUE(REGEXEXTRACT($T42, J$1&amp;""[\w &amp;]*, (\d+\.\d+)"")),"""")
"),"")</f>
        <v/>
      </c>
      <c r="K42" s="3" t="str">
        <f aca="false">IFERROR(__xludf.dummyfunction("if($T42&lt;&gt;"""",VALUE(REGEXEXTRACT($T42, K$1&amp;""[\w &amp;]*, (\d+\.\d+)"")),"""")
"),"")</f>
        <v/>
      </c>
      <c r="L42" s="3" t="str">
        <f aca="false">IFERROR(__xludf.dummyfunction("if($T42&lt;&gt;"""",VALUE(REGEXEXTRACT(SUBSTITUTE ($T42,L$1&amp;"" CE"",""""), L$1&amp;""[\w &amp;]*, (\d+\.\d+)"")),"""")
"),"")</f>
        <v/>
      </c>
      <c r="M42" s="3" t="str">
        <f aca="false">IFERROR(__xludf.dummyfunction("if($T42&lt;&gt;"""",VALUE(REGEXEXTRACT($T42, M$1&amp;""[\w &amp;]*, (\d+\.\d+)"")),"""")
"),"")</f>
        <v/>
      </c>
      <c r="N42" s="3" t="str">
        <f aca="false">IFERROR(__xludf.dummyfunction("if($T42&lt;&gt;"""",VALUE(REGEXEXTRACT(SUBSTITUTE ($T42,N$1&amp;"" CE"",""""), N$1&amp;""[\w &amp;]*, (\d+\.\d+)"")),"""")
"),"")</f>
        <v/>
      </c>
      <c r="O42" s="3" t="str">
        <f aca="false">IFERROR(__xludf.dummyfunction("if($T42&lt;&gt;"""",VALUE(REGEXEXTRACT($T42, O$1&amp;""[\w &amp;]*, (\d+\.\d+)"")),"""")
"),"")</f>
        <v/>
      </c>
      <c r="P42" s="2" t="str">
        <f aca="false">IFERROR(__xludf.dummyfunction("if($T42&lt;&gt;"""",VALUE(REGEXEXTRACT($T42, P$1&amp;""[\w &amp;]*, (\d+\.\d+)"")),"""")
"),"")</f>
        <v/>
      </c>
      <c r="Q42" s="2" t="str">
        <f aca="false">IFERROR(__xludf.dummyfunction("if($T42&lt;&gt;"""",VALUE(REGEXEXTRACT($T42, Q$1&amp;""[\w &amp;]*, (\d+\.\d+)"")),"""")
"),"")</f>
        <v/>
      </c>
      <c r="R42" s="2" t="str">
        <f aca="false">IFERROR(__xludf.dummyfunction("if($T42&lt;&gt;"""",VALUE(REGEXEXTRACT($T42, SUBSTITUTE(R$1, ""+"", ""\+"")&amp;""[\w &amp;]*, (\d+\.\d+)"")),"""")"),"")</f>
        <v/>
      </c>
      <c r="S42" s="2" t="str">
        <f aca="false">IFERROR(__xludf.dummyfunction("if($T42&lt;&gt;"""",VALUE(REGEXEXTRACT($T42, SUBSTITUTE(S$1, ""+"", ""\+"")&amp;""[\w &amp;]*, (\d+\.\d+)"")),"""")"),"")</f>
        <v/>
      </c>
      <c r="T42" s="5"/>
    </row>
    <row r="43" customFormat="false" ht="15.75" hidden="false" customHeight="false" outlineLevel="0" collapsed="false">
      <c r="A43" s="4" t="n">
        <f aca="false">IFERROR(__xludf.dummyfunction("""COMPUTED_VALUE"""),45456.6361111111)</f>
        <v>45456.6361111111</v>
      </c>
      <c r="B43" s="2" t="n">
        <f aca="false">IFERROR(__xludf.dummyfunction("""COMPUTED_VALUE"""),12.2)</f>
        <v>12.2</v>
      </c>
      <c r="C43" s="2" t="n">
        <f aca="false">IFERROR(__xludf.dummyfunction("""COMPUTED_VALUE"""),12.68)</f>
        <v>12.68</v>
      </c>
      <c r="D43" s="2" t="n">
        <f aca="false">IFERROR(__xludf.dummyfunction("""COMPUTED_VALUE"""),11.88)</f>
        <v>11.88</v>
      </c>
      <c r="E43" s="2" t="n">
        <f aca="false">IFERROR(__xludf.dummyfunction("""COMPUTED_VALUE"""),11.94)</f>
        <v>11.94</v>
      </c>
      <c r="F43" s="3" t="str">
        <f aca="false">IFERROR(__xludf.dummyfunction("if($T43&lt;&gt;"""",VALUE(REGEXEXTRACT(SUBSTITUTE ($T43,F$1&amp;"" CE"",""""), F$1&amp;""[\w &amp;]*, (\d+\.\d+)"")),"""")
"),"")</f>
        <v/>
      </c>
      <c r="G43" s="3" t="str">
        <f aca="false">IFERROR(__xludf.dummyfunction("if($T43&lt;&gt;"""",VALUE(REGEXEXTRACT($T43, G$1&amp;""[\w &amp;]*, (\d+\.\d+)"")),"""")
"),"")</f>
        <v/>
      </c>
      <c r="H43" s="3" t="str">
        <f aca="false">IFERROR(__xludf.dummyfunction("if($T43&lt;&gt;"""",VALUE(REGEXEXTRACT($T43, H$1&amp;""[\w &amp;]*, (\d+\.\d+)"")),"""")
"),"")</f>
        <v/>
      </c>
      <c r="I43" s="3" t="str">
        <f aca="false">IFERROR(__xludf.dummyfunction("if($T43&lt;&gt;"""",VALUE(REGEXEXTRACT(SUBSTITUTE ($T43,I$1&amp;"" CE"",""""), I$1&amp;""[\w &amp;]*, (\d+\.\d+)"")),"""")
"),"")</f>
        <v/>
      </c>
      <c r="J43" s="3" t="str">
        <f aca="false">IFERROR(__xludf.dummyfunction("if($T43&lt;&gt;"""",VALUE(REGEXEXTRACT($T43, J$1&amp;""[\w &amp;]*, (\d+\.\d+)"")),"""")
"),"")</f>
        <v/>
      </c>
      <c r="K43" s="3" t="str">
        <f aca="false">IFERROR(__xludf.dummyfunction("if($T43&lt;&gt;"""",VALUE(REGEXEXTRACT($T43, K$1&amp;""[\w &amp;]*, (\d+\.\d+)"")),"""")
"),"")</f>
        <v/>
      </c>
      <c r="L43" s="3" t="str">
        <f aca="false">IFERROR(__xludf.dummyfunction("if($T43&lt;&gt;"""",VALUE(REGEXEXTRACT(SUBSTITUTE ($T43,L$1&amp;"" CE"",""""), L$1&amp;""[\w &amp;]*, (\d+\.\d+)"")),"""")
"),"")</f>
        <v/>
      </c>
      <c r="M43" s="3" t="str">
        <f aca="false">IFERROR(__xludf.dummyfunction("if($T43&lt;&gt;"""",VALUE(REGEXEXTRACT($T43, M$1&amp;""[\w &amp;]*, (\d+\.\d+)"")),"""")
"),"")</f>
        <v/>
      </c>
      <c r="N43" s="3" t="str">
        <f aca="false">IFERROR(__xludf.dummyfunction("if($T43&lt;&gt;"""",VALUE(REGEXEXTRACT(SUBSTITUTE ($T43,N$1&amp;"" CE"",""""), N$1&amp;""[\w &amp;]*, (\d+\.\d+)"")),"""")
"),"")</f>
        <v/>
      </c>
      <c r="O43" s="3" t="str">
        <f aca="false">IFERROR(__xludf.dummyfunction("if($T43&lt;&gt;"""",VALUE(REGEXEXTRACT($T43, O$1&amp;""[\w &amp;]*, (\d+\.\d+)"")),"""")
"),"")</f>
        <v/>
      </c>
      <c r="P43" s="2" t="str">
        <f aca="false">IFERROR(__xludf.dummyfunction("if($T43&lt;&gt;"""",VALUE(REGEXEXTRACT($T43, P$1&amp;""[\w &amp;]*, (\d+\.\d+)"")),"""")
"),"")</f>
        <v/>
      </c>
      <c r="Q43" s="2" t="str">
        <f aca="false">IFERROR(__xludf.dummyfunction("if($T43&lt;&gt;"""",VALUE(REGEXEXTRACT($T43, Q$1&amp;""[\w &amp;]*, (\d+\.\d+)"")),"""")
"),"")</f>
        <v/>
      </c>
      <c r="R43" s="2" t="str">
        <f aca="false">IFERROR(__xludf.dummyfunction("if($T43&lt;&gt;"""",VALUE(REGEXEXTRACT($T43, SUBSTITUTE(R$1, ""+"", ""\+"")&amp;""[\w &amp;]*, (\d+\.\d+)"")),"""")"),"")</f>
        <v/>
      </c>
      <c r="S43" s="2" t="str">
        <f aca="false">IFERROR(__xludf.dummyfunction("if($T43&lt;&gt;"""",VALUE(REGEXEXTRACT($T43, SUBSTITUTE(S$1, ""+"", ""\+"")&amp;""[\w &amp;]*, (\d+\.\d+)"")),"""")"),"")</f>
        <v/>
      </c>
      <c r="T43" s="5"/>
    </row>
    <row r="44" customFormat="false" ht="15.75" hidden="false" customHeight="false" outlineLevel="0" collapsed="false">
      <c r="A44" s="4" t="n">
        <f aca="false">IFERROR(__xludf.dummyfunction("""COMPUTED_VALUE"""),45457.6361111111)</f>
        <v>45457.6361111111</v>
      </c>
      <c r="B44" s="2" t="n">
        <f aca="false">IFERROR(__xludf.dummyfunction("""COMPUTED_VALUE"""),13.18)</f>
        <v>13.18</v>
      </c>
      <c r="C44" s="2" t="n">
        <f aca="false">IFERROR(__xludf.dummyfunction("""COMPUTED_VALUE"""),13.18)</f>
        <v>13.18</v>
      </c>
      <c r="D44" s="2" t="n">
        <f aca="false">IFERROR(__xludf.dummyfunction("""COMPUTED_VALUE"""),13.18)</f>
        <v>13.18</v>
      </c>
      <c r="E44" s="2" t="n">
        <f aca="false">IFERROR(__xludf.dummyfunction("""COMPUTED_VALUE"""),12.66)</f>
        <v>12.66</v>
      </c>
      <c r="F44" s="3" t="n">
        <f aca="false">IFERROR(__xludf.dummyfunction("if($T44&lt;&gt;"""",VALUE(REGEXEXTRACT(SUBSTITUTE ($T44,F$1&amp;"" CE"",""""), F$1&amp;""[\w &amp;]*, (\d+\.\d+)"")),"""")
"),14)</f>
        <v>14</v>
      </c>
      <c r="G44" s="3" t="n">
        <f aca="false">IFERROR(__xludf.dummyfunction("if($T44&lt;&gt;"""",VALUE(REGEXEXTRACT($T44, G$1&amp;""[\w &amp;]*, (\d+\.\d+)"")),"""")
"),16)</f>
        <v>16</v>
      </c>
      <c r="H44" s="3" t="n">
        <f aca="false">IFERROR(__xludf.dummyfunction("if($T44&lt;&gt;"""",VALUE(REGEXEXTRACT($T44, H$1&amp;""[\w &amp;]*, (\d+\.\d+)"")),"""")
"),150)</f>
        <v>150</v>
      </c>
      <c r="I44" s="3" t="n">
        <f aca="false">IFERROR(__xludf.dummyfunction("if($T44&lt;&gt;"""",VALUE(REGEXEXTRACT(SUBSTITUTE ($T44,I$1&amp;"" CE"",""""), I$1&amp;""[\w &amp;]*, (\d+\.\d+)"")),"""")
"),13)</f>
        <v>13</v>
      </c>
      <c r="J44" s="3" t="n">
        <f aca="false">IFERROR(__xludf.dummyfunction("if($T44&lt;&gt;"""",VALUE(REGEXEXTRACT($T44, J$1&amp;""[\w &amp;]*, (\d+\.\d+)"")),"""")
"),13)</f>
        <v>13</v>
      </c>
      <c r="K44" s="3" t="n">
        <f aca="false">IFERROR(__xludf.dummyfunction("if($T44&lt;&gt;"""",VALUE(REGEXEXTRACT($T44, K$1&amp;""[\w &amp;]*, (\d+\.\d+)"")),"""")
"),10)</f>
        <v>10</v>
      </c>
      <c r="L44" s="3" t="n">
        <f aca="false">IFERROR(__xludf.dummyfunction("if($T44&lt;&gt;"""",VALUE(REGEXEXTRACT(SUBSTITUTE ($T44,L$1&amp;"" CE"",""""), L$1&amp;""[\w &amp;]*, (\d+\.\d+)"")),"""")
"),14.5)</f>
        <v>14.5</v>
      </c>
      <c r="M44" s="3" t="n">
        <f aca="false">IFERROR(__xludf.dummyfunction("if($T44&lt;&gt;"""",VALUE(REGEXEXTRACT($T44, M$1&amp;""[\w &amp;]*, (\d+\.\d+)"")),"""")
"),14.5)</f>
        <v>14.5</v>
      </c>
      <c r="N44" s="3" t="n">
        <f aca="false">IFERROR(__xludf.dummyfunction("if($T44&lt;&gt;"""",VALUE(REGEXEXTRACT(SUBSTITUTE ($T44,N$1&amp;"" CE"",""""), N$1&amp;""[\w &amp;]*, (\d+\.\d+)"")),"""")
"),14)</f>
        <v>14</v>
      </c>
      <c r="O44" s="3" t="n">
        <f aca="false">IFERROR(__xludf.dummyfunction("if($T44&lt;&gt;"""",VALUE(REGEXEXTRACT($T44, O$1&amp;""[\w &amp;]*, (\d+\.\d+)"")),"""")
"),13)</f>
        <v>13</v>
      </c>
      <c r="P44" s="2" t="n">
        <f aca="false">IFERROR(__xludf.dummyfunction("if($T44&lt;&gt;"""",VALUE(REGEXEXTRACT($T44, P$1&amp;""[\w &amp;]*, (\d+\.\d+)"")),"""")
"),12.22)</f>
        <v>12.22</v>
      </c>
      <c r="Q44" s="2" t="n">
        <f aca="false">IFERROR(__xludf.dummyfunction("if($T44&lt;&gt;"""",VALUE(REGEXEXTRACT($T44, Q$1&amp;""[\w &amp;]*, (\d+\.\d+)"")),"""")
"),11.72)</f>
        <v>11.72</v>
      </c>
      <c r="R44" s="2" t="n">
        <f aca="false">IFERROR(__xludf.dummyfunction("if($T44&lt;&gt;"""",VALUE(REGEXEXTRACT($T44, SUBSTITUTE(R$1, ""+"", ""\+"")&amp;""[\w &amp;]*, (\d+\.\d+)"")),"""")"),13.88)</f>
        <v>13.88</v>
      </c>
      <c r="S44" s="2" t="n">
        <f aca="false">IFERROR(__xludf.dummyfunction("if($T44&lt;&gt;"""",VALUE(REGEXEXTRACT($T44, SUBSTITUTE(S$1, ""+"", ""\+"")&amp;""[\w &amp;]*, (\d+\.\d+)"")),"""")"),14.38)</f>
        <v>14.38</v>
      </c>
      <c r="T44" s="5" t="s">
        <v>265</v>
      </c>
    </row>
    <row r="45" customFormat="false" ht="15.75" hidden="false" customHeight="false" outlineLevel="0" collapsed="false">
      <c r="A45" s="4" t="n">
        <f aca="false">IFERROR(__xludf.dummyfunction("""COMPUTED_VALUE"""),45460.6361111111)</f>
        <v>45460.6361111111</v>
      </c>
      <c r="B45" s="2" t="n">
        <f aca="false">IFERROR(__xludf.dummyfunction("""COMPUTED_VALUE"""),13.07)</f>
        <v>13.07</v>
      </c>
      <c r="C45" s="2" t="n">
        <f aca="false">IFERROR(__xludf.dummyfunction("""COMPUTED_VALUE"""),13.29)</f>
        <v>13.29</v>
      </c>
      <c r="D45" s="2" t="n">
        <f aca="false">IFERROR(__xludf.dummyfunction("""COMPUTED_VALUE"""),12.5)</f>
        <v>12.5</v>
      </c>
      <c r="E45" s="2" t="n">
        <f aca="false">IFERROR(__xludf.dummyfunction("""COMPUTED_VALUE"""),12.75)</f>
        <v>12.75</v>
      </c>
      <c r="F45" s="3" t="n">
        <f aca="false">IFERROR(__xludf.dummyfunction("if($T45&lt;&gt;"""",VALUE(REGEXEXTRACT(SUBSTITUTE ($T45,F$1&amp;"" CE"",""""), F$1&amp;""[\w &amp;]*, (\d+\.\d+)"")),"""")
"),14)</f>
        <v>14</v>
      </c>
      <c r="G45" s="3" t="n">
        <f aca="false">IFERROR(__xludf.dummyfunction("if($T45&lt;&gt;"""",VALUE(REGEXEXTRACT($T45, G$1&amp;""[\w &amp;]*, (\d+\.\d+)"")),"""")
"),16)</f>
        <v>16</v>
      </c>
      <c r="H45" s="3" t="n">
        <f aca="false">IFERROR(__xludf.dummyfunction("if($T45&lt;&gt;"""",VALUE(REGEXEXTRACT($T45, H$1&amp;""[\w &amp;]*, (\d+\.\d+)"")),"""")
"),150)</f>
        <v>150</v>
      </c>
      <c r="I45" s="3" t="n">
        <f aca="false">IFERROR(__xludf.dummyfunction("if($T45&lt;&gt;"""",VALUE(REGEXEXTRACT(SUBSTITUTE ($T45,I$1&amp;"" CE"",""""), I$1&amp;""[\w &amp;]*, (\d+\.\d+)"")),"""")
"),13)</f>
        <v>13</v>
      </c>
      <c r="J45" s="3" t="n">
        <f aca="false">IFERROR(__xludf.dummyfunction("if($T45&lt;&gt;"""",VALUE(REGEXEXTRACT($T45, J$1&amp;""[\w &amp;]*, (\d+\.\d+)"")),"""")
"),13)</f>
        <v>13</v>
      </c>
      <c r="K45" s="3" t="n">
        <f aca="false">IFERROR(__xludf.dummyfunction("if($T45&lt;&gt;"""",VALUE(REGEXEXTRACT($T45, K$1&amp;""[\w &amp;]*, (\d+\.\d+)"")),"""")
"),10)</f>
        <v>10</v>
      </c>
      <c r="L45" s="3" t="n">
        <f aca="false">IFERROR(__xludf.dummyfunction("if($T45&lt;&gt;"""",VALUE(REGEXEXTRACT(SUBSTITUTE ($T45,L$1&amp;"" CE"",""""), L$1&amp;""[\w &amp;]*, (\d+\.\d+)"")),"""")
"),14.5)</f>
        <v>14.5</v>
      </c>
      <c r="M45" s="3" t="n">
        <f aca="false">IFERROR(__xludf.dummyfunction("if($T45&lt;&gt;"""",VALUE(REGEXEXTRACT($T45, M$1&amp;""[\w &amp;]*, (\d+\.\d+)"")),"""")
"),14.5)</f>
        <v>14.5</v>
      </c>
      <c r="N45" s="3" t="n">
        <f aca="false">IFERROR(__xludf.dummyfunction("if($T45&lt;&gt;"""",VALUE(REGEXEXTRACT(SUBSTITUTE ($T45,N$1&amp;"" CE"",""""), N$1&amp;""[\w &amp;]*, (\d+\.\d+)"")),"""")
"),13)</f>
        <v>13</v>
      </c>
      <c r="O45" s="3" t="n">
        <f aca="false">IFERROR(__xludf.dummyfunction("if($T45&lt;&gt;"""",VALUE(REGEXEXTRACT($T45, O$1&amp;""[\w &amp;]*, (\d+\.\d+)"")),"""")
"),13)</f>
        <v>13</v>
      </c>
      <c r="P45" s="2" t="n">
        <f aca="false">IFERROR(__xludf.dummyfunction("if($T45&lt;&gt;"""",VALUE(REGEXEXTRACT($T45, P$1&amp;""[\w &amp;]*, (\d+\.\d+)"")),"""")
"),12.57)</f>
        <v>12.57</v>
      </c>
      <c r="Q45" s="2" t="n">
        <f aca="false">IFERROR(__xludf.dummyfunction("if($T45&lt;&gt;"""",VALUE(REGEXEXTRACT($T45, Q$1&amp;""[\w &amp;]*, (\d+\.\d+)"")),"""")
"),11.76)</f>
        <v>11.76</v>
      </c>
      <c r="R45" s="2" t="n">
        <f aca="false">IFERROR(__xludf.dummyfunction("if($T45&lt;&gt;"""",VALUE(REGEXEXTRACT($T45, SUBSTITUTE(R$1, ""+"", ""\+"")&amp;""[\w &amp;]*, (\d+\.\d+)"")),"""")"),13.89)</f>
        <v>13.89</v>
      </c>
      <c r="S45" s="2" t="n">
        <f aca="false">IFERROR(__xludf.dummyfunction("if($T45&lt;&gt;"""",VALUE(REGEXEXTRACT($T45, SUBSTITUTE(S$1, ""+"", ""\+"")&amp;""[\w &amp;]*, (\d+\.\d+)"")),"""")"),14.7)</f>
        <v>14.7</v>
      </c>
      <c r="T45" s="5" t="s">
        <v>266</v>
      </c>
    </row>
    <row r="46" customFormat="false" ht="15.75" hidden="false" customHeight="false" outlineLevel="0" collapsed="false">
      <c r="A46" s="4" t="n">
        <f aca="false">IFERROR(__xludf.dummyfunction("""COMPUTED_VALUE"""),45461.6361111111)</f>
        <v>45461.6361111111</v>
      </c>
      <c r="B46" s="2" t="n">
        <f aca="false">IFERROR(__xludf.dummyfunction("""COMPUTED_VALUE"""),12.7)</f>
        <v>12.7</v>
      </c>
      <c r="C46" s="2" t="n">
        <f aca="false">IFERROR(__xludf.dummyfunction("""COMPUTED_VALUE"""),12.7)</f>
        <v>12.7</v>
      </c>
      <c r="D46" s="2" t="n">
        <f aca="false">IFERROR(__xludf.dummyfunction("""COMPUTED_VALUE"""),12.24)</f>
        <v>12.24</v>
      </c>
      <c r="E46" s="2" t="n">
        <f aca="false">IFERROR(__xludf.dummyfunction("""COMPUTED_VALUE"""),12.3)</f>
        <v>12.3</v>
      </c>
      <c r="F46" s="3" t="n">
        <f aca="false">IFERROR(__xludf.dummyfunction("if($T46&lt;&gt;"""",VALUE(REGEXEXTRACT(SUBSTITUTE ($T46,F$1&amp;"" CE"",""""), F$1&amp;""[\w &amp;]*, (\d+\.\d+)"")),"""")
"),13)</f>
        <v>13</v>
      </c>
      <c r="G46" s="3" t="n">
        <f aca="false">IFERROR(__xludf.dummyfunction("if($T46&lt;&gt;"""",VALUE(REGEXEXTRACT($T46, G$1&amp;""[\w &amp;]*, (\d+\.\d+)"")),"""")
"),15)</f>
        <v>15</v>
      </c>
      <c r="H46" s="3" t="n">
        <f aca="false">IFERROR(__xludf.dummyfunction("if($T46&lt;&gt;"""",VALUE(REGEXEXTRACT($T46, H$1&amp;""[\w &amp;]*, (\d+\.\d+)"")),"""")
"),150)</f>
        <v>150</v>
      </c>
      <c r="I46" s="3" t="n">
        <f aca="false">IFERROR(__xludf.dummyfunction("if($T46&lt;&gt;"""",VALUE(REGEXEXTRACT(SUBSTITUTE ($T46,I$1&amp;"" CE"",""""), I$1&amp;""[\w &amp;]*, (\d+\.\d+)"")),"""")
"),13)</f>
        <v>13</v>
      </c>
      <c r="J46" s="3" t="n">
        <f aca="false">IFERROR(__xludf.dummyfunction("if($T46&lt;&gt;"""",VALUE(REGEXEXTRACT($T46, J$1&amp;""[\w &amp;]*, (\d+\.\d+)"")),"""")
"),13)</f>
        <v>13</v>
      </c>
      <c r="K46" s="3" t="n">
        <f aca="false">IFERROR(__xludf.dummyfunction("if($T46&lt;&gt;"""",VALUE(REGEXEXTRACT($T46, K$1&amp;""[\w &amp;]*, (\d+\.\d+)"")),"""")
"),10)</f>
        <v>10</v>
      </c>
      <c r="L46" s="3" t="n">
        <f aca="false">IFERROR(__xludf.dummyfunction("if($T46&lt;&gt;"""",VALUE(REGEXEXTRACT(SUBSTITUTE ($T46,L$1&amp;"" CE"",""""), L$1&amp;""[\w &amp;]*, (\d+\.\d+)"")),"""")
"),14.5)</f>
        <v>14.5</v>
      </c>
      <c r="M46" s="3" t="n">
        <f aca="false">IFERROR(__xludf.dummyfunction("if($T46&lt;&gt;"""",VALUE(REGEXEXTRACT($T46, M$1&amp;""[\w &amp;]*, (\d+\.\d+)"")),"""")
"),14.5)</f>
        <v>14.5</v>
      </c>
      <c r="N46" s="3" t="n">
        <f aca="false">IFERROR(__xludf.dummyfunction("if($T46&lt;&gt;"""",VALUE(REGEXEXTRACT(SUBSTITUTE ($T46,N$1&amp;"" CE"",""""), N$1&amp;""[\w &amp;]*, (\d+\.\d+)"")),"""")
"),13)</f>
        <v>13</v>
      </c>
      <c r="O46" s="3" t="n">
        <f aca="false">IFERROR(__xludf.dummyfunction("if($T46&lt;&gt;"""",VALUE(REGEXEXTRACT($T46, O$1&amp;""[\w &amp;]*, (\d+\.\d+)"")),"""")
"),13)</f>
        <v>13</v>
      </c>
      <c r="P46" s="2" t="n">
        <f aca="false">IFERROR(__xludf.dummyfunction("if($T46&lt;&gt;"""",VALUE(REGEXEXTRACT($T46, P$1&amp;""[\w &amp;]*, (\d+\.\d+)"")),"""")
"),12.35)</f>
        <v>12.35</v>
      </c>
      <c r="Q46" s="2" t="n">
        <f aca="false">IFERROR(__xludf.dummyfunction("if($T46&lt;&gt;"""",VALUE(REGEXEXTRACT($T46, Q$1&amp;""[\w &amp;]*, (\d+\.\d+)"")),"""")
"),11.71)</f>
        <v>11.71</v>
      </c>
      <c r="R46" s="2" t="n">
        <f aca="false">IFERROR(__xludf.dummyfunction("if($T46&lt;&gt;"""",VALUE(REGEXEXTRACT($T46, SUBSTITUTE(R$1, ""+"", ""\+"")&amp;""[\w &amp;]*, (\d+\.\d+)"")),"""")"),12.99)</f>
        <v>12.99</v>
      </c>
      <c r="S46" s="2" t="n">
        <f aca="false">IFERROR(__xludf.dummyfunction("if($T46&lt;&gt;"""",VALUE(REGEXEXTRACT($T46, SUBSTITUTE(S$1, ""+"", ""\+"")&amp;""[\w &amp;]*, (\d+\.\d+)"")),"""")"),13.63)</f>
        <v>13.63</v>
      </c>
      <c r="T46" s="5" t="s">
        <v>267</v>
      </c>
    </row>
    <row r="47" customFormat="false" ht="15.75" hidden="false" customHeight="false" outlineLevel="0" collapsed="false">
      <c r="A47" s="4" t="n">
        <f aca="false">IFERROR(__xludf.dummyfunction("""COMPUTED_VALUE"""),45463.6361111111)</f>
        <v>45463.6361111111</v>
      </c>
      <c r="B47" s="2" t="n">
        <f aca="false">IFERROR(__xludf.dummyfunction("""COMPUTED_VALUE"""),12.59)</f>
        <v>12.59</v>
      </c>
      <c r="C47" s="2" t="n">
        <f aca="false">IFERROR(__xludf.dummyfunction("""COMPUTED_VALUE"""),13.55)</f>
        <v>13.55</v>
      </c>
      <c r="D47" s="2" t="n">
        <f aca="false">IFERROR(__xludf.dummyfunction("""COMPUTED_VALUE"""),12.18)</f>
        <v>12.18</v>
      </c>
      <c r="E47" s="2" t="n">
        <f aca="false">IFERROR(__xludf.dummyfunction("""COMPUTED_VALUE"""),13.28)</f>
        <v>13.28</v>
      </c>
      <c r="F47" s="3" t="n">
        <f aca="false">IFERROR(__xludf.dummyfunction("if($T47&lt;&gt;"""",VALUE(REGEXEXTRACT(SUBSTITUTE ($T47,F$1&amp;"" CE"",""""), F$1&amp;""[\w &amp;]*, (\d+\.\d+)"")),"""")
"),20)</f>
        <v>20</v>
      </c>
      <c r="G47" s="3" t="n">
        <f aca="false">IFERROR(__xludf.dummyfunction("if($T47&lt;&gt;"""",VALUE(REGEXEXTRACT($T47, G$1&amp;""[\w &amp;]*, (\d+\.\d+)"")),"""")
"),13)</f>
        <v>13</v>
      </c>
      <c r="H47" s="3" t="n">
        <f aca="false">IFERROR(__xludf.dummyfunction("if($T47&lt;&gt;"""",VALUE(REGEXEXTRACT($T47, H$1&amp;""[\w &amp;]*, (\d+\.\d+)"")),"""")
"),150)</f>
        <v>150</v>
      </c>
      <c r="I47" s="3" t="n">
        <f aca="false">IFERROR(__xludf.dummyfunction("if($T47&lt;&gt;"""",VALUE(REGEXEXTRACT(SUBSTITUTE ($T47,I$1&amp;"" CE"",""""), I$1&amp;""[\w &amp;]*, (\d+\.\d+)"")),"""")
"),14)</f>
        <v>14</v>
      </c>
      <c r="J47" s="3" t="n">
        <f aca="false">IFERROR(__xludf.dummyfunction("if($T47&lt;&gt;"""",VALUE(REGEXEXTRACT($T47, J$1&amp;""[\w &amp;]*, (\d+\.\d+)"")),"""")
"),12.5)</f>
        <v>12.5</v>
      </c>
      <c r="K47" s="3" t="n">
        <f aca="false">IFERROR(__xludf.dummyfunction("if($T47&lt;&gt;"""",VALUE(REGEXEXTRACT($T47, K$1&amp;""[\w &amp;]*, (\d+\.\d+)"")),"""")
"),10)</f>
        <v>10</v>
      </c>
      <c r="L47" s="3" t="n">
        <f aca="false">IFERROR(__xludf.dummyfunction("if($T47&lt;&gt;"""",VALUE(REGEXEXTRACT(SUBSTITUTE ($T47,L$1&amp;"" CE"",""""), L$1&amp;""[\w &amp;]*, (\d+\.\d+)"")),"""")
"),14.5)</f>
        <v>14.5</v>
      </c>
      <c r="M47" s="3" t="n">
        <f aca="false">IFERROR(__xludf.dummyfunction("if($T47&lt;&gt;"""",VALUE(REGEXEXTRACT($T47, M$1&amp;""[\w &amp;]*, (\d+\.\d+)"")),"""")
"),12.5)</f>
        <v>12.5</v>
      </c>
      <c r="N47" s="3" t="n">
        <f aca="false">IFERROR(__xludf.dummyfunction("if($T47&lt;&gt;"""",VALUE(REGEXEXTRACT(SUBSTITUTE ($T47,N$1&amp;"" CE"",""""), N$1&amp;""[\w &amp;]*, (\d+\.\d+)"")),"""")
"),15)</f>
        <v>15</v>
      </c>
      <c r="O47" s="3" t="n">
        <f aca="false">IFERROR(__xludf.dummyfunction("if($T47&lt;&gt;"""",VALUE(REGEXEXTRACT($T47, O$1&amp;""[\w &amp;]*, (\d+\.\d+)"")),"""")
"),13)</f>
        <v>13</v>
      </c>
      <c r="P47" s="2" t="n">
        <f aca="false">IFERROR(__xludf.dummyfunction("if($T47&lt;&gt;"""",VALUE(REGEXEXTRACT($T47, P$1&amp;""[\w &amp;]*, (\d+\.\d+)"")),"""")
"),11.78)</f>
        <v>11.78</v>
      </c>
      <c r="Q47" s="2" t="n">
        <f aca="false">IFERROR(__xludf.dummyfunction("if($T47&lt;&gt;"""",VALUE(REGEXEXTRACT($T47, Q$1&amp;""[\w &amp;]*, (\d+\.\d+)"")),"""")
"),11.46)</f>
        <v>11.46</v>
      </c>
      <c r="R47" s="2" t="n">
        <f aca="false">IFERROR(__xludf.dummyfunction("if($T47&lt;&gt;"""",VALUE(REGEXEXTRACT($T47, SUBSTITUTE(R$1, ""+"", ""\+"")&amp;""[\w &amp;]*, (\d+\.\d+)"")),"""")"),13.34)</f>
        <v>13.34</v>
      </c>
      <c r="S47" s="2" t="n">
        <f aca="false">IFERROR(__xludf.dummyfunction("if($T47&lt;&gt;"""",VALUE(REGEXEXTRACT($T47, SUBSTITUTE(S$1, ""+"", ""\+"")&amp;""[\w &amp;]*, (\d+\.\d+)"")),"""")"),13.66)</f>
        <v>13.66</v>
      </c>
      <c r="T47" s="5" t="s">
        <v>268</v>
      </c>
    </row>
    <row r="48" customFormat="false" ht="15.75" hidden="false" customHeight="false" outlineLevel="0" collapsed="false">
      <c r="A48" s="4" t="n">
        <f aca="false">IFERROR(__xludf.dummyfunction("""COMPUTED_VALUE"""),45464.6361111111)</f>
        <v>45464.6361111111</v>
      </c>
      <c r="B48" s="2" t="n">
        <f aca="false">IFERROR(__xludf.dummyfunction("""COMPUTED_VALUE"""),13.47)</f>
        <v>13.47</v>
      </c>
      <c r="C48" s="2" t="n">
        <f aca="false">IFERROR(__xludf.dummyfunction("""COMPUTED_VALUE"""),13.78)</f>
        <v>13.78</v>
      </c>
      <c r="D48" s="2" t="n">
        <f aca="false">IFERROR(__xludf.dummyfunction("""COMPUTED_VALUE"""),12.99)</f>
        <v>12.99</v>
      </c>
      <c r="E48" s="2" t="n">
        <f aca="false">IFERROR(__xludf.dummyfunction("""COMPUTED_VALUE"""),13.2)</f>
        <v>13.2</v>
      </c>
      <c r="F48" s="3" t="n">
        <f aca="false">IFERROR(__xludf.dummyfunction("if($T48&lt;&gt;"""",VALUE(REGEXEXTRACT(SUBSTITUTE ($T48,F$1&amp;"" CE"",""""), F$1&amp;""[\w &amp;]*, (\d+\.\d+)"")),"""")
"),15)</f>
        <v>15</v>
      </c>
      <c r="G48" s="3" t="n">
        <f aca="false">IFERROR(__xludf.dummyfunction("if($T48&lt;&gt;"""",VALUE(REGEXEXTRACT($T48, G$1&amp;""[\w &amp;]*, (\d+\.\d+)"")),"""")
"),15)</f>
        <v>15</v>
      </c>
      <c r="H48" s="3" t="n">
        <f aca="false">IFERROR(__xludf.dummyfunction("if($T48&lt;&gt;"""",VALUE(REGEXEXTRACT($T48, H$1&amp;""[\w &amp;]*, (\d+\.\d+)"")),"""")
"),150)</f>
        <v>150</v>
      </c>
      <c r="I48" s="3" t="n">
        <f aca="false">IFERROR(__xludf.dummyfunction("if($T48&lt;&gt;"""",VALUE(REGEXEXTRACT(SUBSTITUTE ($T48,I$1&amp;"" CE"",""""), I$1&amp;""[\w &amp;]*, (\d+\.\d+)"")),"""")
"),14)</f>
        <v>14</v>
      </c>
      <c r="J48" s="3" t="n">
        <f aca="false">IFERROR(__xludf.dummyfunction("if($T48&lt;&gt;"""",VALUE(REGEXEXTRACT($T48, J$1&amp;""[\w &amp;]*, (\d+\.\d+)"")),"""")
"),12.5)</f>
        <v>12.5</v>
      </c>
      <c r="K48" s="3" t="n">
        <f aca="false">IFERROR(__xludf.dummyfunction("if($T48&lt;&gt;"""",VALUE(REGEXEXTRACT($T48, K$1&amp;""[\w &amp;]*, (\d+\.\d+)"")),"""")
"),15)</f>
        <v>15</v>
      </c>
      <c r="L48" s="3" t="n">
        <f aca="false">IFERROR(__xludf.dummyfunction("if($T48&lt;&gt;"""",VALUE(REGEXEXTRACT(SUBSTITUTE ($T48,L$1&amp;"" CE"",""""), L$1&amp;""[\w &amp;]*, (\d+\.\d+)"")),"""")
"),14.5)</f>
        <v>14.5</v>
      </c>
      <c r="M48" s="3" t="n">
        <f aca="false">IFERROR(__xludf.dummyfunction("if($T48&lt;&gt;"""",VALUE(REGEXEXTRACT($T48, M$1&amp;""[\w &amp;]*, (\d+\.\d+)"")),"""")
"),12.5)</f>
        <v>12.5</v>
      </c>
      <c r="N48" s="3" t="n">
        <f aca="false">IFERROR(__xludf.dummyfunction("if($T48&lt;&gt;"""",VALUE(REGEXEXTRACT(SUBSTITUTE ($T48,N$1&amp;"" CE"",""""), N$1&amp;""[\w &amp;]*, (\d+\.\d+)"")),"""")
"),15)</f>
        <v>15</v>
      </c>
      <c r="O48" s="3" t="n">
        <f aca="false">IFERROR(__xludf.dummyfunction("if($T48&lt;&gt;"""",VALUE(REGEXEXTRACT($T48, O$1&amp;""[\w &amp;]*, (\d+\.\d+)"")),"""")
"),15)</f>
        <v>15</v>
      </c>
      <c r="P48" s="2" t="n">
        <f aca="false">IFERROR(__xludf.dummyfunction("if($T48&lt;&gt;"""",VALUE(REGEXEXTRACT($T48, P$1&amp;""[\w &amp;]*, (\d+\.\d+)"")),"""")
"),12.39)</f>
        <v>12.39</v>
      </c>
      <c r="Q48" s="2" t="n">
        <f aca="false">IFERROR(__xludf.dummyfunction("if($T48&lt;&gt;"""",VALUE(REGEXEXTRACT($T48, Q$1&amp;""[\w &amp;]*, (\d+\.\d+)"")),"""")
"),11.87)</f>
        <v>11.87</v>
      </c>
      <c r="R48" s="2" t="n">
        <f aca="false">IFERROR(__xludf.dummyfunction("if($T48&lt;&gt;"""",VALUE(REGEXEXTRACT($T48, SUBSTITUTE(R$1, ""+"", ""\+"")&amp;""[\w &amp;]*, (\d+\.\d+)"")),"""")"),14.61)</f>
        <v>14.61</v>
      </c>
      <c r="S48" s="2" t="n">
        <f aca="false">IFERROR(__xludf.dummyfunction("if($T48&lt;&gt;"""",VALUE(REGEXEXTRACT($T48, SUBSTITUTE(S$1, ""+"", ""\+"")&amp;""[\w &amp;]*, (\d+\.\d+)"")),"""")"),15.13)</f>
        <v>15.13</v>
      </c>
      <c r="T48" s="5" t="s">
        <v>269</v>
      </c>
    </row>
    <row r="49" customFormat="false" ht="15.75" hidden="false" customHeight="false" outlineLevel="0" collapsed="false">
      <c r="A49" s="4" t="n">
        <f aca="false">IFERROR(__xludf.dummyfunction("""COMPUTED_VALUE"""),45467.6361111111)</f>
        <v>45467.6361111111</v>
      </c>
      <c r="B49" s="2" t="n">
        <f aca="false">IFERROR(__xludf.dummyfunction("""COMPUTED_VALUE"""),13.85)</f>
        <v>13.85</v>
      </c>
      <c r="C49" s="2" t="n">
        <f aca="false">IFERROR(__xludf.dummyfunction("""COMPUTED_VALUE"""),13.88)</f>
        <v>13.88</v>
      </c>
      <c r="D49" s="2" t="n">
        <f aca="false">IFERROR(__xludf.dummyfunction("""COMPUTED_VALUE"""),13.15)</f>
        <v>13.15</v>
      </c>
      <c r="E49" s="2" t="n">
        <f aca="false">IFERROR(__xludf.dummyfunction("""COMPUTED_VALUE"""),13.33)</f>
        <v>13.33</v>
      </c>
      <c r="F49" s="3" t="n">
        <f aca="false">IFERROR(__xludf.dummyfunction("if($T49&lt;&gt;"""",VALUE(REGEXEXTRACT(SUBSTITUTE ($T49,F$1&amp;"" CE"",""""), F$1&amp;""[\w &amp;]*, (\d+\.\d+)"")),"""")
"),15)</f>
        <v>15</v>
      </c>
      <c r="G49" s="3" t="n">
        <f aca="false">IFERROR(__xludf.dummyfunction("if($T49&lt;&gt;"""",VALUE(REGEXEXTRACT($T49, G$1&amp;""[\w &amp;]*, (\d+\.\d+)"")),"""")
"),15)</f>
        <v>15</v>
      </c>
      <c r="H49" s="3" t="n">
        <f aca="false">IFERROR(__xludf.dummyfunction("if($T49&lt;&gt;"""",VALUE(REGEXEXTRACT($T49, H$1&amp;""[\w &amp;]*, (\d+\.\d+)"")),"""")
"),150)</f>
        <v>150</v>
      </c>
      <c r="I49" s="3" t="n">
        <f aca="false">IFERROR(__xludf.dummyfunction("if($T49&lt;&gt;"""",VALUE(REGEXEXTRACT(SUBSTITUTE ($T49,I$1&amp;"" CE"",""""), I$1&amp;""[\w &amp;]*, (\d+\.\d+)"")),"""")
"),14)</f>
        <v>14</v>
      </c>
      <c r="J49" s="3" t="n">
        <f aca="false">IFERROR(__xludf.dummyfunction("if($T49&lt;&gt;"""",VALUE(REGEXEXTRACT($T49, J$1&amp;""[\w &amp;]*, (\d+\.\d+)"")),"""")
"),12.5)</f>
        <v>12.5</v>
      </c>
      <c r="K49" s="3" t="n">
        <f aca="false">IFERROR(__xludf.dummyfunction("if($T49&lt;&gt;"""",VALUE(REGEXEXTRACT($T49, K$1&amp;""[\w &amp;]*, (\d+\.\d+)"")),"""")
"),15)</f>
        <v>15</v>
      </c>
      <c r="L49" s="3" t="n">
        <f aca="false">IFERROR(__xludf.dummyfunction("if($T49&lt;&gt;"""",VALUE(REGEXEXTRACT(SUBSTITUTE ($T49,L$1&amp;"" CE"",""""), L$1&amp;""[\w &amp;]*, (\d+\.\d+)"")),"""")
"),14.5)</f>
        <v>14.5</v>
      </c>
      <c r="M49" s="3" t="n">
        <f aca="false">IFERROR(__xludf.dummyfunction("if($T49&lt;&gt;"""",VALUE(REGEXEXTRACT($T49, M$1&amp;""[\w &amp;]*, (\d+\.\d+)"")),"""")
"),12.5)</f>
        <v>12.5</v>
      </c>
      <c r="N49" s="3" t="n">
        <f aca="false">IFERROR(__xludf.dummyfunction("if($T49&lt;&gt;"""",VALUE(REGEXEXTRACT(SUBSTITUTE ($T49,N$1&amp;"" CE"",""""), N$1&amp;""[\w &amp;]*, (\d+\.\d+)"")),"""")
"),15)</f>
        <v>15</v>
      </c>
      <c r="O49" s="3" t="n">
        <f aca="false">IFERROR(__xludf.dummyfunction("if($T49&lt;&gt;"""",VALUE(REGEXEXTRACT($T49, O$1&amp;""[\w &amp;]*, (\d+\.\d+)"")),"""")
"),15)</f>
        <v>15</v>
      </c>
      <c r="P49" s="2" t="n">
        <f aca="false">IFERROR(__xludf.dummyfunction("if($T49&lt;&gt;"""",VALUE(REGEXEXTRACT($T49, P$1&amp;""[\w &amp;]*, (\d+\.\d+)"")),"""")
"),12.95)</f>
        <v>12.95</v>
      </c>
      <c r="Q49" s="2" t="n">
        <f aca="false">IFERROR(__xludf.dummyfunction("if($T49&lt;&gt;"""",VALUE(REGEXEXTRACT($T49, Q$1&amp;""[\w &amp;]*, (\d+\.\d+)"")),"""")
"),12.29)</f>
        <v>12.29</v>
      </c>
      <c r="R49" s="2" t="n">
        <f aca="false">IFERROR(__xludf.dummyfunction("if($T49&lt;&gt;"""",VALUE(REGEXEXTRACT($T49, SUBSTITUTE(R$1, ""+"", ""\+"")&amp;""[\w &amp;]*, (\d+\.\d+)"")),"""")"),14.53)</f>
        <v>14.53</v>
      </c>
      <c r="S49" s="2" t="n">
        <f aca="false">IFERROR(__xludf.dummyfunction("if($T49&lt;&gt;"""",VALUE(REGEXEXTRACT($T49, SUBSTITUTE(S$1, ""+"", ""\+"")&amp;""[\w &amp;]*, (\d+\.\d+)"")),"""")"),15.19)</f>
        <v>15.19</v>
      </c>
      <c r="T49" s="5" t="s">
        <v>270</v>
      </c>
    </row>
    <row r="50" customFormat="false" ht="15.75" hidden="false" customHeight="false" outlineLevel="0" collapsed="false">
      <c r="A50" s="4" t="n">
        <f aca="false">IFERROR(__xludf.dummyfunction("""COMPUTED_VALUE"""),45468.6361111111)</f>
        <v>45468.6361111111</v>
      </c>
      <c r="B50" s="2" t="n">
        <f aca="false">IFERROR(__xludf.dummyfunction("""COMPUTED_VALUE"""),13.43)</f>
        <v>13.43</v>
      </c>
      <c r="C50" s="2" t="n">
        <f aca="false">IFERROR(__xludf.dummyfunction("""COMPUTED_VALUE"""),13.43)</f>
        <v>13.43</v>
      </c>
      <c r="D50" s="2" t="n">
        <f aca="false">IFERROR(__xludf.dummyfunction("""COMPUTED_VALUE"""),12.84)</f>
        <v>12.84</v>
      </c>
      <c r="E50" s="2" t="n">
        <f aca="false">IFERROR(__xludf.dummyfunction("""COMPUTED_VALUE"""),12.84)</f>
        <v>12.84</v>
      </c>
      <c r="F50" s="3" t="n">
        <f aca="false">IFERROR(__xludf.dummyfunction("if($T50&lt;&gt;"""",VALUE(REGEXEXTRACT(SUBSTITUTE ($T50,F$1&amp;"" CE"",""""), F$1&amp;""[\w &amp;]*, (\d+\.\d+)"")),"""")
"),15)</f>
        <v>15</v>
      </c>
      <c r="G50" s="3" t="n">
        <f aca="false">IFERROR(__xludf.dummyfunction("if($T50&lt;&gt;"""",VALUE(REGEXEXTRACT($T50, G$1&amp;""[\w &amp;]*, (\d+\.\d+)"")),"""")
"),15)</f>
        <v>15</v>
      </c>
      <c r="H50" s="3" t="n">
        <f aca="false">IFERROR(__xludf.dummyfunction("if($T50&lt;&gt;"""",VALUE(REGEXEXTRACT($T50, H$1&amp;""[\w &amp;]*, (\d+\.\d+)"")),"""")
"),150)</f>
        <v>150</v>
      </c>
      <c r="I50" s="3" t="n">
        <f aca="false">IFERROR(__xludf.dummyfunction("if($T50&lt;&gt;"""",VALUE(REGEXEXTRACT(SUBSTITUTE ($T50,I$1&amp;"" CE"",""""), I$1&amp;""[\w &amp;]*, (\d+\.\d+)"")),"""")
"),14)</f>
        <v>14</v>
      </c>
      <c r="J50" s="3" t="n">
        <f aca="false">IFERROR(__xludf.dummyfunction("if($T50&lt;&gt;"""",VALUE(REGEXEXTRACT($T50, J$1&amp;""[\w &amp;]*, (\d+\.\d+)"")),"""")
"),12.5)</f>
        <v>12.5</v>
      </c>
      <c r="K50" s="3" t="n">
        <f aca="false">IFERROR(__xludf.dummyfunction("if($T50&lt;&gt;"""",VALUE(REGEXEXTRACT($T50, K$1&amp;""[\w &amp;]*, (\d+\.\d+)"")),"""")
"),15)</f>
        <v>15</v>
      </c>
      <c r="L50" s="3" t="n">
        <f aca="false">IFERROR(__xludf.dummyfunction("if($T50&lt;&gt;"""",VALUE(REGEXEXTRACT(SUBSTITUTE ($T50,L$1&amp;"" CE"",""""), L$1&amp;""[\w &amp;]*, (\d+\.\d+)"")),"""")
"),14.5)</f>
        <v>14.5</v>
      </c>
      <c r="M50" s="3" t="n">
        <f aca="false">IFERROR(__xludf.dummyfunction("if($T50&lt;&gt;"""",VALUE(REGEXEXTRACT($T50, M$1&amp;""[\w &amp;]*, (\d+\.\d+)"")),"""")
"),12.5)</f>
        <v>12.5</v>
      </c>
      <c r="N50" s="3" t="n">
        <f aca="false">IFERROR(__xludf.dummyfunction("if($T50&lt;&gt;"""",VALUE(REGEXEXTRACT(SUBSTITUTE ($T50,N$1&amp;"" CE"",""""), N$1&amp;""[\w &amp;]*, (\d+\.\d+)"")),"""")
"),15)</f>
        <v>15</v>
      </c>
      <c r="O50" s="3" t="n">
        <f aca="false">IFERROR(__xludf.dummyfunction("if($T50&lt;&gt;"""",VALUE(REGEXEXTRACT($T50, O$1&amp;""[\w &amp;]*, (\d+\.\d+)"")),"""")
"),15)</f>
        <v>15</v>
      </c>
      <c r="P50" s="2" t="n">
        <f aca="false">IFERROR(__xludf.dummyfunction("if($T50&lt;&gt;"""",VALUE(REGEXEXTRACT($T50, P$1&amp;""[\w &amp;]*, (\d+\.\d+)"")),"""")
"),12.78)</f>
        <v>12.78</v>
      </c>
      <c r="Q50" s="2" t="n">
        <f aca="false">IFERROR(__xludf.dummyfunction("if($T50&lt;&gt;"""",VALUE(REGEXEXTRACT($T50, Q$1&amp;""[\w &amp;]*, (\d+\.\d+)"")),"""")
"),12.05)</f>
        <v>12.05</v>
      </c>
      <c r="R50" s="2" t="n">
        <f aca="false">IFERROR(__xludf.dummyfunction("if($T50&lt;&gt;"""",VALUE(REGEXEXTRACT($T50, SUBSTITUTE(R$1, ""+"", ""\+"")&amp;""[\w &amp;]*, (\d+\.\d+)"")),"""")"),14.08)</f>
        <v>14.08</v>
      </c>
      <c r="S50" s="2" t="n">
        <f aca="false">IFERROR(__xludf.dummyfunction("if($T50&lt;&gt;"""",VALUE(REGEXEXTRACT($T50, SUBSTITUTE(S$1, ""+"", ""\+"")&amp;""[\w &amp;]*, (\d+\.\d+)"")),"""")"),14.81)</f>
        <v>14.81</v>
      </c>
      <c r="T50" s="5" t="s">
        <v>271</v>
      </c>
    </row>
    <row r="51" customFormat="false" ht="15.75" hidden="false" customHeight="false" outlineLevel="0" collapsed="false">
      <c r="A51" s="4" t="n">
        <f aca="false">IFERROR(__xludf.dummyfunction("""COMPUTED_VALUE"""),45469.6361111111)</f>
        <v>45469.6361111111</v>
      </c>
      <c r="B51" s="2" t="n">
        <f aca="false">IFERROR(__xludf.dummyfunction("""COMPUTED_VALUE"""),12.97)</f>
        <v>12.97</v>
      </c>
      <c r="C51" s="2" t="n">
        <f aca="false">IFERROR(__xludf.dummyfunction("""COMPUTED_VALUE"""),13.24)</f>
        <v>13.24</v>
      </c>
      <c r="D51" s="2" t="n">
        <f aca="false">IFERROR(__xludf.dummyfunction("""COMPUTED_VALUE"""),12.37)</f>
        <v>12.37</v>
      </c>
      <c r="E51" s="2" t="n">
        <f aca="false">IFERROR(__xludf.dummyfunction("""COMPUTED_VALUE"""),12.55)</f>
        <v>12.55</v>
      </c>
      <c r="F51" s="3" t="n">
        <f aca="false">IFERROR(__xludf.dummyfunction("if($T51&lt;&gt;"""",VALUE(REGEXEXTRACT(SUBSTITUTE ($T51,F$1&amp;"" CE"",""""), F$1&amp;""[\w &amp;]*, (\d+\.\d+)"")),"""")
"),15)</f>
        <v>15</v>
      </c>
      <c r="G51" s="3" t="n">
        <f aca="false">IFERROR(__xludf.dummyfunction("if($T51&lt;&gt;"""",VALUE(REGEXEXTRACT($T51, G$1&amp;""[\w &amp;]*, (\d+\.\d+)"")),"""")
"),13)</f>
        <v>13</v>
      </c>
      <c r="H51" s="3" t="n">
        <f aca="false">IFERROR(__xludf.dummyfunction("if($T51&lt;&gt;"""",VALUE(REGEXEXTRACT($T51, H$1&amp;""[\w &amp;]*, (\d+\.\d+)"")),"""")
"),150)</f>
        <v>150</v>
      </c>
      <c r="I51" s="3" t="n">
        <f aca="false">IFERROR(__xludf.dummyfunction("if($T51&lt;&gt;"""",VALUE(REGEXEXTRACT(SUBSTITUTE ($T51,I$1&amp;"" CE"",""""), I$1&amp;""[\w &amp;]*, (\d+\.\d+)"")),"""")
"),14)</f>
        <v>14</v>
      </c>
      <c r="J51" s="3" t="n">
        <f aca="false">IFERROR(__xludf.dummyfunction("if($T51&lt;&gt;"""",VALUE(REGEXEXTRACT($T51, J$1&amp;""[\w &amp;]*, (\d+\.\d+)"")),"""")
"),12.5)</f>
        <v>12.5</v>
      </c>
      <c r="K51" s="3" t="n">
        <f aca="false">IFERROR(__xludf.dummyfunction("if($T51&lt;&gt;"""",VALUE(REGEXEXTRACT($T51, K$1&amp;""[\w &amp;]*, (\d+\.\d+)"")),"""")
"),9)</f>
        <v>9</v>
      </c>
      <c r="L51" s="3" t="n">
        <f aca="false">IFERROR(__xludf.dummyfunction("if($T51&lt;&gt;"""",VALUE(REGEXEXTRACT(SUBSTITUTE ($T51,L$1&amp;"" CE"",""""), L$1&amp;""[\w &amp;]*, (\d+\.\d+)"")),"""")
"),14.5)</f>
        <v>14.5</v>
      </c>
      <c r="M51" s="3" t="n">
        <f aca="false">IFERROR(__xludf.dummyfunction("if($T51&lt;&gt;"""",VALUE(REGEXEXTRACT($T51, M$1&amp;""[\w &amp;]*, (\d+\.\d+)"")),"""")
"),12.5)</f>
        <v>12.5</v>
      </c>
      <c r="N51" s="3" t="n">
        <f aca="false">IFERROR(__xludf.dummyfunction("if($T51&lt;&gt;"""",VALUE(REGEXEXTRACT(SUBSTITUTE ($T51,N$1&amp;"" CE"",""""), N$1&amp;""[\w &amp;]*, (\d+\.\d+)"")),"""")
"),15)</f>
        <v>15</v>
      </c>
      <c r="O51" s="3" t="n">
        <f aca="false">IFERROR(__xludf.dummyfunction("if($T51&lt;&gt;"""",VALUE(REGEXEXTRACT($T51, O$1&amp;""[\w &amp;]*, (\d+\.\d+)"")),"""")
"),13)</f>
        <v>13</v>
      </c>
      <c r="P51" s="2" t="n">
        <f aca="false">IFERROR(__xludf.dummyfunction("if($T51&lt;&gt;"""",VALUE(REGEXEXTRACT($T51, P$1&amp;""[\w &amp;]*, (\d+\.\d+)"")),"""")
"),12.61)</f>
        <v>12.61</v>
      </c>
      <c r="Q51" s="2" t="n">
        <f aca="false">IFERROR(__xludf.dummyfunction("if($T51&lt;&gt;"""",VALUE(REGEXEXTRACT($T51, Q$1&amp;""[\w &amp;]*, (\d+\.\d+)"")),"""")
"),12.01)</f>
        <v>12.01</v>
      </c>
      <c r="R51" s="2" t="n">
        <f aca="false">IFERROR(__xludf.dummyfunction("if($T51&lt;&gt;"""",VALUE(REGEXEXTRACT($T51, SUBSTITUTE(R$1, ""+"", ""\+"")&amp;""[\w &amp;]*, (\d+\.\d+)"")),"""")"),13.25)</f>
        <v>13.25</v>
      </c>
      <c r="S51" s="2" t="n">
        <f aca="false">IFERROR(__xludf.dummyfunction("if($T51&lt;&gt;"""",VALUE(REGEXEXTRACT($T51, SUBSTITUTE(S$1, ""+"", ""\+"")&amp;""[\w &amp;]*, (\d+\.\d+)"")),"""")"),13.85)</f>
        <v>13.85</v>
      </c>
      <c r="T51" s="5" t="s">
        <v>272</v>
      </c>
    </row>
    <row r="52" customFormat="false" ht="15.75" hidden="false" customHeight="false" outlineLevel="0" collapsed="false">
      <c r="A52" s="4" t="n">
        <f aca="false">IFERROR(__xludf.dummyfunction("""COMPUTED_VALUE"""),45470.6361111111)</f>
        <v>45470.6361111111</v>
      </c>
      <c r="B52" s="2" t="n">
        <f aca="false">IFERROR(__xludf.dummyfunction("""COMPUTED_VALUE"""),12.74)</f>
        <v>12.74</v>
      </c>
      <c r="C52" s="2" t="n">
        <f aca="false">IFERROR(__xludf.dummyfunction("""COMPUTED_VALUE"""),12.74)</f>
        <v>12.74</v>
      </c>
      <c r="D52" s="2" t="n">
        <f aca="false">IFERROR(__xludf.dummyfunction("""COMPUTED_VALUE"""),12.21)</f>
        <v>12.21</v>
      </c>
      <c r="E52" s="2" t="n">
        <f aca="false">IFERROR(__xludf.dummyfunction("""COMPUTED_VALUE"""),12.24)</f>
        <v>12.24</v>
      </c>
      <c r="F52" s="3" t="n">
        <f aca="false">IFERROR(__xludf.dummyfunction("if($T52&lt;&gt;"""",VALUE(REGEXEXTRACT(SUBSTITUTE ($T52,F$1&amp;"" CE"",""""), F$1&amp;""[\w &amp;]*, (\d+\.\d+)"")),"""")
"),15)</f>
        <v>15</v>
      </c>
      <c r="G52" s="3" t="n">
        <f aca="false">IFERROR(__xludf.dummyfunction("if($T52&lt;&gt;"""",VALUE(REGEXEXTRACT($T52, G$1&amp;""[\w &amp;]*, (\d+\.\d+)"")),"""")
"),13)</f>
        <v>13</v>
      </c>
      <c r="H52" s="3" t="n">
        <f aca="false">IFERROR(__xludf.dummyfunction("if($T52&lt;&gt;"""",VALUE(REGEXEXTRACT($T52, H$1&amp;""[\w &amp;]*, (\d+\.\d+)"")),"""")
"),150)</f>
        <v>150</v>
      </c>
      <c r="I52" s="3" t="n">
        <f aca="false">IFERROR(__xludf.dummyfunction("if($T52&lt;&gt;"""",VALUE(REGEXEXTRACT(SUBSTITUTE ($T52,I$1&amp;"" CE"",""""), I$1&amp;""[\w &amp;]*, (\d+\.\d+)"")),"""")
"),14)</f>
        <v>14</v>
      </c>
      <c r="J52" s="3" t="n">
        <f aca="false">IFERROR(__xludf.dummyfunction("if($T52&lt;&gt;"""",VALUE(REGEXEXTRACT($T52, J$1&amp;""[\w &amp;]*, (\d+\.\d+)"")),"""")
"),12)</f>
        <v>12</v>
      </c>
      <c r="K52" s="3" t="n">
        <f aca="false">IFERROR(__xludf.dummyfunction("if($T52&lt;&gt;"""",VALUE(REGEXEXTRACT($T52, K$1&amp;""[\w &amp;]*, (\d+\.\d+)"")),"""")
"),15)</f>
        <v>15</v>
      </c>
      <c r="L52" s="3" t="n">
        <f aca="false">IFERROR(__xludf.dummyfunction("if($T52&lt;&gt;"""",VALUE(REGEXEXTRACT(SUBSTITUTE ($T52,L$1&amp;"" CE"",""""), L$1&amp;""[\w &amp;]*, (\d+\.\d+)"")),"""")
"),14.5)</f>
        <v>14.5</v>
      </c>
      <c r="M52" s="3" t="n">
        <f aca="false">IFERROR(__xludf.dummyfunction("if($T52&lt;&gt;"""",VALUE(REGEXEXTRACT($T52, M$1&amp;""[\w &amp;]*, (\d+\.\d+)"")),"""")
"),12)</f>
        <v>12</v>
      </c>
      <c r="N52" s="3" t="n">
        <f aca="false">IFERROR(__xludf.dummyfunction("if($T52&lt;&gt;"""",VALUE(REGEXEXTRACT(SUBSTITUTE ($T52,N$1&amp;"" CE"",""""), N$1&amp;""[\w &amp;]*, (\d+\.\d+)"")),"""")
"),15)</f>
        <v>15</v>
      </c>
      <c r="O52" s="3" t="n">
        <f aca="false">IFERROR(__xludf.dummyfunction("if($T52&lt;&gt;"""",VALUE(REGEXEXTRACT($T52, O$1&amp;""[\w &amp;]*, (\d+\.\d+)"")),"""")
"),13)</f>
        <v>13</v>
      </c>
      <c r="P52" s="2" t="n">
        <f aca="false">IFERROR(__xludf.dummyfunction("if($T52&lt;&gt;"""",VALUE(REGEXEXTRACT($T52, P$1&amp;""[\w &amp;]*, (\d+\.\d+)"")),"""")
"),11.8)</f>
        <v>11.8</v>
      </c>
      <c r="Q52" s="2" t="n">
        <f aca="false">IFERROR(__xludf.dummyfunction("if($T52&lt;&gt;"""",VALUE(REGEXEXTRACT($T52, Q$1&amp;""[\w &amp;]*, (\d+\.\d+)"")),"""")
"),11.43)</f>
        <v>11.43</v>
      </c>
      <c r="R52" s="2" t="n">
        <f aca="false">IFERROR(__xludf.dummyfunction("if($T52&lt;&gt;"""",VALUE(REGEXEXTRACT($T52, SUBSTITUTE(R$1, ""+"", ""\+"")&amp;""[\w &amp;]*, (\d+\.\d+)"")),"""")"),13.62)</f>
        <v>13.62</v>
      </c>
      <c r="S52" s="2" t="n">
        <f aca="false">IFERROR(__xludf.dummyfunction("if($T52&lt;&gt;"""",VALUE(REGEXEXTRACT($T52, SUBSTITUTE(S$1, ""+"", ""\+"")&amp;""[\w &amp;]*, (\d+\.\d+)"")),"""")"),13.99)</f>
        <v>13.99</v>
      </c>
      <c r="T52" s="5" t="s">
        <v>273</v>
      </c>
    </row>
    <row r="53" customFormat="false" ht="15.75" hidden="false" customHeight="false" outlineLevel="0" collapsed="false">
      <c r="A53" s="4" t="n">
        <f aca="false">IFERROR(__xludf.dummyfunction("""COMPUTED_VALUE"""),45471.6361111111)</f>
        <v>45471.6361111111</v>
      </c>
      <c r="B53" s="2" t="n">
        <f aca="false">IFERROR(__xludf.dummyfunction("""COMPUTED_VALUE"""),12.32)</f>
        <v>12.32</v>
      </c>
      <c r="C53" s="2" t="n">
        <f aca="false">IFERROR(__xludf.dummyfunction("""COMPUTED_VALUE"""),12.76)</f>
        <v>12.76</v>
      </c>
      <c r="D53" s="2" t="n">
        <f aca="false">IFERROR(__xludf.dummyfunction("""COMPUTED_VALUE"""),11.87)</f>
        <v>11.87</v>
      </c>
      <c r="E53" s="2" t="n">
        <f aca="false">IFERROR(__xludf.dummyfunction("""COMPUTED_VALUE"""),12.44)</f>
        <v>12.44</v>
      </c>
      <c r="F53" s="3" t="n">
        <f aca="false">IFERROR(__xludf.dummyfunction("if($T53&lt;&gt;"""",VALUE(REGEXEXTRACT(SUBSTITUTE ($T53,F$1&amp;"" CE"",""""), F$1&amp;""[\w &amp;]*, (\d+\.\d+)"")),"""")
"),15)</f>
        <v>15</v>
      </c>
      <c r="G53" s="3" t="n">
        <f aca="false">IFERROR(__xludf.dummyfunction("if($T53&lt;&gt;"""",VALUE(REGEXEXTRACT($T53, G$1&amp;""[\w &amp;]*, (\d+\.\d+)"")),"""")
"),13)</f>
        <v>13</v>
      </c>
      <c r="H53" s="3" t="n">
        <f aca="false">IFERROR(__xludf.dummyfunction("if($T53&lt;&gt;"""",VALUE(REGEXEXTRACT($T53, H$1&amp;""[\w &amp;]*, (\d+\.\d+)"")),"""")
"),150)</f>
        <v>150</v>
      </c>
      <c r="I53" s="3" t="n">
        <f aca="false">IFERROR(__xludf.dummyfunction("if($T53&lt;&gt;"""",VALUE(REGEXEXTRACT(SUBSTITUTE ($T53,I$1&amp;"" CE"",""""), I$1&amp;""[\w &amp;]*, (\d+\.\d+)"")),"""")
"),14)</f>
        <v>14</v>
      </c>
      <c r="J53" s="3" t="n">
        <f aca="false">IFERROR(__xludf.dummyfunction("if($T53&lt;&gt;"""",VALUE(REGEXEXTRACT($T53, J$1&amp;""[\w &amp;]*, (\d+\.\d+)"")),"""")
"),12)</f>
        <v>12</v>
      </c>
      <c r="K53" s="3" t="n">
        <f aca="false">IFERROR(__xludf.dummyfunction("if($T53&lt;&gt;"""",VALUE(REGEXEXTRACT($T53, K$1&amp;""[\w &amp;]*, (\d+\.\d+)"")),"""")
"),15)</f>
        <v>15</v>
      </c>
      <c r="L53" s="3" t="n">
        <f aca="false">IFERROR(__xludf.dummyfunction("if($T53&lt;&gt;"""",VALUE(REGEXEXTRACT(SUBSTITUTE ($T53,L$1&amp;"" CE"",""""), L$1&amp;""[\w &amp;]*, (\d+\.\d+)"")),"""")
"),14.5)</f>
        <v>14.5</v>
      </c>
      <c r="M53" s="3" t="n">
        <f aca="false">IFERROR(__xludf.dummyfunction("if($T53&lt;&gt;"""",VALUE(REGEXEXTRACT($T53, M$1&amp;""[\w &amp;]*, (\d+\.\d+)"")),"""")
"),12)</f>
        <v>12</v>
      </c>
      <c r="N53" s="3" t="n">
        <f aca="false">IFERROR(__xludf.dummyfunction("if($T53&lt;&gt;"""",VALUE(REGEXEXTRACT(SUBSTITUTE ($T53,N$1&amp;"" CE"",""""), N$1&amp;""[\w &amp;]*, (\d+\.\d+)"")),"""")
"),15)</f>
        <v>15</v>
      </c>
      <c r="O53" s="3" t="n">
        <f aca="false">IFERROR(__xludf.dummyfunction("if($T53&lt;&gt;"""",VALUE(REGEXEXTRACT($T53, O$1&amp;""[\w &amp;]*, (\d+\.\d+)"")),"""")
"),13)</f>
        <v>13</v>
      </c>
      <c r="P53" s="2" t="n">
        <f aca="false">IFERROR(__xludf.dummyfunction("if($T53&lt;&gt;"""",VALUE(REGEXEXTRACT($T53, P$1&amp;""[\w &amp;]*, (\d+\.\d+)"")),"""")
"),11.57)</f>
        <v>11.57</v>
      </c>
      <c r="Q53" s="2" t="n">
        <f aca="false">IFERROR(__xludf.dummyfunction("if($T53&lt;&gt;"""",VALUE(REGEXEXTRACT($T53, Q$1&amp;""[\w &amp;]*, (\d+\.\d+)"")),"""")
"),11.21)</f>
        <v>11.21</v>
      </c>
      <c r="R53" s="2" t="n">
        <f aca="false">IFERROR(__xludf.dummyfunction("if($T53&lt;&gt;"""",VALUE(REGEXEXTRACT($T53, SUBSTITUTE(R$1, ""+"", ""\+"")&amp;""[\w &amp;]*, (\d+\.\d+)"")),"""")"),13.09)</f>
        <v>13.09</v>
      </c>
      <c r="S53" s="2" t="n">
        <f aca="false">IFERROR(__xludf.dummyfunction("if($T53&lt;&gt;"""",VALUE(REGEXEXTRACT($T53, SUBSTITUTE(S$1, ""+"", ""\+"")&amp;""[\w &amp;]*, (\d+\.\d+)"")),"""")"),13.45)</f>
        <v>13.45</v>
      </c>
      <c r="T53" s="5" t="s">
        <v>274</v>
      </c>
    </row>
    <row r="54" customFormat="false" ht="15.75" hidden="false" customHeight="false" outlineLevel="0" collapsed="false">
      <c r="A54" s="4" t="n">
        <f aca="false">IFERROR(__xludf.dummyfunction("""COMPUTED_VALUE"""),45474.6361111111)</f>
        <v>45474.6361111111</v>
      </c>
      <c r="B54" s="2" t="n">
        <f aca="false">IFERROR(__xludf.dummyfunction("""COMPUTED_VALUE"""),12.98)</f>
        <v>12.98</v>
      </c>
      <c r="C54" s="2" t="n">
        <f aca="false">IFERROR(__xludf.dummyfunction("""COMPUTED_VALUE"""),13.26)</f>
        <v>13.26</v>
      </c>
      <c r="D54" s="2" t="n">
        <f aca="false">IFERROR(__xludf.dummyfunction("""COMPUTED_VALUE"""),12.1)</f>
        <v>12.1</v>
      </c>
      <c r="E54" s="2" t="n">
        <f aca="false">IFERROR(__xludf.dummyfunction("""COMPUTED_VALUE"""),12.22)</f>
        <v>12.22</v>
      </c>
      <c r="F54" s="3" t="n">
        <f aca="false">IFERROR(__xludf.dummyfunction("if($T54&lt;&gt;"""",VALUE(REGEXEXTRACT(SUBSTITUTE ($T54,F$1&amp;"" CE"",""""), F$1&amp;""[\w &amp;]*, (\d+\.\d+)"")),"""")
"),15)</f>
        <v>15</v>
      </c>
      <c r="G54" s="3" t="n">
        <f aca="false">IFERROR(__xludf.dummyfunction("if($T54&lt;&gt;"""",VALUE(REGEXEXTRACT($T54, G$1&amp;""[\w &amp;]*, (\d+\.\d+)"")),"""")
"),13.5)</f>
        <v>13.5</v>
      </c>
      <c r="H54" s="3" t="n">
        <f aca="false">IFERROR(__xludf.dummyfunction("if($T54&lt;&gt;"""",VALUE(REGEXEXTRACT($T54, H$1&amp;""[\w &amp;]*, (\d+\.\d+)"")),"""")
"),150)</f>
        <v>150</v>
      </c>
      <c r="I54" s="3" t="n">
        <f aca="false">IFERROR(__xludf.dummyfunction("if($T54&lt;&gt;"""",VALUE(REGEXEXTRACT(SUBSTITUTE ($T54,I$1&amp;"" CE"",""""), I$1&amp;""[\w &amp;]*, (\d+\.\d+)"")),"""")
"),14)</f>
        <v>14</v>
      </c>
      <c r="J54" s="3" t="n">
        <f aca="false">IFERROR(__xludf.dummyfunction("if($T54&lt;&gt;"""",VALUE(REGEXEXTRACT($T54, J$1&amp;""[\w &amp;]*, (\d+\.\d+)"")),"""")
"),13)</f>
        <v>13</v>
      </c>
      <c r="K54" s="3" t="n">
        <f aca="false">IFERROR(__xludf.dummyfunction("if($T54&lt;&gt;"""",VALUE(REGEXEXTRACT($T54, K$1&amp;""[\w &amp;]*, (\d+\.\d+)"")),"""")
"),15)</f>
        <v>15</v>
      </c>
      <c r="L54" s="3" t="n">
        <f aca="false">IFERROR(__xludf.dummyfunction("if($T54&lt;&gt;"""",VALUE(REGEXEXTRACT(SUBSTITUTE ($T54,L$1&amp;"" CE"",""""), L$1&amp;""[\w &amp;]*, (\d+\.\d+)"")),"""")
"),14.5)</f>
        <v>14.5</v>
      </c>
      <c r="M54" s="3" t="n">
        <f aca="false">IFERROR(__xludf.dummyfunction("if($T54&lt;&gt;"""",VALUE(REGEXEXTRACT($T54, M$1&amp;""[\w &amp;]*, (\d+\.\d+)"")),"""")
"),13)</f>
        <v>13</v>
      </c>
      <c r="N54" s="3" t="n">
        <f aca="false">IFERROR(__xludf.dummyfunction("if($T54&lt;&gt;"""",VALUE(REGEXEXTRACT(SUBSTITUTE ($T54,N$1&amp;"" CE"",""""), N$1&amp;""[\w &amp;]*, (\d+\.\d+)"")),"""")
"),15)</f>
        <v>15</v>
      </c>
      <c r="O54" s="3" t="n">
        <f aca="false">IFERROR(__xludf.dummyfunction("if($T54&lt;&gt;"""",VALUE(REGEXEXTRACT($T54, O$1&amp;""[\w &amp;]*, (\d+\.\d+)"")),"""")
"),13)</f>
        <v>13</v>
      </c>
      <c r="P54" s="2" t="n">
        <f aca="false">IFERROR(__xludf.dummyfunction("if($T54&lt;&gt;"""",VALUE(REGEXEXTRACT($T54, P$1&amp;""[\w &amp;]*, (\d+\.\d+)"")),"""")
"),12.27)</f>
        <v>12.27</v>
      </c>
      <c r="Q54" s="2" t="n">
        <f aca="false">IFERROR(__xludf.dummyfunction("if($T54&lt;&gt;"""",VALUE(REGEXEXTRACT($T54, Q$1&amp;""[\w &amp;]*, (\d+\.\d+)"")),"""")
"),11.65)</f>
        <v>11.65</v>
      </c>
      <c r="R54" s="2" t="n">
        <f aca="false">IFERROR(__xludf.dummyfunction("if($T54&lt;&gt;"""",VALUE(REGEXEXTRACT($T54, SUBSTITUTE(R$1, ""+"", ""\+"")&amp;""[\w &amp;]*, (\d+\.\d+)"")),"""")"),13.79)</f>
        <v>13.79</v>
      </c>
      <c r="S54" s="2" t="n">
        <f aca="false">IFERROR(__xludf.dummyfunction("if($T54&lt;&gt;"""",VALUE(REGEXEXTRACT($T54, SUBSTITUTE(S$1, ""+"", ""\+"")&amp;""[\w &amp;]*, (\d+\.\d+)"")),"""")"),14.41)</f>
        <v>14.41</v>
      </c>
      <c r="T54" s="5" t="s">
        <v>275</v>
      </c>
    </row>
    <row r="55" customFormat="false" ht="15.75" hidden="false" customHeight="false" outlineLevel="0" collapsed="false">
      <c r="A55" s="4" t="n">
        <f aca="false">IFERROR(__xludf.dummyfunction("""COMPUTED_VALUE"""),45475.6361111111)</f>
        <v>45475.6361111111</v>
      </c>
      <c r="B55" s="2" t="n">
        <f aca="false">IFERROR(__xludf.dummyfunction("""COMPUTED_VALUE"""),12.77)</f>
        <v>12.77</v>
      </c>
      <c r="C55" s="2" t="n">
        <f aca="false">IFERROR(__xludf.dummyfunction("""COMPUTED_VALUE"""),12.88)</f>
        <v>12.88</v>
      </c>
      <c r="D55" s="2" t="n">
        <f aca="false">IFERROR(__xludf.dummyfunction("""COMPUTED_VALUE"""),11.85)</f>
        <v>11.85</v>
      </c>
      <c r="E55" s="2" t="n">
        <f aca="false">IFERROR(__xludf.dummyfunction("""COMPUTED_VALUE"""),12.03)</f>
        <v>12.03</v>
      </c>
      <c r="F55" s="3" t="n">
        <f aca="false">IFERROR(__xludf.dummyfunction("if($T55&lt;&gt;"""",VALUE(REGEXEXTRACT(SUBSTITUTE ($T55,F$1&amp;"" CE"",""""), F$1&amp;""[\w &amp;]*, (\d+\.\d+)"")),"""")
"),15)</f>
        <v>15</v>
      </c>
      <c r="G55" s="3" t="n">
        <f aca="false">IFERROR(__xludf.dummyfunction("if($T55&lt;&gt;"""",VALUE(REGEXEXTRACT($T55, G$1&amp;""[\w &amp;]*, (\d+\.\d+)"")),"""")
"),13.5)</f>
        <v>13.5</v>
      </c>
      <c r="H55" s="3" t="n">
        <f aca="false">IFERROR(__xludf.dummyfunction("if($T55&lt;&gt;"""",VALUE(REGEXEXTRACT($T55, H$1&amp;""[\w &amp;]*, (\d+\.\d+)"")),"""")
"),150)</f>
        <v>150</v>
      </c>
      <c r="I55" s="3" t="n">
        <f aca="false">IFERROR(__xludf.dummyfunction("if($T55&lt;&gt;"""",VALUE(REGEXEXTRACT(SUBSTITUTE ($T55,I$1&amp;"" CE"",""""), I$1&amp;""[\w &amp;]*, (\d+\.\d+)"")),"""")
"),14)</f>
        <v>14</v>
      </c>
      <c r="J55" s="3" t="n">
        <f aca="false">IFERROR(__xludf.dummyfunction("if($T55&lt;&gt;"""",VALUE(REGEXEXTRACT($T55, J$1&amp;""[\w &amp;]*, (\d+\.\d+)"")),"""")
"),13)</f>
        <v>13</v>
      </c>
      <c r="K55" s="3" t="n">
        <f aca="false">IFERROR(__xludf.dummyfunction("if($T55&lt;&gt;"""",VALUE(REGEXEXTRACT($T55, K$1&amp;""[\w &amp;]*, (\d+\.\d+)"")),"""")
"),15)</f>
        <v>15</v>
      </c>
      <c r="L55" s="3" t="n">
        <f aca="false">IFERROR(__xludf.dummyfunction("if($T55&lt;&gt;"""",VALUE(REGEXEXTRACT(SUBSTITUTE ($T55,L$1&amp;"" CE"",""""), L$1&amp;""[\w &amp;]*, (\d+\.\d+)"")),"""")
"),14.5)</f>
        <v>14.5</v>
      </c>
      <c r="M55" s="3" t="n">
        <f aca="false">IFERROR(__xludf.dummyfunction("if($T55&lt;&gt;"""",VALUE(REGEXEXTRACT($T55, M$1&amp;""[\w &amp;]*, (\d+\.\d+)"")),"""")
"),13)</f>
        <v>13</v>
      </c>
      <c r="N55" s="3" t="n">
        <f aca="false">IFERROR(__xludf.dummyfunction("if($T55&lt;&gt;"""",VALUE(REGEXEXTRACT(SUBSTITUTE ($T55,N$1&amp;"" CE"",""""), N$1&amp;""[\w &amp;]*, (\d+\.\d+)"")),"""")
"),15)</f>
        <v>15</v>
      </c>
      <c r="O55" s="3" t="n">
        <f aca="false">IFERROR(__xludf.dummyfunction("if($T55&lt;&gt;"""",VALUE(REGEXEXTRACT($T55, O$1&amp;""[\w &amp;]*, (\d+\.\d+)"")),"""")
"),13)</f>
        <v>13</v>
      </c>
      <c r="P55" s="2" t="n">
        <f aca="false">IFERROR(__xludf.dummyfunction("if($T55&lt;&gt;"""",VALUE(REGEXEXTRACT($T55, P$1&amp;""[\w &amp;]*, (\d+\.\d+)"")),"""")
"),12.16)</f>
        <v>12.16</v>
      </c>
      <c r="Q55" s="2" t="n">
        <f aca="false">IFERROR(__xludf.dummyfunction("if($T55&lt;&gt;"""",VALUE(REGEXEXTRACT($T55, Q$1&amp;""[\w &amp;]*, (\d+\.\d+)"")),"""")
"),11.62)</f>
        <v>11.62</v>
      </c>
      <c r="R55" s="2" t="n">
        <f aca="false">IFERROR(__xludf.dummyfunction("if($T55&lt;&gt;"""",VALUE(REGEXEXTRACT($T55, SUBSTITUTE(R$1, ""+"", ""\+"")&amp;""[\w &amp;]*, (\d+\.\d+)"")),"""")"),13.14)</f>
        <v>13.14</v>
      </c>
      <c r="S55" s="2" t="n">
        <f aca="false">IFERROR(__xludf.dummyfunction("if($T55&lt;&gt;"""",VALUE(REGEXEXTRACT($T55, SUBSTITUTE(S$1, ""+"", ""\+"")&amp;""[\w &amp;]*, (\d+\.\d+)"")),"""")"),13.68)</f>
        <v>13.68</v>
      </c>
      <c r="T55" s="5" t="s">
        <v>276</v>
      </c>
    </row>
    <row r="56" customFormat="false" ht="15.75" hidden="false" customHeight="false" outlineLevel="0" collapsed="false">
      <c r="A56" s="4" t="n">
        <f aca="false">IFERROR(__xludf.dummyfunction("""COMPUTED_VALUE"""),45476.5416666667)</f>
        <v>45476.5416666667</v>
      </c>
      <c r="B56" s="2" t="n">
        <f aca="false">IFERROR(__xludf.dummyfunction("""COMPUTED_VALUE"""),12.13)</f>
        <v>12.13</v>
      </c>
      <c r="C56" s="2" t="n">
        <f aca="false">IFERROR(__xludf.dummyfunction("""COMPUTED_VALUE"""),12.23)</f>
        <v>12.23</v>
      </c>
      <c r="D56" s="2" t="n">
        <f aca="false">IFERROR(__xludf.dummyfunction("""COMPUTED_VALUE"""),11.95)</f>
        <v>11.95</v>
      </c>
      <c r="E56" s="2" t="n">
        <f aca="false">IFERROR(__xludf.dummyfunction("""COMPUTED_VALUE"""),12.09)</f>
        <v>12.09</v>
      </c>
      <c r="F56" s="3" t="n">
        <f aca="false">IFERROR(__xludf.dummyfunction("if($T56&lt;&gt;"""",VALUE(REGEXEXTRACT(SUBSTITUTE ($T56,F$1&amp;"" CE"",""""), F$1&amp;""[\w &amp;]*, (\d+\.\d+)"")),"""")
"),15)</f>
        <v>15</v>
      </c>
      <c r="G56" s="3" t="n">
        <f aca="false">IFERROR(__xludf.dummyfunction("if($T56&lt;&gt;"""",VALUE(REGEXEXTRACT($T56, G$1&amp;""[\w &amp;]*, (\d+\.\d+)"")),"""")
"),12.5)</f>
        <v>12.5</v>
      </c>
      <c r="H56" s="3" t="n">
        <f aca="false">IFERROR(__xludf.dummyfunction("if($T56&lt;&gt;"""",VALUE(REGEXEXTRACT($T56, H$1&amp;""[\w &amp;]*, (\d+\.\d+)"")),"""")
"),11.5)</f>
        <v>11.5</v>
      </c>
      <c r="I56" s="3" t="n">
        <f aca="false">IFERROR(__xludf.dummyfunction("if($T56&lt;&gt;"""",VALUE(REGEXEXTRACT(SUBSTITUTE ($T56,I$1&amp;"" CE"",""""), I$1&amp;""[\w &amp;]*, (\d+\.\d+)"")),"""")
"),13.5)</f>
        <v>13.5</v>
      </c>
      <c r="J56" s="3" t="n">
        <f aca="false">IFERROR(__xludf.dummyfunction("if($T56&lt;&gt;"""",VALUE(REGEXEXTRACT($T56, J$1&amp;""[\w &amp;]*, (\d+\.\d+)"")),"""")
"),13)</f>
        <v>13</v>
      </c>
      <c r="K56" s="3" t="n">
        <f aca="false">IFERROR(__xludf.dummyfunction("if($T56&lt;&gt;"""",VALUE(REGEXEXTRACT($T56, K$1&amp;""[\w &amp;]*, (\d+\.\d+)"")),"""")
"),11)</f>
        <v>11</v>
      </c>
      <c r="L56" s="3" t="n">
        <f aca="false">IFERROR(__xludf.dummyfunction("if($T56&lt;&gt;"""",VALUE(REGEXEXTRACT(SUBSTITUTE ($T56,L$1&amp;"" CE"",""""), L$1&amp;""[\w &amp;]*, (\d+\.\d+)"")),"""")
"),14)</f>
        <v>14</v>
      </c>
      <c r="M56" s="3" t="n">
        <f aca="false">IFERROR(__xludf.dummyfunction("if($T56&lt;&gt;"""",VALUE(REGEXEXTRACT($T56, M$1&amp;""[\w &amp;]*, (\d+\.\d+)"")),"""")
"),11.5)</f>
        <v>11.5</v>
      </c>
      <c r="N56" s="3" t="n">
        <f aca="false">IFERROR(__xludf.dummyfunction("if($T56&lt;&gt;"""",VALUE(REGEXEXTRACT(SUBSTITUTE ($T56,N$1&amp;"" CE"",""""), N$1&amp;""[\w &amp;]*, (\d+\.\d+)"")),"""")
"),15)</f>
        <v>15</v>
      </c>
      <c r="O56" s="3" t="n">
        <f aca="false">IFERROR(__xludf.dummyfunction("if($T56&lt;&gt;"""",VALUE(REGEXEXTRACT($T56, O$1&amp;""[\w &amp;]*, (\d+\.\d+)"")),"""")
"),12.5)</f>
        <v>12.5</v>
      </c>
      <c r="P56" s="2" t="n">
        <f aca="false">IFERROR(__xludf.dummyfunction("if($T56&lt;&gt;"""",VALUE(REGEXEXTRACT($T56, P$1&amp;""[\w &amp;]*, (\d+\.\d+)"")),"""")
"),11.93)</f>
        <v>11.93</v>
      </c>
      <c r="Q56" s="2" t="n">
        <f aca="false">IFERROR(__xludf.dummyfunction("if($T56&lt;&gt;"""",VALUE(REGEXEXTRACT($T56, Q$1&amp;""[\w &amp;]*, (\d+\.\d+)"")),"""")
"),11.55)</f>
        <v>11.55</v>
      </c>
      <c r="R56" s="2" t="n">
        <f aca="false">IFERROR(__xludf.dummyfunction("if($T56&lt;&gt;"""",VALUE(REGEXEXTRACT($T56, SUBSTITUTE(R$1, ""+"", ""\+"")&amp;""[\w &amp;]*, (\d+\.\d+)"")),"""")"),12.35)</f>
        <v>12.35</v>
      </c>
      <c r="S56" s="2" t="n">
        <f aca="false">IFERROR(__xludf.dummyfunction("if($T56&lt;&gt;"""",VALUE(REGEXEXTRACT($T56, SUBSTITUTE(S$1, ""+"", ""\+"")&amp;""[\w &amp;]*, (\d+\.\d+)"")),"""")"),12.73)</f>
        <v>12.73</v>
      </c>
      <c r="T56" s="5" t="s">
        <v>277</v>
      </c>
    </row>
    <row r="57" customFormat="false" ht="15.75" hidden="false" customHeight="false" outlineLevel="0" collapsed="false">
      <c r="A57" s="4" t="n">
        <f aca="false">IFERROR(__xludf.dummyfunction("""COMPUTED_VALUE"""),45478.6361111111)</f>
        <v>45478.6361111111</v>
      </c>
      <c r="B57" s="2" t="n">
        <f aca="false">IFERROR(__xludf.dummyfunction("""COMPUTED_VALUE"""),12.44)</f>
        <v>12.44</v>
      </c>
      <c r="C57" s="2" t="n">
        <f aca="false">IFERROR(__xludf.dummyfunction("""COMPUTED_VALUE"""),12.61)</f>
        <v>12.61</v>
      </c>
      <c r="D57" s="2" t="n">
        <f aca="false">IFERROR(__xludf.dummyfunction("""COMPUTED_VALUE"""),11.84)</f>
        <v>11.84</v>
      </c>
      <c r="E57" s="2" t="n">
        <f aca="false">IFERROR(__xludf.dummyfunction("""COMPUTED_VALUE"""),12.48)</f>
        <v>12.48</v>
      </c>
      <c r="F57" s="3" t="n">
        <f aca="false">IFERROR(__xludf.dummyfunction("if($T57&lt;&gt;"""",VALUE(REGEXEXTRACT(SUBSTITUTE ($T57,F$1&amp;"" CE"",""""), F$1&amp;""[\w &amp;]*, (\d+\.\d+)"")),"""")
"),15)</f>
        <v>15</v>
      </c>
      <c r="G57" s="3" t="n">
        <f aca="false">IFERROR(__xludf.dummyfunction("if($T57&lt;&gt;"""",VALUE(REGEXEXTRACT($T57, G$1&amp;""[\w &amp;]*, (\d+\.\d+)"")),"""")
"),14)</f>
        <v>14</v>
      </c>
      <c r="H57" s="3" t="str">
        <f aca="false">IFERROR(__xludf.dummyfunction("if($T57&lt;&gt;"""",VALUE(REGEXEXTRACT($T57, H$1&amp;""[\w &amp;]*, (\d+\.\d+)"")),"""")
"),"#N/A")</f>
        <v>#N/A</v>
      </c>
      <c r="I57" s="3" t="n">
        <f aca="false">IFERROR(__xludf.dummyfunction("if($T57&lt;&gt;"""",VALUE(REGEXEXTRACT(SUBSTITUTE ($T57,I$1&amp;"" CE"",""""), I$1&amp;""[\w &amp;]*, (\d+\.\d+)"")),"""")
"),13.5)</f>
        <v>13.5</v>
      </c>
      <c r="J57" s="3" t="n">
        <f aca="false">IFERROR(__xludf.dummyfunction("if($T57&lt;&gt;"""",VALUE(REGEXEXTRACT($T57, J$1&amp;""[\w &amp;]*, (\d+\.\d+)"")),"""")
"),12.5)</f>
        <v>12.5</v>
      </c>
      <c r="K57" s="3" t="n">
        <f aca="false">IFERROR(__xludf.dummyfunction("if($T57&lt;&gt;"""",VALUE(REGEXEXTRACT($T57, K$1&amp;""[\w &amp;]*, (\d+\.\d+)"")),"""")
"),11)</f>
        <v>11</v>
      </c>
      <c r="L57" s="3" t="n">
        <f aca="false">IFERROR(__xludf.dummyfunction("if($T57&lt;&gt;"""",VALUE(REGEXEXTRACT(SUBSTITUTE ($T57,L$1&amp;"" CE"",""""), L$1&amp;""[\w &amp;]*, (\d+\.\d+)"")),"""")
"),14.5)</f>
        <v>14.5</v>
      </c>
      <c r="M57" s="3" t="n">
        <f aca="false">IFERROR(__xludf.dummyfunction("if($T57&lt;&gt;"""",VALUE(REGEXEXTRACT($T57, M$1&amp;""[\w &amp;]*, (\d+\.\d+)"")),"""")
"),12.5)</f>
        <v>12.5</v>
      </c>
      <c r="N57" s="3" t="n">
        <f aca="false">IFERROR(__xludf.dummyfunction("if($T57&lt;&gt;"""",VALUE(REGEXEXTRACT(SUBSTITUTE ($T57,N$1&amp;"" CE"",""""), N$1&amp;""[\w &amp;]*, (\d+\.\d+)"")),"""")
"),15)</f>
        <v>15</v>
      </c>
      <c r="O57" s="3" t="n">
        <f aca="false">IFERROR(__xludf.dummyfunction("if($T57&lt;&gt;"""",VALUE(REGEXEXTRACT($T57, O$1&amp;""[\w &amp;]*, (\d+\.\d+)"")),"""")
"),12.5)</f>
        <v>12.5</v>
      </c>
      <c r="P57" s="2" t="n">
        <f aca="false">IFERROR(__xludf.dummyfunction("if($T57&lt;&gt;"""",VALUE(REGEXEXTRACT($T57, P$1&amp;""[\w &amp;]*, (\d+\.\d+)"")),"""")
"),11.47)</f>
        <v>11.47</v>
      </c>
      <c r="Q57" s="2" t="n">
        <f aca="false">IFERROR(__xludf.dummyfunction("if($T57&lt;&gt;"""",VALUE(REGEXEXTRACT($T57, Q$1&amp;""[\w &amp;]*, (\d+\.\d+)"")),"""")
"),11.11)</f>
        <v>11.11</v>
      </c>
      <c r="R57" s="2" t="n">
        <f aca="false">IFERROR(__xludf.dummyfunction("if($T57&lt;&gt;"""",VALUE(REGEXEXTRACT($T57, SUBSTITUTE(R$1, ""+"", ""\+"")&amp;""[\w &amp;]*, (\d+\.\d+)"")),"""")"),12.99)</f>
        <v>12.99</v>
      </c>
      <c r="S57" s="2" t="n">
        <f aca="false">IFERROR(__xludf.dummyfunction("if($T57&lt;&gt;"""",VALUE(REGEXEXTRACT($T57, SUBSTITUTE(S$1, ""+"", ""\+"")&amp;""[\w &amp;]*, (\d+\.\d+)"")),"""")"),13.35)</f>
        <v>13.35</v>
      </c>
      <c r="T57" s="5" t="s">
        <v>278</v>
      </c>
    </row>
    <row r="58" customFormat="false" ht="15.75" hidden="false" customHeight="false" outlineLevel="0" collapsed="false">
      <c r="A58" s="4" t="n">
        <f aca="false">IFERROR(__xludf.dummyfunction("""COMPUTED_VALUE"""),45481.6361111111)</f>
        <v>45481.6361111111</v>
      </c>
      <c r="B58" s="2" t="n">
        <f aca="false">IFERROR(__xludf.dummyfunction("""COMPUTED_VALUE"""),12.91)</f>
        <v>12.91</v>
      </c>
      <c r="C58" s="2" t="n">
        <f aca="false">IFERROR(__xludf.dummyfunction("""COMPUTED_VALUE"""),12.91)</f>
        <v>12.91</v>
      </c>
      <c r="D58" s="2" t="n">
        <f aca="false">IFERROR(__xludf.dummyfunction("""COMPUTED_VALUE"""),12.31)</f>
        <v>12.31</v>
      </c>
      <c r="E58" s="2" t="n">
        <f aca="false">IFERROR(__xludf.dummyfunction("""COMPUTED_VALUE"""),12.37)</f>
        <v>12.37</v>
      </c>
      <c r="F58" s="3" t="n">
        <f aca="false">IFERROR(__xludf.dummyfunction("if($T58&lt;&gt;"""",VALUE(REGEXEXTRACT(SUBSTITUTE ($T58,F$1&amp;"" CE"",""""), F$1&amp;""[\w &amp;]*, (\d+\.\d+)"")),"""")
"),15)</f>
        <v>15</v>
      </c>
      <c r="G58" s="3" t="n">
        <f aca="false">IFERROR(__xludf.dummyfunction("if($T58&lt;&gt;"""",VALUE(REGEXEXTRACT($T58, G$1&amp;""[\w &amp;]*, (\d+\.\d+)"")),"""")
"),14)</f>
        <v>14</v>
      </c>
      <c r="H58" s="3" t="str">
        <f aca="false">IFERROR(__xludf.dummyfunction("if($T58&lt;&gt;"""",VALUE(REGEXEXTRACT($T58, H$1&amp;""[\w &amp;]*, (\d+\.\d+)"")),"""")
"),"#N/A")</f>
        <v>#N/A</v>
      </c>
      <c r="I58" s="3" t="n">
        <f aca="false">IFERROR(__xludf.dummyfunction("if($T58&lt;&gt;"""",VALUE(REGEXEXTRACT(SUBSTITUTE ($T58,I$1&amp;"" CE"",""""), I$1&amp;""[\w &amp;]*, (\d+\.\d+)"")),"""")
"),13)</f>
        <v>13</v>
      </c>
      <c r="J58" s="3" t="n">
        <f aca="false">IFERROR(__xludf.dummyfunction("if($T58&lt;&gt;"""",VALUE(REGEXEXTRACT($T58, J$1&amp;""[\w &amp;]*, (\d+\.\d+)"")),"""")
"),12.5)</f>
        <v>12.5</v>
      </c>
      <c r="K58" s="3" t="n">
        <f aca="false">IFERROR(__xludf.dummyfunction("if($T58&lt;&gt;"""",VALUE(REGEXEXTRACT($T58, K$1&amp;""[\w &amp;]*, (\d+\.\d+)"")),"""")
"),11)</f>
        <v>11</v>
      </c>
      <c r="L58" s="3" t="n">
        <f aca="false">IFERROR(__xludf.dummyfunction("if($T58&lt;&gt;"""",VALUE(REGEXEXTRACT(SUBSTITUTE ($T58,L$1&amp;"" CE"",""""), L$1&amp;""[\w &amp;]*, (\d+\.\d+)"")),"""")
"),14.5)</f>
        <v>14.5</v>
      </c>
      <c r="M58" s="3" t="n">
        <f aca="false">IFERROR(__xludf.dummyfunction("if($T58&lt;&gt;"""",VALUE(REGEXEXTRACT($T58, M$1&amp;""[\w &amp;]*, (\d+\.\d+)"")),"""")
"),12.5)</f>
        <v>12.5</v>
      </c>
      <c r="N58" s="3" t="n">
        <f aca="false">IFERROR(__xludf.dummyfunction("if($T58&lt;&gt;"""",VALUE(REGEXEXTRACT(SUBSTITUTE ($T58,N$1&amp;"" CE"",""""), N$1&amp;""[\w &amp;]*, (\d+\.\d+)"")),"""")
"),15)</f>
        <v>15</v>
      </c>
      <c r="O58" s="3" t="n">
        <f aca="false">IFERROR(__xludf.dummyfunction("if($T58&lt;&gt;"""",VALUE(REGEXEXTRACT($T58, O$1&amp;""[\w &amp;]*, (\d+\.\d+)"")),"""")
"),12.5)</f>
        <v>12.5</v>
      </c>
      <c r="P58" s="2" t="n">
        <f aca="false">IFERROR(__xludf.dummyfunction("if($T58&lt;&gt;"""",VALUE(REGEXEXTRACT($T58, P$1&amp;""[\w &amp;]*, (\d+\.\d+)"")),"""")
"),12.1)</f>
        <v>12.1</v>
      </c>
      <c r="Q58" s="2" t="n">
        <f aca="false">IFERROR(__xludf.dummyfunction("if($T58&lt;&gt;"""",VALUE(REGEXEXTRACT($T58, Q$1&amp;""[\w &amp;]*, (\d+\.\d+)"")),"""")
"),11.68)</f>
        <v>11.68</v>
      </c>
      <c r="R58" s="2" t="n">
        <f aca="false">IFERROR(__xludf.dummyfunction("if($T58&lt;&gt;"""",VALUE(REGEXEXTRACT($T58, SUBSTITUTE(R$1, ""+"", ""\+"")&amp;""[\w &amp;]*, (\d+\.\d+)"")),"""")"),13.14)</f>
        <v>13.14</v>
      </c>
      <c r="S58" s="2" t="n">
        <f aca="false">IFERROR(__xludf.dummyfunction("if($T58&lt;&gt;"""",VALUE(REGEXEXTRACT($T58, SUBSTITUTE(S$1, ""+"", ""\+"")&amp;""[\w &amp;]*, (\d+\.\d+)"")),"""")"),13.56)</f>
        <v>13.56</v>
      </c>
      <c r="T58" s="5" t="s">
        <v>279</v>
      </c>
    </row>
    <row r="59" customFormat="false" ht="15.75" hidden="false" customHeight="false" outlineLevel="0" collapsed="false">
      <c r="A59" s="4" t="n">
        <f aca="false">IFERROR(__xludf.dummyfunction("""COMPUTED_VALUE"""),45482.6361111111)</f>
        <v>45482.6361111111</v>
      </c>
      <c r="B59" s="2" t="n">
        <f aca="false">IFERROR(__xludf.dummyfunction("""COMPUTED_VALUE"""),12.49)</f>
        <v>12.49</v>
      </c>
      <c r="C59" s="2" t="n">
        <f aca="false">IFERROR(__xludf.dummyfunction("""COMPUTED_VALUE"""),12.61)</f>
        <v>12.61</v>
      </c>
      <c r="D59" s="2" t="n">
        <f aca="false">IFERROR(__xludf.dummyfunction("""COMPUTED_VALUE"""),12.35)</f>
        <v>12.35</v>
      </c>
      <c r="E59" s="2" t="n">
        <f aca="false">IFERROR(__xludf.dummyfunction("""COMPUTED_VALUE"""),12.51)</f>
        <v>12.51</v>
      </c>
      <c r="F59" s="3" t="n">
        <f aca="false">IFERROR(__xludf.dummyfunction("if($T59&lt;&gt;"""",VALUE(REGEXEXTRACT(SUBSTITUTE ($T59,F$1&amp;"" CE"",""""), F$1&amp;""[\w &amp;]*, (\d+\.\d+)"")),"""")
"),15)</f>
        <v>15</v>
      </c>
      <c r="G59" s="3" t="n">
        <f aca="false">IFERROR(__xludf.dummyfunction("if($T59&lt;&gt;"""",VALUE(REGEXEXTRACT($T59, G$1&amp;""[\w &amp;]*, (\d+\.\d+)"")),"""")
"),13)</f>
        <v>13</v>
      </c>
      <c r="H59" s="3" t="str">
        <f aca="false">IFERROR(__xludf.dummyfunction("if($T59&lt;&gt;"""",VALUE(REGEXEXTRACT($T59, H$1&amp;""[\w &amp;]*, (\d+\.\d+)"")),"""")
"),"#N/A")</f>
        <v>#N/A</v>
      </c>
      <c r="I59" s="3" t="n">
        <f aca="false">IFERROR(__xludf.dummyfunction("if($T59&lt;&gt;"""",VALUE(REGEXEXTRACT(SUBSTITUTE ($T59,I$1&amp;"" CE"",""""), I$1&amp;""[\w &amp;]*, (\d+\.\d+)"")),"""")
"),13)</f>
        <v>13</v>
      </c>
      <c r="J59" s="3" t="n">
        <f aca="false">IFERROR(__xludf.dummyfunction("if($T59&lt;&gt;"""",VALUE(REGEXEXTRACT($T59, J$1&amp;""[\w &amp;]*, (\d+\.\d+)"")),"""")
"),12.5)</f>
        <v>12.5</v>
      </c>
      <c r="K59" s="3" t="n">
        <f aca="false">IFERROR(__xludf.dummyfunction("if($T59&lt;&gt;"""",VALUE(REGEXEXTRACT($T59, K$1&amp;""[\w &amp;]*, (\d+\.\d+)"")),"""")
"),11)</f>
        <v>11</v>
      </c>
      <c r="L59" s="3" t="n">
        <f aca="false">IFERROR(__xludf.dummyfunction("if($T59&lt;&gt;"""",VALUE(REGEXEXTRACT(SUBSTITUTE ($T59,L$1&amp;"" CE"",""""), L$1&amp;""[\w &amp;]*, (\d+\.\d+)"")),"""")
"),14)</f>
        <v>14</v>
      </c>
      <c r="M59" s="3" t="n">
        <f aca="false">IFERROR(__xludf.dummyfunction("if($T59&lt;&gt;"""",VALUE(REGEXEXTRACT($T59, M$1&amp;""[\w &amp;]*, (\d+\.\d+)"")),"""")
"),12.5)</f>
        <v>12.5</v>
      </c>
      <c r="N59" s="3" t="n">
        <f aca="false">IFERROR(__xludf.dummyfunction("if($T59&lt;&gt;"""",VALUE(REGEXEXTRACT(SUBSTITUTE ($T59,N$1&amp;"" CE"",""""), N$1&amp;""[\w &amp;]*, (\d+\.\d+)"")),"""")
"),15)</f>
        <v>15</v>
      </c>
      <c r="O59" s="3" t="n">
        <f aca="false">IFERROR(__xludf.dummyfunction("if($T59&lt;&gt;"""",VALUE(REGEXEXTRACT($T59, O$1&amp;""[\w &amp;]*, (\d+\.\d+)"")),"""")
"),12.5)</f>
        <v>12.5</v>
      </c>
      <c r="P59" s="2" t="n">
        <f aca="false">IFERROR(__xludf.dummyfunction("if($T59&lt;&gt;"""",VALUE(REGEXEXTRACT($T59, P$1&amp;""[\w &amp;]*, (\d+\.\d+)"")),"""")
"),12.04)</f>
        <v>12.04</v>
      </c>
      <c r="Q59" s="2" t="n">
        <f aca="false">IFERROR(__xludf.dummyfunction("if($T59&lt;&gt;"""",VALUE(REGEXEXTRACT($T59, Q$1&amp;""[\w &amp;]*, (\d+\.\d+)"")),"""")
"),11.55)</f>
        <v>11.55</v>
      </c>
      <c r="R59" s="2" t="n">
        <f aca="false">IFERROR(__xludf.dummyfunction("if($T59&lt;&gt;"""",VALUE(REGEXEXTRACT($T59, SUBSTITUTE(R$1, ""+"", ""\+"")&amp;""[\w &amp;]*, (\d+\.\d+)"")),"""")"),12.92)</f>
        <v>12.92</v>
      </c>
      <c r="S59" s="2" t="n">
        <f aca="false">IFERROR(__xludf.dummyfunction("if($T59&lt;&gt;"""",VALUE(REGEXEXTRACT($T59, SUBSTITUTE(S$1, ""+"", ""\+"")&amp;""[\w &amp;]*, (\d+\.\d+)"")),"""")"),13.41)</f>
        <v>13.41</v>
      </c>
      <c r="T59" s="5" t="s">
        <v>280</v>
      </c>
    </row>
    <row r="60" customFormat="false" ht="15.75" hidden="false" customHeight="false" outlineLevel="0" collapsed="false">
      <c r="A60" s="4" t="n">
        <f aca="false">IFERROR(__xludf.dummyfunction("""COMPUTED_VALUE"""),45483.6361111111)</f>
        <v>45483.6361111111</v>
      </c>
      <c r="B60" s="2" t="n">
        <f aca="false">IFERROR(__xludf.dummyfunction("""COMPUTED_VALUE"""),12.43)</f>
        <v>12.43</v>
      </c>
      <c r="C60" s="2" t="n">
        <f aca="false">IFERROR(__xludf.dummyfunction("""COMPUTED_VALUE"""),12.92)</f>
        <v>12.92</v>
      </c>
      <c r="D60" s="2" t="n">
        <f aca="false">IFERROR(__xludf.dummyfunction("""COMPUTED_VALUE"""),12.39)</f>
        <v>12.39</v>
      </c>
      <c r="E60" s="2" t="n">
        <f aca="false">IFERROR(__xludf.dummyfunction("""COMPUTED_VALUE"""),12.85)</f>
        <v>12.85</v>
      </c>
      <c r="F60" s="3" t="n">
        <f aca="false">IFERROR(__xludf.dummyfunction("if($T60&lt;&gt;"""",VALUE(REGEXEXTRACT(SUBSTITUTE ($T60,F$1&amp;"" CE"",""""), F$1&amp;""[\w &amp;]*, (\d+\.\d+)"")),"""")
"),15)</f>
        <v>15</v>
      </c>
      <c r="G60" s="3" t="n">
        <f aca="false">IFERROR(__xludf.dummyfunction("if($T60&lt;&gt;"""",VALUE(REGEXEXTRACT($T60, G$1&amp;""[\w &amp;]*, (\d+\.\d+)"")),"""")
"),13)</f>
        <v>13</v>
      </c>
      <c r="H60" s="3" t="str">
        <f aca="false">IFERROR(__xludf.dummyfunction("if($T60&lt;&gt;"""",VALUE(REGEXEXTRACT($T60, H$1&amp;""[\w &amp;]*, (\d+\.\d+)"")),"""")
"),"#N/A")</f>
        <v>#N/A</v>
      </c>
      <c r="I60" s="3" t="n">
        <f aca="false">IFERROR(__xludf.dummyfunction("if($T60&lt;&gt;"""",VALUE(REGEXEXTRACT(SUBSTITUTE ($T60,I$1&amp;"" CE"",""""), I$1&amp;""[\w &amp;]*, (\d+\.\d+)"")),"""")
"),13)</f>
        <v>13</v>
      </c>
      <c r="J60" s="3" t="n">
        <f aca="false">IFERROR(__xludf.dummyfunction("if($T60&lt;&gt;"""",VALUE(REGEXEXTRACT($T60, J$1&amp;""[\w &amp;]*, (\d+\.\d+)"")),"""")
"),12.5)</f>
        <v>12.5</v>
      </c>
      <c r="K60" s="3" t="n">
        <f aca="false">IFERROR(__xludf.dummyfunction("if($T60&lt;&gt;"""",VALUE(REGEXEXTRACT($T60, K$1&amp;""[\w &amp;]*, (\d+\.\d+)"")),"""")
"),11)</f>
        <v>11</v>
      </c>
      <c r="L60" s="3" t="n">
        <f aca="false">IFERROR(__xludf.dummyfunction("if($T60&lt;&gt;"""",VALUE(REGEXEXTRACT(SUBSTITUTE ($T60,L$1&amp;"" CE"",""""), L$1&amp;""[\w &amp;]*, (\d+\.\d+)"")),"""")
"),14)</f>
        <v>14</v>
      </c>
      <c r="M60" s="3" t="n">
        <f aca="false">IFERROR(__xludf.dummyfunction("if($T60&lt;&gt;"""",VALUE(REGEXEXTRACT($T60, M$1&amp;""[\w &amp;]*, (\d+\.\d+)"")),"""")
"),12.5)</f>
        <v>12.5</v>
      </c>
      <c r="N60" s="3" t="n">
        <f aca="false">IFERROR(__xludf.dummyfunction("if($T60&lt;&gt;"""",VALUE(REGEXEXTRACT(SUBSTITUTE ($T60,N$1&amp;"" CE"",""""), N$1&amp;""[\w &amp;]*, (\d+\.\d+)"")),"""")
"),13)</f>
        <v>13</v>
      </c>
      <c r="O60" s="3" t="n">
        <f aca="false">IFERROR(__xludf.dummyfunction("if($T60&lt;&gt;"""",VALUE(REGEXEXTRACT($T60, O$1&amp;""[\w &amp;]*, (\d+\.\d+)"")),"""")
"),12.5)</f>
        <v>12.5</v>
      </c>
      <c r="P60" s="2" t="n">
        <f aca="false">IFERROR(__xludf.dummyfunction("if($T60&lt;&gt;"""",VALUE(REGEXEXTRACT($T60, P$1&amp;""[\w &amp;]*, (\d+\.\d+)"")),"""")
"),12.17)</f>
        <v>12.17</v>
      </c>
      <c r="Q60" s="2" t="n">
        <f aca="false">IFERROR(__xludf.dummyfunction("if($T60&lt;&gt;"""",VALUE(REGEXEXTRACT($T60, Q$1&amp;""[\w &amp;]*, (\d+\.\d+)"")),"""")
"),11.66)</f>
        <v>11.66</v>
      </c>
      <c r="R60" s="2" t="n">
        <f aca="false">IFERROR(__xludf.dummyfunction("if($T60&lt;&gt;"""",VALUE(REGEXEXTRACT($T60, SUBSTITUTE(R$1, ""+"", ""\+"")&amp;""[\w &amp;]*, (\d+\.\d+)"")),"""")"),12.73)</f>
        <v>12.73</v>
      </c>
      <c r="S60" s="2" t="n">
        <f aca="false">IFERROR(__xludf.dummyfunction("if($T60&lt;&gt;"""",VALUE(REGEXEXTRACT($T60, SUBSTITUTE(S$1, ""+"", ""\+"")&amp;""[\w &amp;]*, (\d+\.\d+)"")),"""")"),13.24)</f>
        <v>13.24</v>
      </c>
      <c r="T60" s="5" t="s">
        <v>281</v>
      </c>
    </row>
    <row r="61" customFormat="false" ht="15.75" hidden="false" customHeight="false" outlineLevel="0" collapsed="false">
      <c r="A61" s="4" t="n">
        <f aca="false">IFERROR(__xludf.dummyfunction("""COMPUTED_VALUE"""),45484.6361111111)</f>
        <v>45484.6361111111</v>
      </c>
      <c r="B61" s="2" t="n">
        <f aca="false">IFERROR(__xludf.dummyfunction("""COMPUTED_VALUE"""),12.97)</f>
        <v>12.97</v>
      </c>
      <c r="C61" s="2" t="n">
        <f aca="false">IFERROR(__xludf.dummyfunction("""COMPUTED_VALUE"""),13.33)</f>
        <v>13.33</v>
      </c>
      <c r="D61" s="2" t="n">
        <f aca="false">IFERROR(__xludf.dummyfunction("""COMPUTED_VALUE"""),12.23)</f>
        <v>12.23</v>
      </c>
      <c r="E61" s="2" t="n">
        <f aca="false">IFERROR(__xludf.dummyfunction("""COMPUTED_VALUE"""),12.92)</f>
        <v>12.92</v>
      </c>
      <c r="F61" s="3" t="n">
        <f aca="false">IFERROR(__xludf.dummyfunction("if($T61&lt;&gt;"""",VALUE(REGEXEXTRACT(SUBSTITUTE ($T61,F$1&amp;"" CE"",""""), F$1&amp;""[\w &amp;]*, (\d+\.\d+)"")),"""")
"),13)</f>
        <v>13</v>
      </c>
      <c r="G61" s="3" t="n">
        <f aca="false">IFERROR(__xludf.dummyfunction("if($T61&lt;&gt;"""",VALUE(REGEXEXTRACT($T61, G$1&amp;""[\w &amp;]*, (\d+\.\d+)"")),"""")
"),15)</f>
        <v>15</v>
      </c>
      <c r="H61" s="3" t="str">
        <f aca="false">IFERROR(__xludf.dummyfunction("if($T61&lt;&gt;"""",VALUE(REGEXEXTRACT($T61, H$1&amp;""[\w &amp;]*, (\d+\.\d+)"")),"""")
"),"#N/A")</f>
        <v>#N/A</v>
      </c>
      <c r="I61" s="3" t="n">
        <f aca="false">IFERROR(__xludf.dummyfunction("if($T61&lt;&gt;"""",VALUE(REGEXEXTRACT(SUBSTITUTE ($T61,I$1&amp;"" CE"",""""), I$1&amp;""[\w &amp;]*, (\d+\.\d+)"")),"""")
"),13)</f>
        <v>13</v>
      </c>
      <c r="J61" s="3" t="n">
        <f aca="false">IFERROR(__xludf.dummyfunction("if($T61&lt;&gt;"""",VALUE(REGEXEXTRACT($T61, J$1&amp;""[\w &amp;]*, (\d+\.\d+)"")),"""")
"),12.5)</f>
        <v>12.5</v>
      </c>
      <c r="K61" s="3" t="n">
        <f aca="false">IFERROR(__xludf.dummyfunction("if($T61&lt;&gt;"""",VALUE(REGEXEXTRACT($T61, K$1&amp;""[\w &amp;]*, (\d+\.\d+)"")),"""")
"),11)</f>
        <v>11</v>
      </c>
      <c r="L61" s="3" t="n">
        <f aca="false">IFERROR(__xludf.dummyfunction("if($T61&lt;&gt;"""",VALUE(REGEXEXTRACT(SUBSTITUTE ($T61,L$1&amp;"" CE"",""""), L$1&amp;""[\w &amp;]*, (\d+\.\d+)"")),"""")
"),14)</f>
        <v>14</v>
      </c>
      <c r="M61" s="3" t="n">
        <f aca="false">IFERROR(__xludf.dummyfunction("if($T61&lt;&gt;"""",VALUE(REGEXEXTRACT($T61, M$1&amp;""[\w &amp;]*, (\d+\.\d+)"")),"""")
"),14)</f>
        <v>14</v>
      </c>
      <c r="N61" s="3" t="n">
        <f aca="false">IFERROR(__xludf.dummyfunction("if($T61&lt;&gt;"""",VALUE(REGEXEXTRACT(SUBSTITUTE ($T61,N$1&amp;"" CE"",""""), N$1&amp;""[\w &amp;]*, (\d+\.\d+)"")),"""")
"),13)</f>
        <v>13</v>
      </c>
      <c r="O61" s="3" t="n">
        <f aca="false">IFERROR(__xludf.dummyfunction("if($T61&lt;&gt;"""",VALUE(REGEXEXTRACT($T61, O$1&amp;""[\w &amp;]*, (\d+\.\d+)"")),"""")
"),13)</f>
        <v>13</v>
      </c>
      <c r="P61" s="2" t="n">
        <f aca="false">IFERROR(__xludf.dummyfunction("if($T61&lt;&gt;"""",VALUE(REGEXEXTRACT($T61, P$1&amp;""[\w &amp;]*, (\d+\.\d+)"")),"""")
"),12.11)</f>
        <v>12.11</v>
      </c>
      <c r="Q61" s="2" t="n">
        <f aca="false">IFERROR(__xludf.dummyfunction("if($T61&lt;&gt;"""",VALUE(REGEXEXTRACT($T61, Q$1&amp;""[\w &amp;]*, (\d+\.\d+)"")),"""")
"),11.75)</f>
        <v>11.75</v>
      </c>
      <c r="R61" s="2" t="n">
        <f aca="false">IFERROR(__xludf.dummyfunction("if($T61&lt;&gt;"""",VALUE(REGEXEXTRACT($T61, SUBSTITUTE(R$1, ""+"", ""\+"")&amp;""[\w &amp;]*, (\d+\.\d+)"")),"""")"),13.87)</f>
        <v>13.87</v>
      </c>
      <c r="S61" s="2" t="n">
        <f aca="false">IFERROR(__xludf.dummyfunction("if($T61&lt;&gt;"""",VALUE(REGEXEXTRACT($T61, SUBSTITUTE(S$1, ""+"", ""\+"")&amp;""[\w &amp;]*, (\d+\.\d+)"")),"""")"),14.23)</f>
        <v>14.23</v>
      </c>
      <c r="T61" s="5" t="s">
        <v>282</v>
      </c>
    </row>
    <row r="62" customFormat="false" ht="15.75" hidden="false" customHeight="false" outlineLevel="0" collapsed="false">
      <c r="A62" s="4" t="n">
        <f aca="false">IFERROR(__xludf.dummyfunction("""COMPUTED_VALUE"""),45485.6361111111)</f>
        <v>45485.6361111111</v>
      </c>
      <c r="B62" s="2" t="n">
        <f aca="false">IFERROR(__xludf.dummyfunction("""COMPUTED_VALUE"""),12.77)</f>
        <v>12.77</v>
      </c>
      <c r="C62" s="2" t="n">
        <f aca="false">IFERROR(__xludf.dummyfunction("""COMPUTED_VALUE"""),12.77)</f>
        <v>12.77</v>
      </c>
      <c r="D62" s="2" t="n">
        <f aca="false">IFERROR(__xludf.dummyfunction("""COMPUTED_VALUE"""),12.11)</f>
        <v>12.11</v>
      </c>
      <c r="E62" s="2" t="n">
        <f aca="false">IFERROR(__xludf.dummyfunction("""COMPUTED_VALUE"""),12.46)</f>
        <v>12.46</v>
      </c>
      <c r="F62" s="3" t="n">
        <f aca="false">IFERROR(__xludf.dummyfunction("if($T62&lt;&gt;"""",VALUE(REGEXEXTRACT(SUBSTITUTE ($T62,F$1&amp;"" CE"",""""), F$1&amp;""[\w &amp;]*, (\d+\.\d+)"")),"""")
"),13)</f>
        <v>13</v>
      </c>
      <c r="G62" s="3" t="n">
        <f aca="false">IFERROR(__xludf.dummyfunction("if($T62&lt;&gt;"""",VALUE(REGEXEXTRACT($T62, G$1&amp;""[\w &amp;]*, (\d+\.\d+)"")),"""")
"),15)</f>
        <v>15</v>
      </c>
      <c r="H62" s="3" t="str">
        <f aca="false">IFERROR(__xludf.dummyfunction("if($T62&lt;&gt;"""",VALUE(REGEXEXTRACT($T62, H$1&amp;""[\w &amp;]*, (\d+\.\d+)"")),"""")
"),"#N/A")</f>
        <v>#N/A</v>
      </c>
      <c r="I62" s="3" t="n">
        <f aca="false">IFERROR(__xludf.dummyfunction("if($T62&lt;&gt;"""",VALUE(REGEXEXTRACT(SUBSTITUTE ($T62,I$1&amp;"" CE"",""""), I$1&amp;""[\w &amp;]*, (\d+\.\d+)"")),"""")
"),13)</f>
        <v>13</v>
      </c>
      <c r="J62" s="3" t="n">
        <f aca="false">IFERROR(__xludf.dummyfunction("if($T62&lt;&gt;"""",VALUE(REGEXEXTRACT($T62, J$1&amp;""[\w &amp;]*, (\d+\.\d+)"")),"""")
"),12.5)</f>
        <v>12.5</v>
      </c>
      <c r="K62" s="3" t="n">
        <f aca="false">IFERROR(__xludf.dummyfunction("if($T62&lt;&gt;"""",VALUE(REGEXEXTRACT($T62, K$1&amp;""[\w &amp;]*, (\d+\.\d+)"")),"""")
"),11)</f>
        <v>11</v>
      </c>
      <c r="L62" s="3" t="n">
        <f aca="false">IFERROR(__xludf.dummyfunction("if($T62&lt;&gt;"""",VALUE(REGEXEXTRACT(SUBSTITUTE ($T62,L$1&amp;"" CE"",""""), L$1&amp;""[\w &amp;]*, (\d+\.\d+)"")),"""")
"),14)</f>
        <v>14</v>
      </c>
      <c r="M62" s="3" t="n">
        <f aca="false">IFERROR(__xludf.dummyfunction("if($T62&lt;&gt;"""",VALUE(REGEXEXTRACT($T62, M$1&amp;""[\w &amp;]*, (\d+\.\d+)"")),"""")
"),14)</f>
        <v>14</v>
      </c>
      <c r="N62" s="3" t="n">
        <f aca="false">IFERROR(__xludf.dummyfunction("if($T62&lt;&gt;"""",VALUE(REGEXEXTRACT(SUBSTITUTE ($T62,N$1&amp;"" CE"",""""), N$1&amp;""[\w &amp;]*, (\d+\.\d+)"")),"""")
"),13)</f>
        <v>13</v>
      </c>
      <c r="O62" s="3" t="n">
        <f aca="false">IFERROR(__xludf.dummyfunction("if($T62&lt;&gt;"""",VALUE(REGEXEXTRACT($T62, O$1&amp;""[\w &amp;]*, (\d+\.\d+)"")),"""")
"),13)</f>
        <v>13</v>
      </c>
      <c r="P62" s="2" t="n">
        <f aca="false">IFERROR(__xludf.dummyfunction("if($T62&lt;&gt;"""",VALUE(REGEXEXTRACT($T62, P$1&amp;""[\w &amp;]*, (\d+\.\d+)"")),"""")
"),11.9)</f>
        <v>11.9</v>
      </c>
      <c r="Q62" s="2" t="n">
        <f aca="false">IFERROR(__xludf.dummyfunction("if($T62&lt;&gt;"""",VALUE(REGEXEXTRACT($T62, Q$1&amp;""[\w &amp;]*, (\d+\.\d+)"")),"""")
"),11.5)</f>
        <v>11.5</v>
      </c>
      <c r="R62" s="2" t="n">
        <f aca="false">IFERROR(__xludf.dummyfunction("if($T62&lt;&gt;"""",VALUE(REGEXEXTRACT($T62, SUBSTITUTE(R$1, ""+"", ""\+"")&amp;""[\w &amp;]*, (\d+\.\d+)"")),"""")"),13.56)</f>
        <v>13.56</v>
      </c>
      <c r="S62" s="2" t="n">
        <f aca="false">IFERROR(__xludf.dummyfunction("if($T62&lt;&gt;"""",VALUE(REGEXEXTRACT($T62, SUBSTITUTE(S$1, ""+"", ""\+"")&amp;""[\w &amp;]*, (\d+\.\d+)"")),"""")"),13.96)</f>
        <v>13.96</v>
      </c>
      <c r="T62" s="5" t="s">
        <v>283</v>
      </c>
    </row>
    <row r="63" customFormat="false" ht="15.75" hidden="false" customHeight="false" outlineLevel="0" collapsed="false">
      <c r="A63" s="4" t="n">
        <f aca="false">IFERROR(__xludf.dummyfunction("""COMPUTED_VALUE"""),45488.6361111111)</f>
        <v>45488.6361111111</v>
      </c>
      <c r="B63" s="2" t="n">
        <f aca="false">IFERROR(__xludf.dummyfunction("""COMPUTED_VALUE"""),12.78)</f>
        <v>12.78</v>
      </c>
      <c r="C63" s="2" t="n">
        <f aca="false">IFERROR(__xludf.dummyfunction("""COMPUTED_VALUE"""),13.26)</f>
        <v>13.26</v>
      </c>
      <c r="D63" s="2" t="n">
        <f aca="false">IFERROR(__xludf.dummyfunction("""COMPUTED_VALUE"""),12.75)</f>
        <v>12.75</v>
      </c>
      <c r="E63" s="2" t="n">
        <f aca="false">IFERROR(__xludf.dummyfunction("""COMPUTED_VALUE"""),13.12)</f>
        <v>13.12</v>
      </c>
      <c r="F63" s="3" t="n">
        <f aca="false">IFERROR(__xludf.dummyfunction("if($T63&lt;&gt;"""",VALUE(REGEXEXTRACT(SUBSTITUTE ($T63,F$1&amp;"" CE"",""""), F$1&amp;""[\w &amp;]*, (\d+\.\d+)"")),"""")
"),13)</f>
        <v>13</v>
      </c>
      <c r="G63" s="3" t="n">
        <f aca="false">IFERROR(__xludf.dummyfunction("if($T63&lt;&gt;"""",VALUE(REGEXEXTRACT($T63, G$1&amp;""[\w &amp;]*, (\d+\.\d+)"")),"""")
"),15)</f>
        <v>15</v>
      </c>
      <c r="H63" s="3" t="str">
        <f aca="false">IFERROR(__xludf.dummyfunction("if($T63&lt;&gt;"""",VALUE(REGEXEXTRACT($T63, H$1&amp;""[\w &amp;]*, (\d+\.\d+)"")),"""")
"),"#N/A")</f>
        <v>#N/A</v>
      </c>
      <c r="I63" s="3" t="n">
        <f aca="false">IFERROR(__xludf.dummyfunction("if($T63&lt;&gt;"""",VALUE(REGEXEXTRACT(SUBSTITUTE ($T63,I$1&amp;"" CE"",""""), I$1&amp;""[\w &amp;]*, (\d+\.\d+)"")),"""")
"),13)</f>
        <v>13</v>
      </c>
      <c r="J63" s="3" t="n">
        <f aca="false">IFERROR(__xludf.dummyfunction("if($T63&lt;&gt;"""",VALUE(REGEXEXTRACT($T63, J$1&amp;""[\w &amp;]*, (\d+\.\d+)"")),"""")
"),12.5)</f>
        <v>12.5</v>
      </c>
      <c r="K63" s="3" t="n">
        <f aca="false">IFERROR(__xludf.dummyfunction("if($T63&lt;&gt;"""",VALUE(REGEXEXTRACT($T63, K$1&amp;""[\w &amp;]*, (\d+\.\d+)"")),"""")
"),10)</f>
        <v>10</v>
      </c>
      <c r="L63" s="3" t="n">
        <f aca="false">IFERROR(__xludf.dummyfunction("if($T63&lt;&gt;"""",VALUE(REGEXEXTRACT(SUBSTITUTE ($T63,L$1&amp;"" CE"",""""), L$1&amp;""[\w &amp;]*, (\d+\.\d+)"")),"""")
"),14)</f>
        <v>14</v>
      </c>
      <c r="M63" s="3" t="n">
        <f aca="false">IFERROR(__xludf.dummyfunction("if($T63&lt;&gt;"""",VALUE(REGEXEXTRACT($T63, M$1&amp;""[\w &amp;]*, (\d+\.\d+)"")),"""")
"),14)</f>
        <v>14</v>
      </c>
      <c r="N63" s="3" t="n">
        <f aca="false">IFERROR(__xludf.dummyfunction("if($T63&lt;&gt;"""",VALUE(REGEXEXTRACT(SUBSTITUTE ($T63,N$1&amp;"" CE"",""""), N$1&amp;""[\w &amp;]*, (\d+\.\d+)"")),"""")
"),13)</f>
        <v>13</v>
      </c>
      <c r="O63" s="3" t="n">
        <f aca="false">IFERROR(__xludf.dummyfunction("if($T63&lt;&gt;"""",VALUE(REGEXEXTRACT($T63, O$1&amp;""[\w &amp;]*, (\d+\.\d+)"")),"""")
"),13)</f>
        <v>13</v>
      </c>
      <c r="P63" s="2" t="n">
        <f aca="false">IFERROR(__xludf.dummyfunction("if($T63&lt;&gt;"""",VALUE(REGEXEXTRACT($T63, P$1&amp;""[\w &amp;]*, (\d+\.\d+)"")),"""")
"),12.25)</f>
        <v>12.25</v>
      </c>
      <c r="Q63" s="2" t="n">
        <f aca="false">IFERROR(__xludf.dummyfunction("if($T63&lt;&gt;"""",VALUE(REGEXEXTRACT($T63, Q$1&amp;""[\w &amp;]*, (\d+\.\d+)"")),"""")
"),11.69)</f>
        <v>11.69</v>
      </c>
      <c r="R63" s="2" t="n">
        <f aca="false">IFERROR(__xludf.dummyfunction("if($T63&lt;&gt;"""",VALUE(REGEXEXTRACT($T63, SUBSTITUTE(R$1, ""+"", ""\+"")&amp;""[\w &amp;]*, (\d+\.\d+)"")),"""")"),13.61)</f>
        <v>13.61</v>
      </c>
      <c r="S63" s="2" t="n">
        <f aca="false">IFERROR(__xludf.dummyfunction("if($T63&lt;&gt;"""",VALUE(REGEXEXTRACT($T63, SUBSTITUTE(S$1, ""+"", ""\+"")&amp;""[\w &amp;]*, (\d+\.\d+)"")),"""")"),14.17)</f>
        <v>14.17</v>
      </c>
      <c r="T63" s="5" t="s">
        <v>284</v>
      </c>
    </row>
    <row r="64" customFormat="false" ht="15.75" hidden="false" customHeight="false" outlineLevel="0" collapsed="false">
      <c r="A64" s="4" t="n">
        <f aca="false">IFERROR(__xludf.dummyfunction("""COMPUTED_VALUE"""),45489.6361111111)</f>
        <v>45489.6361111111</v>
      </c>
      <c r="B64" s="2" t="n">
        <f aca="false">IFERROR(__xludf.dummyfunction("""COMPUTED_VALUE"""),13.27)</f>
        <v>13.27</v>
      </c>
      <c r="C64" s="2" t="n">
        <f aca="false">IFERROR(__xludf.dummyfunction("""COMPUTED_VALUE"""),13.27)</f>
        <v>13.27</v>
      </c>
      <c r="D64" s="2" t="n">
        <f aca="false">IFERROR(__xludf.dummyfunction("""COMPUTED_VALUE"""),12.95)</f>
        <v>12.95</v>
      </c>
      <c r="E64" s="2" t="n">
        <f aca="false">IFERROR(__xludf.dummyfunction("""COMPUTED_VALUE"""),13.19)</f>
        <v>13.19</v>
      </c>
      <c r="F64" s="3" t="n">
        <f aca="false">IFERROR(__xludf.dummyfunction("if($T64&lt;&gt;"""",VALUE(REGEXEXTRACT(SUBSTITUTE ($T64,F$1&amp;"" CE"",""""), F$1&amp;""[\w &amp;]*, (\d+\.\d+)"")),"""")
"),13)</f>
        <v>13</v>
      </c>
      <c r="G64" s="3" t="n">
        <f aca="false">IFERROR(__xludf.dummyfunction("if($T64&lt;&gt;"""",VALUE(REGEXEXTRACT($T64, G$1&amp;""[\w &amp;]*, (\d+\.\d+)"")),"""")
"),15)</f>
        <v>15</v>
      </c>
      <c r="H64" s="3" t="str">
        <f aca="false">IFERROR(__xludf.dummyfunction("if($T64&lt;&gt;"""",VALUE(REGEXEXTRACT($T64, H$1&amp;""[\w &amp;]*, (\d+\.\d+)"")),"""")
"),"#N/A")</f>
        <v>#N/A</v>
      </c>
      <c r="I64" s="3" t="n">
        <f aca="false">IFERROR(__xludf.dummyfunction("if($T64&lt;&gt;"""",VALUE(REGEXEXTRACT(SUBSTITUTE ($T64,I$1&amp;"" CE"",""""), I$1&amp;""[\w &amp;]*, (\d+\.\d+)"")),"""")
"),13)</f>
        <v>13</v>
      </c>
      <c r="J64" s="3" t="n">
        <f aca="false">IFERROR(__xludf.dummyfunction("if($T64&lt;&gt;"""",VALUE(REGEXEXTRACT($T64, J$1&amp;""[\w &amp;]*, (\d+\.\d+)"")),"""")
"),12.5)</f>
        <v>12.5</v>
      </c>
      <c r="K64" s="3" t="n">
        <f aca="false">IFERROR(__xludf.dummyfunction("if($T64&lt;&gt;"""",VALUE(REGEXEXTRACT($T64, K$1&amp;""[\w &amp;]*, (\d+\.\d+)"")),"""")
"),10)</f>
        <v>10</v>
      </c>
      <c r="L64" s="3" t="n">
        <f aca="false">IFERROR(__xludf.dummyfunction("if($T64&lt;&gt;"""",VALUE(REGEXEXTRACT(SUBSTITUTE ($T64,L$1&amp;"" CE"",""""), L$1&amp;""[\w &amp;]*, (\d+\.\d+)"")),"""")
"),14)</f>
        <v>14</v>
      </c>
      <c r="M64" s="3" t="n">
        <f aca="false">IFERROR(__xludf.dummyfunction("if($T64&lt;&gt;"""",VALUE(REGEXEXTRACT($T64, M$1&amp;""[\w &amp;]*, (\d+\.\d+)"")),"""")
"),14)</f>
        <v>14</v>
      </c>
      <c r="N64" s="3" t="n">
        <f aca="false">IFERROR(__xludf.dummyfunction("if($T64&lt;&gt;"""",VALUE(REGEXEXTRACT(SUBSTITUTE ($T64,N$1&amp;"" CE"",""""), N$1&amp;""[\w &amp;]*, (\d+\.\d+)"")),"""")
"),13)</f>
        <v>13</v>
      </c>
      <c r="O64" s="3" t="n">
        <f aca="false">IFERROR(__xludf.dummyfunction("if($T64&lt;&gt;"""",VALUE(REGEXEXTRACT($T64, O$1&amp;""[\w &amp;]*, (\d+\.\d+)"")),"""")
"),13)</f>
        <v>13</v>
      </c>
      <c r="P64" s="2" t="n">
        <f aca="false">IFERROR(__xludf.dummyfunction("if($T64&lt;&gt;"""",VALUE(REGEXEXTRACT($T64, P$1&amp;""[\w &amp;]*, (\d+\.\d+)"")),"""")
"),12.47)</f>
        <v>12.47</v>
      </c>
      <c r="Q64" s="2" t="n">
        <f aca="false">IFERROR(__xludf.dummyfunction("if($T64&lt;&gt;"""",VALUE(REGEXEXTRACT($T64, Q$1&amp;""[\w &amp;]*, (\d+\.\d+)"")),"""")
"),11.77)</f>
        <v>11.77</v>
      </c>
      <c r="R64" s="2" t="n">
        <f aca="false">IFERROR(__xludf.dummyfunction("if($T64&lt;&gt;"""",VALUE(REGEXEXTRACT($T64, SUBSTITUTE(R$1, ""+"", ""\+"")&amp;""[\w &amp;]*, (\d+\.\d+)"")),"""")"),13.71)</f>
        <v>13.71</v>
      </c>
      <c r="S64" s="2" t="n">
        <f aca="false">IFERROR(__xludf.dummyfunction("if($T64&lt;&gt;"""",VALUE(REGEXEXTRACT($T64, SUBSTITUTE(S$1, ""+"", ""\+"")&amp;""[\w &amp;]*, (\d+\.\d+)"")),"""")"),14.41)</f>
        <v>14.41</v>
      </c>
      <c r="T64" s="5" t="s">
        <v>285</v>
      </c>
    </row>
    <row r="65" customFormat="false" ht="15.75" hidden="false" customHeight="false" outlineLevel="0" collapsed="false">
      <c r="A65" s="4" t="n">
        <f aca="false">IFERROR(__xludf.dummyfunction("""COMPUTED_VALUE"""),45490.6361111111)</f>
        <v>45490.6361111111</v>
      </c>
      <c r="B65" s="2" t="n">
        <f aca="false">IFERROR(__xludf.dummyfunction("""COMPUTED_VALUE"""),13.88)</f>
        <v>13.88</v>
      </c>
      <c r="C65" s="2" t="n">
        <f aca="false">IFERROR(__xludf.dummyfunction("""COMPUTED_VALUE"""),14.88)</f>
        <v>14.88</v>
      </c>
      <c r="D65" s="2" t="n">
        <f aca="false">IFERROR(__xludf.dummyfunction("""COMPUTED_VALUE"""),13.88)</f>
        <v>13.88</v>
      </c>
      <c r="E65" s="2" t="n">
        <f aca="false">IFERROR(__xludf.dummyfunction("""COMPUTED_VALUE"""),14.48)</f>
        <v>14.48</v>
      </c>
      <c r="F65" s="3" t="n">
        <f aca="false">IFERROR(__xludf.dummyfunction("if($T65&lt;&gt;"""",VALUE(REGEXEXTRACT(SUBSTITUTE ($T65,F$1&amp;"" CE"",""""), F$1&amp;""[\w &amp;]*, (\d+\.\d+)"")),"""")
"),13.5)</f>
        <v>13.5</v>
      </c>
      <c r="G65" s="3" t="n">
        <f aca="false">IFERROR(__xludf.dummyfunction("if($T65&lt;&gt;"""",VALUE(REGEXEXTRACT($T65, G$1&amp;""[\w &amp;]*, (\d+\.\d+)"")),"""")
"),15)</f>
        <v>15</v>
      </c>
      <c r="H65" s="3" t="str">
        <f aca="false">IFERROR(__xludf.dummyfunction("if($T65&lt;&gt;"""",VALUE(REGEXEXTRACT($T65, H$1&amp;""[\w &amp;]*, (\d+\.\d+)"")),"""")
"),"#N/A")</f>
        <v>#N/A</v>
      </c>
      <c r="I65" s="3" t="n">
        <f aca="false">IFERROR(__xludf.dummyfunction("if($T65&lt;&gt;"""",VALUE(REGEXEXTRACT(SUBSTITUTE ($T65,I$1&amp;"" CE"",""""), I$1&amp;""[\w &amp;]*, (\d+\.\d+)"")),"""")
"),13.5)</f>
        <v>13.5</v>
      </c>
      <c r="J65" s="3" t="n">
        <f aca="false">IFERROR(__xludf.dummyfunction("if($T65&lt;&gt;"""",VALUE(REGEXEXTRACT($T65, J$1&amp;""[\w &amp;]*, (\d+\.\d+)"")),"""")
"),13.5)</f>
        <v>13.5</v>
      </c>
      <c r="K65" s="3" t="str">
        <f aca="false">IFERROR(__xludf.dummyfunction("if($T65&lt;&gt;"""",VALUE(REGEXEXTRACT($T65, K$1&amp;""[\w &amp;]*, (\d+\.\d+)"")),"""")
"),"#N/A")</f>
        <v>#N/A</v>
      </c>
      <c r="L65" s="3" t="n">
        <f aca="false">IFERROR(__xludf.dummyfunction("if($T65&lt;&gt;"""",VALUE(REGEXEXTRACT(SUBSTITUTE ($T65,L$1&amp;"" CE"",""""), L$1&amp;""[\w &amp;]*, (\d+\.\d+)"")),"""")
"),15)</f>
        <v>15</v>
      </c>
      <c r="M65" s="3" t="n">
        <f aca="false">IFERROR(__xludf.dummyfunction("if($T65&lt;&gt;"""",VALUE(REGEXEXTRACT($T65, M$1&amp;""[\w &amp;]*, (\d+\.\d+)"")),"""")
"),14)</f>
        <v>14</v>
      </c>
      <c r="N65" s="3" t="n">
        <f aca="false">IFERROR(__xludf.dummyfunction("if($T65&lt;&gt;"""",VALUE(REGEXEXTRACT(SUBSTITUTE ($T65,N$1&amp;"" CE"",""""), N$1&amp;""[\w &amp;]*, (\d+\.\d+)"")),"""")
"),13.5)</f>
        <v>13.5</v>
      </c>
      <c r="O65" s="3" t="n">
        <f aca="false">IFERROR(__xludf.dummyfunction("if($T65&lt;&gt;"""",VALUE(REGEXEXTRACT($T65, O$1&amp;""[\w &amp;]*, (\d+\.\d+)"")),"""")
"),13.5)</f>
        <v>13.5</v>
      </c>
      <c r="P65" s="2" t="n">
        <f aca="false">IFERROR(__xludf.dummyfunction("if($T65&lt;&gt;"""",VALUE(REGEXEXTRACT($T65, P$1&amp;""[\w &amp;]*, (\d+\.\d+)"")),"""")
"),13.3)</f>
        <v>13.3</v>
      </c>
      <c r="Q65" s="2" t="n">
        <f aca="false">IFERROR(__xludf.dummyfunction("if($T65&lt;&gt;"""",VALUE(REGEXEXTRACT($T65, Q$1&amp;""[\w &amp;]*, (\d+\.\d+)"")),"""")
"),12.62)</f>
        <v>12.62</v>
      </c>
      <c r="R65" s="2" t="n">
        <f aca="false">IFERROR(__xludf.dummyfunction("if($T65&lt;&gt;"""",VALUE(REGEXEXTRACT($T65, SUBSTITUTE(R$1, ""+"", ""\+"")&amp;""[\w &amp;]*, (\d+\.\d+)"")),"""")"),14.04)</f>
        <v>14.04</v>
      </c>
      <c r="S65" s="2" t="n">
        <f aca="false">IFERROR(__xludf.dummyfunction("if($T65&lt;&gt;"""",VALUE(REGEXEXTRACT($T65, SUBSTITUTE(S$1, ""+"", ""\+"")&amp;""[\w &amp;]*, (\d+\.\d+)"")),"""")"),14.72)</f>
        <v>14.72</v>
      </c>
      <c r="T65" s="5" t="s">
        <v>286</v>
      </c>
    </row>
    <row r="66" customFormat="false" ht="15.75" hidden="false" customHeight="false" outlineLevel="0" collapsed="false">
      <c r="A66" s="4" t="n">
        <f aca="false">IFERROR(__xludf.dummyfunction("""COMPUTED_VALUE"""),45491.6361111111)</f>
        <v>45491.6361111111</v>
      </c>
      <c r="B66" s="2" t="n">
        <f aca="false">IFERROR(__xludf.dummyfunction("""COMPUTED_VALUE"""),14.51)</f>
        <v>14.51</v>
      </c>
      <c r="C66" s="2" t="n">
        <f aca="false">IFERROR(__xludf.dummyfunction("""COMPUTED_VALUE"""),16.43)</f>
        <v>16.43</v>
      </c>
      <c r="D66" s="2" t="n">
        <f aca="false">IFERROR(__xludf.dummyfunction("""COMPUTED_VALUE"""),14.08)</f>
        <v>14.08</v>
      </c>
      <c r="E66" s="2" t="n">
        <f aca="false">IFERROR(__xludf.dummyfunction("""COMPUTED_VALUE"""),15.93)</f>
        <v>15.93</v>
      </c>
      <c r="F66" s="3" t="n">
        <f aca="false">IFERROR(__xludf.dummyfunction("if($T66&lt;&gt;"""",VALUE(REGEXEXTRACT(SUBSTITUTE ($T66,F$1&amp;"" CE"",""""), F$1&amp;""[\w &amp;]*, (\d+\.\d+)"")),"""")
"),17)</f>
        <v>17</v>
      </c>
      <c r="G66" s="3" t="n">
        <f aca="false">IFERROR(__xludf.dummyfunction("if($T66&lt;&gt;"""",VALUE(REGEXEXTRACT($T66, G$1&amp;""[\w &amp;]*, (\d+\.\d+)"")),"""")
"),14.5)</f>
        <v>14.5</v>
      </c>
      <c r="H66" s="3" t="str">
        <f aca="false">IFERROR(__xludf.dummyfunction("if($T66&lt;&gt;"""",VALUE(REGEXEXTRACT($T66, H$1&amp;""[\w &amp;]*, (\d+\.\d+)"")),"""")
"),"#N/A")</f>
        <v>#N/A</v>
      </c>
      <c r="I66" s="3" t="n">
        <f aca="false">IFERROR(__xludf.dummyfunction("if($T66&lt;&gt;"""",VALUE(REGEXEXTRACT(SUBSTITUTE ($T66,I$1&amp;"" CE"",""""), I$1&amp;""[\w &amp;]*, (\d+\.\d+)"")),"""")
"),15)</f>
        <v>15</v>
      </c>
      <c r="J66" s="3" t="n">
        <f aca="false">IFERROR(__xludf.dummyfunction("if($T66&lt;&gt;"""",VALUE(REGEXEXTRACT($T66, J$1&amp;""[\w &amp;]*, (\d+\.\d+)"")),"""")
"),12.5)</f>
        <v>12.5</v>
      </c>
      <c r="K66" s="3" t="n">
        <f aca="false">IFERROR(__xludf.dummyfunction("if($T66&lt;&gt;"""",VALUE(REGEXEXTRACT($T66, K$1&amp;""[\w &amp;]*, (\d+\.\d+)"")),"""")
"),10)</f>
        <v>10</v>
      </c>
      <c r="L66" s="3" t="n">
        <f aca="false">IFERROR(__xludf.dummyfunction("if($T66&lt;&gt;"""",VALUE(REGEXEXTRACT(SUBSTITUTE ($T66,L$1&amp;"" CE"",""""), L$1&amp;""[\w &amp;]*, (\d+\.\d+)"")),"""")
"),15)</f>
        <v>15</v>
      </c>
      <c r="M66" s="3" t="n">
        <f aca="false">IFERROR(__xludf.dummyfunction("if($T66&lt;&gt;"""",VALUE(REGEXEXTRACT($T66, M$1&amp;""[\w &amp;]*, (\d+\.\d+)"")),"""")
"),12.5)</f>
        <v>12.5</v>
      </c>
      <c r="N66" s="3" t="n">
        <f aca="false">IFERROR(__xludf.dummyfunction("if($T66&lt;&gt;"""",VALUE(REGEXEXTRACT(SUBSTITUTE ($T66,N$1&amp;"" CE"",""""), N$1&amp;""[\w &amp;]*, (\d+\.\d+)"")),"""")
"),15)</f>
        <v>15</v>
      </c>
      <c r="O66" s="3" t="n">
        <f aca="false">IFERROR(__xludf.dummyfunction("if($T66&lt;&gt;"""",VALUE(REGEXEXTRACT($T66, O$1&amp;""[\w &amp;]*, (\d+\.\d+)"")),"""")
"),14)</f>
        <v>14</v>
      </c>
      <c r="P66" s="2" t="n">
        <f aca="false">IFERROR(__xludf.dummyfunction("if($T66&lt;&gt;"""",VALUE(REGEXEXTRACT($T66, P$1&amp;""[\w &amp;]*, (\d+\.\d+)"")),"""")
"),13.11)</f>
        <v>13.11</v>
      </c>
      <c r="Q66" s="2" t="n">
        <f aca="false">IFERROR(__xludf.dummyfunction("if($T66&lt;&gt;"""",VALUE(REGEXEXTRACT($T66, Q$1&amp;""[\w &amp;]*, (\d+\.\d+)"")),"""")
"),12.51)</f>
        <v>12.51</v>
      </c>
      <c r="R66" s="2" t="n">
        <f aca="false">IFERROR(__xludf.dummyfunction("if($T66&lt;&gt;"""",VALUE(REGEXEXTRACT($T66, SUBSTITUTE(R$1, ""+"", ""\+"")&amp;""[\w &amp;]*, (\d+\.\d+)"")),"""")"),15.99)</f>
        <v>15.99</v>
      </c>
      <c r="S66" s="2" t="n">
        <f aca="false">IFERROR(__xludf.dummyfunction("if($T66&lt;&gt;"""",VALUE(REGEXEXTRACT($T66, SUBSTITUTE(S$1, ""+"", ""\+"")&amp;""[\w &amp;]*, (\d+\.\d+)"")),"""")"),16.59)</f>
        <v>16.59</v>
      </c>
      <c r="T66" s="5" t="s">
        <v>287</v>
      </c>
    </row>
    <row r="67" customFormat="false" ht="15.75" hidden="false" customHeight="false" outlineLevel="0" collapsed="false">
      <c r="A67" s="4" t="n">
        <f aca="false">IFERROR(__xludf.dummyfunction("""COMPUTED_VALUE"""),45492.6361111111)</f>
        <v>45492.6361111111</v>
      </c>
      <c r="B67" s="2" t="n">
        <f aca="false">IFERROR(__xludf.dummyfunction("""COMPUTED_VALUE"""),16.2)</f>
        <v>16.2</v>
      </c>
      <c r="C67" s="2" t="n">
        <f aca="false">IFERROR(__xludf.dummyfunction("""COMPUTED_VALUE"""),17.19)</f>
        <v>17.19</v>
      </c>
      <c r="D67" s="2" t="n">
        <f aca="false">IFERROR(__xludf.dummyfunction("""COMPUTED_VALUE"""),16.2)</f>
        <v>16.2</v>
      </c>
      <c r="E67" s="2" t="n">
        <f aca="false">IFERROR(__xludf.dummyfunction("""COMPUTED_VALUE"""),16.52)</f>
        <v>16.52</v>
      </c>
      <c r="F67" s="3" t="n">
        <f aca="false">IFERROR(__xludf.dummyfunction("if($T67&lt;&gt;"""",VALUE(REGEXEXTRACT(SUBSTITUTE ($T67,F$1&amp;"" CE"",""""), F$1&amp;""[\w &amp;]*, (\d+\.\d+)"")),"""")
"),17)</f>
        <v>17</v>
      </c>
      <c r="G67" s="3" t="n">
        <f aca="false">IFERROR(__xludf.dummyfunction("if($T67&lt;&gt;"""",VALUE(REGEXEXTRACT($T67, G$1&amp;""[\w &amp;]*, (\d+\.\d+)"")),"""")
"),18)</f>
        <v>18</v>
      </c>
      <c r="H67" s="3" t="n">
        <f aca="false">IFERROR(__xludf.dummyfunction("if($T67&lt;&gt;"""",VALUE(REGEXEXTRACT($T67, H$1&amp;""[\w &amp;]*, (\d+\.\d+)"")),"""")
"),22)</f>
        <v>22</v>
      </c>
      <c r="I67" s="3" t="n">
        <f aca="false">IFERROR(__xludf.dummyfunction("if($T67&lt;&gt;"""",VALUE(REGEXEXTRACT(SUBSTITUTE ($T67,I$1&amp;"" CE"",""""), I$1&amp;""[\w &amp;]*, (\d+\.\d+)"")),"""")
"),15)</f>
        <v>15</v>
      </c>
      <c r="J67" s="3" t="n">
        <f aca="false">IFERROR(__xludf.dummyfunction("if($T67&lt;&gt;"""",VALUE(REGEXEXTRACT($T67, J$1&amp;""[\w &amp;]*, (\d+\.\d+)"")),"""")
"),15)</f>
        <v>15</v>
      </c>
      <c r="K67" s="3" t="n">
        <f aca="false">IFERROR(__xludf.dummyfunction("if($T67&lt;&gt;"""",VALUE(REGEXEXTRACT($T67, K$1&amp;""[\w &amp;]*, (\d+\.\d+)"")),"""")
"),10)</f>
        <v>10</v>
      </c>
      <c r="L67" s="3" t="n">
        <f aca="false">IFERROR(__xludf.dummyfunction("if($T67&lt;&gt;"""",VALUE(REGEXEXTRACT(SUBSTITUTE ($T67,L$1&amp;"" CE"",""""), L$1&amp;""[\w &amp;]*, (\d+\.\d+)"")),"""")
"),15)</f>
        <v>15</v>
      </c>
      <c r="M67" s="3" t="n">
        <f aca="false">IFERROR(__xludf.dummyfunction("if($T67&lt;&gt;"""",VALUE(REGEXEXTRACT($T67, M$1&amp;""[\w &amp;]*, (\d+\.\d+)"")),"""")
"),15)</f>
        <v>15</v>
      </c>
      <c r="N67" s="3" t="n">
        <f aca="false">IFERROR(__xludf.dummyfunction("if($T67&lt;&gt;"""",VALUE(REGEXEXTRACT(SUBSTITUTE ($T67,N$1&amp;"" CE"",""""), N$1&amp;""[\w &amp;]*, (\d+\.\d+)"")),"""")
"),17)</f>
        <v>17</v>
      </c>
      <c r="O67" s="3" t="n">
        <f aca="false">IFERROR(__xludf.dummyfunction("if($T67&lt;&gt;"""",VALUE(REGEXEXTRACT($T67, O$1&amp;""[\w &amp;]*, (\d+\.\d+)"")),"""")
"),15)</f>
        <v>15</v>
      </c>
      <c r="P67" s="2" t="n">
        <f aca="false">IFERROR(__xludf.dummyfunction("if($T67&lt;&gt;"""",VALUE(REGEXEXTRACT($T67, P$1&amp;""[\w &amp;]*, (\d+\.\d+)"")),"""")
"),14.45)</f>
        <v>14.45</v>
      </c>
      <c r="Q67" s="2" t="n">
        <f aca="false">IFERROR(__xludf.dummyfunction("if($T67&lt;&gt;"""",VALUE(REGEXEXTRACT($T67, Q$1&amp;""[\w &amp;]*, (\d+\.\d+)"")),"""")
"),13.59)</f>
        <v>13.59</v>
      </c>
      <c r="R67" s="2" t="n">
        <f aca="false">IFERROR(__xludf.dummyfunction("if($T67&lt;&gt;"""",VALUE(REGEXEXTRACT($T67, SUBSTITUTE(R$1, ""+"", ""\+"")&amp;""[\w &amp;]*, (\d+\.\d+)"")),"""")"),18.11)</f>
        <v>18.11</v>
      </c>
      <c r="S67" s="2" t="n">
        <f aca="false">IFERROR(__xludf.dummyfunction("if($T67&lt;&gt;"""",VALUE(REGEXEXTRACT($T67, SUBSTITUTE(S$1, ""+"", ""\+"")&amp;""[\w &amp;]*, (\d+\.\d+)"")),"""")"),18.97)</f>
        <v>18.97</v>
      </c>
      <c r="T67" s="5" t="s">
        <v>288</v>
      </c>
    </row>
    <row r="68" customFormat="false" ht="15.75" hidden="false" customHeight="false" outlineLevel="0" collapsed="false">
      <c r="A68" s="4" t="n">
        <f aca="false">IFERROR(__xludf.dummyfunction("""COMPUTED_VALUE"""),45495.6361111111)</f>
        <v>45495.6361111111</v>
      </c>
      <c r="B68" s="2" t="n">
        <f aca="false">IFERROR(__xludf.dummyfunction("""COMPUTED_VALUE"""),16.79)</f>
        <v>16.79</v>
      </c>
      <c r="C68" s="2" t="n">
        <f aca="false">IFERROR(__xludf.dummyfunction("""COMPUTED_VALUE"""),16.89)</f>
        <v>16.89</v>
      </c>
      <c r="D68" s="2" t="n">
        <f aca="false">IFERROR(__xludf.dummyfunction("""COMPUTED_VALUE"""),14.75)</f>
        <v>14.75</v>
      </c>
      <c r="E68" s="2" t="n">
        <f aca="false">IFERROR(__xludf.dummyfunction("""COMPUTED_VALUE"""),14.91)</f>
        <v>14.91</v>
      </c>
      <c r="F68" s="3" t="n">
        <f aca="false">IFERROR(__xludf.dummyfunction("if($T68&lt;&gt;"""",VALUE(REGEXEXTRACT(SUBSTITUTE ($T68,F$1&amp;"" CE"",""""), F$1&amp;""[\w &amp;]*, (\d+\.\d+)"")),"""")
"),17)</f>
        <v>17</v>
      </c>
      <c r="G68" s="3" t="n">
        <f aca="false">IFERROR(__xludf.dummyfunction("if($T68&lt;&gt;"""",VALUE(REGEXEXTRACT($T68, G$1&amp;""[\w &amp;]*, (\d+\.\d+)"")),"""")
"),18)</f>
        <v>18</v>
      </c>
      <c r="H68" s="3" t="str">
        <f aca="false">IFERROR(__xludf.dummyfunction("if($T68&lt;&gt;"""",VALUE(REGEXEXTRACT($T68, H$1&amp;""[\w &amp;]*, (\d+\.\d+)"")),"""")
"),"#N/A")</f>
        <v>#N/A</v>
      </c>
      <c r="I68" s="3" t="n">
        <f aca="false">IFERROR(__xludf.dummyfunction("if($T68&lt;&gt;"""",VALUE(REGEXEXTRACT(SUBSTITUTE ($T68,I$1&amp;"" CE"",""""), I$1&amp;""[\w &amp;]*, (\d+\.\d+)"")),"""")
"),15)</f>
        <v>15</v>
      </c>
      <c r="J68" s="3" t="n">
        <f aca="false">IFERROR(__xludf.dummyfunction("if($T68&lt;&gt;"""",VALUE(REGEXEXTRACT($T68, J$1&amp;""[\w &amp;]*, (\d+\.\d+)"")),"""")
"),15)</f>
        <v>15</v>
      </c>
      <c r="K68" s="3" t="n">
        <f aca="false">IFERROR(__xludf.dummyfunction("if($T68&lt;&gt;"""",VALUE(REGEXEXTRACT($T68, K$1&amp;""[\w &amp;]*, (\d+\.\d+)"")),"""")
"),14)</f>
        <v>14</v>
      </c>
      <c r="L68" s="3" t="n">
        <f aca="false">IFERROR(__xludf.dummyfunction("if($T68&lt;&gt;"""",VALUE(REGEXEXTRACT(SUBSTITUTE ($T68,L$1&amp;"" CE"",""""), L$1&amp;""[\w &amp;]*, (\d+\.\d+)"")),"""")
"),15)</f>
        <v>15</v>
      </c>
      <c r="M68" s="3" t="n">
        <f aca="false">IFERROR(__xludf.dummyfunction("if($T68&lt;&gt;"""",VALUE(REGEXEXTRACT($T68, M$1&amp;""[\w &amp;]*, (\d+\.\d+)"")),"""")
"),16)</f>
        <v>16</v>
      </c>
      <c r="N68" s="3" t="n">
        <f aca="false">IFERROR(__xludf.dummyfunction("if($T68&lt;&gt;"""",VALUE(REGEXEXTRACT(SUBSTITUTE ($T68,N$1&amp;"" CE"",""""), N$1&amp;""[\w &amp;]*, (\d+\.\d+)"")),"""")
"),15)</f>
        <v>15</v>
      </c>
      <c r="O68" s="3" t="n">
        <f aca="false">IFERROR(__xludf.dummyfunction("if($T68&lt;&gt;"""",VALUE(REGEXEXTRACT($T68, O$1&amp;""[\w &amp;]*, (\d+\.\d+)"")),"""")
"),15)</f>
        <v>15</v>
      </c>
      <c r="P68" s="2" t="n">
        <f aca="false">IFERROR(__xludf.dummyfunction("if($T68&lt;&gt;"""",VALUE(REGEXEXTRACT($T68, P$1&amp;""[\w &amp;]*, (\d+\.\d+)"")),"""")
"),14.87)</f>
        <v>14.87</v>
      </c>
      <c r="Q68" s="2" t="n">
        <f aca="false">IFERROR(__xludf.dummyfunction("if($T68&lt;&gt;"""",VALUE(REGEXEXTRACT($T68, Q$1&amp;""[\w &amp;]*, (\d+\.\d+)"")),"""")
"),13.73)</f>
        <v>13.73</v>
      </c>
      <c r="R68" s="2" t="n">
        <f aca="false">IFERROR(__xludf.dummyfunction("if($T68&lt;&gt;"""",VALUE(REGEXEXTRACT($T68, SUBSTITUTE(R$1, ""+"", ""\+"")&amp;""[\w &amp;]*, (\d+\.\d+)"")),"""")"),17.65)</f>
        <v>17.65</v>
      </c>
      <c r="S68" s="2" t="n">
        <f aca="false">IFERROR(__xludf.dummyfunction("if($T68&lt;&gt;"""",VALUE(REGEXEXTRACT($T68, SUBSTITUTE(S$1, ""+"", ""\+"")&amp;""[\w &amp;]*, (\d+\.\d+)"")),"""")"),18.79)</f>
        <v>18.79</v>
      </c>
      <c r="T68" s="5" t="s">
        <v>289</v>
      </c>
    </row>
    <row r="69" customFormat="false" ht="15.75" hidden="false" customHeight="false" outlineLevel="0" collapsed="false">
      <c r="A69" s="4" t="n">
        <f aca="false">IFERROR(__xludf.dummyfunction("""COMPUTED_VALUE"""),45496.6361111111)</f>
        <v>45496.6361111111</v>
      </c>
      <c r="B69" s="2" t="n">
        <f aca="false">IFERROR(__xludf.dummyfunction("""COMPUTED_VALUE"""),14.91)</f>
        <v>14.91</v>
      </c>
      <c r="C69" s="2" t="n">
        <f aca="false">IFERROR(__xludf.dummyfunction("""COMPUTED_VALUE"""),14.91)</f>
        <v>14.91</v>
      </c>
      <c r="D69" s="2" t="n">
        <f aca="false">IFERROR(__xludf.dummyfunction("""COMPUTED_VALUE"""),13.9)</f>
        <v>13.9</v>
      </c>
      <c r="E69" s="2" t="n">
        <f aca="false">IFERROR(__xludf.dummyfunction("""COMPUTED_VALUE"""),14.72)</f>
        <v>14.72</v>
      </c>
      <c r="F69" s="3" t="n">
        <f aca="false">IFERROR(__xludf.dummyfunction("if($T69&lt;&gt;"""",VALUE(REGEXEXTRACT(SUBSTITUTE ($T69,F$1&amp;"" CE"",""""), F$1&amp;""[\w &amp;]*, (\d+\.\d+)"")),"""")
"),17)</f>
        <v>17</v>
      </c>
      <c r="G69" s="3" t="n">
        <f aca="false">IFERROR(__xludf.dummyfunction("if($T69&lt;&gt;"""",VALUE(REGEXEXTRACT($T69, G$1&amp;""[\w &amp;]*, (\d+\.\d+)"")),"""")
"),14.5)</f>
        <v>14.5</v>
      </c>
      <c r="H69" s="3" t="str">
        <f aca="false">IFERROR(__xludf.dummyfunction("if($T69&lt;&gt;"""",VALUE(REGEXEXTRACT($T69, H$1&amp;""[\w &amp;]*, (\d+\.\d+)"")),"""")
"),"#N/A")</f>
        <v>#N/A</v>
      </c>
      <c r="I69" s="3" t="n">
        <f aca="false">IFERROR(__xludf.dummyfunction("if($T69&lt;&gt;"""",VALUE(REGEXEXTRACT(SUBSTITUTE ($T69,I$1&amp;"" CE"",""""), I$1&amp;""[\w &amp;]*, (\d+\.\d+)"")),"""")
"),15)</f>
        <v>15</v>
      </c>
      <c r="J69" s="3" t="n">
        <f aca="false">IFERROR(__xludf.dummyfunction("if($T69&lt;&gt;"""",VALUE(REGEXEXTRACT($T69, J$1&amp;""[\w &amp;]*, (\d+\.\d+)"")),"""")
"),15)</f>
        <v>15</v>
      </c>
      <c r="K69" s="3" t="n">
        <f aca="false">IFERROR(__xludf.dummyfunction("if($T69&lt;&gt;"""",VALUE(REGEXEXTRACT($T69, K$1&amp;""[\w &amp;]*, (\d+\.\d+)"")),"""")
"),14)</f>
        <v>14</v>
      </c>
      <c r="L69" s="3" t="n">
        <f aca="false">IFERROR(__xludf.dummyfunction("if($T69&lt;&gt;"""",VALUE(REGEXEXTRACT(SUBSTITUTE ($T69,L$1&amp;"" CE"",""""), L$1&amp;""[\w &amp;]*, (\d+\.\d+)"")),"""")
"),15)</f>
        <v>15</v>
      </c>
      <c r="M69" s="3" t="n">
        <f aca="false">IFERROR(__xludf.dummyfunction("if($T69&lt;&gt;"""",VALUE(REGEXEXTRACT($T69, M$1&amp;""[\w &amp;]*, (\d+\.\d+)"")),"""")
"),16)</f>
        <v>16</v>
      </c>
      <c r="N69" s="3" t="n">
        <f aca="false">IFERROR(__xludf.dummyfunction("if($T69&lt;&gt;"""",VALUE(REGEXEXTRACT(SUBSTITUTE ($T69,N$1&amp;"" CE"",""""), N$1&amp;""[\w &amp;]*, (\d+\.\d+)"")),"""")
"),15)</f>
        <v>15</v>
      </c>
      <c r="O69" s="3" t="n">
        <f aca="false">IFERROR(__xludf.dummyfunction("if($T69&lt;&gt;"""",VALUE(REGEXEXTRACT($T69, O$1&amp;""[\w &amp;]*, (\d+\.\d+)"")),"""")
"),15)</f>
        <v>15</v>
      </c>
      <c r="P69" s="2" t="n">
        <f aca="false">IFERROR(__xludf.dummyfunction("if($T69&lt;&gt;"""",VALUE(REGEXEXTRACT($T69, P$1&amp;""[\w &amp;]*, (\d+\.\d+)"")),"""")
"),14.16)</f>
        <v>14.16</v>
      </c>
      <c r="Q69" s="2" t="n">
        <f aca="false">IFERROR(__xludf.dummyfunction("if($T69&lt;&gt;"""",VALUE(REGEXEXTRACT($T69, Q$1&amp;""[\w &amp;]*, (\d+\.\d+)"")),"""")
"),13.28)</f>
        <v>13.28</v>
      </c>
      <c r="R69" s="2" t="n">
        <f aca="false">IFERROR(__xludf.dummyfunction("if($T69&lt;&gt;"""",VALUE(REGEXEXTRACT($T69, SUBSTITUTE(R$1, ""+"", ""\+"")&amp;""[\w &amp;]*, (\d+\.\d+)"")),"""")"),15.72)</f>
        <v>15.72</v>
      </c>
      <c r="S69" s="2" t="n">
        <f aca="false">IFERROR(__xludf.dummyfunction("if($T69&lt;&gt;"""",VALUE(REGEXEXTRACT($T69, SUBSTITUTE(S$1, ""+"", ""\+"")&amp;""[\w &amp;]*, (\d+\.\d+)"")),"""")"),16.6)</f>
        <v>16.6</v>
      </c>
      <c r="T69" s="5" t="s">
        <v>290</v>
      </c>
    </row>
    <row r="70" customFormat="false" ht="15.75" hidden="false" customHeight="false" outlineLevel="0" collapsed="false">
      <c r="A70" s="4" t="n">
        <f aca="false">IFERROR(__xludf.dummyfunction("""COMPUTED_VALUE"""),45497.6361111111)</f>
        <v>45497.6361111111</v>
      </c>
      <c r="B70" s="2" t="n">
        <f aca="false">IFERROR(__xludf.dummyfunction("""COMPUTED_VALUE"""),15.36)</f>
        <v>15.36</v>
      </c>
      <c r="C70" s="2" t="n">
        <f aca="false">IFERROR(__xludf.dummyfunction("""COMPUTED_VALUE"""),18.46)</f>
        <v>18.46</v>
      </c>
      <c r="D70" s="2" t="n">
        <f aca="false">IFERROR(__xludf.dummyfunction("""COMPUTED_VALUE"""),15.18)</f>
        <v>15.18</v>
      </c>
      <c r="E70" s="2" t="n">
        <f aca="false">IFERROR(__xludf.dummyfunction("""COMPUTED_VALUE"""),18.04)</f>
        <v>18.04</v>
      </c>
      <c r="F70" s="3" t="n">
        <f aca="false">IFERROR(__xludf.dummyfunction("if($T70&lt;&gt;"""",VALUE(REGEXEXTRACT(SUBSTITUTE ($T70,F$1&amp;"" CE"",""""), F$1&amp;""[\w &amp;]*, (\d+\.\d+)"")),"""")
"),17)</f>
        <v>17</v>
      </c>
      <c r="G70" s="3" t="n">
        <f aca="false">IFERROR(__xludf.dummyfunction("if($T70&lt;&gt;"""",VALUE(REGEXEXTRACT($T70, G$1&amp;""[\w &amp;]*, (\d+\.\d+)"")),"""")
"),14.5)</f>
        <v>14.5</v>
      </c>
      <c r="H70" s="3" t="str">
        <f aca="false">IFERROR(__xludf.dummyfunction("if($T70&lt;&gt;"""",VALUE(REGEXEXTRACT($T70, H$1&amp;""[\w &amp;]*, (\d+\.\d+)"")),"""")
"),"#N/A")</f>
        <v>#N/A</v>
      </c>
      <c r="I70" s="3" t="n">
        <f aca="false">IFERROR(__xludf.dummyfunction("if($T70&lt;&gt;"""",VALUE(REGEXEXTRACT(SUBSTITUTE ($T70,I$1&amp;"" CE"",""""), I$1&amp;""[\w &amp;]*, (\d+\.\d+)"")),"""")
"),15)</f>
        <v>15</v>
      </c>
      <c r="J70" s="3" t="n">
        <f aca="false">IFERROR(__xludf.dummyfunction("if($T70&lt;&gt;"""",VALUE(REGEXEXTRACT($T70, J$1&amp;""[\w &amp;]*, (\d+\.\d+)"")),"""")
"),15)</f>
        <v>15</v>
      </c>
      <c r="K70" s="3" t="n">
        <f aca="false">IFERROR(__xludf.dummyfunction("if($T70&lt;&gt;"""",VALUE(REGEXEXTRACT($T70, K$1&amp;""[\w &amp;]*, (\d+\.\d+)"")),"""")
"),14)</f>
        <v>14</v>
      </c>
      <c r="L70" s="3" t="n">
        <f aca="false">IFERROR(__xludf.dummyfunction("if($T70&lt;&gt;"""",VALUE(REGEXEXTRACT(SUBSTITUTE ($T70,L$1&amp;"" CE"",""""), L$1&amp;""[\w &amp;]*, (\d+\.\d+)"")),"""")
"),15)</f>
        <v>15</v>
      </c>
      <c r="M70" s="3" t="n">
        <f aca="false">IFERROR(__xludf.dummyfunction("if($T70&lt;&gt;"""",VALUE(REGEXEXTRACT($T70, M$1&amp;""[\w &amp;]*, (\d+\.\d+)"")),"""")
"),16)</f>
        <v>16</v>
      </c>
      <c r="N70" s="3" t="n">
        <f aca="false">IFERROR(__xludf.dummyfunction("if($T70&lt;&gt;"""",VALUE(REGEXEXTRACT(SUBSTITUTE ($T70,N$1&amp;"" CE"",""""), N$1&amp;""[\w &amp;]*, (\d+\.\d+)"")),"""")
"),15)</f>
        <v>15</v>
      </c>
      <c r="O70" s="3" t="n">
        <f aca="false">IFERROR(__xludf.dummyfunction("if($T70&lt;&gt;"""",VALUE(REGEXEXTRACT($T70, O$1&amp;""[\w &amp;]*, (\d+\.\d+)"")),"""")
"),15)</f>
        <v>15</v>
      </c>
      <c r="P70" s="2" t="n">
        <f aca="false">IFERROR(__xludf.dummyfunction("if($T70&lt;&gt;"""",VALUE(REGEXEXTRACT($T70, P$1&amp;""[\w &amp;]*, (\d+\.\d+)"")),"""")
"),14.84)</f>
        <v>14.84</v>
      </c>
      <c r="Q70" s="2" t="n">
        <f aca="false">IFERROR(__xludf.dummyfunction("if($T70&lt;&gt;"""",VALUE(REGEXEXTRACT($T70, Q$1&amp;""[\w &amp;]*, (\d+\.\d+)"")),"""")
"),13.89)</f>
        <v>13.89</v>
      </c>
      <c r="R70" s="2" t="n">
        <f aca="false">IFERROR(__xludf.dummyfunction("if($T70&lt;&gt;"""",VALUE(REGEXEXTRACT($T70, SUBSTITUTE(R$1, ""+"", ""\+"")&amp;""[\w &amp;]*, (\d+\.\d+)"")),"""")"),15.88)</f>
        <v>15.88</v>
      </c>
      <c r="S70" s="2" t="n">
        <f aca="false">IFERROR(__xludf.dummyfunction("if($T70&lt;&gt;"""",VALUE(REGEXEXTRACT($T70, SUBSTITUTE(S$1, ""+"", ""\+"")&amp;""[\w &amp;]*, (\d+\.\d+)"")),"""")"),16.83)</f>
        <v>16.83</v>
      </c>
      <c r="T70" s="5" t="s">
        <v>291</v>
      </c>
    </row>
    <row r="71" customFormat="false" ht="15.75" hidden="false" customHeight="false" outlineLevel="0" collapsed="false">
      <c r="A71" s="4" t="n">
        <f aca="false">IFERROR(__xludf.dummyfunction("""COMPUTED_VALUE"""),45498.6361111111)</f>
        <v>45498.6361111111</v>
      </c>
      <c r="B71" s="2" t="n">
        <f aca="false">IFERROR(__xludf.dummyfunction("""COMPUTED_VALUE"""),18.65)</f>
        <v>18.65</v>
      </c>
      <c r="C71" s="2" t="n">
        <f aca="false">IFERROR(__xludf.dummyfunction("""COMPUTED_VALUE"""),19.36)</f>
        <v>19.36</v>
      </c>
      <c r="D71" s="2" t="n">
        <f aca="false">IFERROR(__xludf.dummyfunction("""COMPUTED_VALUE"""),16.42)</f>
        <v>16.42</v>
      </c>
      <c r="E71" s="2" t="n">
        <f aca="false">IFERROR(__xludf.dummyfunction("""COMPUTED_VALUE"""),18.46)</f>
        <v>18.46</v>
      </c>
      <c r="F71" s="3" t="n">
        <f aca="false">IFERROR(__xludf.dummyfunction("if($T71&lt;&gt;"""",VALUE(REGEXEXTRACT(SUBSTITUTE ($T71,F$1&amp;"" CE"",""""), F$1&amp;""[\w &amp;]*, (\d+\.\d+)"")),"""")
"),17)</f>
        <v>17</v>
      </c>
      <c r="G71" s="3" t="n">
        <f aca="false">IFERROR(__xludf.dummyfunction("if($T71&lt;&gt;"""",VALUE(REGEXEXTRACT($T71, G$1&amp;""[\w &amp;]*, (\d+\.\d+)"")),"""")
"),20)</f>
        <v>20</v>
      </c>
      <c r="H71" s="3" t="n">
        <f aca="false">IFERROR(__xludf.dummyfunction("if($T71&lt;&gt;"""",VALUE(REGEXEXTRACT($T71, H$1&amp;""[\w &amp;]*, (\d+\.\d+)"")),"""")
"),25)</f>
        <v>25</v>
      </c>
      <c r="I71" s="3" t="n">
        <f aca="false">IFERROR(__xludf.dummyfunction("if($T71&lt;&gt;"""",VALUE(REGEXEXTRACT(SUBSTITUTE ($T71,I$1&amp;"" CE"",""""), I$1&amp;""[\w &amp;]*, (\d+\.\d+)"")),"""")
"),15)</f>
        <v>15</v>
      </c>
      <c r="J71" s="3" t="n">
        <f aca="false">IFERROR(__xludf.dummyfunction("if($T71&lt;&gt;"""",VALUE(REGEXEXTRACT($T71, J$1&amp;""[\w &amp;]*, (\d+\.\d+)"")),"""")
"),15)</f>
        <v>15</v>
      </c>
      <c r="K71" s="3" t="n">
        <f aca="false">IFERROR(__xludf.dummyfunction("if($T71&lt;&gt;"""",VALUE(REGEXEXTRACT($T71, K$1&amp;""[\w &amp;]*, (\d+\.\d+)"")),"""")
"),14)</f>
        <v>14</v>
      </c>
      <c r="L71" s="3" t="n">
        <f aca="false">IFERROR(__xludf.dummyfunction("if($T71&lt;&gt;"""",VALUE(REGEXEXTRACT(SUBSTITUTE ($T71,L$1&amp;"" CE"",""""), L$1&amp;""[\w &amp;]*, (\d+\.\d+)"")),"""")
"),15)</f>
        <v>15</v>
      </c>
      <c r="M71" s="3" t="n">
        <f aca="false">IFERROR(__xludf.dummyfunction("if($T71&lt;&gt;"""",VALUE(REGEXEXTRACT($T71, M$1&amp;""[\w &amp;]*, (\d+\.\d+)"")),"""")
"),15)</f>
        <v>15</v>
      </c>
      <c r="N71" s="3" t="n">
        <f aca="false">IFERROR(__xludf.dummyfunction("if($T71&lt;&gt;"""",VALUE(REGEXEXTRACT(SUBSTITUTE ($T71,N$1&amp;"" CE"",""""), N$1&amp;""[\w &amp;]*, (\d+\.\d+)"")),"""")
"),17)</f>
        <v>17</v>
      </c>
      <c r="O71" s="3" t="n">
        <f aca="false">IFERROR(__xludf.dummyfunction("if($T71&lt;&gt;"""",VALUE(REGEXEXTRACT($T71, O$1&amp;""[\w &amp;]*, (\d+\.\d+)"")),"""")
"),20)</f>
        <v>20</v>
      </c>
      <c r="P71" s="2" t="n">
        <f aca="false">IFERROR(__xludf.dummyfunction("if($T71&lt;&gt;"""",VALUE(REGEXEXTRACT($T71, P$1&amp;""[\w &amp;]*, (\d+\.\d+)"")),"""")
"),15.61)</f>
        <v>15.61</v>
      </c>
      <c r="Q71" s="2" t="n">
        <f aca="false">IFERROR(__xludf.dummyfunction("if($T71&lt;&gt;"""",VALUE(REGEXEXTRACT($T71, Q$1&amp;""[\w &amp;]*, (\d+\.\d+)"")),"""")
"),14.52)</f>
        <v>14.52</v>
      </c>
      <c r="R71" s="2" t="n">
        <f aca="false">IFERROR(__xludf.dummyfunction("if($T71&lt;&gt;"""",VALUE(REGEXEXTRACT($T71, SUBSTITUTE(R$1, ""+"", ""\+"")&amp;""[\w &amp;]*, (\d+\.\d+)"")),"""")"),20.85)</f>
        <v>20.85</v>
      </c>
      <c r="S71" s="2" t="n">
        <f aca="false">IFERROR(__xludf.dummyfunction("if($T71&lt;&gt;"""",VALUE(REGEXEXTRACT($T71, SUBSTITUTE(S$1, ""+"", ""\+"")&amp;""[\w &amp;]*, (\d+\.\d+)"")),"""")"),21.94)</f>
        <v>21.94</v>
      </c>
      <c r="T71" s="5" t="s">
        <v>292</v>
      </c>
    </row>
    <row r="72" customFormat="false" ht="15.75" hidden="false" customHeight="false" outlineLevel="0" collapsed="false">
      <c r="A72" s="4" t="n">
        <f aca="false">IFERROR(__xludf.dummyfunction("""COMPUTED_VALUE"""),45499.6361111111)</f>
        <v>45499.6361111111</v>
      </c>
      <c r="B72" s="2" t="n">
        <f aca="false">IFERROR(__xludf.dummyfunction("""COMPUTED_VALUE"""),17.49)</f>
        <v>17.49</v>
      </c>
      <c r="C72" s="2" t="n">
        <f aca="false">IFERROR(__xludf.dummyfunction("""COMPUTED_VALUE"""),17.49)</f>
        <v>17.49</v>
      </c>
      <c r="D72" s="2" t="n">
        <f aca="false">IFERROR(__xludf.dummyfunction("""COMPUTED_VALUE"""),16.37)</f>
        <v>16.37</v>
      </c>
      <c r="E72" s="2" t="n">
        <f aca="false">IFERROR(__xludf.dummyfunction("""COMPUTED_VALUE"""),16.39)</f>
        <v>16.39</v>
      </c>
      <c r="F72" s="3" t="n">
        <f aca="false">IFERROR(__xludf.dummyfunction("if($T72&lt;&gt;"""",VALUE(REGEXEXTRACT(SUBSTITUTE ($T72,F$1&amp;"" CE"",""""), F$1&amp;""[\w &amp;]*, (\d+\.\d+)"")),"""")
"),17)</f>
        <v>17</v>
      </c>
      <c r="G72" s="3" t="n">
        <f aca="false">IFERROR(__xludf.dummyfunction("if($T72&lt;&gt;"""",VALUE(REGEXEXTRACT($T72, G$1&amp;""[\w &amp;]*, (\d+\.\d+)"")),"""")
"),20)</f>
        <v>20</v>
      </c>
      <c r="H72" s="3" t="n">
        <f aca="false">IFERROR(__xludf.dummyfunction("if($T72&lt;&gt;"""",VALUE(REGEXEXTRACT($T72, H$1&amp;""[\w &amp;]*, (\d+\.\d+)"")),"""")
"),25)</f>
        <v>25</v>
      </c>
      <c r="I72" s="3" t="n">
        <f aca="false">IFERROR(__xludf.dummyfunction("if($T72&lt;&gt;"""",VALUE(REGEXEXTRACT(SUBSTITUTE ($T72,I$1&amp;"" CE"",""""), I$1&amp;""[\w &amp;]*, (\d+\.\d+)"")),"""")
"),15)</f>
        <v>15</v>
      </c>
      <c r="J72" s="3" t="n">
        <f aca="false">IFERROR(__xludf.dummyfunction("if($T72&lt;&gt;"""",VALUE(REGEXEXTRACT($T72, J$1&amp;""[\w &amp;]*, (\d+\.\d+)"")),"""")
"),15)</f>
        <v>15</v>
      </c>
      <c r="K72" s="3" t="n">
        <f aca="false">IFERROR(__xludf.dummyfunction("if($T72&lt;&gt;"""",VALUE(REGEXEXTRACT($T72, K$1&amp;""[\w &amp;]*, (\d+\.\d+)"")),"""")
"),14)</f>
        <v>14</v>
      </c>
      <c r="L72" s="3" t="n">
        <f aca="false">IFERROR(__xludf.dummyfunction("if($T72&lt;&gt;"""",VALUE(REGEXEXTRACT(SUBSTITUTE ($T72,L$1&amp;"" CE"",""""), L$1&amp;""[\w &amp;]*, (\d+\.\d+)"")),"""")
"),15)</f>
        <v>15</v>
      </c>
      <c r="M72" s="3" t="n">
        <f aca="false">IFERROR(__xludf.dummyfunction("if($T72&lt;&gt;"""",VALUE(REGEXEXTRACT($T72, M$1&amp;""[\w &amp;]*, (\d+\.\d+)"")),"""")
"),16)</f>
        <v>16</v>
      </c>
      <c r="N72" s="3" t="n">
        <f aca="false">IFERROR(__xludf.dummyfunction("if($T72&lt;&gt;"""",VALUE(REGEXEXTRACT(SUBSTITUTE ($T72,N$1&amp;"" CE"",""""), N$1&amp;""[\w &amp;]*, (\d+\.\d+)"")),"""")
"),17)</f>
        <v>17</v>
      </c>
      <c r="O72" s="3" t="n">
        <f aca="false">IFERROR(__xludf.dummyfunction("if($T72&lt;&gt;"""",VALUE(REGEXEXTRACT($T72, O$1&amp;""[\w &amp;]*, (\d+\.\d+)"")),"""")
"),20)</f>
        <v>20</v>
      </c>
      <c r="P72" s="2" t="n">
        <f aca="false">IFERROR(__xludf.dummyfunction("if($T72&lt;&gt;"""",VALUE(REGEXEXTRACT($T72, P$1&amp;""[\w &amp;]*, (\d+\.\d+)"")),"""")
"),15.27)</f>
        <v>15.27</v>
      </c>
      <c r="Q72" s="2" t="n">
        <f aca="false">IFERROR(__xludf.dummyfunction("if($T72&lt;&gt;"""",VALUE(REGEXEXTRACT($T72, Q$1&amp;""[\w &amp;]*, (\d+\.\d+)"")),"""")
"),14.21)</f>
        <v>14.21</v>
      </c>
      <c r="R72" s="2" t="n">
        <f aca="false">IFERROR(__xludf.dummyfunction("if($T72&lt;&gt;"""",VALUE(REGEXEXTRACT($T72, SUBSTITUTE(R$1, ""+"", ""\+"")&amp;""[\w &amp;]*, (\d+\.\d+)"")),"""")"),19.75)</f>
        <v>19.75</v>
      </c>
      <c r="S72" s="2" t="n">
        <f aca="false">IFERROR(__xludf.dummyfunction("if($T72&lt;&gt;"""",VALUE(REGEXEXTRACT($T72, SUBSTITUTE(S$1, ""+"", ""\+"")&amp;""[\w &amp;]*, (\d+\.\d+)"")),"""")"),20.81)</f>
        <v>20.81</v>
      </c>
      <c r="T72" s="5" t="s">
        <v>293</v>
      </c>
    </row>
    <row r="73" customFormat="false" ht="15.75" hidden="false" customHeight="false" outlineLevel="0" collapsed="false">
      <c r="A73" s="4" t="n">
        <f aca="false">IFERROR(__xludf.dummyfunction("""COMPUTED_VALUE"""),45502.6361111111)</f>
        <v>45502.6361111111</v>
      </c>
      <c r="B73" s="2" t="n">
        <f aca="false">IFERROR(__xludf.dummyfunction("""COMPUTED_VALUE"""),16.59)</f>
        <v>16.59</v>
      </c>
      <c r="C73" s="2" t="n">
        <f aca="false">IFERROR(__xludf.dummyfunction("""COMPUTED_VALUE"""),17.21)</f>
        <v>17.21</v>
      </c>
      <c r="D73" s="2" t="n">
        <f aca="false">IFERROR(__xludf.dummyfunction("""COMPUTED_VALUE"""),16.23)</f>
        <v>16.23</v>
      </c>
      <c r="E73" s="2" t="n">
        <f aca="false">IFERROR(__xludf.dummyfunction("""COMPUTED_VALUE"""),16.6)</f>
        <v>16.6</v>
      </c>
      <c r="F73" s="3" t="n">
        <f aca="false">IFERROR(__xludf.dummyfunction("if($T73&lt;&gt;"""",VALUE(REGEXEXTRACT(SUBSTITUTE ($T73,F$1&amp;"" CE"",""""), F$1&amp;""[\w &amp;]*, (\d+\.\d+)"")),"""")
"),17)</f>
        <v>17</v>
      </c>
      <c r="G73" s="3" t="n">
        <f aca="false">IFERROR(__xludf.dummyfunction("if($T73&lt;&gt;"""",VALUE(REGEXEXTRACT($T73, G$1&amp;""[\w &amp;]*, (\d+\.\d+)"")),"""")
"),20)</f>
        <v>20</v>
      </c>
      <c r="H73" s="3" t="str">
        <f aca="false">IFERROR(__xludf.dummyfunction("if($T73&lt;&gt;"""",VALUE(REGEXEXTRACT($T73, H$1&amp;""[\w &amp;]*, (\d+\.\d+)"")),"""")
"),"#N/A")</f>
        <v>#N/A</v>
      </c>
      <c r="I73" s="3" t="n">
        <f aca="false">IFERROR(__xludf.dummyfunction("if($T73&lt;&gt;"""",VALUE(REGEXEXTRACT(SUBSTITUTE ($T73,I$1&amp;"" CE"",""""), I$1&amp;""[\w &amp;]*, (\d+\.\d+)"")),"""")
"),15)</f>
        <v>15</v>
      </c>
      <c r="J73" s="3" t="n">
        <f aca="false">IFERROR(__xludf.dummyfunction("if($T73&lt;&gt;"""",VALUE(REGEXEXTRACT($T73, J$1&amp;""[\w &amp;]*, (\d+\.\d+)"")),"""")
"),15)</f>
        <v>15</v>
      </c>
      <c r="K73" s="3" t="n">
        <f aca="false">IFERROR(__xludf.dummyfunction("if($T73&lt;&gt;"""",VALUE(REGEXEXTRACT($T73, K$1&amp;""[\w &amp;]*, (\d+\.\d+)"")),"""")
"),14)</f>
        <v>14</v>
      </c>
      <c r="L73" s="3" t="n">
        <f aca="false">IFERROR(__xludf.dummyfunction("if($T73&lt;&gt;"""",VALUE(REGEXEXTRACT(SUBSTITUTE ($T73,L$1&amp;"" CE"",""""), L$1&amp;""[\w &amp;]*, (\d+\.\d+)"")),"""")
"),15)</f>
        <v>15</v>
      </c>
      <c r="M73" s="3" t="n">
        <f aca="false">IFERROR(__xludf.dummyfunction("if($T73&lt;&gt;"""",VALUE(REGEXEXTRACT($T73, M$1&amp;""[\w &amp;]*, (\d+\.\d+)"")),"""")
"),16)</f>
        <v>16</v>
      </c>
      <c r="N73" s="3" t="n">
        <f aca="false">IFERROR(__xludf.dummyfunction("if($T73&lt;&gt;"""",VALUE(REGEXEXTRACT(SUBSTITUTE ($T73,N$1&amp;"" CE"",""""), N$1&amp;""[\w &amp;]*, (\d+\.\d+)"")),"""")
"),15)</f>
        <v>15</v>
      </c>
      <c r="O73" s="3" t="n">
        <f aca="false">IFERROR(__xludf.dummyfunction("if($T73&lt;&gt;"""",VALUE(REGEXEXTRACT($T73, O$1&amp;""[\w &amp;]*, (\d+\.\d+)"")),"""")
"),16)</f>
        <v>16</v>
      </c>
      <c r="P73" s="2" t="n">
        <f aca="false">IFERROR(__xludf.dummyfunction("if($T73&lt;&gt;"""",VALUE(REGEXEXTRACT($T73, P$1&amp;""[\w &amp;]*, (\d+\.\d+)"")),"""")
"),15.18)</f>
        <v>15.18</v>
      </c>
      <c r="Q73" s="2" t="n">
        <f aca="false">IFERROR(__xludf.dummyfunction("if($T73&lt;&gt;"""",VALUE(REGEXEXTRACT($T73, Q$1&amp;""[\w &amp;]*, (\d+\.\d+)"")),"""")
"),13.95)</f>
        <v>13.95</v>
      </c>
      <c r="R73" s="2" t="n">
        <f aca="false">IFERROR(__xludf.dummyfunction("if($T73&lt;&gt;"""",VALUE(REGEXEXTRACT($T73, SUBSTITUTE(R$1, ""+"", ""\+"")&amp;""[\w &amp;]*, (\d+\.\d+)"")),"""")"),18.16)</f>
        <v>18.16</v>
      </c>
      <c r="S73" s="2" t="n">
        <f aca="false">IFERROR(__xludf.dummyfunction("if($T73&lt;&gt;"""",VALUE(REGEXEXTRACT($T73, SUBSTITUTE(S$1, ""+"", ""\+"")&amp;""[\w &amp;]*, (\d+\.\d+)"")),"""")"),19.39)</f>
        <v>19.39</v>
      </c>
      <c r="T73" s="5" t="s">
        <v>294</v>
      </c>
    </row>
    <row r="74" customFormat="false" ht="15.75" hidden="false" customHeight="false" outlineLevel="0" collapsed="false">
      <c r="A74" s="4" t="n">
        <f aca="false">IFERROR(__xludf.dummyfunction("""COMPUTED_VALUE"""),45503.6361111111)</f>
        <v>45503.6361111111</v>
      </c>
      <c r="B74" s="2" t="n">
        <f aca="false">IFERROR(__xludf.dummyfunction("""COMPUTED_VALUE"""),16.52)</f>
        <v>16.52</v>
      </c>
      <c r="C74" s="2" t="n">
        <f aca="false">IFERROR(__xludf.dummyfunction("""COMPUTED_VALUE"""),18.32)</f>
        <v>18.32</v>
      </c>
      <c r="D74" s="2" t="n">
        <f aca="false">IFERROR(__xludf.dummyfunction("""COMPUTED_VALUE"""),16.26)</f>
        <v>16.26</v>
      </c>
      <c r="E74" s="2" t="n">
        <f aca="false">IFERROR(__xludf.dummyfunction("""COMPUTED_VALUE"""),17.69)</f>
        <v>17.69</v>
      </c>
      <c r="F74" s="3" t="n">
        <f aca="false">IFERROR(__xludf.dummyfunction("if($T74&lt;&gt;"""",VALUE(REGEXEXTRACT(SUBSTITUTE ($T74,F$1&amp;"" CE"",""""), F$1&amp;""[\w &amp;]*, (\d+\.\d+)"")),"""")
"),17)</f>
        <v>17</v>
      </c>
      <c r="G74" s="3" t="n">
        <f aca="false">IFERROR(__xludf.dummyfunction("if($T74&lt;&gt;"""",VALUE(REGEXEXTRACT($T74, G$1&amp;""[\w &amp;]*, (\d+\.\d+)"")),"""")
"),20)</f>
        <v>20</v>
      </c>
      <c r="H74" s="3" t="str">
        <f aca="false">IFERROR(__xludf.dummyfunction("if($T74&lt;&gt;"""",VALUE(REGEXEXTRACT($T74, H$1&amp;""[\w &amp;]*, (\d+\.\d+)"")),"""")
"),"#N/A")</f>
        <v>#N/A</v>
      </c>
      <c r="I74" s="3" t="n">
        <f aca="false">IFERROR(__xludf.dummyfunction("if($T74&lt;&gt;"""",VALUE(REGEXEXTRACT(SUBSTITUTE ($T74,I$1&amp;"" CE"",""""), I$1&amp;""[\w &amp;]*, (\d+\.\d+)"")),"""")
"),15)</f>
        <v>15</v>
      </c>
      <c r="J74" s="3" t="n">
        <f aca="false">IFERROR(__xludf.dummyfunction("if($T74&lt;&gt;"""",VALUE(REGEXEXTRACT($T74, J$1&amp;""[\w &amp;]*, (\d+\.\d+)"")),"""")
"),15)</f>
        <v>15</v>
      </c>
      <c r="K74" s="3" t="n">
        <f aca="false">IFERROR(__xludf.dummyfunction("if($T74&lt;&gt;"""",VALUE(REGEXEXTRACT($T74, K$1&amp;""[\w &amp;]*, (\d+\.\d+)"")),"""")
"),14)</f>
        <v>14</v>
      </c>
      <c r="L74" s="3" t="n">
        <f aca="false">IFERROR(__xludf.dummyfunction("if($T74&lt;&gt;"""",VALUE(REGEXEXTRACT(SUBSTITUTE ($T74,L$1&amp;"" CE"",""""), L$1&amp;""[\w &amp;]*, (\d+\.\d+)"")),"""")
"),15)</f>
        <v>15</v>
      </c>
      <c r="M74" s="3" t="n">
        <f aca="false">IFERROR(__xludf.dummyfunction("if($T74&lt;&gt;"""",VALUE(REGEXEXTRACT($T74, M$1&amp;""[\w &amp;]*, (\d+\.\d+)"")),"""")
"),16)</f>
        <v>16</v>
      </c>
      <c r="N74" s="3" t="n">
        <f aca="false">IFERROR(__xludf.dummyfunction("if($T74&lt;&gt;"""",VALUE(REGEXEXTRACT(SUBSTITUTE ($T74,N$1&amp;"" CE"",""""), N$1&amp;""[\w &amp;]*, (\d+\.\d+)"")),"""")
"),15)</f>
        <v>15</v>
      </c>
      <c r="O74" s="3" t="n">
        <f aca="false">IFERROR(__xludf.dummyfunction("if($T74&lt;&gt;"""",VALUE(REGEXEXTRACT($T74, O$1&amp;""[\w &amp;]*, (\d+\.\d+)"")),"""")
"),16)</f>
        <v>16</v>
      </c>
      <c r="P74" s="2" t="n">
        <f aca="false">IFERROR(__xludf.dummyfunction("if($T74&lt;&gt;"""",VALUE(REGEXEXTRACT($T74, P$1&amp;""[\w &amp;]*, (\d+\.\d+)"")),"""")
"),15.36)</f>
        <v>15.36</v>
      </c>
      <c r="Q74" s="2" t="n">
        <f aca="false">IFERROR(__xludf.dummyfunction("if($T74&lt;&gt;"""",VALUE(REGEXEXTRACT($T74, Q$1&amp;""[\w &amp;]*, (\d+\.\d+)"")),"""")
"),14.07)</f>
        <v>14.07</v>
      </c>
      <c r="R74" s="2" t="n">
        <f aca="false">IFERROR(__xludf.dummyfunction("if($T74&lt;&gt;"""",VALUE(REGEXEXTRACT($T74, SUBSTITUTE(R$1, ""+"", ""\+"")&amp;""[\w &amp;]*, (\d+\.\d+)"")),"""")"),17.66)</f>
        <v>17.66</v>
      </c>
      <c r="S74" s="2" t="n">
        <f aca="false">IFERROR(__xludf.dummyfunction("if($T74&lt;&gt;"""",VALUE(REGEXEXTRACT($T74, SUBSTITUTE(S$1, ""+"", ""\+"")&amp;""[\w &amp;]*, (\d+\.\d+)"")),"""")"),18.95)</f>
        <v>18.95</v>
      </c>
      <c r="T74" s="5" t="s">
        <v>295</v>
      </c>
    </row>
    <row r="75" customFormat="false" ht="15.75" hidden="false" customHeight="false" outlineLevel="0" collapsed="false">
      <c r="A75" s="4" t="n">
        <f aca="false">IFERROR(__xludf.dummyfunction("""COMPUTED_VALUE"""),45504.6361111111)</f>
        <v>45504.6361111111</v>
      </c>
      <c r="B75" s="2" t="n">
        <f aca="false">IFERROR(__xludf.dummyfunction("""COMPUTED_VALUE"""),16.74)</f>
        <v>16.74</v>
      </c>
      <c r="C75" s="2" t="n">
        <f aca="false">IFERROR(__xludf.dummyfunction("""COMPUTED_VALUE"""),16.77)</f>
        <v>16.77</v>
      </c>
      <c r="D75" s="2" t="n">
        <f aca="false">IFERROR(__xludf.dummyfunction("""COMPUTED_VALUE"""),15.71)</f>
        <v>15.71</v>
      </c>
      <c r="E75" s="2" t="n">
        <f aca="false">IFERROR(__xludf.dummyfunction("""COMPUTED_VALUE"""),16.36)</f>
        <v>16.36</v>
      </c>
      <c r="F75" s="3" t="n">
        <f aca="false">IFERROR(__xludf.dummyfunction("if($T75&lt;&gt;"""",VALUE(REGEXEXTRACT(SUBSTITUTE ($T75,F$1&amp;"" CE"",""""), F$1&amp;""[\w &amp;]*, (\d+\.\d+)"")),"""")
"),17)</f>
        <v>17</v>
      </c>
      <c r="G75" s="3" t="n">
        <f aca="false">IFERROR(__xludf.dummyfunction("if($T75&lt;&gt;"""",VALUE(REGEXEXTRACT($T75, G$1&amp;""[\w &amp;]*, (\d+\.\d+)"")),"""")
"),17)</f>
        <v>17</v>
      </c>
      <c r="H75" s="3" t="str">
        <f aca="false">IFERROR(__xludf.dummyfunction("if($T75&lt;&gt;"""",VALUE(REGEXEXTRACT($T75, H$1&amp;""[\w &amp;]*, (\d+\.\d+)"")),"""")
"),"#N/A")</f>
        <v>#N/A</v>
      </c>
      <c r="I75" s="3" t="n">
        <f aca="false">IFERROR(__xludf.dummyfunction("if($T75&lt;&gt;"""",VALUE(REGEXEXTRACT(SUBSTITUTE ($T75,I$1&amp;"" CE"",""""), I$1&amp;""[\w &amp;]*, (\d+\.\d+)"")),"""")
"),15)</f>
        <v>15</v>
      </c>
      <c r="J75" s="3" t="n">
        <f aca="false">IFERROR(__xludf.dummyfunction("if($T75&lt;&gt;"""",VALUE(REGEXEXTRACT($T75, J$1&amp;""[\w &amp;]*, (\d+\.\d+)"")),"""")
"),16)</f>
        <v>16</v>
      </c>
      <c r="K75" s="3" t="n">
        <f aca="false">IFERROR(__xludf.dummyfunction("if($T75&lt;&gt;"""",VALUE(REGEXEXTRACT($T75, K$1&amp;""[\w &amp;]*, (\d+\.\d+)"")),"""")
"),14)</f>
        <v>14</v>
      </c>
      <c r="L75" s="3" t="n">
        <f aca="false">IFERROR(__xludf.dummyfunction("if($T75&lt;&gt;"""",VALUE(REGEXEXTRACT(SUBSTITUTE ($T75,L$1&amp;"" CE"",""""), L$1&amp;""[\w &amp;]*, (\d+\.\d+)"")),"""")
"),16)</f>
        <v>16</v>
      </c>
      <c r="M75" s="3" t="n">
        <f aca="false">IFERROR(__xludf.dummyfunction("if($T75&lt;&gt;"""",VALUE(REGEXEXTRACT($T75, M$1&amp;""[\w &amp;]*, (\d+\.\d+)"")),"""")
"),16)</f>
        <v>16</v>
      </c>
      <c r="N75" s="3" t="n">
        <f aca="false">IFERROR(__xludf.dummyfunction("if($T75&lt;&gt;"""",VALUE(REGEXEXTRACT(SUBSTITUTE ($T75,N$1&amp;"" CE"",""""), N$1&amp;""[\w &amp;]*, (\d+\.\d+)"")),"""")
"),17)</f>
        <v>17</v>
      </c>
      <c r="O75" s="3" t="n">
        <f aca="false">IFERROR(__xludf.dummyfunction("if($T75&lt;&gt;"""",VALUE(REGEXEXTRACT($T75, O$1&amp;""[\w &amp;]*, (\d+\.\d+)"")),"""")
"),17)</f>
        <v>17</v>
      </c>
      <c r="P75" s="2" t="n">
        <f aca="false">IFERROR(__xludf.dummyfunction("if($T75&lt;&gt;"""",VALUE(REGEXEXTRACT($T75, P$1&amp;""[\w &amp;]*, (\d+\.\d+)"")),"""")
"),15.95)</f>
        <v>15.95</v>
      </c>
      <c r="Q75" s="2" t="n">
        <f aca="false">IFERROR(__xludf.dummyfunction("if($T75&lt;&gt;"""",VALUE(REGEXEXTRACT($T75, Q$1&amp;""[\w &amp;]*, (\d+\.\d+)"")),"""")
"),14.7)</f>
        <v>14.7</v>
      </c>
      <c r="R75" s="2" t="n">
        <f aca="false">IFERROR(__xludf.dummyfunction("if($T75&lt;&gt;"""",VALUE(REGEXEXTRACT($T75, SUBSTITUTE(R$1, ""+"", ""\+"")&amp;""[\w &amp;]*, (\d+\.\d+)"")),"""")"),17.33)</f>
        <v>17.33</v>
      </c>
      <c r="S75" s="2" t="n">
        <f aca="false">IFERROR(__xludf.dummyfunction("if($T75&lt;&gt;"""",VALUE(REGEXEXTRACT($T75, SUBSTITUTE(S$1, ""+"", ""\+"")&amp;""[\w &amp;]*, (\d+\.\d+)"")),"""")"),18.58)</f>
        <v>18.58</v>
      </c>
      <c r="T75" s="5" t="s">
        <v>296</v>
      </c>
    </row>
    <row r="76" customFormat="false" ht="15.75" hidden="false" customHeight="false" outlineLevel="0" collapsed="false">
      <c r="A76" s="4" t="n">
        <f aca="false">IFERROR(__xludf.dummyfunction("""COMPUTED_VALUE"""),45505.6361111111)</f>
        <v>45505.6361111111</v>
      </c>
      <c r="B76" s="2" t="n">
        <f aca="false">IFERROR(__xludf.dummyfunction("""COMPUTED_VALUE"""),16.22)</f>
        <v>16.22</v>
      </c>
      <c r="C76" s="2" t="n">
        <f aca="false">IFERROR(__xludf.dummyfunction("""COMPUTED_VALUE"""),19.48)</f>
        <v>19.48</v>
      </c>
      <c r="D76" s="2" t="n">
        <f aca="false">IFERROR(__xludf.dummyfunction("""COMPUTED_VALUE"""),15.95)</f>
        <v>15.95</v>
      </c>
      <c r="E76" s="2" t="n">
        <f aca="false">IFERROR(__xludf.dummyfunction("""COMPUTED_VALUE"""),18.59)</f>
        <v>18.59</v>
      </c>
      <c r="F76" s="3" t="n">
        <f aca="false">IFERROR(__xludf.dummyfunction("if($T76&lt;&gt;"""",VALUE(REGEXEXTRACT(SUBSTITUTE ($T76,F$1&amp;"" CE"",""""), F$1&amp;""[\w &amp;]*, (\d+\.\d+)"")),"""")
"),17)</f>
        <v>17</v>
      </c>
      <c r="G76" s="3" t="n">
        <f aca="false">IFERROR(__xludf.dummyfunction("if($T76&lt;&gt;"""",VALUE(REGEXEXTRACT($T76, G$1&amp;""[\w &amp;]*, (\d+\.\d+)"")),"""")
"),17)</f>
        <v>17</v>
      </c>
      <c r="H76" s="3" t="str">
        <f aca="false">IFERROR(__xludf.dummyfunction("if($T76&lt;&gt;"""",VALUE(REGEXEXTRACT($T76, H$1&amp;""[\w &amp;]*, (\d+\.\d+)"")),"""")
"),"#N/A")</f>
        <v>#N/A</v>
      </c>
      <c r="I76" s="3" t="n">
        <f aca="false">IFERROR(__xludf.dummyfunction("if($T76&lt;&gt;"""",VALUE(REGEXEXTRACT(SUBSTITUTE ($T76,I$1&amp;"" CE"",""""), I$1&amp;""[\w &amp;]*, (\d+\.\d+)"")),"""")
"),15)</f>
        <v>15</v>
      </c>
      <c r="J76" s="3" t="n">
        <f aca="false">IFERROR(__xludf.dummyfunction("if($T76&lt;&gt;"""",VALUE(REGEXEXTRACT($T76, J$1&amp;""[\w &amp;]*, (\d+\.\d+)"")),"""")
"),14)</f>
        <v>14</v>
      </c>
      <c r="K76" s="3" t="n">
        <f aca="false">IFERROR(__xludf.dummyfunction("if($T76&lt;&gt;"""",VALUE(REGEXEXTRACT($T76, K$1&amp;""[\w &amp;]*, (\d+\.\d+)"")),"""")
"),14)</f>
        <v>14</v>
      </c>
      <c r="L76" s="3" t="n">
        <f aca="false">IFERROR(__xludf.dummyfunction("if($T76&lt;&gt;"""",VALUE(REGEXEXTRACT(SUBSTITUTE ($T76,L$1&amp;"" CE"",""""), L$1&amp;""[\w &amp;]*, (\d+\.\d+)"")),"""")
"),16)</f>
        <v>16</v>
      </c>
      <c r="M76" s="3" t="n">
        <f aca="false">IFERROR(__xludf.dummyfunction("if($T76&lt;&gt;"""",VALUE(REGEXEXTRACT($T76, M$1&amp;""[\w &amp;]*, (\d+\.\d+)"")),"""")
"),16)</f>
        <v>16</v>
      </c>
      <c r="N76" s="3" t="n">
        <f aca="false">IFERROR(__xludf.dummyfunction("if($T76&lt;&gt;"""",VALUE(REGEXEXTRACT(SUBSTITUTE ($T76,N$1&amp;"" CE"",""""), N$1&amp;""[\w &amp;]*, (\d+\.\d+)"")),"""")
"),15)</f>
        <v>15</v>
      </c>
      <c r="O76" s="3" t="n">
        <f aca="false">IFERROR(__xludf.dummyfunction("if($T76&lt;&gt;"""",VALUE(REGEXEXTRACT($T76, O$1&amp;""[\w &amp;]*, (\d+\.\d+)"")),"""")
"),16)</f>
        <v>16</v>
      </c>
      <c r="P76" s="2" t="n">
        <f aca="false">IFERROR(__xludf.dummyfunction("if($T76&lt;&gt;"""",VALUE(REGEXEXTRACT($T76, P$1&amp;""[\w &amp;]*, (\d+\.\d+)"")),"""")
"),14.55)</f>
        <v>14.55</v>
      </c>
      <c r="Q76" s="2" t="n">
        <f aca="false">IFERROR(__xludf.dummyfunction("if($T76&lt;&gt;"""",VALUE(REGEXEXTRACT($T76, Q$1&amp;""[\w &amp;]*, (\d+\.\d+)"")),"""")
"),13.78)</f>
        <v>13.78</v>
      </c>
      <c r="R76" s="2" t="n">
        <f aca="false">IFERROR(__xludf.dummyfunction("if($T76&lt;&gt;"""",VALUE(REGEXEXTRACT($T76, SUBSTITUTE(R$1, ""+"", ""\+"")&amp;""[\w &amp;]*, (\d+\.\d+)"")),"""")"),18.23)</f>
        <v>18.23</v>
      </c>
      <c r="S76" s="2" t="n">
        <f aca="false">IFERROR(__xludf.dummyfunction("if($T76&lt;&gt;"""",VALUE(REGEXEXTRACT($T76, SUBSTITUTE(S$1, ""+"", ""\+"")&amp;""[\w &amp;]*, (\d+\.\d+)"")),"""")"),19)</f>
        <v>19</v>
      </c>
      <c r="T76" s="5" t="s">
        <v>297</v>
      </c>
    </row>
    <row r="77" customFormat="false" ht="15.75" hidden="false" customHeight="false" outlineLevel="0" collapsed="false">
      <c r="A77" s="4" t="n">
        <f aca="false">IFERROR(__xludf.dummyfunction("""COMPUTED_VALUE"""),45506.6361111111)</f>
        <v>45506.6361111111</v>
      </c>
      <c r="B77" s="2" t="n">
        <f aca="false">IFERROR(__xludf.dummyfunction("""COMPUTED_VALUE"""),20.45)</f>
        <v>20.45</v>
      </c>
      <c r="C77" s="2" t="n">
        <f aca="false">IFERROR(__xludf.dummyfunction("""COMPUTED_VALUE"""),29.66)</f>
        <v>29.66</v>
      </c>
      <c r="D77" s="2" t="n">
        <f aca="false">IFERROR(__xludf.dummyfunction("""COMPUTED_VALUE"""),20.45)</f>
        <v>20.45</v>
      </c>
      <c r="E77" s="2" t="n">
        <f aca="false">IFERROR(__xludf.dummyfunction("""COMPUTED_VALUE"""),23.39)</f>
        <v>23.39</v>
      </c>
      <c r="F77" s="3" t="n">
        <f aca="false">IFERROR(__xludf.dummyfunction("if($T77&lt;&gt;"""",VALUE(REGEXEXTRACT(SUBSTITUTE ($T77,F$1&amp;"" CE"",""""), F$1&amp;""[\w &amp;]*, (\d+\.\d+)"")),"""")
"),17)</f>
        <v>17</v>
      </c>
      <c r="G77" s="3" t="n">
        <f aca="false">IFERROR(__xludf.dummyfunction("if($T77&lt;&gt;"""",VALUE(REGEXEXTRACT($T77, G$1&amp;""[\w &amp;]*, (\d+\.\d+)"")),"""")
"),20)</f>
        <v>20</v>
      </c>
      <c r="H77" s="3" t="n">
        <f aca="false">IFERROR(__xludf.dummyfunction("if($T77&lt;&gt;"""",VALUE(REGEXEXTRACT($T77, H$1&amp;""[\w &amp;]*, (\d+\.\d+)"")),"""")
"),25)</f>
        <v>25</v>
      </c>
      <c r="I77" s="3" t="n">
        <f aca="false">IFERROR(__xludf.dummyfunction("if($T77&lt;&gt;"""",VALUE(REGEXEXTRACT(SUBSTITUTE ($T77,I$1&amp;"" CE"",""""), I$1&amp;""[\w &amp;]*, (\d+\.\d+)"")),"""")
"),16)</f>
        <v>16</v>
      </c>
      <c r="J77" s="3" t="n">
        <f aca="false">IFERROR(__xludf.dummyfunction("if($T77&lt;&gt;"""",VALUE(REGEXEXTRACT($T77, J$1&amp;""[\w &amp;]*, (\d+\.\d+)"")),"""")
"),16)</f>
        <v>16</v>
      </c>
      <c r="K77" s="3" t="n">
        <f aca="false">IFERROR(__xludf.dummyfunction("if($T77&lt;&gt;"""",VALUE(REGEXEXTRACT($T77, K$1&amp;""[\w &amp;]*, (\d+\.\d+)"")),"""")
"),14)</f>
        <v>14</v>
      </c>
      <c r="L77" s="3" t="n">
        <f aca="false">IFERROR(__xludf.dummyfunction("if($T77&lt;&gt;"""",VALUE(REGEXEXTRACT(SUBSTITUTE ($T77,L$1&amp;"" CE"",""""), L$1&amp;""[\w &amp;]*, (\d+\.\d+)"")),"""")
"),16)</f>
        <v>16</v>
      </c>
      <c r="M77" s="3" t="n">
        <f aca="false">IFERROR(__xludf.dummyfunction("if($T77&lt;&gt;"""",VALUE(REGEXEXTRACT($T77, M$1&amp;""[\w &amp;]*, (\d+\.\d+)"")),"""")
"),17)</f>
        <v>17</v>
      </c>
      <c r="N77" s="3" t="n">
        <f aca="false">IFERROR(__xludf.dummyfunction("if($T77&lt;&gt;"""",VALUE(REGEXEXTRACT(SUBSTITUTE ($T77,N$1&amp;"" CE"",""""), N$1&amp;""[\w &amp;]*, (\d+\.\d+)"")),"""")
"),17)</f>
        <v>17</v>
      </c>
      <c r="O77" s="3" t="n">
        <f aca="false">IFERROR(__xludf.dummyfunction("if($T77&lt;&gt;"""",VALUE(REGEXEXTRACT($T77, O$1&amp;""[\w &amp;]*, (\d+\.\d+)"")),"""")
"),17)</f>
        <v>17</v>
      </c>
      <c r="P77" s="2" t="n">
        <f aca="false">IFERROR(__xludf.dummyfunction("if($T77&lt;&gt;"""",VALUE(REGEXEXTRACT($T77, P$1&amp;""[\w &amp;]*, (\d+\.\d+)"")),"""")
"),17.37)</f>
        <v>17.37</v>
      </c>
      <c r="Q77" s="2" t="n">
        <f aca="false">IFERROR(__xludf.dummyfunction("if($T77&lt;&gt;"""",VALUE(REGEXEXTRACT($T77, Q$1&amp;""[\w &amp;]*, (\d+\.\d+)"")),"""")
"),15.94)</f>
        <v>15.94</v>
      </c>
      <c r="R77" s="2" t="n">
        <f aca="false">IFERROR(__xludf.dummyfunction("if($T77&lt;&gt;"""",VALUE(REGEXEXTRACT($T77, SUBSTITUTE(R$1, ""+"", ""\+"")&amp;""[\w &amp;]*, (\d+\.\d+)"")),"""")"),23.43)</f>
        <v>23.43</v>
      </c>
      <c r="S77" s="2" t="n">
        <f aca="false">IFERROR(__xludf.dummyfunction("if($T77&lt;&gt;"""",VALUE(REGEXEXTRACT($T77, SUBSTITUTE(S$1, ""+"", ""\+"")&amp;""[\w &amp;]*, (\d+\.\d+)"")),"""")"),24.86)</f>
        <v>24.86</v>
      </c>
      <c r="T77" s="5" t="s">
        <v>298</v>
      </c>
    </row>
    <row r="78" customFormat="false" ht="15.75" hidden="false" customHeight="false" outlineLevel="0" collapsed="false">
      <c r="A78" s="4" t="n">
        <f aca="false">IFERROR(__xludf.dummyfunction("""COMPUTED_VALUE"""),45509.6361111111)</f>
        <v>45509.6361111111</v>
      </c>
      <c r="B78" s="2" t="n">
        <f aca="false">IFERROR(__xludf.dummyfunction("""COMPUTED_VALUE"""),23.39)</f>
        <v>23.39</v>
      </c>
      <c r="C78" s="2" t="n">
        <f aca="false">IFERROR(__xludf.dummyfunction("""COMPUTED_VALUE"""),65.73)</f>
        <v>65.73</v>
      </c>
      <c r="D78" s="2" t="n">
        <f aca="false">IFERROR(__xludf.dummyfunction("""COMPUTED_VALUE"""),23.39)</f>
        <v>23.39</v>
      </c>
      <c r="E78" s="2" t="n">
        <f aca="false">IFERROR(__xludf.dummyfunction("""COMPUTED_VALUE"""),38.57)</f>
        <v>38.57</v>
      </c>
      <c r="F78" s="3" t="n">
        <f aca="false">IFERROR(__xludf.dummyfunction("if($T78&lt;&gt;"""",VALUE(REGEXEXTRACT(SUBSTITUTE ($T78,F$1&amp;"" CE"",""""), F$1&amp;""[\w &amp;]*, (\d+\.\d+)"")),"""")
"),25)</f>
        <v>25</v>
      </c>
      <c r="G78" s="3" t="n">
        <f aca="false">IFERROR(__xludf.dummyfunction("if($T78&lt;&gt;"""",VALUE(REGEXEXTRACT($T78, G$1&amp;""[\w &amp;]*, (\d+\.\d+)"")),"""")
"),30)</f>
        <v>30</v>
      </c>
      <c r="H78" s="3" t="str">
        <f aca="false">IFERROR(__xludf.dummyfunction("if($T78&lt;&gt;"""",VALUE(REGEXEXTRACT($T78, H$1&amp;""[\w &amp;]*, (\d+\.\d+)"")),"""")
"),"#N/A")</f>
        <v>#N/A</v>
      </c>
      <c r="I78" s="3" t="n">
        <f aca="false">IFERROR(__xludf.dummyfunction("if($T78&lt;&gt;"""",VALUE(REGEXEXTRACT(SUBSTITUTE ($T78,I$1&amp;"" CE"",""""), I$1&amp;""[\w &amp;]*, (\d+\.\d+)"")),"""")
"),17)</f>
        <v>17</v>
      </c>
      <c r="J78" s="3" t="n">
        <f aca="false">IFERROR(__xludf.dummyfunction("if($T78&lt;&gt;"""",VALUE(REGEXEXTRACT($T78, J$1&amp;""[\w &amp;]*, (\d+\.\d+)"")),"""")
"),24)</f>
        <v>24</v>
      </c>
      <c r="K78" s="3" t="str">
        <f aca="false">IFERROR(__xludf.dummyfunction("if($T78&lt;&gt;"""",VALUE(REGEXEXTRACT($T78, K$1&amp;""[\w &amp;]*, (\d+\.\d+)"")),"""")
"),"#N/A")</f>
        <v>#N/A</v>
      </c>
      <c r="L78" s="3" t="n">
        <f aca="false">IFERROR(__xludf.dummyfunction("if($T78&lt;&gt;"""",VALUE(REGEXEXTRACT(SUBSTITUTE ($T78,L$1&amp;"" CE"",""""), L$1&amp;""[\w &amp;]*, (\d+\.\d+)"")),"""")
"),16)</f>
        <v>16</v>
      </c>
      <c r="M78" s="3" t="n">
        <f aca="false">IFERROR(__xludf.dummyfunction("if($T78&lt;&gt;"""",VALUE(REGEXEXTRACT($T78, M$1&amp;""[\w &amp;]*, (\d+\.\d+)"")),"""")
"),24)</f>
        <v>24</v>
      </c>
      <c r="N78" s="3" t="n">
        <f aca="false">IFERROR(__xludf.dummyfunction("if($T78&lt;&gt;"""",VALUE(REGEXEXTRACT(SUBSTITUTE ($T78,N$1&amp;"" CE"",""""), N$1&amp;""[\w &amp;]*, (\d+\.\d+)"")),"""")
"),25)</f>
        <v>25</v>
      </c>
      <c r="O78" s="3" t="n">
        <f aca="false">IFERROR(__xludf.dummyfunction("if($T78&lt;&gt;"""",VALUE(REGEXEXTRACT($T78, O$1&amp;""[\w &amp;]*, (\d+\.\d+)"")),"""")
"),30)</f>
        <v>30</v>
      </c>
      <c r="P78" s="2" t="n">
        <f aca="false">IFERROR(__xludf.dummyfunction("if($T78&lt;&gt;"""",VALUE(REGEXEXTRACT($T78, P$1&amp;""[\w &amp;]*, (\d+\.\d+)"")),"""")
"),56.47)</f>
        <v>56.47</v>
      </c>
      <c r="Q78" s="2" t="n">
        <f aca="false">IFERROR(__xludf.dummyfunction("if($T78&lt;&gt;"""",VALUE(REGEXEXTRACT($T78, Q$1&amp;""[\w &amp;]*, (\d+\.\d+)"")),"""")
"),56.1)</f>
        <v>56.1</v>
      </c>
      <c r="R78" s="2" t="n">
        <f aca="false">IFERROR(__xludf.dummyfunction("if($T78&lt;&gt;"""",VALUE(REGEXEXTRACT($T78, SUBSTITUTE(R$1, ""+"", ""\+"")&amp;""[\w &amp;]*, (\d+\.\d+)"")),"""")"),57.37)</f>
        <v>57.37</v>
      </c>
      <c r="S78" s="2" t="n">
        <f aca="false">IFERROR(__xludf.dummyfunction("if($T78&lt;&gt;"""",VALUE(REGEXEXTRACT($T78, SUBSTITUTE(S$1, ""+"", ""\+"")&amp;""[\w &amp;]*, (\d+\.\d+)"")),"""")"),57.74)</f>
        <v>57.74</v>
      </c>
      <c r="T78" s="5" t="s">
        <v>299</v>
      </c>
    </row>
    <row r="79" customFormat="false" ht="15.75" hidden="false" customHeight="false" outlineLevel="0" collapsed="false">
      <c r="A79" s="4" t="n">
        <f aca="false">IFERROR(__xludf.dummyfunction("""COMPUTED_VALUE"""),45510.6361111111)</f>
        <v>45510.6361111111</v>
      </c>
      <c r="B79" s="2" t="n">
        <f aca="false">IFERROR(__xludf.dummyfunction("""COMPUTED_VALUE"""),31.17)</f>
        <v>31.17</v>
      </c>
      <c r="C79" s="2" t="n">
        <f aca="false">IFERROR(__xludf.dummyfunction("""COMPUTED_VALUE"""),31.17)</f>
        <v>31.17</v>
      </c>
      <c r="D79" s="2" t="n">
        <f aca="false">IFERROR(__xludf.dummyfunction("""COMPUTED_VALUE"""),24.02)</f>
        <v>24.02</v>
      </c>
      <c r="E79" s="2" t="n">
        <f aca="false">IFERROR(__xludf.dummyfunction("""COMPUTED_VALUE"""),27.71)</f>
        <v>27.71</v>
      </c>
      <c r="F79" s="3" t="n">
        <f aca="false">IFERROR(__xludf.dummyfunction("if($T79&lt;&gt;"""",VALUE(REGEXEXTRACT(SUBSTITUTE ($T79,F$1&amp;"" CE"",""""), F$1&amp;""[\w &amp;]*, (\d+\.\d+)"")),"""")
"),25)</f>
        <v>25</v>
      </c>
      <c r="G79" s="3" t="n">
        <f aca="false">IFERROR(__xludf.dummyfunction("if($T79&lt;&gt;"""",VALUE(REGEXEXTRACT($T79, G$1&amp;""[\w &amp;]*, (\d+\.\d+)"")),"""")
"),30)</f>
        <v>30</v>
      </c>
      <c r="H79" s="3" t="n">
        <f aca="false">IFERROR(__xludf.dummyfunction("if($T79&lt;&gt;"""",VALUE(REGEXEXTRACT($T79, H$1&amp;""[\w &amp;]*, (\d+\.\d+)"")),"""")
"),28)</f>
        <v>28</v>
      </c>
      <c r="I79" s="3" t="n">
        <f aca="false">IFERROR(__xludf.dummyfunction("if($T79&lt;&gt;"""",VALUE(REGEXEXTRACT(SUBSTITUTE ($T79,I$1&amp;"" CE"",""""), I$1&amp;""[\w &amp;]*, (\d+\.\d+)"")),"""")
"),17)</f>
        <v>17</v>
      </c>
      <c r="J79" s="3" t="n">
        <f aca="false">IFERROR(__xludf.dummyfunction("if($T79&lt;&gt;"""",VALUE(REGEXEXTRACT($T79, J$1&amp;""[\w &amp;]*, (\d+\.\d+)"")),"""")
"),20)</f>
        <v>20</v>
      </c>
      <c r="K79" s="3" t="n">
        <f aca="false">IFERROR(__xludf.dummyfunction("if($T79&lt;&gt;"""",VALUE(REGEXEXTRACT($T79, K$1&amp;""[\w &amp;]*, (\d+\.\d+)"")),"""")
"),14)</f>
        <v>14</v>
      </c>
      <c r="L79" s="3" t="n">
        <f aca="false">IFERROR(__xludf.dummyfunction("if($T79&lt;&gt;"""",VALUE(REGEXEXTRACT(SUBSTITUTE ($T79,L$1&amp;"" CE"",""""), L$1&amp;""[\w &amp;]*, (\d+\.\d+)"")),"""")
"),16)</f>
        <v>16</v>
      </c>
      <c r="M79" s="3" t="n">
        <f aca="false">IFERROR(__xludf.dummyfunction("if($T79&lt;&gt;"""",VALUE(REGEXEXTRACT($T79, M$1&amp;""[\w &amp;]*, (\d+\.\d+)"")),"""")
"),29)</f>
        <v>29</v>
      </c>
      <c r="N79" s="3" t="n">
        <f aca="false">IFERROR(__xludf.dummyfunction("if($T79&lt;&gt;"""",VALUE(REGEXEXTRACT(SUBSTITUTE ($T79,N$1&amp;"" CE"",""""), N$1&amp;""[\w &amp;]*, (\d+\.\d+)"")),"""")
"),25)</f>
        <v>25</v>
      </c>
      <c r="O79" s="3" t="n">
        <f aca="false">IFERROR(__xludf.dummyfunction("if($T79&lt;&gt;"""",VALUE(REGEXEXTRACT($T79, O$1&amp;""[\w &amp;]*, (\d+\.\d+)"")),"""")
"),30)</f>
        <v>30</v>
      </c>
      <c r="P79" s="2" t="n">
        <f aca="false">IFERROR(__xludf.dummyfunction("if($T79&lt;&gt;"""",VALUE(REGEXEXTRACT($T79, P$1&amp;""[\w &amp;]*, (\d+\.\d+)"")),"""")
"),26.28)</f>
        <v>26.28</v>
      </c>
      <c r="Q79" s="2" t="n">
        <f aca="false">IFERROR(__xludf.dummyfunction("if($T79&lt;&gt;"""",VALUE(REGEXEXTRACT($T79, Q$1&amp;""[\w &amp;]*, (\d+\.\d+)"")),"""")
"),19.92)</f>
        <v>19.92</v>
      </c>
      <c r="R79" s="2" t="n">
        <f aca="false">IFERROR(__xludf.dummyfunction("if($T79&lt;&gt;"""",VALUE(REGEXEXTRACT($T79, SUBSTITUTE(R$1, ""+"", ""\+"")&amp;""[\w &amp;]*, (\d+\.\d+)"")),"""")"),37.62)</f>
        <v>37.62</v>
      </c>
      <c r="S79" s="2" t="n">
        <f aca="false">IFERROR(__xludf.dummyfunction("if($T79&lt;&gt;"""",VALUE(REGEXEXTRACT($T79, SUBSTITUTE(S$1, ""+"", ""\+"")&amp;""[\w &amp;]*, (\d+\.\d+)"")),"""")"),43.98)</f>
        <v>43.98</v>
      </c>
      <c r="T79" s="5" t="s">
        <v>300</v>
      </c>
    </row>
    <row r="80" customFormat="false" ht="15.75" hidden="false" customHeight="false" outlineLevel="0" collapsed="false">
      <c r="A80" s="4" t="n">
        <f aca="false">IFERROR(__xludf.dummyfunction("""COMPUTED_VALUE"""),45511.6361111111)</f>
        <v>45511.6361111111</v>
      </c>
      <c r="B80" s="2" t="n">
        <f aca="false">IFERROR(__xludf.dummyfunction("""COMPUTED_VALUE"""),22.63)</f>
        <v>22.63</v>
      </c>
      <c r="C80" s="2" t="n">
        <f aca="false">IFERROR(__xludf.dummyfunction("""COMPUTED_VALUE"""),29.76)</f>
        <v>29.76</v>
      </c>
      <c r="D80" s="2" t="n">
        <f aca="false">IFERROR(__xludf.dummyfunction("""COMPUTED_VALUE"""),21.97)</f>
        <v>21.97</v>
      </c>
      <c r="E80" s="2" t="n">
        <f aca="false">IFERROR(__xludf.dummyfunction("""COMPUTED_VALUE"""),27.85)</f>
        <v>27.85</v>
      </c>
      <c r="F80" s="3" t="n">
        <f aca="false">IFERROR(__xludf.dummyfunction("if($T80&lt;&gt;"""",VALUE(REGEXEXTRACT(SUBSTITUTE ($T80,F$1&amp;"" CE"",""""), F$1&amp;""[\w &amp;]*, (\d+\.\d+)"")),"""")
"),17)</f>
        <v>17</v>
      </c>
      <c r="G80" s="3" t="n">
        <f aca="false">IFERROR(__xludf.dummyfunction("if($T80&lt;&gt;"""",VALUE(REGEXEXTRACT($T80, G$1&amp;""[\w &amp;]*, (\d+\.\d+)"")),"""")
"),30)</f>
        <v>30</v>
      </c>
      <c r="H80" s="3" t="n">
        <f aca="false">IFERROR(__xludf.dummyfunction("if($T80&lt;&gt;"""",VALUE(REGEXEXTRACT($T80, H$1&amp;""[\w &amp;]*, (\d+\.\d+)"")),"""")
"),28)</f>
        <v>28</v>
      </c>
      <c r="I80" s="3" t="n">
        <f aca="false">IFERROR(__xludf.dummyfunction("if($T80&lt;&gt;"""",VALUE(REGEXEXTRACT(SUBSTITUTE ($T80,I$1&amp;"" CE"",""""), I$1&amp;""[\w &amp;]*, (\d+\.\d+)"")),"""")
"),17)</f>
        <v>17</v>
      </c>
      <c r="J80" s="3" t="n">
        <f aca="false">IFERROR(__xludf.dummyfunction("if($T80&lt;&gt;"""",VALUE(REGEXEXTRACT($T80, J$1&amp;""[\w &amp;]*, (\d+\.\d+)"")),"""")
"),24)</f>
        <v>24</v>
      </c>
      <c r="K80" s="3" t="n">
        <f aca="false">IFERROR(__xludf.dummyfunction("if($T80&lt;&gt;"""",VALUE(REGEXEXTRACT($T80, K$1&amp;""[\w &amp;]*, (\d+\.\d+)"")),"""")
"),14)</f>
        <v>14</v>
      </c>
      <c r="L80" s="3" t="n">
        <f aca="false">IFERROR(__xludf.dummyfunction("if($T80&lt;&gt;"""",VALUE(REGEXEXTRACT(SUBSTITUTE ($T80,L$1&amp;"" CE"",""""), L$1&amp;""[\w &amp;]*, (\d+\.\d+)"")),"""")
"),16)</f>
        <v>16</v>
      </c>
      <c r="M80" s="3" t="n">
        <f aca="false">IFERROR(__xludf.dummyfunction("if($T80&lt;&gt;"""",VALUE(REGEXEXTRACT($T80, M$1&amp;""[\w &amp;]*, (\d+\.\d+)"")),"""")
"),25)</f>
        <v>25</v>
      </c>
      <c r="N80" s="3" t="n">
        <f aca="false">IFERROR(__xludf.dummyfunction("if($T80&lt;&gt;"""",VALUE(REGEXEXTRACT(SUBSTITUTE ($T80,N$1&amp;"" CE"",""""), N$1&amp;""[\w &amp;]*, (\d+\.\d+)"")),"""")
"),17)</f>
        <v>17</v>
      </c>
      <c r="O80" s="3" t="n">
        <f aca="false">IFERROR(__xludf.dummyfunction("if($T80&lt;&gt;"""",VALUE(REGEXEXTRACT($T80, O$1&amp;""[\w &amp;]*, (\d+\.\d+)"")),"""")
"),26)</f>
        <v>26</v>
      </c>
      <c r="P80" s="2" t="n">
        <f aca="false">IFERROR(__xludf.dummyfunction("if($T80&lt;&gt;"""",VALUE(REGEXEXTRACT($T80, P$1&amp;""[\w &amp;]*, (\d+\.\d+)"")),"""")
"),21.13)</f>
        <v>21.13</v>
      </c>
      <c r="Q80" s="2" t="n">
        <f aca="false">IFERROR(__xludf.dummyfunction("if($T80&lt;&gt;"""",VALUE(REGEXEXTRACT($T80, Q$1&amp;""[\w &amp;]*, (\d+\.\d+)"")),"""")
"),18.13)</f>
        <v>18.13</v>
      </c>
      <c r="R80" s="2" t="n">
        <f aca="false">IFERROR(__xludf.dummyfunction("if($T80&lt;&gt;"""",VALUE(REGEXEXTRACT($T80, SUBSTITUTE(R$1, ""+"", ""\+"")&amp;""[\w &amp;]*, (\d+\.\d+)"")),"""")"),24.41)</f>
        <v>24.41</v>
      </c>
      <c r="S80" s="2" t="n">
        <f aca="false">IFERROR(__xludf.dummyfunction("if($T80&lt;&gt;"""",VALUE(REGEXEXTRACT($T80, SUBSTITUTE(S$1, ""+"", ""\+"")&amp;""[\w &amp;]*, (\d+\.\d+)"")),"""")"),27.41)</f>
        <v>27.41</v>
      </c>
      <c r="T80" s="5" t="s">
        <v>301</v>
      </c>
    </row>
    <row r="81" customFormat="false" ht="15.75" hidden="false" customHeight="false" outlineLevel="0" collapsed="false">
      <c r="A81" s="4" t="n">
        <f aca="false">IFERROR(__xludf.dummyfunction("""COMPUTED_VALUE"""),45512.6361111111)</f>
        <v>45512.6361111111</v>
      </c>
      <c r="B81" s="2" t="n">
        <f aca="false">IFERROR(__xludf.dummyfunction("""COMPUTED_VALUE"""),27.76)</f>
        <v>27.76</v>
      </c>
      <c r="C81" s="2" t="n">
        <f aca="false">IFERROR(__xludf.dummyfunction("""COMPUTED_VALUE"""),27.76)</f>
        <v>27.76</v>
      </c>
      <c r="D81" s="2" t="n">
        <f aca="false">IFERROR(__xludf.dummyfunction("""COMPUTED_VALUE"""),23.36)</f>
        <v>23.36</v>
      </c>
      <c r="E81" s="2" t="n">
        <f aca="false">IFERROR(__xludf.dummyfunction("""COMPUTED_VALUE"""),23.79)</f>
        <v>23.79</v>
      </c>
      <c r="F81" s="3" t="n">
        <f aca="false">IFERROR(__xludf.dummyfunction("if($T81&lt;&gt;"""",VALUE(REGEXEXTRACT(SUBSTITUTE ($T81,F$1&amp;"" CE"",""""), F$1&amp;""[\w &amp;]*, (\d+\.\d+)"")),"""")
"),25)</f>
        <v>25</v>
      </c>
      <c r="G81" s="3" t="n">
        <f aca="false">IFERROR(__xludf.dummyfunction("if($T81&lt;&gt;"""",VALUE(REGEXEXTRACT($T81, G$1&amp;""[\w &amp;]*, (\d+\.\d+)"")),"""")
"),30)</f>
        <v>30</v>
      </c>
      <c r="H81" s="3" t="n">
        <f aca="false">IFERROR(__xludf.dummyfunction("if($T81&lt;&gt;"""",VALUE(REGEXEXTRACT($T81, H$1&amp;""[\w &amp;]*, (\d+\.\d+)"")),"""")
"),28)</f>
        <v>28</v>
      </c>
      <c r="I81" s="3" t="n">
        <f aca="false">IFERROR(__xludf.dummyfunction("if($T81&lt;&gt;"""",VALUE(REGEXEXTRACT(SUBSTITUTE ($T81,I$1&amp;"" CE"",""""), I$1&amp;""[\w &amp;]*, (\d+\.\d+)"")),"""")
"),17)</f>
        <v>17</v>
      </c>
      <c r="J81" s="3" t="n">
        <f aca="false">IFERROR(__xludf.dummyfunction("if($T81&lt;&gt;"""",VALUE(REGEXEXTRACT($T81, J$1&amp;""[\w &amp;]*, (\d+\.\d+)"")),"""")
"),22)</f>
        <v>22</v>
      </c>
      <c r="K81" s="3" t="n">
        <f aca="false">IFERROR(__xludf.dummyfunction("if($T81&lt;&gt;"""",VALUE(REGEXEXTRACT($T81, K$1&amp;""[\w &amp;]*, (\d+\.\d+)"")),"""")
"),14)</f>
        <v>14</v>
      </c>
      <c r="L81" s="3" t="n">
        <f aca="false">IFERROR(__xludf.dummyfunction("if($T81&lt;&gt;"""",VALUE(REGEXEXTRACT(SUBSTITUTE ($T81,L$1&amp;"" CE"",""""), L$1&amp;""[\w &amp;]*, (\d+\.\d+)"")),"""")
"),16)</f>
        <v>16</v>
      </c>
      <c r="M81" s="3" t="n">
        <f aca="false">IFERROR(__xludf.dummyfunction("if($T81&lt;&gt;"""",VALUE(REGEXEXTRACT($T81, M$1&amp;""[\w &amp;]*, (\d+\.\d+)"")),"""")
"),24)</f>
        <v>24</v>
      </c>
      <c r="N81" s="3" t="n">
        <f aca="false">IFERROR(__xludf.dummyfunction("if($T81&lt;&gt;"""",VALUE(REGEXEXTRACT(SUBSTITUTE ($T81,N$1&amp;"" CE"",""""), N$1&amp;""[\w &amp;]*, (\d+\.\d+)"")),"""")
"),17)</f>
        <v>17</v>
      </c>
      <c r="O81" s="3" t="n">
        <f aca="false">IFERROR(__xludf.dummyfunction("if($T81&lt;&gt;"""",VALUE(REGEXEXTRACT($T81, O$1&amp;""[\w &amp;]*, (\d+\.\d+)"")),"""")
"),22)</f>
        <v>22</v>
      </c>
      <c r="P81" s="2" t="n">
        <f aca="false">IFERROR(__xludf.dummyfunction("if($T81&lt;&gt;"""",VALUE(REGEXEXTRACT($T81, P$1&amp;""[\w &amp;]*, (\d+\.\d+)"")),"""")
"),20.65)</f>
        <v>20.65</v>
      </c>
      <c r="Q81" s="2" t="n">
        <f aca="false">IFERROR(__xludf.dummyfunction("if($T81&lt;&gt;"""",VALUE(REGEXEXTRACT($T81, Q$1&amp;""[\w &amp;]*, (\d+\.\d+)"")),"""")
"),17.5)</f>
        <v>17.5</v>
      </c>
      <c r="R81" s="2" t="n">
        <f aca="false">IFERROR(__xludf.dummyfunction("if($T81&lt;&gt;"""",VALUE(REGEXEXTRACT($T81, SUBSTITUTE(R$1, ""+"", ""\+"")&amp;""[\w &amp;]*, (\d+\.\d+)"")),"""")"),35.87)</f>
        <v>35.87</v>
      </c>
      <c r="S81" s="2" t="n">
        <f aca="false">IFERROR(__xludf.dummyfunction("if($T81&lt;&gt;"""",VALUE(REGEXEXTRACT($T81, SUBSTITUTE(S$1, ""+"", ""\+"")&amp;""[\w &amp;]*, (\d+\.\d+)"")),"""")"),39.02)</f>
        <v>39.02</v>
      </c>
      <c r="T81" s="5" t="s">
        <v>302</v>
      </c>
    </row>
    <row r="82" customFormat="false" ht="15.75" hidden="false" customHeight="false" outlineLevel="0" collapsed="false">
      <c r="A82" s="4" t="n">
        <f aca="false">IFERROR(__xludf.dummyfunction("""COMPUTED_VALUE"""),45513.6361111111)</f>
        <v>45513.6361111111</v>
      </c>
      <c r="B82" s="2" t="n">
        <f aca="false">IFERROR(__xludf.dummyfunction("""COMPUTED_VALUE"""),23.41)</f>
        <v>23.41</v>
      </c>
      <c r="C82" s="2" t="n">
        <f aca="false">IFERROR(__xludf.dummyfunction("""COMPUTED_VALUE"""),24.52)</f>
        <v>24.52</v>
      </c>
      <c r="D82" s="2" t="n">
        <f aca="false">IFERROR(__xludf.dummyfunction("""COMPUTED_VALUE"""),20.26)</f>
        <v>20.26</v>
      </c>
      <c r="E82" s="2" t="n">
        <f aca="false">IFERROR(__xludf.dummyfunction("""COMPUTED_VALUE"""),20.37)</f>
        <v>20.37</v>
      </c>
      <c r="F82" s="3" t="n">
        <f aca="false">IFERROR(__xludf.dummyfunction("if($T82&lt;&gt;"""",VALUE(REGEXEXTRACT(SUBSTITUTE ($T82,F$1&amp;"" CE"",""""), F$1&amp;""[\w &amp;]*, (\d+\.\d+)"")),"""")
"),17)</f>
        <v>17</v>
      </c>
      <c r="G82" s="3" t="n">
        <f aca="false">IFERROR(__xludf.dummyfunction("if($T82&lt;&gt;"""",VALUE(REGEXEXTRACT($T82, G$1&amp;""[\w &amp;]*, (\d+\.\d+)"")),"""")
"),30)</f>
        <v>30</v>
      </c>
      <c r="H82" s="3" t="n">
        <f aca="false">IFERROR(__xludf.dummyfunction("if($T82&lt;&gt;"""",VALUE(REGEXEXTRACT($T82, H$1&amp;""[\w &amp;]*, (\d+\.\d+)"")),"""")
"),28)</f>
        <v>28</v>
      </c>
      <c r="I82" s="3" t="n">
        <f aca="false">IFERROR(__xludf.dummyfunction("if($T82&lt;&gt;"""",VALUE(REGEXEXTRACT(SUBSTITUTE ($T82,I$1&amp;"" CE"",""""), I$1&amp;""[\w &amp;]*, (\d+\.\d+)"")),"""")
"),17)</f>
        <v>17</v>
      </c>
      <c r="J82" s="3" t="n">
        <f aca="false">IFERROR(__xludf.dummyfunction("if($T82&lt;&gt;"""",VALUE(REGEXEXTRACT($T82, J$1&amp;""[\w &amp;]*, (\d+\.\d+)"")),"""")
"),22)</f>
        <v>22</v>
      </c>
      <c r="K82" s="3" t="n">
        <f aca="false">IFERROR(__xludf.dummyfunction("if($T82&lt;&gt;"""",VALUE(REGEXEXTRACT($T82, K$1&amp;""[\w &amp;]*, (\d+\.\d+)"")),"""")
"),14)</f>
        <v>14</v>
      </c>
      <c r="L82" s="3" t="n">
        <f aca="false">IFERROR(__xludf.dummyfunction("if($T82&lt;&gt;"""",VALUE(REGEXEXTRACT(SUBSTITUTE ($T82,L$1&amp;"" CE"",""""), L$1&amp;""[\w &amp;]*, (\d+\.\d+)"")),"""")
"),16)</f>
        <v>16</v>
      </c>
      <c r="M82" s="3" t="n">
        <f aca="false">IFERROR(__xludf.dummyfunction("if($T82&lt;&gt;"""",VALUE(REGEXEXTRACT($T82, M$1&amp;""[\w &amp;]*, (\d+\.\d+)"")),"""")
"),24)</f>
        <v>24</v>
      </c>
      <c r="N82" s="3" t="n">
        <f aca="false">IFERROR(__xludf.dummyfunction("if($T82&lt;&gt;"""",VALUE(REGEXEXTRACT(SUBSTITUTE ($T82,N$1&amp;"" CE"",""""), N$1&amp;""[\w &amp;]*, (\d+\.\d+)"")),"""")
"),17)</f>
        <v>17</v>
      </c>
      <c r="O82" s="3" t="n">
        <f aca="false">IFERROR(__xludf.dummyfunction("if($T82&lt;&gt;"""",VALUE(REGEXEXTRACT($T82, O$1&amp;""[\w &amp;]*, (\d+\.\d+)"")),"""")
"),22)</f>
        <v>22</v>
      </c>
      <c r="P82" s="2" t="n">
        <f aca="false">IFERROR(__xludf.dummyfunction("if($T82&lt;&gt;"""",VALUE(REGEXEXTRACT($T82, P$1&amp;""[\w &amp;]*, (\d+\.\d+)"")),"""")
"),18.79)</f>
        <v>18.79</v>
      </c>
      <c r="Q82" s="2" t="n">
        <f aca="false">IFERROR(__xludf.dummyfunction("if($T82&lt;&gt;"""",VALUE(REGEXEXTRACT($T82, Q$1&amp;""[\w &amp;]*, (\d+\.\d+)"")),"""")
"),16.51)</f>
        <v>16.51</v>
      </c>
      <c r="R82" s="2" t="n">
        <f aca="false">IFERROR(__xludf.dummyfunction("if($T82&lt;&gt;"""",VALUE(REGEXEXTRACT($T82, SUBSTITUTE(R$1, ""+"", ""\+"")&amp;""[\w &amp;]*, (\d+\.\d+)"")),"""")"),28.45)</f>
        <v>28.45</v>
      </c>
      <c r="S82" s="2" t="n">
        <f aca="false">IFERROR(__xludf.dummyfunction("if($T82&lt;&gt;"""",VALUE(REGEXEXTRACT($T82, SUBSTITUTE(S$1, ""+"", ""\+"")&amp;""[\w &amp;]*, (\d+\.\d+)"")),"""")"),30.73)</f>
        <v>30.73</v>
      </c>
      <c r="T82" s="5" t="s">
        <v>303</v>
      </c>
    </row>
    <row r="83" customFormat="false" ht="15.75" hidden="false" customHeight="false" outlineLevel="0" collapsed="false">
      <c r="A83" s="4" t="n">
        <f aca="false">IFERROR(__xludf.dummyfunction("""COMPUTED_VALUE"""),45516.6361111111)</f>
        <v>45516.6361111111</v>
      </c>
      <c r="B83" s="2" t="n">
        <f aca="false">IFERROR(__xludf.dummyfunction("""COMPUTED_VALUE"""),20.79)</f>
        <v>20.79</v>
      </c>
      <c r="C83" s="2" t="n">
        <f aca="false">IFERROR(__xludf.dummyfunction("""COMPUTED_VALUE"""),21.19)</f>
        <v>21.19</v>
      </c>
      <c r="D83" s="2" t="n">
        <f aca="false">IFERROR(__xludf.dummyfunction("""COMPUTED_VALUE"""),18.89)</f>
        <v>18.89</v>
      </c>
      <c r="E83" s="2" t="n">
        <f aca="false">IFERROR(__xludf.dummyfunction("""COMPUTED_VALUE"""),20.71)</f>
        <v>20.71</v>
      </c>
      <c r="F83" s="3" t="n">
        <f aca="false">IFERROR(__xludf.dummyfunction("if($T83&lt;&gt;"""",VALUE(REGEXEXTRACT(SUBSTITUTE ($T83,F$1&amp;"" CE"",""""), F$1&amp;""[\w &amp;]*, (\d+\.\d+)"")),"""")
"),17)</f>
        <v>17</v>
      </c>
      <c r="G83" s="3" t="n">
        <f aca="false">IFERROR(__xludf.dummyfunction("if($T83&lt;&gt;"""",VALUE(REGEXEXTRACT($T83, G$1&amp;""[\w &amp;]*, (\d+\.\d+)"")),"""")
"),30)</f>
        <v>30</v>
      </c>
      <c r="H83" s="3" t="n">
        <f aca="false">IFERROR(__xludf.dummyfunction("if($T83&lt;&gt;"""",VALUE(REGEXEXTRACT($T83, H$1&amp;""[\w &amp;]*, (\d+\.\d+)"")),"""")
"),28)</f>
        <v>28</v>
      </c>
      <c r="I83" s="3" t="n">
        <f aca="false">IFERROR(__xludf.dummyfunction("if($T83&lt;&gt;"""",VALUE(REGEXEXTRACT(SUBSTITUTE ($T83,I$1&amp;"" CE"",""""), I$1&amp;""[\w &amp;]*, (\d+\.\d+)"")),"""")
"),17)</f>
        <v>17</v>
      </c>
      <c r="J83" s="3" t="n">
        <f aca="false">IFERROR(__xludf.dummyfunction("if($T83&lt;&gt;"""",VALUE(REGEXEXTRACT($T83, J$1&amp;""[\w &amp;]*, (\d+\.\d+)"")),"""")
"),19)</f>
        <v>19</v>
      </c>
      <c r="K83" s="3" t="n">
        <f aca="false">IFERROR(__xludf.dummyfunction("if($T83&lt;&gt;"""",VALUE(REGEXEXTRACT($T83, K$1&amp;""[\w &amp;]*, (\d+\.\d+)"")),"""")
"),14)</f>
        <v>14</v>
      </c>
      <c r="L83" s="3" t="n">
        <f aca="false">IFERROR(__xludf.dummyfunction("if($T83&lt;&gt;"""",VALUE(REGEXEXTRACT(SUBSTITUTE ($T83,L$1&amp;"" CE"",""""), L$1&amp;""[\w &amp;]*, (\d+\.\d+)"")),"""")
"),18)</f>
        <v>18</v>
      </c>
      <c r="M83" s="3" t="n">
        <f aca="false">IFERROR(__xludf.dummyfunction("if($T83&lt;&gt;"""",VALUE(REGEXEXTRACT($T83, M$1&amp;""[\w &amp;]*, (\d+\.\d+)"")),"""")
"),22)</f>
        <v>22</v>
      </c>
      <c r="N83" s="3" t="n">
        <f aca="false">IFERROR(__xludf.dummyfunction("if($T83&lt;&gt;"""",VALUE(REGEXEXTRACT(SUBSTITUTE ($T83,N$1&amp;"" CE"",""""), N$1&amp;""[\w &amp;]*, (\d+\.\d+)"")),"""")
"),17)</f>
        <v>17</v>
      </c>
      <c r="O83" s="3" t="n">
        <f aca="false">IFERROR(__xludf.dummyfunction("if($T83&lt;&gt;"""",VALUE(REGEXEXTRACT($T83, O$1&amp;""[\w &amp;]*, (\d+\.\d+)"")),"""")
"),19)</f>
        <v>19</v>
      </c>
      <c r="P83" s="2" t="n">
        <f aca="false">IFERROR(__xludf.dummyfunction("if($T83&lt;&gt;"""",VALUE(REGEXEXTRACT($T83, P$1&amp;""[\w &amp;]*, (\d+\.\d+)"")),"""")
"),17.9)</f>
        <v>17.9</v>
      </c>
      <c r="Q83" s="2" t="n">
        <f aca="false">IFERROR(__xludf.dummyfunction("if($T83&lt;&gt;"""",VALUE(REGEXEXTRACT($T83, Q$1&amp;""[\w &amp;]*, (\d+\.\d+)"")),"""")
"),15.7)</f>
        <v>15.7</v>
      </c>
      <c r="R83" s="2" t="n">
        <f aca="false">IFERROR(__xludf.dummyfunction("if($T83&lt;&gt;"""",VALUE(REGEXEXTRACT($T83, SUBSTITUTE(R$1, ""+"", ""\+"")&amp;""[\w &amp;]*, (\d+\.\d+)"")),"""")"),23.24)</f>
        <v>23.24</v>
      </c>
      <c r="S83" s="2" t="n">
        <f aca="false">IFERROR(__xludf.dummyfunction("if($T83&lt;&gt;"""",VALUE(REGEXEXTRACT($T83, SUBSTITUTE(S$1, ""+"", ""\+"")&amp;""[\w &amp;]*, (\d+\.\d+)"")),"""")"),25.44)</f>
        <v>25.44</v>
      </c>
      <c r="T83" s="5" t="s">
        <v>304</v>
      </c>
    </row>
    <row r="84" customFormat="false" ht="15.75" hidden="false" customHeight="false" outlineLevel="0" collapsed="false">
      <c r="A84" s="4" t="n">
        <f aca="false">IFERROR(__xludf.dummyfunction("""COMPUTED_VALUE"""),45517.6361111111)</f>
        <v>45517.6361111111</v>
      </c>
      <c r="B84" s="2" t="n">
        <f aca="false">IFERROR(__xludf.dummyfunction("""COMPUTED_VALUE"""),20.44)</f>
        <v>20.44</v>
      </c>
      <c r="C84" s="2" t="n">
        <f aca="false">IFERROR(__xludf.dummyfunction("""COMPUTED_VALUE"""),20.44)</f>
        <v>20.44</v>
      </c>
      <c r="D84" s="2" t="n">
        <f aca="false">IFERROR(__xludf.dummyfunction("""COMPUTED_VALUE"""),17.95)</f>
        <v>17.95</v>
      </c>
      <c r="E84" s="2" t="n">
        <f aca="false">IFERROR(__xludf.dummyfunction("""COMPUTED_VALUE"""),18.12)</f>
        <v>18.12</v>
      </c>
      <c r="F84" s="3" t="n">
        <f aca="false">IFERROR(__xludf.dummyfunction("if($T84&lt;&gt;"""",VALUE(REGEXEXTRACT(SUBSTITUTE ($T84,F$1&amp;"" CE"",""""), F$1&amp;""[\w &amp;]*, (\d+\.\d+)"")),"""")
"),17)</f>
        <v>17</v>
      </c>
      <c r="G84" s="3" t="n">
        <f aca="false">IFERROR(__xludf.dummyfunction("if($T84&lt;&gt;"""",VALUE(REGEXEXTRACT($T84, G$1&amp;""[\w &amp;]*, (\d+\.\d+)"")),"""")
"),23)</f>
        <v>23</v>
      </c>
      <c r="H84" s="3" t="n">
        <f aca="false">IFERROR(__xludf.dummyfunction("if($T84&lt;&gt;"""",VALUE(REGEXEXTRACT($T84, H$1&amp;""[\w &amp;]*, (\d+\.\d+)"")),"""")
"),28)</f>
        <v>28</v>
      </c>
      <c r="I84" s="3" t="n">
        <f aca="false">IFERROR(__xludf.dummyfunction("if($T84&lt;&gt;"""",VALUE(REGEXEXTRACT(SUBSTITUTE ($T84,I$1&amp;"" CE"",""""), I$1&amp;""[\w &amp;]*, (\d+\.\d+)"")),"""")
"),17)</f>
        <v>17</v>
      </c>
      <c r="J84" s="3" t="n">
        <f aca="false">IFERROR(__xludf.dummyfunction("if($T84&lt;&gt;"""",VALUE(REGEXEXTRACT($T84, J$1&amp;""[\w &amp;]*, (\d+\.\d+)"")),"""")
"),19)</f>
        <v>19</v>
      </c>
      <c r="K84" s="3" t="n">
        <f aca="false">IFERROR(__xludf.dummyfunction("if($T84&lt;&gt;"""",VALUE(REGEXEXTRACT($T84, K$1&amp;""[\w &amp;]*, (\d+\.\d+)"")),"""")
"),14)</f>
        <v>14</v>
      </c>
      <c r="L84" s="3" t="n">
        <f aca="false">IFERROR(__xludf.dummyfunction("if($T84&lt;&gt;"""",VALUE(REGEXEXTRACT(SUBSTITUTE ($T84,L$1&amp;"" CE"",""""), L$1&amp;""[\w &amp;]*, (\d+\.\d+)"")),"""")
"),18)</f>
        <v>18</v>
      </c>
      <c r="M84" s="3" t="n">
        <f aca="false">IFERROR(__xludf.dummyfunction("if($T84&lt;&gt;"""",VALUE(REGEXEXTRACT($T84, M$1&amp;""[\w &amp;]*, (\d+\.\d+)"")),"""")
"),22)</f>
        <v>22</v>
      </c>
      <c r="N84" s="3" t="n">
        <f aca="false">IFERROR(__xludf.dummyfunction("if($T84&lt;&gt;"""",VALUE(REGEXEXTRACT(SUBSTITUTE ($T84,N$1&amp;"" CE"",""""), N$1&amp;""[\w &amp;]*, (\d+\.\d+)"")),"""")
"),17)</f>
        <v>17</v>
      </c>
      <c r="O84" s="3" t="n">
        <f aca="false">IFERROR(__xludf.dummyfunction("if($T84&lt;&gt;"""",VALUE(REGEXEXTRACT($T84, O$1&amp;""[\w &amp;]*, (\d+\.\d+)"")),"""")
"),19)</f>
        <v>19</v>
      </c>
      <c r="P84" s="2" t="n">
        <f aca="false">IFERROR(__xludf.dummyfunction("if($T84&lt;&gt;"""",VALUE(REGEXEXTRACT($T84, P$1&amp;""[\w &amp;]*, (\d+\.\d+)"")),"""")
"),18.41)</f>
        <v>18.41</v>
      </c>
      <c r="Q84" s="2" t="n">
        <f aca="false">IFERROR(__xludf.dummyfunction("if($T84&lt;&gt;"""",VALUE(REGEXEXTRACT($T84, Q$1&amp;""[\w &amp;]*, (\d+\.\d+)"")),"""")
"),15.89)</f>
        <v>15.89</v>
      </c>
      <c r="R84" s="2" t="n">
        <f aca="false">IFERROR(__xludf.dummyfunction("if($T84&lt;&gt;"""",VALUE(REGEXEXTRACT($T84, SUBSTITUTE(R$1, ""+"", ""\+"")&amp;""[\w &amp;]*, (\d+\.\d+)"")),"""")"),22.91)</f>
        <v>22.91</v>
      </c>
      <c r="S84" s="2" t="n">
        <f aca="false">IFERROR(__xludf.dummyfunction("if($T84&lt;&gt;"""",VALUE(REGEXEXTRACT($T84, SUBSTITUTE(S$1, ""+"", ""\+"")&amp;""[\w &amp;]*, (\d+\.\d+)"")),"""")"),25.43)</f>
        <v>25.43</v>
      </c>
      <c r="T84" s="5" t="s">
        <v>305</v>
      </c>
    </row>
    <row r="85" customFormat="false" ht="15.75" hidden="false" customHeight="false" outlineLevel="0" collapsed="false">
      <c r="A85" s="4" t="n">
        <f aca="false">IFERROR(__xludf.dummyfunction("""COMPUTED_VALUE"""),45518.6361111111)</f>
        <v>45518.6361111111</v>
      </c>
      <c r="B85" s="2" t="n">
        <f aca="false">IFERROR(__xludf.dummyfunction("""COMPUTED_VALUE"""),18.41)</f>
        <v>18.41</v>
      </c>
      <c r="C85" s="2" t="n">
        <f aca="false">IFERROR(__xludf.dummyfunction("""COMPUTED_VALUE"""),18.41)</f>
        <v>18.41</v>
      </c>
      <c r="D85" s="2" t="n">
        <f aca="false">IFERROR(__xludf.dummyfunction("""COMPUTED_VALUE"""),16.12)</f>
        <v>16.12</v>
      </c>
      <c r="E85" s="2" t="n">
        <f aca="false">IFERROR(__xludf.dummyfunction("""COMPUTED_VALUE"""),16.19)</f>
        <v>16.19</v>
      </c>
      <c r="F85" s="3" t="n">
        <f aca="false">IFERROR(__xludf.dummyfunction("if($T85&lt;&gt;"""",VALUE(REGEXEXTRACT(SUBSTITUTE ($T85,F$1&amp;"" CE"",""""), F$1&amp;""[\w &amp;]*, (\d+\.\d+)"")),"""")
"),17)</f>
        <v>17</v>
      </c>
      <c r="G85" s="3" t="n">
        <f aca="false">IFERROR(__xludf.dummyfunction("if($T85&lt;&gt;"""",VALUE(REGEXEXTRACT($T85, G$1&amp;""[\w &amp;]*, (\d+\.\d+)"")),"""")
"),20)</f>
        <v>20</v>
      </c>
      <c r="H85" s="3" t="str">
        <f aca="false">IFERROR(__xludf.dummyfunction("if($T85&lt;&gt;"""",VALUE(REGEXEXTRACT($T85, H$1&amp;""[\w &amp;]*, (\d+\.\d+)"")),"""")
"),"#N/A")</f>
        <v>#N/A</v>
      </c>
      <c r="I85" s="3" t="n">
        <f aca="false">IFERROR(__xludf.dummyfunction("if($T85&lt;&gt;"""",VALUE(REGEXEXTRACT(SUBSTITUTE ($T85,I$1&amp;"" CE"",""""), I$1&amp;""[\w &amp;]*, (\d+\.\d+)"")),"""")
"),16)</f>
        <v>16</v>
      </c>
      <c r="J85" s="3" t="n">
        <f aca="false">IFERROR(__xludf.dummyfunction("if($T85&lt;&gt;"""",VALUE(REGEXEXTRACT($T85, J$1&amp;""[\w &amp;]*, (\d+\.\d+)"")),"""")
"),18)</f>
        <v>18</v>
      </c>
      <c r="K85" s="3" t="n">
        <f aca="false">IFERROR(__xludf.dummyfunction("if($T85&lt;&gt;"""",VALUE(REGEXEXTRACT($T85, K$1&amp;""[\w &amp;]*, (\d+\.\d+)"")),"""")
"),14)</f>
        <v>14</v>
      </c>
      <c r="L85" s="3" t="n">
        <f aca="false">IFERROR(__xludf.dummyfunction("if($T85&lt;&gt;"""",VALUE(REGEXEXTRACT(SUBSTITUTE ($T85,L$1&amp;"" CE"",""""), L$1&amp;""[\w &amp;]*, (\d+\.\d+)"")),"""")
"),17)</f>
        <v>17</v>
      </c>
      <c r="M85" s="3" t="n">
        <f aca="false">IFERROR(__xludf.dummyfunction("if($T85&lt;&gt;"""",VALUE(REGEXEXTRACT($T85, M$1&amp;""[\w &amp;]*, (\d+\.\d+)"")),"""")
"),19)</f>
        <v>19</v>
      </c>
      <c r="N85" s="3" t="n">
        <f aca="false">IFERROR(__xludf.dummyfunction("if($T85&lt;&gt;"""",VALUE(REGEXEXTRACT(SUBSTITUTE ($T85,N$1&amp;"" CE"",""""), N$1&amp;""[\w &amp;]*, (\d+\.\d+)"")),"""")
"),17)</f>
        <v>17</v>
      </c>
      <c r="O85" s="3" t="n">
        <f aca="false">IFERROR(__xludf.dummyfunction("if($T85&lt;&gt;"""",VALUE(REGEXEXTRACT($T85, O$1&amp;""[\w &amp;]*, (\d+\.\d+)"")),"""")
"),18)</f>
        <v>18</v>
      </c>
      <c r="P85" s="2" t="n">
        <f aca="false">IFERROR(__xludf.dummyfunction("if($T85&lt;&gt;"""",VALUE(REGEXEXTRACT($T85, P$1&amp;""[\w &amp;]*, (\d+\.\d+)"")),"""")
"),17.42)</f>
        <v>17.42</v>
      </c>
      <c r="Q85" s="2" t="n">
        <f aca="false">IFERROR(__xludf.dummyfunction("if($T85&lt;&gt;"""",VALUE(REGEXEXTRACT($T85, Q$1&amp;""[\w &amp;]*, (\d+\.\d+)"")),"""")
"),15.76)</f>
        <v>15.76</v>
      </c>
      <c r="R85" s="2" t="n">
        <f aca="false">IFERROR(__xludf.dummyfunction("if($T85&lt;&gt;"""",VALUE(REGEXEXTRACT($T85, SUBSTITUTE(R$1, ""+"", ""\+"")&amp;""[\w &amp;]*, (\d+\.\d+)"")),"""")"),19.24)</f>
        <v>19.24</v>
      </c>
      <c r="S85" s="2" t="n">
        <f aca="false">IFERROR(__xludf.dummyfunction("if($T85&lt;&gt;"""",VALUE(REGEXEXTRACT($T85, SUBSTITUTE(S$1, ""+"", ""\+"")&amp;""[\w &amp;]*, (\d+\.\d+)"")),"""")"),20.9)</f>
        <v>20.9</v>
      </c>
      <c r="T85" s="5" t="s">
        <v>306</v>
      </c>
    </row>
    <row r="86" customFormat="false" ht="15.75" hidden="false" customHeight="false" outlineLevel="0" collapsed="false">
      <c r="A86" s="4" t="n">
        <f aca="false">IFERROR(__xludf.dummyfunction("""COMPUTED_VALUE"""),45519.6361111111)</f>
        <v>45519.6361111111</v>
      </c>
      <c r="B86" s="2" t="n">
        <f aca="false">IFERROR(__xludf.dummyfunction("""COMPUTED_VALUE"""),16.42)</f>
        <v>16.42</v>
      </c>
      <c r="C86" s="2" t="n">
        <f aca="false">IFERROR(__xludf.dummyfunction("""COMPUTED_VALUE"""),16.42)</f>
        <v>16.42</v>
      </c>
      <c r="D86" s="2" t="n">
        <f aca="false">IFERROR(__xludf.dummyfunction("""COMPUTED_VALUE"""),14.77)</f>
        <v>14.77</v>
      </c>
      <c r="E86" s="2" t="n">
        <f aca="false">IFERROR(__xludf.dummyfunction("""COMPUTED_VALUE"""),15.23)</f>
        <v>15.23</v>
      </c>
      <c r="F86" s="3" t="str">
        <f aca="false">IFERROR(__xludf.dummyfunction("if($T86&lt;&gt;"""",VALUE(REGEXEXTRACT(SUBSTITUTE ($T86,F$1&amp;"" CE"",""""), F$1&amp;""[\w &amp;]*, (\d+\.\d+)"")),"""")
"),"")</f>
        <v/>
      </c>
      <c r="G86" s="3" t="str">
        <f aca="false">IFERROR(__xludf.dummyfunction("if($T86&lt;&gt;"""",VALUE(REGEXEXTRACT($T86, G$1&amp;""[\w &amp;]*, (\d+\.\d+)"")),"""")
"),"")</f>
        <v/>
      </c>
      <c r="H86" s="3" t="str">
        <f aca="false">IFERROR(__xludf.dummyfunction("if($T86&lt;&gt;"""",VALUE(REGEXEXTRACT($T86, H$1&amp;""[\w &amp;]*, (\d+\.\d+)"")),"""")
"),"")</f>
        <v/>
      </c>
      <c r="I86" s="3" t="str">
        <f aca="false">IFERROR(__xludf.dummyfunction("if($T86&lt;&gt;"""",VALUE(REGEXEXTRACT(SUBSTITUTE ($T86,I$1&amp;"" CE"",""""), I$1&amp;""[\w &amp;]*, (\d+\.\d+)"")),"""")
"),"")</f>
        <v/>
      </c>
      <c r="J86" s="3" t="str">
        <f aca="false">IFERROR(__xludf.dummyfunction("if($T86&lt;&gt;"""",VALUE(REGEXEXTRACT($T86, J$1&amp;""[\w &amp;]*, (\d+\.\d+)"")),"""")
"),"")</f>
        <v/>
      </c>
      <c r="K86" s="3" t="str">
        <f aca="false">IFERROR(__xludf.dummyfunction("if($T86&lt;&gt;"""",VALUE(REGEXEXTRACT($T86, K$1&amp;""[\w &amp;]*, (\d+\.\d+)"")),"""")
"),"")</f>
        <v/>
      </c>
      <c r="L86" s="3" t="str">
        <f aca="false">IFERROR(__xludf.dummyfunction("if($T86&lt;&gt;"""",VALUE(REGEXEXTRACT(SUBSTITUTE ($T86,L$1&amp;"" CE"",""""), L$1&amp;""[\w &amp;]*, (\d+\.\d+)"")),"""")
"),"")</f>
        <v/>
      </c>
      <c r="M86" s="3" t="str">
        <f aca="false">IFERROR(__xludf.dummyfunction("if($T86&lt;&gt;"""",VALUE(REGEXEXTRACT($T86, M$1&amp;""[\w &amp;]*, (\d+\.\d+)"")),"""")
"),"")</f>
        <v/>
      </c>
      <c r="N86" s="3" t="str">
        <f aca="false">IFERROR(__xludf.dummyfunction("if($T86&lt;&gt;"""",VALUE(REGEXEXTRACT(SUBSTITUTE ($T86,N$1&amp;"" CE"",""""), N$1&amp;""[\w &amp;]*, (\d+\.\d+)"")),"""")
"),"")</f>
        <v/>
      </c>
      <c r="O86" s="3" t="str">
        <f aca="false">IFERROR(__xludf.dummyfunction("if($T86&lt;&gt;"""",VALUE(REGEXEXTRACT($T86, O$1&amp;""[\w &amp;]*, (\d+\.\d+)"")),"""")
"),"")</f>
        <v/>
      </c>
      <c r="P86" s="2" t="str">
        <f aca="false">IFERROR(__xludf.dummyfunction("if($T86&lt;&gt;"""",VALUE(REGEXEXTRACT($T86, P$1&amp;""[\w &amp;]*, (\d+\.\d+)"")),"""")
"),"")</f>
        <v/>
      </c>
      <c r="Q86" s="2" t="str">
        <f aca="false">IFERROR(__xludf.dummyfunction("if($T86&lt;&gt;"""",VALUE(REGEXEXTRACT($T86, Q$1&amp;""[\w &amp;]*, (\d+\.\d+)"")),"""")
"),"")</f>
        <v/>
      </c>
      <c r="R86" s="2" t="str">
        <f aca="false">IFERROR(__xludf.dummyfunction("if($T86&lt;&gt;"""",VALUE(REGEXEXTRACT($T86, SUBSTITUTE(R$1, ""+"", ""\+"")&amp;""[\w &amp;]*, (\d+\.\d+)"")),"""")"),"")</f>
        <v/>
      </c>
      <c r="S86" s="2" t="str">
        <f aca="false">IFERROR(__xludf.dummyfunction("if($T86&lt;&gt;"""",VALUE(REGEXEXTRACT($T86, SUBSTITUTE(S$1, ""+"", ""\+"")&amp;""[\w &amp;]*, (\d+\.\d+)"")),"""")"),"")</f>
        <v/>
      </c>
      <c r="T86" s="5"/>
    </row>
    <row r="87" customFormat="false" ht="15.75" hidden="false" customHeight="false" outlineLevel="0" collapsed="false">
      <c r="A87" s="4" t="n">
        <f aca="false">IFERROR(__xludf.dummyfunction("""COMPUTED_VALUE"""),45520.6361111111)</f>
        <v>45520.6361111111</v>
      </c>
      <c r="B87" s="2" t="n">
        <f aca="false">IFERROR(__xludf.dummyfunction("""COMPUTED_VALUE"""),15.45)</f>
        <v>15.45</v>
      </c>
      <c r="C87" s="2" t="n">
        <f aca="false">IFERROR(__xludf.dummyfunction("""COMPUTED_VALUE"""),15.76)</f>
        <v>15.76</v>
      </c>
      <c r="D87" s="2" t="n">
        <f aca="false">IFERROR(__xludf.dummyfunction("""COMPUTED_VALUE"""),14.65)</f>
        <v>14.65</v>
      </c>
      <c r="E87" s="2" t="n">
        <f aca="false">IFERROR(__xludf.dummyfunction("""COMPUTED_VALUE"""),14.8)</f>
        <v>14.8</v>
      </c>
      <c r="F87" s="3" t="str">
        <f aca="false">IFERROR(__xludf.dummyfunction("if($T87&lt;&gt;"""",VALUE(REGEXEXTRACT(SUBSTITUTE ($T87,F$1&amp;"" CE"",""""), F$1&amp;""[\w &amp;]*, (\d+\.\d+)"")),"""")
"),"")</f>
        <v/>
      </c>
      <c r="G87" s="3" t="str">
        <f aca="false">IFERROR(__xludf.dummyfunction("if($T87&lt;&gt;"""",VALUE(REGEXEXTRACT($T87, G$1&amp;""[\w &amp;]*, (\d+\.\d+)"")),"""")
"),"")</f>
        <v/>
      </c>
      <c r="H87" s="3" t="str">
        <f aca="false">IFERROR(__xludf.dummyfunction("if($T87&lt;&gt;"""",VALUE(REGEXEXTRACT($T87, H$1&amp;""[\w &amp;]*, (\d+\.\d+)"")),"""")
"),"")</f>
        <v/>
      </c>
      <c r="I87" s="3" t="str">
        <f aca="false">IFERROR(__xludf.dummyfunction("if($T87&lt;&gt;"""",VALUE(REGEXEXTRACT(SUBSTITUTE ($T87,I$1&amp;"" CE"",""""), I$1&amp;""[\w &amp;]*, (\d+\.\d+)"")),"""")
"),"")</f>
        <v/>
      </c>
      <c r="J87" s="3" t="str">
        <f aca="false">IFERROR(__xludf.dummyfunction("if($T87&lt;&gt;"""",VALUE(REGEXEXTRACT($T87, J$1&amp;""[\w &amp;]*, (\d+\.\d+)"")),"""")
"),"")</f>
        <v/>
      </c>
      <c r="K87" s="3" t="str">
        <f aca="false">IFERROR(__xludf.dummyfunction("if($T87&lt;&gt;"""",VALUE(REGEXEXTRACT($T87, K$1&amp;""[\w &amp;]*, (\d+\.\d+)"")),"""")
"),"")</f>
        <v/>
      </c>
      <c r="L87" s="3" t="str">
        <f aca="false">IFERROR(__xludf.dummyfunction("if($T87&lt;&gt;"""",VALUE(REGEXEXTRACT(SUBSTITUTE ($T87,L$1&amp;"" CE"",""""), L$1&amp;""[\w &amp;]*, (\d+\.\d+)"")),"""")
"),"")</f>
        <v/>
      </c>
      <c r="M87" s="3" t="str">
        <f aca="false">IFERROR(__xludf.dummyfunction("if($T87&lt;&gt;"""",VALUE(REGEXEXTRACT($T87, M$1&amp;""[\w &amp;]*, (\d+\.\d+)"")),"""")
"),"")</f>
        <v/>
      </c>
      <c r="N87" s="3" t="str">
        <f aca="false">IFERROR(__xludf.dummyfunction("if($T87&lt;&gt;"""",VALUE(REGEXEXTRACT(SUBSTITUTE ($T87,N$1&amp;"" CE"",""""), N$1&amp;""[\w &amp;]*, (\d+\.\d+)"")),"""")
"),"")</f>
        <v/>
      </c>
      <c r="O87" s="3" t="str">
        <f aca="false">IFERROR(__xludf.dummyfunction("if($T87&lt;&gt;"""",VALUE(REGEXEXTRACT($T87, O$1&amp;""[\w &amp;]*, (\d+\.\d+)"")),"""")
"),"")</f>
        <v/>
      </c>
      <c r="P87" s="2" t="str">
        <f aca="false">IFERROR(__xludf.dummyfunction("if($T87&lt;&gt;"""",VALUE(REGEXEXTRACT($T87, P$1&amp;""[\w &amp;]*, (\d+\.\d+)"")),"""")
"),"")</f>
        <v/>
      </c>
      <c r="Q87" s="2" t="str">
        <f aca="false">IFERROR(__xludf.dummyfunction("if($T87&lt;&gt;"""",VALUE(REGEXEXTRACT($T87, Q$1&amp;""[\w &amp;]*, (\d+\.\d+)"")),"""")
"),"")</f>
        <v/>
      </c>
      <c r="R87" s="2" t="str">
        <f aca="false">IFERROR(__xludf.dummyfunction("if($T87&lt;&gt;"""",VALUE(REGEXEXTRACT($T87, SUBSTITUTE(R$1, ""+"", ""\+"")&amp;""[\w &amp;]*, (\d+\.\d+)"")),"""")"),"")</f>
        <v/>
      </c>
      <c r="S87" s="2" t="str">
        <f aca="false">IFERROR(__xludf.dummyfunction("if($T87&lt;&gt;"""",VALUE(REGEXEXTRACT($T87, SUBSTITUTE(S$1, ""+"", ""\+"")&amp;""[\w &amp;]*, (\d+\.\d+)"")),"""")"),"")</f>
        <v/>
      </c>
      <c r="T87" s="5"/>
    </row>
    <row r="88" customFormat="false" ht="15.75" hidden="false" customHeight="false" outlineLevel="0" collapsed="false">
      <c r="A88" s="4" t="n">
        <f aca="false">IFERROR(__xludf.dummyfunction("""COMPUTED_VALUE"""),45523.6361111111)</f>
        <v>45523.6361111111</v>
      </c>
      <c r="B88" s="2" t="n">
        <f aca="false">IFERROR(__xludf.dummyfunction("""COMPUTED_VALUE"""),15.94)</f>
        <v>15.94</v>
      </c>
      <c r="C88" s="2" t="n">
        <f aca="false">IFERROR(__xludf.dummyfunction("""COMPUTED_VALUE"""),16.07)</f>
        <v>16.07</v>
      </c>
      <c r="D88" s="2" t="n">
        <f aca="false">IFERROR(__xludf.dummyfunction("""COMPUTED_VALUE"""),14.46)</f>
        <v>14.46</v>
      </c>
      <c r="E88" s="2" t="n">
        <f aca="false">IFERROR(__xludf.dummyfunction("""COMPUTED_VALUE"""),14.65)</f>
        <v>14.65</v>
      </c>
      <c r="F88" s="3" t="str">
        <f aca="false">IFERROR(__xludf.dummyfunction("if($T88&lt;&gt;"""",VALUE(REGEXEXTRACT(SUBSTITUTE ($T88,F$1&amp;"" CE"",""""), F$1&amp;""[\w &amp;]*, (\d+\.\d+)"")),"""")
"),"")</f>
        <v/>
      </c>
      <c r="G88" s="3" t="str">
        <f aca="false">IFERROR(__xludf.dummyfunction("if($T88&lt;&gt;"""",VALUE(REGEXEXTRACT($T88, G$1&amp;""[\w &amp;]*, (\d+\.\d+)"")),"""")
"),"")</f>
        <v/>
      </c>
      <c r="H88" s="3" t="str">
        <f aca="false">IFERROR(__xludf.dummyfunction("if($T88&lt;&gt;"""",VALUE(REGEXEXTRACT($T88, H$1&amp;""[\w &amp;]*, (\d+\.\d+)"")),"""")
"),"")</f>
        <v/>
      </c>
      <c r="I88" s="3" t="str">
        <f aca="false">IFERROR(__xludf.dummyfunction("if($T88&lt;&gt;"""",VALUE(REGEXEXTRACT(SUBSTITUTE ($T88,I$1&amp;"" CE"",""""), I$1&amp;""[\w &amp;]*, (\d+\.\d+)"")),"""")
"),"")</f>
        <v/>
      </c>
      <c r="J88" s="3" t="str">
        <f aca="false">IFERROR(__xludf.dummyfunction("if($T88&lt;&gt;"""",VALUE(REGEXEXTRACT($T88, J$1&amp;""[\w &amp;]*, (\d+\.\d+)"")),"""")
"),"")</f>
        <v/>
      </c>
      <c r="K88" s="3" t="str">
        <f aca="false">IFERROR(__xludf.dummyfunction("if($T88&lt;&gt;"""",VALUE(REGEXEXTRACT($T88, K$1&amp;""[\w &amp;]*, (\d+\.\d+)"")),"""")
"),"")</f>
        <v/>
      </c>
      <c r="L88" s="3" t="str">
        <f aca="false">IFERROR(__xludf.dummyfunction("if($T88&lt;&gt;"""",VALUE(REGEXEXTRACT(SUBSTITUTE ($T88,L$1&amp;"" CE"",""""), L$1&amp;""[\w &amp;]*, (\d+\.\d+)"")),"""")
"),"")</f>
        <v/>
      </c>
      <c r="M88" s="3" t="str">
        <f aca="false">IFERROR(__xludf.dummyfunction("if($T88&lt;&gt;"""",VALUE(REGEXEXTRACT($T88, M$1&amp;""[\w &amp;]*, (\d+\.\d+)"")),"""")
"),"")</f>
        <v/>
      </c>
      <c r="N88" s="3" t="str">
        <f aca="false">IFERROR(__xludf.dummyfunction("if($T88&lt;&gt;"""",VALUE(REGEXEXTRACT(SUBSTITUTE ($T88,N$1&amp;"" CE"",""""), N$1&amp;""[\w &amp;]*, (\d+\.\d+)"")),"""")
"),"")</f>
        <v/>
      </c>
      <c r="O88" s="3" t="str">
        <f aca="false">IFERROR(__xludf.dummyfunction("if($T88&lt;&gt;"""",VALUE(REGEXEXTRACT($T88, O$1&amp;""[\w &amp;]*, (\d+\.\d+)"")),"""")
"),"")</f>
        <v/>
      </c>
      <c r="P88" s="2" t="str">
        <f aca="false">IFERROR(__xludf.dummyfunction("if($T88&lt;&gt;"""",VALUE(REGEXEXTRACT($T88, P$1&amp;""[\w &amp;]*, (\d+\.\d+)"")),"""")
"),"")</f>
        <v/>
      </c>
      <c r="Q88" s="2" t="str">
        <f aca="false">IFERROR(__xludf.dummyfunction("if($T88&lt;&gt;"""",VALUE(REGEXEXTRACT($T88, Q$1&amp;""[\w &amp;]*, (\d+\.\d+)"")),"""")
"),"")</f>
        <v/>
      </c>
      <c r="R88" s="2" t="str">
        <f aca="false">IFERROR(__xludf.dummyfunction("if($T88&lt;&gt;"""",VALUE(REGEXEXTRACT($T88, SUBSTITUTE(R$1, ""+"", ""\+"")&amp;""[\w &amp;]*, (\d+\.\d+)"")),"""")"),"")</f>
        <v/>
      </c>
      <c r="S88" s="2" t="str">
        <f aca="false">IFERROR(__xludf.dummyfunction("if($T88&lt;&gt;"""",VALUE(REGEXEXTRACT($T88, SUBSTITUTE(S$1, ""+"", ""\+"")&amp;""[\w &amp;]*, (\d+\.\d+)"")),"""")"),"")</f>
        <v/>
      </c>
      <c r="T88" s="5"/>
    </row>
    <row r="89" customFormat="false" ht="15.75" hidden="false" customHeight="false" outlineLevel="0" collapsed="false">
      <c r="A89" s="4" t="n">
        <f aca="false">IFERROR(__xludf.dummyfunction("""COMPUTED_VALUE"""),45524.6361111111)</f>
        <v>45524.6361111111</v>
      </c>
      <c r="B89" s="2" t="n">
        <f aca="false">IFERROR(__xludf.dummyfunction("""COMPUTED_VALUE"""),14.88)</f>
        <v>14.88</v>
      </c>
      <c r="C89" s="2" t="n">
        <f aca="false">IFERROR(__xludf.dummyfunction("""COMPUTED_VALUE"""),15.93)</f>
        <v>15.93</v>
      </c>
      <c r="D89" s="2" t="n">
        <f aca="false">IFERROR(__xludf.dummyfunction("""COMPUTED_VALUE"""),14.88)</f>
        <v>14.88</v>
      </c>
      <c r="E89" s="2" t="n">
        <f aca="false">IFERROR(__xludf.dummyfunction("""COMPUTED_VALUE"""),15.88)</f>
        <v>15.88</v>
      </c>
      <c r="F89" s="3" t="str">
        <f aca="false">IFERROR(__xludf.dummyfunction("if($T89&lt;&gt;"""",VALUE(REGEXEXTRACT(SUBSTITUTE ($T89,F$1&amp;"" CE"",""""), F$1&amp;""[\w &amp;]*, (\d+\.\d+)"")),"""")
"),"")</f>
        <v/>
      </c>
      <c r="G89" s="3" t="str">
        <f aca="false">IFERROR(__xludf.dummyfunction("if($T89&lt;&gt;"""",VALUE(REGEXEXTRACT($T89, G$1&amp;""[\w &amp;]*, (\d+\.\d+)"")),"""")
"),"")</f>
        <v/>
      </c>
      <c r="H89" s="3" t="str">
        <f aca="false">IFERROR(__xludf.dummyfunction("if($T89&lt;&gt;"""",VALUE(REGEXEXTRACT($T89, H$1&amp;""[\w &amp;]*, (\d+\.\d+)"")),"""")
"),"")</f>
        <v/>
      </c>
      <c r="I89" s="3" t="str">
        <f aca="false">IFERROR(__xludf.dummyfunction("if($T89&lt;&gt;"""",VALUE(REGEXEXTRACT(SUBSTITUTE ($T89,I$1&amp;"" CE"",""""), I$1&amp;""[\w &amp;]*, (\d+\.\d+)"")),"""")
"),"")</f>
        <v/>
      </c>
      <c r="J89" s="3" t="str">
        <f aca="false">IFERROR(__xludf.dummyfunction("if($T89&lt;&gt;"""",VALUE(REGEXEXTRACT($T89, J$1&amp;""[\w &amp;]*, (\d+\.\d+)"")),"""")
"),"")</f>
        <v/>
      </c>
      <c r="K89" s="3" t="str">
        <f aca="false">IFERROR(__xludf.dummyfunction("if($T89&lt;&gt;"""",VALUE(REGEXEXTRACT($T89, K$1&amp;""[\w &amp;]*, (\d+\.\d+)"")),"""")
"),"")</f>
        <v/>
      </c>
      <c r="L89" s="3" t="str">
        <f aca="false">IFERROR(__xludf.dummyfunction("if($T89&lt;&gt;"""",VALUE(REGEXEXTRACT(SUBSTITUTE ($T89,L$1&amp;"" CE"",""""), L$1&amp;""[\w &amp;]*, (\d+\.\d+)"")),"""")
"),"")</f>
        <v/>
      </c>
      <c r="M89" s="3" t="str">
        <f aca="false">IFERROR(__xludf.dummyfunction("if($T89&lt;&gt;"""",VALUE(REGEXEXTRACT($T89, M$1&amp;""[\w &amp;]*, (\d+\.\d+)"")),"""")
"),"")</f>
        <v/>
      </c>
      <c r="N89" s="3" t="str">
        <f aca="false">IFERROR(__xludf.dummyfunction("if($T89&lt;&gt;"""",VALUE(REGEXEXTRACT(SUBSTITUTE ($T89,N$1&amp;"" CE"",""""), N$1&amp;""[\w &amp;]*, (\d+\.\d+)"")),"""")
"),"")</f>
        <v/>
      </c>
      <c r="O89" s="3" t="str">
        <f aca="false">IFERROR(__xludf.dummyfunction("if($T89&lt;&gt;"""",VALUE(REGEXEXTRACT($T89, O$1&amp;""[\w &amp;]*, (\d+\.\d+)"")),"""")
"),"")</f>
        <v/>
      </c>
      <c r="P89" s="2" t="str">
        <f aca="false">IFERROR(__xludf.dummyfunction("if($T89&lt;&gt;"""",VALUE(REGEXEXTRACT($T89, P$1&amp;""[\w &amp;]*, (\d+\.\d+)"")),"""")
"),"")</f>
        <v/>
      </c>
      <c r="Q89" s="2" t="str">
        <f aca="false">IFERROR(__xludf.dummyfunction("if($T89&lt;&gt;"""",VALUE(REGEXEXTRACT($T89, Q$1&amp;""[\w &amp;]*, (\d+\.\d+)"")),"""")
"),"")</f>
        <v/>
      </c>
      <c r="R89" s="2" t="str">
        <f aca="false">IFERROR(__xludf.dummyfunction("if($T89&lt;&gt;"""",VALUE(REGEXEXTRACT($T89, SUBSTITUTE(R$1, ""+"", ""\+"")&amp;""[\w &amp;]*, (\d+\.\d+)"")),"""")"),"")</f>
        <v/>
      </c>
      <c r="S89" s="2" t="str">
        <f aca="false">IFERROR(__xludf.dummyfunction("if($T89&lt;&gt;"""",VALUE(REGEXEXTRACT($T89, SUBSTITUTE(S$1, ""+"", ""\+"")&amp;""[\w &amp;]*, (\d+\.\d+)"")),"""")"),"")</f>
        <v/>
      </c>
      <c r="T89" s="5"/>
    </row>
    <row r="90" customFormat="false" ht="15.75" hidden="false" customHeight="false" outlineLevel="0" collapsed="false">
      <c r="A90" s="4" t="n">
        <f aca="false">IFERROR(__xludf.dummyfunction("""COMPUTED_VALUE"""),45525.6361111111)</f>
        <v>45525.6361111111</v>
      </c>
      <c r="B90" s="2" t="n">
        <f aca="false">IFERROR(__xludf.dummyfunction("""COMPUTED_VALUE"""),15.99)</f>
        <v>15.99</v>
      </c>
      <c r="C90" s="2" t="n">
        <f aca="false">IFERROR(__xludf.dummyfunction("""COMPUTED_VALUE"""),17.17)</f>
        <v>17.17</v>
      </c>
      <c r="D90" s="2" t="n">
        <f aca="false">IFERROR(__xludf.dummyfunction("""COMPUTED_VALUE"""),15.92)</f>
        <v>15.92</v>
      </c>
      <c r="E90" s="2" t="n">
        <f aca="false">IFERROR(__xludf.dummyfunction("""COMPUTED_VALUE"""),16.27)</f>
        <v>16.27</v>
      </c>
      <c r="F90" s="3" t="str">
        <f aca="false">IFERROR(__xludf.dummyfunction("if($T90&lt;&gt;"""",VALUE(REGEXEXTRACT(SUBSTITUTE ($T90,F$1&amp;"" CE"",""""), F$1&amp;""[\w &amp;]*, (\d+\.\d+)"")),"""")
"),"")</f>
        <v/>
      </c>
      <c r="G90" s="3" t="str">
        <f aca="false">IFERROR(__xludf.dummyfunction("if($T90&lt;&gt;"""",VALUE(REGEXEXTRACT($T90, G$1&amp;""[\w &amp;]*, (\d+\.\d+)"")),"""")
"),"")</f>
        <v/>
      </c>
      <c r="H90" s="3" t="str">
        <f aca="false">IFERROR(__xludf.dummyfunction("if($T90&lt;&gt;"""",VALUE(REGEXEXTRACT($T90, H$1&amp;""[\w &amp;]*, (\d+\.\d+)"")),"""")
"),"")</f>
        <v/>
      </c>
      <c r="I90" s="3" t="str">
        <f aca="false">IFERROR(__xludf.dummyfunction("if($T90&lt;&gt;"""",VALUE(REGEXEXTRACT(SUBSTITUTE ($T90,I$1&amp;"" CE"",""""), I$1&amp;""[\w &amp;]*, (\d+\.\d+)"")),"""")
"),"")</f>
        <v/>
      </c>
      <c r="J90" s="3" t="str">
        <f aca="false">IFERROR(__xludf.dummyfunction("if($T90&lt;&gt;"""",VALUE(REGEXEXTRACT($T90, J$1&amp;""[\w &amp;]*, (\d+\.\d+)"")),"""")
"),"")</f>
        <v/>
      </c>
      <c r="K90" s="3" t="str">
        <f aca="false">IFERROR(__xludf.dummyfunction("if($T90&lt;&gt;"""",VALUE(REGEXEXTRACT($T90, K$1&amp;""[\w &amp;]*, (\d+\.\d+)"")),"""")
"),"")</f>
        <v/>
      </c>
      <c r="L90" s="3" t="str">
        <f aca="false">IFERROR(__xludf.dummyfunction("if($T90&lt;&gt;"""",VALUE(REGEXEXTRACT(SUBSTITUTE ($T90,L$1&amp;"" CE"",""""), L$1&amp;""[\w &amp;]*, (\d+\.\d+)"")),"""")
"),"")</f>
        <v/>
      </c>
      <c r="M90" s="3" t="str">
        <f aca="false">IFERROR(__xludf.dummyfunction("if($T90&lt;&gt;"""",VALUE(REGEXEXTRACT($T90, M$1&amp;""[\w &amp;]*, (\d+\.\d+)"")),"""")
"),"")</f>
        <v/>
      </c>
      <c r="N90" s="3" t="str">
        <f aca="false">IFERROR(__xludf.dummyfunction("if($T90&lt;&gt;"""",VALUE(REGEXEXTRACT(SUBSTITUTE ($T90,N$1&amp;"" CE"",""""), N$1&amp;""[\w &amp;]*, (\d+\.\d+)"")),"""")
"),"")</f>
        <v/>
      </c>
      <c r="O90" s="3" t="str">
        <f aca="false">IFERROR(__xludf.dummyfunction("if($T90&lt;&gt;"""",VALUE(REGEXEXTRACT($T90, O$1&amp;""[\w &amp;]*, (\d+\.\d+)"")),"""")
"),"")</f>
        <v/>
      </c>
      <c r="P90" s="2" t="str">
        <f aca="false">IFERROR(__xludf.dummyfunction("if($T90&lt;&gt;"""",VALUE(REGEXEXTRACT($T90, P$1&amp;""[\w &amp;]*, (\d+\.\d+)"")),"""")
"),"")</f>
        <v/>
      </c>
      <c r="Q90" s="2" t="str">
        <f aca="false">IFERROR(__xludf.dummyfunction("if($T90&lt;&gt;"""",VALUE(REGEXEXTRACT($T90, Q$1&amp;""[\w &amp;]*, (\d+\.\d+)"")),"""")
"),"")</f>
        <v/>
      </c>
      <c r="R90" s="2" t="str">
        <f aca="false">IFERROR(__xludf.dummyfunction("if($T90&lt;&gt;"""",VALUE(REGEXEXTRACT($T90, SUBSTITUTE(R$1, ""+"", ""\+"")&amp;""[\w &amp;]*, (\d+\.\d+)"")),"""")"),"")</f>
        <v/>
      </c>
      <c r="S90" s="2" t="str">
        <f aca="false">IFERROR(__xludf.dummyfunction("if($T90&lt;&gt;"""",VALUE(REGEXEXTRACT($T90, SUBSTITUTE(S$1, ""+"", ""\+"")&amp;""[\w &amp;]*, (\d+\.\d+)"")),"""")"),"")</f>
        <v/>
      </c>
      <c r="T90" s="5"/>
    </row>
    <row r="91" customFormat="false" ht="15.75" hidden="false" customHeight="false" outlineLevel="0" collapsed="false">
      <c r="A91" s="4" t="n">
        <f aca="false">IFERROR(__xludf.dummyfunction("""COMPUTED_VALUE"""),45526.6361111111)</f>
        <v>45526.6361111111</v>
      </c>
      <c r="B91" s="2" t="n">
        <f aca="false">IFERROR(__xludf.dummyfunction("""COMPUTED_VALUE"""),16.11)</f>
        <v>16.11</v>
      </c>
      <c r="C91" s="2" t="n">
        <f aca="false">IFERROR(__xludf.dummyfunction("""COMPUTED_VALUE"""),18.06)</f>
        <v>18.06</v>
      </c>
      <c r="D91" s="2" t="n">
        <f aca="false">IFERROR(__xludf.dummyfunction("""COMPUTED_VALUE"""),15.76)</f>
        <v>15.76</v>
      </c>
      <c r="E91" s="2" t="n">
        <f aca="false">IFERROR(__xludf.dummyfunction("""COMPUTED_VALUE"""),17.55)</f>
        <v>17.55</v>
      </c>
      <c r="F91" s="3" t="str">
        <f aca="false">IFERROR(__xludf.dummyfunction("if($T91&lt;&gt;"""",VALUE(REGEXEXTRACT(SUBSTITUTE ($T91,F$1&amp;"" CE"",""""), F$1&amp;""[\w &amp;]*, (\d+\.\d+)"")),"""")
"),"")</f>
        <v/>
      </c>
      <c r="G91" s="3" t="str">
        <f aca="false">IFERROR(__xludf.dummyfunction("if($T91&lt;&gt;"""",VALUE(REGEXEXTRACT($T91, G$1&amp;""[\w &amp;]*, (\d+\.\d+)"")),"""")
"),"")</f>
        <v/>
      </c>
      <c r="H91" s="3" t="str">
        <f aca="false">IFERROR(__xludf.dummyfunction("if($T91&lt;&gt;"""",VALUE(REGEXEXTRACT($T91, H$1&amp;""[\w &amp;]*, (\d+\.\d+)"")),"""")
"),"")</f>
        <v/>
      </c>
      <c r="I91" s="3" t="str">
        <f aca="false">IFERROR(__xludf.dummyfunction("if($T91&lt;&gt;"""",VALUE(REGEXEXTRACT(SUBSTITUTE ($T91,I$1&amp;"" CE"",""""), I$1&amp;""[\w &amp;]*, (\d+\.\d+)"")),"""")
"),"")</f>
        <v/>
      </c>
      <c r="J91" s="3" t="str">
        <f aca="false">IFERROR(__xludf.dummyfunction("if($T91&lt;&gt;"""",VALUE(REGEXEXTRACT($T91, J$1&amp;""[\w &amp;]*, (\d+\.\d+)"")),"""")
"),"")</f>
        <v/>
      </c>
      <c r="K91" s="3" t="str">
        <f aca="false">IFERROR(__xludf.dummyfunction("if($T91&lt;&gt;"""",VALUE(REGEXEXTRACT($T91, K$1&amp;""[\w &amp;]*, (\d+\.\d+)"")),"""")
"),"")</f>
        <v/>
      </c>
      <c r="L91" s="3" t="str">
        <f aca="false">IFERROR(__xludf.dummyfunction("if($T91&lt;&gt;"""",VALUE(REGEXEXTRACT(SUBSTITUTE ($T91,L$1&amp;"" CE"",""""), L$1&amp;""[\w &amp;]*, (\d+\.\d+)"")),"""")
"),"")</f>
        <v/>
      </c>
      <c r="M91" s="3" t="str">
        <f aca="false">IFERROR(__xludf.dummyfunction("if($T91&lt;&gt;"""",VALUE(REGEXEXTRACT($T91, M$1&amp;""[\w &amp;]*, (\d+\.\d+)"")),"""")
"),"")</f>
        <v/>
      </c>
      <c r="N91" s="3" t="str">
        <f aca="false">IFERROR(__xludf.dummyfunction("if($T91&lt;&gt;"""",VALUE(REGEXEXTRACT(SUBSTITUTE ($T91,N$1&amp;"" CE"",""""), N$1&amp;""[\w &amp;]*, (\d+\.\d+)"")),"""")
"),"")</f>
        <v/>
      </c>
      <c r="O91" s="3" t="str">
        <f aca="false">IFERROR(__xludf.dummyfunction("if($T91&lt;&gt;"""",VALUE(REGEXEXTRACT($T91, O$1&amp;""[\w &amp;]*, (\d+\.\d+)"")),"""")
"),"")</f>
        <v/>
      </c>
      <c r="P91" s="2" t="str">
        <f aca="false">IFERROR(__xludf.dummyfunction("if($T91&lt;&gt;"""",VALUE(REGEXEXTRACT($T91, P$1&amp;""[\w &amp;]*, (\d+\.\d+)"")),"""")
"),"")</f>
        <v/>
      </c>
      <c r="Q91" s="2" t="str">
        <f aca="false">IFERROR(__xludf.dummyfunction("if($T91&lt;&gt;"""",VALUE(REGEXEXTRACT($T91, Q$1&amp;""[\w &amp;]*, (\d+\.\d+)"")),"""")
"),"")</f>
        <v/>
      </c>
      <c r="R91" s="2" t="str">
        <f aca="false">IFERROR(__xludf.dummyfunction("if($T91&lt;&gt;"""",VALUE(REGEXEXTRACT($T91, SUBSTITUTE(R$1, ""+"", ""\+"")&amp;""[\w &amp;]*, (\d+\.\d+)"")),"""")"),"")</f>
        <v/>
      </c>
      <c r="S91" s="2" t="str">
        <f aca="false">IFERROR(__xludf.dummyfunction("if($T91&lt;&gt;"""",VALUE(REGEXEXTRACT($T91, SUBSTITUTE(S$1, ""+"", ""\+"")&amp;""[\w &amp;]*, (\d+\.\d+)"")),"""")"),"")</f>
        <v/>
      </c>
      <c r="T91" s="5"/>
    </row>
    <row r="92" customFormat="false" ht="15.75" hidden="false" customHeight="false" outlineLevel="0" collapsed="false">
      <c r="A92" s="4" t="n">
        <f aca="false">IFERROR(__xludf.dummyfunction("""COMPUTED_VALUE"""),45527.6361111111)</f>
        <v>45527.6361111111</v>
      </c>
      <c r="B92" s="2" t="n">
        <f aca="false">IFERROR(__xludf.dummyfunction("""COMPUTED_VALUE"""),16.93)</f>
        <v>16.93</v>
      </c>
      <c r="C92" s="2" t="n">
        <f aca="false">IFERROR(__xludf.dummyfunction("""COMPUTED_VALUE"""),17.21)</f>
        <v>17.21</v>
      </c>
      <c r="D92" s="2" t="n">
        <f aca="false">IFERROR(__xludf.dummyfunction("""COMPUTED_VALUE"""),15.61)</f>
        <v>15.61</v>
      </c>
      <c r="E92" s="2" t="n">
        <f aca="false">IFERROR(__xludf.dummyfunction("""COMPUTED_VALUE"""),15.86)</f>
        <v>15.86</v>
      </c>
      <c r="F92" s="3" t="str">
        <f aca="false">IFERROR(__xludf.dummyfunction("if($T92&lt;&gt;"""",VALUE(REGEXEXTRACT(SUBSTITUTE ($T92,F$1&amp;"" CE"",""""), F$1&amp;""[\w &amp;]*, (\d+\.\d+)"")),"""")
"),"")</f>
        <v/>
      </c>
      <c r="G92" s="3" t="str">
        <f aca="false">IFERROR(__xludf.dummyfunction("if($T92&lt;&gt;"""",VALUE(REGEXEXTRACT($T92, G$1&amp;""[\w &amp;]*, (\d+\.\d+)"")),"""")
"),"")</f>
        <v/>
      </c>
      <c r="H92" s="3" t="str">
        <f aca="false">IFERROR(__xludf.dummyfunction("if($T92&lt;&gt;"""",VALUE(REGEXEXTRACT($T92, H$1&amp;""[\w &amp;]*, (\d+\.\d+)"")),"""")
"),"")</f>
        <v/>
      </c>
      <c r="I92" s="3" t="str">
        <f aca="false">IFERROR(__xludf.dummyfunction("if($T92&lt;&gt;"""",VALUE(REGEXEXTRACT(SUBSTITUTE ($T92,I$1&amp;"" CE"",""""), I$1&amp;""[\w &amp;]*, (\d+\.\d+)"")),"""")
"),"")</f>
        <v/>
      </c>
      <c r="J92" s="3" t="str">
        <f aca="false">IFERROR(__xludf.dummyfunction("if($T92&lt;&gt;"""",VALUE(REGEXEXTRACT($T92, J$1&amp;""[\w &amp;]*, (\d+\.\d+)"")),"""")
"),"")</f>
        <v/>
      </c>
      <c r="K92" s="3" t="str">
        <f aca="false">IFERROR(__xludf.dummyfunction("if($T92&lt;&gt;"""",VALUE(REGEXEXTRACT($T92, K$1&amp;""[\w &amp;]*, (\d+\.\d+)"")),"""")
"),"")</f>
        <v/>
      </c>
      <c r="L92" s="3" t="str">
        <f aca="false">IFERROR(__xludf.dummyfunction("if($T92&lt;&gt;"""",VALUE(REGEXEXTRACT(SUBSTITUTE ($T92,L$1&amp;"" CE"",""""), L$1&amp;""[\w &amp;]*, (\d+\.\d+)"")),"""")
"),"")</f>
        <v/>
      </c>
      <c r="M92" s="3" t="str">
        <f aca="false">IFERROR(__xludf.dummyfunction("if($T92&lt;&gt;"""",VALUE(REGEXEXTRACT($T92, M$1&amp;""[\w &amp;]*, (\d+\.\d+)"")),"""")
"),"")</f>
        <v/>
      </c>
      <c r="N92" s="3" t="str">
        <f aca="false">IFERROR(__xludf.dummyfunction("if($T92&lt;&gt;"""",VALUE(REGEXEXTRACT(SUBSTITUTE ($T92,N$1&amp;"" CE"",""""), N$1&amp;""[\w &amp;]*, (\d+\.\d+)"")),"""")
"),"")</f>
        <v/>
      </c>
      <c r="O92" s="3" t="str">
        <f aca="false">IFERROR(__xludf.dummyfunction("if($T92&lt;&gt;"""",VALUE(REGEXEXTRACT($T92, O$1&amp;""[\w &amp;]*, (\d+\.\d+)"")),"""")
"),"")</f>
        <v/>
      </c>
      <c r="P92" s="2" t="str">
        <f aca="false">IFERROR(__xludf.dummyfunction("if($T92&lt;&gt;"""",VALUE(REGEXEXTRACT($T92, P$1&amp;""[\w &amp;]*, (\d+\.\d+)"")),"""")
"),"")</f>
        <v/>
      </c>
      <c r="Q92" s="2" t="str">
        <f aca="false">IFERROR(__xludf.dummyfunction("if($T92&lt;&gt;"""",VALUE(REGEXEXTRACT($T92, Q$1&amp;""[\w &amp;]*, (\d+\.\d+)"")),"""")
"),"")</f>
        <v/>
      </c>
      <c r="R92" s="2" t="str">
        <f aca="false">IFERROR(__xludf.dummyfunction("if($T92&lt;&gt;"""",VALUE(REGEXEXTRACT($T92, SUBSTITUTE(R$1, ""+"", ""\+"")&amp;""[\w &amp;]*, (\d+\.\d+)"")),"""")"),"")</f>
        <v/>
      </c>
      <c r="S92" s="2" t="str">
        <f aca="false">IFERROR(__xludf.dummyfunction("if($T92&lt;&gt;"""",VALUE(REGEXEXTRACT($T92, SUBSTITUTE(S$1, ""+"", ""\+"")&amp;""[\w &amp;]*, (\d+\.\d+)"")),"""")"),"")</f>
        <v/>
      </c>
      <c r="T92" s="5"/>
    </row>
    <row r="93" customFormat="false" ht="15.75" hidden="false" customHeight="false" outlineLevel="0" collapsed="false">
      <c r="A93" s="4" t="n">
        <f aca="false">IFERROR(__xludf.dummyfunction("""COMPUTED_VALUE"""),45530.6361111111)</f>
        <v>45530.6361111111</v>
      </c>
      <c r="B93" s="2" t="n">
        <f aca="false">IFERROR(__xludf.dummyfunction("""COMPUTED_VALUE"""),16.27)</f>
        <v>16.27</v>
      </c>
      <c r="C93" s="2" t="n">
        <f aca="false">IFERROR(__xludf.dummyfunction("""COMPUTED_VALUE"""),16.67)</f>
        <v>16.67</v>
      </c>
      <c r="D93" s="2" t="n">
        <f aca="false">IFERROR(__xludf.dummyfunction("""COMPUTED_VALUE"""),15.81)</f>
        <v>15.81</v>
      </c>
      <c r="E93" s="2" t="n">
        <f aca="false">IFERROR(__xludf.dummyfunction("""COMPUTED_VALUE"""),16.15)</f>
        <v>16.15</v>
      </c>
      <c r="F93" s="3" t="str">
        <f aca="false">IFERROR(__xludf.dummyfunction("if($T93&lt;&gt;"""",VALUE(REGEXEXTRACT(SUBSTITUTE ($T93,F$1&amp;"" CE"",""""), F$1&amp;""[\w &amp;]*, (\d+\.\d+)"")),"""")
"),"")</f>
        <v/>
      </c>
      <c r="G93" s="3" t="str">
        <f aca="false">IFERROR(__xludf.dummyfunction("if($T93&lt;&gt;"""",VALUE(REGEXEXTRACT($T93, G$1&amp;""[\w &amp;]*, (\d+\.\d+)"")),"""")
"),"")</f>
        <v/>
      </c>
      <c r="H93" s="3" t="str">
        <f aca="false">IFERROR(__xludf.dummyfunction("if($T93&lt;&gt;"""",VALUE(REGEXEXTRACT($T93, H$1&amp;""[\w &amp;]*, (\d+\.\d+)"")),"""")
"),"")</f>
        <v/>
      </c>
      <c r="I93" s="3" t="str">
        <f aca="false">IFERROR(__xludf.dummyfunction("if($T93&lt;&gt;"""",VALUE(REGEXEXTRACT(SUBSTITUTE ($T93,I$1&amp;"" CE"",""""), I$1&amp;""[\w &amp;]*, (\d+\.\d+)"")),"""")
"),"")</f>
        <v/>
      </c>
      <c r="J93" s="3" t="str">
        <f aca="false">IFERROR(__xludf.dummyfunction("if($T93&lt;&gt;"""",VALUE(REGEXEXTRACT($T93, J$1&amp;""[\w &amp;]*, (\d+\.\d+)"")),"""")
"),"")</f>
        <v/>
      </c>
      <c r="K93" s="3" t="str">
        <f aca="false">IFERROR(__xludf.dummyfunction("if($T93&lt;&gt;"""",VALUE(REGEXEXTRACT($T93, K$1&amp;""[\w &amp;]*, (\d+\.\d+)"")),"""")
"),"")</f>
        <v/>
      </c>
      <c r="L93" s="3" t="str">
        <f aca="false">IFERROR(__xludf.dummyfunction("if($T93&lt;&gt;"""",VALUE(REGEXEXTRACT(SUBSTITUTE ($T93,L$1&amp;"" CE"",""""), L$1&amp;""[\w &amp;]*, (\d+\.\d+)"")),"""")
"),"")</f>
        <v/>
      </c>
      <c r="M93" s="3" t="str">
        <f aca="false">IFERROR(__xludf.dummyfunction("if($T93&lt;&gt;"""",VALUE(REGEXEXTRACT($T93, M$1&amp;""[\w &amp;]*, (\d+\.\d+)"")),"""")
"),"")</f>
        <v/>
      </c>
      <c r="N93" s="3" t="str">
        <f aca="false">IFERROR(__xludf.dummyfunction("if($T93&lt;&gt;"""",VALUE(REGEXEXTRACT(SUBSTITUTE ($T93,N$1&amp;"" CE"",""""), N$1&amp;""[\w &amp;]*, (\d+\.\d+)"")),"""")
"),"")</f>
        <v/>
      </c>
      <c r="O93" s="3" t="str">
        <f aca="false">IFERROR(__xludf.dummyfunction("if($T93&lt;&gt;"""",VALUE(REGEXEXTRACT($T93, O$1&amp;""[\w &amp;]*, (\d+\.\d+)"")),"""")
"),"")</f>
        <v/>
      </c>
      <c r="P93" s="2" t="str">
        <f aca="false">IFERROR(__xludf.dummyfunction("if($T93&lt;&gt;"""",VALUE(REGEXEXTRACT($T93, P$1&amp;""[\w &amp;]*, (\d+\.\d+)"")),"""")
"),"")</f>
        <v/>
      </c>
      <c r="Q93" s="2" t="str">
        <f aca="false">IFERROR(__xludf.dummyfunction("if($T93&lt;&gt;"""",VALUE(REGEXEXTRACT($T93, Q$1&amp;""[\w &amp;]*, (\d+\.\d+)"")),"""")
"),"")</f>
        <v/>
      </c>
      <c r="R93" s="2" t="str">
        <f aca="false">IFERROR(__xludf.dummyfunction("if($T93&lt;&gt;"""",VALUE(REGEXEXTRACT($T93, SUBSTITUTE(R$1, ""+"", ""\+"")&amp;""[\w &amp;]*, (\d+\.\d+)"")),"""")"),"")</f>
        <v/>
      </c>
      <c r="S93" s="2" t="str">
        <f aca="false">IFERROR(__xludf.dummyfunction("if($T93&lt;&gt;"""",VALUE(REGEXEXTRACT($T93, SUBSTITUTE(S$1, ""+"", ""\+"")&amp;""[\w &amp;]*, (\d+\.\d+)"")),"""")"),"")</f>
        <v/>
      </c>
      <c r="T93" s="5"/>
    </row>
    <row r="94" customFormat="false" ht="15.75" hidden="false" customHeight="false" outlineLevel="0" collapsed="false">
      <c r="A94" s="4" t="n">
        <f aca="false">IFERROR(__xludf.dummyfunction("""COMPUTED_VALUE"""),45531.6361111111)</f>
        <v>45531.6361111111</v>
      </c>
      <c r="B94" s="2" t="n">
        <f aca="false">IFERROR(__xludf.dummyfunction("""COMPUTED_VALUE"""),16.35)</f>
        <v>16.35</v>
      </c>
      <c r="C94" s="2" t="n">
        <f aca="false">IFERROR(__xludf.dummyfunction("""COMPUTED_VALUE"""),16.81)</f>
        <v>16.81</v>
      </c>
      <c r="D94" s="2" t="n">
        <f aca="false">IFERROR(__xludf.dummyfunction("""COMPUTED_VALUE"""),15.37)</f>
        <v>15.37</v>
      </c>
      <c r="E94" s="2" t="n">
        <f aca="false">IFERROR(__xludf.dummyfunction("""COMPUTED_VALUE"""),15.43)</f>
        <v>15.43</v>
      </c>
      <c r="F94" s="3" t="str">
        <f aca="false">IFERROR(__xludf.dummyfunction("if($T94&lt;&gt;"""",VALUE(REGEXEXTRACT(SUBSTITUTE ($T94,F$1&amp;"" CE"",""""), F$1&amp;""[\w &amp;]*, (\d+\.\d+)"")),"""")
"),"")</f>
        <v/>
      </c>
      <c r="G94" s="3" t="str">
        <f aca="false">IFERROR(__xludf.dummyfunction("if($T94&lt;&gt;"""",VALUE(REGEXEXTRACT($T94, G$1&amp;""[\w &amp;]*, (\d+\.\d+)"")),"""")
"),"")</f>
        <v/>
      </c>
      <c r="H94" s="3" t="str">
        <f aca="false">IFERROR(__xludf.dummyfunction("if($T94&lt;&gt;"""",VALUE(REGEXEXTRACT($T94, H$1&amp;""[\w &amp;]*, (\d+\.\d+)"")),"""")
"),"")</f>
        <v/>
      </c>
      <c r="I94" s="3" t="str">
        <f aca="false">IFERROR(__xludf.dummyfunction("if($T94&lt;&gt;"""",VALUE(REGEXEXTRACT(SUBSTITUTE ($T94,I$1&amp;"" CE"",""""), I$1&amp;""[\w &amp;]*, (\d+\.\d+)"")),"""")
"),"")</f>
        <v/>
      </c>
      <c r="J94" s="3" t="str">
        <f aca="false">IFERROR(__xludf.dummyfunction("if($T94&lt;&gt;"""",VALUE(REGEXEXTRACT($T94, J$1&amp;""[\w &amp;]*, (\d+\.\d+)"")),"""")
"),"")</f>
        <v/>
      </c>
      <c r="K94" s="3" t="str">
        <f aca="false">IFERROR(__xludf.dummyfunction("if($T94&lt;&gt;"""",VALUE(REGEXEXTRACT($T94, K$1&amp;""[\w &amp;]*, (\d+\.\d+)"")),"""")
"),"")</f>
        <v/>
      </c>
      <c r="L94" s="3" t="str">
        <f aca="false">IFERROR(__xludf.dummyfunction("if($T94&lt;&gt;"""",VALUE(REGEXEXTRACT(SUBSTITUTE ($T94,L$1&amp;"" CE"",""""), L$1&amp;""[\w &amp;]*, (\d+\.\d+)"")),"""")
"),"")</f>
        <v/>
      </c>
      <c r="M94" s="3" t="str">
        <f aca="false">IFERROR(__xludf.dummyfunction("if($T94&lt;&gt;"""",VALUE(REGEXEXTRACT($T94, M$1&amp;""[\w &amp;]*, (\d+\.\d+)"")),"""")
"),"")</f>
        <v/>
      </c>
      <c r="N94" s="3" t="str">
        <f aca="false">IFERROR(__xludf.dummyfunction("if($T94&lt;&gt;"""",VALUE(REGEXEXTRACT(SUBSTITUTE ($T94,N$1&amp;"" CE"",""""), N$1&amp;""[\w &amp;]*, (\d+\.\d+)"")),"""")
"),"")</f>
        <v/>
      </c>
      <c r="O94" s="3" t="str">
        <f aca="false">IFERROR(__xludf.dummyfunction("if($T94&lt;&gt;"""",VALUE(REGEXEXTRACT($T94, O$1&amp;""[\w &amp;]*, (\d+\.\d+)"")),"""")
"),"")</f>
        <v/>
      </c>
      <c r="P94" s="2" t="str">
        <f aca="false">IFERROR(__xludf.dummyfunction("if($T94&lt;&gt;"""",VALUE(REGEXEXTRACT($T94, P$1&amp;""[\w &amp;]*, (\d+\.\d+)"")),"""")
"),"")</f>
        <v/>
      </c>
      <c r="Q94" s="2" t="str">
        <f aca="false">IFERROR(__xludf.dummyfunction("if($T94&lt;&gt;"""",VALUE(REGEXEXTRACT($T94, Q$1&amp;""[\w &amp;]*, (\d+\.\d+)"")),"""")
"),"")</f>
        <v/>
      </c>
      <c r="R94" s="2" t="str">
        <f aca="false">IFERROR(__xludf.dummyfunction("if($T94&lt;&gt;"""",VALUE(REGEXEXTRACT($T94, SUBSTITUTE(R$1, ""+"", ""\+"")&amp;""[\w &amp;]*, (\d+\.\d+)"")),"""")"),"")</f>
        <v/>
      </c>
      <c r="S94" s="2" t="str">
        <f aca="false">IFERROR(__xludf.dummyfunction("if($T94&lt;&gt;"""",VALUE(REGEXEXTRACT($T94, SUBSTITUTE(S$1, ""+"", ""\+"")&amp;""[\w &amp;]*, (\d+\.\d+)"")),"""")"),"")</f>
        <v/>
      </c>
      <c r="T94" s="5"/>
    </row>
    <row r="95" customFormat="false" ht="15.75" hidden="false" customHeight="false" outlineLevel="0" collapsed="false">
      <c r="A95" s="4" t="n">
        <f aca="false">IFERROR(__xludf.dummyfunction("""COMPUTED_VALUE"""),45532.6361111111)</f>
        <v>45532.6361111111</v>
      </c>
      <c r="B95" s="2" t="n">
        <f aca="false">IFERROR(__xludf.dummyfunction("""COMPUTED_VALUE"""),15.62)</f>
        <v>15.62</v>
      </c>
      <c r="C95" s="2" t="n">
        <f aca="false">IFERROR(__xludf.dummyfunction("""COMPUTED_VALUE"""),17.89)</f>
        <v>17.89</v>
      </c>
      <c r="D95" s="2" t="n">
        <f aca="false">IFERROR(__xludf.dummyfunction("""COMPUTED_VALUE"""),15.62)</f>
        <v>15.62</v>
      </c>
      <c r="E95" s="2" t="n">
        <f aca="false">IFERROR(__xludf.dummyfunction("""COMPUTED_VALUE"""),17.11)</f>
        <v>17.11</v>
      </c>
      <c r="F95" s="3" t="str">
        <f aca="false">IFERROR(__xludf.dummyfunction("if($T95&lt;&gt;"""",VALUE(REGEXEXTRACT(SUBSTITUTE ($T95,F$1&amp;"" CE"",""""), F$1&amp;""[\w &amp;]*, (\d+\.\d+)"")),"""")
"),"")</f>
        <v/>
      </c>
      <c r="G95" s="3" t="str">
        <f aca="false">IFERROR(__xludf.dummyfunction("if($T95&lt;&gt;"""",VALUE(REGEXEXTRACT($T95, G$1&amp;""[\w &amp;]*, (\d+\.\d+)"")),"""")
"),"")</f>
        <v/>
      </c>
      <c r="H95" s="3" t="str">
        <f aca="false">IFERROR(__xludf.dummyfunction("if($T95&lt;&gt;"""",VALUE(REGEXEXTRACT($T95, H$1&amp;""[\w &amp;]*, (\d+\.\d+)"")),"""")
"),"")</f>
        <v/>
      </c>
      <c r="I95" s="3" t="str">
        <f aca="false">IFERROR(__xludf.dummyfunction("if($T95&lt;&gt;"""",VALUE(REGEXEXTRACT(SUBSTITUTE ($T95,I$1&amp;"" CE"",""""), I$1&amp;""[\w &amp;]*, (\d+\.\d+)"")),"""")
"),"")</f>
        <v/>
      </c>
      <c r="J95" s="3" t="str">
        <f aca="false">IFERROR(__xludf.dummyfunction("if($T95&lt;&gt;"""",VALUE(REGEXEXTRACT($T95, J$1&amp;""[\w &amp;]*, (\d+\.\d+)"")),"""")
"),"")</f>
        <v/>
      </c>
      <c r="K95" s="3" t="str">
        <f aca="false">IFERROR(__xludf.dummyfunction("if($T95&lt;&gt;"""",VALUE(REGEXEXTRACT($T95, K$1&amp;""[\w &amp;]*, (\d+\.\d+)"")),"""")
"),"")</f>
        <v/>
      </c>
      <c r="L95" s="3" t="str">
        <f aca="false">IFERROR(__xludf.dummyfunction("if($T95&lt;&gt;"""",VALUE(REGEXEXTRACT(SUBSTITUTE ($T95,L$1&amp;"" CE"",""""), L$1&amp;""[\w &amp;]*, (\d+\.\d+)"")),"""")
"),"")</f>
        <v/>
      </c>
      <c r="M95" s="3" t="str">
        <f aca="false">IFERROR(__xludf.dummyfunction("if($T95&lt;&gt;"""",VALUE(REGEXEXTRACT($T95, M$1&amp;""[\w &amp;]*, (\d+\.\d+)"")),"""")
"),"")</f>
        <v/>
      </c>
      <c r="N95" s="3" t="str">
        <f aca="false">IFERROR(__xludf.dummyfunction("if($T95&lt;&gt;"""",VALUE(REGEXEXTRACT(SUBSTITUTE ($T95,N$1&amp;"" CE"",""""), N$1&amp;""[\w &amp;]*, (\d+\.\d+)"")),"""")
"),"")</f>
        <v/>
      </c>
      <c r="O95" s="3" t="str">
        <f aca="false">IFERROR(__xludf.dummyfunction("if($T95&lt;&gt;"""",VALUE(REGEXEXTRACT($T95, O$1&amp;""[\w &amp;]*, (\d+\.\d+)"")),"""")
"),"")</f>
        <v/>
      </c>
      <c r="P95" s="2" t="str">
        <f aca="false">IFERROR(__xludf.dummyfunction("if($T95&lt;&gt;"""",VALUE(REGEXEXTRACT($T95, P$1&amp;""[\w &amp;]*, (\d+\.\d+)"")),"""")
"),"")</f>
        <v/>
      </c>
      <c r="Q95" s="2" t="str">
        <f aca="false">IFERROR(__xludf.dummyfunction("if($T95&lt;&gt;"""",VALUE(REGEXEXTRACT($T95, Q$1&amp;""[\w &amp;]*, (\d+\.\d+)"")),"""")
"),"")</f>
        <v/>
      </c>
      <c r="R95" s="2" t="str">
        <f aca="false">IFERROR(__xludf.dummyfunction("if($T95&lt;&gt;"""",VALUE(REGEXEXTRACT($T95, SUBSTITUTE(R$1, ""+"", ""\+"")&amp;""[\w &amp;]*, (\d+\.\d+)"")),"""")"),"")</f>
        <v/>
      </c>
      <c r="S95" s="2" t="str">
        <f aca="false">IFERROR(__xludf.dummyfunction("if($T95&lt;&gt;"""",VALUE(REGEXEXTRACT($T95, SUBSTITUTE(S$1, ""+"", ""\+"")&amp;""[\w &amp;]*, (\d+\.\d+)"")),"""")"),"")</f>
        <v/>
      </c>
      <c r="T95" s="5"/>
    </row>
    <row r="96" customFormat="false" ht="15.75" hidden="false" customHeight="false" outlineLevel="0" collapsed="false">
      <c r="A96" s="4" t="n">
        <f aca="false">IFERROR(__xludf.dummyfunction("""COMPUTED_VALUE"""),45533.6361111111)</f>
        <v>45533.6361111111</v>
      </c>
      <c r="B96" s="2" t="n">
        <f aca="false">IFERROR(__xludf.dummyfunction("""COMPUTED_VALUE"""),16.2)</f>
        <v>16.2</v>
      </c>
      <c r="C96" s="2" t="n">
        <f aca="false">IFERROR(__xludf.dummyfunction("""COMPUTED_VALUE"""),16.2)</f>
        <v>16.2</v>
      </c>
      <c r="D96" s="2" t="n">
        <f aca="false">IFERROR(__xludf.dummyfunction("""COMPUTED_VALUE"""),15.19)</f>
        <v>15.19</v>
      </c>
      <c r="E96" s="2" t="n">
        <f aca="false">IFERROR(__xludf.dummyfunction("""COMPUTED_VALUE"""),15.65)</f>
        <v>15.65</v>
      </c>
      <c r="F96" s="3" t="str">
        <f aca="false">IFERROR(__xludf.dummyfunction("if($T96&lt;&gt;"""",VALUE(REGEXEXTRACT(SUBSTITUTE ($T96,F$1&amp;"" CE"",""""), F$1&amp;""[\w &amp;]*, (\d+\.\d+)"")),"""")
"),"")</f>
        <v/>
      </c>
      <c r="G96" s="3" t="str">
        <f aca="false">IFERROR(__xludf.dummyfunction("if($T96&lt;&gt;"""",VALUE(REGEXEXTRACT($T96, G$1&amp;""[\w &amp;]*, (\d+\.\d+)"")),"""")
"),"")</f>
        <v/>
      </c>
      <c r="H96" s="3" t="str">
        <f aca="false">IFERROR(__xludf.dummyfunction("if($T96&lt;&gt;"""",VALUE(REGEXEXTRACT($T96, H$1&amp;""[\w &amp;]*, (\d+\.\d+)"")),"""")
"),"")</f>
        <v/>
      </c>
      <c r="I96" s="3" t="str">
        <f aca="false">IFERROR(__xludf.dummyfunction("if($T96&lt;&gt;"""",VALUE(REGEXEXTRACT(SUBSTITUTE ($T96,I$1&amp;"" CE"",""""), I$1&amp;""[\w &amp;]*, (\d+\.\d+)"")),"""")
"),"")</f>
        <v/>
      </c>
      <c r="J96" s="3" t="str">
        <f aca="false">IFERROR(__xludf.dummyfunction("if($T96&lt;&gt;"""",VALUE(REGEXEXTRACT($T96, J$1&amp;""[\w &amp;]*, (\d+\.\d+)"")),"""")
"),"")</f>
        <v/>
      </c>
      <c r="K96" s="3" t="str">
        <f aca="false">IFERROR(__xludf.dummyfunction("if($T96&lt;&gt;"""",VALUE(REGEXEXTRACT($T96, K$1&amp;""[\w &amp;]*, (\d+\.\d+)"")),"""")
"),"")</f>
        <v/>
      </c>
      <c r="L96" s="3" t="str">
        <f aca="false">IFERROR(__xludf.dummyfunction("if($T96&lt;&gt;"""",VALUE(REGEXEXTRACT(SUBSTITUTE ($T96,L$1&amp;"" CE"",""""), L$1&amp;""[\w &amp;]*, (\d+\.\d+)"")),"""")
"),"")</f>
        <v/>
      </c>
      <c r="M96" s="3" t="str">
        <f aca="false">IFERROR(__xludf.dummyfunction("if($T96&lt;&gt;"""",VALUE(REGEXEXTRACT($T96, M$1&amp;""[\w &amp;]*, (\d+\.\d+)"")),"""")
"),"")</f>
        <v/>
      </c>
      <c r="N96" s="3" t="str">
        <f aca="false">IFERROR(__xludf.dummyfunction("if($T96&lt;&gt;"""",VALUE(REGEXEXTRACT(SUBSTITUTE ($T96,N$1&amp;"" CE"",""""), N$1&amp;""[\w &amp;]*, (\d+\.\d+)"")),"""")
"),"")</f>
        <v/>
      </c>
      <c r="O96" s="3" t="str">
        <f aca="false">IFERROR(__xludf.dummyfunction("if($T96&lt;&gt;"""",VALUE(REGEXEXTRACT($T96, O$1&amp;""[\w &amp;]*, (\d+\.\d+)"")),"""")
"),"")</f>
        <v/>
      </c>
      <c r="P96" s="2" t="str">
        <f aca="false">IFERROR(__xludf.dummyfunction("if($T96&lt;&gt;"""",VALUE(REGEXEXTRACT($T96, P$1&amp;""[\w &amp;]*, (\d+\.\d+)"")),"""")
"),"")</f>
        <v/>
      </c>
      <c r="Q96" s="2" t="str">
        <f aca="false">IFERROR(__xludf.dummyfunction("if($T96&lt;&gt;"""",VALUE(REGEXEXTRACT($T96, Q$1&amp;""[\w &amp;]*, (\d+\.\d+)"")),"""")
"),"")</f>
        <v/>
      </c>
      <c r="R96" s="2" t="str">
        <f aca="false">IFERROR(__xludf.dummyfunction("if($T96&lt;&gt;"""",VALUE(REGEXEXTRACT($T96, SUBSTITUTE(R$1, ""+"", ""\+"")&amp;""[\w &amp;]*, (\d+\.\d+)"")),"""")"),"")</f>
        <v/>
      </c>
      <c r="S96" s="2" t="str">
        <f aca="false">IFERROR(__xludf.dummyfunction("if($T96&lt;&gt;"""",VALUE(REGEXEXTRACT($T96, SUBSTITUTE(S$1, ""+"", ""\+"")&amp;""[\w &amp;]*, (\d+\.\d+)"")),"""")"),"")</f>
        <v/>
      </c>
      <c r="T96" s="5"/>
    </row>
    <row r="97" customFormat="false" ht="15.75" hidden="false" customHeight="false" outlineLevel="0" collapsed="false">
      <c r="A97" s="4" t="n">
        <f aca="false">IFERROR(__xludf.dummyfunction("""COMPUTED_VALUE"""),45534.6361111111)</f>
        <v>45534.6361111111</v>
      </c>
      <c r="B97" s="2" t="n">
        <f aca="false">IFERROR(__xludf.dummyfunction("""COMPUTED_VALUE"""),15.56)</f>
        <v>15.56</v>
      </c>
      <c r="C97" s="2" t="n">
        <f aca="false">IFERROR(__xludf.dummyfunction("""COMPUTED_VALUE"""),16.04)</f>
        <v>16.04</v>
      </c>
      <c r="D97" s="2" t="n">
        <f aca="false">IFERROR(__xludf.dummyfunction("""COMPUTED_VALUE"""),14.78)</f>
        <v>14.78</v>
      </c>
      <c r="E97" s="2" t="n">
        <f aca="false">IFERROR(__xludf.dummyfunction("""COMPUTED_VALUE"""),15)</f>
        <v>15</v>
      </c>
      <c r="F97" s="3" t="str">
        <f aca="false">IFERROR(__xludf.dummyfunction("if($T97&lt;&gt;"""",VALUE(REGEXEXTRACT(SUBSTITUTE ($T97,F$1&amp;"" CE"",""""), F$1&amp;""[\w &amp;]*, (\d+\.\d+)"")),"""")
"),"")</f>
        <v/>
      </c>
      <c r="G97" s="3" t="str">
        <f aca="false">IFERROR(__xludf.dummyfunction("if($T97&lt;&gt;"""",VALUE(REGEXEXTRACT($T97, G$1&amp;""[\w &amp;]*, (\d+\.\d+)"")),"""")
"),"")</f>
        <v/>
      </c>
      <c r="H97" s="3" t="str">
        <f aca="false">IFERROR(__xludf.dummyfunction("if($T97&lt;&gt;"""",VALUE(REGEXEXTRACT($T97, H$1&amp;""[\w &amp;]*, (\d+\.\d+)"")),"""")
"),"")</f>
        <v/>
      </c>
      <c r="I97" s="3" t="str">
        <f aca="false">IFERROR(__xludf.dummyfunction("if($T97&lt;&gt;"""",VALUE(REGEXEXTRACT(SUBSTITUTE ($T97,I$1&amp;"" CE"",""""), I$1&amp;""[\w &amp;]*, (\d+\.\d+)"")),"""")
"),"")</f>
        <v/>
      </c>
      <c r="J97" s="3" t="str">
        <f aca="false">IFERROR(__xludf.dummyfunction("if($T97&lt;&gt;"""",VALUE(REGEXEXTRACT($T97, J$1&amp;""[\w &amp;]*, (\d+\.\d+)"")),"""")
"),"")</f>
        <v/>
      </c>
      <c r="K97" s="3" t="str">
        <f aca="false">IFERROR(__xludf.dummyfunction("if($T97&lt;&gt;"""",VALUE(REGEXEXTRACT($T97, K$1&amp;""[\w &amp;]*, (\d+\.\d+)"")),"""")
"),"")</f>
        <v/>
      </c>
      <c r="L97" s="3" t="str">
        <f aca="false">IFERROR(__xludf.dummyfunction("if($T97&lt;&gt;"""",VALUE(REGEXEXTRACT(SUBSTITUTE ($T97,L$1&amp;"" CE"",""""), L$1&amp;""[\w &amp;]*, (\d+\.\d+)"")),"""")
"),"")</f>
        <v/>
      </c>
      <c r="M97" s="3" t="str">
        <f aca="false">IFERROR(__xludf.dummyfunction("if($T97&lt;&gt;"""",VALUE(REGEXEXTRACT($T97, M$1&amp;""[\w &amp;]*, (\d+\.\d+)"")),"""")
"),"")</f>
        <v/>
      </c>
      <c r="N97" s="3" t="str">
        <f aca="false">IFERROR(__xludf.dummyfunction("if($T97&lt;&gt;"""",VALUE(REGEXEXTRACT(SUBSTITUTE ($T97,N$1&amp;"" CE"",""""), N$1&amp;""[\w &amp;]*, (\d+\.\d+)"")),"""")
"),"")</f>
        <v/>
      </c>
      <c r="O97" s="3" t="str">
        <f aca="false">IFERROR(__xludf.dummyfunction("if($T97&lt;&gt;"""",VALUE(REGEXEXTRACT($T97, O$1&amp;""[\w &amp;]*, (\d+\.\d+)"")),"""")
"),"")</f>
        <v/>
      </c>
      <c r="P97" s="2" t="str">
        <f aca="false">IFERROR(__xludf.dummyfunction("if($T97&lt;&gt;"""",VALUE(REGEXEXTRACT($T97, P$1&amp;""[\w &amp;]*, (\d+\.\d+)"")),"""")
"),"")</f>
        <v/>
      </c>
      <c r="Q97" s="2" t="str">
        <f aca="false">IFERROR(__xludf.dummyfunction("if($T97&lt;&gt;"""",VALUE(REGEXEXTRACT($T97, Q$1&amp;""[\w &amp;]*, (\d+\.\d+)"")),"""")
"),"")</f>
        <v/>
      </c>
      <c r="R97" s="2" t="str">
        <f aca="false">IFERROR(__xludf.dummyfunction("if($T97&lt;&gt;"""",VALUE(REGEXEXTRACT($T97, SUBSTITUTE(R$1, ""+"", ""\+"")&amp;""[\w &amp;]*, (\d+\.\d+)"")),"""")"),"")</f>
        <v/>
      </c>
      <c r="S97" s="2" t="str">
        <f aca="false">IFERROR(__xludf.dummyfunction("if($T97&lt;&gt;"""",VALUE(REGEXEXTRACT($T97, SUBSTITUTE(S$1, ""+"", ""\+"")&amp;""[\w &amp;]*, (\d+\.\d+)"")),"""")"),"")</f>
        <v/>
      </c>
      <c r="T97" s="5"/>
    </row>
    <row r="98" customFormat="false" ht="15.75" hidden="false" customHeight="false" outlineLevel="0" collapsed="false">
      <c r="A98" s="4" t="n">
        <f aca="false">IFERROR(__xludf.dummyfunction("""COMPUTED_VALUE"""),45538.6361111111)</f>
        <v>45538.6361111111</v>
      </c>
      <c r="B98" s="2" t="n">
        <f aca="false">IFERROR(__xludf.dummyfunction("""COMPUTED_VALUE"""),16.57)</f>
        <v>16.57</v>
      </c>
      <c r="C98" s="2" t="n">
        <f aca="false">IFERROR(__xludf.dummyfunction("""COMPUTED_VALUE"""),21.99)</f>
        <v>21.99</v>
      </c>
      <c r="D98" s="2" t="n">
        <f aca="false">IFERROR(__xludf.dummyfunction("""COMPUTED_VALUE"""),16.57)</f>
        <v>16.57</v>
      </c>
      <c r="E98" s="2" t="n">
        <f aca="false">IFERROR(__xludf.dummyfunction("""COMPUTED_VALUE"""),20.72)</f>
        <v>20.72</v>
      </c>
      <c r="F98" s="3" t="n">
        <f aca="false">IFERROR(__xludf.dummyfunction("if($T98&lt;&gt;"""",VALUE(REGEXEXTRACT(SUBSTITUTE ($T98,F$1&amp;"" CE"",""""), F$1&amp;""[\w &amp;]*, (\d+\.\d+)"")),"""")
"),17)</f>
        <v>17</v>
      </c>
      <c r="G98" s="3" t="n">
        <f aca="false">IFERROR(__xludf.dummyfunction("if($T98&lt;&gt;"""",VALUE(REGEXEXTRACT($T98, G$1&amp;""[\w &amp;]*, (\d+\.\d+)"")),"""")
"),18)</f>
        <v>18</v>
      </c>
      <c r="H98" s="3" t="n">
        <f aca="false">IFERROR(__xludf.dummyfunction("if($T98&lt;&gt;"""",VALUE(REGEXEXTRACT($T98, H$1&amp;""[\w &amp;]*, (\d+\.\d+)"")),"""")
"),22)</f>
        <v>22</v>
      </c>
      <c r="I98" s="3" t="n">
        <f aca="false">IFERROR(__xludf.dummyfunction("if($T98&lt;&gt;"""",VALUE(REGEXEXTRACT(SUBSTITUTE ($T98,I$1&amp;"" CE"",""""), I$1&amp;""[\w &amp;]*, (\d+\.\d+)"")),"""")
"),15)</f>
        <v>15</v>
      </c>
      <c r="J98" s="3" t="n">
        <f aca="false">IFERROR(__xludf.dummyfunction("if($T98&lt;&gt;"""",VALUE(REGEXEXTRACT($T98, J$1&amp;""[\w &amp;]*, (\d+\.\d+)"")),"""")
"),15)</f>
        <v>15</v>
      </c>
      <c r="K98" s="3" t="n">
        <f aca="false">IFERROR(__xludf.dummyfunction("if($T98&lt;&gt;"""",VALUE(REGEXEXTRACT($T98, K$1&amp;""[\w &amp;]*, (\d+\.\d+)"")),"""")
"),14)</f>
        <v>14</v>
      </c>
      <c r="L98" s="3" t="n">
        <f aca="false">IFERROR(__xludf.dummyfunction("if($T98&lt;&gt;"""",VALUE(REGEXEXTRACT(SUBSTITUTE ($T98,L$1&amp;"" CE"",""""), L$1&amp;""[\w &amp;]*, (\d+\.\d+)"")),"""")
"),18)</f>
        <v>18</v>
      </c>
      <c r="M98" s="3" t="n">
        <f aca="false">IFERROR(__xludf.dummyfunction("if($T98&lt;&gt;"""",VALUE(REGEXEXTRACT($T98, M$1&amp;""[\w &amp;]*, (\d+\.\d+)"")),"""")
"),16)</f>
        <v>16</v>
      </c>
      <c r="N98" s="3" t="n">
        <f aca="false">IFERROR(__xludf.dummyfunction("if($T98&lt;&gt;"""",VALUE(REGEXEXTRACT(SUBSTITUTE ($T98,N$1&amp;"" CE"",""""), N$1&amp;""[\w &amp;]*, (\d+\.\d+)"")),"""")
"),17)</f>
        <v>17</v>
      </c>
      <c r="O98" s="3" t="n">
        <f aca="false">IFERROR(__xludf.dummyfunction("if($T98&lt;&gt;"""",VALUE(REGEXEXTRACT($T98, O$1&amp;""[\w &amp;]*, (\d+\.\d+)"")),"""")
"),15)</f>
        <v>15</v>
      </c>
      <c r="P98" s="2" t="n">
        <f aca="false">IFERROR(__xludf.dummyfunction("if($T98&lt;&gt;"""",VALUE(REGEXEXTRACT($T98, P$1&amp;""[\w &amp;]*, (\d+\.\d+)"")),"""")
"),15.3)</f>
        <v>15.3</v>
      </c>
      <c r="Q98" s="2" t="n">
        <f aca="false">IFERROR(__xludf.dummyfunction("if($T98&lt;&gt;"""",VALUE(REGEXEXTRACT($T98, Q$1&amp;""[\w &amp;]*, (\d+\.\d+)"")),"""")
"),14.04)</f>
        <v>14.04</v>
      </c>
      <c r="R98" s="2" t="n">
        <f aca="false">IFERROR(__xludf.dummyfunction("if($T98&lt;&gt;"""",VALUE(REGEXEXTRACT($T98, SUBSTITUTE(R$1, ""+"", ""\+"")&amp;""[\w &amp;]*, (\d+\.\d+)"")),"""")"),17.54)</f>
        <v>17.54</v>
      </c>
      <c r="S98" s="2" t="n">
        <f aca="false">IFERROR(__xludf.dummyfunction("if($T98&lt;&gt;"""",VALUE(REGEXEXTRACT($T98, SUBSTITUTE(S$1, ""+"", ""\+"")&amp;""[\w &amp;]*, (\d+\.\d+)"")),"""")"),18.8)</f>
        <v>18.8</v>
      </c>
      <c r="T98" s="5" t="s">
        <v>307</v>
      </c>
    </row>
    <row r="99" customFormat="false" ht="15.75" hidden="false" customHeight="false" outlineLevel="0" collapsed="false">
      <c r="A99" s="4" t="n">
        <f aca="false">IFERROR(__xludf.dummyfunction("""COMPUTED_VALUE"""),45539.6361111111)</f>
        <v>45539.6361111111</v>
      </c>
      <c r="B99" s="2" t="n">
        <f aca="false">IFERROR(__xludf.dummyfunction("""COMPUTED_VALUE"""),22.78)</f>
        <v>22.78</v>
      </c>
      <c r="C99" s="2" t="n">
        <f aca="false">IFERROR(__xludf.dummyfunction("""COMPUTED_VALUE"""),22.78)</f>
        <v>22.78</v>
      </c>
      <c r="D99" s="2" t="n">
        <f aca="false">IFERROR(__xludf.dummyfunction("""COMPUTED_VALUE"""),19.34)</f>
        <v>19.34</v>
      </c>
      <c r="E99" s="2" t="n">
        <f aca="false">IFERROR(__xludf.dummyfunction("""COMPUTED_VALUE"""),21.32)</f>
        <v>21.32</v>
      </c>
      <c r="F99" s="3" t="n">
        <f aca="false">IFERROR(__xludf.dummyfunction("if($T99&lt;&gt;"""",VALUE(REGEXEXTRACT(SUBSTITUTE ($T99,F$1&amp;"" CE"",""""), F$1&amp;""[\w &amp;]*, (\d+\.\d+)"")),"""")
"),17)</f>
        <v>17</v>
      </c>
      <c r="G99" s="3" t="n">
        <f aca="false">IFERROR(__xludf.dummyfunction("if($T99&lt;&gt;"""",VALUE(REGEXEXTRACT($T99, G$1&amp;""[\w &amp;]*, (\d+\.\d+)"")),"""")
"),21)</f>
        <v>21</v>
      </c>
      <c r="H99" s="3" t="n">
        <f aca="false">IFERROR(__xludf.dummyfunction("if($T99&lt;&gt;"""",VALUE(REGEXEXTRACT($T99, H$1&amp;""[\w &amp;]*, (\d+\.\d+)"")),"""")
"),22)</f>
        <v>22</v>
      </c>
      <c r="I99" s="3" t="n">
        <f aca="false">IFERROR(__xludf.dummyfunction("if($T99&lt;&gt;"""",VALUE(REGEXEXTRACT(SUBSTITUTE ($T99,I$1&amp;"" CE"",""""), I$1&amp;""[\w &amp;]*, (\d+\.\d+)"")),"""")
"),17)</f>
        <v>17</v>
      </c>
      <c r="J99" s="3" t="n">
        <f aca="false">IFERROR(__xludf.dummyfunction("if($T99&lt;&gt;"""",VALUE(REGEXEXTRACT($T99, J$1&amp;""[\w &amp;]*, (\d+\.\d+)"")),"""")
"),22)</f>
        <v>22</v>
      </c>
      <c r="K99" s="3" t="n">
        <f aca="false">IFERROR(__xludf.dummyfunction("if($T99&lt;&gt;"""",VALUE(REGEXEXTRACT($T99, K$1&amp;""[\w &amp;]*, (\d+\.\d+)"")),"""")
"),14)</f>
        <v>14</v>
      </c>
      <c r="L99" s="3" t="n">
        <f aca="false">IFERROR(__xludf.dummyfunction("if($T99&lt;&gt;"""",VALUE(REGEXEXTRACT(SUBSTITUTE ($T99,L$1&amp;"" CE"",""""), L$1&amp;""[\w &amp;]*, (\d+\.\d+)"")),"""")
"),18)</f>
        <v>18</v>
      </c>
      <c r="M99" s="3" t="n">
        <f aca="false">IFERROR(__xludf.dummyfunction("if($T99&lt;&gt;"""",VALUE(REGEXEXTRACT($T99, M$1&amp;""[\w &amp;]*, (\d+\.\d+)"")),"""")
"),19)</f>
        <v>19</v>
      </c>
      <c r="N99" s="3" t="n">
        <f aca="false">IFERROR(__xludf.dummyfunction("if($T99&lt;&gt;"""",VALUE(REGEXEXTRACT(SUBSTITUTE ($T99,N$1&amp;"" CE"",""""), N$1&amp;""[\w &amp;]*, (\d+\.\d+)"")),"""")
"),17)</f>
        <v>17</v>
      </c>
      <c r="O99" s="3" t="n">
        <f aca="false">IFERROR(__xludf.dummyfunction("if($T99&lt;&gt;"""",VALUE(REGEXEXTRACT($T99, O$1&amp;""[\w &amp;]*, (\d+\.\d+)"")),"""")
"),21)</f>
        <v>21</v>
      </c>
      <c r="P99" s="2" t="n">
        <f aca="false">IFERROR(__xludf.dummyfunction("if($T99&lt;&gt;"""",VALUE(REGEXEXTRACT($T99, P$1&amp;""[\w &amp;]*, (\d+\.\d+)"")),"""")
"),21.08)</f>
        <v>21.08</v>
      </c>
      <c r="Q99" s="2" t="n">
        <f aca="false">IFERROR(__xludf.dummyfunction("if($T99&lt;&gt;"""",VALUE(REGEXEXTRACT($T99, Q$1&amp;""[\w &amp;]*, (\d+\.\d+)"")),"""")
"),18.07)</f>
        <v>18.07</v>
      </c>
      <c r="R99" s="2" t="n">
        <f aca="false">IFERROR(__xludf.dummyfunction("if($T99&lt;&gt;"""",VALUE(REGEXEXTRACT($T99, SUBSTITUTE(R$1, ""+"", ""\+"")&amp;""[\w &amp;]*, (\d+\.\d+)"")),"""")"),24.38)</f>
        <v>24.38</v>
      </c>
      <c r="S99" s="2" t="n">
        <f aca="false">IFERROR(__xludf.dummyfunction("if($T99&lt;&gt;"""",VALUE(REGEXEXTRACT($T99, SUBSTITUTE(S$1, ""+"", ""\+"")&amp;""[\w &amp;]*, (\d+\.\d+)"")),"""")"),27.39)</f>
        <v>27.39</v>
      </c>
      <c r="T99" s="5" t="s">
        <v>308</v>
      </c>
    </row>
    <row r="100" customFormat="false" ht="15.75" hidden="false" customHeight="false" outlineLevel="0" collapsed="false">
      <c r="A100" s="4" t="n">
        <f aca="false">IFERROR(__xludf.dummyfunction("""COMPUTED_VALUE"""),45540.6361111111)</f>
        <v>45540.6361111111</v>
      </c>
      <c r="B100" s="2" t="n">
        <f aca="false">IFERROR(__xludf.dummyfunction("""COMPUTED_VALUE"""),20.64)</f>
        <v>20.64</v>
      </c>
      <c r="C100" s="2" t="n">
        <f aca="false">IFERROR(__xludf.dummyfunction("""COMPUTED_VALUE"""),21.53)</f>
        <v>21.53</v>
      </c>
      <c r="D100" s="2" t="n">
        <f aca="false">IFERROR(__xludf.dummyfunction("""COMPUTED_VALUE"""),19.21)</f>
        <v>19.21</v>
      </c>
      <c r="E100" s="2" t="n">
        <f aca="false">IFERROR(__xludf.dummyfunction("""COMPUTED_VALUE"""),19.9)</f>
        <v>19.9</v>
      </c>
      <c r="F100" s="3" t="n">
        <f aca="false">IFERROR(__xludf.dummyfunction("if($T100&lt;&gt;"""",VALUE(REGEXEXTRACT(SUBSTITUTE ($T100,F$1&amp;"" CE"",""""), F$1&amp;""[\w &amp;]*, (\d+\.\d+)"")),"""")
"),17)</f>
        <v>17</v>
      </c>
      <c r="G100" s="3" t="n">
        <f aca="false">IFERROR(__xludf.dummyfunction("if($T100&lt;&gt;"""",VALUE(REGEXEXTRACT($T100, G$1&amp;""[\w &amp;]*, (\d+\.\d+)"")),"""")
"),20)</f>
        <v>20</v>
      </c>
      <c r="H100" s="3" t="n">
        <f aca="false">IFERROR(__xludf.dummyfunction("if($T100&lt;&gt;"""",VALUE(REGEXEXTRACT($T100, H$1&amp;""[\w &amp;]*, (\d+\.\d+)"")),"""")
"),22)</f>
        <v>22</v>
      </c>
      <c r="I100" s="3" t="n">
        <f aca="false">IFERROR(__xludf.dummyfunction("if($T100&lt;&gt;"""",VALUE(REGEXEXTRACT(SUBSTITUTE ($T100,I$1&amp;"" CE"",""""), I$1&amp;""[\w &amp;]*, (\d+\.\d+)"")),"""")
"),17)</f>
        <v>17</v>
      </c>
      <c r="J100" s="3" t="n">
        <f aca="false">IFERROR(__xludf.dummyfunction("if($T100&lt;&gt;"""",VALUE(REGEXEXTRACT($T100, J$1&amp;""[\w &amp;]*, (\d+\.\d+)"")),"""")
"),17)</f>
        <v>17</v>
      </c>
      <c r="K100" s="3" t="n">
        <f aca="false">IFERROR(__xludf.dummyfunction("if($T100&lt;&gt;"""",VALUE(REGEXEXTRACT($T100, K$1&amp;""[\w &amp;]*, (\d+\.\d+)"")),"""")
"),14)</f>
        <v>14</v>
      </c>
      <c r="L100" s="3" t="n">
        <f aca="false">IFERROR(__xludf.dummyfunction("if($T100&lt;&gt;"""",VALUE(REGEXEXTRACT(SUBSTITUTE ($T100,L$1&amp;"" CE"",""""), L$1&amp;""[\w &amp;]*, (\d+\.\d+)"")),"""")
"),19)</f>
        <v>19</v>
      </c>
      <c r="M100" s="3" t="n">
        <f aca="false">IFERROR(__xludf.dummyfunction("if($T100&lt;&gt;"""",VALUE(REGEXEXTRACT($T100, M$1&amp;""[\w &amp;]*, (\d+\.\d+)"")),"""")
"),17)</f>
        <v>17</v>
      </c>
      <c r="N100" s="3" t="n">
        <f aca="false">IFERROR(__xludf.dummyfunction("if($T100&lt;&gt;"""",VALUE(REGEXEXTRACT(SUBSTITUTE ($T100,N$1&amp;"" CE"",""""), N$1&amp;""[\w &amp;]*, (\d+\.\d+)"")),"""")
"),17)</f>
        <v>17</v>
      </c>
      <c r="O100" s="3" t="n">
        <f aca="false">IFERROR(__xludf.dummyfunction("if($T100&lt;&gt;"""",VALUE(REGEXEXTRACT($T100, O$1&amp;""[\w &amp;]*, (\d+\.\d+)"")),"""")
"),17)</f>
        <v>17</v>
      </c>
      <c r="P100" s="2" t="n">
        <f aca="false">IFERROR(__xludf.dummyfunction("if($T100&lt;&gt;"""",VALUE(REGEXEXTRACT($T100, P$1&amp;""[\w &amp;]*, (\d+\.\d+)"")),"""")
"),17.24)</f>
        <v>17.24</v>
      </c>
      <c r="Q100" s="2" t="n">
        <f aca="false">IFERROR(__xludf.dummyfunction("if($T100&lt;&gt;"""",VALUE(REGEXEXTRACT($T100, Q$1&amp;""[\w &amp;]*, (\d+\.\d+)"")),"""")
"),15.65)</f>
        <v>15.65</v>
      </c>
      <c r="R100" s="2" t="n">
        <f aca="false">IFERROR(__xludf.dummyfunction("if($T100&lt;&gt;"""",VALUE(REGEXEXTRACT($T100, SUBSTITUTE(R$1, ""+"", ""\+"")&amp;""[\w &amp;]*, (\d+\.\d+)"")),"""")"),24.9)</f>
        <v>24.9</v>
      </c>
      <c r="S100" s="2" t="n">
        <f aca="false">IFERROR(__xludf.dummyfunction("if($T100&lt;&gt;"""",VALUE(REGEXEXTRACT($T100, SUBSTITUTE(S$1, ""+"", ""\+"")&amp;""[\w &amp;]*, (\d+\.\d+)"")),"""")"),26.49)</f>
        <v>26.49</v>
      </c>
      <c r="T100" s="5" t="s">
        <v>309</v>
      </c>
    </row>
    <row r="101" customFormat="false" ht="15.75" hidden="false" customHeight="false" outlineLevel="0" collapsed="false">
      <c r="A101" s="4" t="n">
        <f aca="false">IFERROR(__xludf.dummyfunction("""COMPUTED_VALUE"""),45541.6361111111)</f>
        <v>45541.6361111111</v>
      </c>
      <c r="B101" s="2" t="n">
        <f aca="false">IFERROR(__xludf.dummyfunction("""COMPUTED_VALUE"""),22.24)</f>
        <v>22.24</v>
      </c>
      <c r="C101" s="2" t="n">
        <f aca="false">IFERROR(__xludf.dummyfunction("""COMPUTED_VALUE"""),23.76)</f>
        <v>23.76</v>
      </c>
      <c r="D101" s="2" t="n">
        <f aca="false">IFERROR(__xludf.dummyfunction("""COMPUTED_VALUE"""),18.83)</f>
        <v>18.83</v>
      </c>
      <c r="E101" s="2" t="n">
        <f aca="false">IFERROR(__xludf.dummyfunction("""COMPUTED_VALUE"""),22.38)</f>
        <v>22.38</v>
      </c>
      <c r="F101" s="3" t="n">
        <f aca="false">IFERROR(__xludf.dummyfunction("if($T101&lt;&gt;"""",VALUE(REGEXEXTRACT(SUBSTITUTE ($T101,F$1&amp;"" CE"",""""), F$1&amp;""[\w &amp;]*, (\d+\.\d+)"")),"""")
"),17)</f>
        <v>17</v>
      </c>
      <c r="G101" s="3" t="n">
        <f aca="false">IFERROR(__xludf.dummyfunction("if($T101&lt;&gt;"""",VALUE(REGEXEXTRACT($T101, G$1&amp;""[\w &amp;]*, (\d+\.\d+)"")),"""")
"),21)</f>
        <v>21</v>
      </c>
      <c r="H101" s="3" t="n">
        <f aca="false">IFERROR(__xludf.dummyfunction("if($T101&lt;&gt;"""",VALUE(REGEXEXTRACT($T101, H$1&amp;""[\w &amp;]*, (\d+\.\d+)"")),"""")
"),28)</f>
        <v>28</v>
      </c>
      <c r="I101" s="3" t="n">
        <f aca="false">IFERROR(__xludf.dummyfunction("if($T101&lt;&gt;"""",VALUE(REGEXEXTRACT(SUBSTITUTE ($T101,I$1&amp;"" CE"",""""), I$1&amp;""[\w &amp;]*, (\d+\.\d+)"")),"""")
"),17)</f>
        <v>17</v>
      </c>
      <c r="J101" s="3" t="n">
        <f aca="false">IFERROR(__xludf.dummyfunction("if($T101&lt;&gt;"""",VALUE(REGEXEXTRACT($T101, J$1&amp;""[\w &amp;]*, (\d+\.\d+)"")),"""")
"),17)</f>
        <v>17</v>
      </c>
      <c r="K101" s="3" t="n">
        <f aca="false">IFERROR(__xludf.dummyfunction("if($T101&lt;&gt;"""",VALUE(REGEXEXTRACT($T101, K$1&amp;""[\w &amp;]*, (\d+\.\d+)"")),"""")
"),14)</f>
        <v>14</v>
      </c>
      <c r="L101" s="3" t="n">
        <f aca="false">IFERROR(__xludf.dummyfunction("if($T101&lt;&gt;"""",VALUE(REGEXEXTRACT(SUBSTITUTE ($T101,L$1&amp;"" CE"",""""), L$1&amp;""[\w &amp;]*, (\d+\.\d+)"")),"""")
"),19)</f>
        <v>19</v>
      </c>
      <c r="M101" s="3" t="n">
        <f aca="false">IFERROR(__xludf.dummyfunction("if($T101&lt;&gt;"""",VALUE(REGEXEXTRACT($T101, M$1&amp;""[\w &amp;]*, (\d+\.\d+)"")),"""")
"),17)</f>
        <v>17</v>
      </c>
      <c r="N101" s="3" t="n">
        <f aca="false">IFERROR(__xludf.dummyfunction("if($T101&lt;&gt;"""",VALUE(REGEXEXTRACT(SUBSTITUTE ($T101,N$1&amp;"" CE"",""""), N$1&amp;""[\w &amp;]*, (\d+\.\d+)"")),"""")
"),17)</f>
        <v>17</v>
      </c>
      <c r="O101" s="3" t="n">
        <f aca="false">IFERROR(__xludf.dummyfunction("if($T101&lt;&gt;"""",VALUE(REGEXEXTRACT($T101, O$1&amp;""[\w &amp;]*, (\d+\.\d+)"")),"""")
"),21)</f>
        <v>21</v>
      </c>
      <c r="P101" s="2" t="n">
        <f aca="false">IFERROR(__xludf.dummyfunction("if($T101&lt;&gt;"""",VALUE(REGEXEXTRACT($T101, P$1&amp;""[\w &amp;]*, (\d+\.\d+)"")),"""")
"),16.95)</f>
        <v>16.95</v>
      </c>
      <c r="Q101" s="2" t="n">
        <f aca="false">IFERROR(__xludf.dummyfunction("if($T101&lt;&gt;"""",VALUE(REGEXEXTRACT($T101, Q$1&amp;""[\w &amp;]*, (\d+\.\d+)"")),"""")
"),15.43)</f>
        <v>15.43</v>
      </c>
      <c r="R101" s="2" t="n">
        <f aca="false">IFERROR(__xludf.dummyfunction("if($T101&lt;&gt;"""",VALUE(REGEXEXTRACT($T101, SUBSTITUTE(R$1, ""+"", ""\+"")&amp;""[\w &amp;]*, (\d+\.\d+)"")),"""")"),23.41)</f>
        <v>23.41</v>
      </c>
      <c r="S101" s="2" t="n">
        <f aca="false">IFERROR(__xludf.dummyfunction("if($T101&lt;&gt;"""",VALUE(REGEXEXTRACT($T101, SUBSTITUTE(S$1, ""+"", ""\+"")&amp;""[\w &amp;]*, (\d+\.\d+)"")),"""")"),24.93)</f>
        <v>24.93</v>
      </c>
      <c r="T101" s="5" t="s">
        <v>310</v>
      </c>
    </row>
    <row r="102" customFormat="false" ht="15.75" hidden="false" customHeight="false" outlineLevel="0" collapsed="false">
      <c r="A102" s="4" t="n">
        <f aca="false">IFERROR(__xludf.dummyfunction("""COMPUTED_VALUE"""),45544.6361111111)</f>
        <v>45544.6361111111</v>
      </c>
      <c r="B102" s="2" t="n">
        <f aca="false">IFERROR(__xludf.dummyfunction("""COMPUTED_VALUE"""),21.32)</f>
        <v>21.32</v>
      </c>
      <c r="C102" s="2" t="n">
        <f aca="false">IFERROR(__xludf.dummyfunction("""COMPUTED_VALUE"""),21.41)</f>
        <v>21.41</v>
      </c>
      <c r="D102" s="2" t="n">
        <f aca="false">IFERROR(__xludf.dummyfunction("""COMPUTED_VALUE"""),19.29)</f>
        <v>19.29</v>
      </c>
      <c r="E102" s="2" t="n">
        <f aca="false">IFERROR(__xludf.dummyfunction("""COMPUTED_VALUE"""),19.45)</f>
        <v>19.45</v>
      </c>
      <c r="F102" s="3" t="n">
        <f aca="false">IFERROR(__xludf.dummyfunction("if($T102&lt;&gt;"""",VALUE(REGEXEXTRACT(SUBSTITUTE ($T102,F$1&amp;"" CE"",""""), F$1&amp;""[\w &amp;]*, (\d+\.\d+)"")),"""")
"),20)</f>
        <v>20</v>
      </c>
      <c r="G102" s="3" t="n">
        <f aca="false">IFERROR(__xludf.dummyfunction("if($T102&lt;&gt;"""",VALUE(REGEXEXTRACT($T102, G$1&amp;""[\w &amp;]*, (\d+\.\d+)"")),"""")
"),21)</f>
        <v>21</v>
      </c>
      <c r="H102" s="3" t="n">
        <f aca="false">IFERROR(__xludf.dummyfunction("if($T102&lt;&gt;"""",VALUE(REGEXEXTRACT($T102, H$1&amp;""[\w &amp;]*, (\d+\.\d+)"")),"""")
"),25)</f>
        <v>25</v>
      </c>
      <c r="I102" s="3" t="n">
        <f aca="false">IFERROR(__xludf.dummyfunction("if($T102&lt;&gt;"""",VALUE(REGEXEXTRACT(SUBSTITUTE ($T102,I$1&amp;"" CE"",""""), I$1&amp;""[\w &amp;]*, (\d+\.\d+)"")),"""")
"),17)</f>
        <v>17</v>
      </c>
      <c r="J102" s="3" t="n">
        <f aca="false">IFERROR(__xludf.dummyfunction("if($T102&lt;&gt;"""",VALUE(REGEXEXTRACT($T102, J$1&amp;""[\w &amp;]*, (\d+\.\d+)"")),"""")
"),17)</f>
        <v>17</v>
      </c>
      <c r="K102" s="3" t="n">
        <f aca="false">IFERROR(__xludf.dummyfunction("if($T102&lt;&gt;"""",VALUE(REGEXEXTRACT($T102, K$1&amp;""[\w &amp;]*, (\d+\.\d+)"")),"""")
"),14)</f>
        <v>14</v>
      </c>
      <c r="L102" s="3" t="n">
        <f aca="false">IFERROR(__xludf.dummyfunction("if($T102&lt;&gt;"""",VALUE(REGEXEXTRACT(SUBSTITUTE ($T102,L$1&amp;"" CE"",""""), L$1&amp;""[\w &amp;]*, (\d+\.\d+)"")),"""")
"),19)</f>
        <v>19</v>
      </c>
      <c r="M102" s="3" t="n">
        <f aca="false">IFERROR(__xludf.dummyfunction("if($T102&lt;&gt;"""",VALUE(REGEXEXTRACT($T102, M$1&amp;""[\w &amp;]*, (\d+\.\d+)"")),"""")
"),19)</f>
        <v>19</v>
      </c>
      <c r="N102" s="3" t="n">
        <f aca="false">IFERROR(__xludf.dummyfunction("if($T102&lt;&gt;"""",VALUE(REGEXEXTRACT(SUBSTITUTE ($T102,N$1&amp;"" CE"",""""), N$1&amp;""[\w &amp;]*, (\d+\.\d+)"")),"""")
"),20)</f>
        <v>20</v>
      </c>
      <c r="O102" s="3" t="n">
        <f aca="false">IFERROR(__xludf.dummyfunction("if($T102&lt;&gt;"""",VALUE(REGEXEXTRACT($T102, O$1&amp;""[\w &amp;]*, (\d+\.\d+)"")),"""")
"),21)</f>
        <v>21</v>
      </c>
      <c r="P102" s="2" t="n">
        <f aca="false">IFERROR(__xludf.dummyfunction("if($T102&lt;&gt;"""",VALUE(REGEXEXTRACT($T102, P$1&amp;""[\w &amp;]*, (\d+\.\d+)"")),"""")
"),18.58)</f>
        <v>18.58</v>
      </c>
      <c r="Q102" s="2" t="n">
        <f aca="false">IFERROR(__xludf.dummyfunction("if($T102&lt;&gt;"""",VALUE(REGEXEXTRACT($T102, Q$1&amp;""[\w &amp;]*, (\d+\.\d+)"")),"""")
"),16.5)</f>
        <v>16.5</v>
      </c>
      <c r="R102" s="2" t="n">
        <f aca="false">IFERROR(__xludf.dummyfunction("if($T102&lt;&gt;"""",VALUE(REGEXEXTRACT($T102, SUBSTITUTE(R$1, ""+"", ""\+"")&amp;""[\w &amp;]*, (\d+\.\d+)"")),"""")"),23.6)</f>
        <v>23.6</v>
      </c>
      <c r="S102" s="2" t="n">
        <f aca="false">IFERROR(__xludf.dummyfunction("if($T102&lt;&gt;"""",VALUE(REGEXEXTRACT($T102, SUBSTITUTE(S$1, ""+"", ""\+"")&amp;""[\w &amp;]*, (\d+\.\d+)"")),"""")"),25.68)</f>
        <v>25.68</v>
      </c>
      <c r="T102" s="5" t="s">
        <v>311</v>
      </c>
    </row>
    <row r="103" customFormat="false" ht="15.75" hidden="false" customHeight="false" outlineLevel="0" collapsed="false">
      <c r="A103" s="4" t="n">
        <f aca="false">IFERROR(__xludf.dummyfunction("""COMPUTED_VALUE"""),45545.6361111111)</f>
        <v>45545.6361111111</v>
      </c>
      <c r="B103" s="2" t="n">
        <f aca="false">IFERROR(__xludf.dummyfunction("""COMPUTED_VALUE"""),19.76)</f>
        <v>19.76</v>
      </c>
      <c r="C103" s="2" t="n">
        <f aca="false">IFERROR(__xludf.dummyfunction("""COMPUTED_VALUE"""),20.74)</f>
        <v>20.74</v>
      </c>
      <c r="D103" s="2" t="n">
        <f aca="false">IFERROR(__xludf.dummyfunction("""COMPUTED_VALUE"""),18.9)</f>
        <v>18.9</v>
      </c>
      <c r="E103" s="2" t="n">
        <f aca="false">IFERROR(__xludf.dummyfunction("""COMPUTED_VALUE"""),19.08)</f>
        <v>19.08</v>
      </c>
      <c r="F103" s="3" t="n">
        <f aca="false">IFERROR(__xludf.dummyfunction("if($T103&lt;&gt;"""",VALUE(REGEXEXTRACT(SUBSTITUTE ($T103,F$1&amp;"" CE"",""""), F$1&amp;""[\w &amp;]*, (\d+\.\d+)"")),"""")
"),17)</f>
        <v>17</v>
      </c>
      <c r="G103" s="3" t="n">
        <f aca="false">IFERROR(__xludf.dummyfunction("if($T103&lt;&gt;"""",VALUE(REGEXEXTRACT($T103, G$1&amp;""[\w &amp;]*, (\d+\.\d+)"")),"""")
"),21)</f>
        <v>21</v>
      </c>
      <c r="H103" s="3" t="n">
        <f aca="false">IFERROR(__xludf.dummyfunction("if($T103&lt;&gt;"""",VALUE(REGEXEXTRACT($T103, H$1&amp;""[\w &amp;]*, (\d+\.\d+)"")),"""")
"),22)</f>
        <v>22</v>
      </c>
      <c r="I103" s="3" t="n">
        <f aca="false">IFERROR(__xludf.dummyfunction("if($T103&lt;&gt;"""",VALUE(REGEXEXTRACT(SUBSTITUTE ($T103,I$1&amp;"" CE"",""""), I$1&amp;""[\w &amp;]*, (\d+\.\d+)"")),"""")
"),17)</f>
        <v>17</v>
      </c>
      <c r="J103" s="3" t="n">
        <f aca="false">IFERROR(__xludf.dummyfunction("if($T103&lt;&gt;"""",VALUE(REGEXEXTRACT($T103, J$1&amp;""[\w &amp;]*, (\d+\.\d+)"")),"""")
"),20)</f>
        <v>20</v>
      </c>
      <c r="K103" s="3" t="n">
        <f aca="false">IFERROR(__xludf.dummyfunction("if($T103&lt;&gt;"""",VALUE(REGEXEXTRACT($T103, K$1&amp;""[\w &amp;]*, (\d+\.\d+)"")),"""")
"),14)</f>
        <v>14</v>
      </c>
      <c r="L103" s="3" t="n">
        <f aca="false">IFERROR(__xludf.dummyfunction("if($T103&lt;&gt;"""",VALUE(REGEXEXTRACT(SUBSTITUTE ($T103,L$1&amp;"" CE"",""""), L$1&amp;""[\w &amp;]*, (\d+\.\d+)"")),"""")
"),19)</f>
        <v>19</v>
      </c>
      <c r="M103" s="3" t="n">
        <f aca="false">IFERROR(__xludf.dummyfunction("if($T103&lt;&gt;"""",VALUE(REGEXEXTRACT($T103, M$1&amp;""[\w &amp;]*, (\d+\.\d+)"")),"""")
"),20)</f>
        <v>20</v>
      </c>
      <c r="N103" s="3" t="n">
        <f aca="false">IFERROR(__xludf.dummyfunction("if($T103&lt;&gt;"""",VALUE(REGEXEXTRACT(SUBSTITUTE ($T103,N$1&amp;"" CE"",""""), N$1&amp;""[\w &amp;]*, (\d+\.\d+)"")),"""")
"),17)</f>
        <v>17</v>
      </c>
      <c r="O103" s="3" t="n">
        <f aca="false">IFERROR(__xludf.dummyfunction("if($T103&lt;&gt;"""",VALUE(REGEXEXTRACT($T103, O$1&amp;""[\w &amp;]*, (\d+\.\d+)"")),"""")
"),20)</f>
        <v>20</v>
      </c>
      <c r="P103" s="2" t="n">
        <f aca="false">IFERROR(__xludf.dummyfunction("if($T103&lt;&gt;"""",VALUE(REGEXEXTRACT($T103, P$1&amp;""[\w &amp;]*, (\d+\.\d+)"")),"""")
"),17.88)</f>
        <v>17.88</v>
      </c>
      <c r="Q103" s="2" t="n">
        <f aca="false">IFERROR(__xludf.dummyfunction("if($T103&lt;&gt;"""",VALUE(REGEXEXTRACT($T103, Q$1&amp;""[\w &amp;]*, (\d+\.\d+)"")),"""")
"),15.83)</f>
        <v>15.83</v>
      </c>
      <c r="R103" s="2" t="n">
        <f aca="false">IFERROR(__xludf.dummyfunction("if($T103&lt;&gt;"""",VALUE(REGEXEXTRACT($T103, SUBSTITUTE(R$1, ""+"", ""\+"")&amp;""[\w &amp;]*, (\d+\.\d+)"")),"""")"),21.56)</f>
        <v>21.56</v>
      </c>
      <c r="S103" s="2" t="n">
        <f aca="false">IFERROR(__xludf.dummyfunction("if($T103&lt;&gt;"""",VALUE(REGEXEXTRACT($T103, SUBSTITUTE(S$1, ""+"", ""\+"")&amp;""[\w &amp;]*, (\d+\.\d+)"")),"""")"),23.61)</f>
        <v>23.61</v>
      </c>
      <c r="T103" s="5" t="s">
        <v>312</v>
      </c>
    </row>
    <row r="104" customFormat="false" ht="15.75" hidden="false" customHeight="false" outlineLevel="0" collapsed="false">
      <c r="A104" s="4" t="n">
        <f aca="false">IFERROR(__xludf.dummyfunction("""COMPUTED_VALUE"""),45546.6361111111)</f>
        <v>45546.6361111111</v>
      </c>
      <c r="B104" s="2" t="n">
        <f aca="false">IFERROR(__xludf.dummyfunction("""COMPUTED_VALUE"""),19.36)</f>
        <v>19.36</v>
      </c>
      <c r="C104" s="2" t="n">
        <f aca="false">IFERROR(__xludf.dummyfunction("""COMPUTED_VALUE"""),21.41)</f>
        <v>21.41</v>
      </c>
      <c r="D104" s="2" t="n">
        <f aca="false">IFERROR(__xludf.dummyfunction("""COMPUTED_VALUE"""),17.55)</f>
        <v>17.55</v>
      </c>
      <c r="E104" s="2" t="n">
        <f aca="false">IFERROR(__xludf.dummyfunction("""COMPUTED_VALUE"""),17.69)</f>
        <v>17.69</v>
      </c>
      <c r="F104" s="3" t="n">
        <f aca="false">IFERROR(__xludf.dummyfunction("if($T104&lt;&gt;"""",VALUE(REGEXEXTRACT(SUBSTITUTE ($T104,F$1&amp;"" CE"",""""), F$1&amp;""[\w &amp;]*, (\d+\.\d+)"")),"""")
"),17)</f>
        <v>17</v>
      </c>
      <c r="G104" s="3" t="n">
        <f aca="false">IFERROR(__xludf.dummyfunction("if($T104&lt;&gt;"""",VALUE(REGEXEXTRACT($T104, G$1&amp;""[\w &amp;]*, (\d+\.\d+)"")),"""")
"),21)</f>
        <v>21</v>
      </c>
      <c r="H104" s="3" t="n">
        <f aca="false">IFERROR(__xludf.dummyfunction("if($T104&lt;&gt;"""",VALUE(REGEXEXTRACT($T104, H$1&amp;""[\w &amp;]*, (\d+\.\d+)"")),"""")
"),22)</f>
        <v>22</v>
      </c>
      <c r="I104" s="3" t="n">
        <f aca="false">IFERROR(__xludf.dummyfunction("if($T104&lt;&gt;"""",VALUE(REGEXEXTRACT(SUBSTITUTE ($T104,I$1&amp;"" CE"",""""), I$1&amp;""[\w &amp;]*, (\d+\.\d+)"")),"""")
"),17)</f>
        <v>17</v>
      </c>
      <c r="J104" s="3" t="n">
        <f aca="false">IFERROR(__xludf.dummyfunction("if($T104&lt;&gt;"""",VALUE(REGEXEXTRACT($T104, J$1&amp;""[\w &amp;]*, (\d+\.\d+)"")),"""")
"),19)</f>
        <v>19</v>
      </c>
      <c r="K104" s="3" t="n">
        <f aca="false">IFERROR(__xludf.dummyfunction("if($T104&lt;&gt;"""",VALUE(REGEXEXTRACT($T104, K$1&amp;""[\w &amp;]*, (\d+\.\d+)"")),"""")
"),14)</f>
        <v>14</v>
      </c>
      <c r="L104" s="3" t="n">
        <f aca="false">IFERROR(__xludf.dummyfunction("if($T104&lt;&gt;"""",VALUE(REGEXEXTRACT(SUBSTITUTE ($T104,L$1&amp;"" CE"",""""), L$1&amp;""[\w &amp;]*, (\d+\.\d+)"")),"""")
"),19)</f>
        <v>19</v>
      </c>
      <c r="M104" s="3" t="n">
        <f aca="false">IFERROR(__xludf.dummyfunction("if($T104&lt;&gt;"""",VALUE(REGEXEXTRACT($T104, M$1&amp;""[\w &amp;]*, (\d+\.\d+)"")),"""")
"),20)</f>
        <v>20</v>
      </c>
      <c r="N104" s="3" t="n">
        <f aca="false">IFERROR(__xludf.dummyfunction("if($T104&lt;&gt;"""",VALUE(REGEXEXTRACT(SUBSTITUTE ($T104,N$1&amp;"" CE"",""""), N$1&amp;""[\w &amp;]*, (\d+\.\d+)"")),"""")
"),17)</f>
        <v>17</v>
      </c>
      <c r="O104" s="3" t="n">
        <f aca="false">IFERROR(__xludf.dummyfunction("if($T104&lt;&gt;"""",VALUE(REGEXEXTRACT($T104, O$1&amp;""[\w &amp;]*, (\d+\.\d+)"")),"""")
"),19)</f>
        <v>19</v>
      </c>
      <c r="P104" s="2" t="n">
        <f aca="false">IFERROR(__xludf.dummyfunction("if($T104&lt;&gt;"""",VALUE(REGEXEXTRACT($T104, P$1&amp;""[\w &amp;]*, (\d+\.\d+)"")),"""")
"),18.47)</f>
        <v>18.47</v>
      </c>
      <c r="Q104" s="2" t="n">
        <f aca="false">IFERROR(__xludf.dummyfunction("if($T104&lt;&gt;"""",VALUE(REGEXEXTRACT($T104, Q$1&amp;""[\w &amp;]*, (\d+\.\d+)"")),"""")
"),16.8)</f>
        <v>16.8</v>
      </c>
      <c r="R104" s="2" t="n">
        <f aca="false">IFERROR(__xludf.dummyfunction("if($T104&lt;&gt;"""",VALUE(REGEXEXTRACT($T104, SUBSTITUTE(R$1, ""+"", ""\+"")&amp;""[\w &amp;]*, (\d+\.\d+)"")),"""")"),20.29)</f>
        <v>20.29</v>
      </c>
      <c r="S104" s="2" t="n">
        <f aca="false">IFERROR(__xludf.dummyfunction("if($T104&lt;&gt;"""",VALUE(REGEXEXTRACT($T104, SUBSTITUTE(S$1, ""+"", ""\+"")&amp;""[\w &amp;]*, (\d+\.\d+)"")),"""")"),21.96)</f>
        <v>21.96</v>
      </c>
      <c r="T104" s="5" t="s">
        <v>313</v>
      </c>
    </row>
    <row r="105" customFormat="false" ht="15.75" hidden="false" customHeight="false" outlineLevel="0" collapsed="false">
      <c r="A105" s="4" t="n">
        <f aca="false">IFERROR(__xludf.dummyfunction("""COMPUTED_VALUE"""),45547.6361111111)</f>
        <v>45547.6361111111</v>
      </c>
      <c r="B105" s="2" t="n">
        <f aca="false">IFERROR(__xludf.dummyfunction("""COMPUTED_VALUE"""),17.87)</f>
        <v>17.87</v>
      </c>
      <c r="C105" s="2" t="n">
        <f aca="false">IFERROR(__xludf.dummyfunction("""COMPUTED_VALUE"""),18.59)</f>
        <v>18.59</v>
      </c>
      <c r="D105" s="2" t="n">
        <f aca="false">IFERROR(__xludf.dummyfunction("""COMPUTED_VALUE"""),16.89)</f>
        <v>16.89</v>
      </c>
      <c r="E105" s="2" t="n">
        <f aca="false">IFERROR(__xludf.dummyfunction("""COMPUTED_VALUE"""),17.07)</f>
        <v>17.07</v>
      </c>
      <c r="F105" s="3" t="n">
        <f aca="false">IFERROR(__xludf.dummyfunction("if($T105&lt;&gt;"""",VALUE(REGEXEXTRACT(SUBSTITUTE ($T105,F$1&amp;"" CE"",""""), F$1&amp;""[\w &amp;]*, (\d+\.\d+)"")),"""")
"),17)</f>
        <v>17</v>
      </c>
      <c r="G105" s="3" t="n">
        <f aca="false">IFERROR(__xludf.dummyfunction("if($T105&lt;&gt;"""",VALUE(REGEXEXTRACT($T105, G$1&amp;""[\w &amp;]*, (\d+\.\d+)"")),"""")
"),20)</f>
        <v>20</v>
      </c>
      <c r="H105" s="3" t="n">
        <f aca="false">IFERROR(__xludf.dummyfunction("if($T105&lt;&gt;"""",VALUE(REGEXEXTRACT($T105, H$1&amp;""[\w &amp;]*, (\d+\.\d+)"")),"""")
"),22)</f>
        <v>22</v>
      </c>
      <c r="I105" s="3" t="n">
        <f aca="false">IFERROR(__xludf.dummyfunction("if($T105&lt;&gt;"""",VALUE(REGEXEXTRACT(SUBSTITUTE ($T105,I$1&amp;"" CE"",""""), I$1&amp;""[\w &amp;]*, (\d+\.\d+)"")),"""")
"),17)</f>
        <v>17</v>
      </c>
      <c r="J105" s="3" t="n">
        <f aca="false">IFERROR(__xludf.dummyfunction("if($T105&lt;&gt;"""",VALUE(REGEXEXTRACT($T105, J$1&amp;""[\w &amp;]*, (\d+\.\d+)"")),"""")
"),16)</f>
        <v>16</v>
      </c>
      <c r="K105" s="3" t="n">
        <f aca="false">IFERROR(__xludf.dummyfunction("if($T105&lt;&gt;"""",VALUE(REGEXEXTRACT($T105, K$1&amp;""[\w &amp;]*, (\d+\.\d+)"")),"""")
"),14)</f>
        <v>14</v>
      </c>
      <c r="L105" s="3" t="n">
        <f aca="false">IFERROR(__xludf.dummyfunction("if($T105&lt;&gt;"""",VALUE(REGEXEXTRACT(SUBSTITUTE ($T105,L$1&amp;"" CE"",""""), L$1&amp;""[\w &amp;]*, (\d+\.\d+)"")),"""")
"),19)</f>
        <v>19</v>
      </c>
      <c r="M105" s="3" t="n">
        <f aca="false">IFERROR(__xludf.dummyfunction("if($T105&lt;&gt;"""",VALUE(REGEXEXTRACT($T105, M$1&amp;""[\w &amp;]*, (\d+\.\d+)"")),"""")
"),19)</f>
        <v>19</v>
      </c>
      <c r="N105" s="3" t="n">
        <f aca="false">IFERROR(__xludf.dummyfunction("if($T105&lt;&gt;"""",VALUE(REGEXEXTRACT(SUBSTITUTE ($T105,N$1&amp;"" CE"",""""), N$1&amp;""[\w &amp;]*, (\d+\.\d+)"")),"""")
"),17)</f>
        <v>17</v>
      </c>
      <c r="O105" s="3" t="n">
        <f aca="false">IFERROR(__xludf.dummyfunction("if($T105&lt;&gt;"""",VALUE(REGEXEXTRACT($T105, O$1&amp;""[\w &amp;]*, (\d+\.\d+)"")),"""")
"),17)</f>
        <v>17</v>
      </c>
      <c r="P105" s="2" t="n">
        <f aca="false">IFERROR(__xludf.dummyfunction("if($T105&lt;&gt;"""",VALUE(REGEXEXTRACT($T105, P$1&amp;""[\w &amp;]*, (\d+\.\d+)"")),"""")
"),15.66)</f>
        <v>15.66</v>
      </c>
      <c r="Q105" s="2" t="n">
        <f aca="false">IFERROR(__xludf.dummyfunction("if($T105&lt;&gt;"""",VALUE(REGEXEXTRACT($T105, Q$1&amp;""[\w &amp;]*, (\d+\.\d+)"")),"""")
"),14.74)</f>
        <v>14.74</v>
      </c>
      <c r="R105" s="2" t="n">
        <f aca="false">IFERROR(__xludf.dummyfunction("if($T105&lt;&gt;"""",VALUE(REGEXEXTRACT($T105, SUBSTITUTE(R$1, ""+"", ""\+"")&amp;""[\w &amp;]*, (\d+\.\d+)"")),"""")"),20.1)</f>
        <v>20.1</v>
      </c>
      <c r="S105" s="2" t="n">
        <f aca="false">IFERROR(__xludf.dummyfunction("if($T105&lt;&gt;"""",VALUE(REGEXEXTRACT($T105, SUBSTITUTE(S$1, ""+"", ""\+"")&amp;""[\w &amp;]*, (\d+\.\d+)"")),"""")"),21.02)</f>
        <v>21.02</v>
      </c>
      <c r="T105" s="5" t="s">
        <v>314</v>
      </c>
    </row>
    <row r="106" customFormat="false" ht="15.75" hidden="false" customHeight="false" outlineLevel="0" collapsed="false">
      <c r="A106" s="4" t="n">
        <f aca="false">IFERROR(__xludf.dummyfunction("""COMPUTED_VALUE"""),45548.6361111111)</f>
        <v>45548.6361111111</v>
      </c>
      <c r="B106" s="2" t="n">
        <f aca="false">IFERROR(__xludf.dummyfunction("""COMPUTED_VALUE"""),16.94)</f>
        <v>16.94</v>
      </c>
      <c r="C106" s="2" t="n">
        <f aca="false">IFERROR(__xludf.dummyfunction("""COMPUTED_VALUE"""),16.94)</f>
        <v>16.94</v>
      </c>
      <c r="D106" s="2" t="n">
        <f aca="false">IFERROR(__xludf.dummyfunction("""COMPUTED_VALUE"""),16.23)</f>
        <v>16.23</v>
      </c>
      <c r="E106" s="2" t="n">
        <f aca="false">IFERROR(__xludf.dummyfunction("""COMPUTED_VALUE"""),16.56)</f>
        <v>16.56</v>
      </c>
      <c r="F106" s="3" t="n">
        <f aca="false">IFERROR(__xludf.dummyfunction("if($T106&lt;&gt;"""",VALUE(REGEXEXTRACT(SUBSTITUTE ($T106,F$1&amp;"" CE"",""""), F$1&amp;""[\w &amp;]*, (\d+\.\d+)"")),"""")
"),17)</f>
        <v>17</v>
      </c>
      <c r="G106" s="3" t="n">
        <f aca="false">IFERROR(__xludf.dummyfunction("if($T106&lt;&gt;"""",VALUE(REGEXEXTRACT($T106, G$1&amp;""[\w &amp;]*, (\d+\.\d+)"")),"""")
"),20)</f>
        <v>20</v>
      </c>
      <c r="H106" s="3" t="n">
        <f aca="false">IFERROR(__xludf.dummyfunction("if($T106&lt;&gt;"""",VALUE(REGEXEXTRACT($T106, H$1&amp;""[\w &amp;]*, (\d+\.\d+)"")),"""")
"),22)</f>
        <v>22</v>
      </c>
      <c r="I106" s="3" t="n">
        <f aca="false">IFERROR(__xludf.dummyfunction("if($T106&lt;&gt;"""",VALUE(REGEXEXTRACT(SUBSTITUTE ($T106,I$1&amp;"" CE"",""""), I$1&amp;""[\w &amp;]*, (\d+\.\d+)"")),"""")
"),17)</f>
        <v>17</v>
      </c>
      <c r="J106" s="3" t="n">
        <f aca="false">IFERROR(__xludf.dummyfunction("if($T106&lt;&gt;"""",VALUE(REGEXEXTRACT($T106, J$1&amp;""[\w &amp;]*, (\d+\.\d+)"")),"""")
"),15)</f>
        <v>15</v>
      </c>
      <c r="K106" s="3" t="n">
        <f aca="false">IFERROR(__xludf.dummyfunction("if($T106&lt;&gt;"""",VALUE(REGEXEXTRACT($T106, K$1&amp;""[\w &amp;]*, (\d+\.\d+)"")),"""")
"),14)</f>
        <v>14</v>
      </c>
      <c r="L106" s="3" t="n">
        <f aca="false">IFERROR(__xludf.dummyfunction("if($T106&lt;&gt;"""",VALUE(REGEXEXTRACT(SUBSTITUTE ($T106,L$1&amp;"" CE"",""""), L$1&amp;""[\w &amp;]*, (\d+\.\d+)"")),"""")
"),18)</f>
        <v>18</v>
      </c>
      <c r="M106" s="3" t="n">
        <f aca="false">IFERROR(__xludf.dummyfunction("if($T106&lt;&gt;"""",VALUE(REGEXEXTRACT($T106, M$1&amp;""[\w &amp;]*, (\d+\.\d+)"")),"""")
"),19)</f>
        <v>19</v>
      </c>
      <c r="N106" s="3" t="n">
        <f aca="false">IFERROR(__xludf.dummyfunction("if($T106&lt;&gt;"""",VALUE(REGEXEXTRACT(SUBSTITUTE ($T106,N$1&amp;"" CE"",""""), N$1&amp;""[\w &amp;]*, (\d+\.\d+)"")),"""")
"),17)</f>
        <v>17</v>
      </c>
      <c r="O106" s="3" t="n">
        <f aca="false">IFERROR(__xludf.dummyfunction("if($T106&lt;&gt;"""",VALUE(REGEXEXTRACT($T106, O$1&amp;""[\w &amp;]*, (\d+\.\d+)"")),"""")
"),17)</f>
        <v>17</v>
      </c>
      <c r="P106" s="2" t="n">
        <f aca="false">IFERROR(__xludf.dummyfunction("if($T106&lt;&gt;"""",VALUE(REGEXEXTRACT($T106, P$1&amp;""[\w &amp;]*, (\d+\.\d+)"")),"""")
"),15.1)</f>
        <v>15.1</v>
      </c>
      <c r="Q106" s="2" t="n">
        <f aca="false">IFERROR(__xludf.dummyfunction("if($T106&lt;&gt;"""",VALUE(REGEXEXTRACT($T106, Q$1&amp;""[\w &amp;]*, (\d+\.\d+)"")),"""")
"),14.23)</f>
        <v>14.23</v>
      </c>
      <c r="R106" s="2" t="n">
        <f aca="false">IFERROR(__xludf.dummyfunction("if($T106&lt;&gt;"""",VALUE(REGEXEXTRACT($T106, SUBSTITUTE(R$1, ""+"", ""\+"")&amp;""[\w &amp;]*, (\d+\.\d+)"")),"""")"),18.8)</f>
        <v>18.8</v>
      </c>
      <c r="S106" s="2" t="n">
        <f aca="false">IFERROR(__xludf.dummyfunction("if($T106&lt;&gt;"""",VALUE(REGEXEXTRACT($T106, SUBSTITUTE(S$1, ""+"", ""\+"")&amp;""[\w &amp;]*, (\d+\.\d+)"")),"""")"),19.67)</f>
        <v>19.67</v>
      </c>
      <c r="T106" s="5" t="s">
        <v>315</v>
      </c>
    </row>
    <row r="107" customFormat="false" ht="15.75" hidden="false" customHeight="false" outlineLevel="0" collapsed="false">
      <c r="A107" s="4" t="n">
        <f aca="false">IFERROR(__xludf.dummyfunction("""COMPUTED_VALUE"""),45551.6361111111)</f>
        <v>45551.6361111111</v>
      </c>
      <c r="B107" s="2" t="n">
        <f aca="false">IFERROR(__xludf.dummyfunction("""COMPUTED_VALUE"""),17.16)</f>
        <v>17.16</v>
      </c>
      <c r="C107" s="2" t="n">
        <f aca="false">IFERROR(__xludf.dummyfunction("""COMPUTED_VALUE"""),17.69)</f>
        <v>17.69</v>
      </c>
      <c r="D107" s="2" t="n">
        <f aca="false">IFERROR(__xludf.dummyfunction("""COMPUTED_VALUE"""),16.91)</f>
        <v>16.91</v>
      </c>
      <c r="E107" s="2" t="n">
        <f aca="false">IFERROR(__xludf.dummyfunction("""COMPUTED_VALUE"""),17.14)</f>
        <v>17.14</v>
      </c>
      <c r="F107" s="3" t="n">
        <f aca="false">IFERROR(__xludf.dummyfunction("if($T107&lt;&gt;"""",VALUE(REGEXEXTRACT(SUBSTITUTE ($T107,F$1&amp;"" CE"",""""), F$1&amp;""[\w &amp;]*, (\d+\.\d+)"")),"""")
"),17)</f>
        <v>17</v>
      </c>
      <c r="G107" s="3" t="n">
        <f aca="false">IFERROR(__xludf.dummyfunction("if($T107&lt;&gt;"""",VALUE(REGEXEXTRACT($T107, G$1&amp;""[\w &amp;]*, (\d+\.\d+)"")),"""")
"),20)</f>
        <v>20</v>
      </c>
      <c r="H107" s="3" t="n">
        <f aca="false">IFERROR(__xludf.dummyfunction("if($T107&lt;&gt;"""",VALUE(REGEXEXTRACT($T107, H$1&amp;""[\w &amp;]*, (\d+\.\d+)"")),"""")
"),22)</f>
        <v>22</v>
      </c>
      <c r="I107" s="3" t="n">
        <f aca="false">IFERROR(__xludf.dummyfunction("if($T107&lt;&gt;"""",VALUE(REGEXEXTRACT(SUBSTITUTE ($T107,I$1&amp;"" CE"",""""), I$1&amp;""[\w &amp;]*, (\d+\.\d+)"")),"""")
"),17)</f>
        <v>17</v>
      </c>
      <c r="J107" s="3" t="n">
        <f aca="false">IFERROR(__xludf.dummyfunction("if($T107&lt;&gt;"""",VALUE(REGEXEXTRACT($T107, J$1&amp;""[\w &amp;]*, (\d+\.\d+)"")),"""")
"),16)</f>
        <v>16</v>
      </c>
      <c r="K107" s="3" t="n">
        <f aca="false">IFERROR(__xludf.dummyfunction("if($T107&lt;&gt;"""",VALUE(REGEXEXTRACT($T107, K$1&amp;""[\w &amp;]*, (\d+\.\d+)"")),"""")
"),14)</f>
        <v>14</v>
      </c>
      <c r="L107" s="3" t="n">
        <f aca="false">IFERROR(__xludf.dummyfunction("if($T107&lt;&gt;"""",VALUE(REGEXEXTRACT(SUBSTITUTE ($T107,L$1&amp;"" CE"",""""), L$1&amp;""[\w &amp;]*, (\d+\.\d+)"")),"""")
"),19)</f>
        <v>19</v>
      </c>
      <c r="M107" s="3" t="n">
        <f aca="false">IFERROR(__xludf.dummyfunction("if($T107&lt;&gt;"""",VALUE(REGEXEXTRACT($T107, M$1&amp;""[\w &amp;]*, (\d+\.\d+)"")),"""")
"),16)</f>
        <v>16</v>
      </c>
      <c r="N107" s="3" t="n">
        <f aca="false">IFERROR(__xludf.dummyfunction("if($T107&lt;&gt;"""",VALUE(REGEXEXTRACT(SUBSTITUTE ($T107,N$1&amp;"" CE"",""""), N$1&amp;""[\w &amp;]*, (\d+\.\d+)"")),"""")
"),17)</f>
        <v>17</v>
      </c>
      <c r="O107" s="3" t="n">
        <f aca="false">IFERROR(__xludf.dummyfunction("if($T107&lt;&gt;"""",VALUE(REGEXEXTRACT($T107, O$1&amp;""[\w &amp;]*, (\d+\.\d+)"")),"""")
"),17)</f>
        <v>17</v>
      </c>
      <c r="P107" s="2" t="n">
        <f aca="false">IFERROR(__xludf.dummyfunction("if($T107&lt;&gt;"""",VALUE(REGEXEXTRACT($T107, P$1&amp;""[\w &amp;]*, (\d+\.\d+)"")),"""")
"),16.04)</f>
        <v>16.04</v>
      </c>
      <c r="Q107" s="2" t="n">
        <f aca="false">IFERROR(__xludf.dummyfunction("if($T107&lt;&gt;"""",VALUE(REGEXEXTRACT($T107, Q$1&amp;""[\w &amp;]*, (\d+\.\d+)"")),"""")
"),14.8)</f>
        <v>14.8</v>
      </c>
      <c r="R107" s="2" t="n">
        <f aca="false">IFERROR(__xludf.dummyfunction("if($T107&lt;&gt;"""",VALUE(REGEXEXTRACT($T107, SUBSTITUTE(R$1, ""+"", ""\+"")&amp;""[\w &amp;]*, (\d+\.\d+)"")),"""")"),18.24)</f>
        <v>18.24</v>
      </c>
      <c r="S107" s="2" t="n">
        <f aca="false">IFERROR(__xludf.dummyfunction("if($T107&lt;&gt;"""",VALUE(REGEXEXTRACT($T107, SUBSTITUTE(S$1, ""+"", ""\+"")&amp;""[\w &amp;]*, (\d+\.\d+)"")),"""")"),19.48)</f>
        <v>19.48</v>
      </c>
      <c r="T107" s="5" t="s">
        <v>316</v>
      </c>
    </row>
    <row r="108" customFormat="false" ht="15.75" hidden="false" customHeight="false" outlineLevel="0" collapsed="false">
      <c r="A108" s="4" t="n">
        <f aca="false">IFERROR(__xludf.dummyfunction("""COMPUTED_VALUE"""),45552.6361111111)</f>
        <v>45552.6361111111</v>
      </c>
      <c r="B108" s="2" t="n">
        <f aca="false">IFERROR(__xludf.dummyfunction("""COMPUTED_VALUE"""),17.05)</f>
        <v>17.05</v>
      </c>
      <c r="C108" s="2" t="n">
        <f aca="false">IFERROR(__xludf.dummyfunction("""COMPUTED_VALUE"""),18.08)</f>
        <v>18.08</v>
      </c>
      <c r="D108" s="2" t="n">
        <f aca="false">IFERROR(__xludf.dummyfunction("""COMPUTED_VALUE"""),16.67)</f>
        <v>16.67</v>
      </c>
      <c r="E108" s="2" t="n">
        <f aca="false">IFERROR(__xludf.dummyfunction("""COMPUTED_VALUE"""),17.61)</f>
        <v>17.61</v>
      </c>
      <c r="F108" s="3" t="n">
        <f aca="false">IFERROR(__xludf.dummyfunction("if($T108&lt;&gt;"""",VALUE(REGEXEXTRACT(SUBSTITUTE ($T108,F$1&amp;"" CE"",""""), F$1&amp;""[\w &amp;]*, (\d+\.\d+)"")),"""")
"),17)</f>
        <v>17</v>
      </c>
      <c r="G108" s="3" t="n">
        <f aca="false">IFERROR(__xludf.dummyfunction("if($T108&lt;&gt;"""",VALUE(REGEXEXTRACT($T108, G$1&amp;""[\w &amp;]*, (\d+\.\d+)"")),"""")
"),20)</f>
        <v>20</v>
      </c>
      <c r="H108" s="3" t="n">
        <f aca="false">IFERROR(__xludf.dummyfunction("if($T108&lt;&gt;"""",VALUE(REGEXEXTRACT($T108, H$1&amp;""[\w &amp;]*, (\d+\.\d+)"")),"""")
"),22)</f>
        <v>22</v>
      </c>
      <c r="I108" s="3" t="n">
        <f aca="false">IFERROR(__xludf.dummyfunction("if($T108&lt;&gt;"""",VALUE(REGEXEXTRACT(SUBSTITUTE ($T108,I$1&amp;"" CE"",""""), I$1&amp;""[\w &amp;]*, (\d+\.\d+)"")),"""")
"),17)</f>
        <v>17</v>
      </c>
      <c r="J108" s="3" t="n">
        <f aca="false">IFERROR(__xludf.dummyfunction("if($T108&lt;&gt;"""",VALUE(REGEXEXTRACT($T108, J$1&amp;""[\w &amp;]*, (\d+\.\d+)"")),"""")
"),16)</f>
        <v>16</v>
      </c>
      <c r="K108" s="3" t="n">
        <f aca="false">IFERROR(__xludf.dummyfunction("if($T108&lt;&gt;"""",VALUE(REGEXEXTRACT($T108, K$1&amp;""[\w &amp;]*, (\d+\.\d+)"")),"""")
"),14)</f>
        <v>14</v>
      </c>
      <c r="L108" s="3" t="n">
        <f aca="false">IFERROR(__xludf.dummyfunction("if($T108&lt;&gt;"""",VALUE(REGEXEXTRACT(SUBSTITUTE ($T108,L$1&amp;"" CE"",""""), L$1&amp;""[\w &amp;]*, (\d+\.\d+)"")),"""")
"),17)</f>
        <v>17</v>
      </c>
      <c r="M108" s="3" t="n">
        <f aca="false">IFERROR(__xludf.dummyfunction("if($T108&lt;&gt;"""",VALUE(REGEXEXTRACT($T108, M$1&amp;""[\w &amp;]*, (\d+\.\d+)"")),"""")
"),16)</f>
        <v>16</v>
      </c>
      <c r="N108" s="3" t="n">
        <f aca="false">IFERROR(__xludf.dummyfunction("if($T108&lt;&gt;"""",VALUE(REGEXEXTRACT(SUBSTITUTE ($T108,N$1&amp;"" CE"",""""), N$1&amp;""[\w &amp;]*, (\d+\.\d+)"")),"""")
"),17)</f>
        <v>17</v>
      </c>
      <c r="O108" s="3" t="n">
        <f aca="false">IFERROR(__xludf.dummyfunction("if($T108&lt;&gt;"""",VALUE(REGEXEXTRACT($T108, O$1&amp;""[\w &amp;]*, (\d+\.\d+)"")),"""")
"),17)</f>
        <v>17</v>
      </c>
      <c r="P108" s="2" t="n">
        <f aca="false">IFERROR(__xludf.dummyfunction("if($T108&lt;&gt;"""",VALUE(REGEXEXTRACT($T108, P$1&amp;""[\w &amp;]*, (\d+\.\d+)"")),"""")
"),15.93)</f>
        <v>15.93</v>
      </c>
      <c r="Q108" s="2" t="n">
        <f aca="false">IFERROR(__xludf.dummyfunction("if($T108&lt;&gt;"""",VALUE(REGEXEXTRACT($T108, Q$1&amp;""[\w &amp;]*, (\d+\.\d+)"")),"""")
"),14.68)</f>
        <v>14.68</v>
      </c>
      <c r="R108" s="2" t="n">
        <f aca="false">IFERROR(__xludf.dummyfunction("if($T108&lt;&gt;"""",VALUE(REGEXEXTRACT($T108, SUBSTITUTE(R$1, ""+"", ""\+"")&amp;""[\w &amp;]*, (\d+\.\d+)"")),"""")"),18.17)</f>
        <v>18.17</v>
      </c>
      <c r="S108" s="2" t="n">
        <f aca="false">IFERROR(__xludf.dummyfunction("if($T108&lt;&gt;"""",VALUE(REGEXEXTRACT($T108, SUBSTITUTE(S$1, ""+"", ""\+"")&amp;""[\w &amp;]*, (\d+\.\d+)"")),"""")"),19.42)</f>
        <v>19.42</v>
      </c>
      <c r="T108" s="5" t="s">
        <v>317</v>
      </c>
    </row>
    <row r="109" customFormat="false" ht="15.75" hidden="false" customHeight="false" outlineLevel="0" collapsed="false">
      <c r="A109" s="4" t="n">
        <f aca="false">IFERROR(__xludf.dummyfunction("""COMPUTED_VALUE"""),45553.6361111111)</f>
        <v>45553.6361111111</v>
      </c>
      <c r="B109" s="2" t="n">
        <f aca="false">IFERROR(__xludf.dummyfunction("""COMPUTED_VALUE"""),17.66)</f>
        <v>17.66</v>
      </c>
      <c r="C109" s="2" t="n">
        <f aca="false">IFERROR(__xludf.dummyfunction("""COMPUTED_VALUE"""),19.39)</f>
        <v>19.39</v>
      </c>
      <c r="D109" s="2" t="n">
        <f aca="false">IFERROR(__xludf.dummyfunction("""COMPUTED_VALUE"""),17.11)</f>
        <v>17.11</v>
      </c>
      <c r="E109" s="2" t="n">
        <f aca="false">IFERROR(__xludf.dummyfunction("""COMPUTED_VALUE"""),18.23)</f>
        <v>18.23</v>
      </c>
      <c r="F109" s="3" t="n">
        <f aca="false">IFERROR(__xludf.dummyfunction("if($T109&lt;&gt;"""",VALUE(REGEXEXTRACT(SUBSTITUTE ($T109,F$1&amp;"" CE"",""""), F$1&amp;""[\w &amp;]*, (\d+\.\d+)"")),"""")
"),18)</f>
        <v>18</v>
      </c>
      <c r="G109" s="3" t="n">
        <f aca="false">IFERROR(__xludf.dummyfunction("if($T109&lt;&gt;"""",VALUE(REGEXEXTRACT($T109, G$1&amp;""[\w &amp;]*, (\d+\.\d+)"")),"""")
"),18)</f>
        <v>18</v>
      </c>
      <c r="H109" s="3" t="n">
        <f aca="false">IFERROR(__xludf.dummyfunction("if($T109&lt;&gt;"""",VALUE(REGEXEXTRACT($T109, H$1&amp;""[\w &amp;]*, (\d+\.\d+)"")),"""")
"),22)</f>
        <v>22</v>
      </c>
      <c r="I109" s="3" t="n">
        <f aca="false">IFERROR(__xludf.dummyfunction("if($T109&lt;&gt;"""",VALUE(REGEXEXTRACT(SUBSTITUTE ($T109,I$1&amp;"" CE"",""""), I$1&amp;""[\w &amp;]*, (\d+\.\d+)"")),"""")
"),18)</f>
        <v>18</v>
      </c>
      <c r="J109" s="3" t="n">
        <f aca="false">IFERROR(__xludf.dummyfunction("if($T109&lt;&gt;"""",VALUE(REGEXEXTRACT($T109, J$1&amp;""[\w &amp;]*, (\d+\.\d+)"")),"""")
"),19)</f>
        <v>19</v>
      </c>
      <c r="K109" s="3" t="n">
        <f aca="false">IFERROR(__xludf.dummyfunction("if($T109&lt;&gt;"""",VALUE(REGEXEXTRACT($T109, K$1&amp;""[\w &amp;]*, (\d+\.\d+)"")),"""")
"),14)</f>
        <v>14</v>
      </c>
      <c r="L109" s="3" t="n">
        <f aca="false">IFERROR(__xludf.dummyfunction("if($T109&lt;&gt;"""",VALUE(REGEXEXTRACT(SUBSTITUTE ($T109,L$1&amp;"" CE"",""""), L$1&amp;""[\w &amp;]*, (\d+\.\d+)"")),"""")
"),17)</f>
        <v>17</v>
      </c>
      <c r="M109" s="3" t="n">
        <f aca="false">IFERROR(__xludf.dummyfunction("if($T109&lt;&gt;"""",VALUE(REGEXEXTRACT($T109, M$1&amp;""[\w &amp;]*, (\d+\.\d+)"")),"""")
"),16)</f>
        <v>16</v>
      </c>
      <c r="N109" s="3" t="n">
        <f aca="false">IFERROR(__xludf.dummyfunction("if($T109&lt;&gt;"""",VALUE(REGEXEXTRACT(SUBSTITUTE ($T109,N$1&amp;"" CE"",""""), N$1&amp;""[\w &amp;]*, (\d+\.\d+)"")),"""")
"),18)</f>
        <v>18</v>
      </c>
      <c r="O109" s="3" t="n">
        <f aca="false">IFERROR(__xludf.dummyfunction("if($T109&lt;&gt;"""",VALUE(REGEXEXTRACT($T109, O$1&amp;""[\w &amp;]*, (\d+\.\d+)"")),"""")
"),18)</f>
        <v>18</v>
      </c>
      <c r="P109" s="2" t="n">
        <f aca="false">IFERROR(__xludf.dummyfunction("if($T109&lt;&gt;"""",VALUE(REGEXEXTRACT($T109, P$1&amp;""[\w &amp;]*, (\d+\.\d+)"")),"""")
"),16.88)</f>
        <v>16.88</v>
      </c>
      <c r="Q109" s="2" t="n">
        <f aca="false">IFERROR(__xludf.dummyfunction("if($T109&lt;&gt;"""",VALUE(REGEXEXTRACT($T109, Q$1&amp;""[\w &amp;]*, (\d+\.\d+)"")),"""")
"),15.5)</f>
        <v>15.5</v>
      </c>
      <c r="R109" s="2" t="n">
        <f aca="false">IFERROR(__xludf.dummyfunction("if($T109&lt;&gt;"""",VALUE(REGEXEXTRACT($T109, SUBSTITUTE(R$1, ""+"", ""\+"")&amp;""[\w &amp;]*, (\d+\.\d+)"")),"""")"),18.4)</f>
        <v>18.4</v>
      </c>
      <c r="S109" s="2" t="n">
        <f aca="false">IFERROR(__xludf.dummyfunction("if($T109&lt;&gt;"""",VALUE(REGEXEXTRACT($T109, SUBSTITUTE(S$1, ""+"", ""\+"")&amp;""[\w &amp;]*, (\d+\.\d+)"")),"""")"),19.78)</f>
        <v>19.78</v>
      </c>
      <c r="T109" s="5" t="s">
        <v>318</v>
      </c>
    </row>
    <row r="110" customFormat="false" ht="15.75" hidden="false" customHeight="false" outlineLevel="0" collapsed="false">
      <c r="A110" s="4" t="n">
        <f aca="false">IFERROR(__xludf.dummyfunction("""COMPUTED_VALUE"""),45554.6361111111)</f>
        <v>45554.6361111111</v>
      </c>
      <c r="B110" s="2" t="n">
        <f aca="false">IFERROR(__xludf.dummyfunction("""COMPUTED_VALUE"""),16.64)</f>
        <v>16.64</v>
      </c>
      <c r="C110" s="2" t="n">
        <f aca="false">IFERROR(__xludf.dummyfunction("""COMPUTED_VALUE"""),16.64)</f>
        <v>16.64</v>
      </c>
      <c r="D110" s="2" t="n">
        <f aca="false">IFERROR(__xludf.dummyfunction("""COMPUTED_VALUE"""),16.21)</f>
        <v>16.21</v>
      </c>
      <c r="E110" s="2" t="n">
        <f aca="false">IFERROR(__xludf.dummyfunction("""COMPUTED_VALUE"""),16.33)</f>
        <v>16.33</v>
      </c>
      <c r="F110" s="3" t="n">
        <f aca="false">IFERROR(__xludf.dummyfunction("if($T110&lt;&gt;"""",VALUE(REGEXEXTRACT(SUBSTITUTE ($T110,F$1&amp;"" CE"",""""), F$1&amp;""[\w &amp;]*, (\d+\.\d+)"")),"""")
"),19)</f>
        <v>19</v>
      </c>
      <c r="G110" s="3" t="n">
        <f aca="false">IFERROR(__xludf.dummyfunction("if($T110&lt;&gt;"""",VALUE(REGEXEXTRACT($T110, G$1&amp;""[\w &amp;]*, (\d+\.\d+)"")),"""")
"),20)</f>
        <v>20</v>
      </c>
      <c r="H110" s="3" t="n">
        <f aca="false">IFERROR(__xludf.dummyfunction("if($T110&lt;&gt;"""",VALUE(REGEXEXTRACT($T110, H$1&amp;""[\w &amp;]*, (\d+\.\d+)"")),"""")
"),22)</f>
        <v>22</v>
      </c>
      <c r="I110" s="3" t="n">
        <f aca="false">IFERROR(__xludf.dummyfunction("if($T110&lt;&gt;"""",VALUE(REGEXEXTRACT(SUBSTITUTE ($T110,I$1&amp;"" CE"",""""), I$1&amp;""[\w &amp;]*, (\d+\.\d+)"")),"""")
"),18)</f>
        <v>18</v>
      </c>
      <c r="J110" s="3" t="n">
        <f aca="false">IFERROR(__xludf.dummyfunction("if($T110&lt;&gt;"""",VALUE(REGEXEXTRACT($T110, J$1&amp;""[\w &amp;]*, (\d+\.\d+)"")),"""")
"),16)</f>
        <v>16</v>
      </c>
      <c r="K110" s="3" t="n">
        <f aca="false">IFERROR(__xludf.dummyfunction("if($T110&lt;&gt;"""",VALUE(REGEXEXTRACT($T110, K$1&amp;""[\w &amp;]*, (\d+\.\d+)"")),"""")
"),14)</f>
        <v>14</v>
      </c>
      <c r="L110" s="3" t="n">
        <f aca="false">IFERROR(__xludf.dummyfunction("if($T110&lt;&gt;"""",VALUE(REGEXEXTRACT(SUBSTITUTE ($T110,L$1&amp;"" CE"",""""), L$1&amp;""[\w &amp;]*, (\d+\.\d+)"")),"""")
"),18)</f>
        <v>18</v>
      </c>
      <c r="M110" s="3" t="n">
        <f aca="false">IFERROR(__xludf.dummyfunction("if($T110&lt;&gt;"""",VALUE(REGEXEXTRACT($T110, M$1&amp;""[\w &amp;]*, (\d+\.\d+)"")),"""")
"),16)</f>
        <v>16</v>
      </c>
      <c r="N110" s="3" t="n">
        <f aca="false">IFERROR(__xludf.dummyfunction("if($T110&lt;&gt;"""",VALUE(REGEXEXTRACT(SUBSTITUTE ($T110,N$1&amp;"" CE"",""""), N$1&amp;""[\w &amp;]*, (\d+\.\d+)"")),"""")
"),19)</f>
        <v>19</v>
      </c>
      <c r="O110" s="3" t="n">
        <f aca="false">IFERROR(__xludf.dummyfunction("if($T110&lt;&gt;"""",VALUE(REGEXEXTRACT($T110, O$1&amp;""[\w &amp;]*, (\d+\.\d+)"")),"""")
"),16)</f>
        <v>16</v>
      </c>
      <c r="P110" s="2" t="n">
        <f aca="false">IFERROR(__xludf.dummyfunction("if($T110&lt;&gt;"""",VALUE(REGEXEXTRACT($T110, P$1&amp;""[\w &amp;]*, (\d+\.\d+)"")),"""")
"),14.7)</f>
        <v>14.7</v>
      </c>
      <c r="Q110" s="2" t="n">
        <f aca="false">IFERROR(__xludf.dummyfunction("if($T110&lt;&gt;"""",VALUE(REGEXEXTRACT($T110, Q$1&amp;""[\w &amp;]*, (\d+\.\d+)"")),"""")
"),13.93)</f>
        <v>13.93</v>
      </c>
      <c r="R110" s="2" t="n">
        <f aca="false">IFERROR(__xludf.dummyfunction("if($T110&lt;&gt;"""",VALUE(REGEXEXTRACT($T110, SUBSTITUTE(R$1, ""+"", ""\+"")&amp;""[\w &amp;]*, (\d+\.\d+)"")),"""")"),18.4)</f>
        <v>18.4</v>
      </c>
      <c r="S110" s="2" t="n">
        <f aca="false">IFERROR(__xludf.dummyfunction("if($T110&lt;&gt;"""",VALUE(REGEXEXTRACT($T110, SUBSTITUTE(S$1, ""+"", ""\+"")&amp;""[\w &amp;]*, (\d+\.\d+)"")),"""")"),19.17)</f>
        <v>19.17</v>
      </c>
      <c r="T110" s="5" t="s">
        <v>319</v>
      </c>
    </row>
    <row r="111" customFormat="false" ht="15.75" hidden="false" customHeight="false" outlineLevel="0" collapsed="false">
      <c r="A111" s="4" t="n">
        <f aca="false">IFERROR(__xludf.dummyfunction("""COMPUTED_VALUE"""),45555.6361111111)</f>
        <v>45555.6361111111</v>
      </c>
      <c r="B111" s="2" t="n">
        <f aca="false">IFERROR(__xludf.dummyfunction("""COMPUTED_VALUE"""),16.39)</f>
        <v>16.39</v>
      </c>
      <c r="C111" s="2" t="n">
        <f aca="false">IFERROR(__xludf.dummyfunction("""COMPUTED_VALUE"""),16.68)</f>
        <v>16.68</v>
      </c>
      <c r="D111" s="2" t="n">
        <f aca="false">IFERROR(__xludf.dummyfunction("""COMPUTED_VALUE"""),15.81)</f>
        <v>15.81</v>
      </c>
      <c r="E111" s="2" t="n">
        <f aca="false">IFERROR(__xludf.dummyfunction("""COMPUTED_VALUE"""),16.15)</f>
        <v>16.15</v>
      </c>
      <c r="F111" s="3" t="n">
        <f aca="false">IFERROR(__xludf.dummyfunction("if($T111&lt;&gt;"""",VALUE(REGEXEXTRACT(SUBSTITUTE ($T111,F$1&amp;"" CE"",""""), F$1&amp;""[\w &amp;]*, (\d+\.\d+)"")),"""")
"),19)</f>
        <v>19</v>
      </c>
      <c r="G111" s="3" t="n">
        <f aca="false">IFERROR(__xludf.dummyfunction("if($T111&lt;&gt;"""",VALUE(REGEXEXTRACT($T111, G$1&amp;""[\w &amp;]*, (\d+\.\d+)"")),"""")
"),20)</f>
        <v>20</v>
      </c>
      <c r="H111" s="3" t="n">
        <f aca="false">IFERROR(__xludf.dummyfunction("if($T111&lt;&gt;"""",VALUE(REGEXEXTRACT($T111, H$1&amp;""[\w &amp;]*, (\d+\.\d+)"")),"""")
"),22)</f>
        <v>22</v>
      </c>
      <c r="I111" s="3" t="n">
        <f aca="false">IFERROR(__xludf.dummyfunction("if($T111&lt;&gt;"""",VALUE(REGEXEXTRACT(SUBSTITUTE ($T111,I$1&amp;"" CE"",""""), I$1&amp;""[\w &amp;]*, (\d+\.\d+)"")),"""")
"),18)</f>
        <v>18</v>
      </c>
      <c r="J111" s="3" t="n">
        <f aca="false">IFERROR(__xludf.dummyfunction("if($T111&lt;&gt;"""",VALUE(REGEXEXTRACT($T111, J$1&amp;""[\w &amp;]*, (\d+\.\d+)"")),"""")
"),16)</f>
        <v>16</v>
      </c>
      <c r="K111" s="3" t="n">
        <f aca="false">IFERROR(__xludf.dummyfunction("if($T111&lt;&gt;"""",VALUE(REGEXEXTRACT($T111, K$1&amp;""[\w &amp;]*, (\d+\.\d+)"")),"""")
"),14)</f>
        <v>14</v>
      </c>
      <c r="L111" s="3" t="n">
        <f aca="false">IFERROR(__xludf.dummyfunction("if($T111&lt;&gt;"""",VALUE(REGEXEXTRACT(SUBSTITUTE ($T111,L$1&amp;"" CE"",""""), L$1&amp;""[\w &amp;]*, (\d+\.\d+)"")),"""")
"),18)</f>
        <v>18</v>
      </c>
      <c r="M111" s="3" t="n">
        <f aca="false">IFERROR(__xludf.dummyfunction("if($T111&lt;&gt;"""",VALUE(REGEXEXTRACT($T111, M$1&amp;""[\w &amp;]*, (\d+\.\d+)"")),"""")
"),16)</f>
        <v>16</v>
      </c>
      <c r="N111" s="3" t="n">
        <f aca="false">IFERROR(__xludf.dummyfunction("if($T111&lt;&gt;"""",VALUE(REGEXEXTRACT(SUBSTITUTE ($T111,N$1&amp;"" CE"",""""), N$1&amp;""[\w &amp;]*, (\d+\.\d+)"")),"""")
"),18)</f>
        <v>18</v>
      </c>
      <c r="O111" s="3" t="n">
        <f aca="false">IFERROR(__xludf.dummyfunction("if($T111&lt;&gt;"""",VALUE(REGEXEXTRACT($T111, O$1&amp;""[\w &amp;]*, (\d+\.\d+)"")),"""")
"),16)</f>
        <v>16</v>
      </c>
      <c r="P111" s="2" t="n">
        <f aca="false">IFERROR(__xludf.dummyfunction("if($T111&lt;&gt;"""",VALUE(REGEXEXTRACT($T111, P$1&amp;""[\w &amp;]*, (\d+\.\d+)"")),"""")
"),14.89)</f>
        <v>14.89</v>
      </c>
      <c r="Q111" s="2" t="n">
        <f aca="false">IFERROR(__xludf.dummyfunction("if($T111&lt;&gt;"""",VALUE(REGEXEXTRACT($T111, Q$1&amp;""[\w &amp;]*, (\d+\.\d+)"")),"""")
"),14.17)</f>
        <v>14.17</v>
      </c>
      <c r="R111" s="2" t="n">
        <f aca="false">IFERROR(__xludf.dummyfunction("if($T111&lt;&gt;"""",VALUE(REGEXEXTRACT($T111, SUBSTITUTE(R$1, ""+"", ""\+"")&amp;""[\w &amp;]*, (\d+\.\d+)"")),"""")"),17.91)</f>
        <v>17.91</v>
      </c>
      <c r="S111" s="2" t="n">
        <f aca="false">IFERROR(__xludf.dummyfunction("if($T111&lt;&gt;"""",VALUE(REGEXEXTRACT($T111, SUBSTITUTE(S$1, ""+"", ""\+"")&amp;""[\w &amp;]*, (\d+\.\d+)"")),"""")"),18.63)</f>
        <v>18.63</v>
      </c>
      <c r="T111" s="5" t="s">
        <v>320</v>
      </c>
    </row>
    <row r="112" customFormat="false" ht="15.75" hidden="false" customHeight="false" outlineLevel="0" collapsed="false">
      <c r="A112" s="4" t="n">
        <f aca="false">IFERROR(__xludf.dummyfunction("""COMPUTED_VALUE"""),45558.6361111111)</f>
        <v>45558.6361111111</v>
      </c>
      <c r="B112" s="2" t="n">
        <f aca="false">IFERROR(__xludf.dummyfunction("""COMPUTED_VALUE"""),16.71)</f>
        <v>16.71</v>
      </c>
      <c r="C112" s="2" t="n">
        <f aca="false">IFERROR(__xludf.dummyfunction("""COMPUTED_VALUE"""),16.95)</f>
        <v>16.95</v>
      </c>
      <c r="D112" s="2" t="n">
        <f aca="false">IFERROR(__xludf.dummyfunction("""COMPUTED_VALUE"""),15.75)</f>
        <v>15.75</v>
      </c>
      <c r="E112" s="2" t="n">
        <f aca="false">IFERROR(__xludf.dummyfunction("""COMPUTED_VALUE"""),15.89)</f>
        <v>15.89</v>
      </c>
      <c r="F112" s="3" t="n">
        <f aca="false">IFERROR(__xludf.dummyfunction("if($T112&lt;&gt;"""",VALUE(REGEXEXTRACT(SUBSTITUTE ($T112,F$1&amp;"" CE"",""""), F$1&amp;""[\w &amp;]*, (\d+\.\d+)"")),"""")
"),19)</f>
        <v>19</v>
      </c>
      <c r="G112" s="3" t="n">
        <f aca="false">IFERROR(__xludf.dummyfunction("if($T112&lt;&gt;"""",VALUE(REGEXEXTRACT($T112, G$1&amp;""[\w &amp;]*, (\d+\.\d+)"")),"""")
"),17)</f>
        <v>17</v>
      </c>
      <c r="H112" s="3" t="n">
        <f aca="false">IFERROR(__xludf.dummyfunction("if($T112&lt;&gt;"""",VALUE(REGEXEXTRACT($T112, H$1&amp;""[\w &amp;]*, (\d+\.\d+)"")),"""")
"),22)</f>
        <v>22</v>
      </c>
      <c r="I112" s="3" t="n">
        <f aca="false">IFERROR(__xludf.dummyfunction("if($T112&lt;&gt;"""",VALUE(REGEXEXTRACT(SUBSTITUTE ($T112,I$1&amp;"" CE"",""""), I$1&amp;""[\w &amp;]*, (\d+\.\d+)"")),"""")
"),17)</f>
        <v>17</v>
      </c>
      <c r="J112" s="3" t="n">
        <f aca="false">IFERROR(__xludf.dummyfunction("if($T112&lt;&gt;"""",VALUE(REGEXEXTRACT($T112, J$1&amp;""[\w &amp;]*, (\d+\.\d+)"")),"""")
"),16)</f>
        <v>16</v>
      </c>
      <c r="K112" s="3" t="n">
        <f aca="false">IFERROR(__xludf.dummyfunction("if($T112&lt;&gt;"""",VALUE(REGEXEXTRACT($T112, K$1&amp;""[\w &amp;]*, (\d+\.\d+)"")),"""")
"),14)</f>
        <v>14</v>
      </c>
      <c r="L112" s="3" t="n">
        <f aca="false">IFERROR(__xludf.dummyfunction("if($T112&lt;&gt;"""",VALUE(REGEXEXTRACT(SUBSTITUTE ($T112,L$1&amp;"" CE"",""""), L$1&amp;""[\w &amp;]*, (\d+\.\d+)"")),"""")
"),18)</f>
        <v>18</v>
      </c>
      <c r="M112" s="3" t="n">
        <f aca="false">IFERROR(__xludf.dummyfunction("if($T112&lt;&gt;"""",VALUE(REGEXEXTRACT($T112, M$1&amp;""[\w &amp;]*, (\d+\.\d+)"")),"""")
"),16)</f>
        <v>16</v>
      </c>
      <c r="N112" s="3" t="n">
        <f aca="false">IFERROR(__xludf.dummyfunction("if($T112&lt;&gt;"""",VALUE(REGEXEXTRACT(SUBSTITUTE ($T112,N$1&amp;"" CE"",""""), N$1&amp;""[\w &amp;]*, (\d+\.\d+)"")),"""")
"),18)</f>
        <v>18</v>
      </c>
      <c r="O112" s="3" t="n">
        <f aca="false">IFERROR(__xludf.dummyfunction("if($T112&lt;&gt;"""",VALUE(REGEXEXTRACT($T112, O$1&amp;""[\w &amp;]*, (\d+\.\d+)"")),"""")
"),16)</f>
        <v>16</v>
      </c>
      <c r="P112" s="2" t="n">
        <f aca="false">IFERROR(__xludf.dummyfunction("if($T112&lt;&gt;"""",VALUE(REGEXEXTRACT($T112, P$1&amp;""[\w &amp;]*, (\d+\.\d+)"")),"""")
"),15.42)</f>
        <v>15.42</v>
      </c>
      <c r="Q112" s="2" t="n">
        <f aca="false">IFERROR(__xludf.dummyfunction("if($T112&lt;&gt;"""",VALUE(REGEXEXTRACT($T112, Q$1&amp;""[\w &amp;]*, (\d+\.\d+)"")),"""")
"),14.54)</f>
        <v>14.54</v>
      </c>
      <c r="R112" s="2" t="n">
        <f aca="false">IFERROR(__xludf.dummyfunction("if($T112&lt;&gt;"""",VALUE(REGEXEXTRACT($T112, SUBSTITUTE(R$1, ""+"", ""\+"")&amp;""[\w &amp;]*, (\d+\.\d+)"")),"""")"),17.56)</f>
        <v>17.56</v>
      </c>
      <c r="S112" s="2" t="n">
        <f aca="false">IFERROR(__xludf.dummyfunction("if($T112&lt;&gt;"""",VALUE(REGEXEXTRACT($T112, SUBSTITUTE(S$1, ""+"", ""\+"")&amp;""[\w &amp;]*, (\d+\.\d+)"")),"""")"),18.44)</f>
        <v>18.44</v>
      </c>
      <c r="T112" s="5" t="s">
        <v>321</v>
      </c>
    </row>
    <row r="113" customFormat="false" ht="15.75" hidden="false" customHeight="false" outlineLevel="0" collapsed="false">
      <c r="A113" s="4" t="n">
        <f aca="false">IFERROR(__xludf.dummyfunction("""COMPUTED_VALUE"""),45559.6361111111)</f>
        <v>45559.6361111111</v>
      </c>
      <c r="B113" s="2" t="n">
        <f aca="false">IFERROR(__xludf.dummyfunction("""COMPUTED_VALUE"""),16.15)</f>
        <v>16.15</v>
      </c>
      <c r="C113" s="2" t="n">
        <f aca="false">IFERROR(__xludf.dummyfunction("""COMPUTED_VALUE"""),16.67)</f>
        <v>16.67</v>
      </c>
      <c r="D113" s="2" t="n">
        <f aca="false">IFERROR(__xludf.dummyfunction("""COMPUTED_VALUE"""),15.27)</f>
        <v>15.27</v>
      </c>
      <c r="E113" s="2" t="n">
        <f aca="false">IFERROR(__xludf.dummyfunction("""COMPUTED_VALUE"""),15.39)</f>
        <v>15.39</v>
      </c>
      <c r="F113" s="3" t="n">
        <f aca="false">IFERROR(__xludf.dummyfunction("if($T113&lt;&gt;"""",VALUE(REGEXEXTRACT(SUBSTITUTE ($T113,F$1&amp;"" CE"",""""), F$1&amp;""[\w &amp;]*, (\d+\.\d+)"")),"""")
"),18)</f>
        <v>18</v>
      </c>
      <c r="G113" s="3" t="n">
        <f aca="false">IFERROR(__xludf.dummyfunction("if($T113&lt;&gt;"""",VALUE(REGEXEXTRACT($T113, G$1&amp;""[\w &amp;]*, (\d+\.\d+)"")),"""")
"),18)</f>
        <v>18</v>
      </c>
      <c r="H113" s="3" t="str">
        <f aca="false">IFERROR(__xludf.dummyfunction("if($T113&lt;&gt;"""",VALUE(REGEXEXTRACT($T113, H$1&amp;""[\w &amp;]*, (\d+\.\d+)"")),"""")
"),"#N/A")</f>
        <v>#N/A</v>
      </c>
      <c r="I113" s="3" t="n">
        <f aca="false">IFERROR(__xludf.dummyfunction("if($T113&lt;&gt;"""",VALUE(REGEXEXTRACT(SUBSTITUTE ($T113,I$1&amp;"" CE"",""""), I$1&amp;""[\w &amp;]*, (\d+\.\d+)"")),"""")
"),17)</f>
        <v>17</v>
      </c>
      <c r="J113" s="3" t="n">
        <f aca="false">IFERROR(__xludf.dummyfunction("if($T113&lt;&gt;"""",VALUE(REGEXEXTRACT($T113, J$1&amp;""[\w &amp;]*, (\d+\.\d+)"")),"""")
"),16)</f>
        <v>16</v>
      </c>
      <c r="K113" s="3" t="n">
        <f aca="false">IFERROR(__xludf.dummyfunction("if($T113&lt;&gt;"""",VALUE(REGEXEXTRACT($T113, K$1&amp;""[\w &amp;]*, (\d+\.\d+)"")),"""")
"),14)</f>
        <v>14</v>
      </c>
      <c r="L113" s="3" t="n">
        <f aca="false">IFERROR(__xludf.dummyfunction("if($T113&lt;&gt;"""",VALUE(REGEXEXTRACT(SUBSTITUTE ($T113,L$1&amp;"" CE"",""""), L$1&amp;""[\w &amp;]*, (\d+\.\d+)"")),"""")
"),19)</f>
        <v>19</v>
      </c>
      <c r="M113" s="3" t="n">
        <f aca="false">IFERROR(__xludf.dummyfunction("if($T113&lt;&gt;"""",VALUE(REGEXEXTRACT($T113, M$1&amp;""[\w &amp;]*, (\d+\.\d+)"")),"""")
"),16)</f>
        <v>16</v>
      </c>
      <c r="N113" s="3" t="n">
        <f aca="false">IFERROR(__xludf.dummyfunction("if($T113&lt;&gt;"""",VALUE(REGEXEXTRACT(SUBSTITUTE ($T113,N$1&amp;"" CE"",""""), N$1&amp;""[\w &amp;]*, (\d+\.\d+)"")),"""")
"),18)</f>
        <v>18</v>
      </c>
      <c r="O113" s="3" t="n">
        <f aca="false">IFERROR(__xludf.dummyfunction("if($T113&lt;&gt;"""",VALUE(REGEXEXTRACT($T113, O$1&amp;""[\w &amp;]*, (\d+\.\d+)"")),"""")
"),16)</f>
        <v>16</v>
      </c>
      <c r="P113" s="2" t="n">
        <f aca="false">IFERROR(__xludf.dummyfunction("if($T113&lt;&gt;"""",VALUE(REGEXEXTRACT($T113, P$1&amp;""[\w &amp;]*, (\d+\.\d+)"")),"""")
"),15.23)</f>
        <v>15.23</v>
      </c>
      <c r="Q113" s="2" t="n">
        <f aca="false">IFERROR(__xludf.dummyfunction("if($T113&lt;&gt;"""",VALUE(REGEXEXTRACT($T113, Q$1&amp;""[\w &amp;]*, (\d+\.\d+)"")),"""")
"),14.28)</f>
        <v>14.28</v>
      </c>
      <c r="R113" s="2" t="n">
        <f aca="false">IFERROR(__xludf.dummyfunction("if($T113&lt;&gt;"""",VALUE(REGEXEXTRACT($T113, SUBSTITUTE(R$1, ""+"", ""\+"")&amp;""[\w &amp;]*, (\d+\.\d+)"")),"""")"),16.93)</f>
        <v>16.93</v>
      </c>
      <c r="S113" s="2" t="n">
        <f aca="false">IFERROR(__xludf.dummyfunction("if($T113&lt;&gt;"""",VALUE(REGEXEXTRACT($T113, SUBSTITUTE(S$1, ""+"", ""\+"")&amp;""[\w &amp;]*, (\d+\.\d+)"")),"""")"),17.88)</f>
        <v>17.88</v>
      </c>
      <c r="T113" s="5" t="s">
        <v>322</v>
      </c>
    </row>
    <row r="114" customFormat="false" ht="15.75" hidden="false" customHeight="false" outlineLevel="0" collapsed="false">
      <c r="A114" s="4" t="n">
        <f aca="false">IFERROR(__xludf.dummyfunction("""COMPUTED_VALUE"""),45560.6361111111)</f>
        <v>45560.6361111111</v>
      </c>
      <c r="B114" s="2" t="n">
        <f aca="false">IFERROR(__xludf.dummyfunction("""COMPUTED_VALUE"""),15.7)</f>
        <v>15.7</v>
      </c>
      <c r="C114" s="2" t="n">
        <f aca="false">IFERROR(__xludf.dummyfunction("""COMPUTED_VALUE"""),15.7)</f>
        <v>15.7</v>
      </c>
      <c r="D114" s="2" t="n">
        <f aca="false">IFERROR(__xludf.dummyfunction("""COMPUTED_VALUE"""),15.17)</f>
        <v>15.17</v>
      </c>
      <c r="E114" s="2" t="n">
        <f aca="false">IFERROR(__xludf.dummyfunction("""COMPUTED_VALUE"""),15.41)</f>
        <v>15.41</v>
      </c>
      <c r="F114" s="3" t="n">
        <f aca="false">IFERROR(__xludf.dummyfunction("if($T114&lt;&gt;"""",VALUE(REGEXEXTRACT(SUBSTITUTE ($T114,F$1&amp;"" CE"",""""), F$1&amp;""[\w &amp;]*, (\d+\.\d+)"")),"""")
"),18)</f>
        <v>18</v>
      </c>
      <c r="G114" s="3" t="n">
        <f aca="false">IFERROR(__xludf.dummyfunction("if($T114&lt;&gt;"""",VALUE(REGEXEXTRACT($T114, G$1&amp;""[\w &amp;]*, (\d+\.\d+)"")),"""")
"),17)</f>
        <v>17</v>
      </c>
      <c r="H114" s="3" t="str">
        <f aca="false">IFERROR(__xludf.dummyfunction("if($T114&lt;&gt;"""",VALUE(REGEXEXTRACT($T114, H$1&amp;""[\w &amp;]*, (\d+\.\d+)"")),"""")
"),"#N/A")</f>
        <v>#N/A</v>
      </c>
      <c r="I114" s="3" t="n">
        <f aca="false">IFERROR(__xludf.dummyfunction("if($T114&lt;&gt;"""",VALUE(REGEXEXTRACT(SUBSTITUTE ($T114,I$1&amp;"" CE"",""""), I$1&amp;""[\w &amp;]*, (\d+\.\d+)"")),"""")
"),18)</f>
        <v>18</v>
      </c>
      <c r="J114" s="3" t="n">
        <f aca="false">IFERROR(__xludf.dummyfunction("if($T114&lt;&gt;"""",VALUE(REGEXEXTRACT($T114, J$1&amp;""[\w &amp;]*, (\d+\.\d+)"")),"""")
"),16)</f>
        <v>16</v>
      </c>
      <c r="K114" s="3" t="n">
        <f aca="false">IFERROR(__xludf.dummyfunction("if($T114&lt;&gt;"""",VALUE(REGEXEXTRACT($T114, K$1&amp;""[\w &amp;]*, (\d+\.\d+)"")),"""")
"),14)</f>
        <v>14</v>
      </c>
      <c r="L114" s="3" t="n">
        <f aca="false">IFERROR(__xludf.dummyfunction("if($T114&lt;&gt;"""",VALUE(REGEXEXTRACT(SUBSTITUTE ($T114,L$1&amp;"" CE"",""""), L$1&amp;""[\w &amp;]*, (\d+\.\d+)"")),"""")
"),19)</f>
        <v>19</v>
      </c>
      <c r="M114" s="3" t="n">
        <f aca="false">IFERROR(__xludf.dummyfunction("if($T114&lt;&gt;"""",VALUE(REGEXEXTRACT($T114, M$1&amp;""[\w &amp;]*, (\d+\.\d+)"")),"""")
"),16)</f>
        <v>16</v>
      </c>
      <c r="N114" s="3" t="n">
        <f aca="false">IFERROR(__xludf.dummyfunction("if($T114&lt;&gt;"""",VALUE(REGEXEXTRACT(SUBSTITUTE ($T114,N$1&amp;"" CE"",""""), N$1&amp;""[\w &amp;]*, (\d+\.\d+)"")),"""")
"),18)</f>
        <v>18</v>
      </c>
      <c r="O114" s="3" t="n">
        <f aca="false">IFERROR(__xludf.dummyfunction("if($T114&lt;&gt;"""",VALUE(REGEXEXTRACT($T114, O$1&amp;""[\w &amp;]*, (\d+\.\d+)"")),"""")
"),16)</f>
        <v>16</v>
      </c>
      <c r="P114" s="2" t="n">
        <f aca="false">IFERROR(__xludf.dummyfunction("if($T114&lt;&gt;"""",VALUE(REGEXEXTRACT($T114, P$1&amp;""[\w &amp;]*, (\d+\.\d+)"")),"""")
"),15.24)</f>
        <v>15.24</v>
      </c>
      <c r="Q114" s="2" t="n">
        <f aca="false">IFERROR(__xludf.dummyfunction("if($T114&lt;&gt;"""",VALUE(REGEXEXTRACT($T114, Q$1&amp;""[\w &amp;]*, (\d+\.\d+)"")),"""")
"),14.43)</f>
        <v>14.43</v>
      </c>
      <c r="R114" s="2" t="n">
        <f aca="false">IFERROR(__xludf.dummyfunction("if($T114&lt;&gt;"""",VALUE(REGEXEXTRACT($T114, SUBSTITUTE(R$1, ""+"", ""\+"")&amp;""[\w &amp;]*, (\d+\.\d+)"")),"""")"),16.12)</f>
        <v>16.12</v>
      </c>
      <c r="S114" s="2" t="n">
        <f aca="false">IFERROR(__xludf.dummyfunction("if($T114&lt;&gt;"""",VALUE(REGEXEXTRACT($T114, SUBSTITUTE(S$1, ""+"", ""\+"")&amp;""[\w &amp;]*, (\d+\.\d+)"")),"""")"),16.93)</f>
        <v>16.93</v>
      </c>
      <c r="T114" s="5" t="s">
        <v>323</v>
      </c>
    </row>
    <row r="115" customFormat="false" ht="15.75" hidden="false" customHeight="false" outlineLevel="0" collapsed="false">
      <c r="A115" s="4" t="n">
        <f aca="false">IFERROR(__xludf.dummyfunction("""COMPUTED_VALUE"""),45561.6361111111)</f>
        <v>45561.6361111111</v>
      </c>
      <c r="B115" s="2" t="n">
        <f aca="false">IFERROR(__xludf.dummyfunction("""COMPUTED_VALUE"""),15.22)</f>
        <v>15.22</v>
      </c>
      <c r="C115" s="2" t="n">
        <f aca="false">IFERROR(__xludf.dummyfunction("""COMPUTED_VALUE"""),15.83)</f>
        <v>15.83</v>
      </c>
      <c r="D115" s="2" t="n">
        <f aca="false">IFERROR(__xludf.dummyfunction("""COMPUTED_VALUE"""),14.9)</f>
        <v>14.9</v>
      </c>
      <c r="E115" s="2" t="n">
        <f aca="false">IFERROR(__xludf.dummyfunction("""COMPUTED_VALUE"""),15.37)</f>
        <v>15.37</v>
      </c>
      <c r="F115" s="3" t="n">
        <f aca="false">IFERROR(__xludf.dummyfunction("if($T115&lt;&gt;"""",VALUE(REGEXEXTRACT(SUBSTITUTE ($T115,F$1&amp;"" CE"",""""), F$1&amp;""[\w &amp;]*, (\d+\.\d+)"")),"""")
"),18)</f>
        <v>18</v>
      </c>
      <c r="G115" s="3" t="n">
        <f aca="false">IFERROR(__xludf.dummyfunction("if($T115&lt;&gt;"""",VALUE(REGEXEXTRACT($T115, G$1&amp;""[\w &amp;]*, (\d+\.\d+)"")),"""")
"),17)</f>
        <v>17</v>
      </c>
      <c r="H115" s="3" t="str">
        <f aca="false">IFERROR(__xludf.dummyfunction("if($T115&lt;&gt;"""",VALUE(REGEXEXTRACT($T115, H$1&amp;""[\w &amp;]*, (\d+\.\d+)"")),"""")
"),"#N/A")</f>
        <v>#N/A</v>
      </c>
      <c r="I115" s="3" t="n">
        <f aca="false">IFERROR(__xludf.dummyfunction("if($T115&lt;&gt;"""",VALUE(REGEXEXTRACT(SUBSTITUTE ($T115,I$1&amp;"" CE"",""""), I$1&amp;""[\w &amp;]*, (\d+\.\d+)"")),"""")
"),18)</f>
        <v>18</v>
      </c>
      <c r="J115" s="3" t="n">
        <f aca="false">IFERROR(__xludf.dummyfunction("if($T115&lt;&gt;"""",VALUE(REGEXEXTRACT($T115, J$1&amp;""[\w &amp;]*, (\d+\.\d+)"")),"""")
"),15)</f>
        <v>15</v>
      </c>
      <c r="K115" s="3" t="n">
        <f aca="false">IFERROR(__xludf.dummyfunction("if($T115&lt;&gt;"""",VALUE(REGEXEXTRACT($T115, K$1&amp;""[\w &amp;]*, (\d+\.\d+)"")),"""")
"),14)</f>
        <v>14</v>
      </c>
      <c r="L115" s="3" t="n">
        <f aca="false">IFERROR(__xludf.dummyfunction("if($T115&lt;&gt;"""",VALUE(REGEXEXTRACT(SUBSTITUTE ($T115,L$1&amp;"" CE"",""""), L$1&amp;""[\w &amp;]*, (\d+\.\d+)"")),"""")
"),19)</f>
        <v>19</v>
      </c>
      <c r="M115" s="3" t="n">
        <f aca="false">IFERROR(__xludf.dummyfunction("if($T115&lt;&gt;"""",VALUE(REGEXEXTRACT($T115, M$1&amp;""[\w &amp;]*, (\d+\.\d+)"")),"""")
"),15)</f>
        <v>15</v>
      </c>
      <c r="N115" s="3" t="n">
        <f aca="false">IFERROR(__xludf.dummyfunction("if($T115&lt;&gt;"""",VALUE(REGEXEXTRACT(SUBSTITUTE ($T115,N$1&amp;"" CE"",""""), N$1&amp;""[\w &amp;]*, (\d+\.\d+)"")),"""")
"),18)</f>
        <v>18</v>
      </c>
      <c r="O115" s="3" t="n">
        <f aca="false">IFERROR(__xludf.dummyfunction("if($T115&lt;&gt;"""",VALUE(REGEXEXTRACT($T115, O$1&amp;""[\w &amp;]*, (\d+\.\d+)"")),"""")
"),17)</f>
        <v>17</v>
      </c>
      <c r="P115" s="2" t="n">
        <f aca="false">IFERROR(__xludf.dummyfunction("if($T115&lt;&gt;"""",VALUE(REGEXEXTRACT($T115, P$1&amp;""[\w &amp;]*, (\d+\.\d+)"")),"""")
"),13.75)</f>
        <v>13.75</v>
      </c>
      <c r="Q115" s="2" t="n">
        <f aca="false">IFERROR(__xludf.dummyfunction("if($T115&lt;&gt;"""",VALUE(REGEXEXTRACT($T115, Q$1&amp;""[\w &amp;]*, (\d+\.\d+)"")),"""")
"),13.15)</f>
        <v>13.15</v>
      </c>
      <c r="R115" s="2" t="n">
        <f aca="false">IFERROR(__xludf.dummyfunction("if($T115&lt;&gt;"""",VALUE(REGEXEXTRACT($T115, SUBSTITUTE(R$1, ""+"", ""\+"")&amp;""[\w &amp;]*, (\d+\.\d+)"")),"""")"),16.63)</f>
        <v>16.63</v>
      </c>
      <c r="S115" s="2" t="n">
        <f aca="false">IFERROR(__xludf.dummyfunction("if($T115&lt;&gt;"""",VALUE(REGEXEXTRACT($T115, SUBSTITUTE(S$1, ""+"", ""\+"")&amp;""[\w &amp;]*, (\d+\.\d+)"")),"""")"),17.23)</f>
        <v>17.23</v>
      </c>
      <c r="T115" s="5" t="s">
        <v>324</v>
      </c>
    </row>
    <row r="116" customFormat="false" ht="15.75" hidden="false" customHeight="false" outlineLevel="0" collapsed="false">
      <c r="A116" s="4" t="n">
        <f aca="false">IFERROR(__xludf.dummyfunction("""COMPUTED_VALUE"""),45562.6361111111)</f>
        <v>45562.6361111111</v>
      </c>
      <c r="B116" s="2" t="n">
        <f aca="false">IFERROR(__xludf.dummyfunction("""COMPUTED_VALUE"""),15.63)</f>
        <v>15.63</v>
      </c>
      <c r="C116" s="2" t="n">
        <f aca="false">IFERROR(__xludf.dummyfunction("""COMPUTED_VALUE"""),16.97)</f>
        <v>16.97</v>
      </c>
      <c r="D116" s="2" t="n">
        <f aca="false">IFERROR(__xludf.dummyfunction("""COMPUTED_VALUE"""),15.2)</f>
        <v>15.2</v>
      </c>
      <c r="E116" s="2" t="n">
        <f aca="false">IFERROR(__xludf.dummyfunction("""COMPUTED_VALUE"""),16.96)</f>
        <v>16.96</v>
      </c>
      <c r="F116" s="3" t="n">
        <f aca="false">IFERROR(__xludf.dummyfunction("if($T116&lt;&gt;"""",VALUE(REGEXEXTRACT(SUBSTITUTE ($T116,F$1&amp;"" CE"",""""), F$1&amp;""[\w &amp;]*, (\d+\.\d+)"")),"""")
"),18)</f>
        <v>18</v>
      </c>
      <c r="G116" s="3" t="n">
        <f aca="false">IFERROR(__xludf.dummyfunction("if($T116&lt;&gt;"""",VALUE(REGEXEXTRACT($T116, G$1&amp;""[\w &amp;]*, (\d+\.\d+)"")),"""")
"),17)</f>
        <v>17</v>
      </c>
      <c r="H116" s="3" t="str">
        <f aca="false">IFERROR(__xludf.dummyfunction("if($T116&lt;&gt;"""",VALUE(REGEXEXTRACT($T116, H$1&amp;""[\w &amp;]*, (\d+\.\d+)"")),"""")
"),"#N/A")</f>
        <v>#N/A</v>
      </c>
      <c r="I116" s="3" t="n">
        <f aca="false">IFERROR(__xludf.dummyfunction("if($T116&lt;&gt;"""",VALUE(REGEXEXTRACT(SUBSTITUTE ($T116,I$1&amp;"" CE"",""""), I$1&amp;""[\w &amp;]*, (\d+\.\d+)"")),"""")
"),18)</f>
        <v>18</v>
      </c>
      <c r="J116" s="3" t="n">
        <f aca="false">IFERROR(__xludf.dummyfunction("if($T116&lt;&gt;"""",VALUE(REGEXEXTRACT($T116, J$1&amp;""[\w &amp;]*, (\d+\.\d+)"")),"""")
"),15)</f>
        <v>15</v>
      </c>
      <c r="K116" s="3" t="n">
        <f aca="false">IFERROR(__xludf.dummyfunction("if($T116&lt;&gt;"""",VALUE(REGEXEXTRACT($T116, K$1&amp;""[\w &amp;]*, (\d+\.\d+)"")),"""")
"),14)</f>
        <v>14</v>
      </c>
      <c r="L116" s="3" t="n">
        <f aca="false">IFERROR(__xludf.dummyfunction("if($T116&lt;&gt;"""",VALUE(REGEXEXTRACT(SUBSTITUTE ($T116,L$1&amp;"" CE"",""""), L$1&amp;""[\w &amp;]*, (\d+\.\d+)"")),"""")
"),19)</f>
        <v>19</v>
      </c>
      <c r="M116" s="3" t="n">
        <f aca="false">IFERROR(__xludf.dummyfunction("if($T116&lt;&gt;"""",VALUE(REGEXEXTRACT($T116, M$1&amp;""[\w &amp;]*, (\d+\.\d+)"")),"""")
"),15)</f>
        <v>15</v>
      </c>
      <c r="N116" s="3" t="n">
        <f aca="false">IFERROR(__xludf.dummyfunction("if($T116&lt;&gt;"""",VALUE(REGEXEXTRACT(SUBSTITUTE ($T116,N$1&amp;"" CE"",""""), N$1&amp;""[\w &amp;]*, (\d+\.\d+)"")),"""")
"),18)</f>
        <v>18</v>
      </c>
      <c r="O116" s="3" t="n">
        <f aca="false">IFERROR(__xludf.dummyfunction("if($T116&lt;&gt;"""",VALUE(REGEXEXTRACT($T116, O$1&amp;""[\w &amp;]*, (\d+\.\d+)"")),"""")
"),17)</f>
        <v>17</v>
      </c>
      <c r="P116" s="2" t="n">
        <f aca="false">IFERROR(__xludf.dummyfunction("if($T116&lt;&gt;"""",VALUE(REGEXEXTRACT($T116, P$1&amp;""[\w &amp;]*, (\d+\.\d+)"")),"""")
"),14.39)</f>
        <v>14.39</v>
      </c>
      <c r="Q116" s="2" t="n">
        <f aca="false">IFERROR(__xludf.dummyfunction("if($T116&lt;&gt;"""",VALUE(REGEXEXTRACT($T116, Q$1&amp;""[\w &amp;]*, (\d+\.\d+)"")),"""")
"),13.83)</f>
        <v>13.83</v>
      </c>
      <c r="R116" s="2" t="n">
        <f aca="false">IFERROR(__xludf.dummyfunction("if($T116&lt;&gt;"""",VALUE(REGEXEXTRACT($T116, SUBSTITUTE(R$1, ""+"", ""\+"")&amp;""[\w &amp;]*, (\d+\.\d+)"")),"""")"),16.79)</f>
        <v>16.79</v>
      </c>
      <c r="S116" s="2" t="n">
        <f aca="false">IFERROR(__xludf.dummyfunction("if($T116&lt;&gt;"""",VALUE(REGEXEXTRACT($T116, SUBSTITUTE(S$1, ""+"", ""\+"")&amp;""[\w &amp;]*, (\d+\.\d+)"")),"""")"),17.35)</f>
        <v>17.35</v>
      </c>
      <c r="T116" s="5" t="s">
        <v>325</v>
      </c>
    </row>
    <row r="117" customFormat="false" ht="15.75" hidden="false" customHeight="false" outlineLevel="0" collapsed="false">
      <c r="A117" s="4" t="n">
        <f aca="false">IFERROR(__xludf.dummyfunction("""COMPUTED_VALUE"""),45565.6361111111)</f>
        <v>45565.6361111111</v>
      </c>
      <c r="B117" s="2" t="n">
        <f aca="false">IFERROR(__xludf.dummyfunction("""COMPUTED_VALUE"""),17.01)</f>
        <v>17.01</v>
      </c>
      <c r="C117" s="2" t="n">
        <f aca="false">IFERROR(__xludf.dummyfunction("""COMPUTED_VALUE"""),17.79)</f>
        <v>17.79</v>
      </c>
      <c r="D117" s="2" t="n">
        <f aca="false">IFERROR(__xludf.dummyfunction("""COMPUTED_VALUE"""),16.47)</f>
        <v>16.47</v>
      </c>
      <c r="E117" s="2" t="n">
        <f aca="false">IFERROR(__xludf.dummyfunction("""COMPUTED_VALUE"""),16.73)</f>
        <v>16.73</v>
      </c>
      <c r="F117" s="3" t="n">
        <f aca="false">IFERROR(__xludf.dummyfunction("if($T117&lt;&gt;"""",VALUE(REGEXEXTRACT(SUBSTITUTE ($T117,F$1&amp;"" CE"",""""), F$1&amp;""[\w &amp;]*, (\d+\.\d+)"")),"""")
"),20)</f>
        <v>20</v>
      </c>
      <c r="G117" s="3" t="n">
        <f aca="false">IFERROR(__xludf.dummyfunction("if($T117&lt;&gt;"""",VALUE(REGEXEXTRACT($T117, G$1&amp;""[\w &amp;]*, (\d+\.\d+)"")),"""")
"),17)</f>
        <v>17</v>
      </c>
      <c r="H117" s="3" t="n">
        <f aca="false">IFERROR(__xludf.dummyfunction("if($T117&lt;&gt;"""",VALUE(REGEXEXTRACT($T117, H$1&amp;""[\w &amp;]*, (\d+\.\d+)"")),"""")
"),22)</f>
        <v>22</v>
      </c>
      <c r="I117" s="3" t="n">
        <f aca="false">IFERROR(__xludf.dummyfunction("if($T117&lt;&gt;"""",VALUE(REGEXEXTRACT(SUBSTITUTE ($T117,I$1&amp;"" CE"",""""), I$1&amp;""[\w &amp;]*, (\d+\.\d+)"")),"""")
"),18)</f>
        <v>18</v>
      </c>
      <c r="J117" s="3" t="n">
        <f aca="false">IFERROR(__xludf.dummyfunction("if($T117&lt;&gt;"""",VALUE(REGEXEXTRACT($T117, J$1&amp;""[\w &amp;]*, (\d+\.\d+)"")),"""")
"),15)</f>
        <v>15</v>
      </c>
      <c r="K117" s="3" t="n">
        <f aca="false">IFERROR(__xludf.dummyfunction("if($T117&lt;&gt;"""",VALUE(REGEXEXTRACT($T117, K$1&amp;""[\w &amp;]*, (\d+\.\d+)"")),"""")
"),14)</f>
        <v>14</v>
      </c>
      <c r="L117" s="3" t="n">
        <f aca="false">IFERROR(__xludf.dummyfunction("if($T117&lt;&gt;"""",VALUE(REGEXEXTRACT(SUBSTITUTE ($T117,L$1&amp;"" CE"",""""), L$1&amp;""[\w &amp;]*, (\d+\.\d+)"")),"""")
"),19)</f>
        <v>19</v>
      </c>
      <c r="M117" s="3" t="n">
        <f aca="false">IFERROR(__xludf.dummyfunction("if($T117&lt;&gt;"""",VALUE(REGEXEXTRACT($T117, M$1&amp;""[\w &amp;]*, (\d+\.\d+)"")),"""")
"),15)</f>
        <v>15</v>
      </c>
      <c r="N117" s="3" t="n">
        <f aca="false">IFERROR(__xludf.dummyfunction("if($T117&lt;&gt;"""",VALUE(REGEXEXTRACT(SUBSTITUTE ($T117,N$1&amp;"" CE"",""""), N$1&amp;""[\w &amp;]*, (\d+\.\d+)"")),"""")
"),18)</f>
        <v>18</v>
      </c>
      <c r="O117" s="3" t="n">
        <f aca="false">IFERROR(__xludf.dummyfunction("if($T117&lt;&gt;"""",VALUE(REGEXEXTRACT($T117, O$1&amp;""[\w &amp;]*, (\d+\.\d+)"")),"""")
"),17)</f>
        <v>17</v>
      </c>
      <c r="P117" s="2" t="n">
        <f aca="false">IFERROR(__xludf.dummyfunction("if($T117&lt;&gt;"""",VALUE(REGEXEXTRACT($T117, P$1&amp;""[\w &amp;]*, (\d+\.\d+)"")),"""")
"),15.91)</f>
        <v>15.91</v>
      </c>
      <c r="Q117" s="2" t="n">
        <f aca="false">IFERROR(__xludf.dummyfunction("if($T117&lt;&gt;"""",VALUE(REGEXEXTRACT($T117, Q$1&amp;""[\w &amp;]*, (\d+\.\d+)"")),"""")
"),14.74)</f>
        <v>14.74</v>
      </c>
      <c r="R117" s="2" t="n">
        <f aca="false">IFERROR(__xludf.dummyfunction("if($T117&lt;&gt;"""",VALUE(REGEXEXTRACT($T117, SUBSTITUTE(R$1, ""+"", ""\+"")&amp;""[\w &amp;]*, (\d+\.\d+)"")),"""")"),18.73)</f>
        <v>18.73</v>
      </c>
      <c r="S117" s="2" t="n">
        <f aca="false">IFERROR(__xludf.dummyfunction("if($T117&lt;&gt;"""",VALUE(REGEXEXTRACT($T117, SUBSTITUTE(S$1, ""+"", ""\+"")&amp;""[\w &amp;]*, (\d+\.\d+)"")),"""")"),19.9)</f>
        <v>19.9</v>
      </c>
      <c r="T117" s="5" t="s">
        <v>326</v>
      </c>
    </row>
    <row r="118" customFormat="false" ht="15.75" hidden="false" customHeight="false" outlineLevel="0" collapsed="false">
      <c r="A118" s="4" t="n">
        <f aca="false">IFERROR(__xludf.dummyfunction("""COMPUTED_VALUE"""),45566.6361111111)</f>
        <v>45566.6361111111</v>
      </c>
      <c r="B118" s="2" t="n">
        <f aca="false">IFERROR(__xludf.dummyfunction("""COMPUTED_VALUE"""),16.66)</f>
        <v>16.66</v>
      </c>
      <c r="C118" s="2" t="n">
        <f aca="false">IFERROR(__xludf.dummyfunction("""COMPUTED_VALUE"""),20.73)</f>
        <v>20.73</v>
      </c>
      <c r="D118" s="2" t="n">
        <f aca="false">IFERROR(__xludf.dummyfunction("""COMPUTED_VALUE"""),16.66)</f>
        <v>16.66</v>
      </c>
      <c r="E118" s="2" t="n">
        <f aca="false">IFERROR(__xludf.dummyfunction("""COMPUTED_VALUE"""),19.26)</f>
        <v>19.26</v>
      </c>
      <c r="F118" s="3" t="n">
        <f aca="false">IFERROR(__xludf.dummyfunction("if($T118&lt;&gt;"""",VALUE(REGEXEXTRACT(SUBSTITUTE ($T118,F$1&amp;"" CE"",""""), F$1&amp;""[\w &amp;]*, (\d+\.\d+)"")),"""")
"),20)</f>
        <v>20</v>
      </c>
      <c r="G118" s="3" t="n">
        <f aca="false">IFERROR(__xludf.dummyfunction("if($T118&lt;&gt;"""",VALUE(REGEXEXTRACT($T118, G$1&amp;""[\w &amp;]*, (\d+\.\d+)"")),"""")
"),17)</f>
        <v>17</v>
      </c>
      <c r="H118" s="3" t="str">
        <f aca="false">IFERROR(__xludf.dummyfunction("if($T118&lt;&gt;"""",VALUE(REGEXEXTRACT($T118, H$1&amp;""[\w &amp;]*, (\d+\.\d+)"")),"""")
"),"#N/A")</f>
        <v>#N/A</v>
      </c>
      <c r="I118" s="3" t="n">
        <f aca="false">IFERROR(__xludf.dummyfunction("if($T118&lt;&gt;"""",VALUE(REGEXEXTRACT(SUBSTITUTE ($T118,I$1&amp;"" CE"",""""), I$1&amp;""[\w &amp;]*, (\d+\.\d+)"")),"""")
"),18)</f>
        <v>18</v>
      </c>
      <c r="J118" s="3" t="n">
        <f aca="false">IFERROR(__xludf.dummyfunction("if($T118&lt;&gt;"""",VALUE(REGEXEXTRACT($T118, J$1&amp;""[\w &amp;]*, (\d+\.\d+)"")),"""")
"),15)</f>
        <v>15</v>
      </c>
      <c r="K118" s="3" t="n">
        <f aca="false">IFERROR(__xludf.dummyfunction("if($T118&lt;&gt;"""",VALUE(REGEXEXTRACT($T118, K$1&amp;""[\w &amp;]*, (\d+\.\d+)"")),"""")
"),14)</f>
        <v>14</v>
      </c>
      <c r="L118" s="3" t="n">
        <f aca="false">IFERROR(__xludf.dummyfunction("if($T118&lt;&gt;"""",VALUE(REGEXEXTRACT(SUBSTITUTE ($T118,L$1&amp;"" CE"",""""), L$1&amp;""[\w &amp;]*, (\d+\.\d+)"")),"""")
"),19)</f>
        <v>19</v>
      </c>
      <c r="M118" s="3" t="n">
        <f aca="false">IFERROR(__xludf.dummyfunction("if($T118&lt;&gt;"""",VALUE(REGEXEXTRACT($T118, M$1&amp;""[\w &amp;]*, (\d+\.\d+)"")),"""")
"),16)</f>
        <v>16</v>
      </c>
      <c r="N118" s="3" t="n">
        <f aca="false">IFERROR(__xludf.dummyfunction("if($T118&lt;&gt;"""",VALUE(REGEXEXTRACT(SUBSTITUTE ($T118,N$1&amp;"" CE"",""""), N$1&amp;""[\w &amp;]*, (\d+\.\d+)"")),"""")
"),18)</f>
        <v>18</v>
      </c>
      <c r="O118" s="3" t="n">
        <f aca="false">IFERROR(__xludf.dummyfunction("if($T118&lt;&gt;"""",VALUE(REGEXEXTRACT($T118, O$1&amp;""[\w &amp;]*, (\d+\.\d+)"")),"""")
"),17)</f>
        <v>17</v>
      </c>
      <c r="P118" s="2" t="n">
        <f aca="false">IFERROR(__xludf.dummyfunction("if($T118&lt;&gt;"""",VALUE(REGEXEXTRACT($T118, P$1&amp;""[\w &amp;]*, (\d+\.\d+)"")),"""")
"),15.82)</f>
        <v>15.82</v>
      </c>
      <c r="Q118" s="2" t="n">
        <f aca="false">IFERROR(__xludf.dummyfunction("if($T118&lt;&gt;"""",VALUE(REGEXEXTRACT($T118, Q$1&amp;""[\w &amp;]*, (\d+\.\d+)"")),"""")
"),14.88)</f>
        <v>14.88</v>
      </c>
      <c r="R118" s="2" t="n">
        <f aca="false">IFERROR(__xludf.dummyfunction("if($T118&lt;&gt;"""",VALUE(REGEXEXTRACT($T118, SUBSTITUTE(R$1, ""+"", ""\+"")&amp;""[\w &amp;]*, (\d+\.\d+)"")),"""")"),17.5)</f>
        <v>17.5</v>
      </c>
      <c r="S118" s="2" t="n">
        <f aca="false">IFERROR(__xludf.dummyfunction("if($T118&lt;&gt;"""",VALUE(REGEXEXTRACT($T118, SUBSTITUTE(S$1, ""+"", ""\+"")&amp;""[\w &amp;]*, (\d+\.\d+)"")),"""")"),18.44)</f>
        <v>18.44</v>
      </c>
      <c r="T118" s="5" t="s">
        <v>327</v>
      </c>
    </row>
    <row r="119" customFormat="false" ht="15.75" hidden="false" customHeight="false" outlineLevel="0" collapsed="false">
      <c r="A119" s="4" t="n">
        <f aca="false">IFERROR(__xludf.dummyfunction("""COMPUTED_VALUE"""),45567.6361111111)</f>
        <v>45567.6361111111</v>
      </c>
      <c r="B119" s="2" t="n">
        <f aca="false">IFERROR(__xludf.dummyfunction("""COMPUTED_VALUE"""),19.45)</f>
        <v>19.45</v>
      </c>
      <c r="C119" s="2" t="n">
        <f aca="false">IFERROR(__xludf.dummyfunction("""COMPUTED_VALUE"""),20.36)</f>
        <v>20.36</v>
      </c>
      <c r="D119" s="2" t="n">
        <f aca="false">IFERROR(__xludf.dummyfunction("""COMPUTED_VALUE"""),18.58)</f>
        <v>18.58</v>
      </c>
      <c r="E119" s="2" t="n">
        <f aca="false">IFERROR(__xludf.dummyfunction("""COMPUTED_VALUE"""),18.9)</f>
        <v>18.9</v>
      </c>
      <c r="F119" s="3" t="n">
        <f aca="false">IFERROR(__xludf.dummyfunction("if($T119&lt;&gt;"""",VALUE(REGEXEXTRACT(SUBSTITUTE ($T119,F$1&amp;"" CE"",""""), F$1&amp;""[\w &amp;]*, (\d+\.\d+)"")),"""")
"),20)</f>
        <v>20</v>
      </c>
      <c r="G119" s="3" t="n">
        <f aca="false">IFERROR(__xludf.dummyfunction("if($T119&lt;&gt;"""",VALUE(REGEXEXTRACT($T119, G$1&amp;""[\w &amp;]*, (\d+\.\d+)"")),"""")
"),20)</f>
        <v>20</v>
      </c>
      <c r="H119" s="3" t="n">
        <f aca="false">IFERROR(__xludf.dummyfunction("if($T119&lt;&gt;"""",VALUE(REGEXEXTRACT($T119, H$1&amp;""[\w &amp;]*, (\d+\.\d+)"")),"""")
"),22)</f>
        <v>22</v>
      </c>
      <c r="I119" s="3" t="n">
        <f aca="false">IFERROR(__xludf.dummyfunction("if($T119&lt;&gt;"""",VALUE(REGEXEXTRACT(SUBSTITUTE ($T119,I$1&amp;"" CE"",""""), I$1&amp;""[\w &amp;]*, (\d+\.\d+)"")),"""")
"),19)</f>
        <v>19</v>
      </c>
      <c r="J119" s="3" t="n">
        <f aca="false">IFERROR(__xludf.dummyfunction("if($T119&lt;&gt;"""",VALUE(REGEXEXTRACT($T119, J$1&amp;""[\w &amp;]*, (\d+\.\d+)"")),"""")
"),14.5)</f>
        <v>14.5</v>
      </c>
      <c r="K119" s="3" t="n">
        <f aca="false">IFERROR(__xludf.dummyfunction("if($T119&lt;&gt;"""",VALUE(REGEXEXTRACT($T119, K$1&amp;""[\w &amp;]*, (\d+\.\d+)"")),"""")
"),14)</f>
        <v>14</v>
      </c>
      <c r="L119" s="3" t="n">
        <f aca="false">IFERROR(__xludf.dummyfunction("if($T119&lt;&gt;"""",VALUE(REGEXEXTRACT(SUBSTITUTE ($T119,L$1&amp;"" CE"",""""), L$1&amp;""[\w &amp;]*, (\d+\.\d+)"")),"""")
"),19)</f>
        <v>19</v>
      </c>
      <c r="M119" s="3" t="n">
        <f aca="false">IFERROR(__xludf.dummyfunction("if($T119&lt;&gt;"""",VALUE(REGEXEXTRACT($T119, M$1&amp;""[\w &amp;]*, (\d+\.\d+)"")),"""")
"),15)</f>
        <v>15</v>
      </c>
      <c r="N119" s="3" t="n">
        <f aca="false">IFERROR(__xludf.dummyfunction("if($T119&lt;&gt;"""",VALUE(REGEXEXTRACT(SUBSTITUTE ($T119,N$1&amp;"" CE"",""""), N$1&amp;""[\w &amp;]*, (\d+\.\d+)"")),"""")
"),19)</f>
        <v>19</v>
      </c>
      <c r="O119" s="3" t="n">
        <f aca="false">IFERROR(__xludf.dummyfunction("if($T119&lt;&gt;"""",VALUE(REGEXEXTRACT($T119, O$1&amp;""[\w &amp;]*, (\d+\.\d+)"")),"""")
"),20)</f>
        <v>20</v>
      </c>
      <c r="P119" s="2" t="n">
        <f aca="false">IFERROR(__xludf.dummyfunction("if($T119&lt;&gt;"""",VALUE(REGEXEXTRACT($T119, P$1&amp;""[\w &amp;]*, (\d+\.\d+)"")),"""")
"),16.55)</f>
        <v>16.55</v>
      </c>
      <c r="Q119" s="2" t="n">
        <f aca="false">IFERROR(__xludf.dummyfunction("if($T119&lt;&gt;"""",VALUE(REGEXEXTRACT($T119, Q$1&amp;""[\w &amp;]*, (\d+\.\d+)"")),"""")
"),15.28)</f>
        <v>15.28</v>
      </c>
      <c r="R119" s="2" t="n">
        <f aca="false">IFERROR(__xludf.dummyfunction("if($T119&lt;&gt;"""",VALUE(REGEXEXTRACT($T119, SUBSTITUTE(R$1, ""+"", ""\+"")&amp;""[\w &amp;]*, (\d+\.\d+)"")),"""")"),17.93)</f>
        <v>17.93</v>
      </c>
      <c r="S119" s="2" t="n">
        <f aca="false">IFERROR(__xludf.dummyfunction("if($T119&lt;&gt;"""",VALUE(REGEXEXTRACT($T119, SUBSTITUTE(S$1, ""+"", ""\+"")&amp;""[\w &amp;]*, (\d+\.\d+)"")),"""")"),19.2)</f>
        <v>19.2</v>
      </c>
      <c r="T119" s="5" t="s">
        <v>328</v>
      </c>
    </row>
    <row r="120" customFormat="false" ht="15.75" hidden="false" customHeight="false" outlineLevel="0" collapsed="false">
      <c r="A120" s="4" t="n">
        <f aca="false">IFERROR(__xludf.dummyfunction("""COMPUTED_VALUE"""),45568.6361111111)</f>
        <v>45568.6361111111</v>
      </c>
      <c r="B120" s="2" t="n">
        <f aca="false">IFERROR(__xludf.dummyfunction("""COMPUTED_VALUE"""),19.8)</f>
        <v>19.8</v>
      </c>
      <c r="C120" s="2" t="n">
        <f aca="false">IFERROR(__xludf.dummyfunction("""COMPUTED_VALUE"""),20.75)</f>
        <v>20.75</v>
      </c>
      <c r="D120" s="2" t="n">
        <f aca="false">IFERROR(__xludf.dummyfunction("""COMPUTED_VALUE"""),19.16)</f>
        <v>19.16</v>
      </c>
      <c r="E120" s="2" t="n">
        <f aca="false">IFERROR(__xludf.dummyfunction("""COMPUTED_VALUE"""),20.49)</f>
        <v>20.49</v>
      </c>
      <c r="F120" s="3" t="n">
        <f aca="false">IFERROR(__xludf.dummyfunction("if($T120&lt;&gt;"""",VALUE(REGEXEXTRACT(SUBSTITUTE ($T120,F$1&amp;"" CE"",""""), F$1&amp;""[\w &amp;]*, (\d+\.\d+)"")),"""")
"),20)</f>
        <v>20</v>
      </c>
      <c r="G120" s="3" t="n">
        <f aca="false">IFERROR(__xludf.dummyfunction("if($T120&lt;&gt;"""",VALUE(REGEXEXTRACT($T120, G$1&amp;""[\w &amp;]*, (\d+\.\d+)"")),"""")
"),28)</f>
        <v>28</v>
      </c>
      <c r="H120" s="3" t="n">
        <f aca="false">IFERROR(__xludf.dummyfunction("if($T120&lt;&gt;"""",VALUE(REGEXEXTRACT($T120, H$1&amp;""[\w &amp;]*, (\d+\.\d+)"")),"""")
"),22)</f>
        <v>22</v>
      </c>
      <c r="I120" s="3" t="n">
        <f aca="false">IFERROR(__xludf.dummyfunction("if($T120&lt;&gt;"""",VALUE(REGEXEXTRACT(SUBSTITUTE ($T120,I$1&amp;"" CE"",""""), I$1&amp;""[\w &amp;]*, (\d+\.\d+)"")),"""")
"),19)</f>
        <v>19</v>
      </c>
      <c r="J120" s="3" t="n">
        <f aca="false">IFERROR(__xludf.dummyfunction("if($T120&lt;&gt;"""",VALUE(REGEXEXTRACT($T120, J$1&amp;""[\w &amp;]*, (\d+\.\d+)"")),"""")
"),18)</f>
        <v>18</v>
      </c>
      <c r="K120" s="3" t="n">
        <f aca="false">IFERROR(__xludf.dummyfunction("if($T120&lt;&gt;"""",VALUE(REGEXEXTRACT($T120, K$1&amp;""[\w &amp;]*, (\d+\.\d+)"")),"""")
"),14)</f>
        <v>14</v>
      </c>
      <c r="L120" s="3" t="n">
        <f aca="false">IFERROR(__xludf.dummyfunction("if($T120&lt;&gt;"""",VALUE(REGEXEXTRACT(SUBSTITUTE ($T120,L$1&amp;"" CE"",""""), L$1&amp;""[\w &amp;]*, (\d+\.\d+)"")),"""")
"),19)</f>
        <v>19</v>
      </c>
      <c r="M120" s="3" t="n">
        <f aca="false">IFERROR(__xludf.dummyfunction("if($T120&lt;&gt;"""",VALUE(REGEXEXTRACT($T120, M$1&amp;""[\w &amp;]*, (\d+\.\d+)"")),"""")
"),22)</f>
        <v>22</v>
      </c>
      <c r="N120" s="3" t="n">
        <f aca="false">IFERROR(__xludf.dummyfunction("if($T120&lt;&gt;"""",VALUE(REGEXEXTRACT(SUBSTITUTE ($T120,N$1&amp;"" CE"",""""), N$1&amp;""[\w &amp;]*, (\d+\.\d+)"")),"""")
"),19)</f>
        <v>19</v>
      </c>
      <c r="O120" s="3" t="n">
        <f aca="false">IFERROR(__xludf.dummyfunction("if($T120&lt;&gt;"""",VALUE(REGEXEXTRACT($T120, O$1&amp;""[\w &amp;]*, (\d+\.\d+)"")),"""")
"),18)</f>
        <v>18</v>
      </c>
      <c r="P120" s="2" t="n">
        <f aca="false">IFERROR(__xludf.dummyfunction("if($T120&lt;&gt;"""",VALUE(REGEXEXTRACT($T120, P$1&amp;""[\w &amp;]*, (\d+\.\d+)"")),"""")
"),17.08)</f>
        <v>17.08</v>
      </c>
      <c r="Q120" s="2" t="n">
        <f aca="false">IFERROR(__xludf.dummyfunction("if($T120&lt;&gt;"""",VALUE(REGEXEXTRACT($T120, Q$1&amp;""[\w &amp;]*, (\d+\.\d+)"")),"""")
"),15.96)</f>
        <v>15.96</v>
      </c>
      <c r="R120" s="2" t="n">
        <f aca="false">IFERROR(__xludf.dummyfunction("if($T120&lt;&gt;"""",VALUE(REGEXEXTRACT($T120, SUBSTITUTE(R$1, ""+"", ""\+"")&amp;""[\w &amp;]*, (\d+\.\d+)"")),"""")"),22.48)</f>
        <v>22.48</v>
      </c>
      <c r="S120" s="2" t="n">
        <f aca="false">IFERROR(__xludf.dummyfunction("if($T120&lt;&gt;"""",VALUE(REGEXEXTRACT($T120, SUBSTITUTE(S$1, ""+"", ""\+"")&amp;""[\w &amp;]*, (\d+\.\d+)"")),"""")"),23.6)</f>
        <v>23.6</v>
      </c>
      <c r="T120" s="5" t="s">
        <v>329</v>
      </c>
    </row>
    <row r="121" customFormat="false" ht="15.75" hidden="false" customHeight="false" outlineLevel="0" collapsed="false">
      <c r="A121" s="4" t="n">
        <f aca="false">IFERROR(__xludf.dummyfunction("""COMPUTED_VALUE"""),45569.6361111111)</f>
        <v>45569.6361111111</v>
      </c>
      <c r="B121" s="2" t="n">
        <f aca="false">IFERROR(__xludf.dummyfunction("""COMPUTED_VALUE"""),20)</f>
        <v>20</v>
      </c>
      <c r="C121" s="2" t="n">
        <f aca="false">IFERROR(__xludf.dummyfunction("""COMPUTED_VALUE"""),20)</f>
        <v>20</v>
      </c>
      <c r="D121" s="2" t="n">
        <f aca="false">IFERROR(__xludf.dummyfunction("""COMPUTED_VALUE"""),18.48)</f>
        <v>18.48</v>
      </c>
      <c r="E121" s="2" t="n">
        <f aca="false">IFERROR(__xludf.dummyfunction("""COMPUTED_VALUE"""),19.21)</f>
        <v>19.21</v>
      </c>
      <c r="F121" s="3" t="n">
        <f aca="false">IFERROR(__xludf.dummyfunction("if($T121&lt;&gt;"""",VALUE(REGEXEXTRACT(SUBSTITUTE ($T121,F$1&amp;"" CE"",""""), F$1&amp;""[\w &amp;]*, (\d+\.\d+)"")),"""")
"),20)</f>
        <v>20</v>
      </c>
      <c r="G121" s="3" t="n">
        <f aca="false">IFERROR(__xludf.dummyfunction("if($T121&lt;&gt;"""",VALUE(REGEXEXTRACT($T121, G$1&amp;""[\w &amp;]*, (\d+\.\d+)"")),"""")
"),28)</f>
        <v>28</v>
      </c>
      <c r="H121" s="3" t="n">
        <f aca="false">IFERROR(__xludf.dummyfunction("if($T121&lt;&gt;"""",VALUE(REGEXEXTRACT($T121, H$1&amp;""[\w &amp;]*, (\d+\.\d+)"")),"""")
"),22)</f>
        <v>22</v>
      </c>
      <c r="I121" s="3" t="n">
        <f aca="false">IFERROR(__xludf.dummyfunction("if($T121&lt;&gt;"""",VALUE(REGEXEXTRACT(SUBSTITUTE ($T121,I$1&amp;"" CE"",""""), I$1&amp;""[\w &amp;]*, (\d+\.\d+)"")),"""")
"),19)</f>
        <v>19</v>
      </c>
      <c r="J121" s="3" t="n">
        <f aca="false">IFERROR(__xludf.dummyfunction("if($T121&lt;&gt;"""",VALUE(REGEXEXTRACT($T121, J$1&amp;""[\w &amp;]*, (\d+\.\d+)"")),"""")
"),19)</f>
        <v>19</v>
      </c>
      <c r="K121" s="3" t="n">
        <f aca="false">IFERROR(__xludf.dummyfunction("if($T121&lt;&gt;"""",VALUE(REGEXEXTRACT($T121, K$1&amp;""[\w &amp;]*, (\d+\.\d+)"")),"""")
"),14)</f>
        <v>14</v>
      </c>
      <c r="L121" s="3" t="n">
        <f aca="false">IFERROR(__xludf.dummyfunction("if($T121&lt;&gt;"""",VALUE(REGEXEXTRACT(SUBSTITUTE ($T121,L$1&amp;"" CE"",""""), L$1&amp;""[\w &amp;]*, (\d+\.\d+)"")),"""")
"),19)</f>
        <v>19</v>
      </c>
      <c r="M121" s="3" t="n">
        <f aca="false">IFERROR(__xludf.dummyfunction("if($T121&lt;&gt;"""",VALUE(REGEXEXTRACT($T121, M$1&amp;""[\w &amp;]*, (\d+\.\d+)"")),"""")
"),22)</f>
        <v>22</v>
      </c>
      <c r="N121" s="3" t="n">
        <f aca="false">IFERROR(__xludf.dummyfunction("if($T121&lt;&gt;"""",VALUE(REGEXEXTRACT(SUBSTITUTE ($T121,N$1&amp;"" CE"",""""), N$1&amp;""[\w &amp;]*, (\d+\.\d+)"")),"""")
"),19)</f>
        <v>19</v>
      </c>
      <c r="O121" s="3" t="n">
        <f aca="false">IFERROR(__xludf.dummyfunction("if($T121&lt;&gt;"""",VALUE(REGEXEXTRACT($T121, O$1&amp;""[\w &amp;]*, (\d+\.\d+)"")),"""")
"),19)</f>
        <v>19</v>
      </c>
      <c r="P121" s="2" t="n">
        <f aca="false">IFERROR(__xludf.dummyfunction("if($T121&lt;&gt;"""",VALUE(REGEXEXTRACT($T121, P$1&amp;""[\w &amp;]*, (\d+\.\d+)"")),"""")
"),17.32)</f>
        <v>17.32</v>
      </c>
      <c r="Q121" s="2" t="n">
        <f aca="false">IFERROR(__xludf.dummyfunction("if($T121&lt;&gt;"""",VALUE(REGEXEXTRACT($T121, Q$1&amp;""[\w &amp;]*, (\d+\.\d+)"")),"""")
"),16.04)</f>
        <v>16.04</v>
      </c>
      <c r="R121" s="2" t="n">
        <f aca="false">IFERROR(__xludf.dummyfunction("if($T121&lt;&gt;"""",VALUE(REGEXEXTRACT($T121, SUBSTITUTE(R$1, ""+"", ""\+"")&amp;""[\w &amp;]*, (\d+\.\d+)"")),"""")"),22.72)</f>
        <v>22.72</v>
      </c>
      <c r="S121" s="2" t="n">
        <f aca="false">IFERROR(__xludf.dummyfunction("if($T121&lt;&gt;"""",VALUE(REGEXEXTRACT($T121, SUBSTITUTE(S$1, ""+"", ""\+"")&amp;""[\w &amp;]*, (\d+\.\d+)"")),"""")"),24)</f>
        <v>24</v>
      </c>
      <c r="T121" s="5" t="s">
        <v>330</v>
      </c>
    </row>
    <row r="122" customFormat="false" ht="15.75" hidden="false" customHeight="false" outlineLevel="0" collapsed="false">
      <c r="A122" s="4" t="n">
        <f aca="false">IFERROR(__xludf.dummyfunction("""COMPUTED_VALUE"""),45572.6361111111)</f>
        <v>45572.6361111111</v>
      </c>
      <c r="B122" s="2" t="n">
        <f aca="false">IFERROR(__xludf.dummyfunction("""COMPUTED_VALUE"""),20.76)</f>
        <v>20.76</v>
      </c>
      <c r="C122" s="2" t="n">
        <f aca="false">IFERROR(__xludf.dummyfunction("""COMPUTED_VALUE"""),23.03)</f>
        <v>23.03</v>
      </c>
      <c r="D122" s="2" t="n">
        <f aca="false">IFERROR(__xludf.dummyfunction("""COMPUTED_VALUE"""),20.65)</f>
        <v>20.65</v>
      </c>
      <c r="E122" s="2" t="n">
        <f aca="false">IFERROR(__xludf.dummyfunction("""COMPUTED_VALUE"""),22.64)</f>
        <v>22.64</v>
      </c>
      <c r="F122" s="3" t="n">
        <f aca="false">IFERROR(__xludf.dummyfunction("if($T122&lt;&gt;"""",VALUE(REGEXEXTRACT(SUBSTITUTE ($T122,F$1&amp;"" CE"",""""), F$1&amp;""[\w &amp;]*, (\d+\.\d+)"")),"""")
"),20)</f>
        <v>20</v>
      </c>
      <c r="G122" s="3" t="n">
        <f aca="false">IFERROR(__xludf.dummyfunction("if($T122&lt;&gt;"""",VALUE(REGEXEXTRACT($T122, G$1&amp;""[\w &amp;]*, (\d+\.\d+)"")),"""")
"),23)</f>
        <v>23</v>
      </c>
      <c r="H122" s="3" t="n">
        <f aca="false">IFERROR(__xludf.dummyfunction("if($T122&lt;&gt;"""",VALUE(REGEXEXTRACT($T122, H$1&amp;""[\w &amp;]*, (\d+\.\d+)"")),"""")
"),22)</f>
        <v>22</v>
      </c>
      <c r="I122" s="3" t="n">
        <f aca="false">IFERROR(__xludf.dummyfunction("if($T122&lt;&gt;"""",VALUE(REGEXEXTRACT(SUBSTITUTE ($T122,I$1&amp;"" CE"",""""), I$1&amp;""[\w &amp;]*, (\d+\.\d+)"")),"""")
"),19)</f>
        <v>19</v>
      </c>
      <c r="J122" s="3" t="n">
        <f aca="false">IFERROR(__xludf.dummyfunction("if($T122&lt;&gt;"""",VALUE(REGEXEXTRACT($T122, J$1&amp;""[\w &amp;]*, (\d+\.\d+)"")),"""")
"),18)</f>
        <v>18</v>
      </c>
      <c r="K122" s="3" t="n">
        <f aca="false">IFERROR(__xludf.dummyfunction("if($T122&lt;&gt;"""",VALUE(REGEXEXTRACT($T122, K$1&amp;""[\w &amp;]*, (\d+\.\d+)"")),"""")
"),14)</f>
        <v>14</v>
      </c>
      <c r="L122" s="3" t="n">
        <f aca="false">IFERROR(__xludf.dummyfunction("if($T122&lt;&gt;"""",VALUE(REGEXEXTRACT(SUBSTITUTE ($T122,L$1&amp;"" CE"",""""), L$1&amp;""[\w &amp;]*, (\d+\.\d+)"")),"""")
"),19)</f>
        <v>19</v>
      </c>
      <c r="M122" s="3" t="n">
        <f aca="false">IFERROR(__xludf.dummyfunction("if($T122&lt;&gt;"""",VALUE(REGEXEXTRACT($T122, M$1&amp;""[\w &amp;]*, (\d+\.\d+)"")),"""")
"),22)</f>
        <v>22</v>
      </c>
      <c r="N122" s="3" t="n">
        <f aca="false">IFERROR(__xludf.dummyfunction("if($T122&lt;&gt;"""",VALUE(REGEXEXTRACT(SUBSTITUTE ($T122,N$1&amp;"" CE"",""""), N$1&amp;""[\w &amp;]*, (\d+\.\d+)"")),"""")
"),19)</f>
        <v>19</v>
      </c>
      <c r="O122" s="3" t="n">
        <f aca="false">IFERROR(__xludf.dummyfunction("if($T122&lt;&gt;"""",VALUE(REGEXEXTRACT($T122, O$1&amp;""[\w &amp;]*, (\d+\.\d+)"")),"""")
"),19)</f>
        <v>19</v>
      </c>
      <c r="P122" s="2" t="n">
        <f aca="false">IFERROR(__xludf.dummyfunction("if($T122&lt;&gt;"""",VALUE(REGEXEXTRACT($T122, P$1&amp;""[\w &amp;]*, (\d+\.\d+)"")),"""")
"),17.47)</f>
        <v>17.47</v>
      </c>
      <c r="Q122" s="2" t="n">
        <f aca="false">IFERROR(__xludf.dummyfunction("if($T122&lt;&gt;"""",VALUE(REGEXEXTRACT($T122, Q$1&amp;""[\w &amp;]*, (\d+\.\d+)"")),"""")
"),16.04)</f>
        <v>16.04</v>
      </c>
      <c r="R122" s="2" t="n">
        <f aca="false">IFERROR(__xludf.dummyfunction("if($T122&lt;&gt;"""",VALUE(REGEXEXTRACT($T122, SUBSTITUTE(R$1, ""+"", ""\+"")&amp;""[\w &amp;]*, (\d+\.\d+)"")),"""")"),20.95)</f>
        <v>20.95</v>
      </c>
      <c r="S122" s="2" t="n">
        <f aca="false">IFERROR(__xludf.dummyfunction("if($T122&lt;&gt;"""",VALUE(REGEXEXTRACT($T122, SUBSTITUTE(S$1, ""+"", ""\+"")&amp;""[\w &amp;]*, (\d+\.\d+)"")),"""")"),22.38)</f>
        <v>22.38</v>
      </c>
      <c r="T122" s="5" t="s">
        <v>331</v>
      </c>
    </row>
    <row r="123" customFormat="false" ht="15.75" hidden="false" customHeight="false" outlineLevel="0" collapsed="false">
      <c r="A123" s="4" t="n">
        <f aca="false">IFERROR(__xludf.dummyfunction("""COMPUTED_VALUE"""),45573.6361111111)</f>
        <v>45573.6361111111</v>
      </c>
      <c r="B123" s="2" t="n">
        <f aca="false">IFERROR(__xludf.dummyfunction("""COMPUTED_VALUE"""),22.12)</f>
        <v>22.12</v>
      </c>
      <c r="C123" s="2" t="n">
        <f aca="false">IFERROR(__xludf.dummyfunction("""COMPUTED_VALUE"""),22.12)</f>
        <v>22.12</v>
      </c>
      <c r="D123" s="2" t="n">
        <f aca="false">IFERROR(__xludf.dummyfunction("""COMPUTED_VALUE"""),21.14)</f>
        <v>21.14</v>
      </c>
      <c r="E123" s="2" t="n">
        <f aca="false">IFERROR(__xludf.dummyfunction("""COMPUTED_VALUE"""),21.42)</f>
        <v>21.42</v>
      </c>
      <c r="F123" s="3" t="n">
        <f aca="false">IFERROR(__xludf.dummyfunction("if($T123&lt;&gt;"""",VALUE(REGEXEXTRACT(SUBSTITUTE ($T123,F$1&amp;"" CE"",""""), F$1&amp;""[\w &amp;]*, (\d+\.\d+)"")),"""")
"),20)</f>
        <v>20</v>
      </c>
      <c r="G123" s="3" t="n">
        <f aca="false">IFERROR(__xludf.dummyfunction("if($T123&lt;&gt;"""",VALUE(REGEXEXTRACT($T123, G$1&amp;""[\w &amp;]*, (\d+\.\d+)"")),"""")
"),23)</f>
        <v>23</v>
      </c>
      <c r="H123" s="3" t="n">
        <f aca="false">IFERROR(__xludf.dummyfunction("if($T123&lt;&gt;"""",VALUE(REGEXEXTRACT($T123, H$1&amp;""[\w &amp;]*, (\d+\.\d+)"")),"""")
"),22)</f>
        <v>22</v>
      </c>
      <c r="I123" s="3" t="n">
        <f aca="false">IFERROR(__xludf.dummyfunction("if($T123&lt;&gt;"""",VALUE(REGEXEXTRACT(SUBSTITUTE ($T123,I$1&amp;"" CE"",""""), I$1&amp;""[\w &amp;]*, (\d+\.\d+)"")),"""")
"),19)</f>
        <v>19</v>
      </c>
      <c r="J123" s="3" t="n">
        <f aca="false">IFERROR(__xludf.dummyfunction("if($T123&lt;&gt;"""",VALUE(REGEXEXTRACT($T123, J$1&amp;""[\w &amp;]*, (\d+\.\d+)"")),"""")
"),19)</f>
        <v>19</v>
      </c>
      <c r="K123" s="3" t="n">
        <f aca="false">IFERROR(__xludf.dummyfunction("if($T123&lt;&gt;"""",VALUE(REGEXEXTRACT($T123, K$1&amp;""[\w &amp;]*, (\d+\.\d+)"")),"""")
"),14)</f>
        <v>14</v>
      </c>
      <c r="L123" s="3" t="n">
        <f aca="false">IFERROR(__xludf.dummyfunction("if($T123&lt;&gt;"""",VALUE(REGEXEXTRACT(SUBSTITUTE ($T123,L$1&amp;"" CE"",""""), L$1&amp;""[\w &amp;]*, (\d+\.\d+)"")),"""")
"),19)</f>
        <v>19</v>
      </c>
      <c r="M123" s="3" t="n">
        <f aca="false">IFERROR(__xludf.dummyfunction("if($T123&lt;&gt;"""",VALUE(REGEXEXTRACT($T123, M$1&amp;""[\w &amp;]*, (\d+\.\d+)"")),"""")
"),22)</f>
        <v>22</v>
      </c>
      <c r="N123" s="3" t="n">
        <f aca="false">IFERROR(__xludf.dummyfunction("if($T123&lt;&gt;"""",VALUE(REGEXEXTRACT(SUBSTITUTE ($T123,N$1&amp;"" CE"",""""), N$1&amp;""[\w &amp;]*, (\d+\.\d+)"")),"""")
"),19)</f>
        <v>19</v>
      </c>
      <c r="O123" s="3" t="n">
        <f aca="false">IFERROR(__xludf.dummyfunction("if($T123&lt;&gt;"""",VALUE(REGEXEXTRACT($T123, O$1&amp;""[\w &amp;]*, (\d+\.\d+)"")),"""")
"),22)</f>
        <v>22</v>
      </c>
      <c r="P123" s="2" t="n">
        <f aca="false">IFERROR(__xludf.dummyfunction("if($T123&lt;&gt;"""",VALUE(REGEXEXTRACT($T123, P$1&amp;""[\w &amp;]*, (\d+\.\d+)"")),"""")
"),20.39)</f>
        <v>20.39</v>
      </c>
      <c r="Q123" s="2" t="n">
        <f aca="false">IFERROR(__xludf.dummyfunction("if($T123&lt;&gt;"""",VALUE(REGEXEXTRACT($T123, Q$1&amp;""[\w &amp;]*, (\d+\.\d+)"")),"""")
"),17.87)</f>
        <v>17.87</v>
      </c>
      <c r="R123" s="2" t="n">
        <f aca="false">IFERROR(__xludf.dummyfunction("if($T123&lt;&gt;"""",VALUE(REGEXEXTRACT($T123, SUBSTITUTE(R$1, ""+"", ""\+"")&amp;""[\w &amp;]*, (\d+\.\d+)"")),"""")"),24.89)</f>
        <v>24.89</v>
      </c>
      <c r="S123" s="2" t="n">
        <f aca="false">IFERROR(__xludf.dummyfunction("if($T123&lt;&gt;"""",VALUE(REGEXEXTRACT($T123, SUBSTITUTE(S$1, ""+"", ""\+"")&amp;""[\w &amp;]*, (\d+\.\d+)"")),"""")"),27.41)</f>
        <v>27.41</v>
      </c>
      <c r="T123" s="5" t="s">
        <v>332</v>
      </c>
    </row>
    <row r="124" customFormat="false" ht="15.75" hidden="false" customHeight="false" outlineLevel="0" collapsed="false">
      <c r="A124" s="4" t="n">
        <f aca="false">IFERROR(__xludf.dummyfunction("""COMPUTED_VALUE"""),45574.6361111111)</f>
        <v>45574.6361111111</v>
      </c>
      <c r="B124" s="2" t="n">
        <f aca="false">IFERROR(__xludf.dummyfunction("""COMPUTED_VALUE"""),21.48)</f>
        <v>21.48</v>
      </c>
      <c r="C124" s="2" t="n">
        <f aca="false">IFERROR(__xludf.dummyfunction("""COMPUTED_VALUE"""),21.48)</f>
        <v>21.48</v>
      </c>
      <c r="D124" s="2" t="n">
        <f aca="false">IFERROR(__xludf.dummyfunction("""COMPUTED_VALUE"""),20.71)</f>
        <v>20.71</v>
      </c>
      <c r="E124" s="2" t="n">
        <f aca="false">IFERROR(__xludf.dummyfunction("""COMPUTED_VALUE"""),20.86)</f>
        <v>20.86</v>
      </c>
      <c r="F124" s="3" t="n">
        <f aca="false">IFERROR(__xludf.dummyfunction("if($T124&lt;&gt;"""",VALUE(REGEXEXTRACT(SUBSTITUTE ($T124,F$1&amp;"" CE"",""""), F$1&amp;""[\w &amp;]*, (\d+\.\d+)"")),"""")
"),20)</f>
        <v>20</v>
      </c>
      <c r="G124" s="3" t="n">
        <f aca="false">IFERROR(__xludf.dummyfunction("if($T124&lt;&gt;"""",VALUE(REGEXEXTRACT($T124, G$1&amp;""[\w &amp;]*, (\d+\.\d+)"")),"""")
"),23)</f>
        <v>23</v>
      </c>
      <c r="H124" s="3" t="n">
        <f aca="false">IFERROR(__xludf.dummyfunction("if($T124&lt;&gt;"""",VALUE(REGEXEXTRACT($T124, H$1&amp;""[\w &amp;]*, (\d+\.\d+)"")),"""")
"),22)</f>
        <v>22</v>
      </c>
      <c r="I124" s="3" t="n">
        <f aca="false">IFERROR(__xludf.dummyfunction("if($T124&lt;&gt;"""",VALUE(REGEXEXTRACT(SUBSTITUTE ($T124,I$1&amp;"" CE"",""""), I$1&amp;""[\w &amp;]*, (\d+\.\d+)"")),"""")
"),19)</f>
        <v>19</v>
      </c>
      <c r="J124" s="3" t="n">
        <f aca="false">IFERROR(__xludf.dummyfunction("if($T124&lt;&gt;"""",VALUE(REGEXEXTRACT($T124, J$1&amp;""[\w &amp;]*, (\d+\.\d+)"")),"""")
"),21)</f>
        <v>21</v>
      </c>
      <c r="K124" s="3" t="n">
        <f aca="false">IFERROR(__xludf.dummyfunction("if($T124&lt;&gt;"""",VALUE(REGEXEXTRACT($T124, K$1&amp;""[\w &amp;]*, (\d+\.\d+)"")),"""")
"),15)</f>
        <v>15</v>
      </c>
      <c r="L124" s="3" t="n">
        <f aca="false">IFERROR(__xludf.dummyfunction("if($T124&lt;&gt;"""",VALUE(REGEXEXTRACT(SUBSTITUTE ($T124,L$1&amp;"" CE"",""""), L$1&amp;""[\w &amp;]*, (\d+\.\d+)"")),"""")
"),19)</f>
        <v>19</v>
      </c>
      <c r="M124" s="3" t="n">
        <f aca="false">IFERROR(__xludf.dummyfunction("if($T124&lt;&gt;"""",VALUE(REGEXEXTRACT($T124, M$1&amp;""[\w &amp;]*, (\d+\.\d+)"")),"""")
"),22)</f>
        <v>22</v>
      </c>
      <c r="N124" s="3" t="n">
        <f aca="false">IFERROR(__xludf.dummyfunction("if($T124&lt;&gt;"""",VALUE(REGEXEXTRACT(SUBSTITUTE ($T124,N$1&amp;"" CE"",""""), N$1&amp;""[\w &amp;]*, (\d+\.\d+)"")),"""")
"),20)</f>
        <v>20</v>
      </c>
      <c r="O124" s="3" t="n">
        <f aca="false">IFERROR(__xludf.dummyfunction("if($T124&lt;&gt;"""",VALUE(REGEXEXTRACT($T124, O$1&amp;""[\w &amp;]*, (\d+\.\d+)"")),"""")
"),22)</f>
        <v>22</v>
      </c>
      <c r="P124" s="2" t="n">
        <f aca="false">IFERROR(__xludf.dummyfunction("if($T124&lt;&gt;"""",VALUE(REGEXEXTRACT($T124, P$1&amp;""[\w &amp;]*, (\d+\.\d+)"")),"""")
"),20.4)</f>
        <v>20.4</v>
      </c>
      <c r="Q124" s="2" t="n">
        <f aca="false">IFERROR(__xludf.dummyfunction("if($T124&lt;&gt;"""",VALUE(REGEXEXTRACT($T124, Q$1&amp;""[\w &amp;]*, (\d+\.\d+)"")),"""")
"),18.53)</f>
        <v>18.53</v>
      </c>
      <c r="R124" s="2" t="n">
        <f aca="false">IFERROR(__xludf.dummyfunction("if($T124&lt;&gt;"""",VALUE(REGEXEXTRACT($T124, SUBSTITUTE(R$1, ""+"", ""\+"")&amp;""[\w &amp;]*, (\d+\.\d+)"")),"""")"),22.44)</f>
        <v>22.44</v>
      </c>
      <c r="S124" s="2" t="n">
        <f aca="false">IFERROR(__xludf.dummyfunction("if($T124&lt;&gt;"""",VALUE(REGEXEXTRACT($T124, SUBSTITUTE(S$1, ""+"", ""\+"")&amp;""[\w &amp;]*, (\d+\.\d+)"")),"""")"),24.31)</f>
        <v>24.31</v>
      </c>
      <c r="T124" s="5" t="s">
        <v>333</v>
      </c>
    </row>
    <row r="125" customFormat="false" ht="15.75" hidden="false" customHeight="false" outlineLevel="0" collapsed="false">
      <c r="A125" s="4" t="n">
        <f aca="false">IFERROR(__xludf.dummyfunction("""COMPUTED_VALUE"""),45575.6361111111)</f>
        <v>45575.6361111111</v>
      </c>
      <c r="B125" s="2" t="n">
        <f aca="false">IFERROR(__xludf.dummyfunction("""COMPUTED_VALUE"""),21.07)</f>
        <v>21.07</v>
      </c>
      <c r="C125" s="2" t="n">
        <f aca="false">IFERROR(__xludf.dummyfunction("""COMPUTED_VALUE"""),21.39)</f>
        <v>21.39</v>
      </c>
      <c r="D125" s="2" t="n">
        <f aca="false">IFERROR(__xludf.dummyfunction("""COMPUTED_VALUE"""),20.64)</f>
        <v>20.64</v>
      </c>
      <c r="E125" s="2" t="n">
        <f aca="false">IFERROR(__xludf.dummyfunction("""COMPUTED_VALUE"""),20.93)</f>
        <v>20.93</v>
      </c>
      <c r="F125" s="3" t="n">
        <f aca="false">IFERROR(__xludf.dummyfunction("if($T125&lt;&gt;"""",VALUE(REGEXEXTRACT(SUBSTITUTE ($T125,F$1&amp;"" CE"",""""), F$1&amp;""[\w &amp;]*, (\d+\.\d+)"")),"""")
"),20)</f>
        <v>20</v>
      </c>
      <c r="G125" s="3" t="n">
        <f aca="false">IFERROR(__xludf.dummyfunction("if($T125&lt;&gt;"""",VALUE(REGEXEXTRACT($T125, G$1&amp;""[\w &amp;]*, (\d+\.\d+)"")),"""")
"),25)</f>
        <v>25</v>
      </c>
      <c r="H125" s="3" t="n">
        <f aca="false">IFERROR(__xludf.dummyfunction("if($T125&lt;&gt;"""",VALUE(REGEXEXTRACT($T125, H$1&amp;""[\w &amp;]*, (\d+\.\d+)"")),"""")
"),22)</f>
        <v>22</v>
      </c>
      <c r="I125" s="3" t="n">
        <f aca="false">IFERROR(__xludf.dummyfunction("if($T125&lt;&gt;"""",VALUE(REGEXEXTRACT(SUBSTITUTE ($T125,I$1&amp;"" CE"",""""), I$1&amp;""[\w &amp;]*, (\d+\.\d+)"")),"""")
"),19)</f>
        <v>19</v>
      </c>
      <c r="J125" s="3" t="n">
        <f aca="false">IFERROR(__xludf.dummyfunction("if($T125&lt;&gt;"""",VALUE(REGEXEXTRACT($T125, J$1&amp;""[\w &amp;]*, (\d+\.\d+)"")),"""")
"),19)</f>
        <v>19</v>
      </c>
      <c r="K125" s="3" t="n">
        <f aca="false">IFERROR(__xludf.dummyfunction("if($T125&lt;&gt;"""",VALUE(REGEXEXTRACT($T125, K$1&amp;""[\w &amp;]*, (\d+\.\d+)"")),"""")
"),15)</f>
        <v>15</v>
      </c>
      <c r="L125" s="3" t="n">
        <f aca="false">IFERROR(__xludf.dummyfunction("if($T125&lt;&gt;"""",VALUE(REGEXEXTRACT(SUBSTITUTE ($T125,L$1&amp;"" CE"",""""), L$1&amp;""[\w &amp;]*, (\d+\.\d+)"")),"""")
"),19)</f>
        <v>19</v>
      </c>
      <c r="M125" s="3" t="n">
        <f aca="false">IFERROR(__xludf.dummyfunction("if($T125&lt;&gt;"""",VALUE(REGEXEXTRACT($T125, M$1&amp;""[\w &amp;]*, (\d+\.\d+)"")),"""")
"),19)</f>
        <v>19</v>
      </c>
      <c r="N125" s="3" t="n">
        <f aca="false">IFERROR(__xludf.dummyfunction("if($T125&lt;&gt;"""",VALUE(REGEXEXTRACT(SUBSTITUTE ($T125,N$1&amp;"" CE"",""""), N$1&amp;""[\w &amp;]*, (\d+\.\d+)"")),"""")
"),20)</f>
        <v>20</v>
      </c>
      <c r="O125" s="3" t="n">
        <f aca="false">IFERROR(__xludf.dummyfunction("if($T125&lt;&gt;"""",VALUE(REGEXEXTRACT($T125, O$1&amp;""[\w &amp;]*, (\d+\.\d+)"")),"""")
"),20)</f>
        <v>20</v>
      </c>
      <c r="P125" s="2" t="n">
        <f aca="false">IFERROR(__xludf.dummyfunction("if($T125&lt;&gt;"""",VALUE(REGEXEXTRACT($T125, P$1&amp;""[\w &amp;]*, (\d+\.\d+)"")),"""")
"),17.82)</f>
        <v>17.82</v>
      </c>
      <c r="Q125" s="2" t="n">
        <f aca="false">IFERROR(__xludf.dummyfunction("if($T125&lt;&gt;"""",VALUE(REGEXEXTRACT($T125, Q$1&amp;""[\w &amp;]*, (\d+\.\d+)"")),"""")
"),16.56)</f>
        <v>16.56</v>
      </c>
      <c r="R125" s="2" t="n">
        <f aca="false">IFERROR(__xludf.dummyfunction("if($T125&lt;&gt;"""",VALUE(REGEXEXTRACT($T125, SUBSTITUTE(R$1, ""+"", ""\+"")&amp;""[\w &amp;]*, (\d+\.\d+)"")),"""")"),23.9)</f>
        <v>23.9</v>
      </c>
      <c r="S125" s="2" t="n">
        <f aca="false">IFERROR(__xludf.dummyfunction("if($T125&lt;&gt;"""",VALUE(REGEXEXTRACT($T125, SUBSTITUTE(S$1, ""+"", ""\+"")&amp;""[\w &amp;]*, (\d+\.\d+)"")),"""")"),25.16)</f>
        <v>25.16</v>
      </c>
      <c r="T125" s="5" t="s">
        <v>334</v>
      </c>
    </row>
    <row r="126" customFormat="false" ht="15.75" hidden="false" customHeight="false" outlineLevel="0" collapsed="false">
      <c r="A126" s="4" t="n">
        <f aca="false">IFERROR(__xludf.dummyfunction("""COMPUTED_VALUE"""),45579.6361111111)</f>
        <v>45579.6361111111</v>
      </c>
      <c r="B126" s="2" t="n">
        <f aca="false">IFERROR(__xludf.dummyfunction("""COMPUTED_VALUE"""),20.86)</f>
        <v>20.86</v>
      </c>
      <c r="C126" s="2" t="n">
        <f aca="false">IFERROR(__xludf.dummyfunction("""COMPUTED_VALUE"""),20.86)</f>
        <v>20.86</v>
      </c>
      <c r="D126" s="2" t="n">
        <f aca="false">IFERROR(__xludf.dummyfunction("""COMPUTED_VALUE"""),19.69)</f>
        <v>19.69</v>
      </c>
      <c r="E126" s="2" t="n">
        <f aca="false">IFERROR(__xludf.dummyfunction("""COMPUTED_VALUE"""),19.7)</f>
        <v>19.7</v>
      </c>
      <c r="F126" s="3" t="n">
        <f aca="false">IFERROR(__xludf.dummyfunction("if($T126&lt;&gt;"""",VALUE(REGEXEXTRACT(SUBSTITUTE ($T126,F$1&amp;"" CE"",""""), F$1&amp;""[\w &amp;]*, (\d+\.\d+)"")),"""")
"),20)</f>
        <v>20</v>
      </c>
      <c r="G126" s="3" t="n">
        <f aca="false">IFERROR(__xludf.dummyfunction("if($T126&lt;&gt;"""",VALUE(REGEXEXTRACT($T126, G$1&amp;""[\w &amp;]*, (\d+\.\d+)"")),"""")
"),20)</f>
        <v>20</v>
      </c>
      <c r="H126" s="3" t="n">
        <f aca="false">IFERROR(__xludf.dummyfunction("if($T126&lt;&gt;"""",VALUE(REGEXEXTRACT($T126, H$1&amp;""[\w &amp;]*, (\d+\.\d+)"")),"""")
"),25)</f>
        <v>25</v>
      </c>
      <c r="I126" s="3" t="n">
        <f aca="false">IFERROR(__xludf.dummyfunction("if($T126&lt;&gt;"""",VALUE(REGEXEXTRACT(SUBSTITUTE ($T126,I$1&amp;"" CE"",""""), I$1&amp;""[\w &amp;]*, (\d+\.\d+)"")),"""")
"),21)</f>
        <v>21</v>
      </c>
      <c r="J126" s="3" t="n">
        <f aca="false">IFERROR(__xludf.dummyfunction("if($T126&lt;&gt;"""",VALUE(REGEXEXTRACT($T126, J$1&amp;""[\w &amp;]*, (\d+\.\d+)"")),"""")
"),19)</f>
        <v>19</v>
      </c>
      <c r="K126" s="3" t="n">
        <f aca="false">IFERROR(__xludf.dummyfunction("if($T126&lt;&gt;"""",VALUE(REGEXEXTRACT($T126, K$1&amp;""[\w &amp;]*, (\d+\.\d+)"")),"""")
"),15)</f>
        <v>15</v>
      </c>
      <c r="L126" s="3" t="n">
        <f aca="false">IFERROR(__xludf.dummyfunction("if($T126&lt;&gt;"""",VALUE(REGEXEXTRACT(SUBSTITUTE ($T126,L$1&amp;"" CE"",""""), L$1&amp;""[\w &amp;]*, (\d+\.\d+)"")),"""")
"),19)</f>
        <v>19</v>
      </c>
      <c r="M126" s="3" t="n">
        <f aca="false">IFERROR(__xludf.dummyfunction("if($T126&lt;&gt;"""",VALUE(REGEXEXTRACT($T126, M$1&amp;""[\w &amp;]*, (\d+\.\d+)"")),"""")
"),19)</f>
        <v>19</v>
      </c>
      <c r="N126" s="3" t="n">
        <f aca="false">IFERROR(__xludf.dummyfunction("if($T126&lt;&gt;"""",VALUE(REGEXEXTRACT(SUBSTITUTE ($T126,N$1&amp;"" CE"",""""), N$1&amp;""[\w &amp;]*, (\d+\.\d+)"")),"""")
"),20)</f>
        <v>20</v>
      </c>
      <c r="O126" s="3" t="n">
        <f aca="false">IFERROR(__xludf.dummyfunction("if($T126&lt;&gt;"""",VALUE(REGEXEXTRACT($T126, O$1&amp;""[\w &amp;]*, (\d+\.\d+)"")),"""")
"),21)</f>
        <v>21</v>
      </c>
      <c r="P126" s="2" t="n">
        <f aca="false">IFERROR(__xludf.dummyfunction("if($T126&lt;&gt;"""",VALUE(REGEXEXTRACT($T126, P$1&amp;""[\w &amp;]*, (\d+\.\d+)"")),"""")
"),18.21)</f>
        <v>18.21</v>
      </c>
      <c r="Q126" s="2" t="n">
        <f aca="false">IFERROR(__xludf.dummyfunction("if($T126&lt;&gt;"""",VALUE(REGEXEXTRACT($T126, Q$1&amp;""[\w &amp;]*, (\d+\.\d+)"")),"""")
"),16.93)</f>
        <v>16.93</v>
      </c>
      <c r="R126" s="2" t="n">
        <f aca="false">IFERROR(__xludf.dummyfunction("if($T126&lt;&gt;"""",VALUE(REGEXEXTRACT($T126, SUBSTITUTE(R$1, ""+"", ""\+"")&amp;""[\w &amp;]*, (\d+\.\d+)"")),"""")"),23.65)</f>
        <v>23.65</v>
      </c>
      <c r="S126" s="2" t="n">
        <f aca="false">IFERROR(__xludf.dummyfunction("if($T126&lt;&gt;"""",VALUE(REGEXEXTRACT($T126, SUBSTITUTE(S$1, ""+"", ""\+"")&amp;""[\w &amp;]*, (\d+\.\d+)"")),"""")"),24.93)</f>
        <v>24.93</v>
      </c>
      <c r="T126" s="8" t="s">
        <v>335</v>
      </c>
    </row>
    <row r="127" customFormat="false" ht="15.75" hidden="false" customHeight="false" outlineLevel="0" collapsed="false">
      <c r="A127" s="4" t="n">
        <f aca="false">IFERROR(__xludf.dummyfunction("""COMPUTED_VALUE"""),45580.6361111111)</f>
        <v>45580.6361111111</v>
      </c>
      <c r="B127" s="2" t="n">
        <f aca="false">IFERROR(__xludf.dummyfunction("""COMPUTED_VALUE"""),19.76)</f>
        <v>19.76</v>
      </c>
      <c r="C127" s="2" t="n">
        <f aca="false">IFERROR(__xludf.dummyfunction("""COMPUTED_VALUE"""),20.89)</f>
        <v>20.89</v>
      </c>
      <c r="D127" s="2" t="n">
        <f aca="false">IFERROR(__xludf.dummyfunction("""COMPUTED_VALUE"""),19.44)</f>
        <v>19.44</v>
      </c>
      <c r="E127" s="2" t="n">
        <f aca="false">IFERROR(__xludf.dummyfunction("""COMPUTED_VALUE"""),20.64)</f>
        <v>20.64</v>
      </c>
      <c r="F127" s="3" t="n">
        <f aca="false">IFERROR(__xludf.dummyfunction("if($T127&lt;&gt;"""",VALUE(REGEXEXTRACT(SUBSTITUTE ($T127,F$1&amp;"" CE"",""""), F$1&amp;""[\w &amp;]*, (\d+\.\d+)"")),"""")
"),20)</f>
        <v>20</v>
      </c>
      <c r="G127" s="3" t="n">
        <f aca="false">IFERROR(__xludf.dummyfunction("if($T127&lt;&gt;"""",VALUE(REGEXEXTRACT($T127, G$1&amp;""[\w &amp;]*, (\d+\.\d+)"")),"""")
"),20)</f>
        <v>20</v>
      </c>
      <c r="H127" s="3" t="n">
        <f aca="false">IFERROR(__xludf.dummyfunction("if($T127&lt;&gt;"""",VALUE(REGEXEXTRACT($T127, H$1&amp;""[\w &amp;]*, (\d+\.\d+)"")),"""")
"),22)</f>
        <v>22</v>
      </c>
      <c r="I127" s="3" t="n">
        <f aca="false">IFERROR(__xludf.dummyfunction("if($T127&lt;&gt;"""",VALUE(REGEXEXTRACT(SUBSTITUTE ($T127,I$1&amp;"" CE"",""""), I$1&amp;""[\w &amp;]*, (\d+\.\d+)"")),"""")
"),21)</f>
        <v>21</v>
      </c>
      <c r="J127" s="3" t="n">
        <f aca="false">IFERROR(__xludf.dummyfunction("if($T127&lt;&gt;"""",VALUE(REGEXEXTRACT($T127, J$1&amp;""[\w &amp;]*, (\d+\.\d+)"")),"""")
"),19)</f>
        <v>19</v>
      </c>
      <c r="K127" s="3" t="n">
        <f aca="false">IFERROR(__xludf.dummyfunction("if($T127&lt;&gt;"""",VALUE(REGEXEXTRACT($T127, K$1&amp;""[\w &amp;]*, (\d+\.\d+)"")),"""")
"),15)</f>
        <v>15</v>
      </c>
      <c r="L127" s="3" t="n">
        <f aca="false">IFERROR(__xludf.dummyfunction("if($T127&lt;&gt;"""",VALUE(REGEXEXTRACT(SUBSTITUTE ($T127,L$1&amp;"" CE"",""""), L$1&amp;""[\w &amp;]*, (\d+\.\d+)"")),"""")
"),19)</f>
        <v>19</v>
      </c>
      <c r="M127" s="3" t="n">
        <f aca="false">IFERROR(__xludf.dummyfunction("if($T127&lt;&gt;"""",VALUE(REGEXEXTRACT($T127, M$1&amp;""[\w &amp;]*, (\d+\.\d+)"")),"""")
"),19)</f>
        <v>19</v>
      </c>
      <c r="N127" s="3" t="n">
        <f aca="false">IFERROR(__xludf.dummyfunction("if($T127&lt;&gt;"""",VALUE(REGEXEXTRACT(SUBSTITUTE ($T127,N$1&amp;"" CE"",""""), N$1&amp;""[\w &amp;]*, (\d+\.\d+)"")),"""")
"),20)</f>
        <v>20</v>
      </c>
      <c r="O127" s="3" t="n">
        <f aca="false">IFERROR(__xludf.dummyfunction("if($T127&lt;&gt;"""",VALUE(REGEXEXTRACT($T127, O$1&amp;""[\w &amp;]*, (\d+\.\d+)"")),"""")
"),20)</f>
        <v>20</v>
      </c>
      <c r="P127" s="2" t="n">
        <f aca="false">IFERROR(__xludf.dummyfunction("if($T127&lt;&gt;"""",VALUE(REGEXEXTRACT($T127, P$1&amp;""[\w &amp;]*, (\d+\.\d+)"")),"""")
"),18.52)</f>
        <v>18.52</v>
      </c>
      <c r="Q127" s="2" t="n">
        <f aca="false">IFERROR(__xludf.dummyfunction("if($T127&lt;&gt;"""",VALUE(REGEXEXTRACT($T127, Q$1&amp;""[\w &amp;]*, (\d+\.\d+)"")),"""")
"),16.92)</f>
        <v>16.92</v>
      </c>
      <c r="R127" s="2" t="n">
        <f aca="false">IFERROR(__xludf.dummyfunction("if($T127&lt;&gt;"""",VALUE(REGEXEXTRACT($T127, SUBSTITUTE(R$1, ""+"", ""\+"")&amp;""[\w &amp;]*, (\d+\.\d+)"")),"""")"),22.4)</f>
        <v>22.4</v>
      </c>
      <c r="S127" s="2" t="n">
        <f aca="false">IFERROR(__xludf.dummyfunction("if($T127&lt;&gt;"""",VALUE(REGEXEXTRACT($T127, SUBSTITUTE(S$1, ""+"", ""\+"")&amp;""[\w &amp;]*, (\d+\.\d+)"")),"""")"),24)</f>
        <v>24</v>
      </c>
      <c r="T127" s="5" t="s">
        <v>336</v>
      </c>
    </row>
    <row r="128" customFormat="false" ht="15.75" hidden="false" customHeight="false" outlineLevel="0" collapsed="false">
      <c r="A128" s="4" t="n">
        <f aca="false">IFERROR(__xludf.dummyfunction("""COMPUTED_VALUE"""),45581.6361111111)</f>
        <v>45581.6361111111</v>
      </c>
      <c r="B128" s="2" t="n">
        <f aca="false">IFERROR(__xludf.dummyfunction("""COMPUTED_VALUE"""),20.71)</f>
        <v>20.71</v>
      </c>
      <c r="C128" s="2" t="n">
        <f aca="false">IFERROR(__xludf.dummyfunction("""COMPUTED_VALUE"""),21.01)</f>
        <v>21.01</v>
      </c>
      <c r="D128" s="2" t="n">
        <f aca="false">IFERROR(__xludf.dummyfunction("""COMPUTED_VALUE"""),19.45)</f>
        <v>19.45</v>
      </c>
      <c r="E128" s="2" t="n">
        <f aca="false">IFERROR(__xludf.dummyfunction("""COMPUTED_VALUE"""),19.58)</f>
        <v>19.58</v>
      </c>
      <c r="F128" s="3" t="n">
        <f aca="false">IFERROR(__xludf.dummyfunction("if($T128&lt;&gt;"""",VALUE(REGEXEXTRACT(SUBSTITUTE ($T128,F$1&amp;"" CE"",""""), F$1&amp;""[\w &amp;]*, (\d+\.\d+)"")),"""")
"),20)</f>
        <v>20</v>
      </c>
      <c r="G128" s="3" t="n">
        <f aca="false">IFERROR(__xludf.dummyfunction("if($T128&lt;&gt;"""",VALUE(REGEXEXTRACT($T128, G$1&amp;""[\w &amp;]*, (\d+\.\d+)"")),"""")
"),20)</f>
        <v>20</v>
      </c>
      <c r="H128" s="3" t="n">
        <f aca="false">IFERROR(__xludf.dummyfunction("if($T128&lt;&gt;"""",VALUE(REGEXEXTRACT($T128, H$1&amp;""[\w &amp;]*, (\d+\.\d+)"")),"""")
"),22)</f>
        <v>22</v>
      </c>
      <c r="I128" s="3" t="n">
        <f aca="false">IFERROR(__xludf.dummyfunction("if($T128&lt;&gt;"""",VALUE(REGEXEXTRACT(SUBSTITUTE ($T128,I$1&amp;"" CE"",""""), I$1&amp;""[\w &amp;]*, (\d+\.\d+)"")),"""")
"),20)</f>
        <v>20</v>
      </c>
      <c r="J128" s="3" t="n">
        <f aca="false">IFERROR(__xludf.dummyfunction("if($T128&lt;&gt;"""",VALUE(REGEXEXTRACT($T128, J$1&amp;""[\w &amp;]*, (\d+\.\d+)"")),"""")
"),19)</f>
        <v>19</v>
      </c>
      <c r="K128" s="3" t="n">
        <f aca="false">IFERROR(__xludf.dummyfunction("if($T128&lt;&gt;"""",VALUE(REGEXEXTRACT($T128, K$1&amp;""[\w &amp;]*, (\d+\.\d+)"")),"""")
"),17)</f>
        <v>17</v>
      </c>
      <c r="L128" s="3" t="n">
        <f aca="false">IFERROR(__xludf.dummyfunction("if($T128&lt;&gt;"""",VALUE(REGEXEXTRACT(SUBSTITUTE ($T128,L$1&amp;"" CE"",""""), L$1&amp;""[\w &amp;]*, (\d+\.\d+)"")),"""")
"),19)</f>
        <v>19</v>
      </c>
      <c r="M128" s="3" t="n">
        <f aca="false">IFERROR(__xludf.dummyfunction("if($T128&lt;&gt;"""",VALUE(REGEXEXTRACT($T128, M$1&amp;""[\w &amp;]*, (\d+\.\d+)"")),"""")
"),19)</f>
        <v>19</v>
      </c>
      <c r="N128" s="3" t="n">
        <f aca="false">IFERROR(__xludf.dummyfunction("if($T128&lt;&gt;"""",VALUE(REGEXEXTRACT(SUBSTITUTE ($T128,N$1&amp;"" CE"",""""), N$1&amp;""[\w &amp;]*, (\d+\.\d+)"")),"""")
"),20)</f>
        <v>20</v>
      </c>
      <c r="O128" s="3" t="n">
        <f aca="false">IFERROR(__xludf.dummyfunction("if($T128&lt;&gt;"""",VALUE(REGEXEXTRACT($T128, O$1&amp;""[\w &amp;]*, (\d+\.\d+)"")),"""")
"),20)</f>
        <v>20</v>
      </c>
      <c r="P128" s="2" t="n">
        <f aca="false">IFERROR(__xludf.dummyfunction("if($T128&lt;&gt;"""",VALUE(REGEXEXTRACT($T128, P$1&amp;""[\w &amp;]*, (\d+\.\d+)"")),"""")
"),18.27)</f>
        <v>18.27</v>
      </c>
      <c r="Q128" s="2" t="n">
        <f aca="false">IFERROR(__xludf.dummyfunction("if($T128&lt;&gt;"""",VALUE(REGEXEXTRACT($T128, Q$1&amp;""[\w &amp;]*, (\d+\.\d+)"")),"""")
"),16.67)</f>
        <v>16.67</v>
      </c>
      <c r="R128" s="2" t="n">
        <f aca="false">IFERROR(__xludf.dummyfunction("if($T128&lt;&gt;"""",VALUE(REGEXEXTRACT($T128, SUBSTITUTE(R$1, ""+"", ""\+"")&amp;""[\w &amp;]*, (\d+\.\d+)"")),"""")"),21.13)</f>
        <v>21.13</v>
      </c>
      <c r="S128" s="2" t="n">
        <f aca="false">IFERROR(__xludf.dummyfunction("if($T128&lt;&gt;"""",VALUE(REGEXEXTRACT($T128, SUBSTITUTE(S$1, ""+"", ""\+"")&amp;""[\w &amp;]*, (\d+\.\d+)"")),"""")"),22.73)</f>
        <v>22.73</v>
      </c>
      <c r="T128" s="5" t="s">
        <v>337</v>
      </c>
    </row>
    <row r="129" customFormat="false" ht="15.75" hidden="false" customHeight="false" outlineLevel="0" collapsed="false">
      <c r="A129" s="4" t="n">
        <f aca="false">IFERROR(__xludf.dummyfunction("""COMPUTED_VALUE"""),45582.6361111111)</f>
        <v>45582.6361111111</v>
      </c>
      <c r="B129" s="2" t="n">
        <f aca="false">IFERROR(__xludf.dummyfunction("""COMPUTED_VALUE"""),19.34)</f>
        <v>19.34</v>
      </c>
      <c r="C129" s="2" t="n">
        <f aca="false">IFERROR(__xludf.dummyfunction("""COMPUTED_VALUE"""),19.65)</f>
        <v>19.65</v>
      </c>
      <c r="D129" s="2" t="n">
        <f aca="false">IFERROR(__xludf.dummyfunction("""COMPUTED_VALUE"""),18.88)</f>
        <v>18.88</v>
      </c>
      <c r="E129" s="2" t="n">
        <f aca="false">IFERROR(__xludf.dummyfunction("""COMPUTED_VALUE"""),19.11)</f>
        <v>19.11</v>
      </c>
      <c r="F129" s="3" t="n">
        <f aca="false">IFERROR(__xludf.dummyfunction("if($T129&lt;&gt;"""",VALUE(REGEXEXTRACT(SUBSTITUTE ($T129,F$1&amp;"" CE"",""""), F$1&amp;""[\w &amp;]*, (\d+\.\d+)"")),"""")
"),21)</f>
        <v>21</v>
      </c>
      <c r="G129" s="3" t="n">
        <f aca="false">IFERROR(__xludf.dummyfunction("if($T129&lt;&gt;"""",VALUE(REGEXEXTRACT($T129, G$1&amp;""[\w &amp;]*, (\d+\.\d+)"")),"""")
"),21)</f>
        <v>21</v>
      </c>
      <c r="H129" s="3" t="n">
        <f aca="false">IFERROR(__xludf.dummyfunction("if($T129&lt;&gt;"""",VALUE(REGEXEXTRACT($T129, H$1&amp;""[\w &amp;]*, (\d+\.\d+)"")),"""")
"),25)</f>
        <v>25</v>
      </c>
      <c r="I129" s="3" t="n">
        <f aca="false">IFERROR(__xludf.dummyfunction("if($T129&lt;&gt;"""",VALUE(REGEXEXTRACT(SUBSTITUTE ($T129,I$1&amp;"" CE"",""""), I$1&amp;""[\w &amp;]*, (\d+\.\d+)"")),"""")
"),21)</f>
        <v>21</v>
      </c>
      <c r="J129" s="3" t="n">
        <f aca="false">IFERROR(__xludf.dummyfunction("if($T129&lt;&gt;"""",VALUE(REGEXEXTRACT($T129, J$1&amp;""[\w &amp;]*, (\d+\.\d+)"")),"""")
"),19)</f>
        <v>19</v>
      </c>
      <c r="K129" s="3" t="n">
        <f aca="false">IFERROR(__xludf.dummyfunction("if($T129&lt;&gt;"""",VALUE(REGEXEXTRACT($T129, K$1&amp;""[\w &amp;]*, (\d+\.\d+)"")),"""")
"),15)</f>
        <v>15</v>
      </c>
      <c r="L129" s="3" t="n">
        <f aca="false">IFERROR(__xludf.dummyfunction("if($T129&lt;&gt;"""",VALUE(REGEXEXTRACT(SUBSTITUTE ($T129,L$1&amp;"" CE"",""""), L$1&amp;""[\w &amp;]*, (\d+\.\d+)"")),"""")
"),18)</f>
        <v>18</v>
      </c>
      <c r="M129" s="3" t="n">
        <f aca="false">IFERROR(__xludf.dummyfunction("if($T129&lt;&gt;"""",VALUE(REGEXEXTRACT($T129, M$1&amp;""[\w &amp;]*, (\d+\.\d+)"")),"""")
"),19)</f>
        <v>19</v>
      </c>
      <c r="N129" s="3" t="n">
        <f aca="false">IFERROR(__xludf.dummyfunction("if($T129&lt;&gt;"""",VALUE(REGEXEXTRACT(SUBSTITUTE ($T129,N$1&amp;"" CE"",""""), N$1&amp;""[\w &amp;]*, (\d+\.\d+)"")),"""")
"),21)</f>
        <v>21</v>
      </c>
      <c r="O129" s="3" t="n">
        <f aca="false">IFERROR(__xludf.dummyfunction("if($T129&lt;&gt;"""",VALUE(REGEXEXTRACT($T129, O$1&amp;""[\w &amp;]*, (\d+\.\d+)"")),"""")
"),21)</f>
        <v>21</v>
      </c>
      <c r="P129" s="2" t="n">
        <f aca="false">IFERROR(__xludf.dummyfunction("if($T129&lt;&gt;"""",VALUE(REGEXEXTRACT($T129, P$1&amp;""[\w &amp;]*, (\d+\.\d+)"")),"""")
"),19.65)</f>
        <v>19.65</v>
      </c>
      <c r="Q129" s="2" t="n">
        <f aca="false">IFERROR(__xludf.dummyfunction("if($T129&lt;&gt;"""",VALUE(REGEXEXTRACT($T129, Q$1&amp;""[\w &amp;]*, (\d+\.\d+)"")),"""")
"),17.85)</f>
        <v>17.85</v>
      </c>
      <c r="R129" s="2" t="n">
        <f aca="false">IFERROR(__xludf.dummyfunction("if($T129&lt;&gt;"""",VALUE(REGEXEXTRACT($T129, SUBSTITUTE(R$1, ""+"", ""\+"")&amp;""[\w &amp;]*, (\d+\.\d+)"")),"""")"),21.63)</f>
        <v>21.63</v>
      </c>
      <c r="S129" s="2" t="n">
        <f aca="false">IFERROR(__xludf.dummyfunction("if($T129&lt;&gt;"""",VALUE(REGEXEXTRACT($T129, SUBSTITUTE(S$1, ""+"", ""\+"")&amp;""[\w &amp;]*, (\d+\.\d+)"")),"""")"),23.43)</f>
        <v>23.43</v>
      </c>
      <c r="T129" s="5" t="s">
        <v>338</v>
      </c>
    </row>
    <row r="130" customFormat="false" ht="15.75" hidden="false" customHeight="false" outlineLevel="0" collapsed="false">
      <c r="A130" s="4" t="n">
        <f aca="false">IFERROR(__xludf.dummyfunction("""COMPUTED_VALUE"""),45583.6361111111)</f>
        <v>45583.6361111111</v>
      </c>
      <c r="B130" s="2" t="n">
        <f aca="false">IFERROR(__xludf.dummyfunction("""COMPUTED_VALUE"""),19.16)</f>
        <v>19.16</v>
      </c>
      <c r="C130" s="2" t="n">
        <f aca="false">IFERROR(__xludf.dummyfunction("""COMPUTED_VALUE"""),19.16)</f>
        <v>19.16</v>
      </c>
      <c r="D130" s="2" t="n">
        <f aca="false">IFERROR(__xludf.dummyfunction("""COMPUTED_VALUE"""),17.99)</f>
        <v>17.99</v>
      </c>
      <c r="E130" s="2" t="n">
        <f aca="false">IFERROR(__xludf.dummyfunction("""COMPUTED_VALUE"""),18.03)</f>
        <v>18.03</v>
      </c>
      <c r="F130" s="3" t="n">
        <f aca="false">IFERROR(__xludf.dummyfunction("if($T130&lt;&gt;"""",VALUE(REGEXEXTRACT(SUBSTITUTE ($T130,F$1&amp;"" CE"",""""), F$1&amp;""[\w &amp;]*, (\d+\.\d+)"")),"""")
"),20)</f>
        <v>20</v>
      </c>
      <c r="G130" s="3" t="n">
        <f aca="false">IFERROR(__xludf.dummyfunction("if($T130&lt;&gt;"""",VALUE(REGEXEXTRACT($T130, G$1&amp;""[\w &amp;]*, (\d+\.\d+)"")),"""")
"),20)</f>
        <v>20</v>
      </c>
      <c r="H130" s="3" t="n">
        <f aca="false">IFERROR(__xludf.dummyfunction("if($T130&lt;&gt;"""",VALUE(REGEXEXTRACT($T130, H$1&amp;""[\w &amp;]*, (\d+\.\d+)"")),"""")
"),22)</f>
        <v>22</v>
      </c>
      <c r="I130" s="3" t="n">
        <f aca="false">IFERROR(__xludf.dummyfunction("if($T130&lt;&gt;"""",VALUE(REGEXEXTRACT(SUBSTITUTE ($T130,I$1&amp;"" CE"",""""), I$1&amp;""[\w &amp;]*, (\d+\.\d+)"")),"""")
"),19)</f>
        <v>19</v>
      </c>
      <c r="J130" s="3" t="n">
        <f aca="false">IFERROR(__xludf.dummyfunction("if($T130&lt;&gt;"""",VALUE(REGEXEXTRACT($T130, J$1&amp;""[\w &amp;]*, (\d+\.\d+)"")),"""")
"),19)</f>
        <v>19</v>
      </c>
      <c r="K130" s="3" t="n">
        <f aca="false">IFERROR(__xludf.dummyfunction("if($T130&lt;&gt;"""",VALUE(REGEXEXTRACT($T130, K$1&amp;""[\w &amp;]*, (\d+\.\d+)"")),"""")
"),14)</f>
        <v>14</v>
      </c>
      <c r="L130" s="3" t="n">
        <f aca="false">IFERROR(__xludf.dummyfunction("if($T130&lt;&gt;"""",VALUE(REGEXEXTRACT(SUBSTITUTE ($T130,L$1&amp;"" CE"",""""), L$1&amp;""[\w &amp;]*, (\d+\.\d+)"")),"""")
"),18)</f>
        <v>18</v>
      </c>
      <c r="M130" s="3" t="n">
        <f aca="false">IFERROR(__xludf.dummyfunction("if($T130&lt;&gt;"""",VALUE(REGEXEXTRACT($T130, M$1&amp;""[\w &amp;]*, (\d+\.\d+)"")),"""")
"),19)</f>
        <v>19</v>
      </c>
      <c r="N130" s="3" t="n">
        <f aca="false">IFERROR(__xludf.dummyfunction("if($T130&lt;&gt;"""",VALUE(REGEXEXTRACT(SUBSTITUTE ($T130,N$1&amp;"" CE"",""""), N$1&amp;""[\w &amp;]*, (\d+\.\d+)"")),"""")
"),19)</f>
        <v>19</v>
      </c>
      <c r="O130" s="3" t="n">
        <f aca="false">IFERROR(__xludf.dummyfunction("if($T130&lt;&gt;"""",VALUE(REGEXEXTRACT($T130, O$1&amp;""[\w &amp;]*, (\d+\.\d+)"")),"""")
"),20)</f>
        <v>20</v>
      </c>
      <c r="P130" s="2" t="n">
        <f aca="false">IFERROR(__xludf.dummyfunction("if($T130&lt;&gt;"""",VALUE(REGEXEXTRACT($T130, P$1&amp;""[\w &amp;]*, (\d+\.\d+)"")),"""")
"),17.02)</f>
        <v>17.02</v>
      </c>
      <c r="Q130" s="2" t="n">
        <f aca="false">IFERROR(__xludf.dummyfunction("if($T130&lt;&gt;"""",VALUE(REGEXEXTRACT($T130, Q$1&amp;""[\w &amp;]*, (\d+\.\d+)"")),"""")
"),15.96)</f>
        <v>15.96</v>
      </c>
      <c r="R130" s="2" t="n">
        <f aca="false">IFERROR(__xludf.dummyfunction("if($T130&lt;&gt;"""",VALUE(REGEXEXTRACT($T130, SUBSTITUTE(R$1, ""+"", ""\+"")&amp;""[\w &amp;]*, (\d+\.\d+)"")),"""")"),22.14)</f>
        <v>22.14</v>
      </c>
      <c r="S130" s="2" t="n">
        <f aca="false">IFERROR(__xludf.dummyfunction("if($T130&lt;&gt;"""",VALUE(REGEXEXTRACT($T130, SUBSTITUTE(S$1, ""+"", ""\+"")&amp;""[\w &amp;]*, (\d+\.\d+)"")),"""")"),23.2)</f>
        <v>23.2</v>
      </c>
      <c r="T130" s="5" t="s">
        <v>339</v>
      </c>
    </row>
    <row r="131" customFormat="false" ht="15.75" hidden="false" customHeight="false" outlineLevel="0" collapsed="false">
      <c r="A131" s="4" t="n">
        <f aca="false">IFERROR(__xludf.dummyfunction("""COMPUTED_VALUE"""),45586.6361111111)</f>
        <v>45586.6361111111</v>
      </c>
      <c r="B131" s="2" t="n">
        <f aca="false">IFERROR(__xludf.dummyfunction("""COMPUTED_VALUE"""),18.78)</f>
        <v>18.78</v>
      </c>
      <c r="C131" s="2" t="n">
        <f aca="false">IFERROR(__xludf.dummyfunction("""COMPUTED_VALUE"""),19.34)</f>
        <v>19.34</v>
      </c>
      <c r="D131" s="2" t="n">
        <f aca="false">IFERROR(__xludf.dummyfunction("""COMPUTED_VALUE"""),18.36)</f>
        <v>18.36</v>
      </c>
      <c r="E131" s="2" t="n">
        <f aca="false">IFERROR(__xludf.dummyfunction("""COMPUTED_VALUE"""),18.37)</f>
        <v>18.37</v>
      </c>
      <c r="F131" s="3" t="n">
        <f aca="false">IFERROR(__xludf.dummyfunction("if($T131&lt;&gt;"""",VALUE(REGEXEXTRACT(SUBSTITUTE ($T131,F$1&amp;"" CE"",""""), F$1&amp;""[\w &amp;]*, (\d+\.\d+)"")),"""")
"),20)</f>
        <v>20</v>
      </c>
      <c r="G131" s="3" t="n">
        <f aca="false">IFERROR(__xludf.dummyfunction("if($T131&lt;&gt;"""",VALUE(REGEXEXTRACT($T131, G$1&amp;""[\w &amp;]*, (\d+\.\d+)"")),"""")
"),20)</f>
        <v>20</v>
      </c>
      <c r="H131" s="3" t="n">
        <f aca="false">IFERROR(__xludf.dummyfunction("if($T131&lt;&gt;"""",VALUE(REGEXEXTRACT($T131, H$1&amp;""[\w &amp;]*, (\d+\.\d+)"")),"""")
"),22)</f>
        <v>22</v>
      </c>
      <c r="I131" s="3" t="n">
        <f aca="false">IFERROR(__xludf.dummyfunction("if($T131&lt;&gt;"""",VALUE(REGEXEXTRACT(SUBSTITUTE ($T131,I$1&amp;"" CE"",""""), I$1&amp;""[\w &amp;]*, (\d+\.\d+)"")),"""")
"),19)</f>
        <v>19</v>
      </c>
      <c r="J131" s="3" t="n">
        <f aca="false">IFERROR(__xludf.dummyfunction("if($T131&lt;&gt;"""",VALUE(REGEXEXTRACT($T131, J$1&amp;""[\w &amp;]*, (\d+\.\d+)"")),"""")
"),19)</f>
        <v>19</v>
      </c>
      <c r="K131" s="3" t="n">
        <f aca="false">IFERROR(__xludf.dummyfunction("if($T131&lt;&gt;"""",VALUE(REGEXEXTRACT($T131, K$1&amp;""[\w &amp;]*, (\d+\.\d+)"")),"""")
"),14)</f>
        <v>14</v>
      </c>
      <c r="L131" s="3" t="n">
        <f aca="false">IFERROR(__xludf.dummyfunction("if($T131&lt;&gt;"""",VALUE(REGEXEXTRACT(SUBSTITUTE ($T131,L$1&amp;"" CE"",""""), L$1&amp;""[\w &amp;]*, (\d+\.\d+)"")),"""")
"),18)</f>
        <v>18</v>
      </c>
      <c r="M131" s="3" t="n">
        <f aca="false">IFERROR(__xludf.dummyfunction("if($T131&lt;&gt;"""",VALUE(REGEXEXTRACT($T131, M$1&amp;""[\w &amp;]*, (\d+\.\d+)"")),"""")
"),19)</f>
        <v>19</v>
      </c>
      <c r="N131" s="3" t="n">
        <f aca="false">IFERROR(__xludf.dummyfunction("if($T131&lt;&gt;"""",VALUE(REGEXEXTRACT(SUBSTITUTE ($T131,N$1&amp;"" CE"",""""), N$1&amp;""[\w &amp;]*, (\d+\.\d+)"")),"""")
"),19)</f>
        <v>19</v>
      </c>
      <c r="O131" s="3" t="n">
        <f aca="false">IFERROR(__xludf.dummyfunction("if($T131&lt;&gt;"""",VALUE(REGEXEXTRACT($T131, O$1&amp;""[\w &amp;]*, (\d+\.\d+)"")),"""")
"),19)</f>
        <v>19</v>
      </c>
      <c r="P131" s="2" t="n">
        <f aca="false">IFERROR(__xludf.dummyfunction("if($T131&lt;&gt;"""",VALUE(REGEXEXTRACT($T131, P$1&amp;""[\w &amp;]*, (\d+\.\d+)"")),"""")
"),16.93)</f>
        <v>16.93</v>
      </c>
      <c r="Q131" s="2" t="n">
        <f aca="false">IFERROR(__xludf.dummyfunction("if($T131&lt;&gt;"""",VALUE(REGEXEXTRACT($T131, Q$1&amp;""[\w &amp;]*, (\d+\.\d+)"")),"""")
"),15.91)</f>
        <v>15.91</v>
      </c>
      <c r="R131" s="2" t="n">
        <f aca="false">IFERROR(__xludf.dummyfunction("if($T131&lt;&gt;"""",VALUE(REGEXEXTRACT($T131, SUBSTITUTE(R$1, ""+"", ""\+"")&amp;""[\w &amp;]*, (\d+\.\d+)"")),"""")"),21.29)</f>
        <v>21.29</v>
      </c>
      <c r="S131" s="2" t="n">
        <f aca="false">IFERROR(__xludf.dummyfunction("if($T131&lt;&gt;"""",VALUE(REGEXEXTRACT($T131, SUBSTITUTE(S$1, ""+"", ""\+"")&amp;""[\w &amp;]*, (\d+\.\d+)"")),"""")"),22.31)</f>
        <v>22.31</v>
      </c>
      <c r="T131" s="5" t="s">
        <v>340</v>
      </c>
    </row>
    <row r="132" customFormat="false" ht="15.75" hidden="false" customHeight="false" outlineLevel="0" collapsed="false">
      <c r="A132" s="4" t="n">
        <f aca="false">IFERROR(__xludf.dummyfunction("""COMPUTED_VALUE"""),45587.6361111111)</f>
        <v>45587.6361111111</v>
      </c>
      <c r="B132" s="2" t="n">
        <f aca="false">IFERROR(__xludf.dummyfunction("""COMPUTED_VALUE"""),19.32)</f>
        <v>19.32</v>
      </c>
      <c r="C132" s="2" t="n">
        <f aca="false">IFERROR(__xludf.dummyfunction("""COMPUTED_VALUE"""),19.44)</f>
        <v>19.44</v>
      </c>
      <c r="D132" s="2" t="n">
        <f aca="false">IFERROR(__xludf.dummyfunction("""COMPUTED_VALUE"""),18.05)</f>
        <v>18.05</v>
      </c>
      <c r="E132" s="2" t="n">
        <f aca="false">IFERROR(__xludf.dummyfunction("""COMPUTED_VALUE"""),18.2)</f>
        <v>18.2</v>
      </c>
      <c r="F132" s="3" t="n">
        <f aca="false">IFERROR(__xludf.dummyfunction("if($T132&lt;&gt;"""",VALUE(REGEXEXTRACT(SUBSTITUTE ($T132,F$1&amp;"" CE"",""""), F$1&amp;""[\w &amp;]*, (\d+\.\d+)"")),"""")
"),20)</f>
        <v>20</v>
      </c>
      <c r="G132" s="3" t="n">
        <f aca="false">IFERROR(__xludf.dummyfunction("if($T132&lt;&gt;"""",VALUE(REGEXEXTRACT($T132, G$1&amp;""[\w &amp;]*, (\d+\.\d+)"")),"""")
"),20)</f>
        <v>20</v>
      </c>
      <c r="H132" s="3" t="n">
        <f aca="false">IFERROR(__xludf.dummyfunction("if($T132&lt;&gt;"""",VALUE(REGEXEXTRACT($T132, H$1&amp;""[\w &amp;]*, (\d+\.\d+)"")),"""")
"),22)</f>
        <v>22</v>
      </c>
      <c r="I132" s="3" t="n">
        <f aca="false">IFERROR(__xludf.dummyfunction("if($T132&lt;&gt;"""",VALUE(REGEXEXTRACT(SUBSTITUTE ($T132,I$1&amp;"" CE"",""""), I$1&amp;""[\w &amp;]*, (\d+\.\d+)"")),"""")
"),19)</f>
        <v>19</v>
      </c>
      <c r="J132" s="3" t="n">
        <f aca="false">IFERROR(__xludf.dummyfunction("if($T132&lt;&gt;"""",VALUE(REGEXEXTRACT($T132, J$1&amp;""[\w &amp;]*, (\d+\.\d+)"")),"""")
"),19)</f>
        <v>19</v>
      </c>
      <c r="K132" s="3" t="n">
        <f aca="false">IFERROR(__xludf.dummyfunction("if($T132&lt;&gt;"""",VALUE(REGEXEXTRACT($T132, K$1&amp;""[\w &amp;]*, (\d+\.\d+)"")),"""")
"),14)</f>
        <v>14</v>
      </c>
      <c r="L132" s="3" t="n">
        <f aca="false">IFERROR(__xludf.dummyfunction("if($T132&lt;&gt;"""",VALUE(REGEXEXTRACT(SUBSTITUTE ($T132,L$1&amp;"" CE"",""""), L$1&amp;""[\w &amp;]*, (\d+\.\d+)"")),"""")
"),18)</f>
        <v>18</v>
      </c>
      <c r="M132" s="3" t="n">
        <f aca="false">IFERROR(__xludf.dummyfunction("if($T132&lt;&gt;"""",VALUE(REGEXEXTRACT($T132, M$1&amp;""[\w &amp;]*, (\d+\.\d+)"")),"""")
"),19)</f>
        <v>19</v>
      </c>
      <c r="N132" s="3" t="n">
        <f aca="false">IFERROR(__xludf.dummyfunction("if($T132&lt;&gt;"""",VALUE(REGEXEXTRACT(SUBSTITUTE ($T132,N$1&amp;"" CE"",""""), N$1&amp;""[\w &amp;]*, (\d+\.\d+)"")),"""")
"),19)</f>
        <v>19</v>
      </c>
      <c r="O132" s="3" t="n">
        <f aca="false">IFERROR(__xludf.dummyfunction("if($T132&lt;&gt;"""",VALUE(REGEXEXTRACT($T132, O$1&amp;""[\w &amp;]*, (\d+\.\d+)"")),"""")
"),20)</f>
        <v>20</v>
      </c>
      <c r="P132" s="2" t="n">
        <f aca="false">IFERROR(__xludf.dummyfunction("if($T132&lt;&gt;"""",VALUE(REGEXEXTRACT($T132, P$1&amp;""[\w &amp;]*, (\d+\.\d+)"")),"""")
"),16.54)</f>
        <v>16.54</v>
      </c>
      <c r="Q132" s="2" t="n">
        <f aca="false">IFERROR(__xludf.dummyfunction("if($T132&lt;&gt;"""",VALUE(REGEXEXTRACT($T132, Q$1&amp;""[\w &amp;]*, (\d+\.\d+)"")),"""")
"),15.31)</f>
        <v>15.31</v>
      </c>
      <c r="R132" s="2" t="n">
        <f aca="false">IFERROR(__xludf.dummyfunction("if($T132&lt;&gt;"""",VALUE(REGEXEXTRACT($T132, SUBSTITUTE(R$1, ""+"", ""\+"")&amp;""[\w &amp;]*, (\d+\.\d+)"")),"""")"),19.52)</f>
        <v>19.52</v>
      </c>
      <c r="S132" s="2" t="n">
        <f aca="false">IFERROR(__xludf.dummyfunction("if($T132&lt;&gt;"""",VALUE(REGEXEXTRACT($T132, SUBSTITUTE(S$1, ""+"", ""\+"")&amp;""[\w &amp;]*, (\d+\.\d+)"")),"""")"),20.75)</f>
        <v>20.75</v>
      </c>
      <c r="T132" s="5" t="s">
        <v>341</v>
      </c>
    </row>
    <row r="133" customFormat="false" ht="15.75" hidden="false" customHeight="false" outlineLevel="0" collapsed="false">
      <c r="A133" s="4" t="n">
        <f aca="false">IFERROR(__xludf.dummyfunction("""COMPUTED_VALUE"""),45588.6361111111)</f>
        <v>45588.6361111111</v>
      </c>
      <c r="B133" s="2" t="n">
        <f aca="false">IFERROR(__xludf.dummyfunction("""COMPUTED_VALUE"""),18.56)</f>
        <v>18.56</v>
      </c>
      <c r="C133" s="2" t="n">
        <f aca="false">IFERROR(__xludf.dummyfunction("""COMPUTED_VALUE"""),20.47)</f>
        <v>20.47</v>
      </c>
      <c r="D133" s="2" t="n">
        <f aca="false">IFERROR(__xludf.dummyfunction("""COMPUTED_VALUE"""),18.56)</f>
        <v>18.56</v>
      </c>
      <c r="E133" s="2" t="n">
        <f aca="false">IFERROR(__xludf.dummyfunction("""COMPUTED_VALUE"""),19.24)</f>
        <v>19.24</v>
      </c>
      <c r="F133" s="3" t="n">
        <f aca="false">IFERROR(__xludf.dummyfunction("if($T133&lt;&gt;"""",VALUE(REGEXEXTRACT(SUBSTITUTE ($T133,F$1&amp;"" CE"",""""), F$1&amp;""[\w &amp;]*, (\d+\.\d+)"")),"""")
"),20)</f>
        <v>20</v>
      </c>
      <c r="G133" s="3" t="n">
        <f aca="false">IFERROR(__xludf.dummyfunction("if($T133&lt;&gt;"""",VALUE(REGEXEXTRACT($T133, G$1&amp;""[\w &amp;]*, (\d+\.\d+)"")),"""")
"),20)</f>
        <v>20</v>
      </c>
      <c r="H133" s="3" t="n">
        <f aca="false">IFERROR(__xludf.dummyfunction("if($T133&lt;&gt;"""",VALUE(REGEXEXTRACT($T133, H$1&amp;""[\w &amp;]*, (\d+\.\d+)"")),"""")
"),22)</f>
        <v>22</v>
      </c>
      <c r="I133" s="3" t="n">
        <f aca="false">IFERROR(__xludf.dummyfunction("if($T133&lt;&gt;"""",VALUE(REGEXEXTRACT(SUBSTITUTE ($T133,I$1&amp;"" CE"",""""), I$1&amp;""[\w &amp;]*, (\d+\.\d+)"")),"""")
"),19)</f>
        <v>19</v>
      </c>
      <c r="J133" s="3" t="n">
        <f aca="false">IFERROR(__xludf.dummyfunction("if($T133&lt;&gt;"""",VALUE(REGEXEXTRACT($T133, J$1&amp;""[\w &amp;]*, (\d+\.\d+)"")),"""")
"),18)</f>
        <v>18</v>
      </c>
      <c r="K133" s="3" t="n">
        <f aca="false">IFERROR(__xludf.dummyfunction("if($T133&lt;&gt;"""",VALUE(REGEXEXTRACT($T133, K$1&amp;""[\w &amp;]*, (\d+\.\d+)"")),"""")
"),14)</f>
        <v>14</v>
      </c>
      <c r="L133" s="3" t="n">
        <f aca="false">IFERROR(__xludf.dummyfunction("if($T133&lt;&gt;"""",VALUE(REGEXEXTRACT(SUBSTITUTE ($T133,L$1&amp;"" CE"",""""), L$1&amp;""[\w &amp;]*, (\d+\.\d+)"")),"""")
"),18)</f>
        <v>18</v>
      </c>
      <c r="M133" s="3" t="n">
        <f aca="false">IFERROR(__xludf.dummyfunction("if($T133&lt;&gt;"""",VALUE(REGEXEXTRACT($T133, M$1&amp;""[\w &amp;]*, (\d+\.\d+)"")),"""")
"),19)</f>
        <v>19</v>
      </c>
      <c r="N133" s="3" t="n">
        <f aca="false">IFERROR(__xludf.dummyfunction("if($T133&lt;&gt;"""",VALUE(REGEXEXTRACT(SUBSTITUTE ($T133,N$1&amp;"" CE"",""""), N$1&amp;""[\w &amp;]*, (\d+\.\d+)"")),"""")
"),19)</f>
        <v>19</v>
      </c>
      <c r="O133" s="3" t="n">
        <f aca="false">IFERROR(__xludf.dummyfunction("if($T133&lt;&gt;"""",VALUE(REGEXEXTRACT($T133, O$1&amp;""[\w &amp;]*, (\d+\.\d+)"")),"""")
"),18)</f>
        <v>18</v>
      </c>
      <c r="P133" s="2" t="n">
        <f aca="false">IFERROR(__xludf.dummyfunction("if($T133&lt;&gt;"""",VALUE(REGEXEXTRACT($T133, P$1&amp;""[\w &amp;]*, (\d+\.\d+)"")),"""")
"),16.95)</f>
        <v>16.95</v>
      </c>
      <c r="Q133" s="2" t="n">
        <f aca="false">IFERROR(__xludf.dummyfunction("if($T133&lt;&gt;"""",VALUE(REGEXEXTRACT($T133, Q$1&amp;""[\w &amp;]*, (\d+\.\d+)"")),"""")
"),15.35)</f>
        <v>15.35</v>
      </c>
      <c r="R133" s="2" t="n">
        <f aca="false">IFERROR(__xludf.dummyfunction("if($T133&lt;&gt;"""",VALUE(REGEXEXTRACT($T133, SUBSTITUTE(R$1, ""+"", ""\+"")&amp;""[\w &amp;]*, (\d+\.\d+)"")),"""")"),19.79)</f>
        <v>19.79</v>
      </c>
      <c r="S133" s="2" t="n">
        <f aca="false">IFERROR(__xludf.dummyfunction("if($T133&lt;&gt;"""",VALUE(REGEXEXTRACT($T133, SUBSTITUTE(S$1, ""+"", ""\+"")&amp;""[\w &amp;]*, (\d+\.\d+)"")),"""")"),21.39)</f>
        <v>21.39</v>
      </c>
      <c r="T133" s="5" t="s">
        <v>342</v>
      </c>
    </row>
    <row r="134" customFormat="false" ht="15.75" hidden="false" customHeight="false" outlineLevel="0" collapsed="false">
      <c r="A134" s="4" t="n">
        <f aca="false">IFERROR(__xludf.dummyfunction("""COMPUTED_VALUE"""),45589.6361111111)</f>
        <v>45589.6361111111</v>
      </c>
      <c r="B134" s="2" t="n">
        <f aca="false">IFERROR(__xludf.dummyfunction("""COMPUTED_VALUE"""),18.74)</f>
        <v>18.74</v>
      </c>
      <c r="C134" s="2" t="n">
        <f aca="false">IFERROR(__xludf.dummyfunction("""COMPUTED_VALUE"""),20.24)</f>
        <v>20.24</v>
      </c>
      <c r="D134" s="2" t="n">
        <f aca="false">IFERROR(__xludf.dummyfunction("""COMPUTED_VALUE"""),18.74)</f>
        <v>18.74</v>
      </c>
      <c r="E134" s="2" t="n">
        <f aca="false">IFERROR(__xludf.dummyfunction("""COMPUTED_VALUE"""),19.08)</f>
        <v>19.08</v>
      </c>
      <c r="F134" s="3" t="n">
        <f aca="false">IFERROR(__xludf.dummyfunction("if($T134&lt;&gt;"""",VALUE(REGEXEXTRACT(SUBSTITUTE ($T134,F$1&amp;"" CE"",""""), F$1&amp;""[\w &amp;]*, (\d+\.\d+)"")),"""")
"),19)</f>
        <v>19</v>
      </c>
      <c r="G134" s="3" t="n">
        <f aca="false">IFERROR(__xludf.dummyfunction("if($T134&lt;&gt;"""",VALUE(REGEXEXTRACT($T134, G$1&amp;""[\w &amp;]*, (\d+\.\d+)"")),"""")
"),20)</f>
        <v>20</v>
      </c>
      <c r="H134" s="3" t="n">
        <f aca="false">IFERROR(__xludf.dummyfunction("if($T134&lt;&gt;"""",VALUE(REGEXEXTRACT($T134, H$1&amp;""[\w &amp;]*, (\d+\.\d+)"")),"""")
"),25)</f>
        <v>25</v>
      </c>
      <c r="I134" s="3" t="n">
        <f aca="false">IFERROR(__xludf.dummyfunction("if($T134&lt;&gt;"""",VALUE(REGEXEXTRACT(SUBSTITUTE ($T134,I$1&amp;"" CE"",""""), I$1&amp;""[\w &amp;]*, (\d+\.\d+)"")),"""")
"),19)</f>
        <v>19</v>
      </c>
      <c r="J134" s="3" t="n">
        <f aca="false">IFERROR(__xludf.dummyfunction("if($T134&lt;&gt;"""",VALUE(REGEXEXTRACT($T134, J$1&amp;""[\w &amp;]*, (\d+\.\d+)"")),"""")
"),18)</f>
        <v>18</v>
      </c>
      <c r="K134" s="3" t="n">
        <f aca="false">IFERROR(__xludf.dummyfunction("if($T134&lt;&gt;"""",VALUE(REGEXEXTRACT($T134, K$1&amp;""[\w &amp;]*, (\d+\.\d+)"")),"""")
"),14)</f>
        <v>14</v>
      </c>
      <c r="L134" s="3" t="n">
        <f aca="false">IFERROR(__xludf.dummyfunction("if($T134&lt;&gt;"""",VALUE(REGEXEXTRACT(SUBSTITUTE ($T134,L$1&amp;"" CE"",""""), L$1&amp;""[\w &amp;]*, (\d+\.\d+)"")),"""")
"),18)</f>
        <v>18</v>
      </c>
      <c r="M134" s="3" t="n">
        <f aca="false">IFERROR(__xludf.dummyfunction("if($T134&lt;&gt;"""",VALUE(REGEXEXTRACT($T134, M$1&amp;""[\w &amp;]*, (\d+\.\d+)"")),"""")
"),19)</f>
        <v>19</v>
      </c>
      <c r="N134" s="3" t="n">
        <f aca="false">IFERROR(__xludf.dummyfunction("if($T134&lt;&gt;"""",VALUE(REGEXEXTRACT(SUBSTITUTE ($T134,N$1&amp;"" CE"",""""), N$1&amp;""[\w &amp;]*, (\d+\.\d+)"")),"""")
"),19)</f>
        <v>19</v>
      </c>
      <c r="O134" s="3" t="n">
        <f aca="false">IFERROR(__xludf.dummyfunction("if($T134&lt;&gt;"""",VALUE(REGEXEXTRACT($T134, O$1&amp;""[\w &amp;]*, (\d+\.\d+)"")),"""")
"),18)</f>
        <v>18</v>
      </c>
      <c r="P134" s="2" t="n">
        <f aca="false">IFERROR(__xludf.dummyfunction("if($T134&lt;&gt;"""",VALUE(REGEXEXTRACT($T134, P$1&amp;""[\w &amp;]*, (\d+\.\d+)"")),"""")
"),17.48)</f>
        <v>17.48</v>
      </c>
      <c r="Q134" s="2" t="n">
        <f aca="false">IFERROR(__xludf.dummyfunction("if($T134&lt;&gt;"""",VALUE(REGEXEXTRACT($T134, Q$1&amp;""[\w &amp;]*, (\d+\.\d+)"")),"""")
"),16.17)</f>
        <v>16.17</v>
      </c>
      <c r="R134" s="2" t="n">
        <f aca="false">IFERROR(__xludf.dummyfunction("if($T134&lt;&gt;"""",VALUE(REGEXEXTRACT($T134, SUBSTITUTE(R$1, ""+"", ""\+"")&amp;""[\w &amp;]*, (\d+\.\d+)"")),"""")"),18.92)</f>
        <v>18.92</v>
      </c>
      <c r="S134" s="2" t="n">
        <f aca="false">IFERROR(__xludf.dummyfunction("if($T134&lt;&gt;"""",VALUE(REGEXEXTRACT($T134, SUBSTITUTE(S$1, ""+"", ""\+"")&amp;""[\w &amp;]*, (\d+\.\d+)"")),"""")"),20.23)</f>
        <v>20.23</v>
      </c>
      <c r="T134" s="5" t="s">
        <v>343</v>
      </c>
    </row>
    <row r="135" customFormat="false" ht="15.75" hidden="false" customHeight="false" outlineLevel="0" collapsed="false">
      <c r="A135" s="4" t="n">
        <f aca="false">IFERROR(__xludf.dummyfunction("""COMPUTED_VALUE"""),45590.6361111111)</f>
        <v>45590.6361111111</v>
      </c>
      <c r="B135" s="2" t="n">
        <f aca="false">IFERROR(__xludf.dummyfunction("""COMPUTED_VALUE"""),18.99)</f>
        <v>18.99</v>
      </c>
      <c r="C135" s="2" t="n">
        <f aca="false">IFERROR(__xludf.dummyfunction("""COMPUTED_VALUE"""),20.51)</f>
        <v>20.51</v>
      </c>
      <c r="D135" s="2" t="n">
        <f aca="false">IFERROR(__xludf.dummyfunction("""COMPUTED_VALUE"""),18.23)</f>
        <v>18.23</v>
      </c>
      <c r="E135" s="2" t="n">
        <f aca="false">IFERROR(__xludf.dummyfunction("""COMPUTED_VALUE"""),20.33)</f>
        <v>20.33</v>
      </c>
      <c r="F135" s="3" t="n">
        <f aca="false">IFERROR(__xludf.dummyfunction("if($T135&lt;&gt;"""",VALUE(REGEXEXTRACT(SUBSTITUTE ($T135,F$1&amp;"" CE"",""""), F$1&amp;""[\w &amp;]*, (\d+\.\d+)"")),"""")
"),19)</f>
        <v>19</v>
      </c>
      <c r="G135" s="3" t="n">
        <f aca="false">IFERROR(__xludf.dummyfunction("if($T135&lt;&gt;"""",VALUE(REGEXEXTRACT($T135, G$1&amp;""[\w &amp;]*, (\d+\.\d+)"")),"""")
"),20)</f>
        <v>20</v>
      </c>
      <c r="H135" s="3" t="n">
        <f aca="false">IFERROR(__xludf.dummyfunction("if($T135&lt;&gt;"""",VALUE(REGEXEXTRACT($T135, H$1&amp;""[\w &amp;]*, (\d+\.\d+)"")),"""")
"),25)</f>
        <v>25</v>
      </c>
      <c r="I135" s="3" t="n">
        <f aca="false">IFERROR(__xludf.dummyfunction("if($T135&lt;&gt;"""",VALUE(REGEXEXTRACT(SUBSTITUTE ($T135,I$1&amp;"" CE"",""""), I$1&amp;""[\w &amp;]*, (\d+\.\d+)"")),"""")
"),19)</f>
        <v>19</v>
      </c>
      <c r="J135" s="3" t="n">
        <f aca="false">IFERROR(__xludf.dummyfunction("if($T135&lt;&gt;"""",VALUE(REGEXEXTRACT($T135, J$1&amp;""[\w &amp;]*, (\d+\.\d+)"")),"""")
"),18)</f>
        <v>18</v>
      </c>
      <c r="K135" s="3" t="n">
        <f aca="false">IFERROR(__xludf.dummyfunction("if($T135&lt;&gt;"""",VALUE(REGEXEXTRACT($T135, K$1&amp;""[\w &amp;]*, (\d+\.\d+)"")),"""")
"),14)</f>
        <v>14</v>
      </c>
      <c r="L135" s="3" t="n">
        <f aca="false">IFERROR(__xludf.dummyfunction("if($T135&lt;&gt;"""",VALUE(REGEXEXTRACT(SUBSTITUTE ($T135,L$1&amp;"" CE"",""""), L$1&amp;""[\w &amp;]*, (\d+\.\d+)"")),"""")
"),18)</f>
        <v>18</v>
      </c>
      <c r="M135" s="3" t="n">
        <f aca="false">IFERROR(__xludf.dummyfunction("if($T135&lt;&gt;"""",VALUE(REGEXEXTRACT($T135, M$1&amp;""[\w &amp;]*, (\d+\.\d+)"")),"""")
"),18)</f>
        <v>18</v>
      </c>
      <c r="N135" s="3" t="n">
        <f aca="false">IFERROR(__xludf.dummyfunction("if($T135&lt;&gt;"""",VALUE(REGEXEXTRACT(SUBSTITUTE ($T135,N$1&amp;"" CE"",""""), N$1&amp;""[\w &amp;]*, (\d+\.\d+)"")),"""")
"),19)</f>
        <v>19</v>
      </c>
      <c r="O135" s="3" t="n">
        <f aca="false">IFERROR(__xludf.dummyfunction("if($T135&lt;&gt;"""",VALUE(REGEXEXTRACT($T135, O$1&amp;""[\w &amp;]*, (\d+\.\d+)"")),"""")
"),18)</f>
        <v>18</v>
      </c>
      <c r="P135" s="2" t="n">
        <f aca="false">IFERROR(__xludf.dummyfunction("if($T135&lt;&gt;"""",VALUE(REGEXEXTRACT($T135, P$1&amp;""[\w &amp;]*, (\d+\.\d+)"")),"""")
"),16.76)</f>
        <v>16.76</v>
      </c>
      <c r="Q135" s="2" t="n">
        <f aca="false">IFERROR(__xludf.dummyfunction("if($T135&lt;&gt;"""",VALUE(REGEXEXTRACT($T135, Q$1&amp;""[\w &amp;]*, (\d+\.\d+)"")),"""")
"),15.74)</f>
        <v>15.74</v>
      </c>
      <c r="R135" s="2" t="n">
        <f aca="false">IFERROR(__xludf.dummyfunction("if($T135&lt;&gt;"""",VALUE(REGEXEXTRACT($T135, SUBSTITUTE(R$1, ""+"", ""\+"")&amp;""[\w &amp;]*, (\d+\.\d+)"")),"""")"),21.72)</f>
        <v>21.72</v>
      </c>
      <c r="S135" s="2" t="n">
        <f aca="false">IFERROR(__xludf.dummyfunction("if($T135&lt;&gt;"""",VALUE(REGEXEXTRACT($T135, SUBSTITUTE(S$1, ""+"", ""\+"")&amp;""[\w &amp;]*, (\d+\.\d+)"")),"""")"),22.74)</f>
        <v>22.74</v>
      </c>
      <c r="T135" s="5" t="s">
        <v>344</v>
      </c>
    </row>
    <row r="136" customFormat="false" ht="15.75" hidden="false" customHeight="false" outlineLevel="0" collapsed="false">
      <c r="A136" s="4" t="n">
        <f aca="false">IFERROR(__xludf.dummyfunction("""COMPUTED_VALUE"""),45593.6361111111)</f>
        <v>45593.6361111111</v>
      </c>
      <c r="B136" s="2" t="n">
        <f aca="false">IFERROR(__xludf.dummyfunction("""COMPUTED_VALUE"""),19.11)</f>
        <v>19.11</v>
      </c>
      <c r="C136" s="2" t="n">
        <f aca="false">IFERROR(__xludf.dummyfunction("""COMPUTED_VALUE"""),19.88)</f>
        <v>19.88</v>
      </c>
      <c r="D136" s="2" t="n">
        <f aca="false">IFERROR(__xludf.dummyfunction("""COMPUTED_VALUE"""),18.91)</f>
        <v>18.91</v>
      </c>
      <c r="E136" s="2" t="n">
        <f aca="false">IFERROR(__xludf.dummyfunction("""COMPUTED_VALUE"""),19.8)</f>
        <v>19.8</v>
      </c>
      <c r="F136" s="3" t="n">
        <f aca="false">IFERROR(__xludf.dummyfunction("if($T136&lt;&gt;"""",VALUE(REGEXEXTRACT(SUBSTITUTE ($T136,F$1&amp;"" CE"",""""), F$1&amp;""[\w &amp;]*, (\d+\.\d+)"")),"""")
"),20)</f>
        <v>20</v>
      </c>
      <c r="G136" s="3" t="n">
        <f aca="false">IFERROR(__xludf.dummyfunction("if($T136&lt;&gt;"""",VALUE(REGEXEXTRACT($T136, G$1&amp;""[\w &amp;]*, (\d+\.\d+)"")),"""")
"),20)</f>
        <v>20</v>
      </c>
      <c r="H136" s="3" t="n">
        <f aca="false">IFERROR(__xludf.dummyfunction("if($T136&lt;&gt;"""",VALUE(REGEXEXTRACT($T136, H$1&amp;""[\w &amp;]*, (\d+\.\d+)"")),"""")
"),25)</f>
        <v>25</v>
      </c>
      <c r="I136" s="3" t="n">
        <f aca="false">IFERROR(__xludf.dummyfunction("if($T136&lt;&gt;"""",VALUE(REGEXEXTRACT(SUBSTITUTE ($T136,I$1&amp;"" CE"",""""), I$1&amp;""[\w &amp;]*, (\d+\.\d+)"")),"""")
"),19)</f>
        <v>19</v>
      </c>
      <c r="J136" s="3" t="n">
        <f aca="false">IFERROR(__xludf.dummyfunction("if($T136&lt;&gt;"""",VALUE(REGEXEXTRACT($T136, J$1&amp;""[\w &amp;]*, (\d+\.\d+)"")),"""")
"),18)</f>
        <v>18</v>
      </c>
      <c r="K136" s="3" t="n">
        <f aca="false">IFERROR(__xludf.dummyfunction("if($T136&lt;&gt;"""",VALUE(REGEXEXTRACT($T136, K$1&amp;""[\w &amp;]*, (\d+\.\d+)"")),"""")
"),14)</f>
        <v>14</v>
      </c>
      <c r="L136" s="3" t="n">
        <f aca="false">IFERROR(__xludf.dummyfunction("if($T136&lt;&gt;"""",VALUE(REGEXEXTRACT(SUBSTITUTE ($T136,L$1&amp;"" CE"",""""), L$1&amp;""[\w &amp;]*, (\d+\.\d+)"")),"""")
"),18)</f>
        <v>18</v>
      </c>
      <c r="M136" s="3" t="n">
        <f aca="false">IFERROR(__xludf.dummyfunction("if($T136&lt;&gt;"""",VALUE(REGEXEXTRACT($T136, M$1&amp;""[\w &amp;]*, (\d+\.\d+)"")),"""")
"),19)</f>
        <v>19</v>
      </c>
      <c r="N136" s="3" t="n">
        <f aca="false">IFERROR(__xludf.dummyfunction("if($T136&lt;&gt;"""",VALUE(REGEXEXTRACT(SUBSTITUTE ($T136,N$1&amp;"" CE"",""""), N$1&amp;""[\w &amp;]*, (\d+\.\d+)"")),"""")
"),19)</f>
        <v>19</v>
      </c>
      <c r="O136" s="3" t="n">
        <f aca="false">IFERROR(__xludf.dummyfunction("if($T136&lt;&gt;"""",VALUE(REGEXEXTRACT($T136, O$1&amp;""[\w &amp;]*, (\d+\.\d+)"")),"""")
"),18)</f>
        <v>18</v>
      </c>
      <c r="P136" s="2" t="n">
        <f aca="false">IFERROR(__xludf.dummyfunction("if($T136&lt;&gt;"""",VALUE(REGEXEXTRACT($T136, P$1&amp;""[\w &amp;]*, (\d+\.\d+)"")),"""")
"),16.71)</f>
        <v>16.71</v>
      </c>
      <c r="Q136" s="2" t="n">
        <f aca="false">IFERROR(__xludf.dummyfunction("if($T136&lt;&gt;"""",VALUE(REGEXEXTRACT($T136, Q$1&amp;""[\w &amp;]*, (\d+\.\d+)"")),"""")
"),15.59)</f>
        <v>15.59</v>
      </c>
      <c r="R136" s="2" t="n">
        <f aca="false">IFERROR(__xludf.dummyfunction("if($T136&lt;&gt;"""",VALUE(REGEXEXTRACT($T136, SUBSTITUTE(R$1, ""+"", ""\+"")&amp;""[\w &amp;]*, (\d+\.\d+)"")),"""")"),21.45)</f>
        <v>21.45</v>
      </c>
      <c r="S136" s="2" t="n">
        <f aca="false">IFERROR(__xludf.dummyfunction("if($T136&lt;&gt;"""",VALUE(REGEXEXTRACT($T136, SUBSTITUTE(S$1, ""+"", ""\+"")&amp;""[\w &amp;]*, (\d+\.\d+)"")),"""")"),22.57)</f>
        <v>22.57</v>
      </c>
      <c r="T136" s="5" t="s">
        <v>345</v>
      </c>
    </row>
    <row r="137" customFormat="false" ht="15.75" hidden="false" customHeight="false" outlineLevel="0" collapsed="false">
      <c r="A137" s="4" t="n">
        <f aca="false">IFERROR(__xludf.dummyfunction("""COMPUTED_VALUE"""),45594.6361111111)</f>
        <v>45594.6361111111</v>
      </c>
      <c r="B137" s="2" t="n">
        <f aca="false">IFERROR(__xludf.dummyfunction("""COMPUTED_VALUE"""),20.02)</f>
        <v>20.02</v>
      </c>
      <c r="C137" s="2" t="n">
        <f aca="false">IFERROR(__xludf.dummyfunction("""COMPUTED_VALUE"""),20.53)</f>
        <v>20.53</v>
      </c>
      <c r="D137" s="2" t="n">
        <f aca="false">IFERROR(__xludf.dummyfunction("""COMPUTED_VALUE"""),19.06)</f>
        <v>19.06</v>
      </c>
      <c r="E137" s="2" t="n">
        <f aca="false">IFERROR(__xludf.dummyfunction("""COMPUTED_VALUE"""),19.34)</f>
        <v>19.34</v>
      </c>
      <c r="F137" s="3" t="n">
        <f aca="false">IFERROR(__xludf.dummyfunction("if($T137&lt;&gt;"""",VALUE(REGEXEXTRACT(SUBSTITUTE ($T137,F$1&amp;"" CE"",""""), F$1&amp;""[\w &amp;]*, (\d+\.\d+)"")),"""")
"),20)</f>
        <v>20</v>
      </c>
      <c r="G137" s="3" t="n">
        <f aca="false">IFERROR(__xludf.dummyfunction("if($T137&lt;&gt;"""",VALUE(REGEXEXTRACT($T137, G$1&amp;""[\w &amp;]*, (\d+\.\d+)"")),"""")
"),20)</f>
        <v>20</v>
      </c>
      <c r="H137" s="3" t="n">
        <f aca="false">IFERROR(__xludf.dummyfunction("if($T137&lt;&gt;"""",VALUE(REGEXEXTRACT($T137, H$1&amp;""[\w &amp;]*, (\d+\.\d+)"")),"""")
"),22)</f>
        <v>22</v>
      </c>
      <c r="I137" s="3" t="n">
        <f aca="false">IFERROR(__xludf.dummyfunction("if($T137&lt;&gt;"""",VALUE(REGEXEXTRACT(SUBSTITUTE ($T137,I$1&amp;"" CE"",""""), I$1&amp;""[\w &amp;]*, (\d+\.\d+)"")),"""")
"),19)</f>
        <v>19</v>
      </c>
      <c r="J137" s="3" t="n">
        <f aca="false">IFERROR(__xludf.dummyfunction("if($T137&lt;&gt;"""",VALUE(REGEXEXTRACT($T137, J$1&amp;""[\w &amp;]*, (\d+\.\d+)"")),"""")
"),18)</f>
        <v>18</v>
      </c>
      <c r="K137" s="3" t="n">
        <f aca="false">IFERROR(__xludf.dummyfunction("if($T137&lt;&gt;"""",VALUE(REGEXEXTRACT($T137, K$1&amp;""[\w &amp;]*, (\d+\.\d+)"")),"""")
"),14)</f>
        <v>14</v>
      </c>
      <c r="L137" s="3" t="n">
        <f aca="false">IFERROR(__xludf.dummyfunction("if($T137&lt;&gt;"""",VALUE(REGEXEXTRACT(SUBSTITUTE ($T137,L$1&amp;"" CE"",""""), L$1&amp;""[\w &amp;]*, (\d+\.\d+)"")),"""")
"),18)</f>
        <v>18</v>
      </c>
      <c r="M137" s="3" t="n">
        <f aca="false">IFERROR(__xludf.dummyfunction("if($T137&lt;&gt;"""",VALUE(REGEXEXTRACT($T137, M$1&amp;""[\w &amp;]*, (\d+\.\d+)"")),"""")
"),18)</f>
        <v>18</v>
      </c>
      <c r="N137" s="3" t="n">
        <f aca="false">IFERROR(__xludf.dummyfunction("if($T137&lt;&gt;"""",VALUE(REGEXEXTRACT(SUBSTITUTE ($T137,N$1&amp;"" CE"",""""), N$1&amp;""[\w &amp;]*, (\d+\.\d+)"")),"""")
"),19)</f>
        <v>19</v>
      </c>
      <c r="O137" s="3" t="n">
        <f aca="false">IFERROR(__xludf.dummyfunction("if($T137&lt;&gt;"""",VALUE(REGEXEXTRACT($T137, O$1&amp;""[\w &amp;]*, (\d+\.\d+)"")),"""")
"),20)</f>
        <v>20</v>
      </c>
      <c r="P137" s="2" t="n">
        <f aca="false">IFERROR(__xludf.dummyfunction("if($T137&lt;&gt;"""",VALUE(REGEXEXTRACT($T137, P$1&amp;""[\w &amp;]*, (\d+\.\d+)"")),"""")
"),18.5)</f>
        <v>18.5</v>
      </c>
      <c r="Q137" s="2" t="n">
        <f aca="false">IFERROR(__xludf.dummyfunction("if($T137&lt;&gt;"""",VALUE(REGEXEXTRACT($T137, Q$1&amp;""[\w &amp;]*, (\d+\.\d+)"")),"""")
"),16.99)</f>
        <v>16.99</v>
      </c>
      <c r="R137" s="2" t="n">
        <f aca="false">IFERROR(__xludf.dummyfunction("if($T137&lt;&gt;"""",VALUE(REGEXEXTRACT($T137, SUBSTITUTE(R$1, ""+"", ""\+"")&amp;""[\w &amp;]*, (\d+\.\d+)"")),"""")"),22.16)</f>
        <v>22.16</v>
      </c>
      <c r="S137" s="2" t="n">
        <f aca="false">IFERROR(__xludf.dummyfunction("if($T137&lt;&gt;"""",VALUE(REGEXEXTRACT($T137, SUBSTITUTE(S$1, ""+"", ""\+"")&amp;""[\w &amp;]*, (\d+\.\d+)"")),"""")"),23.67)</f>
        <v>23.67</v>
      </c>
      <c r="T137" s="5" t="s">
        <v>346</v>
      </c>
    </row>
    <row r="138" customFormat="false" ht="15.75" hidden="false" customHeight="false" outlineLevel="0" collapsed="false">
      <c r="A138" s="4" t="n">
        <f aca="false">IFERROR(__xludf.dummyfunction("""COMPUTED_VALUE"""),45595.6361111111)</f>
        <v>45595.6361111111</v>
      </c>
      <c r="B138" s="2" t="n">
        <f aca="false">IFERROR(__xludf.dummyfunction("""COMPUTED_VALUE"""),19.62)</f>
        <v>19.62</v>
      </c>
      <c r="C138" s="2" t="n">
        <f aca="false">IFERROR(__xludf.dummyfunction("""COMPUTED_VALUE"""),20.44)</f>
        <v>20.44</v>
      </c>
      <c r="D138" s="2" t="n">
        <f aca="false">IFERROR(__xludf.dummyfunction("""COMPUTED_VALUE"""),19.62)</f>
        <v>19.62</v>
      </c>
      <c r="E138" s="2" t="n">
        <f aca="false">IFERROR(__xludf.dummyfunction("""COMPUTED_VALUE"""),20.35)</f>
        <v>20.35</v>
      </c>
      <c r="F138" s="3" t="n">
        <f aca="false">IFERROR(__xludf.dummyfunction("if($T138&lt;&gt;"""",VALUE(REGEXEXTRACT(SUBSTITUTE ($T138,F$1&amp;"" CE"",""""), F$1&amp;""[\w &amp;]*, (\d+\.\d+)"")),"""")
"),20)</f>
        <v>20</v>
      </c>
      <c r="G138" s="3" t="n">
        <f aca="false">IFERROR(__xludf.dummyfunction("if($T138&lt;&gt;"""",VALUE(REGEXEXTRACT($T138, G$1&amp;""[\w &amp;]*, (\d+\.\d+)"")),"""")
"),20)</f>
        <v>20</v>
      </c>
      <c r="H138" s="3" t="n">
        <f aca="false">IFERROR(__xludf.dummyfunction("if($T138&lt;&gt;"""",VALUE(REGEXEXTRACT($T138, H$1&amp;""[\w &amp;]*, (\d+\.\d+)"")),"""")
"),22)</f>
        <v>22</v>
      </c>
      <c r="I138" s="3" t="n">
        <f aca="false">IFERROR(__xludf.dummyfunction("if($T138&lt;&gt;"""",VALUE(REGEXEXTRACT(SUBSTITUTE ($T138,I$1&amp;"" CE"",""""), I$1&amp;""[\w &amp;]*, (\d+\.\d+)"")),"""")
"),19)</f>
        <v>19</v>
      </c>
      <c r="J138" s="3" t="n">
        <f aca="false">IFERROR(__xludf.dummyfunction("if($T138&lt;&gt;"""",VALUE(REGEXEXTRACT($T138, J$1&amp;""[\w &amp;]*, (\d+\.\d+)"")),"""")
"),18)</f>
        <v>18</v>
      </c>
      <c r="K138" s="3" t="n">
        <f aca="false">IFERROR(__xludf.dummyfunction("if($T138&lt;&gt;"""",VALUE(REGEXEXTRACT($T138, K$1&amp;""[\w &amp;]*, (\d+\.\d+)"")),"""")
"),14)</f>
        <v>14</v>
      </c>
      <c r="L138" s="3" t="n">
        <f aca="false">IFERROR(__xludf.dummyfunction("if($T138&lt;&gt;"""",VALUE(REGEXEXTRACT(SUBSTITUTE ($T138,L$1&amp;"" CE"",""""), L$1&amp;""[\w &amp;]*, (\d+\.\d+)"")),"""")
"),18)</f>
        <v>18</v>
      </c>
      <c r="M138" s="3" t="n">
        <f aca="false">IFERROR(__xludf.dummyfunction("if($T138&lt;&gt;"""",VALUE(REGEXEXTRACT($T138, M$1&amp;""[\w &amp;]*, (\d+\.\d+)"")),"""")
"),19)</f>
        <v>19</v>
      </c>
      <c r="N138" s="3" t="n">
        <f aca="false">IFERROR(__xludf.dummyfunction("if($T138&lt;&gt;"""",VALUE(REGEXEXTRACT(SUBSTITUTE ($T138,N$1&amp;"" CE"",""""), N$1&amp;""[\w &amp;]*, (\d+\.\d+)"")),"""")
"),19)</f>
        <v>19</v>
      </c>
      <c r="O138" s="3" t="n">
        <f aca="false">IFERROR(__xludf.dummyfunction("if($T138&lt;&gt;"""",VALUE(REGEXEXTRACT($T138, O$1&amp;""[\w &amp;]*, (\d+\.\d+)"")),"""")
"),18)</f>
        <v>18</v>
      </c>
      <c r="P138" s="2" t="n">
        <f aca="false">IFERROR(__xludf.dummyfunction("if($T138&lt;&gt;"""",VALUE(REGEXEXTRACT($T138, P$1&amp;""[\w &amp;]*, (\d+\.\d+)"")),"""")
"),18.26)</f>
        <v>18.26</v>
      </c>
      <c r="Q138" s="2" t="n">
        <f aca="false">IFERROR(__xludf.dummyfunction("if($T138&lt;&gt;"""",VALUE(REGEXEXTRACT($T138, Q$1&amp;""[\w &amp;]*, (\d+\.\d+)"")),"""")
"),16.54)</f>
        <v>16.54</v>
      </c>
      <c r="R138" s="2" t="n">
        <f aca="false">IFERROR(__xludf.dummyfunction("if($T138&lt;&gt;"""",VALUE(REGEXEXTRACT($T138, SUBSTITUTE(R$1, ""+"", ""\+"")&amp;""[\w &amp;]*, (\d+\.\d+)"")),"""")"),21.34)</f>
        <v>21.34</v>
      </c>
      <c r="S138" s="2" t="n">
        <f aca="false">IFERROR(__xludf.dummyfunction("if($T138&lt;&gt;"""",VALUE(REGEXEXTRACT($T138, SUBSTITUTE(S$1, ""+"", ""\+"")&amp;""[\w &amp;]*, (\d+\.\d+)"")),"""")"),23.06)</f>
        <v>23.06</v>
      </c>
      <c r="T138" s="5" t="s">
        <v>347</v>
      </c>
    </row>
    <row r="139" customFormat="false" ht="15.75" hidden="false" customHeight="false" outlineLevel="0" collapsed="false">
      <c r="A139" s="4" t="n">
        <f aca="false">IFERROR(__xludf.dummyfunction("""COMPUTED_VALUE"""),45596.6361111111)</f>
        <v>45596.6361111111</v>
      </c>
      <c r="B139" s="2" t="n">
        <f aca="false">IFERROR(__xludf.dummyfunction("""COMPUTED_VALUE"""),21.48)</f>
        <v>21.48</v>
      </c>
      <c r="C139" s="2" t="n">
        <f aca="false">IFERROR(__xludf.dummyfunction("""COMPUTED_VALUE"""),23.42)</f>
        <v>23.42</v>
      </c>
      <c r="D139" s="2" t="n">
        <f aca="false">IFERROR(__xludf.dummyfunction("""COMPUTED_VALUE"""),21.12)</f>
        <v>21.12</v>
      </c>
      <c r="E139" s="2" t="n">
        <f aca="false">IFERROR(__xludf.dummyfunction("""COMPUTED_VALUE"""),23.16)</f>
        <v>23.16</v>
      </c>
      <c r="F139" s="3" t="n">
        <f aca="false">IFERROR(__xludf.dummyfunction("if($T139&lt;&gt;"""",VALUE(REGEXEXTRACT(SUBSTITUTE ($T139,F$1&amp;"" CE"",""""), F$1&amp;""[\w &amp;]*, (\d+\.\d+)"")),"""")
"),20)</f>
        <v>20</v>
      </c>
      <c r="G139" s="3" t="n">
        <f aca="false">IFERROR(__xludf.dummyfunction("if($T139&lt;&gt;"""",VALUE(REGEXEXTRACT($T139, G$1&amp;""[\w &amp;]*, (\d+\.\d+)"")),"""")
"),20)</f>
        <v>20</v>
      </c>
      <c r="H139" s="3" t="n">
        <f aca="false">IFERROR(__xludf.dummyfunction("if($T139&lt;&gt;"""",VALUE(REGEXEXTRACT($T139, H$1&amp;""[\w &amp;]*, (\d+\.\d+)"")),"""")
"),22)</f>
        <v>22</v>
      </c>
      <c r="I139" s="3" t="n">
        <f aca="false">IFERROR(__xludf.dummyfunction("if($T139&lt;&gt;"""",VALUE(REGEXEXTRACT(SUBSTITUTE ($T139,I$1&amp;"" CE"",""""), I$1&amp;""[\w &amp;]*, (\d+\.\d+)"")),"""")
"),19)</f>
        <v>19</v>
      </c>
      <c r="J139" s="3" t="n">
        <f aca="false">IFERROR(__xludf.dummyfunction("if($T139&lt;&gt;"""",VALUE(REGEXEXTRACT($T139, J$1&amp;""[\w &amp;]*, (\d+\.\d+)"")),"""")
"),18)</f>
        <v>18</v>
      </c>
      <c r="K139" s="3" t="n">
        <f aca="false">IFERROR(__xludf.dummyfunction("if($T139&lt;&gt;"""",VALUE(REGEXEXTRACT($T139, K$1&amp;""[\w &amp;]*, (\d+\.\d+)"")),"""")
"),14)</f>
        <v>14</v>
      </c>
      <c r="L139" s="3" t="n">
        <f aca="false">IFERROR(__xludf.dummyfunction("if($T139&lt;&gt;"""",VALUE(REGEXEXTRACT(SUBSTITUTE ($T139,L$1&amp;"" CE"",""""), L$1&amp;""[\w &amp;]*, (\d+\.\d+)"")),"""")
"),18)</f>
        <v>18</v>
      </c>
      <c r="M139" s="3" t="n">
        <f aca="false">IFERROR(__xludf.dummyfunction("if($T139&lt;&gt;"""",VALUE(REGEXEXTRACT($T139, M$1&amp;""[\w &amp;]*, (\d+\.\d+)"")),"""")
"),19)</f>
        <v>19</v>
      </c>
      <c r="N139" s="3" t="n">
        <f aca="false">IFERROR(__xludf.dummyfunction("if($T139&lt;&gt;"""",VALUE(REGEXEXTRACT(SUBSTITUTE ($T139,N$1&amp;"" CE"",""""), N$1&amp;""[\w &amp;]*, (\d+\.\d+)"")),"""")
"),19)</f>
        <v>19</v>
      </c>
      <c r="O139" s="3" t="n">
        <f aca="false">IFERROR(__xludf.dummyfunction("if($T139&lt;&gt;"""",VALUE(REGEXEXTRACT($T139, O$1&amp;""[\w &amp;]*, (\d+\.\d+)"")),"""")
"),19)</f>
        <v>19</v>
      </c>
      <c r="P139" s="2" t="n">
        <f aca="false">IFERROR(__xludf.dummyfunction("if($T139&lt;&gt;"""",VALUE(REGEXEXTRACT($T139, P$1&amp;""[\w &amp;]*, (\d+\.\d+)"")),"""")
"),18.43)</f>
        <v>18.43</v>
      </c>
      <c r="Q139" s="2" t="n">
        <f aca="false">IFERROR(__xludf.dummyfunction("if($T139&lt;&gt;"""",VALUE(REGEXEXTRACT($T139, Q$1&amp;""[\w &amp;]*, (\d+\.\d+)"")),"""")
"),16.78)</f>
        <v>16.78</v>
      </c>
      <c r="R139" s="2" t="n">
        <f aca="false">IFERROR(__xludf.dummyfunction("if($T139&lt;&gt;"""",VALUE(REGEXEXTRACT($T139, SUBSTITUTE(R$1, ""+"", ""\+"")&amp;""[\w &amp;]*, (\d+\.\d+)"")),"""")"),20.25)</f>
        <v>20.25</v>
      </c>
      <c r="S139" s="2" t="n">
        <f aca="false">IFERROR(__xludf.dummyfunction("if($T139&lt;&gt;"""",VALUE(REGEXEXTRACT($T139, SUBSTITUTE(S$1, ""+"", ""\+"")&amp;""[\w &amp;]*, (\d+\.\d+)"")),"""")"),21.9)</f>
        <v>21.9</v>
      </c>
      <c r="T139" s="5" t="s">
        <v>348</v>
      </c>
    </row>
    <row r="140" customFormat="false" ht="15.75" hidden="false" customHeight="false" outlineLevel="0" collapsed="false">
      <c r="A140" s="4" t="n">
        <f aca="false">IFERROR(__xludf.dummyfunction("""COMPUTED_VALUE"""),45597.6361111111)</f>
        <v>45597.6361111111</v>
      </c>
      <c r="B140" s="2" t="n">
        <f aca="false">IFERROR(__xludf.dummyfunction("""COMPUTED_VALUE"""),22.42)</f>
        <v>22.42</v>
      </c>
      <c r="C140" s="2" t="n">
        <f aca="false">IFERROR(__xludf.dummyfunction("""COMPUTED_VALUE"""),22.42)</f>
        <v>22.42</v>
      </c>
      <c r="D140" s="2" t="n">
        <f aca="false">IFERROR(__xludf.dummyfunction("""COMPUTED_VALUE"""),21.16)</f>
        <v>21.16</v>
      </c>
      <c r="E140" s="2" t="n">
        <f aca="false">IFERROR(__xludf.dummyfunction("""COMPUTED_VALUE"""),21.88)</f>
        <v>21.88</v>
      </c>
      <c r="F140" s="3" t="n">
        <f aca="false">IFERROR(__xludf.dummyfunction("if($T140&lt;&gt;"""",VALUE(REGEXEXTRACT(SUBSTITUTE ($T140,F$1&amp;"" CE"",""""), F$1&amp;""[\w &amp;]*, (\d+\.\d+)"")),"""")
"),20)</f>
        <v>20</v>
      </c>
      <c r="G140" s="3" t="n">
        <f aca="false">IFERROR(__xludf.dummyfunction("if($T140&lt;&gt;"""",VALUE(REGEXEXTRACT($T140, G$1&amp;""[\w &amp;]*, (\d+\.\d+)"")),"""")
"),20)</f>
        <v>20</v>
      </c>
      <c r="H140" s="3" t="n">
        <f aca="false">IFERROR(__xludf.dummyfunction("if($T140&lt;&gt;"""",VALUE(REGEXEXTRACT($T140, H$1&amp;""[\w &amp;]*, (\d+\.\d+)"")),"""")
"),22)</f>
        <v>22</v>
      </c>
      <c r="I140" s="3" t="n">
        <f aca="false">IFERROR(__xludf.dummyfunction("if($T140&lt;&gt;"""",VALUE(REGEXEXTRACT(SUBSTITUTE ($T140,I$1&amp;"" CE"",""""), I$1&amp;""[\w &amp;]*, (\d+\.\d+)"")),"""")
"),19)</f>
        <v>19</v>
      </c>
      <c r="J140" s="3" t="n">
        <f aca="false">IFERROR(__xludf.dummyfunction("if($T140&lt;&gt;"""",VALUE(REGEXEXTRACT($T140, J$1&amp;""[\w &amp;]*, (\d+\.\d+)"")),"""")
"),18)</f>
        <v>18</v>
      </c>
      <c r="K140" s="3" t="n">
        <f aca="false">IFERROR(__xludf.dummyfunction("if($T140&lt;&gt;"""",VALUE(REGEXEXTRACT($T140, K$1&amp;""[\w &amp;]*, (\d+\.\d+)"")),"""")
"),14)</f>
        <v>14</v>
      </c>
      <c r="L140" s="3" t="n">
        <f aca="false">IFERROR(__xludf.dummyfunction("if($T140&lt;&gt;"""",VALUE(REGEXEXTRACT(SUBSTITUTE ($T140,L$1&amp;"" CE"",""""), L$1&amp;""[\w &amp;]*, (\d+\.\d+)"")),"""")
"),18)</f>
        <v>18</v>
      </c>
      <c r="M140" s="3" t="n">
        <f aca="false">IFERROR(__xludf.dummyfunction("if($T140&lt;&gt;"""",VALUE(REGEXEXTRACT($T140, M$1&amp;""[\w &amp;]*, (\d+\.\d+)"")),"""")
"),18)</f>
        <v>18</v>
      </c>
      <c r="N140" s="3" t="n">
        <f aca="false">IFERROR(__xludf.dummyfunction("if($T140&lt;&gt;"""",VALUE(REGEXEXTRACT(SUBSTITUTE ($T140,N$1&amp;"" CE"",""""), N$1&amp;""[\w &amp;]*, (\d+\.\d+)"")),"""")
"),19)</f>
        <v>19</v>
      </c>
      <c r="O140" s="3" t="n">
        <f aca="false">IFERROR(__xludf.dummyfunction("if($T140&lt;&gt;"""",VALUE(REGEXEXTRACT($T140, O$1&amp;""[\w &amp;]*, (\d+\.\d+)"")),"""")
"),20)</f>
        <v>20</v>
      </c>
      <c r="P140" s="2" t="n">
        <f aca="false">IFERROR(__xludf.dummyfunction("if($T140&lt;&gt;"""",VALUE(REGEXEXTRACT($T140, P$1&amp;""[\w &amp;]*, (\d+\.\d+)"")),"""")
"),18.3)</f>
        <v>18.3</v>
      </c>
      <c r="Q140" s="2" t="n">
        <f aca="false">IFERROR(__xludf.dummyfunction("if($T140&lt;&gt;"""",VALUE(REGEXEXTRACT($T140, Q$1&amp;""[\w &amp;]*, (\d+\.\d+)"")),"""")
"),17.45)</f>
        <v>17.45</v>
      </c>
      <c r="R140" s="2" t="n">
        <f aca="false">IFERROR(__xludf.dummyfunction("if($T140&lt;&gt;"""",VALUE(REGEXEXTRACT($T140, SUBSTITUTE(R$1, ""+"", ""\+"")&amp;""[\w &amp;]*, (\d+\.\d+)"")),"""")"),22.4)</f>
        <v>22.4</v>
      </c>
      <c r="S140" s="2" t="n">
        <f aca="false">IFERROR(__xludf.dummyfunction("if($T140&lt;&gt;"""",VALUE(REGEXEXTRACT($T140, SUBSTITUTE(S$1, ""+"", ""\+"")&amp;""[\w &amp;]*, (\d+\.\d+)"")),"""")"),23.25)</f>
        <v>23.25</v>
      </c>
      <c r="T140" s="5" t="s">
        <v>349</v>
      </c>
    </row>
    <row r="141" customFormat="false" ht="15.75" hidden="false" customHeight="false" outlineLevel="0" collapsed="false">
      <c r="A141" s="4" t="n">
        <f aca="false">IFERROR(__xludf.dummyfunction("""COMPUTED_VALUE"""),45600.6361111111)</f>
        <v>45600.6361111111</v>
      </c>
      <c r="B141" s="2" t="n">
        <f aca="false">IFERROR(__xludf.dummyfunction("""COMPUTED_VALUE"""),22.5)</f>
        <v>22.5</v>
      </c>
      <c r="C141" s="2" t="n">
        <f aca="false">IFERROR(__xludf.dummyfunction("""COMPUTED_VALUE"""),23.07)</f>
        <v>23.07</v>
      </c>
      <c r="D141" s="2" t="n">
        <f aca="false">IFERROR(__xludf.dummyfunction("""COMPUTED_VALUE"""),21.73)</f>
        <v>21.73</v>
      </c>
      <c r="E141" s="2" t="n">
        <f aca="false">IFERROR(__xludf.dummyfunction("""COMPUTED_VALUE"""),21.98)</f>
        <v>21.98</v>
      </c>
      <c r="F141" s="3" t="n">
        <f aca="false">IFERROR(__xludf.dummyfunction("if($T141&lt;&gt;"""",VALUE(REGEXEXTRACT(SUBSTITUTE ($T141,F$1&amp;"" CE"",""""), F$1&amp;""[\w &amp;]*, (\d+\.\d+)"")),"""")
"),20)</f>
        <v>20</v>
      </c>
      <c r="G141" s="3" t="n">
        <f aca="false">IFERROR(__xludf.dummyfunction("if($T141&lt;&gt;"""",VALUE(REGEXEXTRACT($T141, G$1&amp;""[\w &amp;]*, (\d+\.\d+)"")),"""")
"),23)</f>
        <v>23</v>
      </c>
      <c r="H141" s="3" t="n">
        <f aca="false">IFERROR(__xludf.dummyfunction("if($T141&lt;&gt;"""",VALUE(REGEXEXTRACT($T141, H$1&amp;""[\w &amp;]*, (\d+\.\d+)"")),"""")
"),22)</f>
        <v>22</v>
      </c>
      <c r="I141" s="3" t="n">
        <f aca="false">IFERROR(__xludf.dummyfunction("if($T141&lt;&gt;"""",VALUE(REGEXEXTRACT(SUBSTITUTE ($T141,I$1&amp;"" CE"",""""), I$1&amp;""[\w &amp;]*, (\d+\.\d+)"")),"""")
"),16)</f>
        <v>16</v>
      </c>
      <c r="J141" s="3" t="n">
        <f aca="false">IFERROR(__xludf.dummyfunction("if($T141&lt;&gt;"""",VALUE(REGEXEXTRACT($T141, J$1&amp;""[\w &amp;]*, (\d+\.\d+)"")),"""")
"),18)</f>
        <v>18</v>
      </c>
      <c r="K141" s="3" t="str">
        <f aca="false">IFERROR(__xludf.dummyfunction("if($T141&lt;&gt;"""",VALUE(REGEXEXTRACT($T141, K$1&amp;""[\w &amp;]*, (\d+\.\d+)"")),"""")
"),"#N/A")</f>
        <v>#N/A</v>
      </c>
      <c r="L141" s="3" t="n">
        <f aca="false">IFERROR(__xludf.dummyfunction("if($T141&lt;&gt;"""",VALUE(REGEXEXTRACT(SUBSTITUTE ($T141,L$1&amp;"" CE"",""""), L$1&amp;""[\w &amp;]*, (\d+\.\d+)"")),"""")
"),18)</f>
        <v>18</v>
      </c>
      <c r="M141" s="3" t="n">
        <f aca="false">IFERROR(__xludf.dummyfunction("if($T141&lt;&gt;"""",VALUE(REGEXEXTRACT($T141, M$1&amp;""[\w &amp;]*, (\d+\.\d+)"")),"""")
"),18)</f>
        <v>18</v>
      </c>
      <c r="N141" s="3" t="n">
        <f aca="false">IFERROR(__xludf.dummyfunction("if($T141&lt;&gt;"""",VALUE(REGEXEXTRACT(SUBSTITUTE ($T141,N$1&amp;"" CE"",""""), N$1&amp;""[\w &amp;]*, (\d+\.\d+)"")),"""")
"),20)</f>
        <v>20</v>
      </c>
      <c r="O141" s="3" t="n">
        <f aca="false">IFERROR(__xludf.dummyfunction("if($T141&lt;&gt;"""",VALUE(REGEXEXTRACT($T141, O$1&amp;""[\w &amp;]*, (\d+\.\d+)"")),"""")
"),23)</f>
        <v>23</v>
      </c>
      <c r="P141" s="2" t="n">
        <f aca="false">IFERROR(__xludf.dummyfunction("if($T141&lt;&gt;"""",VALUE(REGEXEXTRACT($T141, P$1&amp;""[\w &amp;]*, (\d+\.\d+)"")),"""")
"),20.85)</f>
        <v>20.85</v>
      </c>
      <c r="Q141" s="2" t="n">
        <f aca="false">IFERROR(__xludf.dummyfunction("if($T141&lt;&gt;"""",VALUE(REGEXEXTRACT($T141, Q$1&amp;""[\w &amp;]*, (\d+\.\d+)"")),"""")
"),19.76)</f>
        <v>19.76</v>
      </c>
      <c r="R141" s="2" t="n">
        <f aca="false">IFERROR(__xludf.dummyfunction("if($T141&lt;&gt;"""",VALUE(REGEXEXTRACT($T141, SUBSTITUTE(R$1, ""+"", ""\+"")&amp;""[\w &amp;]*, (\d+\.\d+)"")),"""")"),25.47)</f>
        <v>25.47</v>
      </c>
      <c r="S141" s="2" t="n">
        <f aca="false">IFERROR(__xludf.dummyfunction("if($T141&lt;&gt;"""",VALUE(REGEXEXTRACT($T141, SUBSTITUTE(S$1, ""+"", ""\+"")&amp;""[\w &amp;]*, (\d+\.\d+)"")),"""")"),26.56)</f>
        <v>26.56</v>
      </c>
      <c r="T141" s="5" t="s">
        <v>350</v>
      </c>
    </row>
    <row r="142" customFormat="false" ht="15.75" hidden="false" customHeight="false" outlineLevel="0" collapsed="false">
      <c r="A142" s="4" t="n">
        <f aca="false">IFERROR(__xludf.dummyfunction("""COMPUTED_VALUE"""),45601.6361111111)</f>
        <v>45601.6361111111</v>
      </c>
      <c r="B142" s="2" t="n">
        <f aca="false">IFERROR(__xludf.dummyfunction("""COMPUTED_VALUE"""),21.95)</f>
        <v>21.95</v>
      </c>
      <c r="C142" s="2" t="n">
        <f aca="false">IFERROR(__xludf.dummyfunction("""COMPUTED_VALUE"""),22.06)</f>
        <v>22.06</v>
      </c>
      <c r="D142" s="2" t="n">
        <f aca="false">IFERROR(__xludf.dummyfunction("""COMPUTED_VALUE"""),20.2)</f>
        <v>20.2</v>
      </c>
      <c r="E142" s="2" t="n">
        <f aca="false">IFERROR(__xludf.dummyfunction("""COMPUTED_VALUE"""),20.49)</f>
        <v>20.49</v>
      </c>
      <c r="F142" s="3" t="n">
        <f aca="false">IFERROR(__xludf.dummyfunction("if($T142&lt;&gt;"""",VALUE(REGEXEXTRACT(SUBSTITUTE ($T142,F$1&amp;"" CE"",""""), F$1&amp;""[\w &amp;]*, (\d+\.\d+)"")),"""")
"),20)</f>
        <v>20</v>
      </c>
      <c r="G142" s="3" t="n">
        <f aca="false">IFERROR(__xludf.dummyfunction("if($T142&lt;&gt;"""",VALUE(REGEXEXTRACT($T142, G$1&amp;""[\w &amp;]*, (\d+\.\d+)"")),"""")
"),23)</f>
        <v>23</v>
      </c>
      <c r="H142" s="3" t="n">
        <f aca="false">IFERROR(__xludf.dummyfunction("if($T142&lt;&gt;"""",VALUE(REGEXEXTRACT($T142, H$1&amp;""[\w &amp;]*, (\d+\.\d+)"")),"""")
"),22)</f>
        <v>22</v>
      </c>
      <c r="I142" s="3" t="n">
        <f aca="false">IFERROR(__xludf.dummyfunction("if($T142&lt;&gt;"""",VALUE(REGEXEXTRACT(SUBSTITUTE ($T142,I$1&amp;"" CE"",""""), I$1&amp;""[\w &amp;]*, (\d+\.\d+)"")),"""")
"),16)</f>
        <v>16</v>
      </c>
      <c r="J142" s="3" t="n">
        <f aca="false">IFERROR(__xludf.dummyfunction("if($T142&lt;&gt;"""",VALUE(REGEXEXTRACT($T142, J$1&amp;""[\w &amp;]*, (\d+\.\d+)"")),"""")
"),18)</f>
        <v>18</v>
      </c>
      <c r="K142" s="3" t="n">
        <f aca="false">IFERROR(__xludf.dummyfunction("if($T142&lt;&gt;"""",VALUE(REGEXEXTRACT($T142, K$1&amp;""[\w &amp;]*, (\d+\.\d+)"")),"""")
"),14)</f>
        <v>14</v>
      </c>
      <c r="L142" s="3" t="n">
        <f aca="false">IFERROR(__xludf.dummyfunction("if($T142&lt;&gt;"""",VALUE(REGEXEXTRACT(SUBSTITUTE ($T142,L$1&amp;"" CE"",""""), L$1&amp;""[\w &amp;]*, (\d+\.\d+)"")),"""")
"),18)</f>
        <v>18</v>
      </c>
      <c r="M142" s="3" t="n">
        <f aca="false">IFERROR(__xludf.dummyfunction("if($T142&lt;&gt;"""",VALUE(REGEXEXTRACT($T142, M$1&amp;""[\w &amp;]*, (\d+\.\d+)"")),"""")
"),18)</f>
        <v>18</v>
      </c>
      <c r="N142" s="3" t="n">
        <f aca="false">IFERROR(__xludf.dummyfunction("if($T142&lt;&gt;"""",VALUE(REGEXEXTRACT(SUBSTITUTE ($T142,N$1&amp;"" CE"",""""), N$1&amp;""[\w &amp;]*, (\d+\.\d+)"")),"""")
"),20)</f>
        <v>20</v>
      </c>
      <c r="O142" s="3" t="n">
        <f aca="false">IFERROR(__xludf.dummyfunction("if($T142&lt;&gt;"""",VALUE(REGEXEXTRACT($T142, O$1&amp;""[\w &amp;]*, (\d+\.\d+)"")),"""")
"),23)</f>
        <v>23</v>
      </c>
      <c r="P142" s="2" t="n">
        <f aca="false">IFERROR(__xludf.dummyfunction("if($T142&lt;&gt;"""",VALUE(REGEXEXTRACT($T142, P$1&amp;""[\w &amp;]*, (\d+\.\d+)"")),"""")
"),19.27)</f>
        <v>19.27</v>
      </c>
      <c r="Q142" s="2" t="n">
        <f aca="false">IFERROR(__xludf.dummyfunction("if($T142&lt;&gt;"""",VALUE(REGEXEXTRACT($T142, Q$1&amp;""[\w &amp;]*, (\d+\.\d+)"")),"""")
"),17.11)</f>
        <v>17.11</v>
      </c>
      <c r="R142" s="2" t="n">
        <f aca="false">IFERROR(__xludf.dummyfunction("if($T142&lt;&gt;"""",VALUE(REGEXEXTRACT($T142, SUBSTITUTE(R$1, ""+"", ""\+"")&amp;""[\w &amp;]*, (\d+\.\d+)"")),"""")"),24.49)</f>
        <v>24.49</v>
      </c>
      <c r="S142" s="2" t="n">
        <f aca="false">IFERROR(__xludf.dummyfunction("if($T142&lt;&gt;"""",VALUE(REGEXEXTRACT($T142, SUBSTITUTE(S$1, ""+"", ""\+"")&amp;""[\w &amp;]*, (\d+\.\d+)"")),"""")"),26.65)</f>
        <v>26.65</v>
      </c>
      <c r="T142" s="5" t="s">
        <v>351</v>
      </c>
    </row>
    <row r="143" customFormat="false" ht="15.75" hidden="false" customHeight="false" outlineLevel="0" collapsed="false">
      <c r="A143" s="4" t="n">
        <f aca="false">IFERROR(__xludf.dummyfunction("""COMPUTED_VALUE"""),45602.6361111111)</f>
        <v>45602.6361111111</v>
      </c>
      <c r="B143" s="2" t="n">
        <f aca="false">IFERROR(__xludf.dummyfunction("""COMPUTED_VALUE"""),15.79)</f>
        <v>15.79</v>
      </c>
      <c r="C143" s="2" t="n">
        <f aca="false">IFERROR(__xludf.dummyfunction("""COMPUTED_VALUE"""),16.82)</f>
        <v>16.82</v>
      </c>
      <c r="D143" s="2" t="n">
        <f aca="false">IFERROR(__xludf.dummyfunction("""COMPUTED_VALUE"""),15.79)</f>
        <v>15.79</v>
      </c>
      <c r="E143" s="2" t="n">
        <f aca="false">IFERROR(__xludf.dummyfunction("""COMPUTED_VALUE"""),16.27)</f>
        <v>16.27</v>
      </c>
      <c r="F143" s="3" t="n">
        <f aca="false">IFERROR(__xludf.dummyfunction("if($T143&lt;&gt;"""",VALUE(REGEXEXTRACT(SUBSTITUTE ($T143,F$1&amp;"" CE"",""""), F$1&amp;""[\w &amp;]*, (\d+\.\d+)"")),"""")
"),20)</f>
        <v>20</v>
      </c>
      <c r="G143" s="3" t="n">
        <f aca="false">IFERROR(__xludf.dummyfunction("if($T143&lt;&gt;"""",VALUE(REGEXEXTRACT($T143, G$1&amp;""[\w &amp;]*, (\d+\.\d+)"")),"""")
"),23)</f>
        <v>23</v>
      </c>
      <c r="H143" s="3" t="n">
        <f aca="false">IFERROR(__xludf.dummyfunction("if($T143&lt;&gt;"""",VALUE(REGEXEXTRACT($T143, H$1&amp;""[\w &amp;]*, (\d+\.\d+)"")),"""")
"),22)</f>
        <v>22</v>
      </c>
      <c r="I143" s="3" t="n">
        <f aca="false">IFERROR(__xludf.dummyfunction("if($T143&lt;&gt;"""",VALUE(REGEXEXTRACT(SUBSTITUTE ($T143,I$1&amp;"" CE"",""""), I$1&amp;""[\w &amp;]*, (\d+\.\d+)"")),"""")
"),15)</f>
        <v>15</v>
      </c>
      <c r="J143" s="3" t="n">
        <f aca="false">IFERROR(__xludf.dummyfunction("if($T143&lt;&gt;"""",VALUE(REGEXEXTRACT($T143, J$1&amp;""[\w &amp;]*, (\d+\.\d+)"")),"""")
"),18)</f>
        <v>18</v>
      </c>
      <c r="K143" s="3" t="n">
        <f aca="false">IFERROR(__xludf.dummyfunction("if($T143&lt;&gt;"""",VALUE(REGEXEXTRACT($T143, K$1&amp;""[\w &amp;]*, (\d+\.\d+)"")),"""")
"),14)</f>
        <v>14</v>
      </c>
      <c r="L143" s="3" t="n">
        <f aca="false">IFERROR(__xludf.dummyfunction("if($T143&lt;&gt;"""",VALUE(REGEXEXTRACT(SUBSTITUTE ($T143,L$1&amp;"" CE"",""""), L$1&amp;""[\w &amp;]*, (\d+\.\d+)"")),"""")
"),18)</f>
        <v>18</v>
      </c>
      <c r="M143" s="3" t="n">
        <f aca="false">IFERROR(__xludf.dummyfunction("if($T143&lt;&gt;"""",VALUE(REGEXEXTRACT($T143, M$1&amp;""[\w &amp;]*, (\d+\.\d+)"")),"""")
"),18)</f>
        <v>18</v>
      </c>
      <c r="N143" s="3" t="n">
        <f aca="false">IFERROR(__xludf.dummyfunction("if($T143&lt;&gt;"""",VALUE(REGEXEXTRACT(SUBSTITUTE ($T143,N$1&amp;"" CE"",""""), N$1&amp;""[\w &amp;]*, (\d+\.\d+)"")),"""")
"),20)</f>
        <v>20</v>
      </c>
      <c r="O143" s="3" t="n">
        <f aca="false">IFERROR(__xludf.dummyfunction("if($T143&lt;&gt;"""",VALUE(REGEXEXTRACT($T143, O$1&amp;""[\w &amp;]*, (\d+\.\d+)"")),"""")
"),20)</f>
        <v>20</v>
      </c>
      <c r="P143" s="2" t="n">
        <f aca="false">IFERROR(__xludf.dummyfunction("if($T143&lt;&gt;"""",VALUE(REGEXEXTRACT($T143, P$1&amp;""[\w &amp;]*, (\d+\.\d+)"")),"""")
"),19.67)</f>
        <v>19.67</v>
      </c>
      <c r="Q143" s="2" t="n">
        <f aca="false">IFERROR(__xludf.dummyfunction("if($T143&lt;&gt;"""",VALUE(REGEXEXTRACT($T143, Q$1&amp;""[\w &amp;]*, (\d+\.\d+)"")),"""")
"),17.08)</f>
        <v>17.08</v>
      </c>
      <c r="R143" s="2" t="n">
        <f aca="false">IFERROR(__xludf.dummyfunction("if($T143&lt;&gt;"""",VALUE(REGEXEXTRACT($T143, SUBSTITUTE(R$1, ""+"", ""\+"")&amp;""[\w &amp;]*, (\d+\.\d+)"")),"""")"),24.29)</f>
        <v>24.29</v>
      </c>
      <c r="S143" s="2" t="n">
        <f aca="false">IFERROR(__xludf.dummyfunction("if($T143&lt;&gt;"""",VALUE(REGEXEXTRACT($T143, SUBSTITUTE(S$1, ""+"", ""\+"")&amp;""[\w &amp;]*, (\d+\.\d+)"")),"""")"),26.88)</f>
        <v>26.88</v>
      </c>
      <c r="T143" s="5" t="s">
        <v>352</v>
      </c>
    </row>
    <row r="144" customFormat="false" ht="15.75" hidden="false" customHeight="false" outlineLevel="0" collapsed="false">
      <c r="A144" s="4" t="n">
        <f aca="false">IFERROR(__xludf.dummyfunction("""COMPUTED_VALUE"""),45603.6361111111)</f>
        <v>45603.6361111111</v>
      </c>
      <c r="B144" s="2" t="n">
        <f aca="false">IFERROR(__xludf.dummyfunction("""COMPUTED_VALUE"""),15.56)</f>
        <v>15.56</v>
      </c>
      <c r="C144" s="2" t="n">
        <f aca="false">IFERROR(__xludf.dummyfunction("""COMPUTED_VALUE"""),15.56)</f>
        <v>15.56</v>
      </c>
      <c r="D144" s="2" t="n">
        <f aca="false">IFERROR(__xludf.dummyfunction("""COMPUTED_VALUE"""),15.13)</f>
        <v>15.13</v>
      </c>
      <c r="E144" s="2" t="n">
        <f aca="false">IFERROR(__xludf.dummyfunction("""COMPUTED_VALUE"""),15.2)</f>
        <v>15.2</v>
      </c>
      <c r="F144" s="3" t="n">
        <f aca="false">IFERROR(__xludf.dummyfunction("if($T144&lt;&gt;"""",VALUE(REGEXEXTRACT(SUBSTITUTE ($T144,F$1&amp;"" CE"",""""), F$1&amp;""[\w &amp;]*, (\d+\.\d+)"")),"""")
"),20)</f>
        <v>20</v>
      </c>
      <c r="G144" s="3" t="n">
        <f aca="false">IFERROR(__xludf.dummyfunction("if($T144&lt;&gt;"""",VALUE(REGEXEXTRACT($T144, G$1&amp;""[\w &amp;]*, (\d+\.\d+)"")),"""")
"),20)</f>
        <v>20</v>
      </c>
      <c r="H144" s="3" t="n">
        <f aca="false">IFERROR(__xludf.dummyfunction("if($T144&lt;&gt;"""",VALUE(REGEXEXTRACT($T144, H$1&amp;""[\w &amp;]*, (\d+\.\d+)"")),"""")
"),23)</f>
        <v>23</v>
      </c>
      <c r="I144" s="3" t="n">
        <f aca="false">IFERROR(__xludf.dummyfunction("if($T144&lt;&gt;"""",VALUE(REGEXEXTRACT(SUBSTITUTE ($T144,I$1&amp;"" CE"",""""), I$1&amp;""[\w &amp;]*, (\d+\.\d+)"")),"""")
"),15)</f>
        <v>15</v>
      </c>
      <c r="J144" s="3" t="n">
        <f aca="false">IFERROR(__xludf.dummyfunction("if($T144&lt;&gt;"""",VALUE(REGEXEXTRACT($T144, J$1&amp;""[\w &amp;]*, (\d+\.\d+)"")),"""")
"),18)</f>
        <v>18</v>
      </c>
      <c r="K144" s="3" t="n">
        <f aca="false">IFERROR(__xludf.dummyfunction("if($T144&lt;&gt;"""",VALUE(REGEXEXTRACT($T144, K$1&amp;""[\w &amp;]*, (\d+\.\d+)"")),"""")
"),14)</f>
        <v>14</v>
      </c>
      <c r="L144" s="3" t="n">
        <f aca="false">IFERROR(__xludf.dummyfunction("if($T144&lt;&gt;"""",VALUE(REGEXEXTRACT(SUBSTITUTE ($T144,L$1&amp;"" CE"",""""), L$1&amp;""[\w &amp;]*, (\d+\.\d+)"")),"""")
"),18)</f>
        <v>18</v>
      </c>
      <c r="M144" s="3" t="n">
        <f aca="false">IFERROR(__xludf.dummyfunction("if($T144&lt;&gt;"""",VALUE(REGEXEXTRACT($T144, M$1&amp;""[\w &amp;]*, (\d+\.\d+)"")),"""")
"),18)</f>
        <v>18</v>
      </c>
      <c r="N144" s="3" t="n">
        <f aca="false">IFERROR(__xludf.dummyfunction("if($T144&lt;&gt;"""",VALUE(REGEXEXTRACT(SUBSTITUTE ($T144,N$1&amp;"" CE"",""""), N$1&amp;""[\w &amp;]*, (\d+\.\d+)"")),"""")
"),15)</f>
        <v>15</v>
      </c>
      <c r="O144" s="3" t="n">
        <f aca="false">IFERROR(__xludf.dummyfunction("if($T144&lt;&gt;"""",VALUE(REGEXEXTRACT($T144, O$1&amp;""[\w &amp;]*, (\d+\.\d+)"")),"""")
"),18)</f>
        <v>18</v>
      </c>
      <c r="P144" s="2" t="n">
        <f aca="false">IFERROR(__xludf.dummyfunction("if($T144&lt;&gt;"""",VALUE(REGEXEXTRACT($T144, P$1&amp;""[\w &amp;]*, (\d+\.\d+)"")),"""")
"),19.46)</f>
        <v>19.46</v>
      </c>
      <c r="Q144" s="2" t="n">
        <f aca="false">IFERROR(__xludf.dummyfunction("if($T144&lt;&gt;"""",VALUE(REGEXEXTRACT($T144, Q$1&amp;""[\w &amp;]*, (\d+\.\d+)"")),"""")
"),17.56)</f>
        <v>17.56</v>
      </c>
      <c r="R144" s="2" t="n">
        <f aca="false">IFERROR(__xludf.dummyfunction("if($T144&lt;&gt;"""",VALUE(REGEXEXTRACT($T144, SUBSTITUTE(R$1, ""+"", ""\+"")&amp;""[\w &amp;]*, (\d+\.\d+)"")),"""")"),21.52)</f>
        <v>21.52</v>
      </c>
      <c r="S144" s="2" t="n">
        <f aca="false">IFERROR(__xludf.dummyfunction("if($T144&lt;&gt;"""",VALUE(REGEXEXTRACT($T144, SUBSTITUTE(S$1, ""+"", ""\+"")&amp;""[\w &amp;]*, (\d+\.\d+)"")),"""")"),23.42)</f>
        <v>23.42</v>
      </c>
      <c r="T144" s="5" t="s">
        <v>353</v>
      </c>
    </row>
    <row r="145" customFormat="false" ht="15.75" hidden="false" customHeight="false" outlineLevel="0" collapsed="false">
      <c r="A145" s="4" t="n">
        <f aca="false">IFERROR(__xludf.dummyfunction("""COMPUTED_VALUE"""),45604.6361111111)</f>
        <v>45604.6361111111</v>
      </c>
      <c r="B145" s="2" t="n">
        <f aca="false">IFERROR(__xludf.dummyfunction("""COMPUTED_VALUE"""),15.18)</f>
        <v>15.18</v>
      </c>
      <c r="C145" s="2" t="n">
        <f aca="false">IFERROR(__xludf.dummyfunction("""COMPUTED_VALUE"""),15.18)</f>
        <v>15.18</v>
      </c>
      <c r="D145" s="2" t="n">
        <f aca="false">IFERROR(__xludf.dummyfunction("""COMPUTED_VALUE"""),14.66)</f>
        <v>14.66</v>
      </c>
      <c r="E145" s="2" t="n">
        <f aca="false">IFERROR(__xludf.dummyfunction("""COMPUTED_VALUE"""),14.94)</f>
        <v>14.94</v>
      </c>
      <c r="F145" s="3" t="n">
        <f aca="false">IFERROR(__xludf.dummyfunction("if($T145&lt;&gt;"""",VALUE(REGEXEXTRACT(SUBSTITUTE ($T145,F$1&amp;"" CE"",""""), F$1&amp;""[\w &amp;]*, (\d+\.\d+)"")),"""")
"),20)</f>
        <v>20</v>
      </c>
      <c r="G145" s="3" t="n">
        <f aca="false">IFERROR(__xludf.dummyfunction("if($T145&lt;&gt;"""",VALUE(REGEXEXTRACT($T145, G$1&amp;""[\w &amp;]*, (\d+\.\d+)"")),"""")
"),20)</f>
        <v>20</v>
      </c>
      <c r="H145" s="3" t="str">
        <f aca="false">IFERROR(__xludf.dummyfunction("if($T145&lt;&gt;"""",VALUE(REGEXEXTRACT($T145, H$1&amp;""[\w &amp;]*, (\d+\.\d+)"")),"""")
"),"#N/A")</f>
        <v>#N/A</v>
      </c>
      <c r="I145" s="3" t="n">
        <f aca="false">IFERROR(__xludf.dummyfunction("if($T145&lt;&gt;"""",VALUE(REGEXEXTRACT(SUBSTITUTE ($T145,I$1&amp;"" CE"",""""), I$1&amp;""[\w &amp;]*, (\d+\.\d+)"")),"""")
"),15)</f>
        <v>15</v>
      </c>
      <c r="J145" s="3" t="n">
        <f aca="false">IFERROR(__xludf.dummyfunction("if($T145&lt;&gt;"""",VALUE(REGEXEXTRACT($T145, J$1&amp;""[\w &amp;]*, (\d+\.\d+)"")),"""")
"),16)</f>
        <v>16</v>
      </c>
      <c r="K145" s="3" t="n">
        <f aca="false">IFERROR(__xludf.dummyfunction("if($T145&lt;&gt;"""",VALUE(REGEXEXTRACT($T145, K$1&amp;""[\w &amp;]*, (\d+\.\d+)"")),"""")
"),14)</f>
        <v>14</v>
      </c>
      <c r="L145" s="3" t="n">
        <f aca="false">IFERROR(__xludf.dummyfunction("if($T145&lt;&gt;"""",VALUE(REGEXEXTRACT(SUBSTITUTE ($T145,L$1&amp;"" CE"",""""), L$1&amp;""[\w &amp;]*, (\d+\.\d+)"")),"""")
"),18)</f>
        <v>18</v>
      </c>
      <c r="M145" s="3" t="n">
        <f aca="false">IFERROR(__xludf.dummyfunction("if($T145&lt;&gt;"""",VALUE(REGEXEXTRACT($T145, M$1&amp;""[\w &amp;]*, (\d+\.\d+)"")),"""")
"),16)</f>
        <v>16</v>
      </c>
      <c r="N145" s="3" t="n">
        <f aca="false">IFERROR(__xludf.dummyfunction("if($T145&lt;&gt;"""",VALUE(REGEXEXTRACT(SUBSTITUTE ($T145,N$1&amp;"" CE"",""""), N$1&amp;""[\w &amp;]*, (\d+\.\d+)"")),"""")
"),15)</f>
        <v>15</v>
      </c>
      <c r="O145" s="3" t="n">
        <f aca="false">IFERROR(__xludf.dummyfunction("if($T145&lt;&gt;"""",VALUE(REGEXEXTRACT($T145, O$1&amp;""[\w &amp;]*, (\d+\.\d+)"")),"""")
"),18)</f>
        <v>18</v>
      </c>
      <c r="P145" s="2" t="n">
        <f aca="false">IFERROR(__xludf.dummyfunction("if($T145&lt;&gt;"""",VALUE(REGEXEXTRACT($T145, P$1&amp;""[\w &amp;]*, (\d+\.\d+)"")),"""")
"),14.4)</f>
        <v>14.4</v>
      </c>
      <c r="Q145" s="2" t="n">
        <f aca="false">IFERROR(__xludf.dummyfunction("if($T145&lt;&gt;"""",VALUE(REGEXEXTRACT($T145, Q$1&amp;""[\w &amp;]*, (\d+\.\d+)"")),"""")
"),13.62)</f>
        <v>13.62</v>
      </c>
      <c r="R145" s="2" t="n">
        <f aca="false">IFERROR(__xludf.dummyfunction("if($T145&lt;&gt;"""",VALUE(REGEXEXTRACT($T145, SUBSTITUTE(R$1, ""+"", ""\+"")&amp;""[\w &amp;]*, (\d+\.\d+)"")),"""")"),18.14)</f>
        <v>18.14</v>
      </c>
      <c r="S145" s="2" t="n">
        <f aca="false">IFERROR(__xludf.dummyfunction("if($T145&lt;&gt;"""",VALUE(REGEXEXTRACT($T145, SUBSTITUTE(S$1, ""+"", ""\+"")&amp;""[\w &amp;]*, (\d+\.\d+)"")),"""")"),18.92)</f>
        <v>18.92</v>
      </c>
      <c r="T145" s="5" t="s">
        <v>354</v>
      </c>
    </row>
    <row r="146" customFormat="false" ht="15.75" hidden="false" customHeight="false" outlineLevel="0" collapsed="false">
      <c r="A146" s="4" t="n">
        <f aca="false">IFERROR(__xludf.dummyfunction("""COMPUTED_VALUE"""),45607.6361111111)</f>
        <v>45607.6361111111</v>
      </c>
      <c r="B146" s="2" t="n">
        <f aca="false">IFERROR(__xludf.dummyfunction("""COMPUTED_VALUE"""),15.33)</f>
        <v>15.33</v>
      </c>
      <c r="C146" s="2" t="n">
        <f aca="false">IFERROR(__xludf.dummyfunction("""COMPUTED_VALUE"""),15.56)</f>
        <v>15.56</v>
      </c>
      <c r="D146" s="2" t="n">
        <f aca="false">IFERROR(__xludf.dummyfunction("""COMPUTED_VALUE"""),14.89)</f>
        <v>14.89</v>
      </c>
      <c r="E146" s="2" t="n">
        <f aca="false">IFERROR(__xludf.dummyfunction("""COMPUTED_VALUE"""),14.97)</f>
        <v>14.97</v>
      </c>
      <c r="F146" s="3" t="n">
        <f aca="false">IFERROR(__xludf.dummyfunction("if($T146&lt;&gt;"""",VALUE(REGEXEXTRACT(SUBSTITUTE ($T146,F$1&amp;"" CE"",""""), F$1&amp;""[\w &amp;]*, (\d+\.\d+)"")),"""")
"),20)</f>
        <v>20</v>
      </c>
      <c r="G146" s="3" t="n">
        <f aca="false">IFERROR(__xludf.dummyfunction("if($T146&lt;&gt;"""",VALUE(REGEXEXTRACT($T146, G$1&amp;""[\w &amp;]*, (\d+\.\d+)"")),"""")
"),20)</f>
        <v>20</v>
      </c>
      <c r="H146" s="3" t="str">
        <f aca="false">IFERROR(__xludf.dummyfunction("if($T146&lt;&gt;"""",VALUE(REGEXEXTRACT($T146, H$1&amp;""[\w &amp;]*, (\d+\.\d+)"")),"""")
"),"#N/A")</f>
        <v>#N/A</v>
      </c>
      <c r="I146" s="3" t="n">
        <f aca="false">IFERROR(__xludf.dummyfunction("if($T146&lt;&gt;"""",VALUE(REGEXEXTRACT(SUBSTITUTE ($T146,I$1&amp;"" CE"",""""), I$1&amp;""[\w &amp;]*, (\d+\.\d+)"")),"""")
"),15)</f>
        <v>15</v>
      </c>
      <c r="J146" s="3" t="n">
        <f aca="false">IFERROR(__xludf.dummyfunction("if($T146&lt;&gt;"""",VALUE(REGEXEXTRACT($T146, J$1&amp;""[\w &amp;]*, (\d+\.\d+)"")),"""")
"),16)</f>
        <v>16</v>
      </c>
      <c r="K146" s="3" t="n">
        <f aca="false">IFERROR(__xludf.dummyfunction("if($T146&lt;&gt;"""",VALUE(REGEXEXTRACT($T146, K$1&amp;""[\w &amp;]*, (\d+\.\d+)"")),"""")
"),14)</f>
        <v>14</v>
      </c>
      <c r="L146" s="3" t="n">
        <f aca="false">IFERROR(__xludf.dummyfunction("if($T146&lt;&gt;"""",VALUE(REGEXEXTRACT(SUBSTITUTE ($T146,L$1&amp;"" CE"",""""), L$1&amp;""[\w &amp;]*, (\d+\.\d+)"")),"""")
"),18)</f>
        <v>18</v>
      </c>
      <c r="M146" s="3" t="n">
        <f aca="false">IFERROR(__xludf.dummyfunction("if($T146&lt;&gt;"""",VALUE(REGEXEXTRACT($T146, M$1&amp;""[\w &amp;]*, (\d+\.\d+)"")),"""")
"),16)</f>
        <v>16</v>
      </c>
      <c r="N146" s="3" t="n">
        <f aca="false">IFERROR(__xludf.dummyfunction("if($T146&lt;&gt;"""",VALUE(REGEXEXTRACT(SUBSTITUTE ($T146,N$1&amp;"" CE"",""""), N$1&amp;""[\w &amp;]*, (\d+\.\d+)"")),"""")
"),15)</f>
        <v>15</v>
      </c>
      <c r="O146" s="3" t="n">
        <f aca="false">IFERROR(__xludf.dummyfunction("if($T146&lt;&gt;"""",VALUE(REGEXEXTRACT($T146, O$1&amp;""[\w &amp;]*, (\d+\.\d+)"")),"""")
"),16)</f>
        <v>16</v>
      </c>
      <c r="P146" s="2" t="n">
        <f aca="false">IFERROR(__xludf.dummyfunction("if($T146&lt;&gt;"""",VALUE(REGEXEXTRACT($T146, P$1&amp;""[\w &amp;]*, (\d+\.\d+)"")),"""")
"),13.81)</f>
        <v>13.81</v>
      </c>
      <c r="Q146" s="2" t="n">
        <f aca="false">IFERROR(__xludf.dummyfunction("if($T146&lt;&gt;"""",VALUE(REGEXEXTRACT($T146, Q$1&amp;""[\w &amp;]*, (\d+\.\d+)"")),"""")
"),13.15)</f>
        <v>13.15</v>
      </c>
      <c r="R146" s="2" t="n">
        <f aca="false">IFERROR(__xludf.dummyfunction("if($T146&lt;&gt;"""",VALUE(REGEXEXTRACT($T146, SUBSTITUTE(R$1, ""+"", ""\+"")&amp;""[\w &amp;]*, (\d+\.\d+)"")),"""")"),16.59)</f>
        <v>16.59</v>
      </c>
      <c r="S146" s="2" t="n">
        <f aca="false">IFERROR(__xludf.dummyfunction("if($T146&lt;&gt;"""",VALUE(REGEXEXTRACT($T146, SUBSTITUTE(S$1, ""+"", ""\+"")&amp;""[\w &amp;]*, (\d+\.\d+)"")),"""")"),17.25)</f>
        <v>17.25</v>
      </c>
      <c r="T146" s="5" t="s">
        <v>355</v>
      </c>
    </row>
    <row r="147" customFormat="false" ht="15.75" hidden="false" customHeight="false" outlineLevel="0" collapsed="false">
      <c r="A147" s="4" t="n">
        <f aca="false">IFERROR(__xludf.dummyfunction("""COMPUTED_VALUE"""),45608.6361111111)</f>
        <v>45608.6361111111</v>
      </c>
      <c r="B147" s="2" t="n">
        <f aca="false">IFERROR(__xludf.dummyfunction("""COMPUTED_VALUE"""),15.17)</f>
        <v>15.17</v>
      </c>
      <c r="C147" s="2" t="n">
        <f aca="false">IFERROR(__xludf.dummyfunction("""COMPUTED_VALUE"""),15.17)</f>
        <v>15.17</v>
      </c>
      <c r="D147" s="2" t="n">
        <f aca="false">IFERROR(__xludf.dummyfunction("""COMPUTED_VALUE"""),14.69)</f>
        <v>14.69</v>
      </c>
      <c r="E147" s="2" t="n">
        <f aca="false">IFERROR(__xludf.dummyfunction("""COMPUTED_VALUE"""),14.71)</f>
        <v>14.71</v>
      </c>
      <c r="F147" s="3" t="n">
        <f aca="false">IFERROR(__xludf.dummyfunction("if($T147&lt;&gt;"""",VALUE(REGEXEXTRACT(SUBSTITUTE ($T147,F$1&amp;"" CE"",""""), F$1&amp;""[\w &amp;]*, (\d+\.\d+)"")),"""")
"),20)</f>
        <v>20</v>
      </c>
      <c r="G147" s="3" t="n">
        <f aca="false">IFERROR(__xludf.dummyfunction("if($T147&lt;&gt;"""",VALUE(REGEXEXTRACT($T147, G$1&amp;""[\w &amp;]*, (\d+\.\d+)"")),"""")
"),20)</f>
        <v>20</v>
      </c>
      <c r="H147" s="3" t="str">
        <f aca="false">IFERROR(__xludf.dummyfunction("if($T147&lt;&gt;"""",VALUE(REGEXEXTRACT($T147, H$1&amp;""[\w &amp;]*, (\d+\.\d+)"")),"""")
"),"#N/A")</f>
        <v>#N/A</v>
      </c>
      <c r="I147" s="3" t="n">
        <f aca="false">IFERROR(__xludf.dummyfunction("if($T147&lt;&gt;"""",VALUE(REGEXEXTRACT(SUBSTITUTE ($T147,I$1&amp;"" CE"",""""), I$1&amp;""[\w &amp;]*, (\d+\.\d+)"")),"""")
"),15)</f>
        <v>15</v>
      </c>
      <c r="J147" s="3" t="n">
        <f aca="false">IFERROR(__xludf.dummyfunction("if($T147&lt;&gt;"""",VALUE(REGEXEXTRACT($T147, J$1&amp;""[\w &amp;]*, (\d+\.\d+)"")),"""")
"),16)</f>
        <v>16</v>
      </c>
      <c r="K147" s="3" t="n">
        <f aca="false">IFERROR(__xludf.dummyfunction("if($T147&lt;&gt;"""",VALUE(REGEXEXTRACT($T147, K$1&amp;""[\w &amp;]*, (\d+\.\d+)"")),"""")
"),14)</f>
        <v>14</v>
      </c>
      <c r="L147" s="3" t="n">
        <f aca="false">IFERROR(__xludf.dummyfunction("if($T147&lt;&gt;"""",VALUE(REGEXEXTRACT(SUBSTITUTE ($T147,L$1&amp;"" CE"",""""), L$1&amp;""[\w &amp;]*, (\d+\.\d+)"")),"""")
"),18)</f>
        <v>18</v>
      </c>
      <c r="M147" s="3" t="n">
        <f aca="false">IFERROR(__xludf.dummyfunction("if($T147&lt;&gt;"""",VALUE(REGEXEXTRACT($T147, M$1&amp;""[\w &amp;]*, (\d+\.\d+)"")),"""")
"),16)</f>
        <v>16</v>
      </c>
      <c r="N147" s="3" t="n">
        <f aca="false">IFERROR(__xludf.dummyfunction("if($T147&lt;&gt;"""",VALUE(REGEXEXTRACT(SUBSTITUTE ($T147,N$1&amp;"" CE"",""""), N$1&amp;""[\w &amp;]*, (\d+\.\d+)"")),"""")
"),15)</f>
        <v>15</v>
      </c>
      <c r="O147" s="3" t="n">
        <f aca="false">IFERROR(__xludf.dummyfunction("if($T147&lt;&gt;"""",VALUE(REGEXEXTRACT($T147, O$1&amp;""[\w &amp;]*, (\d+\.\d+)"")),"""")
"),16)</f>
        <v>16</v>
      </c>
      <c r="P147" s="2" t="n">
        <f aca="false">IFERROR(__xludf.dummyfunction("if($T147&lt;&gt;"""",VALUE(REGEXEXTRACT($T147, P$1&amp;""[\w &amp;]*, (\d+\.\d+)"")),"""")
"),13.96)</f>
        <v>13.96</v>
      </c>
      <c r="Q147" s="2" t="n">
        <f aca="false">IFERROR(__xludf.dummyfunction("if($T147&lt;&gt;"""",VALUE(REGEXEXTRACT($T147, Q$1&amp;""[\w &amp;]*, (\d+\.\d+)"")),"""")
"),13.14)</f>
        <v>13.14</v>
      </c>
      <c r="R147" s="2" t="n">
        <f aca="false">IFERROR(__xludf.dummyfunction("if($T147&lt;&gt;"""",VALUE(REGEXEXTRACT($T147, SUBSTITUTE(R$1, ""+"", ""\+"")&amp;""[\w &amp;]*, (\d+\.\d+)"")),"""")"),15.92)</f>
        <v>15.92</v>
      </c>
      <c r="S147" s="2" t="n">
        <f aca="false">IFERROR(__xludf.dummyfunction("if($T147&lt;&gt;"""",VALUE(REGEXEXTRACT($T147, SUBSTITUTE(S$1, ""+"", ""\+"")&amp;""[\w &amp;]*, (\d+\.\d+)"")),"""")"),16.74)</f>
        <v>16.74</v>
      </c>
      <c r="T147" s="5" t="s">
        <v>356</v>
      </c>
    </row>
    <row r="148" customFormat="false" ht="15.75" hidden="false" customHeight="false" outlineLevel="0" collapsed="false">
      <c r="A148" s="4" t="n">
        <f aca="false">IFERROR(__xludf.dummyfunction("""COMPUTED_VALUE"""),45609.6361111111)</f>
        <v>45609.6361111111</v>
      </c>
      <c r="B148" s="2" t="n">
        <f aca="false">IFERROR(__xludf.dummyfunction("""COMPUTED_VALUE"""),15.19)</f>
        <v>15.19</v>
      </c>
      <c r="C148" s="2" t="n">
        <f aca="false">IFERROR(__xludf.dummyfunction("""COMPUTED_VALUE"""),15.26)</f>
        <v>15.26</v>
      </c>
      <c r="D148" s="2" t="n">
        <f aca="false">IFERROR(__xludf.dummyfunction("""COMPUTED_VALUE"""),13.77)</f>
        <v>13.77</v>
      </c>
      <c r="E148" s="2" t="n">
        <f aca="false">IFERROR(__xludf.dummyfunction("""COMPUTED_VALUE"""),14.02)</f>
        <v>14.02</v>
      </c>
      <c r="F148" s="3" t="n">
        <f aca="false">IFERROR(__xludf.dummyfunction("if($T148&lt;&gt;"""",VALUE(REGEXEXTRACT(SUBSTITUTE ($T148,F$1&amp;"" CE"",""""), F$1&amp;""[\w &amp;]*, (\d+\.\d+)"")),"""")
"),20)</f>
        <v>20</v>
      </c>
      <c r="G148" s="3" t="n">
        <f aca="false">IFERROR(__xludf.dummyfunction("if($T148&lt;&gt;"""",VALUE(REGEXEXTRACT($T148, G$1&amp;""[\w &amp;]*, (\d+\.\d+)"")),"""")
"),20)</f>
        <v>20</v>
      </c>
      <c r="H148" s="3" t="str">
        <f aca="false">IFERROR(__xludf.dummyfunction("if($T148&lt;&gt;"""",VALUE(REGEXEXTRACT($T148, H$1&amp;""[\w &amp;]*, (\d+\.\d+)"")),"""")
"),"#N/A")</f>
        <v>#N/A</v>
      </c>
      <c r="I148" s="3" t="n">
        <f aca="false">IFERROR(__xludf.dummyfunction("if($T148&lt;&gt;"""",VALUE(REGEXEXTRACT(SUBSTITUTE ($T148,I$1&amp;"" CE"",""""), I$1&amp;""[\w &amp;]*, (\d+\.\d+)"")),"""")
"),15)</f>
        <v>15</v>
      </c>
      <c r="J148" s="3" t="n">
        <f aca="false">IFERROR(__xludf.dummyfunction("if($T148&lt;&gt;"""",VALUE(REGEXEXTRACT($T148, J$1&amp;""[\w &amp;]*, (\d+\.\d+)"")),"""")
"),15)</f>
        <v>15</v>
      </c>
      <c r="K148" s="3" t="n">
        <f aca="false">IFERROR(__xludf.dummyfunction("if($T148&lt;&gt;"""",VALUE(REGEXEXTRACT($T148, K$1&amp;""[\w &amp;]*, (\d+\.\d+)"")),"""")
"),14)</f>
        <v>14</v>
      </c>
      <c r="L148" s="3" t="n">
        <f aca="false">IFERROR(__xludf.dummyfunction("if($T148&lt;&gt;"""",VALUE(REGEXEXTRACT(SUBSTITUTE ($T148,L$1&amp;"" CE"",""""), L$1&amp;""[\w &amp;]*, (\d+\.\d+)"")),"""")
"),18)</f>
        <v>18</v>
      </c>
      <c r="M148" s="3" t="n">
        <f aca="false">IFERROR(__xludf.dummyfunction("if($T148&lt;&gt;"""",VALUE(REGEXEXTRACT($T148, M$1&amp;""[\w &amp;]*, (\d+\.\d+)"")),"""")
"),15)</f>
        <v>15</v>
      </c>
      <c r="N148" s="3" t="n">
        <f aca="false">IFERROR(__xludf.dummyfunction("if($T148&lt;&gt;"""",VALUE(REGEXEXTRACT(SUBSTITUTE ($T148,N$1&amp;"" CE"",""""), N$1&amp;""[\w &amp;]*, (\d+\.\d+)"")),"""")
"),15)</f>
        <v>15</v>
      </c>
      <c r="O148" s="3" t="n">
        <f aca="false">IFERROR(__xludf.dummyfunction("if($T148&lt;&gt;"""",VALUE(REGEXEXTRACT($T148, O$1&amp;""[\w &amp;]*, (\d+\.\d+)"")),"""")
"),16)</f>
        <v>16</v>
      </c>
      <c r="P148" s="2" t="n">
        <f aca="false">IFERROR(__xludf.dummyfunction("if($T148&lt;&gt;"""",VALUE(REGEXEXTRACT($T148, P$1&amp;""[\w &amp;]*, (\d+\.\d+)"")),"""")
"),14.15)</f>
        <v>14.15</v>
      </c>
      <c r="Q148" s="2" t="n">
        <f aca="false">IFERROR(__xludf.dummyfunction("if($T148&lt;&gt;"""",VALUE(REGEXEXTRACT($T148, Q$1&amp;""[\w &amp;]*, (\d+\.\d+)"")),"""")
"),13.22)</f>
        <v>13.22</v>
      </c>
      <c r="R148" s="2" t="n">
        <f aca="false">IFERROR(__xludf.dummyfunction("if($T148&lt;&gt;"""",VALUE(REGEXEXTRACT($T148, SUBSTITUTE(R$1, ""+"", ""\+"")&amp;""[\w &amp;]*, (\d+\.\d+)"")),"""")"),15.79)</f>
        <v>15.79</v>
      </c>
      <c r="S148" s="2" t="n">
        <f aca="false">IFERROR(__xludf.dummyfunction("if($T148&lt;&gt;"""",VALUE(REGEXEXTRACT($T148, SUBSTITUTE(S$1, ""+"", ""\+"")&amp;""[\w &amp;]*, (\d+\.\d+)"")),"""")"),16.72)</f>
        <v>16.72</v>
      </c>
      <c r="T148" s="5" t="s">
        <v>357</v>
      </c>
    </row>
    <row r="149" customFormat="false" ht="15.75" hidden="false" customHeight="false" outlineLevel="0" collapsed="false">
      <c r="A149" s="4" t="n">
        <f aca="false">IFERROR(__xludf.dummyfunction("""COMPUTED_VALUE"""),45610.6361111111)</f>
        <v>45610.6361111111</v>
      </c>
      <c r="B149" s="2" t="n">
        <f aca="false">IFERROR(__xludf.dummyfunction("""COMPUTED_VALUE"""),14.11)</f>
        <v>14.11</v>
      </c>
      <c r="C149" s="2" t="n">
        <f aca="false">IFERROR(__xludf.dummyfunction("""COMPUTED_VALUE"""),14.32)</f>
        <v>14.32</v>
      </c>
      <c r="D149" s="2" t="n">
        <f aca="false">IFERROR(__xludf.dummyfunction("""COMPUTED_VALUE"""),13.59)</f>
        <v>13.59</v>
      </c>
      <c r="E149" s="2" t="n">
        <f aca="false">IFERROR(__xludf.dummyfunction("""COMPUTED_VALUE"""),14.31)</f>
        <v>14.31</v>
      </c>
      <c r="F149" s="3" t="n">
        <f aca="false">IFERROR(__xludf.dummyfunction("if($T149&lt;&gt;"""",VALUE(REGEXEXTRACT(SUBSTITUTE ($T149,F$1&amp;"" CE"",""""), F$1&amp;""[\w &amp;]*, (\d+\.\d+)"")),"""")
"),20)</f>
        <v>20</v>
      </c>
      <c r="G149" s="3" t="n">
        <f aca="false">IFERROR(__xludf.dummyfunction("if($T149&lt;&gt;"""",VALUE(REGEXEXTRACT($T149, G$1&amp;""[\w &amp;]*, (\d+\.\d+)"")),"""")
"),16)</f>
        <v>16</v>
      </c>
      <c r="H149" s="3" t="str">
        <f aca="false">IFERROR(__xludf.dummyfunction("if($T149&lt;&gt;"""",VALUE(REGEXEXTRACT($T149, H$1&amp;""[\w &amp;]*, (\d+\.\d+)"")),"""")
"),"#N/A")</f>
        <v>#N/A</v>
      </c>
      <c r="I149" s="3" t="n">
        <f aca="false">IFERROR(__xludf.dummyfunction("if($T149&lt;&gt;"""",VALUE(REGEXEXTRACT(SUBSTITUTE ($T149,I$1&amp;"" CE"",""""), I$1&amp;""[\w &amp;]*, (\d+\.\d+)"")),"""")
"),15)</f>
        <v>15</v>
      </c>
      <c r="J149" s="3" t="n">
        <f aca="false">IFERROR(__xludf.dummyfunction("if($T149&lt;&gt;"""",VALUE(REGEXEXTRACT($T149, J$1&amp;""[\w &amp;]*, (\d+\.\d+)"")),"""")
"),14.5)</f>
        <v>14.5</v>
      </c>
      <c r="K149" s="3" t="n">
        <f aca="false">IFERROR(__xludf.dummyfunction("if($T149&lt;&gt;"""",VALUE(REGEXEXTRACT($T149, K$1&amp;""[\w &amp;]*, (\d+\.\d+)"")),"""")
"),14)</f>
        <v>14</v>
      </c>
      <c r="L149" s="3" t="n">
        <f aca="false">IFERROR(__xludf.dummyfunction("if($T149&lt;&gt;"""",VALUE(REGEXEXTRACT(SUBSTITUTE ($T149,L$1&amp;"" CE"",""""), L$1&amp;""[\w &amp;]*, (\d+\.\d+)"")),"""")
"),18)</f>
        <v>18</v>
      </c>
      <c r="M149" s="3" t="n">
        <f aca="false">IFERROR(__xludf.dummyfunction("if($T149&lt;&gt;"""",VALUE(REGEXEXTRACT($T149, M$1&amp;""[\w &amp;]*, (\d+\.\d+)"")),"""")
"),14.5)</f>
        <v>14.5</v>
      </c>
      <c r="N149" s="3" t="n">
        <f aca="false">IFERROR(__xludf.dummyfunction("if($T149&lt;&gt;"""",VALUE(REGEXEXTRACT(SUBSTITUTE ($T149,N$1&amp;"" CE"",""""), N$1&amp;""[\w &amp;]*, (\d+\.\d+)"")),"""")
"),15)</f>
        <v>15</v>
      </c>
      <c r="O149" s="3" t="n">
        <f aca="false">IFERROR(__xludf.dummyfunction("if($T149&lt;&gt;"""",VALUE(REGEXEXTRACT($T149, O$1&amp;""[\w &amp;]*, (\d+\.\d+)"")),"""")
"),15)</f>
        <v>15</v>
      </c>
      <c r="P149" s="2" t="n">
        <f aca="false">IFERROR(__xludf.dummyfunction("if($T149&lt;&gt;"""",VALUE(REGEXEXTRACT($T149, P$1&amp;""[\w &amp;]*, (\d+\.\d+)"")),"""")
"),14.24)</f>
        <v>14.24</v>
      </c>
      <c r="Q149" s="2" t="n">
        <f aca="false">IFERROR(__xludf.dummyfunction("if($T149&lt;&gt;"""",VALUE(REGEXEXTRACT($T149, Q$1&amp;""[\w &amp;]*, (\d+\.\d+)"")),"""")
"),13.37)</f>
        <v>13.37</v>
      </c>
      <c r="R149" s="2" t="n">
        <f aca="false">IFERROR(__xludf.dummyfunction("if($T149&lt;&gt;"""",VALUE(REGEXEXTRACT($T149, SUBSTITUTE(R$1, ""+"", ""\+"")&amp;""[\w &amp;]*, (\d+\.\d+)"")),"""")"),15.18)</f>
        <v>15.18</v>
      </c>
      <c r="S149" s="2" t="n">
        <f aca="false">IFERROR(__xludf.dummyfunction("if($T149&lt;&gt;"""",VALUE(REGEXEXTRACT($T149, SUBSTITUTE(S$1, ""+"", ""\+"")&amp;""[\w &amp;]*, (\d+\.\d+)"")),"""")"),16.05)</f>
        <v>16.05</v>
      </c>
      <c r="T149" s="5" t="s">
        <v>358</v>
      </c>
    </row>
    <row r="150" customFormat="false" ht="15.75" hidden="false" customHeight="false" outlineLevel="0" collapsed="false">
      <c r="A150" s="4" t="n">
        <f aca="false">IFERROR(__xludf.dummyfunction("""COMPUTED_VALUE"""),45611.6361111111)</f>
        <v>45611.6361111111</v>
      </c>
      <c r="B150" s="2" t="n">
        <f aca="false">IFERROR(__xludf.dummyfunction("""COMPUTED_VALUE"""),14.64)</f>
        <v>14.64</v>
      </c>
      <c r="C150" s="2" t="n">
        <f aca="false">IFERROR(__xludf.dummyfunction("""COMPUTED_VALUE"""),17.55)</f>
        <v>17.55</v>
      </c>
      <c r="D150" s="2" t="n">
        <f aca="false">IFERROR(__xludf.dummyfunction("""COMPUTED_VALUE"""),14.56)</f>
        <v>14.56</v>
      </c>
      <c r="E150" s="2" t="n">
        <f aca="false">IFERROR(__xludf.dummyfunction("""COMPUTED_VALUE"""),16.14)</f>
        <v>16.14</v>
      </c>
      <c r="F150" s="3" t="n">
        <f aca="false">IFERROR(__xludf.dummyfunction("if($T150&lt;&gt;"""",VALUE(REGEXEXTRACT(SUBSTITUTE ($T150,F$1&amp;"" CE"",""""), F$1&amp;""[\w &amp;]*, (\d+\.\d+)"")),"""")
"),16)</f>
        <v>16</v>
      </c>
      <c r="G150" s="3" t="n">
        <f aca="false">IFERROR(__xludf.dummyfunction("if($T150&lt;&gt;"""",VALUE(REGEXEXTRACT($T150, G$1&amp;""[\w &amp;]*, (\d+\.\d+)"")),"""")
"),20)</f>
        <v>20</v>
      </c>
      <c r="H150" s="3" t="str">
        <f aca="false">IFERROR(__xludf.dummyfunction("if($T150&lt;&gt;"""",VALUE(REGEXEXTRACT($T150, H$1&amp;""[\w &amp;]*, (\d+\.\d+)"")),"""")
"),"#N/A")</f>
        <v>#N/A</v>
      </c>
      <c r="I150" s="3" t="n">
        <f aca="false">IFERROR(__xludf.dummyfunction("if($T150&lt;&gt;"""",VALUE(REGEXEXTRACT(SUBSTITUTE ($T150,I$1&amp;"" CE"",""""), I$1&amp;""[\w &amp;]*, (\d+\.\d+)"")),"""")
"),15)</f>
        <v>15</v>
      </c>
      <c r="J150" s="3" t="n">
        <f aca="false">IFERROR(__xludf.dummyfunction("if($T150&lt;&gt;"""",VALUE(REGEXEXTRACT($T150, J$1&amp;""[\w &amp;]*, (\d+\.\d+)"")),"""")
"),15)</f>
        <v>15</v>
      </c>
      <c r="K150" s="3" t="n">
        <f aca="false">IFERROR(__xludf.dummyfunction("if($T150&lt;&gt;"""",VALUE(REGEXEXTRACT($T150, K$1&amp;""[\w &amp;]*, (\d+\.\d+)"")),"""")
"),14)</f>
        <v>14</v>
      </c>
      <c r="L150" s="3" t="n">
        <f aca="false">IFERROR(__xludf.dummyfunction("if($T150&lt;&gt;"""",VALUE(REGEXEXTRACT(SUBSTITUTE ($T150,L$1&amp;"" CE"",""""), L$1&amp;""[\w &amp;]*, (\d+\.\d+)"")),"""")
"),18)</f>
        <v>18</v>
      </c>
      <c r="M150" s="3" t="n">
        <f aca="false">IFERROR(__xludf.dummyfunction("if($T150&lt;&gt;"""",VALUE(REGEXEXTRACT($T150, M$1&amp;""[\w &amp;]*, (\d+\.\d+)"")),"""")
"),18)</f>
        <v>18</v>
      </c>
      <c r="N150" s="3" t="n">
        <f aca="false">IFERROR(__xludf.dummyfunction("if($T150&lt;&gt;"""",VALUE(REGEXEXTRACT(SUBSTITUTE ($T150,N$1&amp;"" CE"",""""), N$1&amp;""[\w &amp;]*, (\d+\.\d+)"")),"""")
"),15)</f>
        <v>15</v>
      </c>
      <c r="O150" s="3" t="n">
        <f aca="false">IFERROR(__xludf.dummyfunction("if($T150&lt;&gt;"""",VALUE(REGEXEXTRACT($T150, O$1&amp;""[\w &amp;]*, (\d+\.\d+)"")),"""")
"),15)</f>
        <v>15</v>
      </c>
      <c r="P150" s="2" t="n">
        <f aca="false">IFERROR(__xludf.dummyfunction("if($T150&lt;&gt;"""",VALUE(REGEXEXTRACT($T150, P$1&amp;""[\w &amp;]*, (\d+\.\d+)"")),"""")
"),12.81)</f>
        <v>12.81</v>
      </c>
      <c r="Q150" s="2" t="n">
        <f aca="false">IFERROR(__xludf.dummyfunction("if($T150&lt;&gt;"""",VALUE(REGEXEXTRACT($T150, Q$1&amp;""[\w &amp;]*, (\d+\.\d+)"")),"""")
"),12.31)</f>
        <v>12.31</v>
      </c>
      <c r="R150" s="2" t="n">
        <f aca="false">IFERROR(__xludf.dummyfunction("if($T150&lt;&gt;"""",VALUE(REGEXEXTRACT($T150, SUBSTITUTE(R$1, ""+"", ""\+"")&amp;""[\w &amp;]*, (\d+\.\d+)"")),"""")"),15.23)</f>
        <v>15.23</v>
      </c>
      <c r="S150" s="2" t="n">
        <f aca="false">IFERROR(__xludf.dummyfunction("if($T150&lt;&gt;"""",VALUE(REGEXEXTRACT($T150, SUBSTITUTE(S$1, ""+"", ""\+"")&amp;""[\w &amp;]*, (\d+\.\d+)"")),"""")"),15.73)</f>
        <v>15.73</v>
      </c>
      <c r="T150" s="5" t="s">
        <v>359</v>
      </c>
    </row>
    <row r="151" customFormat="false" ht="15.75" hidden="false" customHeight="false" outlineLevel="0" collapsed="false">
      <c r="A151" s="4" t="n">
        <f aca="false">IFERROR(__xludf.dummyfunction("""COMPUTED_VALUE"""),45614.6361111111)</f>
        <v>45614.6361111111</v>
      </c>
      <c r="B151" s="2" t="n">
        <f aca="false">IFERROR(__xludf.dummyfunction("""COMPUTED_VALUE"""),16.6)</f>
        <v>16.6</v>
      </c>
      <c r="C151" s="2" t="n">
        <f aca="false">IFERROR(__xludf.dummyfunction("""COMPUTED_VALUE"""),17)</f>
        <v>17</v>
      </c>
      <c r="D151" s="2" t="n">
        <f aca="false">IFERROR(__xludf.dummyfunction("""COMPUTED_VALUE"""),15.35)</f>
        <v>15.35</v>
      </c>
      <c r="E151" s="2" t="n">
        <f aca="false">IFERROR(__xludf.dummyfunction("""COMPUTED_VALUE"""),15.58)</f>
        <v>15.58</v>
      </c>
      <c r="F151" s="3" t="n">
        <f aca="false">IFERROR(__xludf.dummyfunction("if($T151&lt;&gt;"""",VALUE(REGEXEXTRACT(SUBSTITUTE ($T151,F$1&amp;"" CE"",""""), F$1&amp;""[\w &amp;]*, (\d+\.\d+)"")),"""")
"),16)</f>
        <v>16</v>
      </c>
      <c r="G151" s="3" t="n">
        <f aca="false">IFERROR(__xludf.dummyfunction("if($T151&lt;&gt;"""",VALUE(REGEXEXTRACT($T151, G$1&amp;""[\w &amp;]*, (\d+\.\d+)"")),"""")
"),20)</f>
        <v>20</v>
      </c>
      <c r="H151" s="3" t="str">
        <f aca="false">IFERROR(__xludf.dummyfunction("if($T151&lt;&gt;"""",VALUE(REGEXEXTRACT($T151, H$1&amp;""[\w &amp;]*, (\d+\.\d+)"")),"""")
"),"#N/A")</f>
        <v>#N/A</v>
      </c>
      <c r="I151" s="3" t="n">
        <f aca="false">IFERROR(__xludf.dummyfunction("if($T151&lt;&gt;"""",VALUE(REGEXEXTRACT(SUBSTITUTE ($T151,I$1&amp;"" CE"",""""), I$1&amp;""[\w &amp;]*, (\d+\.\d+)"")),"""")
"),15)</f>
        <v>15</v>
      </c>
      <c r="J151" s="3" t="n">
        <f aca="false">IFERROR(__xludf.dummyfunction("if($T151&lt;&gt;"""",VALUE(REGEXEXTRACT($T151, J$1&amp;""[\w &amp;]*, (\d+\.\d+)"")),"""")
"),15)</f>
        <v>15</v>
      </c>
      <c r="K151" s="3" t="n">
        <f aca="false">IFERROR(__xludf.dummyfunction("if($T151&lt;&gt;"""",VALUE(REGEXEXTRACT($T151, K$1&amp;""[\w &amp;]*, (\d+\.\d+)"")),"""")
"),14)</f>
        <v>14</v>
      </c>
      <c r="L151" s="3" t="n">
        <f aca="false">IFERROR(__xludf.dummyfunction("if($T151&lt;&gt;"""",VALUE(REGEXEXTRACT(SUBSTITUTE ($T151,L$1&amp;"" CE"",""""), L$1&amp;""[\w &amp;]*, (\d+\.\d+)"")),"""")
"),18)</f>
        <v>18</v>
      </c>
      <c r="M151" s="3" t="n">
        <f aca="false">IFERROR(__xludf.dummyfunction("if($T151&lt;&gt;"""",VALUE(REGEXEXTRACT($T151, M$1&amp;""[\w &amp;]*, (\d+\.\d+)"")),"""")
"),18)</f>
        <v>18</v>
      </c>
      <c r="N151" s="3" t="n">
        <f aca="false">IFERROR(__xludf.dummyfunction("if($T151&lt;&gt;"""",VALUE(REGEXEXTRACT(SUBSTITUTE ($T151,N$1&amp;"" CE"",""""), N$1&amp;""[\w &amp;]*, (\d+\.\d+)"")),"""")
"),15)</f>
        <v>15</v>
      </c>
      <c r="O151" s="3" t="n">
        <f aca="false">IFERROR(__xludf.dummyfunction("if($T151&lt;&gt;"""",VALUE(REGEXEXTRACT($T151, O$1&amp;""[\w &amp;]*, (\d+\.\d+)"")),"""")
"),15)</f>
        <v>15</v>
      </c>
      <c r="P151" s="2" t="n">
        <f aca="false">IFERROR(__xludf.dummyfunction("if($T151&lt;&gt;"""",VALUE(REGEXEXTRACT($T151, P$1&amp;""[\w &amp;]*, (\d+\.\d+)"")),"""")
"),13.03)</f>
        <v>13.03</v>
      </c>
      <c r="Q151" s="2" t="n">
        <f aca="false">IFERROR(__xludf.dummyfunction("if($T151&lt;&gt;"""",VALUE(REGEXEXTRACT($T151, Q$1&amp;""[\w &amp;]*, (\d+\.\d+)"")),"""")
"),12.42)</f>
        <v>12.42</v>
      </c>
      <c r="R151" s="2" t="n">
        <f aca="false">IFERROR(__xludf.dummyfunction("if($T151&lt;&gt;"""",VALUE(REGEXEXTRACT($T151, SUBSTITUTE(R$1, ""+"", ""\+"")&amp;""[\w &amp;]*, (\d+\.\d+)"")),"""")"),15.59)</f>
        <v>15.59</v>
      </c>
      <c r="S151" s="2" t="n">
        <f aca="false">IFERROR(__xludf.dummyfunction("if($T151&lt;&gt;"""",VALUE(REGEXEXTRACT($T151, SUBSTITUTE(S$1, ""+"", ""\+"")&amp;""[\w &amp;]*, (\d+\.\d+)"")),"""")"),16.2)</f>
        <v>16.2</v>
      </c>
      <c r="T151" s="5" t="s">
        <v>360</v>
      </c>
    </row>
    <row r="152" customFormat="false" ht="15.75" hidden="false" customHeight="false" outlineLevel="0" collapsed="false">
      <c r="A152" s="4" t="n">
        <f aca="false">IFERROR(__xludf.dummyfunction("""COMPUTED_VALUE"""),45615.6361111111)</f>
        <v>45615.6361111111</v>
      </c>
      <c r="B152" s="2" t="n">
        <f aca="false">IFERROR(__xludf.dummyfunction("""COMPUTED_VALUE"""),16.5)</f>
        <v>16.5</v>
      </c>
      <c r="C152" s="2" t="n">
        <f aca="false">IFERROR(__xludf.dummyfunction("""COMPUTED_VALUE"""),17.93)</f>
        <v>17.93</v>
      </c>
      <c r="D152" s="2" t="n">
        <f aca="false">IFERROR(__xludf.dummyfunction("""COMPUTED_VALUE"""),16.5)</f>
        <v>16.5</v>
      </c>
      <c r="E152" s="2" t="n">
        <f aca="false">IFERROR(__xludf.dummyfunction("""COMPUTED_VALUE"""),16.35)</f>
        <v>16.35</v>
      </c>
      <c r="F152" s="3" t="n">
        <f aca="false">IFERROR(__xludf.dummyfunction("if($T152&lt;&gt;"""",VALUE(REGEXEXTRACT(SUBSTITUTE ($T152,F$1&amp;"" CE"",""""), F$1&amp;""[\w &amp;]*, (\d+\.\d+)"")),"""")
"),17)</f>
        <v>17</v>
      </c>
      <c r="G152" s="3" t="n">
        <f aca="false">IFERROR(__xludf.dummyfunction("if($T152&lt;&gt;"""",VALUE(REGEXEXTRACT($T152, G$1&amp;""[\w &amp;]*, (\d+\.\d+)"")),"""")
"),20)</f>
        <v>20</v>
      </c>
      <c r="H152" s="3" t="n">
        <f aca="false">IFERROR(__xludf.dummyfunction("if($T152&lt;&gt;"""",VALUE(REGEXEXTRACT($T152, H$1&amp;""[\w &amp;]*, (\d+\.\d+)"")),"""")
"),21)</f>
        <v>21</v>
      </c>
      <c r="I152" s="3" t="n">
        <f aca="false">IFERROR(__xludf.dummyfunction("if($T152&lt;&gt;"""",VALUE(REGEXEXTRACT(SUBSTITUTE ($T152,I$1&amp;"" CE"",""""), I$1&amp;""[\w &amp;]*, (\d+\.\d+)"")),"""")
"),15)</f>
        <v>15</v>
      </c>
      <c r="J152" s="3" t="n">
        <f aca="false">IFERROR(__xludf.dummyfunction("if($T152&lt;&gt;"""",VALUE(REGEXEXTRACT($T152, J$1&amp;""[\w &amp;]*, (\d+\.\d+)"")),"""")
"),15)</f>
        <v>15</v>
      </c>
      <c r="K152" s="3" t="n">
        <f aca="false">IFERROR(__xludf.dummyfunction("if($T152&lt;&gt;"""",VALUE(REGEXEXTRACT($T152, K$1&amp;""[\w &amp;]*, (\d+\.\d+)"")),"""")
"),14)</f>
        <v>14</v>
      </c>
      <c r="L152" s="3" t="n">
        <f aca="false">IFERROR(__xludf.dummyfunction("if($T152&lt;&gt;"""",VALUE(REGEXEXTRACT(SUBSTITUTE ($T152,L$1&amp;"" CE"",""""), L$1&amp;""[\w &amp;]*, (\d+\.\d+)"")),"""")
"),18.5)</f>
        <v>18.5</v>
      </c>
      <c r="M152" s="3" t="n">
        <f aca="false">IFERROR(__xludf.dummyfunction("if($T152&lt;&gt;"""",VALUE(REGEXEXTRACT($T152, M$1&amp;""[\w &amp;]*, (\d+\.\d+)"")),"""")
"),18)</f>
        <v>18</v>
      </c>
      <c r="N152" s="3" t="n">
        <f aca="false">IFERROR(__xludf.dummyfunction("if($T152&lt;&gt;"""",VALUE(REGEXEXTRACT(SUBSTITUTE ($T152,N$1&amp;"" CE"",""""), N$1&amp;""[\w &amp;]*, (\d+\.\d+)"")),"""")
"),17)</f>
        <v>17</v>
      </c>
      <c r="O152" s="3" t="n">
        <f aca="false">IFERROR(__xludf.dummyfunction("if($T152&lt;&gt;"""",VALUE(REGEXEXTRACT($T152, O$1&amp;""[\w &amp;]*, (\d+\.\d+)"")),"""")
"),17)</f>
        <v>17</v>
      </c>
      <c r="P152" s="2" t="n">
        <f aca="false">IFERROR(__xludf.dummyfunction("if($T152&lt;&gt;"""",VALUE(REGEXEXTRACT($T152, P$1&amp;""[\w &amp;]*, (\d+\.\d+)"")),"""")
"),14.8)</f>
        <v>14.8</v>
      </c>
      <c r="Q152" s="2" t="n">
        <f aca="false">IFERROR(__xludf.dummyfunction("if($T152&lt;&gt;"""",VALUE(REGEXEXTRACT($T152, Q$1&amp;""[\w &amp;]*, (\d+\.\d+)"")),"""")
"),13.7)</f>
        <v>13.7</v>
      </c>
      <c r="R152" s="2" t="n">
        <f aca="false">IFERROR(__xludf.dummyfunction("if($T152&lt;&gt;"""",VALUE(REGEXEXTRACT($T152, SUBSTITUTE(R$1, ""+"", ""\+"")&amp;""[\w &amp;]*, (\d+\.\d+)"")),"""")"),17.48)</f>
        <v>17.48</v>
      </c>
      <c r="S152" s="2" t="n">
        <f aca="false">IFERROR(__xludf.dummyfunction("if($T152&lt;&gt;"""",VALUE(REGEXEXTRACT($T152, SUBSTITUTE(S$1, ""+"", ""\+"")&amp;""[\w &amp;]*, (\d+\.\d+)"")),"""")"),18.58)</f>
        <v>18.58</v>
      </c>
      <c r="T152" s="5" t="s">
        <v>361</v>
      </c>
    </row>
    <row r="153" customFormat="false" ht="15.75" hidden="false" customHeight="false" outlineLevel="0" collapsed="false">
      <c r="A153" s="4" t="n">
        <f aca="false">IFERROR(__xludf.dummyfunction("""COMPUTED_VALUE"""),45616.6361111111)</f>
        <v>45616.6361111111</v>
      </c>
      <c r="B153" s="2" t="n">
        <f aca="false">IFERROR(__xludf.dummyfunction("""COMPUTED_VALUE"""),16.19)</f>
        <v>16.19</v>
      </c>
      <c r="C153" s="2" t="n">
        <f aca="false">IFERROR(__xludf.dummyfunction("""COMPUTED_VALUE"""),18.79)</f>
        <v>18.79</v>
      </c>
      <c r="D153" s="2" t="n">
        <f aca="false">IFERROR(__xludf.dummyfunction("""COMPUTED_VALUE"""),16.19)</f>
        <v>16.19</v>
      </c>
      <c r="E153" s="2" t="n">
        <f aca="false">IFERROR(__xludf.dummyfunction("""COMPUTED_VALUE"""),17.16)</f>
        <v>17.16</v>
      </c>
      <c r="F153" s="3" t="n">
        <f aca="false">IFERROR(__xludf.dummyfunction("if($T153&lt;&gt;"""",VALUE(REGEXEXTRACT(SUBSTITUTE ($T153,F$1&amp;"" CE"",""""), F$1&amp;""[\w &amp;]*, (\d+\.\d+)"")),"""")
"),17)</f>
        <v>17</v>
      </c>
      <c r="G153" s="3" t="n">
        <f aca="false">IFERROR(__xludf.dummyfunction("if($T153&lt;&gt;"""",VALUE(REGEXEXTRACT($T153, G$1&amp;""[\w &amp;]*, (\d+\.\d+)"")),"""")
"),20)</f>
        <v>20</v>
      </c>
      <c r="H153" s="3" t="n">
        <f aca="false">IFERROR(__xludf.dummyfunction("if($T153&lt;&gt;"""",VALUE(REGEXEXTRACT($T153, H$1&amp;""[\w &amp;]*, (\d+\.\d+)"")),"""")
"),21)</f>
        <v>21</v>
      </c>
      <c r="I153" s="3" t="n">
        <f aca="false">IFERROR(__xludf.dummyfunction("if($T153&lt;&gt;"""",VALUE(REGEXEXTRACT(SUBSTITUTE ($T153,I$1&amp;"" CE"",""""), I$1&amp;""[\w &amp;]*, (\d+\.\d+)"")),"""")
"),16)</f>
        <v>16</v>
      </c>
      <c r="J153" s="3" t="n">
        <f aca="false">IFERROR(__xludf.dummyfunction("if($T153&lt;&gt;"""",VALUE(REGEXEXTRACT($T153, J$1&amp;""[\w &amp;]*, (\d+\.\d+)"")),"""")
"),15)</f>
        <v>15</v>
      </c>
      <c r="K153" s="3" t="n">
        <f aca="false">IFERROR(__xludf.dummyfunction("if($T153&lt;&gt;"""",VALUE(REGEXEXTRACT($T153, K$1&amp;""[\w &amp;]*, (\d+\.\d+)"")),"""")
"),14)</f>
        <v>14</v>
      </c>
      <c r="L153" s="3" t="n">
        <f aca="false">IFERROR(__xludf.dummyfunction("if($T153&lt;&gt;"""",VALUE(REGEXEXTRACT(SUBSTITUTE ($T153,L$1&amp;"" CE"",""""), L$1&amp;""[\w &amp;]*, (\d+\.\d+)"")),"""")
"),18)</f>
        <v>18</v>
      </c>
      <c r="M153" s="3" t="n">
        <f aca="false">IFERROR(__xludf.dummyfunction("if($T153&lt;&gt;"""",VALUE(REGEXEXTRACT($T153, M$1&amp;""[\w &amp;]*, (\d+\.\d+)"")),"""")
"),18)</f>
        <v>18</v>
      </c>
      <c r="N153" s="3" t="n">
        <f aca="false">IFERROR(__xludf.dummyfunction("if($T153&lt;&gt;"""",VALUE(REGEXEXTRACT(SUBSTITUTE ($T153,N$1&amp;"" CE"",""""), N$1&amp;""[\w &amp;]*, (\d+\.\d+)"")),"""")
"),17)</f>
        <v>17</v>
      </c>
      <c r="O153" s="3" t="n">
        <f aca="false">IFERROR(__xludf.dummyfunction("if($T153&lt;&gt;"""",VALUE(REGEXEXTRACT($T153, O$1&amp;""[\w &amp;]*, (\d+\.\d+)"")),"""")
"),16)</f>
        <v>16</v>
      </c>
      <c r="P153" s="2" t="n">
        <f aca="false">IFERROR(__xludf.dummyfunction("if($T153&lt;&gt;"""",VALUE(REGEXEXTRACT($T153, P$1&amp;""[\w &amp;]*, (\d+\.\d+)"")),"""")
"),14.51)</f>
        <v>14.51</v>
      </c>
      <c r="Q153" s="2" t="n">
        <f aca="false">IFERROR(__xludf.dummyfunction("if($T153&lt;&gt;"""",VALUE(REGEXEXTRACT($T153, Q$1&amp;""[\w &amp;]*, (\d+\.\d+)"")),"""")
"),13.32)</f>
        <v>13.32</v>
      </c>
      <c r="R153" s="2" t="n">
        <f aca="false">IFERROR(__xludf.dummyfunction("if($T153&lt;&gt;"""",VALUE(REGEXEXTRACT($T153, SUBSTITUTE(R$1, ""+"", ""\+"")&amp;""[\w &amp;]*, (\d+\.\d+)"")),"""")"),16.65)</f>
        <v>16.65</v>
      </c>
      <c r="S153" s="2" t="n">
        <f aca="false">IFERROR(__xludf.dummyfunction("if($T153&lt;&gt;"""",VALUE(REGEXEXTRACT($T153, SUBSTITUTE(S$1, ""+"", ""\+"")&amp;""[\w &amp;]*, (\d+\.\d+)"")),"""")"),17.84)</f>
        <v>17.84</v>
      </c>
      <c r="T153" s="5" t="s">
        <v>362</v>
      </c>
    </row>
    <row r="154" customFormat="false" ht="15.75" hidden="false" customHeight="false" outlineLevel="0" collapsed="false">
      <c r="A154" s="4" t="n">
        <f aca="false">IFERROR(__xludf.dummyfunction("""COMPUTED_VALUE"""),45617.6361111111)</f>
        <v>45617.6361111111</v>
      </c>
      <c r="B154" s="2" t="n">
        <f aca="false">IFERROR(__xludf.dummyfunction("""COMPUTED_VALUE"""),16.54)</f>
        <v>16.54</v>
      </c>
      <c r="C154" s="2" t="n">
        <f aca="false">IFERROR(__xludf.dummyfunction("""COMPUTED_VALUE"""),17.99)</f>
        <v>17.99</v>
      </c>
      <c r="D154" s="2" t="n">
        <f aca="false">IFERROR(__xludf.dummyfunction("""COMPUTED_VALUE"""),15.73)</f>
        <v>15.73</v>
      </c>
      <c r="E154" s="2" t="n">
        <f aca="false">IFERROR(__xludf.dummyfunction("""COMPUTED_VALUE"""),16.87)</f>
        <v>16.87</v>
      </c>
      <c r="F154" s="3" t="n">
        <f aca="false">IFERROR(__xludf.dummyfunction("if($T154&lt;&gt;"""",VALUE(REGEXEXTRACT(SUBSTITUTE ($T154,F$1&amp;"" CE"",""""), F$1&amp;""[\w &amp;]*, (\d+\.\d+)"")),"""")
"),17)</f>
        <v>17</v>
      </c>
      <c r="G154" s="3" t="n">
        <f aca="false">IFERROR(__xludf.dummyfunction("if($T154&lt;&gt;"""",VALUE(REGEXEXTRACT($T154, G$1&amp;""[\w &amp;]*, (\d+\.\d+)"")),"""")
"),20)</f>
        <v>20</v>
      </c>
      <c r="H154" s="3" t="n">
        <f aca="false">IFERROR(__xludf.dummyfunction("if($T154&lt;&gt;"""",VALUE(REGEXEXTRACT($T154, H$1&amp;""[\w &amp;]*, (\d+\.\d+)"")),"""")
"),21)</f>
        <v>21</v>
      </c>
      <c r="I154" s="3" t="n">
        <f aca="false">IFERROR(__xludf.dummyfunction("if($T154&lt;&gt;"""",VALUE(REGEXEXTRACT(SUBSTITUTE ($T154,I$1&amp;"" CE"",""""), I$1&amp;""[\w &amp;]*, (\d+\.\d+)"")),"""")
"),16)</f>
        <v>16</v>
      </c>
      <c r="J154" s="3" t="n">
        <f aca="false">IFERROR(__xludf.dummyfunction("if($T154&lt;&gt;"""",VALUE(REGEXEXTRACT($T154, J$1&amp;""[\w &amp;]*, (\d+\.\d+)"")),"""")
"),15)</f>
        <v>15</v>
      </c>
      <c r="K154" s="3" t="n">
        <f aca="false">IFERROR(__xludf.dummyfunction("if($T154&lt;&gt;"""",VALUE(REGEXEXTRACT($T154, K$1&amp;""[\w &amp;]*, (\d+\.\d+)"")),"""")
"),14)</f>
        <v>14</v>
      </c>
      <c r="L154" s="3" t="n">
        <f aca="false">IFERROR(__xludf.dummyfunction("if($T154&lt;&gt;"""",VALUE(REGEXEXTRACT(SUBSTITUTE ($T154,L$1&amp;"" CE"",""""), L$1&amp;""[\w &amp;]*, (\d+\.\d+)"")),"""")
"),18)</f>
        <v>18</v>
      </c>
      <c r="M154" s="3" t="n">
        <f aca="false">IFERROR(__xludf.dummyfunction("if($T154&lt;&gt;"""",VALUE(REGEXEXTRACT($T154, M$1&amp;""[\w &amp;]*, (\d+\.\d+)"")),"""")
"),18)</f>
        <v>18</v>
      </c>
      <c r="N154" s="3" t="n">
        <f aca="false">IFERROR(__xludf.dummyfunction("if($T154&lt;&gt;"""",VALUE(REGEXEXTRACT(SUBSTITUTE ($T154,N$1&amp;"" CE"",""""), N$1&amp;""[\w &amp;]*, (\d+\.\d+)"")),"""")
"),17)</f>
        <v>17</v>
      </c>
      <c r="O154" s="3" t="n">
        <f aca="false">IFERROR(__xludf.dummyfunction("if($T154&lt;&gt;"""",VALUE(REGEXEXTRACT($T154, O$1&amp;""[\w &amp;]*, (\d+\.\d+)"")),"""")
"),17)</f>
        <v>17</v>
      </c>
      <c r="P154" s="2" t="n">
        <f aca="false">IFERROR(__xludf.dummyfunction("if($T154&lt;&gt;"""",VALUE(REGEXEXTRACT($T154, P$1&amp;""[\w &amp;]*, (\d+\.\d+)"")),"""")
"),15.7)</f>
        <v>15.7</v>
      </c>
      <c r="Q154" s="2" t="n">
        <f aca="false">IFERROR(__xludf.dummyfunction("if($T154&lt;&gt;"""",VALUE(REGEXEXTRACT($T154, Q$1&amp;""[\w &amp;]*, (\d+\.\d+)"")),"""")
"),14.52)</f>
        <v>14.52</v>
      </c>
      <c r="R154" s="2" t="n">
        <f aca="false">IFERROR(__xludf.dummyfunction("if($T154&lt;&gt;"""",VALUE(REGEXEXTRACT($T154, SUBSTITUTE(R$1, ""+"", ""\+"")&amp;""[\w &amp;]*, (\d+\.\d+)"")),"""")"),17)</f>
        <v>17</v>
      </c>
      <c r="S154" s="2" t="n">
        <f aca="false">IFERROR(__xludf.dummyfunction("if($T154&lt;&gt;"""",VALUE(REGEXEXTRACT($T154, SUBSTITUTE(S$1, ""+"", ""\+"")&amp;""[\w &amp;]*, (\d+\.\d+)"")),"""")"),18.18)</f>
        <v>18.18</v>
      </c>
      <c r="T154" s="5" t="s">
        <v>363</v>
      </c>
    </row>
    <row r="155" customFormat="false" ht="15.75" hidden="false" customHeight="false" outlineLevel="0" collapsed="false">
      <c r="A155" s="4" t="n">
        <f aca="false">IFERROR(__xludf.dummyfunction("""COMPUTED_VALUE"""),45618.6361111111)</f>
        <v>45618.6361111111</v>
      </c>
      <c r="B155" s="2" t="n">
        <f aca="false">IFERROR(__xludf.dummyfunction("""COMPUTED_VALUE"""),16.85)</f>
        <v>16.85</v>
      </c>
      <c r="C155" s="2" t="n">
        <f aca="false">IFERROR(__xludf.dummyfunction("""COMPUTED_VALUE"""),16.85)</f>
        <v>16.85</v>
      </c>
      <c r="D155" s="2" t="n">
        <f aca="false">IFERROR(__xludf.dummyfunction("""COMPUTED_VALUE"""),15.24)</f>
        <v>15.24</v>
      </c>
      <c r="E155" s="2" t="n">
        <f aca="false">IFERROR(__xludf.dummyfunction("""COMPUTED_VALUE"""),15.24)</f>
        <v>15.24</v>
      </c>
      <c r="F155" s="3" t="n">
        <f aca="false">IFERROR(__xludf.dummyfunction("if($T155&lt;&gt;"""",VALUE(REGEXEXTRACT(SUBSTITUTE ($T155,F$1&amp;"" CE"",""""), F$1&amp;""[\w &amp;]*, (\d+\.\d+)"")),"""")
"),20)</f>
        <v>20</v>
      </c>
      <c r="G155" s="3" t="n">
        <f aca="false">IFERROR(__xludf.dummyfunction("if($T155&lt;&gt;"""",VALUE(REGEXEXTRACT($T155, G$1&amp;""[\w &amp;]*, (\d+\.\d+)"")),"""")
"),20)</f>
        <v>20</v>
      </c>
      <c r="H155" s="3" t="n">
        <f aca="false">IFERROR(__xludf.dummyfunction("if($T155&lt;&gt;"""",VALUE(REGEXEXTRACT($T155, H$1&amp;""[\w &amp;]*, (\d+\.\d+)"")),"""")
"),21)</f>
        <v>21</v>
      </c>
      <c r="I155" s="3" t="n">
        <f aca="false">IFERROR(__xludf.dummyfunction("if($T155&lt;&gt;"""",VALUE(REGEXEXTRACT(SUBSTITUTE ($T155,I$1&amp;"" CE"",""""), I$1&amp;""[\w &amp;]*, (\d+\.\d+)"")),"""")
"),15)</f>
        <v>15</v>
      </c>
      <c r="J155" s="3" t="n">
        <f aca="false">IFERROR(__xludf.dummyfunction("if($T155&lt;&gt;"""",VALUE(REGEXEXTRACT($T155, J$1&amp;""[\w &amp;]*, (\d+\.\d+)"")),"""")
"),15)</f>
        <v>15</v>
      </c>
      <c r="K155" s="3" t="n">
        <f aca="false">IFERROR(__xludf.dummyfunction("if($T155&lt;&gt;"""",VALUE(REGEXEXTRACT($T155, K$1&amp;""[\w &amp;]*, (\d+\.\d+)"")),"""")
"),14)</f>
        <v>14</v>
      </c>
      <c r="L155" s="3" t="n">
        <f aca="false">IFERROR(__xludf.dummyfunction("if($T155&lt;&gt;"""",VALUE(REGEXEXTRACT(SUBSTITUTE ($T155,L$1&amp;"" CE"",""""), L$1&amp;""[\w &amp;]*, (\d+\.\d+)"")),"""")
"),18)</f>
        <v>18</v>
      </c>
      <c r="M155" s="3" t="n">
        <f aca="false">IFERROR(__xludf.dummyfunction("if($T155&lt;&gt;"""",VALUE(REGEXEXTRACT($T155, M$1&amp;""[\w &amp;]*, (\d+\.\d+)"")),"""")
"),16)</f>
        <v>16</v>
      </c>
      <c r="N155" s="3" t="n">
        <f aca="false">IFERROR(__xludf.dummyfunction("if($T155&lt;&gt;"""",VALUE(REGEXEXTRACT(SUBSTITUTE ($T155,N$1&amp;"" CE"",""""), N$1&amp;""[\w &amp;]*, (\d+\.\d+)"")),"""")
"),17)</f>
        <v>17</v>
      </c>
      <c r="O155" s="3" t="n">
        <f aca="false">IFERROR(__xludf.dummyfunction("if($T155&lt;&gt;"""",VALUE(REGEXEXTRACT($T155, O$1&amp;""[\w &amp;]*, (\d+\.\d+)"")),"""")
"),15)</f>
        <v>15</v>
      </c>
      <c r="P155" s="2" t="n">
        <f aca="false">IFERROR(__xludf.dummyfunction("if($T155&lt;&gt;"""",VALUE(REGEXEXTRACT($T155, P$1&amp;""[\w &amp;]*, (\d+\.\d+)"")),"""")
"),15.02)</f>
        <v>15.02</v>
      </c>
      <c r="Q155" s="2" t="n">
        <f aca="false">IFERROR(__xludf.dummyfunction("if($T155&lt;&gt;"""",VALUE(REGEXEXTRACT($T155, Q$1&amp;""[\w &amp;]*, (\d+\.\d+)"")),"""")
"),14.13)</f>
        <v>14.13</v>
      </c>
      <c r="R155" s="2" t="n">
        <f aca="false">IFERROR(__xludf.dummyfunction("if($T155&lt;&gt;"""",VALUE(REGEXEXTRACT($T155, SUBSTITUTE(R$1, ""+"", ""\+"")&amp;""[\w &amp;]*, (\d+\.\d+)"")),"""")"),19.3)</f>
        <v>19.3</v>
      </c>
      <c r="S155" s="2" t="n">
        <f aca="false">IFERROR(__xludf.dummyfunction("if($T155&lt;&gt;"""",VALUE(REGEXEXTRACT($T155, SUBSTITUTE(S$1, ""+"", ""\+"")&amp;""[\w &amp;]*, (\d+\.\d+)"")),"""")"),20.19)</f>
        <v>20.19</v>
      </c>
      <c r="T155" s="5" t="s">
        <v>364</v>
      </c>
    </row>
    <row r="156" customFormat="false" ht="15.75" hidden="false" customHeight="false" outlineLevel="0" collapsed="false">
      <c r="A156" s="4" t="n">
        <f aca="false">IFERROR(__xludf.dummyfunction("""COMPUTED_VALUE"""),45621.6361111111)</f>
        <v>45621.6361111111</v>
      </c>
      <c r="B156" s="2" t="n">
        <f aca="false">IFERROR(__xludf.dummyfunction("""COMPUTED_VALUE"""),15.23)</f>
        <v>15.23</v>
      </c>
      <c r="C156" s="2" t="n">
        <f aca="false">IFERROR(__xludf.dummyfunction("""COMPUTED_VALUE"""),15.72)</f>
        <v>15.72</v>
      </c>
      <c r="D156" s="2" t="n">
        <f aca="false">IFERROR(__xludf.dummyfunction("""COMPUTED_VALUE"""),14.54)</f>
        <v>14.54</v>
      </c>
      <c r="E156" s="2" t="n">
        <f aca="false">IFERROR(__xludf.dummyfunction("""COMPUTED_VALUE"""),14.6)</f>
        <v>14.6</v>
      </c>
      <c r="F156" s="3" t="n">
        <f aca="false">IFERROR(__xludf.dummyfunction("if($T156&lt;&gt;"""",VALUE(REGEXEXTRACT(SUBSTITUTE ($T156,F$1&amp;"" CE"",""""), F$1&amp;""[\w &amp;]*, (\d+\.\d+)"")),"""")
"),20)</f>
        <v>20</v>
      </c>
      <c r="G156" s="3" t="n">
        <f aca="false">IFERROR(__xludf.dummyfunction("if($T156&lt;&gt;"""",VALUE(REGEXEXTRACT($T156, G$1&amp;""[\w &amp;]*, (\d+\.\d+)"")),"""")
"),17)</f>
        <v>17</v>
      </c>
      <c r="H156" s="3" t="n">
        <f aca="false">IFERROR(__xludf.dummyfunction("if($T156&lt;&gt;"""",VALUE(REGEXEXTRACT($T156, H$1&amp;""[\w &amp;]*, (\d+\.\d+)"")),"""")
"),21)</f>
        <v>21</v>
      </c>
      <c r="I156" s="3" t="n">
        <f aca="false">IFERROR(__xludf.dummyfunction("if($T156&lt;&gt;"""",VALUE(REGEXEXTRACT(SUBSTITUTE ($T156,I$1&amp;"" CE"",""""), I$1&amp;""[\w &amp;]*, (\d+\.\d+)"")),"""")
"),15)</f>
        <v>15</v>
      </c>
      <c r="J156" s="3" t="n">
        <f aca="false">IFERROR(__xludf.dummyfunction("if($T156&lt;&gt;"""",VALUE(REGEXEXTRACT($T156, J$1&amp;""[\w &amp;]*, (\d+\.\d+)"")),"""")
"),15)</f>
        <v>15</v>
      </c>
      <c r="K156" s="3" t="n">
        <f aca="false">IFERROR(__xludf.dummyfunction("if($T156&lt;&gt;"""",VALUE(REGEXEXTRACT($T156, K$1&amp;""[\w &amp;]*, (\d+\.\d+)"")),"""")
"),14)</f>
        <v>14</v>
      </c>
      <c r="L156" s="3" t="n">
        <f aca="false">IFERROR(__xludf.dummyfunction("if($T156&lt;&gt;"""",VALUE(REGEXEXTRACT(SUBSTITUTE ($T156,L$1&amp;"" CE"",""""), L$1&amp;""[\w &amp;]*, (\d+\.\d+)"")),"""")
"),18)</f>
        <v>18</v>
      </c>
      <c r="M156" s="3" t="n">
        <f aca="false">IFERROR(__xludf.dummyfunction("if($T156&lt;&gt;"""",VALUE(REGEXEXTRACT($T156, M$1&amp;""[\w &amp;]*, (\d+\.\d+)"")),"""")
"),16)</f>
        <v>16</v>
      </c>
      <c r="N156" s="3" t="n">
        <f aca="false">IFERROR(__xludf.dummyfunction("if($T156&lt;&gt;"""",VALUE(REGEXEXTRACT(SUBSTITUTE ($T156,N$1&amp;"" CE"",""""), N$1&amp;""[\w &amp;]*, (\d+\.\d+)"")),"""")
"),17)</f>
        <v>17</v>
      </c>
      <c r="O156" s="3" t="n">
        <f aca="false">IFERROR(__xludf.dummyfunction("if($T156&lt;&gt;"""",VALUE(REGEXEXTRACT($T156, O$1&amp;""[\w &amp;]*, (\d+\.\d+)"")),"""")
"),15)</f>
        <v>15</v>
      </c>
      <c r="P156" s="2" t="n">
        <f aca="false">IFERROR(__xludf.dummyfunction("if($T156&lt;&gt;"""",VALUE(REGEXEXTRACT($T156, P$1&amp;""[\w &amp;]*, (\d+\.\d+)"")),"""")
"),14.17)</f>
        <v>14.17</v>
      </c>
      <c r="Q156" s="2" t="n">
        <f aca="false">IFERROR(__xludf.dummyfunction("if($T156&lt;&gt;"""",VALUE(REGEXEXTRACT($T156, Q$1&amp;""[\w &amp;]*, (\d+\.\d+)"")),"""")
"),13.28)</f>
        <v>13.28</v>
      </c>
      <c r="R156" s="2" t="n">
        <f aca="false">IFERROR(__xludf.dummyfunction("if($T156&lt;&gt;"""",VALUE(REGEXEXTRACT($T156, SUBSTITUTE(R$1, ""+"", ""\+"")&amp;""[\w &amp;]*, (\d+\.\d+)"")),"""")"),16.31)</f>
        <v>16.31</v>
      </c>
      <c r="S156" s="2" t="n">
        <f aca="false">IFERROR(__xludf.dummyfunction("if($T156&lt;&gt;"""",VALUE(REGEXEXTRACT($T156, SUBSTITUTE(S$1, ""+"", ""\+"")&amp;""[\w &amp;]*, (\d+\.\d+)"")),"""")"),17.2)</f>
        <v>17.2</v>
      </c>
      <c r="T156" s="5" t="s">
        <v>365</v>
      </c>
    </row>
    <row r="157" customFormat="false" ht="15.75" hidden="false" customHeight="false" outlineLevel="0" collapsed="false">
      <c r="A157" s="4" t="n">
        <f aca="false">IFERROR(__xludf.dummyfunction("""COMPUTED_VALUE"""),45622.6361111111)</f>
        <v>45622.6361111111</v>
      </c>
      <c r="B157" s="2" t="n">
        <f aca="false">IFERROR(__xludf.dummyfunction("""COMPUTED_VALUE"""),14.56)</f>
        <v>14.56</v>
      </c>
      <c r="C157" s="2" t="n">
        <f aca="false">IFERROR(__xludf.dummyfunction("""COMPUTED_VALUE"""),14.56)</f>
        <v>14.56</v>
      </c>
      <c r="D157" s="2" t="n">
        <f aca="false">IFERROR(__xludf.dummyfunction("""COMPUTED_VALUE"""),13.88)</f>
        <v>13.88</v>
      </c>
      <c r="E157" s="2" t="n">
        <f aca="false">IFERROR(__xludf.dummyfunction("""COMPUTED_VALUE"""),14.1)</f>
        <v>14.1</v>
      </c>
      <c r="F157" s="3" t="n">
        <f aca="false">IFERROR(__xludf.dummyfunction("if($T157&lt;&gt;"""",VALUE(REGEXEXTRACT(SUBSTITUTE ($T157,F$1&amp;"" CE"",""""), F$1&amp;""[\w &amp;]*, (\d+\.\d+)"")),"""")
"),20)</f>
        <v>20</v>
      </c>
      <c r="G157" s="3" t="n">
        <f aca="false">IFERROR(__xludf.dummyfunction("if($T157&lt;&gt;"""",VALUE(REGEXEXTRACT($T157, G$1&amp;""[\w &amp;]*, (\d+\.\d+)"")),"""")
"),20)</f>
        <v>20</v>
      </c>
      <c r="H157" s="3" t="n">
        <f aca="false">IFERROR(__xludf.dummyfunction("if($T157&lt;&gt;"""",VALUE(REGEXEXTRACT($T157, H$1&amp;""[\w &amp;]*, (\d+\.\d+)"")),"""")
"),21)</f>
        <v>21</v>
      </c>
      <c r="I157" s="3" t="n">
        <f aca="false">IFERROR(__xludf.dummyfunction("if($T157&lt;&gt;"""",VALUE(REGEXEXTRACT(SUBSTITUTE ($T157,I$1&amp;"" CE"",""""), I$1&amp;""[\w &amp;]*, (\d+\.\d+)"")),"""")
"),15)</f>
        <v>15</v>
      </c>
      <c r="J157" s="3" t="n">
        <f aca="false">IFERROR(__xludf.dummyfunction("if($T157&lt;&gt;"""",VALUE(REGEXEXTRACT($T157, J$1&amp;""[\w &amp;]*, (\d+\.\d+)"")),"""")
"),15)</f>
        <v>15</v>
      </c>
      <c r="K157" s="3" t="n">
        <f aca="false">IFERROR(__xludf.dummyfunction("if($T157&lt;&gt;"""",VALUE(REGEXEXTRACT($T157, K$1&amp;""[\w &amp;]*, (\d+\.\d+)"")),"""")
"),14)</f>
        <v>14</v>
      </c>
      <c r="L157" s="3" t="n">
        <f aca="false">IFERROR(__xludf.dummyfunction("if($T157&lt;&gt;"""",VALUE(REGEXEXTRACT(SUBSTITUTE ($T157,L$1&amp;"" CE"",""""), L$1&amp;""[\w &amp;]*, (\d+\.\d+)"")),"""")
"),18)</f>
        <v>18</v>
      </c>
      <c r="M157" s="3" t="n">
        <f aca="false">IFERROR(__xludf.dummyfunction("if($T157&lt;&gt;"""",VALUE(REGEXEXTRACT($T157, M$1&amp;""[\w &amp;]*, (\d+\.\d+)"")),"""")
"),16)</f>
        <v>16</v>
      </c>
      <c r="N157" s="3" t="n">
        <f aca="false">IFERROR(__xludf.dummyfunction("if($T157&lt;&gt;"""",VALUE(REGEXEXTRACT(SUBSTITUTE ($T157,N$1&amp;"" CE"",""""), N$1&amp;""[\w &amp;]*, (\d+\.\d+)"")),"""")
"),17)</f>
        <v>17</v>
      </c>
      <c r="O157" s="3" t="n">
        <f aca="false">IFERROR(__xludf.dummyfunction("if($T157&lt;&gt;"""",VALUE(REGEXEXTRACT($T157, O$1&amp;""[\w &amp;]*, (\d+\.\d+)"")),"""")
"),15)</f>
        <v>15</v>
      </c>
      <c r="P157" s="2" t="n">
        <f aca="false">IFERROR(__xludf.dummyfunction("if($T157&lt;&gt;"""",VALUE(REGEXEXTRACT($T157, P$1&amp;""[\w &amp;]*, (\d+\.\d+)"")),"""")
"),14.9)</f>
        <v>14.9</v>
      </c>
      <c r="Q157" s="2" t="n">
        <f aca="false">IFERROR(__xludf.dummyfunction("if($T157&lt;&gt;"""",VALUE(REGEXEXTRACT($T157, Q$1&amp;""[\w &amp;]*, (\d+\.\d+)"")),"""")
"),13.97)</f>
        <v>13.97</v>
      </c>
      <c r="R157" s="2" t="n">
        <f aca="false">IFERROR(__xludf.dummyfunction("if($T157&lt;&gt;"""",VALUE(REGEXEXTRACT($T157, SUBSTITUTE(R$1, ""+"", ""\+"")&amp;""[\w &amp;]*, (\d+\.\d+)"")),"""")"),18.84)</f>
        <v>18.84</v>
      </c>
      <c r="S157" s="2" t="n">
        <f aca="false">IFERROR(__xludf.dummyfunction("if($T157&lt;&gt;"""",VALUE(REGEXEXTRACT($T157, SUBSTITUTE(S$1, ""+"", ""\+"")&amp;""[\w &amp;]*, (\d+\.\d+)"")),"""")"),19.77)</f>
        <v>19.77</v>
      </c>
      <c r="T157" s="5" t="s">
        <v>366</v>
      </c>
    </row>
    <row r="158" customFormat="false" ht="15.75" hidden="false" customHeight="false" outlineLevel="0" collapsed="false">
      <c r="A158" s="4" t="n">
        <f aca="false">IFERROR(__xludf.dummyfunction("""COMPUTED_VALUE"""),45623.6361111111)</f>
        <v>45623.6361111111</v>
      </c>
      <c r="B158" s="2" t="n">
        <f aca="false">IFERROR(__xludf.dummyfunction("""COMPUTED_VALUE"""),14.33)</f>
        <v>14.33</v>
      </c>
      <c r="C158" s="2" t="n">
        <f aca="false">IFERROR(__xludf.dummyfunction("""COMPUTED_VALUE"""),15.13)</f>
        <v>15.13</v>
      </c>
      <c r="D158" s="2" t="n">
        <f aca="false">IFERROR(__xludf.dummyfunction("""COMPUTED_VALUE"""),13.96)</f>
        <v>13.96</v>
      </c>
      <c r="E158" s="2" t="n">
        <f aca="false">IFERROR(__xludf.dummyfunction("""COMPUTED_VALUE"""),14.1)</f>
        <v>14.1</v>
      </c>
      <c r="F158" s="3" t="n">
        <f aca="false">IFERROR(__xludf.dummyfunction("if($T158&lt;&gt;"""",VALUE(REGEXEXTRACT(SUBSTITUTE ($T158,F$1&amp;"" CE"",""""), F$1&amp;""[\w &amp;]*, (\d+\.\d+)"")),"""")
"),20)</f>
        <v>20</v>
      </c>
      <c r="G158" s="3" t="n">
        <f aca="false">IFERROR(__xludf.dummyfunction("if($T158&lt;&gt;"""",VALUE(REGEXEXTRACT($T158, G$1&amp;""[\w &amp;]*, (\d+\.\d+)"")),"""")
"),17)</f>
        <v>17</v>
      </c>
      <c r="H158" s="3" t="str">
        <f aca="false">IFERROR(__xludf.dummyfunction("if($T158&lt;&gt;"""",VALUE(REGEXEXTRACT($T158, H$1&amp;""[\w &amp;]*, (\d+\.\d+)"")),"""")
"),"#N/A")</f>
        <v>#N/A</v>
      </c>
      <c r="I158" s="3" t="n">
        <f aca="false">IFERROR(__xludf.dummyfunction("if($T158&lt;&gt;"""",VALUE(REGEXEXTRACT(SUBSTITUTE ($T158,I$1&amp;"" CE"",""""), I$1&amp;""[\w &amp;]*, (\d+\.\d+)"")),"""")
"),15)</f>
        <v>15</v>
      </c>
      <c r="J158" s="3" t="n">
        <f aca="false">IFERROR(__xludf.dummyfunction("if($T158&lt;&gt;"""",VALUE(REGEXEXTRACT($T158, J$1&amp;""[\w &amp;]*, (\d+\.\d+)"")),"""")
"),15)</f>
        <v>15</v>
      </c>
      <c r="K158" s="3" t="n">
        <f aca="false">IFERROR(__xludf.dummyfunction("if($T158&lt;&gt;"""",VALUE(REGEXEXTRACT($T158, K$1&amp;""[\w &amp;]*, (\d+\.\d+)"")),"""")
"),14)</f>
        <v>14</v>
      </c>
      <c r="L158" s="3" t="n">
        <f aca="false">IFERROR(__xludf.dummyfunction("if($T158&lt;&gt;"""",VALUE(REGEXEXTRACT(SUBSTITUTE ($T158,L$1&amp;"" CE"",""""), L$1&amp;""[\w &amp;]*, (\d+\.\d+)"")),"""")
"),18)</f>
        <v>18</v>
      </c>
      <c r="M158" s="3" t="n">
        <f aca="false">IFERROR(__xludf.dummyfunction("if($T158&lt;&gt;"""",VALUE(REGEXEXTRACT($T158, M$1&amp;""[\w &amp;]*, (\d+\.\d+)"")),"""")
"),16)</f>
        <v>16</v>
      </c>
      <c r="N158" s="3" t="n">
        <f aca="false">IFERROR(__xludf.dummyfunction("if($T158&lt;&gt;"""",VALUE(REGEXEXTRACT(SUBSTITUTE ($T158,N$1&amp;"" CE"",""""), N$1&amp;""[\w &amp;]*, (\d+\.\d+)"")),"""")
"),17)</f>
        <v>17</v>
      </c>
      <c r="O158" s="3" t="n">
        <f aca="false">IFERROR(__xludf.dummyfunction("if($T158&lt;&gt;"""",VALUE(REGEXEXTRACT($T158, O$1&amp;""[\w &amp;]*, (\d+\.\d+)"")),"""")
"),15)</f>
        <v>15</v>
      </c>
      <c r="P158" s="2" t="n">
        <f aca="false">IFERROR(__xludf.dummyfunction("if($T158&lt;&gt;"""",VALUE(REGEXEXTRACT($T158, P$1&amp;""[\w &amp;]*, (\d+\.\d+)"")),"""")
"),13.83)</f>
        <v>13.83</v>
      </c>
      <c r="Q158" s="2" t="n">
        <f aca="false">IFERROR(__xludf.dummyfunction("if($T158&lt;&gt;"""",VALUE(REGEXEXTRACT($T158, Q$1&amp;""[\w &amp;]*, (\d+\.\d+)"")),"""")
"),12.96)</f>
        <v>12.96</v>
      </c>
      <c r="R158" s="2" t="n">
        <f aca="false">IFERROR(__xludf.dummyfunction("if($T158&lt;&gt;"""",VALUE(REGEXEXTRACT($T158, SUBSTITUTE(R$1, ""+"", ""\+"")&amp;""[\w &amp;]*, (\d+\.\d+)"")),"""")"),15.37)</f>
        <v>15.37</v>
      </c>
      <c r="S158" s="2" t="n">
        <f aca="false">IFERROR(__xludf.dummyfunction("if($T158&lt;&gt;"""",VALUE(REGEXEXTRACT($T158, SUBSTITUTE(S$1, ""+"", ""\+"")&amp;""[\w &amp;]*, (\d+\.\d+)"")),"""")"),16.24)</f>
        <v>16.24</v>
      </c>
      <c r="T158" s="5" t="s">
        <v>367</v>
      </c>
    </row>
    <row r="159" customFormat="false" ht="15.75" hidden="false" customHeight="false" outlineLevel="0" collapsed="false">
      <c r="A159" s="4" t="n">
        <f aca="false">IFERROR(__xludf.dummyfunction("""COMPUTED_VALUE"""),45625.5416666667)</f>
        <v>45625.5416666667</v>
      </c>
      <c r="B159" s="2" t="n">
        <f aca="false">IFERROR(__xludf.dummyfunction("""COMPUTED_VALUE"""),13.96)</f>
        <v>13.96</v>
      </c>
      <c r="C159" s="2" t="n">
        <f aca="false">IFERROR(__xludf.dummyfunction("""COMPUTED_VALUE"""),14.15)</f>
        <v>14.15</v>
      </c>
      <c r="D159" s="2" t="n">
        <f aca="false">IFERROR(__xludf.dummyfunction("""COMPUTED_VALUE"""),13.49)</f>
        <v>13.49</v>
      </c>
      <c r="E159" s="2" t="n">
        <f aca="false">IFERROR(__xludf.dummyfunction("""COMPUTED_VALUE"""),13.51)</f>
        <v>13.51</v>
      </c>
      <c r="F159" s="3" t="n">
        <f aca="false">IFERROR(__xludf.dummyfunction("if($T159&lt;&gt;"""",VALUE(REGEXEXTRACT(SUBSTITUTE ($T159,F$1&amp;"" CE"",""""), F$1&amp;""[\w &amp;]*, (\d+\.\d+)"")),"""")
"),20)</f>
        <v>20</v>
      </c>
      <c r="G159" s="3" t="n">
        <f aca="false">IFERROR(__xludf.dummyfunction("if($T159&lt;&gt;"""",VALUE(REGEXEXTRACT($T159, G$1&amp;""[\w &amp;]*, (\d+\.\d+)"")),"""")
"),14)</f>
        <v>14</v>
      </c>
      <c r="H159" s="3" t="str">
        <f aca="false">IFERROR(__xludf.dummyfunction("if($T159&lt;&gt;"""",VALUE(REGEXEXTRACT($T159, H$1&amp;""[\w &amp;]*, (\d+\.\d+)"")),"""")
"),"#N/A")</f>
        <v>#N/A</v>
      </c>
      <c r="I159" s="3" t="n">
        <f aca="false">IFERROR(__xludf.dummyfunction("if($T159&lt;&gt;"""",VALUE(REGEXEXTRACT(SUBSTITUTE ($T159,I$1&amp;"" CE"",""""), I$1&amp;""[\w &amp;]*, (\d+\.\d+)"")),"""")
"),13)</f>
        <v>13</v>
      </c>
      <c r="J159" s="3" t="n">
        <f aca="false">IFERROR(__xludf.dummyfunction("if($T159&lt;&gt;"""",VALUE(REGEXEXTRACT($T159, J$1&amp;""[\w &amp;]*, (\d+\.\d+)"")),"""")
"),15)</f>
        <v>15</v>
      </c>
      <c r="K159" s="3" t="n">
        <f aca="false">IFERROR(__xludf.dummyfunction("if($T159&lt;&gt;"""",VALUE(REGEXEXTRACT($T159, K$1&amp;""[\w &amp;]*, (\d+\.\d+)"")),"""")
"),14)</f>
        <v>14</v>
      </c>
      <c r="L159" s="3" t="n">
        <f aca="false">IFERROR(__xludf.dummyfunction("if($T159&lt;&gt;"""",VALUE(REGEXEXTRACT(SUBSTITUTE ($T159,L$1&amp;"" CE"",""""), L$1&amp;""[\w &amp;]*, (\d+\.\d+)"")),"""")
"),17)</f>
        <v>17</v>
      </c>
      <c r="M159" s="3" t="n">
        <f aca="false">IFERROR(__xludf.dummyfunction("if($T159&lt;&gt;"""",VALUE(REGEXEXTRACT($T159, M$1&amp;""[\w &amp;]*, (\d+\.\d+)"")),"""")
"),16)</f>
        <v>16</v>
      </c>
      <c r="N159" s="3" t="n">
        <f aca="false">IFERROR(__xludf.dummyfunction("if($T159&lt;&gt;"""",VALUE(REGEXEXTRACT(SUBSTITUTE ($T159,N$1&amp;"" CE"",""""), N$1&amp;""[\w &amp;]*, (\d+\.\d+)"")),"""")
"),17)</f>
        <v>17</v>
      </c>
      <c r="O159" s="3" t="n">
        <f aca="false">IFERROR(__xludf.dummyfunction("if($T159&lt;&gt;"""",VALUE(REGEXEXTRACT($T159, O$1&amp;""[\w &amp;]*, (\d+\.\d+)"")),"""")
"),15)</f>
        <v>15</v>
      </c>
      <c r="P159" s="2" t="n">
        <f aca="false">IFERROR(__xludf.dummyfunction("if($T159&lt;&gt;"""",VALUE(REGEXEXTRACT($T159, P$1&amp;""[\w &amp;]*, (\d+\.\d+)"")),"""")
"),12.95)</f>
        <v>12.95</v>
      </c>
      <c r="Q159" s="2" t="n">
        <f aca="false">IFERROR(__xludf.dummyfunction("if($T159&lt;&gt;"""",VALUE(REGEXEXTRACT($T159, Q$1&amp;""[\w &amp;]*, (\d+\.\d+)"")),"""")
"),12.4)</f>
        <v>12.4</v>
      </c>
      <c r="R159" s="2" t="n">
        <f aca="false">IFERROR(__xludf.dummyfunction("if($T159&lt;&gt;"""",VALUE(REGEXEXTRACT($T159, SUBSTITUTE(R$1, ""+"", ""\+"")&amp;""[\w &amp;]*, (\d+\.\d+)"")),"""")"),15.25)</f>
        <v>15.25</v>
      </c>
      <c r="S159" s="2" t="n">
        <f aca="false">IFERROR(__xludf.dummyfunction("if($T159&lt;&gt;"""",VALUE(REGEXEXTRACT($T159, SUBSTITUTE(S$1, ""+"", ""\+"")&amp;""[\w &amp;]*, (\d+\.\d+)"")),"""")"),15.8)</f>
        <v>15.8</v>
      </c>
      <c r="T159" s="5" t="s">
        <v>368</v>
      </c>
    </row>
    <row r="160" customFormat="false" ht="15.75" hidden="false" customHeight="false" outlineLevel="0" collapsed="false">
      <c r="A160" s="4" t="n">
        <f aca="false">IFERROR(__xludf.dummyfunction("""COMPUTED_VALUE"""),45628.6361111111)</f>
        <v>45628.6361111111</v>
      </c>
      <c r="B160" s="2" t="n">
        <f aca="false">IFERROR(__xludf.dummyfunction("""COMPUTED_VALUE"""),14.08)</f>
        <v>14.08</v>
      </c>
      <c r="C160" s="2" t="n">
        <f aca="false">IFERROR(__xludf.dummyfunction("""COMPUTED_VALUE"""),14.1)</f>
        <v>14.1</v>
      </c>
      <c r="D160" s="2" t="n">
        <f aca="false">IFERROR(__xludf.dummyfunction("""COMPUTED_VALUE"""),13.3)</f>
        <v>13.3</v>
      </c>
      <c r="E160" s="2" t="n">
        <f aca="false">IFERROR(__xludf.dummyfunction("""COMPUTED_VALUE"""),13.34)</f>
        <v>13.34</v>
      </c>
      <c r="F160" s="3" t="n">
        <f aca="false">IFERROR(__xludf.dummyfunction("if($T160&lt;&gt;"""",VALUE(REGEXEXTRACT(SUBSTITUTE ($T160,F$1&amp;"" CE"",""""), F$1&amp;""[\w &amp;]*, (\d+\.\d+)"")),"""")
"),20)</f>
        <v>20</v>
      </c>
      <c r="G160" s="3" t="n">
        <f aca="false">IFERROR(__xludf.dummyfunction("if($T160&lt;&gt;"""",VALUE(REGEXEXTRACT($T160, G$1&amp;""[\w &amp;]*, (\d+\.\d+)"")),"""")
"),17)</f>
        <v>17</v>
      </c>
      <c r="H160" s="3" t="str">
        <f aca="false">IFERROR(__xludf.dummyfunction("if($T160&lt;&gt;"""",VALUE(REGEXEXTRACT($T160, H$1&amp;""[\w &amp;]*, (\d+\.\d+)"")),"""")
"),"#N/A")</f>
        <v>#N/A</v>
      </c>
      <c r="I160" s="3" t="n">
        <f aca="false">IFERROR(__xludf.dummyfunction("if($T160&lt;&gt;"""",VALUE(REGEXEXTRACT(SUBSTITUTE ($T160,I$1&amp;"" CE"",""""), I$1&amp;""[\w &amp;]*, (\d+\.\d+)"")),"""")
"),15)</f>
        <v>15</v>
      </c>
      <c r="J160" s="3" t="n">
        <f aca="false">IFERROR(__xludf.dummyfunction("if($T160&lt;&gt;"""",VALUE(REGEXEXTRACT($T160, J$1&amp;""[\w &amp;]*, (\d+\.\d+)"")),"""")
"),15)</f>
        <v>15</v>
      </c>
      <c r="K160" s="3" t="n">
        <f aca="false">IFERROR(__xludf.dummyfunction("if($T160&lt;&gt;"""",VALUE(REGEXEXTRACT($T160, K$1&amp;""[\w &amp;]*, (\d+\.\d+)"")),"""")
"),14)</f>
        <v>14</v>
      </c>
      <c r="L160" s="3" t="n">
        <f aca="false">IFERROR(__xludf.dummyfunction("if($T160&lt;&gt;"""",VALUE(REGEXEXTRACT(SUBSTITUTE ($T160,L$1&amp;"" CE"",""""), L$1&amp;""[\w &amp;]*, (\d+\.\d+)"")),"""")
"),17)</f>
        <v>17</v>
      </c>
      <c r="M160" s="3" t="n">
        <f aca="false">IFERROR(__xludf.dummyfunction("if($T160&lt;&gt;"""",VALUE(REGEXEXTRACT($T160, M$1&amp;""[\w &amp;]*, (\d+\.\d+)"")),"""")
"),16)</f>
        <v>16</v>
      </c>
      <c r="N160" s="3" t="n">
        <f aca="false">IFERROR(__xludf.dummyfunction("if($T160&lt;&gt;"""",VALUE(REGEXEXTRACT(SUBSTITUTE ($T160,N$1&amp;"" CE"",""""), N$1&amp;""[\w &amp;]*, (\d+\.\d+)"")),"""")
"),17)</f>
        <v>17</v>
      </c>
      <c r="O160" s="3" t="n">
        <f aca="false">IFERROR(__xludf.dummyfunction("if($T160&lt;&gt;"""",VALUE(REGEXEXTRACT($T160, O$1&amp;""[\w &amp;]*, (\d+\.\d+)"")),"""")
"),15)</f>
        <v>15</v>
      </c>
      <c r="P160" s="2" t="n">
        <f aca="false">IFERROR(__xludf.dummyfunction("if($T160&lt;&gt;"""",VALUE(REGEXEXTRACT($T160, P$1&amp;""[\w &amp;]*, (\d+\.\d+)"")),"""")
"),13.7)</f>
        <v>13.7</v>
      </c>
      <c r="Q160" s="2" t="n">
        <f aca="false">IFERROR(__xludf.dummyfunction("if($T160&lt;&gt;"""",VALUE(REGEXEXTRACT($T160, Q$1&amp;""[\w &amp;]*, (\d+\.\d+)"")),"""")
"),12.95)</f>
        <v>12.95</v>
      </c>
      <c r="R160" s="2" t="n">
        <f aca="false">IFERROR(__xludf.dummyfunction("if($T160&lt;&gt;"""",VALUE(REGEXEXTRACT($T160, SUBSTITUTE(R$1, ""+"", ""\+"")&amp;""[\w &amp;]*, (\d+\.\d+)"")),"""")"),14.5)</f>
        <v>14.5</v>
      </c>
      <c r="S160" s="2" t="n">
        <f aca="false">IFERROR(__xludf.dummyfunction("if($T160&lt;&gt;"""",VALUE(REGEXEXTRACT($T160, SUBSTITUTE(S$1, ""+"", ""\+"")&amp;""[\w &amp;]*, (\d+\.\d+)"")),"""")"),15.25)</f>
        <v>15.25</v>
      </c>
      <c r="T160" s="5" t="s">
        <v>369</v>
      </c>
    </row>
    <row r="161" customFormat="false" ht="15.75" hidden="false" customHeight="false" outlineLevel="0" collapsed="false">
      <c r="A161" s="4" t="n">
        <f aca="false">IFERROR(__xludf.dummyfunction("""COMPUTED_VALUE"""),45629.6361111111)</f>
        <v>45629.6361111111</v>
      </c>
      <c r="B161" s="2" t="n">
        <f aca="false">IFERROR(__xludf.dummyfunction("""COMPUTED_VALUE"""),13.34)</f>
        <v>13.34</v>
      </c>
      <c r="C161" s="2" t="n">
        <f aca="false">IFERROR(__xludf.dummyfunction("""COMPUTED_VALUE"""),13.77)</f>
        <v>13.77</v>
      </c>
      <c r="D161" s="2" t="n">
        <f aca="false">IFERROR(__xludf.dummyfunction("""COMPUTED_VALUE"""),13.19)</f>
        <v>13.19</v>
      </c>
      <c r="E161" s="2" t="n">
        <f aca="false">IFERROR(__xludf.dummyfunction("""COMPUTED_VALUE"""),13.3)</f>
        <v>13.3</v>
      </c>
      <c r="F161" s="3" t="n">
        <f aca="false">IFERROR(__xludf.dummyfunction("if($T161&lt;&gt;"""",VALUE(REGEXEXTRACT(SUBSTITUTE ($T161,F$1&amp;"" CE"",""""), F$1&amp;""[\w &amp;]*, (\d+\.\d+)"")),"""")
"),18)</f>
        <v>18</v>
      </c>
      <c r="G161" s="3" t="n">
        <f aca="false">IFERROR(__xludf.dummyfunction("if($T161&lt;&gt;"""",VALUE(REGEXEXTRACT($T161, G$1&amp;""[\w &amp;]*, (\d+\.\d+)"")),"""")
"),14)</f>
        <v>14</v>
      </c>
      <c r="H161" s="3" t="str">
        <f aca="false">IFERROR(__xludf.dummyfunction("if($T161&lt;&gt;"""",VALUE(REGEXEXTRACT($T161, H$1&amp;""[\w &amp;]*, (\d+\.\d+)"")),"""")
"),"#N/A")</f>
        <v>#N/A</v>
      </c>
      <c r="I161" s="3" t="n">
        <f aca="false">IFERROR(__xludf.dummyfunction("if($T161&lt;&gt;"""",VALUE(REGEXEXTRACT(SUBSTITUTE ($T161,I$1&amp;"" CE"",""""), I$1&amp;""[\w &amp;]*, (\d+\.\d+)"")),"""")
"),13)</f>
        <v>13</v>
      </c>
      <c r="J161" s="3" t="n">
        <f aca="false">IFERROR(__xludf.dummyfunction("if($T161&lt;&gt;"""",VALUE(REGEXEXTRACT($T161, J$1&amp;""[\w &amp;]*, (\d+\.\d+)"")),"""")
"),13.5)</f>
        <v>13.5</v>
      </c>
      <c r="K161" s="3" t="n">
        <f aca="false">IFERROR(__xludf.dummyfunction("if($T161&lt;&gt;"""",VALUE(REGEXEXTRACT($T161, K$1&amp;""[\w &amp;]*, (\d+\.\d+)"")),"""")
"),11)</f>
        <v>11</v>
      </c>
      <c r="L161" s="3" t="n">
        <f aca="false">IFERROR(__xludf.dummyfunction("if($T161&lt;&gt;"""",VALUE(REGEXEXTRACT(SUBSTITUTE ($T161,L$1&amp;"" CE"",""""), L$1&amp;""[\w &amp;]*, (\d+\.\d+)"")),"""")
"),17)</f>
        <v>17</v>
      </c>
      <c r="M161" s="3" t="n">
        <f aca="false">IFERROR(__xludf.dummyfunction("if($T161&lt;&gt;"""",VALUE(REGEXEXTRACT($T161, M$1&amp;""[\w &amp;]*, (\d+\.\d+)"")),"""")
"),13.5)</f>
        <v>13.5</v>
      </c>
      <c r="N161" s="3" t="n">
        <f aca="false">IFERROR(__xludf.dummyfunction("if($T161&lt;&gt;"""",VALUE(REGEXEXTRACT(SUBSTITUTE ($T161,N$1&amp;"" CE"",""""), N$1&amp;""[\w &amp;]*, (\d+\.\d+)"")),"""")
"),15)</f>
        <v>15</v>
      </c>
      <c r="O161" s="3" t="n">
        <f aca="false">IFERROR(__xludf.dummyfunction("if($T161&lt;&gt;"""",VALUE(REGEXEXTRACT($T161, O$1&amp;""[\w &amp;]*, (\d+\.\d+)"")),"""")
"),14)</f>
        <v>14</v>
      </c>
      <c r="P161" s="2" t="n">
        <f aca="false">IFERROR(__xludf.dummyfunction("if($T161&lt;&gt;"""",VALUE(REGEXEXTRACT($T161, P$1&amp;""[\w &amp;]*, (\d+\.\d+)"")),"""")
"),12.7)</f>
        <v>12.7</v>
      </c>
      <c r="Q161" s="2" t="n">
        <f aca="false">IFERROR(__xludf.dummyfunction("if($T161&lt;&gt;"""",VALUE(REGEXEXTRACT($T161, Q$1&amp;""[\w &amp;]*, (\d+\.\d+)"")),"""")
"),11.99)</f>
        <v>11.99</v>
      </c>
      <c r="R161" s="2" t="n">
        <f aca="false">IFERROR(__xludf.dummyfunction("if($T161&lt;&gt;"""",VALUE(REGEXEXTRACT($T161, SUBSTITUTE(R$1, ""+"", ""\+"")&amp;""[\w &amp;]*, (\d+\.\d+)"")),"""")"),13.98)</f>
        <v>13.98</v>
      </c>
      <c r="S161" s="2" t="n">
        <f aca="false">IFERROR(__xludf.dummyfunction("if($T161&lt;&gt;"""",VALUE(REGEXEXTRACT($T161, SUBSTITUTE(S$1, ""+"", ""\+"")&amp;""[\w &amp;]*, (\d+\.\d+)"")),"""")"),14.69)</f>
        <v>14.69</v>
      </c>
      <c r="T161" s="5" t="s">
        <v>370</v>
      </c>
    </row>
    <row r="162" customFormat="false" ht="15.75" hidden="false" customHeight="false" outlineLevel="0" collapsed="false">
      <c r="A162" s="4" t="n">
        <f aca="false">IFERROR(__xludf.dummyfunction("""COMPUTED_VALUE"""),45630.6361111111)</f>
        <v>45630.6361111111</v>
      </c>
      <c r="B162" s="2" t="n">
        <f aca="false">IFERROR(__xludf.dummyfunction("""COMPUTED_VALUE"""),13.16)</f>
        <v>13.16</v>
      </c>
      <c r="C162" s="2" t="n">
        <f aca="false">IFERROR(__xludf.dummyfunction("""COMPUTED_VALUE"""),13.61)</f>
        <v>13.61</v>
      </c>
      <c r="D162" s="2" t="n">
        <f aca="false">IFERROR(__xludf.dummyfunction("""COMPUTED_VALUE"""),12.89)</f>
        <v>12.89</v>
      </c>
      <c r="E162" s="2" t="n">
        <f aca="false">IFERROR(__xludf.dummyfunction("""COMPUTED_VALUE"""),13.45)</f>
        <v>13.45</v>
      </c>
      <c r="F162" s="3" t="n">
        <f aca="false">IFERROR(__xludf.dummyfunction("if($T162&lt;&gt;"""",VALUE(REGEXEXTRACT(SUBSTITUTE ($T162,F$1&amp;"" CE"",""""), F$1&amp;""[\w &amp;]*, (\d+\.\d+)"")),"""")
"),18)</f>
        <v>18</v>
      </c>
      <c r="G162" s="3" t="n">
        <f aca="false">IFERROR(__xludf.dummyfunction("if($T162&lt;&gt;"""",VALUE(REGEXEXTRACT($T162, G$1&amp;""[\w &amp;]*, (\d+\.\d+)"")),"""")
"),14)</f>
        <v>14</v>
      </c>
      <c r="H162" s="3" t="str">
        <f aca="false">IFERROR(__xludf.dummyfunction("if($T162&lt;&gt;"""",VALUE(REGEXEXTRACT($T162, H$1&amp;""[\w &amp;]*, (\d+\.\d+)"")),"""")
"),"#N/A")</f>
        <v>#N/A</v>
      </c>
      <c r="I162" s="3" t="n">
        <f aca="false">IFERROR(__xludf.dummyfunction("if($T162&lt;&gt;"""",VALUE(REGEXEXTRACT(SUBSTITUTE ($T162,I$1&amp;"" CE"",""""), I$1&amp;""[\w &amp;]*, (\d+\.\d+)"")),"""")
"),13)</f>
        <v>13</v>
      </c>
      <c r="J162" s="3" t="n">
        <f aca="false">IFERROR(__xludf.dummyfunction("if($T162&lt;&gt;"""",VALUE(REGEXEXTRACT($T162, J$1&amp;""[\w &amp;]*, (\d+\.\d+)"")),"""")
"),13.5)</f>
        <v>13.5</v>
      </c>
      <c r="K162" s="3" t="n">
        <f aca="false">IFERROR(__xludf.dummyfunction("if($T162&lt;&gt;"""",VALUE(REGEXEXTRACT($T162, K$1&amp;""[\w &amp;]*, (\d+\.\d+)"")),"""")
"),11)</f>
        <v>11</v>
      </c>
      <c r="L162" s="3" t="n">
        <f aca="false">IFERROR(__xludf.dummyfunction("if($T162&lt;&gt;"""",VALUE(REGEXEXTRACT(SUBSTITUTE ($T162,L$1&amp;"" CE"",""""), L$1&amp;""[\w &amp;]*, (\d+\.\d+)"")),"""")
"),17)</f>
        <v>17</v>
      </c>
      <c r="M162" s="3" t="n">
        <f aca="false">IFERROR(__xludf.dummyfunction("if($T162&lt;&gt;"""",VALUE(REGEXEXTRACT($T162, M$1&amp;""[\w &amp;]*, (\d+\.\d+)"")),"""")
"),13.5)</f>
        <v>13.5</v>
      </c>
      <c r="N162" s="3" t="n">
        <f aca="false">IFERROR(__xludf.dummyfunction("if($T162&lt;&gt;"""",VALUE(REGEXEXTRACT(SUBSTITUTE ($T162,N$1&amp;"" CE"",""""), N$1&amp;""[\w &amp;]*, (\d+\.\d+)"")),"""")
"),15)</f>
        <v>15</v>
      </c>
      <c r="O162" s="3" t="n">
        <f aca="false">IFERROR(__xludf.dummyfunction("if($T162&lt;&gt;"""",VALUE(REGEXEXTRACT($T162, O$1&amp;""[\w &amp;]*, (\d+\.\d+)"")),"""")
"),15)</f>
        <v>15</v>
      </c>
      <c r="P162" s="2" t="n">
        <f aca="false">IFERROR(__xludf.dummyfunction("if($T162&lt;&gt;"""",VALUE(REGEXEXTRACT($T162, P$1&amp;""[\w &amp;]*, (\d+\.\d+)"")),"""")
"),12.79)</f>
        <v>12.79</v>
      </c>
      <c r="Q162" s="2" t="n">
        <f aca="false">IFERROR(__xludf.dummyfunction("if($T162&lt;&gt;"""",VALUE(REGEXEXTRACT($T162, Q$1&amp;""[\w &amp;]*, (\d+\.\d+)"")),"""")
"),12.2)</f>
        <v>12.2</v>
      </c>
      <c r="R162" s="2" t="n">
        <f aca="false">IFERROR(__xludf.dummyfunction("if($T162&lt;&gt;"""",VALUE(REGEXEXTRACT($T162, SUBSTITUTE(R$1, ""+"", ""\+"")&amp;""[\w &amp;]*, (\d+\.\d+)"")),"""")"),14.23)</f>
        <v>14.23</v>
      </c>
      <c r="S162" s="2" t="n">
        <f aca="false">IFERROR(__xludf.dummyfunction("if($T162&lt;&gt;"""",VALUE(REGEXEXTRACT($T162, SUBSTITUTE(S$1, ""+"", ""\+"")&amp;""[\w &amp;]*, (\d+\.\d+)"")),"""")"),14.82)</f>
        <v>14.82</v>
      </c>
      <c r="T162" s="5" t="s">
        <v>371</v>
      </c>
    </row>
    <row r="163" customFormat="false" ht="15.75" hidden="false" customHeight="false" outlineLevel="0" collapsed="false">
      <c r="A163" s="4" t="n">
        <f aca="false">IFERROR(__xludf.dummyfunction("""COMPUTED_VALUE"""),45631.6361111111)</f>
        <v>45631.6361111111</v>
      </c>
      <c r="B163" s="2" t="n">
        <f aca="false">IFERROR(__xludf.dummyfunction("""COMPUTED_VALUE"""),13.51)</f>
        <v>13.51</v>
      </c>
      <c r="C163" s="2" t="n">
        <f aca="false">IFERROR(__xludf.dummyfunction("""COMPUTED_VALUE"""),13.7)</f>
        <v>13.7</v>
      </c>
      <c r="D163" s="2" t="n">
        <f aca="false">IFERROR(__xludf.dummyfunction("""COMPUTED_VALUE"""),13.26)</f>
        <v>13.26</v>
      </c>
      <c r="E163" s="2" t="n">
        <f aca="false">IFERROR(__xludf.dummyfunction("""COMPUTED_VALUE"""),13.54)</f>
        <v>13.54</v>
      </c>
      <c r="F163" s="3" t="n">
        <f aca="false">IFERROR(__xludf.dummyfunction("if($T163&lt;&gt;"""",VALUE(REGEXEXTRACT(SUBSTITUTE ($T163,F$1&amp;"" CE"",""""), F$1&amp;""[\w &amp;]*, (\d+\.\d+)"")),"""")
"),18)</f>
        <v>18</v>
      </c>
      <c r="G163" s="3" t="n">
        <f aca="false">IFERROR(__xludf.dummyfunction("if($T163&lt;&gt;"""",VALUE(REGEXEXTRACT($T163, G$1&amp;""[\w &amp;]*, (\d+\.\d+)"")),"""")
"),14.5)</f>
        <v>14.5</v>
      </c>
      <c r="H163" s="3" t="str">
        <f aca="false">IFERROR(__xludf.dummyfunction("if($T163&lt;&gt;"""",VALUE(REGEXEXTRACT($T163, H$1&amp;""[\w &amp;]*, (\d+\.\d+)"")),"""")
"),"#N/A")</f>
        <v>#N/A</v>
      </c>
      <c r="I163" s="3" t="n">
        <f aca="false">IFERROR(__xludf.dummyfunction("if($T163&lt;&gt;"""",VALUE(REGEXEXTRACT(SUBSTITUTE ($T163,I$1&amp;"" CE"",""""), I$1&amp;""[\w &amp;]*, (\d+\.\d+)"")),"""")
"),13)</f>
        <v>13</v>
      </c>
      <c r="J163" s="3" t="n">
        <f aca="false">IFERROR(__xludf.dummyfunction("if($T163&lt;&gt;"""",VALUE(REGEXEXTRACT($T163, J$1&amp;""[\w &amp;]*, (\d+\.\d+)"")),"""")
"),14)</f>
        <v>14</v>
      </c>
      <c r="K163" s="3" t="n">
        <f aca="false">IFERROR(__xludf.dummyfunction("if($T163&lt;&gt;"""",VALUE(REGEXEXTRACT($T163, K$1&amp;""[\w &amp;]*, (\d+\.\d+)"")),"""")
"),11)</f>
        <v>11</v>
      </c>
      <c r="L163" s="3" t="n">
        <f aca="false">IFERROR(__xludf.dummyfunction("if($T163&lt;&gt;"""",VALUE(REGEXEXTRACT(SUBSTITUTE ($T163,L$1&amp;"" CE"",""""), L$1&amp;""[\w &amp;]*, (\d+\.\d+)"")),"""")
"),17)</f>
        <v>17</v>
      </c>
      <c r="M163" s="3" t="n">
        <f aca="false">IFERROR(__xludf.dummyfunction("if($T163&lt;&gt;"""",VALUE(REGEXEXTRACT($T163, M$1&amp;""[\w &amp;]*, (\d+\.\d+)"")),"""")
"),12.5)</f>
        <v>12.5</v>
      </c>
      <c r="N163" s="3" t="n">
        <f aca="false">IFERROR(__xludf.dummyfunction("if($T163&lt;&gt;"""",VALUE(REGEXEXTRACT(SUBSTITUTE ($T163,N$1&amp;"" CE"",""""), N$1&amp;""[\w &amp;]*, (\d+\.\d+)"")),"""")
"),15)</f>
        <v>15</v>
      </c>
      <c r="O163" s="3" t="n">
        <f aca="false">IFERROR(__xludf.dummyfunction("if($T163&lt;&gt;"""",VALUE(REGEXEXTRACT($T163, O$1&amp;""[\w &amp;]*, (\d+\.\d+)"")),"""")
"),14.5)</f>
        <v>14.5</v>
      </c>
      <c r="P163" s="2" t="n">
        <f aca="false">IFERROR(__xludf.dummyfunction("if($T163&lt;&gt;"""",VALUE(REGEXEXTRACT($T163, P$1&amp;""[\w &amp;]*, (\d+\.\d+)"")),"""")
"),12.29)</f>
        <v>12.29</v>
      </c>
      <c r="Q163" s="2" t="n">
        <f aca="false">IFERROR(__xludf.dummyfunction("if($T163&lt;&gt;"""",VALUE(REGEXEXTRACT($T163, Q$1&amp;""[\w &amp;]*, (\d+\.\d+)"")),"""")
"),11.81)</f>
        <v>11.81</v>
      </c>
      <c r="R163" s="2" t="n">
        <f aca="false">IFERROR(__xludf.dummyfunction("if($T163&lt;&gt;"""",VALUE(REGEXEXTRACT($T163, SUBSTITUTE(R$1, ""+"", ""\+"")&amp;""[\w &amp;]*, (\d+\.\d+)"")),"""")"),14.61)</f>
        <v>14.61</v>
      </c>
      <c r="S163" s="2" t="n">
        <f aca="false">IFERROR(__xludf.dummyfunction("if($T163&lt;&gt;"""",VALUE(REGEXEXTRACT($T163, SUBSTITUTE(S$1, ""+"", ""\+"")&amp;""[\w &amp;]*, (\d+\.\d+)"")),"""")"),15.09)</f>
        <v>15.09</v>
      </c>
      <c r="T163" s="5" t="s">
        <v>372</v>
      </c>
    </row>
    <row r="164" customFormat="false" ht="15.75" hidden="false" customHeight="false" outlineLevel="0" collapsed="false">
      <c r="A164" s="4" t="n">
        <f aca="false">IFERROR(__xludf.dummyfunction("""COMPUTED_VALUE"""),45632.6361111111)</f>
        <v>45632.6361111111</v>
      </c>
      <c r="B164" s="2" t="n">
        <f aca="false">IFERROR(__xludf.dummyfunction("""COMPUTED_VALUE"""),13.6)</f>
        <v>13.6</v>
      </c>
      <c r="C164" s="2" t="n">
        <f aca="false">IFERROR(__xludf.dummyfunction("""COMPUTED_VALUE"""),13.6)</f>
        <v>13.6</v>
      </c>
      <c r="D164" s="2" t="n">
        <f aca="false">IFERROR(__xludf.dummyfunction("""COMPUTED_VALUE"""),12.7)</f>
        <v>12.7</v>
      </c>
      <c r="E164" s="2" t="n">
        <f aca="false">IFERROR(__xludf.dummyfunction("""COMPUTED_VALUE"""),12.77)</f>
        <v>12.77</v>
      </c>
      <c r="F164" s="3" t="n">
        <f aca="false">IFERROR(__xludf.dummyfunction("if($T164&lt;&gt;"""",VALUE(REGEXEXTRACT(SUBSTITUTE ($T164,F$1&amp;"" CE"",""""), F$1&amp;""[\w &amp;]*, (\d+\.\d+)"")),"""")
"),15)</f>
        <v>15</v>
      </c>
      <c r="G164" s="3" t="n">
        <f aca="false">IFERROR(__xludf.dummyfunction("if($T164&lt;&gt;"""",VALUE(REGEXEXTRACT($T164, G$1&amp;""[\w &amp;]*, (\d+\.\d+)"")),"""")
"),14.5)</f>
        <v>14.5</v>
      </c>
      <c r="H164" s="3" t="str">
        <f aca="false">IFERROR(__xludf.dummyfunction("if($T164&lt;&gt;"""",VALUE(REGEXEXTRACT($T164, H$1&amp;""[\w &amp;]*, (\d+\.\d+)"")),"""")
"),"#N/A")</f>
        <v>#N/A</v>
      </c>
      <c r="I164" s="3" t="n">
        <f aca="false">IFERROR(__xludf.dummyfunction("if($T164&lt;&gt;"""",VALUE(REGEXEXTRACT(SUBSTITUTE ($T164,I$1&amp;"" CE"",""""), I$1&amp;""[\w &amp;]*, (\d+\.\d+)"")),"""")
"),13)</f>
        <v>13</v>
      </c>
      <c r="J164" s="3" t="n">
        <f aca="false">IFERROR(__xludf.dummyfunction("if($T164&lt;&gt;"""",VALUE(REGEXEXTRACT($T164, J$1&amp;""[\w &amp;]*, (\d+\.\d+)"")),"""")
"),14)</f>
        <v>14</v>
      </c>
      <c r="K164" s="3" t="str">
        <f aca="false">IFERROR(__xludf.dummyfunction("if($T164&lt;&gt;"""",VALUE(REGEXEXTRACT($T164, K$1&amp;""[\w &amp;]*, (\d+\.\d+)"")),"""")
"),"#N/A")</f>
        <v>#N/A</v>
      </c>
      <c r="L164" s="3" t="n">
        <f aca="false">IFERROR(__xludf.dummyfunction("if($T164&lt;&gt;"""",VALUE(REGEXEXTRACT(SUBSTITUTE ($T164,L$1&amp;"" CE"",""""), L$1&amp;""[\w &amp;]*, (\d+\.\d+)"")),"""")
"),17)</f>
        <v>17</v>
      </c>
      <c r="M164" s="3" t="n">
        <f aca="false">IFERROR(__xludf.dummyfunction("if($T164&lt;&gt;"""",VALUE(REGEXEXTRACT($T164, M$1&amp;""[\w &amp;]*, (\d+\.\d+)"")),"""")
"),14)</f>
        <v>14</v>
      </c>
      <c r="N164" s="3" t="n">
        <f aca="false">IFERROR(__xludf.dummyfunction("if($T164&lt;&gt;"""",VALUE(REGEXEXTRACT(SUBSTITUTE ($T164,N$1&amp;"" CE"",""""), N$1&amp;""[\w &amp;]*, (\d+\.\d+)"")),"""")
"),15)</f>
        <v>15</v>
      </c>
      <c r="O164" s="3" t="n">
        <f aca="false">IFERROR(__xludf.dummyfunction("if($T164&lt;&gt;"""",VALUE(REGEXEXTRACT($T164, O$1&amp;""[\w &amp;]*, (\d+\.\d+)"")),"""")
"),14.5)</f>
        <v>14.5</v>
      </c>
      <c r="P164" s="2" t="n">
        <f aca="false">IFERROR(__xludf.dummyfunction("if($T164&lt;&gt;"""",VALUE(REGEXEXTRACT($T164, P$1&amp;""[\w &amp;]*, (\d+\.\d+)"")),"""")
"),11.99)</f>
        <v>11.99</v>
      </c>
      <c r="Q164" s="2" t="n">
        <f aca="false">IFERROR(__xludf.dummyfunction("if($T164&lt;&gt;"""",VALUE(REGEXEXTRACT($T164, Q$1&amp;""[\w &amp;]*, (\d+\.\d+)"")),"""")
"),11.34)</f>
        <v>11.34</v>
      </c>
      <c r="R164" s="2" t="n">
        <f aca="false">IFERROR(__xludf.dummyfunction("if($T164&lt;&gt;"""",VALUE(REGEXEXTRACT($T164, SUBSTITUTE(R$1, ""+"", ""\+"")&amp;""[\w &amp;]*, (\d+\.\d+)"")),"""")"),13.55)</f>
        <v>13.55</v>
      </c>
      <c r="S164" s="2" t="n">
        <f aca="false">IFERROR(__xludf.dummyfunction("if($T164&lt;&gt;"""",VALUE(REGEXEXTRACT($T164, SUBSTITUTE(S$1, ""+"", ""\+"")&amp;""[\w &amp;]*, (\d+\.\d+)"")),"""")"),14.2)</f>
        <v>14.2</v>
      </c>
      <c r="T164" s="5" t="s">
        <v>373</v>
      </c>
    </row>
    <row r="165" customFormat="false" ht="15.75" hidden="false" customHeight="false" outlineLevel="0" collapsed="false">
      <c r="A165" s="4" t="n">
        <f aca="false">IFERROR(__xludf.dummyfunction("""COMPUTED_VALUE"""),45635.6361111111)</f>
        <v>45635.6361111111</v>
      </c>
      <c r="B165" s="2" t="n">
        <f aca="false">IFERROR(__xludf.dummyfunction("""COMPUTED_VALUE"""),13.36)</f>
        <v>13.36</v>
      </c>
      <c r="C165" s="2" t="n">
        <f aca="false">IFERROR(__xludf.dummyfunction("""COMPUTED_VALUE"""),14.23)</f>
        <v>14.23</v>
      </c>
      <c r="D165" s="2" t="n">
        <f aca="false">IFERROR(__xludf.dummyfunction("""COMPUTED_VALUE"""),13.35)</f>
        <v>13.35</v>
      </c>
      <c r="E165" s="2" t="n">
        <f aca="false">IFERROR(__xludf.dummyfunction("""COMPUTED_VALUE"""),14.19)</f>
        <v>14.19</v>
      </c>
      <c r="F165" s="3" t="n">
        <f aca="false">IFERROR(__xludf.dummyfunction("if($T165&lt;&gt;"""",VALUE(REGEXEXTRACT(SUBSTITUTE ($T165,F$1&amp;"" CE"",""""), F$1&amp;""[\w &amp;]*, (\d+\.\d+)"")),"""")
"),15)</f>
        <v>15</v>
      </c>
      <c r="G165" s="3" t="n">
        <f aca="false">IFERROR(__xludf.dummyfunction("if($T165&lt;&gt;"""",VALUE(REGEXEXTRACT($T165, G$1&amp;""[\w &amp;]*, (\d+\.\d+)"")),"""")
"),14.5)</f>
        <v>14.5</v>
      </c>
      <c r="H165" s="3" t="str">
        <f aca="false">IFERROR(__xludf.dummyfunction("if($T165&lt;&gt;"""",VALUE(REGEXEXTRACT($T165, H$1&amp;""[\w &amp;]*, (\d+\.\d+)"")),"""")
"),"#N/A")</f>
        <v>#N/A</v>
      </c>
      <c r="I165" s="3" t="n">
        <f aca="false">IFERROR(__xludf.dummyfunction("if($T165&lt;&gt;"""",VALUE(REGEXEXTRACT(SUBSTITUTE ($T165,I$1&amp;"" CE"",""""), I$1&amp;""[\w &amp;]*, (\d+\.\d+)"")),"""")
"),13)</f>
        <v>13</v>
      </c>
      <c r="J165" s="3" t="n">
        <f aca="false">IFERROR(__xludf.dummyfunction("if($T165&lt;&gt;"""",VALUE(REGEXEXTRACT($T165, J$1&amp;""[\w &amp;]*, (\d+\.\d+)"")),"""")
"),14)</f>
        <v>14</v>
      </c>
      <c r="K165" s="3" t="n">
        <f aca="false">IFERROR(__xludf.dummyfunction("if($T165&lt;&gt;"""",VALUE(REGEXEXTRACT($T165, K$1&amp;""[\w &amp;]*, (\d+\.\d+)"")),"""")
"),10)</f>
        <v>10</v>
      </c>
      <c r="L165" s="3" t="n">
        <f aca="false">IFERROR(__xludf.dummyfunction("if($T165&lt;&gt;"""",VALUE(REGEXEXTRACT(SUBSTITUTE ($T165,L$1&amp;"" CE"",""""), L$1&amp;""[\w &amp;]*, (\d+\.\d+)"")),"""")
"),17)</f>
        <v>17</v>
      </c>
      <c r="M165" s="3" t="n">
        <f aca="false">IFERROR(__xludf.dummyfunction("if($T165&lt;&gt;"""",VALUE(REGEXEXTRACT($T165, M$1&amp;""[\w &amp;]*, (\d+\.\d+)"")),"""")
"),14)</f>
        <v>14</v>
      </c>
      <c r="N165" s="3" t="n">
        <f aca="false">IFERROR(__xludf.dummyfunction("if($T165&lt;&gt;"""",VALUE(REGEXEXTRACT(SUBSTITUTE ($T165,N$1&amp;"" CE"",""""), N$1&amp;""[\w &amp;]*, (\d+\.\d+)"")),"""")
"),15)</f>
        <v>15</v>
      </c>
      <c r="O165" s="3" t="n">
        <f aca="false">IFERROR(__xludf.dummyfunction("if($T165&lt;&gt;"""",VALUE(REGEXEXTRACT($T165, O$1&amp;""[\w &amp;]*, (\d+\.\d+)"")),"""")
"),14.5)</f>
        <v>14.5</v>
      </c>
      <c r="P165" s="2" t="n">
        <f aca="false">IFERROR(__xludf.dummyfunction("if($T165&lt;&gt;"""",VALUE(REGEXEXTRACT($T165, P$1&amp;""[\w &amp;]*, (\d+\.\d+)"")),"""")
"),13.4)</f>
        <v>13.4</v>
      </c>
      <c r="Q165" s="2" t="n">
        <f aca="false">IFERROR(__xludf.dummyfunction("if($T165&lt;&gt;"""",VALUE(REGEXEXTRACT($T165, Q$1&amp;""[\w &amp;]*, (\d+\.\d+)"")),"""")
"),12.52)</f>
        <v>12.52</v>
      </c>
      <c r="R165" s="2" t="n">
        <f aca="false">IFERROR(__xludf.dummyfunction("if($T165&lt;&gt;"""",VALUE(REGEXEXTRACT($T165, SUBSTITUTE(R$1, ""+"", ""\+"")&amp;""[\w &amp;]*, (\d+\.\d+)"")),"""")"),14.98)</f>
        <v>14.98</v>
      </c>
      <c r="S165" s="2" t="n">
        <f aca="false">IFERROR(__xludf.dummyfunction("if($T165&lt;&gt;"""",VALUE(REGEXEXTRACT($T165, SUBSTITUTE(S$1, ""+"", ""\+"")&amp;""[\w &amp;]*, (\d+\.\d+)"")),"""")"),15.86)</f>
        <v>15.86</v>
      </c>
      <c r="T165" s="5" t="s">
        <v>374</v>
      </c>
    </row>
    <row r="166" customFormat="false" ht="15.75" hidden="false" customHeight="false" outlineLevel="0" collapsed="false">
      <c r="A166" s="4" t="n">
        <f aca="false">IFERROR(__xludf.dummyfunction("""COMPUTED_VALUE"""),45636.6361111111)</f>
        <v>45636.6361111111</v>
      </c>
      <c r="B166" s="2" t="n">
        <f aca="false">IFERROR(__xludf.dummyfunction("""COMPUTED_VALUE"""),14.17)</f>
        <v>14.17</v>
      </c>
      <c r="C166" s="2" t="n">
        <f aca="false">IFERROR(__xludf.dummyfunction("""COMPUTED_VALUE"""),14.54)</f>
        <v>14.54</v>
      </c>
      <c r="D166" s="2" t="n">
        <f aca="false">IFERROR(__xludf.dummyfunction("""COMPUTED_VALUE"""),13.86)</f>
        <v>13.86</v>
      </c>
      <c r="E166" s="2" t="n">
        <f aca="false">IFERROR(__xludf.dummyfunction("""COMPUTED_VALUE"""),14.18)</f>
        <v>14.18</v>
      </c>
      <c r="F166" s="3" t="n">
        <f aca="false">IFERROR(__xludf.dummyfunction("if($T166&lt;&gt;"""",VALUE(REGEXEXTRACT(SUBSTITUTE ($T166,F$1&amp;"" CE"",""""), F$1&amp;""[\w &amp;]*, (\d+\.\d+)"")),"""")
"),17)</f>
        <v>17</v>
      </c>
      <c r="G166" s="3" t="n">
        <f aca="false">IFERROR(__xludf.dummyfunction("if($T166&lt;&gt;"""",VALUE(REGEXEXTRACT($T166, G$1&amp;""[\w &amp;]*, (\d+\.\d+)"")),"""")
"),14)</f>
        <v>14</v>
      </c>
      <c r="H166" s="3" t="str">
        <f aca="false">IFERROR(__xludf.dummyfunction("if($T166&lt;&gt;"""",VALUE(REGEXEXTRACT($T166, H$1&amp;""[\w &amp;]*, (\d+\.\d+)"")),"""")
"),"#N/A")</f>
        <v>#N/A</v>
      </c>
      <c r="I166" s="3" t="n">
        <f aca="false">IFERROR(__xludf.dummyfunction("if($T166&lt;&gt;"""",VALUE(REGEXEXTRACT(SUBSTITUTE ($T166,I$1&amp;"" CE"",""""), I$1&amp;""[\w &amp;]*, (\d+\.\d+)"")),"""")
"),13)</f>
        <v>13</v>
      </c>
      <c r="J166" s="3" t="n">
        <f aca="false">IFERROR(__xludf.dummyfunction("if($T166&lt;&gt;"""",VALUE(REGEXEXTRACT($T166, J$1&amp;""[\w &amp;]*, (\d+\.\d+)"")),"""")
"),13.5)</f>
        <v>13.5</v>
      </c>
      <c r="K166" s="3" t="n">
        <f aca="false">IFERROR(__xludf.dummyfunction("if($T166&lt;&gt;"""",VALUE(REGEXEXTRACT($T166, K$1&amp;""[\w &amp;]*, (\d+\.\d+)"")),"""")
"),11)</f>
        <v>11</v>
      </c>
      <c r="L166" s="3" t="n">
        <f aca="false">IFERROR(__xludf.dummyfunction("if($T166&lt;&gt;"""",VALUE(REGEXEXTRACT(SUBSTITUTE ($T166,L$1&amp;"" CE"",""""), L$1&amp;""[\w &amp;]*, (\d+\.\d+)"")),"""")
"),17)</f>
        <v>17</v>
      </c>
      <c r="M166" s="3" t="n">
        <f aca="false">IFERROR(__xludf.dummyfunction("if($T166&lt;&gt;"""",VALUE(REGEXEXTRACT($T166, M$1&amp;""[\w &amp;]*, (\d+\.\d+)"")),"""")
"),13.5)</f>
        <v>13.5</v>
      </c>
      <c r="N166" s="3" t="n">
        <f aca="false">IFERROR(__xludf.dummyfunction("if($T166&lt;&gt;"""",VALUE(REGEXEXTRACT(SUBSTITUTE ($T166,N$1&amp;"" CE"",""""), N$1&amp;""[\w &amp;]*, (\d+\.\d+)"")),"""")
"),15)</f>
        <v>15</v>
      </c>
      <c r="O166" s="3" t="n">
        <f aca="false">IFERROR(__xludf.dummyfunction("if($T166&lt;&gt;"""",VALUE(REGEXEXTRACT($T166, O$1&amp;""[\w &amp;]*, (\d+\.\d+)"")),"""")
"),13.5)</f>
        <v>13.5</v>
      </c>
      <c r="P166" s="2" t="n">
        <f aca="false">IFERROR(__xludf.dummyfunction("if($T166&lt;&gt;"""",VALUE(REGEXEXTRACT($T166, P$1&amp;""[\w &amp;]*, (\d+\.\d+)"")),"""")
"),12.89)</f>
        <v>12.89</v>
      </c>
      <c r="Q166" s="2" t="n">
        <f aca="false">IFERROR(__xludf.dummyfunction("if($T166&lt;&gt;"""",VALUE(REGEXEXTRACT($T166, Q$1&amp;""[\w &amp;]*, (\d+\.\d+)"")),"""")
"),12.14)</f>
        <v>12.14</v>
      </c>
      <c r="R166" s="2" t="n">
        <f aca="false">IFERROR(__xludf.dummyfunction("if($T166&lt;&gt;"""",VALUE(REGEXEXTRACT($T166, SUBSTITUTE(R$1, ""+"", ""\+"")&amp;""[\w &amp;]*, (\d+\.\d+)"")),"""")"),13.71)</f>
        <v>13.71</v>
      </c>
      <c r="S166" s="2" t="n">
        <f aca="false">IFERROR(__xludf.dummyfunction("if($T166&lt;&gt;"""",VALUE(REGEXEXTRACT($T166, SUBSTITUTE(S$1, ""+"", ""\+"")&amp;""[\w &amp;]*, (\d+\.\d+)"")),"""")"),14.46)</f>
        <v>14.46</v>
      </c>
      <c r="T166" s="5" t="s">
        <v>375</v>
      </c>
    </row>
    <row r="167" customFormat="false" ht="15.75" hidden="false" customHeight="false" outlineLevel="0" collapsed="false">
      <c r="A167" s="4" t="n">
        <f aca="false">IFERROR(__xludf.dummyfunction("""COMPUTED_VALUE"""),45637.6361111111)</f>
        <v>45637.6361111111</v>
      </c>
      <c r="B167" s="2" t="n">
        <f aca="false">IFERROR(__xludf.dummyfunction("""COMPUTED_VALUE"""),14.39)</f>
        <v>14.39</v>
      </c>
      <c r="C167" s="2" t="n">
        <f aca="false">IFERROR(__xludf.dummyfunction("""COMPUTED_VALUE"""),14.39)</f>
        <v>14.39</v>
      </c>
      <c r="D167" s="2" t="n">
        <f aca="false">IFERROR(__xludf.dummyfunction("""COMPUTED_VALUE"""),13.52)</f>
        <v>13.52</v>
      </c>
      <c r="E167" s="2" t="n">
        <f aca="false">IFERROR(__xludf.dummyfunction("""COMPUTED_VALUE"""),13.58)</f>
        <v>13.58</v>
      </c>
      <c r="F167" s="3" t="n">
        <f aca="false">IFERROR(__xludf.dummyfunction("if($T167&lt;&gt;"""",VALUE(REGEXEXTRACT(SUBSTITUTE ($T167,F$1&amp;"" CE"",""""), F$1&amp;""[\w &amp;]*, (\d+\.\d+)"")),"""")
"),15)</f>
        <v>15</v>
      </c>
      <c r="G167" s="3" t="n">
        <f aca="false">IFERROR(__xludf.dummyfunction("if($T167&lt;&gt;"""",VALUE(REGEXEXTRACT($T167, G$1&amp;""[\w &amp;]*, (\d+\.\d+)"")),"""")
"),14.5)</f>
        <v>14.5</v>
      </c>
      <c r="H167" s="3" t="str">
        <f aca="false">IFERROR(__xludf.dummyfunction("if($T167&lt;&gt;"""",VALUE(REGEXEXTRACT($T167, H$1&amp;""[\w &amp;]*, (\d+\.\d+)"")),"""")
"),"#N/A")</f>
        <v>#N/A</v>
      </c>
      <c r="I167" s="3" t="n">
        <f aca="false">IFERROR(__xludf.dummyfunction("if($T167&lt;&gt;"""",VALUE(REGEXEXTRACT(SUBSTITUTE ($T167,I$1&amp;"" CE"",""""), I$1&amp;""[\w &amp;]*, (\d+\.\d+)"")),"""")
"),13)</f>
        <v>13</v>
      </c>
      <c r="J167" s="3" t="n">
        <f aca="false">IFERROR(__xludf.dummyfunction("if($T167&lt;&gt;"""",VALUE(REGEXEXTRACT($T167, J$1&amp;""[\w &amp;]*, (\d+\.\d+)"")),"""")
"),14)</f>
        <v>14</v>
      </c>
      <c r="K167" s="3" t="n">
        <f aca="false">IFERROR(__xludf.dummyfunction("if($T167&lt;&gt;"""",VALUE(REGEXEXTRACT($T167, K$1&amp;""[\w &amp;]*, (\d+\.\d+)"")),"""")
"),11)</f>
        <v>11</v>
      </c>
      <c r="L167" s="3" t="n">
        <f aca="false">IFERROR(__xludf.dummyfunction("if($T167&lt;&gt;"""",VALUE(REGEXEXTRACT(SUBSTITUTE ($T167,L$1&amp;"" CE"",""""), L$1&amp;""[\w &amp;]*, (\d+\.\d+)"")),"""")
"),17)</f>
        <v>17</v>
      </c>
      <c r="M167" s="3" t="n">
        <f aca="false">IFERROR(__xludf.dummyfunction("if($T167&lt;&gt;"""",VALUE(REGEXEXTRACT($T167, M$1&amp;""[\w &amp;]*, (\d+\.\d+)"")),"""")
"),12.5)</f>
        <v>12.5</v>
      </c>
      <c r="N167" s="3" t="n">
        <f aca="false">IFERROR(__xludf.dummyfunction("if($T167&lt;&gt;"""",VALUE(REGEXEXTRACT(SUBSTITUTE ($T167,N$1&amp;"" CE"",""""), N$1&amp;""[\w &amp;]*, (\d+\.\d+)"")),"""")
"),15)</f>
        <v>15</v>
      </c>
      <c r="O167" s="3" t="n">
        <f aca="false">IFERROR(__xludf.dummyfunction("if($T167&lt;&gt;"""",VALUE(REGEXEXTRACT($T167, O$1&amp;""[\w &amp;]*, (\d+\.\d+)"")),"""")
"),14.5)</f>
        <v>14.5</v>
      </c>
      <c r="P167" s="2" t="n">
        <f aca="false">IFERROR(__xludf.dummyfunction("if($T167&lt;&gt;"""",VALUE(REGEXEXTRACT($T167, P$1&amp;""[\w &amp;]*, (\d+\.\d+)"")),"""")
"),12.3)</f>
        <v>12.3</v>
      </c>
      <c r="Q167" s="2" t="n">
        <f aca="false">IFERROR(__xludf.dummyfunction("if($T167&lt;&gt;"""",VALUE(REGEXEXTRACT($T167, Q$1&amp;""[\w &amp;]*, (\d+\.\d+)"")),"""")
"),11.72)</f>
        <v>11.72</v>
      </c>
      <c r="R167" s="2" t="n">
        <f aca="false">IFERROR(__xludf.dummyfunction("if($T167&lt;&gt;"""",VALUE(REGEXEXTRACT($T167, SUBSTITUTE(R$1, ""+"", ""\+"")&amp;""[\w &amp;]*, (\d+\.\d+)"")),"""")"),14.78)</f>
        <v>14.78</v>
      </c>
      <c r="S167" s="2" t="n">
        <f aca="false">IFERROR(__xludf.dummyfunction("if($T167&lt;&gt;"""",VALUE(REGEXEXTRACT($T167, SUBSTITUTE(S$1, ""+"", ""\+"")&amp;""[\w &amp;]*, (\d+\.\d+)"")),"""")"),15.36)</f>
        <v>15.36</v>
      </c>
      <c r="T167" s="5" t="s">
        <v>376</v>
      </c>
    </row>
    <row r="168" customFormat="false" ht="15.75" hidden="false" customHeight="false" outlineLevel="0" collapsed="false">
      <c r="A168" s="4" t="n">
        <f aca="false">IFERROR(__xludf.dummyfunction("""COMPUTED_VALUE"""),45638.6361111111)</f>
        <v>45638.6361111111</v>
      </c>
      <c r="B168" s="2" t="n">
        <f aca="false">IFERROR(__xludf.dummyfunction("""COMPUTED_VALUE"""),13.7)</f>
        <v>13.7</v>
      </c>
      <c r="C168" s="2" t="n">
        <f aca="false">IFERROR(__xludf.dummyfunction("""COMPUTED_VALUE"""),13.95)</f>
        <v>13.95</v>
      </c>
      <c r="D168" s="2" t="n">
        <f aca="false">IFERROR(__xludf.dummyfunction("""COMPUTED_VALUE"""),13.39)</f>
        <v>13.39</v>
      </c>
      <c r="E168" s="2" t="n">
        <f aca="false">IFERROR(__xludf.dummyfunction("""COMPUTED_VALUE"""),13.92)</f>
        <v>13.92</v>
      </c>
      <c r="F168" s="3" t="n">
        <f aca="false">IFERROR(__xludf.dummyfunction("if($T168&lt;&gt;"""",VALUE(REGEXEXTRACT(SUBSTITUTE ($T168,F$1&amp;"" CE"",""""), F$1&amp;""[\w &amp;]*, (\d+\.\d+)"")),"""")
"),15)</f>
        <v>15</v>
      </c>
      <c r="G168" s="3" t="n">
        <f aca="false">IFERROR(__xludf.dummyfunction("if($T168&lt;&gt;"""",VALUE(REGEXEXTRACT($T168, G$1&amp;""[\w &amp;]*, (\d+\.\d+)"")),"""")
"),14.5)</f>
        <v>14.5</v>
      </c>
      <c r="H168" s="3" t="n">
        <f aca="false">IFERROR(__xludf.dummyfunction("if($T168&lt;&gt;"""",VALUE(REGEXEXTRACT($T168, H$1&amp;""[\w &amp;]*, (\d+\.\d+)"")),"""")
"),19)</f>
        <v>19</v>
      </c>
      <c r="I168" s="3" t="n">
        <f aca="false">IFERROR(__xludf.dummyfunction("if($T168&lt;&gt;"""",VALUE(REGEXEXTRACT(SUBSTITUTE ($T168,I$1&amp;"" CE"",""""), I$1&amp;""[\w &amp;]*, (\d+\.\d+)"")),"""")
"),13)</f>
        <v>13</v>
      </c>
      <c r="J168" s="3" t="n">
        <f aca="false">IFERROR(__xludf.dummyfunction("if($T168&lt;&gt;"""",VALUE(REGEXEXTRACT($T168, J$1&amp;""[\w &amp;]*, (\d+\.\d+)"")),"""")
"),14)</f>
        <v>14</v>
      </c>
      <c r="K168" s="3" t="n">
        <f aca="false">IFERROR(__xludf.dummyfunction("if($T168&lt;&gt;"""",VALUE(REGEXEXTRACT($T168, K$1&amp;""[\w &amp;]*, (\d+\.\d+)"")),"""")
"),10)</f>
        <v>10</v>
      </c>
      <c r="L168" s="3" t="n">
        <f aca="false">IFERROR(__xludf.dummyfunction("if($T168&lt;&gt;"""",VALUE(REGEXEXTRACT(SUBSTITUTE ($T168,L$1&amp;"" CE"",""""), L$1&amp;""[\w &amp;]*, (\d+\.\d+)"")),"""")
"),17)</f>
        <v>17</v>
      </c>
      <c r="M168" s="3" t="n">
        <f aca="false">IFERROR(__xludf.dummyfunction("if($T168&lt;&gt;"""",VALUE(REGEXEXTRACT($T168, M$1&amp;""[\w &amp;]*, (\d+\.\d+)"")),"""")
"),14)</f>
        <v>14</v>
      </c>
      <c r="N168" s="3" t="n">
        <f aca="false">IFERROR(__xludf.dummyfunction("if($T168&lt;&gt;"""",VALUE(REGEXEXTRACT(SUBSTITUTE ($T168,N$1&amp;"" CE"",""""), N$1&amp;""[\w &amp;]*, (\d+\.\d+)"")),"""")
"),15)</f>
        <v>15</v>
      </c>
      <c r="O168" s="3" t="n">
        <f aca="false">IFERROR(__xludf.dummyfunction("if($T168&lt;&gt;"""",VALUE(REGEXEXTRACT($T168, O$1&amp;""[\w &amp;]*, (\d+\.\d+)"")),"""")
"),14)</f>
        <v>14</v>
      </c>
      <c r="P168" s="2" t="n">
        <f aca="false">IFERROR(__xludf.dummyfunction("if($T168&lt;&gt;"""",VALUE(REGEXEXTRACT($T168, P$1&amp;""[\w &amp;]*, (\d+\.\d+)"")),"""")
"),13.69)</f>
        <v>13.69</v>
      </c>
      <c r="Q168" s="2" t="n">
        <f aca="false">IFERROR(__xludf.dummyfunction("if($T168&lt;&gt;"""",VALUE(REGEXEXTRACT($T168, Q$1&amp;""[\w &amp;]*, (\d+\.\d+)"")),"""")
"),12.79)</f>
        <v>12.79</v>
      </c>
      <c r="R168" s="2" t="n">
        <f aca="false">IFERROR(__xludf.dummyfunction("if($T168&lt;&gt;"""",VALUE(REGEXEXTRACT($T168, SUBSTITUTE(R$1, ""+"", ""\+"")&amp;""[\w &amp;]*, (\d+\.\d+)"")),"""")"),14.67)</f>
        <v>14.67</v>
      </c>
      <c r="S168" s="2" t="n">
        <f aca="false">IFERROR(__xludf.dummyfunction("if($T168&lt;&gt;"""",VALUE(REGEXEXTRACT($T168, SUBSTITUTE(S$1, ""+"", ""\+"")&amp;""[\w &amp;]*, (\d+\.\d+)"")),"""")"),15.57)</f>
        <v>15.57</v>
      </c>
      <c r="T168" s="5" t="s">
        <v>377</v>
      </c>
    </row>
    <row r="169" customFormat="false" ht="15.75" hidden="false" customHeight="false" outlineLevel="0" collapsed="false">
      <c r="A169" s="4" t="n">
        <f aca="false">IFERROR(__xludf.dummyfunction("""COMPUTED_VALUE"""),45639.6361111111)</f>
        <v>45639.6361111111</v>
      </c>
      <c r="B169" s="2" t="n">
        <f aca="false">IFERROR(__xludf.dummyfunction("""COMPUTED_VALUE"""),13.41)</f>
        <v>13.41</v>
      </c>
      <c r="C169" s="2" t="n">
        <f aca="false">IFERROR(__xludf.dummyfunction("""COMPUTED_VALUE"""),14.25)</f>
        <v>14.25</v>
      </c>
      <c r="D169" s="2" t="n">
        <f aca="false">IFERROR(__xludf.dummyfunction("""COMPUTED_VALUE"""),13.24)</f>
        <v>13.24</v>
      </c>
      <c r="E169" s="2" t="n">
        <f aca="false">IFERROR(__xludf.dummyfunction("""COMPUTED_VALUE"""),13.81)</f>
        <v>13.81</v>
      </c>
      <c r="F169" s="3" t="n">
        <f aca="false">IFERROR(__xludf.dummyfunction("if($T169&lt;&gt;"""",VALUE(REGEXEXTRACT(SUBSTITUTE ($T169,F$1&amp;"" CE"",""""), F$1&amp;""[\w &amp;]*, (\d+\.\d+)"")),"""")
"),15)</f>
        <v>15</v>
      </c>
      <c r="G169" s="3" t="n">
        <f aca="false">IFERROR(__xludf.dummyfunction("if($T169&lt;&gt;"""",VALUE(REGEXEXTRACT($T169, G$1&amp;""[\w &amp;]*, (\d+\.\d+)"")),"""")
"),20)</f>
        <v>20</v>
      </c>
      <c r="H169" s="3" t="n">
        <f aca="false">IFERROR(__xludf.dummyfunction("if($T169&lt;&gt;"""",VALUE(REGEXEXTRACT($T169, H$1&amp;""[\w &amp;]*, (\d+\.\d+)"")),"""")
"),19)</f>
        <v>19</v>
      </c>
      <c r="I169" s="3" t="n">
        <f aca="false">IFERROR(__xludf.dummyfunction("if($T169&lt;&gt;"""",VALUE(REGEXEXTRACT(SUBSTITUTE ($T169,I$1&amp;"" CE"",""""), I$1&amp;""[\w &amp;]*, (\d+\.\d+)"")),"""")
"),14)</f>
        <v>14</v>
      </c>
      <c r="J169" s="3" t="n">
        <f aca="false">IFERROR(__xludf.dummyfunction("if($T169&lt;&gt;"""",VALUE(REGEXEXTRACT($T169, J$1&amp;""[\w &amp;]*, (\d+\.\d+)"")),"""")
"),13)</f>
        <v>13</v>
      </c>
      <c r="K169" s="3" t="n">
        <f aca="false">IFERROR(__xludf.dummyfunction("if($T169&lt;&gt;"""",VALUE(REGEXEXTRACT($T169, K$1&amp;""[\w &amp;]*, (\d+\.\d+)"")),"""")
"),10)</f>
        <v>10</v>
      </c>
      <c r="L169" s="3" t="n">
        <f aca="false">IFERROR(__xludf.dummyfunction("if($T169&lt;&gt;"""",VALUE(REGEXEXTRACT(SUBSTITUTE ($T169,L$1&amp;"" CE"",""""), L$1&amp;""[\w &amp;]*, (\d+\.\d+)"")),"""")
"),17)</f>
        <v>17</v>
      </c>
      <c r="M169" s="3" t="n">
        <f aca="false">IFERROR(__xludf.dummyfunction("if($T169&lt;&gt;"""",VALUE(REGEXEXTRACT($T169, M$1&amp;""[\w &amp;]*, (\d+\.\d+)"")),"""")
"),17)</f>
        <v>17</v>
      </c>
      <c r="N169" s="3" t="n">
        <f aca="false">IFERROR(__xludf.dummyfunction("if($T169&lt;&gt;"""",VALUE(REGEXEXTRACT(SUBSTITUTE ($T169,N$1&amp;"" CE"",""""), N$1&amp;""[\w &amp;]*, (\d+\.\d+)"")),"""")
"),15)</f>
        <v>15</v>
      </c>
      <c r="O169" s="3" t="n">
        <f aca="false">IFERROR(__xludf.dummyfunction("if($T169&lt;&gt;"""",VALUE(REGEXEXTRACT($T169, O$1&amp;""[\w &amp;]*, (\d+\.\d+)"")),"""")
"),14)</f>
        <v>14</v>
      </c>
      <c r="P169" s="2" t="n">
        <f aca="false">IFERROR(__xludf.dummyfunction("if($T169&lt;&gt;"""",VALUE(REGEXEXTRACT($T169, P$1&amp;""[\w &amp;]*, (\d+\.\d+)"")),"""")
"),12.62)</f>
        <v>12.62</v>
      </c>
      <c r="Q169" s="2" t="n">
        <f aca="false">IFERROR(__xludf.dummyfunction("if($T169&lt;&gt;"""",VALUE(REGEXEXTRACT($T169, Q$1&amp;""[\w &amp;]*, (\d+\.\d+)"")),"""")
"),12.08)</f>
        <v>12.08</v>
      </c>
      <c r="R169" s="2" t="n">
        <f aca="false">IFERROR(__xludf.dummyfunction("if($T169&lt;&gt;"""",VALUE(REGEXEXTRACT($T169, SUBSTITUTE(R$1, ""+"", ""\+"")&amp;""[\w &amp;]*, (\d+\.\d+)"")),"""")"),15.22)</f>
        <v>15.22</v>
      </c>
      <c r="S169" s="2" t="n">
        <f aca="false">IFERROR(__xludf.dummyfunction("if($T169&lt;&gt;"""",VALUE(REGEXEXTRACT($T169, SUBSTITUTE(S$1, ""+"", ""\+"")&amp;""[\w &amp;]*, (\d+\.\d+)"")),"""")"),15.76)</f>
        <v>15.76</v>
      </c>
      <c r="T169" s="5" t="s">
        <v>378</v>
      </c>
    </row>
    <row r="170" customFormat="false" ht="15.75" hidden="false" customHeight="false" outlineLevel="0" collapsed="false">
      <c r="A170" s="4" t="n">
        <f aca="false">IFERROR(__xludf.dummyfunction("""COMPUTED_VALUE"""),45642.6361111111)</f>
        <v>45642.6361111111</v>
      </c>
      <c r="B170" s="2" t="n">
        <f aca="false">IFERROR(__xludf.dummyfunction("""COMPUTED_VALUE"""),14.37)</f>
        <v>14.37</v>
      </c>
      <c r="C170" s="2" t="n">
        <f aca="false">IFERROR(__xludf.dummyfunction("""COMPUTED_VALUE"""),14.69)</f>
        <v>14.69</v>
      </c>
      <c r="D170" s="2" t="n">
        <f aca="false">IFERROR(__xludf.dummyfunction("""COMPUTED_VALUE"""),13.99)</f>
        <v>13.99</v>
      </c>
      <c r="E170" s="2" t="n">
        <f aca="false">IFERROR(__xludf.dummyfunction("""COMPUTED_VALUE"""),14.69)</f>
        <v>14.69</v>
      </c>
      <c r="F170" s="3" t="n">
        <f aca="false">IFERROR(__xludf.dummyfunction("if($T170&lt;&gt;"""",VALUE(REGEXEXTRACT(SUBSTITUTE ($T170,F$1&amp;"" CE"",""""), F$1&amp;""[\w &amp;]*, (\d+\.\d+)"")),"""")
"),15)</f>
        <v>15</v>
      </c>
      <c r="G170" s="3" t="n">
        <f aca="false">IFERROR(__xludf.dummyfunction("if($T170&lt;&gt;"""",VALUE(REGEXEXTRACT($T170, G$1&amp;""[\w &amp;]*, (\d+\.\d+)"")),"""")
"),18)</f>
        <v>18</v>
      </c>
      <c r="H170" s="3" t="n">
        <f aca="false">IFERROR(__xludf.dummyfunction("if($T170&lt;&gt;"""",VALUE(REGEXEXTRACT($T170, H$1&amp;""[\w &amp;]*, (\d+\.\d+)"")),"""")
"),19)</f>
        <v>19</v>
      </c>
      <c r="I170" s="3" t="n">
        <f aca="false">IFERROR(__xludf.dummyfunction("if($T170&lt;&gt;"""",VALUE(REGEXEXTRACT(SUBSTITUTE ($T170,I$1&amp;"" CE"",""""), I$1&amp;""[\w &amp;]*, (\d+\.\d+)"")),"""")
"),14)</f>
        <v>14</v>
      </c>
      <c r="J170" s="3" t="n">
        <f aca="false">IFERROR(__xludf.dummyfunction("if($T170&lt;&gt;"""",VALUE(REGEXEXTRACT($T170, J$1&amp;""[\w &amp;]*, (\d+\.\d+)"")),"""")
"),14)</f>
        <v>14</v>
      </c>
      <c r="K170" s="3" t="n">
        <f aca="false">IFERROR(__xludf.dummyfunction("if($T170&lt;&gt;"""",VALUE(REGEXEXTRACT($T170, K$1&amp;""[\w &amp;]*, (\d+\.\d+)"")),"""")
"),10)</f>
        <v>10</v>
      </c>
      <c r="L170" s="3" t="n">
        <f aca="false">IFERROR(__xludf.dummyfunction("if($T170&lt;&gt;"""",VALUE(REGEXEXTRACT(SUBSTITUTE ($T170,L$1&amp;"" CE"",""""), L$1&amp;""[\w &amp;]*, (\d+\.\d+)"")),"""")
"),17)</f>
        <v>17</v>
      </c>
      <c r="M170" s="3" t="n">
        <f aca="false">IFERROR(__xludf.dummyfunction("if($T170&lt;&gt;"""",VALUE(REGEXEXTRACT($T170, M$1&amp;""[\w &amp;]*, (\d+\.\d+)"")),"""")
"),17)</f>
        <v>17</v>
      </c>
      <c r="N170" s="3" t="n">
        <f aca="false">IFERROR(__xludf.dummyfunction("if($T170&lt;&gt;"""",VALUE(REGEXEXTRACT(SUBSTITUTE ($T170,N$1&amp;"" CE"",""""), N$1&amp;""[\w &amp;]*, (\d+\.\d+)"")),"""")
"),15)</f>
        <v>15</v>
      </c>
      <c r="O170" s="3" t="n">
        <f aca="false">IFERROR(__xludf.dummyfunction("if($T170&lt;&gt;"""",VALUE(REGEXEXTRACT($T170, O$1&amp;""[\w &amp;]*, (\d+\.\d+)"")),"""")
"),15)</f>
        <v>15</v>
      </c>
      <c r="P170" s="2" t="n">
        <f aca="false">IFERROR(__xludf.dummyfunction("if($T170&lt;&gt;"""",VALUE(REGEXEXTRACT($T170, P$1&amp;""[\w &amp;]*, (\d+\.\d+)"")),"""")
"),12.82)</f>
        <v>12.82</v>
      </c>
      <c r="Q170" s="2" t="n">
        <f aca="false">IFERROR(__xludf.dummyfunction("if($T170&lt;&gt;"""",VALUE(REGEXEXTRACT($T170, Q$1&amp;""[\w &amp;]*, (\d+\.\d+)"")),"""")
"),12.1)</f>
        <v>12.1</v>
      </c>
      <c r="R170" s="2" t="n">
        <f aca="false">IFERROR(__xludf.dummyfunction("if($T170&lt;&gt;"""",VALUE(REGEXEXTRACT($T170, SUBSTITUTE(R$1, ""+"", ""\+"")&amp;""[\w &amp;]*, (\d+\.\d+)"")),"""")"),14.8)</f>
        <v>14.8</v>
      </c>
      <c r="S170" s="2" t="n">
        <f aca="false">IFERROR(__xludf.dummyfunction("if($T170&lt;&gt;"""",VALUE(REGEXEXTRACT($T170, SUBSTITUTE(S$1, ""+"", ""\+"")&amp;""[\w &amp;]*, (\d+\.\d+)"")),"""")"),15.52)</f>
        <v>15.52</v>
      </c>
      <c r="T170" s="5" t="s">
        <v>379</v>
      </c>
    </row>
    <row r="171" customFormat="false" ht="15.75" hidden="false" customHeight="false" outlineLevel="0" collapsed="false">
      <c r="A171" s="4" t="n">
        <f aca="false">IFERROR(__xludf.dummyfunction("""COMPUTED_VALUE"""),45643.6361111111)</f>
        <v>45643.6361111111</v>
      </c>
      <c r="B171" s="2" t="n">
        <f aca="false">IFERROR(__xludf.dummyfunction("""COMPUTED_VALUE"""),14.95)</f>
        <v>14.95</v>
      </c>
      <c r="C171" s="2" t="n">
        <f aca="false">IFERROR(__xludf.dummyfunction("""COMPUTED_VALUE"""),15.94)</f>
        <v>15.94</v>
      </c>
      <c r="D171" s="2" t="n">
        <f aca="false">IFERROR(__xludf.dummyfunction("""COMPUTED_VALUE"""),14.95)</f>
        <v>14.95</v>
      </c>
      <c r="E171" s="2" t="n">
        <f aca="false">IFERROR(__xludf.dummyfunction("""COMPUTED_VALUE"""),15.87)</f>
        <v>15.87</v>
      </c>
      <c r="F171" s="3" t="n">
        <f aca="false">IFERROR(__xludf.dummyfunction("if($T171&lt;&gt;"""",VALUE(REGEXEXTRACT(SUBSTITUTE ($T171,F$1&amp;"" CE"",""""), F$1&amp;""[\w &amp;]*, (\d+\.\d+)"")),"""")
"),15)</f>
        <v>15</v>
      </c>
      <c r="G171" s="3" t="n">
        <f aca="false">IFERROR(__xludf.dummyfunction("if($T171&lt;&gt;"""",VALUE(REGEXEXTRACT($T171, G$1&amp;""[\w &amp;]*, (\d+\.\d+)"")),"""")
"),20)</f>
        <v>20</v>
      </c>
      <c r="H171" s="3" t="str">
        <f aca="false">IFERROR(__xludf.dummyfunction("if($T171&lt;&gt;"""",VALUE(REGEXEXTRACT($T171, H$1&amp;""[\w &amp;]*, (\d+\.\d+)"")),"""")
"),"#N/A")</f>
        <v>#N/A</v>
      </c>
      <c r="I171" s="3" t="n">
        <f aca="false">IFERROR(__xludf.dummyfunction("if($T171&lt;&gt;"""",VALUE(REGEXEXTRACT(SUBSTITUTE ($T171,I$1&amp;"" CE"",""""), I$1&amp;""[\w &amp;]*, (\d+\.\d+)"")),"""")
"),13)</f>
        <v>13</v>
      </c>
      <c r="J171" s="3" t="n">
        <f aca="false">IFERROR(__xludf.dummyfunction("if($T171&lt;&gt;"""",VALUE(REGEXEXTRACT($T171, J$1&amp;""[\w &amp;]*, (\d+\.\d+)"")),"""")
"),13)</f>
        <v>13</v>
      </c>
      <c r="K171" s="3" t="n">
        <f aca="false">IFERROR(__xludf.dummyfunction("if($T171&lt;&gt;"""",VALUE(REGEXEXTRACT($T171, K$1&amp;""[\w &amp;]*, (\d+\.\d+)"")),"""")
"),10)</f>
        <v>10</v>
      </c>
      <c r="L171" s="3" t="n">
        <f aca="false">IFERROR(__xludf.dummyfunction("if($T171&lt;&gt;"""",VALUE(REGEXEXTRACT(SUBSTITUTE ($T171,L$1&amp;"" CE"",""""), L$1&amp;""[\w &amp;]*, (\d+\.\d+)"")),"""")
"),17)</f>
        <v>17</v>
      </c>
      <c r="M171" s="3" t="n">
        <f aca="false">IFERROR(__xludf.dummyfunction("if($T171&lt;&gt;"""",VALUE(REGEXEXTRACT($T171, M$1&amp;""[\w &amp;]*, (\d+\.\d+)"")),"""")
"),17)</f>
        <v>17</v>
      </c>
      <c r="N171" s="3" t="n">
        <f aca="false">IFERROR(__xludf.dummyfunction("if($T171&lt;&gt;"""",VALUE(REGEXEXTRACT(SUBSTITUTE ($T171,N$1&amp;"" CE"",""""), N$1&amp;""[\w &amp;]*, (\d+\.\d+)"")),"""")
"),15)</f>
        <v>15</v>
      </c>
      <c r="O171" s="3" t="n">
        <f aca="false">IFERROR(__xludf.dummyfunction("if($T171&lt;&gt;"""",VALUE(REGEXEXTRACT($T171, O$1&amp;""[\w &amp;]*, (\d+\.\d+)"")),"""")
"),15)</f>
        <v>15</v>
      </c>
      <c r="P171" s="2" t="n">
        <f aca="false">IFERROR(__xludf.dummyfunction("if($T171&lt;&gt;"""",VALUE(REGEXEXTRACT($T171, P$1&amp;""[\w &amp;]*, (\d+\.\d+)"")),"""")
"),12.37)</f>
        <v>12.37</v>
      </c>
      <c r="Q171" s="2" t="n">
        <f aca="false">IFERROR(__xludf.dummyfunction("if($T171&lt;&gt;"""",VALUE(REGEXEXTRACT($T171, Q$1&amp;""[\w &amp;]*, (\d+\.\d+)"")),"""")
"),11.93)</f>
        <v>11.93</v>
      </c>
      <c r="R171" s="2" t="n">
        <f aca="false">IFERROR(__xludf.dummyfunction("if($T171&lt;&gt;"""",VALUE(REGEXEXTRACT($T171, SUBSTITUTE(R$1, ""+"", ""\+"")&amp;""[\w &amp;]*, (\d+\.\d+)"")),"""")"),14.79)</f>
        <v>14.79</v>
      </c>
      <c r="S171" s="2" t="n">
        <f aca="false">IFERROR(__xludf.dummyfunction("if($T171&lt;&gt;"""",VALUE(REGEXEXTRACT($T171, SUBSTITUTE(S$1, ""+"", ""\+"")&amp;""[\w &amp;]*, (\d+\.\d+)"")),"""")"),15.23)</f>
        <v>15.23</v>
      </c>
      <c r="T171" s="5" t="s">
        <v>380</v>
      </c>
    </row>
    <row r="172" customFormat="false" ht="15.75" hidden="false" customHeight="false" outlineLevel="0" collapsed="false">
      <c r="A172" s="4" t="n">
        <f aca="false">IFERROR(__xludf.dummyfunction("""COMPUTED_VALUE"""),45644.6361111111)</f>
        <v>45644.6361111111</v>
      </c>
      <c r="B172" s="2" t="n">
        <f aca="false">IFERROR(__xludf.dummyfunction("""COMPUTED_VALUE"""),15.32)</f>
        <v>15.32</v>
      </c>
      <c r="C172" s="2" t="n">
        <f aca="false">IFERROR(__xludf.dummyfunction("""COMPUTED_VALUE"""),28.32)</f>
        <v>28.32</v>
      </c>
      <c r="D172" s="2" t="n">
        <f aca="false">IFERROR(__xludf.dummyfunction("""COMPUTED_VALUE"""),14.82)</f>
        <v>14.82</v>
      </c>
      <c r="E172" s="2" t="n">
        <f aca="false">IFERROR(__xludf.dummyfunction("""COMPUTED_VALUE"""),27.62)</f>
        <v>27.62</v>
      </c>
      <c r="F172" s="3" t="n">
        <f aca="false">IFERROR(__xludf.dummyfunction("if($T172&lt;&gt;"""",VALUE(REGEXEXTRACT(SUBSTITUTE ($T172,F$1&amp;"" CE"",""""), F$1&amp;""[\w &amp;]*, (\d+\.\d+)"")),"""")
"),15)</f>
        <v>15</v>
      </c>
      <c r="G172" s="3" t="n">
        <f aca="false">IFERROR(__xludf.dummyfunction("if($T172&lt;&gt;"""",VALUE(REGEXEXTRACT($T172, G$1&amp;""[\w &amp;]*, (\d+\.\d+)"")),"""")
"),18)</f>
        <v>18</v>
      </c>
      <c r="H172" s="3" t="n">
        <f aca="false">IFERROR(__xludf.dummyfunction("if($T172&lt;&gt;"""",VALUE(REGEXEXTRACT($T172, H$1&amp;""[\w &amp;]*, (\d+\.\d+)"")),"""")
"),21)</f>
        <v>21</v>
      </c>
      <c r="I172" s="3" t="n">
        <f aca="false">IFERROR(__xludf.dummyfunction("if($T172&lt;&gt;"""",VALUE(REGEXEXTRACT(SUBSTITUTE ($T172,I$1&amp;"" CE"",""""), I$1&amp;""[\w &amp;]*, (\d+\.\d+)"")),"""")
"),15)</f>
        <v>15</v>
      </c>
      <c r="J172" s="3" t="n">
        <f aca="false">IFERROR(__xludf.dummyfunction("if($T172&lt;&gt;"""",VALUE(REGEXEXTRACT($T172, J$1&amp;""[\w &amp;]*, (\d+\.\d+)"")),"""")
"),15)</f>
        <v>15</v>
      </c>
      <c r="K172" s="3" t="str">
        <f aca="false">IFERROR(__xludf.dummyfunction("if($T172&lt;&gt;"""",VALUE(REGEXEXTRACT($T172, K$1&amp;""[\w &amp;]*, (\d+\.\d+)"")),"""")
"),"#N/A")</f>
        <v>#N/A</v>
      </c>
      <c r="L172" s="3" t="n">
        <f aca="false">IFERROR(__xludf.dummyfunction("if($T172&lt;&gt;"""",VALUE(REGEXEXTRACT(SUBSTITUTE ($T172,L$1&amp;"" CE"",""""), L$1&amp;""[\w &amp;]*, (\d+\.\d+)"")),"""")
"),17)</f>
        <v>17</v>
      </c>
      <c r="M172" s="3" t="n">
        <f aca="false">IFERROR(__xludf.dummyfunction("if($T172&lt;&gt;"""",VALUE(REGEXEXTRACT($T172, M$1&amp;""[\w &amp;]*, (\d+\.\d+)"")),"""")
"),16)</f>
        <v>16</v>
      </c>
      <c r="N172" s="3" t="n">
        <f aca="false">IFERROR(__xludf.dummyfunction("if($T172&lt;&gt;"""",VALUE(REGEXEXTRACT(SUBSTITUTE ($T172,N$1&amp;"" CE"",""""), N$1&amp;""[\w &amp;]*, (\d+\.\d+)"")),"""")
"),15)</f>
        <v>15</v>
      </c>
      <c r="O172" s="3" t="n">
        <f aca="false">IFERROR(__xludf.dummyfunction("if($T172&lt;&gt;"""",VALUE(REGEXEXTRACT($T172, O$1&amp;""[\w &amp;]*, (\d+\.\d+)"")),"""")
"),15)</f>
        <v>15</v>
      </c>
      <c r="P172" s="2" t="n">
        <f aca="false">IFERROR(__xludf.dummyfunction("if($T172&lt;&gt;"""",VALUE(REGEXEXTRACT($T172, P$1&amp;""[\w &amp;]*, (\d+\.\d+)"")),"""")
"),15.37)</f>
        <v>15.37</v>
      </c>
      <c r="Q172" s="2" t="n">
        <f aca="false">IFERROR(__xludf.dummyfunction("if($T172&lt;&gt;"""",VALUE(REGEXEXTRACT($T172, Q$1&amp;""[\w &amp;]*, (\d+\.\d+)"")),"""")
"),14.32)</f>
        <v>14.32</v>
      </c>
      <c r="R172" s="2" t="n">
        <f aca="false">IFERROR(__xludf.dummyfunction("if($T172&lt;&gt;"""",VALUE(REGEXEXTRACT($T172, SUBSTITUTE(R$1, ""+"", ""\+"")&amp;""[\w &amp;]*, (\d+\.\d+)"")),"""")"),16.37)</f>
        <v>16.37</v>
      </c>
      <c r="S172" s="2" t="n">
        <f aca="false">IFERROR(__xludf.dummyfunction("if($T172&lt;&gt;"""",VALUE(REGEXEXTRACT($T172, SUBSTITUTE(S$1, ""+"", ""\+"")&amp;""[\w &amp;]*, (\d+\.\d+)"")),"""")"),17.42)</f>
        <v>17.42</v>
      </c>
      <c r="T172" s="5" t="s">
        <v>381</v>
      </c>
    </row>
    <row r="173" customFormat="false" ht="15.75" hidden="false" customHeight="false" outlineLevel="0" collapsed="false">
      <c r="A173" s="4" t="n">
        <f aca="false">IFERROR(__xludf.dummyfunction("""COMPUTED_VALUE"""),45645.6361111111)</f>
        <v>45645.6361111111</v>
      </c>
      <c r="B173" s="2" t="n">
        <f aca="false">IFERROR(__xludf.dummyfunction("""COMPUTED_VALUE"""),20.73)</f>
        <v>20.73</v>
      </c>
      <c r="C173" s="2" t="n">
        <f aca="false">IFERROR(__xludf.dummyfunction("""COMPUTED_VALUE"""),24.12)</f>
        <v>24.12</v>
      </c>
      <c r="D173" s="2" t="n">
        <f aca="false">IFERROR(__xludf.dummyfunction("""COMPUTED_VALUE"""),20.16)</f>
        <v>20.16</v>
      </c>
      <c r="E173" s="2" t="n">
        <f aca="false">IFERROR(__xludf.dummyfunction("""COMPUTED_VALUE"""),24.09)</f>
        <v>24.09</v>
      </c>
      <c r="F173" s="3" t="n">
        <f aca="false">IFERROR(__xludf.dummyfunction("if($T173&lt;&gt;"""",VALUE(REGEXEXTRACT(SUBSTITUTE ($T173,F$1&amp;"" CE"",""""), F$1&amp;""[\w &amp;]*, (\d+\.\d+)"")),"""")
"),15)</f>
        <v>15</v>
      </c>
      <c r="G173" s="3" t="n">
        <f aca="false">IFERROR(__xludf.dummyfunction("if($T173&lt;&gt;"""",VALUE(REGEXEXTRACT($T173, G$1&amp;""[\w &amp;]*, (\d+\.\d+)"")),"""")
"),18)</f>
        <v>18</v>
      </c>
      <c r="H173" s="3" t="n">
        <f aca="false">IFERROR(__xludf.dummyfunction("if($T173&lt;&gt;"""",VALUE(REGEXEXTRACT($T173, H$1&amp;""[\w &amp;]*, (\d+\.\d+)"")),"""")
"),21)</f>
        <v>21</v>
      </c>
      <c r="I173" s="3" t="n">
        <f aca="false">IFERROR(__xludf.dummyfunction("if($T173&lt;&gt;"""",VALUE(REGEXEXTRACT(SUBSTITUTE ($T173,I$1&amp;"" CE"",""""), I$1&amp;""[\w &amp;]*, (\d+\.\d+)"")),"""")
"),15)</f>
        <v>15</v>
      </c>
      <c r="J173" s="3" t="n">
        <f aca="false">IFERROR(__xludf.dummyfunction("if($T173&lt;&gt;"""",VALUE(REGEXEXTRACT($T173, J$1&amp;""[\w &amp;]*, (\d+\.\d+)"")),"""")
"),14)</f>
        <v>14</v>
      </c>
      <c r="K173" s="3" t="n">
        <f aca="false">IFERROR(__xludf.dummyfunction("if($T173&lt;&gt;"""",VALUE(REGEXEXTRACT($T173, K$1&amp;""[\w &amp;]*, (\d+\.\d+)"")),"""")
"),10)</f>
        <v>10</v>
      </c>
      <c r="L173" s="3" t="n">
        <f aca="false">IFERROR(__xludf.dummyfunction("if($T173&lt;&gt;"""",VALUE(REGEXEXTRACT(SUBSTITUTE ($T173,L$1&amp;"" CE"",""""), L$1&amp;""[\w &amp;]*, (\d+\.\d+)"")),"""")
"),17)</f>
        <v>17</v>
      </c>
      <c r="M173" s="3" t="n">
        <f aca="false">IFERROR(__xludf.dummyfunction("if($T173&lt;&gt;"""",VALUE(REGEXEXTRACT($T173, M$1&amp;""[\w &amp;]*, (\d+\.\d+)"")),"""")
"),17)</f>
        <v>17</v>
      </c>
      <c r="N173" s="3" t="n">
        <f aca="false">IFERROR(__xludf.dummyfunction("if($T173&lt;&gt;"""",VALUE(REGEXEXTRACT(SUBSTITUTE ($T173,N$1&amp;"" CE"",""""), N$1&amp;""[\w &amp;]*, (\d+\.\d+)"")),"""")
"),15)</f>
        <v>15</v>
      </c>
      <c r="O173" s="3" t="n">
        <f aca="false">IFERROR(__xludf.dummyfunction("if($T173&lt;&gt;"""",VALUE(REGEXEXTRACT($T173, O$1&amp;""[\w &amp;]*, (\d+\.\d+)"")),"""")
"),15)</f>
        <v>15</v>
      </c>
      <c r="P173" s="2" t="n">
        <f aca="false">IFERROR(__xludf.dummyfunction("if($T173&lt;&gt;"""",VALUE(REGEXEXTRACT($T173, P$1&amp;""[\w &amp;]*, (\d+\.\d+)"")),"""")
"),13.69)</f>
        <v>13.69</v>
      </c>
      <c r="Q173" s="2" t="n">
        <f aca="false">IFERROR(__xludf.dummyfunction("if($T173&lt;&gt;"""",VALUE(REGEXEXTRACT($T173, Q$1&amp;""[\w &amp;]*, (\d+\.\d+)"")),"""")
"),12.69)</f>
        <v>12.69</v>
      </c>
      <c r="R173" s="2" t="n">
        <f aca="false">IFERROR(__xludf.dummyfunction("if($T173&lt;&gt;"""",VALUE(REGEXEXTRACT($T173, SUBSTITUTE(R$1, ""+"", ""\+"")&amp;""[\w &amp;]*, (\d+\.\d+)"")),"""")"),15.69)</f>
        <v>15.69</v>
      </c>
      <c r="S173" s="2" t="n">
        <f aca="false">IFERROR(__xludf.dummyfunction("if($T173&lt;&gt;"""",VALUE(REGEXEXTRACT($T173, SUBSTITUTE(S$1, ""+"", ""\+"")&amp;""[\w &amp;]*, (\d+\.\d+)"")),"""")"),16.69)</f>
        <v>16.69</v>
      </c>
      <c r="T173" s="5" t="s">
        <v>382</v>
      </c>
    </row>
    <row r="174" customFormat="false" ht="15.75" hidden="false" customHeight="false" outlineLevel="0" collapsed="false">
      <c r="A174" s="4" t="n">
        <f aca="false">IFERROR(__xludf.dummyfunction("""COMPUTED_VALUE"""),45646.6361111111)</f>
        <v>45646.6361111111</v>
      </c>
      <c r="B174" s="2" t="n">
        <f aca="false">IFERROR(__xludf.dummyfunction("""COMPUTED_VALUE"""),26.02)</f>
        <v>26.02</v>
      </c>
      <c r="C174" s="2" t="n">
        <f aca="false">IFERROR(__xludf.dummyfunction("""COMPUTED_VALUE"""),26.51)</f>
        <v>26.51</v>
      </c>
      <c r="D174" s="2" t="n">
        <f aca="false">IFERROR(__xludf.dummyfunction("""COMPUTED_VALUE"""),17.82)</f>
        <v>17.82</v>
      </c>
      <c r="E174" s="2" t="n">
        <f aca="false">IFERROR(__xludf.dummyfunction("""COMPUTED_VALUE"""),18.36)</f>
        <v>18.36</v>
      </c>
      <c r="F174" s="3" t="n">
        <f aca="false">IFERROR(__xludf.dummyfunction("if($T174&lt;&gt;"""",VALUE(REGEXEXTRACT(SUBSTITUTE ($T174,F$1&amp;"" CE"",""""), F$1&amp;""[\w &amp;]*, (\d+\.\d+)"")),"""")
"),20)</f>
        <v>20</v>
      </c>
      <c r="G174" s="3" t="n">
        <f aca="false">IFERROR(__xludf.dummyfunction("if($T174&lt;&gt;"""",VALUE(REGEXEXTRACT($T174, G$1&amp;""[\w &amp;]*, (\d+\.\d+)"")),"""")
"),20)</f>
        <v>20</v>
      </c>
      <c r="H174" s="3" t="n">
        <f aca="false">IFERROR(__xludf.dummyfunction("if($T174&lt;&gt;"""",VALUE(REGEXEXTRACT($T174, H$1&amp;""[\w &amp;]*, (\d+\.\d+)"")),"""")
"),21)</f>
        <v>21</v>
      </c>
      <c r="I174" s="3" t="n">
        <f aca="false">IFERROR(__xludf.dummyfunction("if($T174&lt;&gt;"""",VALUE(REGEXEXTRACT(SUBSTITUTE ($T174,I$1&amp;"" CE"",""""), I$1&amp;""[\w &amp;]*, (\d+\.\d+)"")),"""")
"),17)</f>
        <v>17</v>
      </c>
      <c r="J174" s="3" t="n">
        <f aca="false">IFERROR(__xludf.dummyfunction("if($T174&lt;&gt;"""",VALUE(REGEXEXTRACT($T174, J$1&amp;""[\w &amp;]*, (\d+\.\d+)"")),"""")
"),14.5)</f>
        <v>14.5</v>
      </c>
      <c r="K174" s="3" t="n">
        <f aca="false">IFERROR(__xludf.dummyfunction("if($T174&lt;&gt;"""",VALUE(REGEXEXTRACT($T174, K$1&amp;""[\w &amp;]*, (\d+\.\d+)"")),"""")
"),14)</f>
        <v>14</v>
      </c>
      <c r="L174" s="3" t="n">
        <f aca="false">IFERROR(__xludf.dummyfunction("if($T174&lt;&gt;"""",VALUE(REGEXEXTRACT(SUBSTITUTE ($T174,L$1&amp;"" CE"",""""), L$1&amp;""[\w &amp;]*, (\d+\.\d+)"")),"""")
"),17)</f>
        <v>17</v>
      </c>
      <c r="M174" s="3" t="n">
        <f aca="false">IFERROR(__xludf.dummyfunction("if($T174&lt;&gt;"""",VALUE(REGEXEXTRACT($T174, M$1&amp;""[\w &amp;]*, (\d+\.\d+)"")),"""")
"),16)</f>
        <v>16</v>
      </c>
      <c r="N174" s="3" t="n">
        <f aca="false">IFERROR(__xludf.dummyfunction("if($T174&lt;&gt;"""",VALUE(REGEXEXTRACT(SUBSTITUTE ($T174,N$1&amp;"" CE"",""""), N$1&amp;""[\w &amp;]*, (\d+\.\d+)"")),"""")
"),17)</f>
        <v>17</v>
      </c>
      <c r="O174" s="3" t="n">
        <f aca="false">IFERROR(__xludf.dummyfunction("if($T174&lt;&gt;"""",VALUE(REGEXEXTRACT($T174, O$1&amp;""[\w &amp;]*, (\d+\.\d+)"")),"""")
"),14.5)</f>
        <v>14.5</v>
      </c>
      <c r="P174" s="2" t="n">
        <f aca="false">IFERROR(__xludf.dummyfunction("if($T174&lt;&gt;"""",VALUE(REGEXEXTRACT($T174, P$1&amp;""[\w &amp;]*, (\d+\.\d+)"")),"""")
"),21.11)</f>
        <v>21.11</v>
      </c>
      <c r="Q174" s="2" t="n">
        <f aca="false">IFERROR(__xludf.dummyfunction("if($T174&lt;&gt;"""",VALUE(REGEXEXTRACT($T174, Q$1&amp;""[\w &amp;]*, (\d+\.\d+)"")),"""")
"),18.04)</f>
        <v>18.04</v>
      </c>
      <c r="R174" s="2" t="n">
        <f aca="false">IFERROR(__xludf.dummyfunction("if($T174&lt;&gt;"""",VALUE(REGEXEXTRACT($T174, SUBSTITUTE(R$1, ""+"", ""\+"")&amp;""[\w &amp;]*, (\d+\.\d+)"")),"""")"),34.13)</f>
        <v>34.13</v>
      </c>
      <c r="S174" s="2" t="n">
        <f aca="false">IFERROR(__xludf.dummyfunction("if($T174&lt;&gt;"""",VALUE(REGEXEXTRACT($T174, SUBSTITUTE(S$1, ""+"", ""\+"")&amp;""[\w &amp;]*, (\d+\.\d+)"")),"""")"),37.2)</f>
        <v>37.2</v>
      </c>
      <c r="T174" s="5" t="s">
        <v>383</v>
      </c>
    </row>
    <row r="175" customFormat="false" ht="15.75" hidden="false" customHeight="false" outlineLevel="0" collapsed="false">
      <c r="A175" s="4" t="n">
        <f aca="false">IFERROR(__xludf.dummyfunction("""COMPUTED_VALUE"""),45649.6361111111)</f>
        <v>45649.6361111111</v>
      </c>
      <c r="B175" s="2" t="n">
        <f aca="false">IFERROR(__xludf.dummyfunction("""COMPUTED_VALUE"""),18.09)</f>
        <v>18.09</v>
      </c>
      <c r="C175" s="2" t="n">
        <f aca="false">IFERROR(__xludf.dummyfunction("""COMPUTED_VALUE"""),20.02)</f>
        <v>20.02</v>
      </c>
      <c r="D175" s="2" t="n">
        <f aca="false">IFERROR(__xludf.dummyfunction("""COMPUTED_VALUE"""),16.74)</f>
        <v>16.74</v>
      </c>
      <c r="E175" s="2" t="n">
        <f aca="false">IFERROR(__xludf.dummyfunction("""COMPUTED_VALUE"""),16.78)</f>
        <v>16.78</v>
      </c>
      <c r="F175" s="3" t="n">
        <f aca="false">IFERROR(__xludf.dummyfunction("if($T175&lt;&gt;"""",VALUE(REGEXEXTRACT(SUBSTITUTE ($T175,F$1&amp;"" CE"",""""), F$1&amp;""[\w &amp;]*, (\d+\.\d+)"")),"""")
"),20)</f>
        <v>20</v>
      </c>
      <c r="G175" s="3" t="n">
        <f aca="false">IFERROR(__xludf.dummyfunction("if($T175&lt;&gt;"""",VALUE(REGEXEXTRACT($T175, G$1&amp;""[\w &amp;]*, (\d+\.\d+)"")),"""")
"),20)</f>
        <v>20</v>
      </c>
      <c r="H175" s="3" t="n">
        <f aca="false">IFERROR(__xludf.dummyfunction("if($T175&lt;&gt;"""",VALUE(REGEXEXTRACT($T175, H$1&amp;""[\w &amp;]*, (\d+\.\d+)"")),"""")
"),21)</f>
        <v>21</v>
      </c>
      <c r="I175" s="3" t="n">
        <f aca="false">IFERROR(__xludf.dummyfunction("if($T175&lt;&gt;"""",VALUE(REGEXEXTRACT(SUBSTITUTE ($T175,I$1&amp;"" CE"",""""), I$1&amp;""[\w &amp;]*, (\d+\.\d+)"")),"""")
"),17)</f>
        <v>17</v>
      </c>
      <c r="J175" s="3" t="n">
        <f aca="false">IFERROR(__xludf.dummyfunction("if($T175&lt;&gt;"""",VALUE(REGEXEXTRACT($T175, J$1&amp;""[\w &amp;]*, (\d+\.\d+)"")),"""")
"),14.5)</f>
        <v>14.5</v>
      </c>
      <c r="K175" s="3" t="n">
        <f aca="false">IFERROR(__xludf.dummyfunction("if($T175&lt;&gt;"""",VALUE(REGEXEXTRACT($T175, K$1&amp;""[\w &amp;]*, (\d+\.\d+)"")),"""")
"),14)</f>
        <v>14</v>
      </c>
      <c r="L175" s="3" t="n">
        <f aca="false">IFERROR(__xludf.dummyfunction("if($T175&lt;&gt;"""",VALUE(REGEXEXTRACT(SUBSTITUTE ($T175,L$1&amp;"" CE"",""""), L$1&amp;""[\w &amp;]*, (\d+\.\d+)"")),"""")
"),17.5)</f>
        <v>17.5</v>
      </c>
      <c r="M175" s="3" t="n">
        <f aca="false">IFERROR(__xludf.dummyfunction("if($T175&lt;&gt;"""",VALUE(REGEXEXTRACT($T175, M$1&amp;""[\w &amp;]*, (\d+\.\d+)"")),"""")
"),18)</f>
        <v>18</v>
      </c>
      <c r="N175" s="3" t="n">
        <f aca="false">IFERROR(__xludf.dummyfunction("if($T175&lt;&gt;"""",VALUE(REGEXEXTRACT(SUBSTITUTE ($T175,N$1&amp;"" CE"",""""), N$1&amp;""[\w &amp;]*, (\d+\.\d+)"")),"""")
"),17)</f>
        <v>17</v>
      </c>
      <c r="O175" s="3" t="n">
        <f aca="false">IFERROR(__xludf.dummyfunction("if($T175&lt;&gt;"""",VALUE(REGEXEXTRACT($T175, O$1&amp;""[\w &amp;]*, (\d+\.\d+)"")),"""")
"),14.5)</f>
        <v>14.5</v>
      </c>
      <c r="P175" s="2" t="n">
        <f aca="false">IFERROR(__xludf.dummyfunction("if($T175&lt;&gt;"""",VALUE(REGEXEXTRACT($T175, P$1&amp;""[\w &amp;]*, (\d+\.\d+)"")),"""")
"),16.67)</f>
        <v>16.67</v>
      </c>
      <c r="Q175" s="2" t="n">
        <f aca="false">IFERROR(__xludf.dummyfunction("if($T175&lt;&gt;"""",VALUE(REGEXEXTRACT($T175, Q$1&amp;""[\w &amp;]*, (\d+\.\d+)"")),"""")
"),14.78)</f>
        <v>14.78</v>
      </c>
      <c r="R175" s="2" t="n">
        <f aca="false">IFERROR(__xludf.dummyfunction("if($T175&lt;&gt;"""",VALUE(REGEXEXTRACT($T175, SUBSTITUTE(R$1, ""+"", ""\+"")&amp;""[\w &amp;]*, (\d+\.\d+)"")),"""")"),20.05)</f>
        <v>20.05</v>
      </c>
      <c r="S175" s="2" t="n">
        <f aca="false">IFERROR(__xludf.dummyfunction("if($T175&lt;&gt;"""",VALUE(REGEXEXTRACT($T175, SUBSTITUTE(S$1, ""+"", ""\+"")&amp;""[\w &amp;]*, (\d+\.\d+)"")),"""")"),21.94)</f>
        <v>21.94</v>
      </c>
      <c r="T175" s="5" t="s">
        <v>384</v>
      </c>
    </row>
    <row r="176" customFormat="false" ht="15.75" hidden="false" customHeight="false" outlineLevel="0" collapsed="false">
      <c r="A176" s="4" t="n">
        <f aca="false">IFERROR(__xludf.dummyfunction("""COMPUTED_VALUE"""),45650.5416666667)</f>
        <v>45650.5416666667</v>
      </c>
      <c r="B176" s="2" t="n">
        <f aca="false">IFERROR(__xludf.dummyfunction("""COMPUTED_VALUE"""),16.78)</f>
        <v>16.78</v>
      </c>
      <c r="C176" s="2" t="n">
        <f aca="false">IFERROR(__xludf.dummyfunction("""COMPUTED_VALUE"""),16.78)</f>
        <v>16.78</v>
      </c>
      <c r="D176" s="2" t="n">
        <f aca="false">IFERROR(__xludf.dummyfunction("""COMPUTED_VALUE"""),14.27)</f>
        <v>14.27</v>
      </c>
      <c r="E176" s="2" t="n">
        <f aca="false">IFERROR(__xludf.dummyfunction("""COMPUTED_VALUE"""),14.27)</f>
        <v>14.27</v>
      </c>
      <c r="F176" s="3" t="n">
        <f aca="false">IFERROR(__xludf.dummyfunction("if($T176&lt;&gt;"""",VALUE(REGEXEXTRACT(SUBSTITUTE ($T176,F$1&amp;"" CE"",""""), F$1&amp;""[\w &amp;]*, (\d+\.\d+)"")),"""")
"),20)</f>
        <v>20</v>
      </c>
      <c r="G176" s="3" t="n">
        <f aca="false">IFERROR(__xludf.dummyfunction("if($T176&lt;&gt;"""",VALUE(REGEXEXTRACT($T176, G$1&amp;""[\w &amp;]*, (\d+\.\d+)"")),"""")
"),28)</f>
        <v>28</v>
      </c>
      <c r="H176" s="3" t="n">
        <f aca="false">IFERROR(__xludf.dummyfunction("if($T176&lt;&gt;"""",VALUE(REGEXEXTRACT($T176, H$1&amp;""[\w &amp;]*, (\d+\.\d+)"")),"""")
"),21)</f>
        <v>21</v>
      </c>
      <c r="I176" s="3" t="n">
        <f aca="false">IFERROR(__xludf.dummyfunction("if($T176&lt;&gt;"""",VALUE(REGEXEXTRACT(SUBSTITUTE ($T176,I$1&amp;"" CE"",""""), I$1&amp;""[\w &amp;]*, (\d+\.\d+)"")),"""")
"),17)</f>
        <v>17</v>
      </c>
      <c r="J176" s="3" t="n">
        <f aca="false">IFERROR(__xludf.dummyfunction("if($T176&lt;&gt;"""",VALUE(REGEXEXTRACT($T176, J$1&amp;""[\w &amp;]*, (\d+\.\d+)"")),"""")
"),14.5)</f>
        <v>14.5</v>
      </c>
      <c r="K176" s="3" t="n">
        <f aca="false">IFERROR(__xludf.dummyfunction("if($T176&lt;&gt;"""",VALUE(REGEXEXTRACT($T176, K$1&amp;""[\w &amp;]*, (\d+\.\d+)"")),"""")
"),16)</f>
        <v>16</v>
      </c>
      <c r="L176" s="3" t="n">
        <f aca="false">IFERROR(__xludf.dummyfunction("if($T176&lt;&gt;"""",VALUE(REGEXEXTRACT(SUBSTITUTE ($T176,L$1&amp;"" CE"",""""), L$1&amp;""[\w &amp;]*, (\d+\.\d+)"")),"""")
"),17.5)</f>
        <v>17.5</v>
      </c>
      <c r="M176" s="3" t="n">
        <f aca="false">IFERROR(__xludf.dummyfunction("if($T176&lt;&gt;"""",VALUE(REGEXEXTRACT($T176, M$1&amp;""[\w &amp;]*, (\d+\.\d+)"")),"""")
"),18)</f>
        <v>18</v>
      </c>
      <c r="N176" s="3" t="n">
        <f aca="false">IFERROR(__xludf.dummyfunction("if($T176&lt;&gt;"""",VALUE(REGEXEXTRACT(SUBSTITUTE ($T176,N$1&amp;"" CE"",""""), N$1&amp;""[\w &amp;]*, (\d+\.\d+)"")),"""")
"),20)</f>
        <v>20</v>
      </c>
      <c r="O176" s="3" t="n">
        <f aca="false">IFERROR(__xludf.dummyfunction("if($T176&lt;&gt;"""",VALUE(REGEXEXTRACT($T176, O$1&amp;""[\w &amp;]*, (\d+\.\d+)"")),"""")
"),14.5)</f>
        <v>14.5</v>
      </c>
      <c r="P176" s="2" t="n">
        <f aca="false">IFERROR(__xludf.dummyfunction("if($T176&lt;&gt;"""",VALUE(REGEXEXTRACT($T176, P$1&amp;""[\w &amp;]*, (\d+\.\d+)"")),"""")
"),20.16)</f>
        <v>20.16</v>
      </c>
      <c r="Q176" s="2" t="n">
        <f aca="false">IFERROR(__xludf.dummyfunction("if($T176&lt;&gt;"""",VALUE(REGEXEXTRACT($T176, Q$1&amp;""[\w &amp;]*, (\d+\.\d+)"")),"""")
"),18.01)</f>
        <v>18.01</v>
      </c>
      <c r="R176" s="2" t="n">
        <f aca="false">IFERROR(__xludf.dummyfunction("if($T176&lt;&gt;"""",VALUE(REGEXEXTRACT($T176, SUBSTITUTE(R$1, ""+"", ""\+"")&amp;""[\w &amp;]*, (\d+\.\d+)"")),"""")"),28.02)</f>
        <v>28.02</v>
      </c>
      <c r="S176" s="2" t="n">
        <f aca="false">IFERROR(__xludf.dummyfunction("if($T176&lt;&gt;"""",VALUE(REGEXEXTRACT($T176, SUBSTITUTE(S$1, ""+"", ""\+"")&amp;""[\w &amp;]*, (\d+\.\d+)"")),"""")"),30.17)</f>
        <v>30.17</v>
      </c>
      <c r="T176" s="5" t="s">
        <v>385</v>
      </c>
    </row>
    <row r="177" customFormat="false" ht="15.75" hidden="false" customHeight="false" outlineLevel="0" collapsed="false">
      <c r="A177" s="4" t="n">
        <f aca="false">IFERROR(__xludf.dummyfunction("""COMPUTED_VALUE"""),45652.6361111111)</f>
        <v>45652.6361111111</v>
      </c>
      <c r="B177" s="2" t="n">
        <f aca="false">IFERROR(__xludf.dummyfunction("""COMPUTED_VALUE"""),14.99)</f>
        <v>14.99</v>
      </c>
      <c r="C177" s="2" t="n">
        <f aca="false">IFERROR(__xludf.dummyfunction("""COMPUTED_VALUE"""),15.93)</f>
        <v>15.93</v>
      </c>
      <c r="D177" s="2" t="n">
        <f aca="false">IFERROR(__xludf.dummyfunction("""COMPUTED_VALUE"""),14.55)</f>
        <v>14.55</v>
      </c>
      <c r="E177" s="2" t="n">
        <f aca="false">IFERROR(__xludf.dummyfunction("""COMPUTED_VALUE"""),14.73)</f>
        <v>14.73</v>
      </c>
      <c r="F177" s="3" t="n">
        <f aca="false">IFERROR(__xludf.dummyfunction("if($T177&lt;&gt;"""",VALUE(REGEXEXTRACT(SUBSTITUTE ($T177,F$1&amp;"" CE"",""""), F$1&amp;""[\w &amp;]*, (\d+\.\d+)"")),"""")
"),20)</f>
        <v>20</v>
      </c>
      <c r="G177" s="3" t="n">
        <f aca="false">IFERROR(__xludf.dummyfunction("if($T177&lt;&gt;"""",VALUE(REGEXEXTRACT($T177, G$1&amp;""[\w &amp;]*, (\d+\.\d+)"")),"""")
"),17)</f>
        <v>17</v>
      </c>
      <c r="H177" s="3" t="n">
        <f aca="false">IFERROR(__xludf.dummyfunction("if($T177&lt;&gt;"""",VALUE(REGEXEXTRACT($T177, H$1&amp;""[\w &amp;]*, (\d+\.\d+)"")),"""")
"),21)</f>
        <v>21</v>
      </c>
      <c r="I177" s="3" t="n">
        <f aca="false">IFERROR(__xludf.dummyfunction("if($T177&lt;&gt;"""",VALUE(REGEXEXTRACT(SUBSTITUTE ($T177,I$1&amp;"" CE"",""""), I$1&amp;""[\w &amp;]*, (\d+\.\d+)"")),"""")
"),17)</f>
        <v>17</v>
      </c>
      <c r="J177" s="3" t="n">
        <f aca="false">IFERROR(__xludf.dummyfunction("if($T177&lt;&gt;"""",VALUE(REGEXEXTRACT($T177, J$1&amp;""[\w &amp;]*, (\d+\.\d+)"")),"""")
"),14.5)</f>
        <v>14.5</v>
      </c>
      <c r="K177" s="3" t="n">
        <f aca="false">IFERROR(__xludf.dummyfunction("if($T177&lt;&gt;"""",VALUE(REGEXEXTRACT($T177, K$1&amp;""[\w &amp;]*, (\d+\.\d+)"")),"""")
"),14)</f>
        <v>14</v>
      </c>
      <c r="L177" s="3" t="n">
        <f aca="false">IFERROR(__xludf.dummyfunction("if($T177&lt;&gt;"""",VALUE(REGEXEXTRACT(SUBSTITUTE ($T177,L$1&amp;"" CE"",""""), L$1&amp;""[\w &amp;]*, (\d+\.\d+)"")),"""")
"),17.5)</f>
        <v>17.5</v>
      </c>
      <c r="M177" s="3" t="n">
        <f aca="false">IFERROR(__xludf.dummyfunction("if($T177&lt;&gt;"""",VALUE(REGEXEXTRACT($T177, M$1&amp;""[\w &amp;]*, (\d+\.\d+)"")),"""")
"),16)</f>
        <v>16</v>
      </c>
      <c r="N177" s="3" t="n">
        <f aca="false">IFERROR(__xludf.dummyfunction("if($T177&lt;&gt;"""",VALUE(REGEXEXTRACT(SUBSTITUTE ($T177,N$1&amp;"" CE"",""""), N$1&amp;""[\w &amp;]*, (\d+\.\d+)"")),"""")
"),17)</f>
        <v>17</v>
      </c>
      <c r="O177" s="3" t="n">
        <f aca="false">IFERROR(__xludf.dummyfunction("if($T177&lt;&gt;"""",VALUE(REGEXEXTRACT($T177, O$1&amp;""[\w &amp;]*, (\d+\.\d+)"")),"""")
"),17)</f>
        <v>17</v>
      </c>
      <c r="P177" s="2" t="n">
        <f aca="false">IFERROR(__xludf.dummyfunction("if($T177&lt;&gt;"""",VALUE(REGEXEXTRACT($T177, P$1&amp;""[\w &amp;]*, (\d+\.\d+)"")),"""")
"),16.1)</f>
        <v>16.1</v>
      </c>
      <c r="Q177" s="2" t="n">
        <f aca="false">IFERROR(__xludf.dummyfunction("if($T177&lt;&gt;"""",VALUE(REGEXEXTRACT($T177, Q$1&amp;""[\w &amp;]*, (\d+\.\d+)"")),"""")
"),14.87)</f>
        <v>14.87</v>
      </c>
      <c r="R177" s="2" t="n">
        <f aca="false">IFERROR(__xludf.dummyfunction("if($T177&lt;&gt;"""",VALUE(REGEXEXTRACT($T177, SUBSTITUTE(R$1, ""+"", ""\+"")&amp;""[\w &amp;]*, (\d+\.\d+)"")),"""")"),17.46)</f>
        <v>17.46</v>
      </c>
      <c r="S177" s="2" t="n">
        <f aca="false">IFERROR(__xludf.dummyfunction("if($T177&lt;&gt;"""",VALUE(REGEXEXTRACT($T177, SUBSTITUTE(S$1, ""+"", ""\+"")&amp;""[\w &amp;]*, (\d+\.\d+)"")),"""")"),18.69)</f>
        <v>18.69</v>
      </c>
      <c r="T177" s="5" t="s">
        <v>386</v>
      </c>
    </row>
    <row r="178" customFormat="false" ht="15.75" hidden="false" customHeight="false" outlineLevel="0" collapsed="false">
      <c r="A178" s="4" t="n">
        <f aca="false">IFERROR(__xludf.dummyfunction("""COMPUTED_VALUE"""),45653.6361111111)</f>
        <v>45653.6361111111</v>
      </c>
      <c r="B178" s="2" t="n">
        <f aca="false">IFERROR(__xludf.dummyfunction("""COMPUTED_VALUE"""),15.33)</f>
        <v>15.33</v>
      </c>
      <c r="C178" s="2" t="n">
        <f aca="false">IFERROR(__xludf.dummyfunction("""COMPUTED_VALUE"""),18.45)</f>
        <v>18.45</v>
      </c>
      <c r="D178" s="2" t="n">
        <f aca="false">IFERROR(__xludf.dummyfunction("""COMPUTED_VALUE"""),15.33)</f>
        <v>15.33</v>
      </c>
      <c r="E178" s="2" t="n">
        <f aca="false">IFERROR(__xludf.dummyfunction("""COMPUTED_VALUE"""),15.95)</f>
        <v>15.95</v>
      </c>
      <c r="F178" s="3" t="n">
        <f aca="false">IFERROR(__xludf.dummyfunction("if($T178&lt;&gt;"""",VALUE(REGEXEXTRACT(SUBSTITUTE ($T178,F$1&amp;"" CE"",""""), F$1&amp;""[\w &amp;]*, (\d+\.\d+)"")),"""")
"),20)</f>
        <v>20</v>
      </c>
      <c r="G178" s="3" t="n">
        <f aca="false">IFERROR(__xludf.dummyfunction("if($T178&lt;&gt;"""",VALUE(REGEXEXTRACT($T178, G$1&amp;""[\w &amp;]*, (\d+\.\d+)"")),"""")
"),16)</f>
        <v>16</v>
      </c>
      <c r="H178" s="3" t="str">
        <f aca="false">IFERROR(__xludf.dummyfunction("if($T178&lt;&gt;"""",VALUE(REGEXEXTRACT($T178, H$1&amp;""[\w &amp;]*, (\d+\.\d+)"")),"""")
"),"#N/A")</f>
        <v>#N/A</v>
      </c>
      <c r="I178" s="3" t="n">
        <f aca="false">IFERROR(__xludf.dummyfunction("if($T178&lt;&gt;"""",VALUE(REGEXEXTRACT(SUBSTITUTE ($T178,I$1&amp;"" CE"",""""), I$1&amp;""[\w &amp;]*, (\d+\.\d+)"")),"""")
"),15)</f>
        <v>15</v>
      </c>
      <c r="J178" s="3" t="n">
        <f aca="false">IFERROR(__xludf.dummyfunction("if($T178&lt;&gt;"""",VALUE(REGEXEXTRACT($T178, J$1&amp;""[\w &amp;]*, (\d+\.\d+)"")),"""")
"),15)</f>
        <v>15</v>
      </c>
      <c r="K178" s="3" t="n">
        <f aca="false">IFERROR(__xludf.dummyfunction("if($T178&lt;&gt;"""",VALUE(REGEXEXTRACT($T178, K$1&amp;""[\w &amp;]*, (\d+\.\d+)"")),"""")
"),14)</f>
        <v>14</v>
      </c>
      <c r="L178" s="3" t="n">
        <f aca="false">IFERROR(__xludf.dummyfunction("if($T178&lt;&gt;"""",VALUE(REGEXEXTRACT(SUBSTITUTE ($T178,L$1&amp;"" CE"",""""), L$1&amp;""[\w &amp;]*, (\d+\.\d+)"")),"""")
"),17.5)</f>
        <v>17.5</v>
      </c>
      <c r="M178" s="3" t="n">
        <f aca="false">IFERROR(__xludf.dummyfunction("if($T178&lt;&gt;"""",VALUE(REGEXEXTRACT($T178, M$1&amp;""[\w &amp;]*, (\d+\.\d+)"")),"""")
"),19)</f>
        <v>19</v>
      </c>
      <c r="N178" s="3" t="n">
        <f aca="false">IFERROR(__xludf.dummyfunction("if($T178&lt;&gt;"""",VALUE(REGEXEXTRACT(SUBSTITUTE ($T178,N$1&amp;"" CE"",""""), N$1&amp;""[\w &amp;]*, (\d+\.\d+)"")),"""")
"),17)</f>
        <v>17</v>
      </c>
      <c r="O178" s="3" t="n">
        <f aca="false">IFERROR(__xludf.dummyfunction("if($T178&lt;&gt;"""",VALUE(REGEXEXTRACT($T178, O$1&amp;""[\w &amp;]*, (\d+\.\d+)"")),"""")
"),15)</f>
        <v>15</v>
      </c>
      <c r="P178" s="2" t="n">
        <f aca="false">IFERROR(__xludf.dummyfunction("if($T178&lt;&gt;"""",VALUE(REGEXEXTRACT($T178, P$1&amp;""[\w &amp;]*, (\d+\.\d+)"")),"""")
"),13.6)</f>
        <v>13.6</v>
      </c>
      <c r="Q178" s="2" t="n">
        <f aca="false">IFERROR(__xludf.dummyfunction("if($T178&lt;&gt;"""",VALUE(REGEXEXTRACT($T178, Q$1&amp;""[\w &amp;]*, (\d+\.\d+)"")),"""")
"),12.92)</f>
        <v>12.92</v>
      </c>
      <c r="R178" s="2" t="n">
        <f aca="false">IFERROR(__xludf.dummyfunction("if($T178&lt;&gt;"""",VALUE(REGEXEXTRACT($T178, SUBSTITUTE(R$1, ""+"", ""\+"")&amp;""[\w &amp;]*, (\d+\.\d+)"")),"""")"),15.86)</f>
        <v>15.86</v>
      </c>
      <c r="S178" s="2" t="n">
        <f aca="false">IFERROR(__xludf.dummyfunction("if($T178&lt;&gt;"""",VALUE(REGEXEXTRACT($T178, SUBSTITUTE(S$1, ""+"", ""\+"")&amp;""[\w &amp;]*, (\d+\.\d+)"")),"""")"),16.54)</f>
        <v>16.54</v>
      </c>
      <c r="T178" s="5" t="s">
        <v>387</v>
      </c>
    </row>
    <row r="179" customFormat="false" ht="15.75" hidden="false" customHeight="false" outlineLevel="0" collapsed="false">
      <c r="A179" s="4" t="n">
        <f aca="false">IFERROR(__xludf.dummyfunction("""COMPUTED_VALUE"""),45656.6361111111)</f>
        <v>45656.6361111111</v>
      </c>
      <c r="B179" s="2" t="n">
        <f aca="false">IFERROR(__xludf.dummyfunction("""COMPUTED_VALUE"""),17.21)</f>
        <v>17.21</v>
      </c>
      <c r="C179" s="2" t="n">
        <f aca="false">IFERROR(__xludf.dummyfunction("""COMPUTED_VALUE"""),19.22)</f>
        <v>19.22</v>
      </c>
      <c r="D179" s="2" t="n">
        <f aca="false">IFERROR(__xludf.dummyfunction("""COMPUTED_VALUE"""),16.44)</f>
        <v>16.44</v>
      </c>
      <c r="E179" s="2" t="n">
        <f aca="false">IFERROR(__xludf.dummyfunction("""COMPUTED_VALUE"""),17.4)</f>
        <v>17.4</v>
      </c>
      <c r="F179" s="3" t="n">
        <f aca="false">IFERROR(__xludf.dummyfunction("if($T179&lt;&gt;"""",VALUE(REGEXEXTRACT(SUBSTITUTE ($T179,F$1&amp;"" CE"",""""), F$1&amp;""[\w &amp;]*, (\d+\.\d+)"")),"""")
"),20)</f>
        <v>20</v>
      </c>
      <c r="G179" s="3" t="n">
        <f aca="false">IFERROR(__xludf.dummyfunction("if($T179&lt;&gt;"""",VALUE(REGEXEXTRACT($T179, G$1&amp;""[\w &amp;]*, (\d+\.\d+)"")),"""")
"),22)</f>
        <v>22</v>
      </c>
      <c r="H179" s="3" t="n">
        <f aca="false">IFERROR(__xludf.dummyfunction("if($T179&lt;&gt;"""",VALUE(REGEXEXTRACT($T179, H$1&amp;""[\w &amp;]*, (\d+\.\d+)"")),"""")
"),21)</f>
        <v>21</v>
      </c>
      <c r="I179" s="3" t="n">
        <f aca="false">IFERROR(__xludf.dummyfunction("if($T179&lt;&gt;"""",VALUE(REGEXEXTRACT(SUBSTITUTE ($T179,I$1&amp;"" CE"",""""), I$1&amp;""[\w &amp;]*, (\d+\.\d+)"")),"""")
"),17)</f>
        <v>17</v>
      </c>
      <c r="J179" s="3" t="n">
        <f aca="false">IFERROR(__xludf.dummyfunction("if($T179&lt;&gt;"""",VALUE(REGEXEXTRACT($T179, J$1&amp;""[\w &amp;]*, (\d+\.\d+)"")),"""")
"),15)</f>
        <v>15</v>
      </c>
      <c r="K179" s="3" t="n">
        <f aca="false">IFERROR(__xludf.dummyfunction("if($T179&lt;&gt;"""",VALUE(REGEXEXTRACT($T179, K$1&amp;""[\w &amp;]*, (\d+\.\d+)"")),"""")
"),14)</f>
        <v>14</v>
      </c>
      <c r="L179" s="3" t="n">
        <f aca="false">IFERROR(__xludf.dummyfunction("if($T179&lt;&gt;"""",VALUE(REGEXEXTRACT(SUBSTITUTE ($T179,L$1&amp;"" CE"",""""), L$1&amp;""[\w &amp;]*, (\d+\.\d+)"")),"""")
"),17.5)</f>
        <v>17.5</v>
      </c>
      <c r="M179" s="3" t="n">
        <f aca="false">IFERROR(__xludf.dummyfunction("if($T179&lt;&gt;"""",VALUE(REGEXEXTRACT($T179, M$1&amp;""[\w &amp;]*, (\d+\.\d+)"")),"""")
"),19)</f>
        <v>19</v>
      </c>
      <c r="N179" s="3" t="n">
        <f aca="false">IFERROR(__xludf.dummyfunction("if($T179&lt;&gt;"""",VALUE(REGEXEXTRACT(SUBSTITUTE ($T179,N$1&amp;"" CE"",""""), N$1&amp;""[\w &amp;]*, (\d+\.\d+)"")),"""")
"),17)</f>
        <v>17</v>
      </c>
      <c r="O179" s="3" t="n">
        <f aca="false">IFERROR(__xludf.dummyfunction("if($T179&lt;&gt;"""",VALUE(REGEXEXTRACT($T179, O$1&amp;""[\w &amp;]*, (\d+\.\d+)"")),"""")
"),15)</f>
        <v>15</v>
      </c>
      <c r="P179" s="2" t="n">
        <f aca="false">IFERROR(__xludf.dummyfunction("if($T179&lt;&gt;"""",VALUE(REGEXEXTRACT($T179, P$1&amp;""[\w &amp;]*, (\d+\.\d+)"")),"""")
"),14.93)</f>
        <v>14.93</v>
      </c>
      <c r="Q179" s="2" t="n">
        <f aca="false">IFERROR(__xludf.dummyfunction("if($T179&lt;&gt;"""",VALUE(REGEXEXTRACT($T179, Q$1&amp;""[\w &amp;]*, (\d+\.\d+)"")),"""")
"),13.67)</f>
        <v>13.67</v>
      </c>
      <c r="R179" s="2" t="n">
        <f aca="false">IFERROR(__xludf.dummyfunction("if($T179&lt;&gt;"""",VALUE(REGEXEXTRACT($T179, SUBSTITUTE(R$1, ""+"", ""\+"")&amp;""[\w &amp;]*, (\d+\.\d+)"")),"""")"),16.97)</f>
        <v>16.97</v>
      </c>
      <c r="S179" s="2" t="n">
        <f aca="false">IFERROR(__xludf.dummyfunction("if($T179&lt;&gt;"""",VALUE(REGEXEXTRACT($T179, SUBSTITUTE(S$1, ""+"", ""\+"")&amp;""[\w &amp;]*, (\d+\.\d+)"")),"""")"),18.23)</f>
        <v>18.23</v>
      </c>
      <c r="T179" s="5" t="s">
        <v>388</v>
      </c>
    </row>
    <row r="180" customFormat="false" ht="15.75" hidden="false" customHeight="false" outlineLevel="0" collapsed="false">
      <c r="A180" s="4" t="n">
        <f aca="false">IFERROR(__xludf.dummyfunction("""COMPUTED_VALUE"""),45657.6361111111)</f>
        <v>45657.6361111111</v>
      </c>
      <c r="B180" s="2" t="n">
        <f aca="false">IFERROR(__xludf.dummyfunction("""COMPUTED_VALUE"""),16.73)</f>
        <v>16.73</v>
      </c>
      <c r="C180" s="2" t="n">
        <f aca="false">IFERROR(__xludf.dummyfunction("""COMPUTED_VALUE"""),17.81)</f>
        <v>17.81</v>
      </c>
      <c r="D180" s="2" t="n">
        <f aca="false">IFERROR(__xludf.dummyfunction("""COMPUTED_VALUE"""),16.73)</f>
        <v>16.73</v>
      </c>
      <c r="E180" s="2" t="n">
        <f aca="false">IFERROR(__xludf.dummyfunction("""COMPUTED_VALUE"""),17.35)</f>
        <v>17.35</v>
      </c>
      <c r="F180" s="3" t="n">
        <f aca="false">IFERROR(__xludf.dummyfunction("if($T180&lt;&gt;"""",VALUE(REGEXEXTRACT(SUBSTITUTE ($T180,F$1&amp;"" CE"",""""), F$1&amp;""[\w &amp;]*, (\d+\.\d+)"")),"""")
"),20)</f>
        <v>20</v>
      </c>
      <c r="G180" s="3" t="n">
        <f aca="false">IFERROR(__xludf.dummyfunction("if($T180&lt;&gt;"""",VALUE(REGEXEXTRACT($T180, G$1&amp;""[\w &amp;]*, (\d+\.\d+)"")),"""")
"),22)</f>
        <v>22</v>
      </c>
      <c r="H180" s="3" t="str">
        <f aca="false">IFERROR(__xludf.dummyfunction("if($T180&lt;&gt;"""",VALUE(REGEXEXTRACT($T180, H$1&amp;""[\w &amp;]*, (\d+\.\d+)"")),"""")
"),"#N/A")</f>
        <v>#N/A</v>
      </c>
      <c r="I180" s="3" t="n">
        <f aca="false">IFERROR(__xludf.dummyfunction("if($T180&lt;&gt;"""",VALUE(REGEXEXTRACT(SUBSTITUTE ($T180,I$1&amp;"" CE"",""""), I$1&amp;""[\w &amp;]*, (\d+\.\d+)"")),"""")
"),15)</f>
        <v>15</v>
      </c>
      <c r="J180" s="3" t="n">
        <f aca="false">IFERROR(__xludf.dummyfunction("if($T180&lt;&gt;"""",VALUE(REGEXEXTRACT($T180, J$1&amp;""[\w &amp;]*, (\d+\.\d+)"")),"""")
"),15)</f>
        <v>15</v>
      </c>
      <c r="K180" s="3" t="n">
        <f aca="false">IFERROR(__xludf.dummyfunction("if($T180&lt;&gt;"""",VALUE(REGEXEXTRACT($T180, K$1&amp;""[\w &amp;]*, (\d+\.\d+)"")),"""")
"),14)</f>
        <v>14</v>
      </c>
      <c r="L180" s="3" t="n">
        <f aca="false">IFERROR(__xludf.dummyfunction("if($T180&lt;&gt;"""",VALUE(REGEXEXTRACT(SUBSTITUTE ($T180,L$1&amp;"" CE"",""""), L$1&amp;""[\w &amp;]*, (\d+\.\d+)"")),"""")
"),17.5)</f>
        <v>17.5</v>
      </c>
      <c r="M180" s="3" t="n">
        <f aca="false">IFERROR(__xludf.dummyfunction("if($T180&lt;&gt;"""",VALUE(REGEXEXTRACT($T180, M$1&amp;""[\w &amp;]*, (\d+\.\d+)"")),"""")
"),19)</f>
        <v>19</v>
      </c>
      <c r="N180" s="3" t="n">
        <f aca="false">IFERROR(__xludf.dummyfunction("if($T180&lt;&gt;"""",VALUE(REGEXEXTRACT(SUBSTITUTE ($T180,N$1&amp;"" CE"",""""), N$1&amp;""[\w &amp;]*, (\d+\.\d+)"")),"""")
"),17)</f>
        <v>17</v>
      </c>
      <c r="O180" s="3" t="n">
        <f aca="false">IFERROR(__xludf.dummyfunction("if($T180&lt;&gt;"""",VALUE(REGEXEXTRACT($T180, O$1&amp;""[\w &amp;]*, (\d+\.\d+)"")),"""")
"),15)</f>
        <v>15</v>
      </c>
      <c r="P180" s="2" t="n">
        <f aca="false">IFERROR(__xludf.dummyfunction("if($T180&lt;&gt;"""",VALUE(REGEXEXTRACT($T180, P$1&amp;""[\w &amp;]*, (\d+\.\d+)"")),"""")
"),13.26)</f>
        <v>13.26</v>
      </c>
      <c r="Q180" s="2" t="n">
        <f aca="false">IFERROR(__xludf.dummyfunction("if($T180&lt;&gt;"""",VALUE(REGEXEXTRACT($T180, Q$1&amp;""[\w &amp;]*, (\d+\.\d+)"")),"""")
"),12.73)</f>
        <v>12.73</v>
      </c>
      <c r="R180" s="2" t="n">
        <f aca="false">IFERROR(__xludf.dummyfunction("if($T180&lt;&gt;"""",VALUE(REGEXEXTRACT($T180, SUBSTITUTE(R$1, ""+"", ""\+"")&amp;""[\w &amp;]*, (\d+\.\d+)"")),"""")"),15.28)</f>
        <v>15.28</v>
      </c>
      <c r="S180" s="2" t="n">
        <f aca="false">IFERROR(__xludf.dummyfunction("if($T180&lt;&gt;"""",VALUE(REGEXEXTRACT($T180, SUBSTITUTE(S$1, ""+"", ""\+"")&amp;""[\w &amp;]*, (\d+\.\d+)"")),"""")"),15.81)</f>
        <v>15.81</v>
      </c>
      <c r="T180" s="5" t="s">
        <v>389</v>
      </c>
    </row>
    <row r="181" customFormat="false" ht="15.75" hidden="false" customHeight="false" outlineLevel="0" collapsed="false">
      <c r="A181" s="4" t="n">
        <f aca="false">IFERROR(__xludf.dummyfunction("""COMPUTED_VALUE"""),45659.6361111111)</f>
        <v>45659.6361111111</v>
      </c>
      <c r="B181" s="2" t="n">
        <f aca="false">IFERROR(__xludf.dummyfunction("""COMPUTED_VALUE"""),17.21)</f>
        <v>17.21</v>
      </c>
      <c r="C181" s="2" t="n">
        <f aca="false">IFERROR(__xludf.dummyfunction("""COMPUTED_VALUE"""),19.5)</f>
        <v>19.5</v>
      </c>
      <c r="D181" s="2" t="n">
        <f aca="false">IFERROR(__xludf.dummyfunction("""COMPUTED_VALUE"""),16.96)</f>
        <v>16.96</v>
      </c>
      <c r="E181" s="2" t="n">
        <f aca="false">IFERROR(__xludf.dummyfunction("""COMPUTED_VALUE"""),17.93)</f>
        <v>17.93</v>
      </c>
      <c r="F181" s="3" t="n">
        <f aca="false">IFERROR(__xludf.dummyfunction("if($T181&lt;&gt;"""",VALUE(REGEXEXTRACT(SUBSTITUTE ($T181,F$1&amp;"" CE"",""""), F$1&amp;""[\w &amp;]*, (\d+\.\d+)"")),"""")
"),20)</f>
        <v>20</v>
      </c>
      <c r="G181" s="3" t="n">
        <f aca="false">IFERROR(__xludf.dummyfunction("if($T181&lt;&gt;"""",VALUE(REGEXEXTRACT($T181, G$1&amp;""[\w &amp;]*, (\d+\.\d+)"")),"""")
"),16)</f>
        <v>16</v>
      </c>
      <c r="H181" s="3" t="n">
        <f aca="false">IFERROR(__xludf.dummyfunction("if($T181&lt;&gt;"""",VALUE(REGEXEXTRACT($T181, H$1&amp;""[\w &amp;]*, (\d+\.\d+)"")),"""")
"),21)</f>
        <v>21</v>
      </c>
      <c r="I181" s="3" t="n">
        <f aca="false">IFERROR(__xludf.dummyfunction("if($T181&lt;&gt;"""",VALUE(REGEXEXTRACT(SUBSTITUTE ($T181,I$1&amp;"" CE"",""""), I$1&amp;""[\w &amp;]*, (\d+\.\d+)"")),"""")
"),17)</f>
        <v>17</v>
      </c>
      <c r="J181" s="3" t="n">
        <f aca="false">IFERROR(__xludf.dummyfunction("if($T181&lt;&gt;"""",VALUE(REGEXEXTRACT($T181, J$1&amp;""[\w &amp;]*, (\d+\.\d+)"")),"""")
"),15)</f>
        <v>15</v>
      </c>
      <c r="K181" s="3" t="n">
        <f aca="false">IFERROR(__xludf.dummyfunction("if($T181&lt;&gt;"""",VALUE(REGEXEXTRACT($T181, K$1&amp;""[\w &amp;]*, (\d+\.\d+)"")),"""")
"),14)</f>
        <v>14</v>
      </c>
      <c r="L181" s="3" t="n">
        <f aca="false">IFERROR(__xludf.dummyfunction("if($T181&lt;&gt;"""",VALUE(REGEXEXTRACT(SUBSTITUTE ($T181,L$1&amp;"" CE"",""""), L$1&amp;""[\w &amp;]*, (\d+\.\d+)"")),"""")
"),17.5)</f>
        <v>17.5</v>
      </c>
      <c r="M181" s="3" t="n">
        <f aca="false">IFERROR(__xludf.dummyfunction("if($T181&lt;&gt;"""",VALUE(REGEXEXTRACT($T181, M$1&amp;""[\w &amp;]*, (\d+\.\d+)"")),"""")
"),15)</f>
        <v>15</v>
      </c>
      <c r="N181" s="3" t="n">
        <f aca="false">IFERROR(__xludf.dummyfunction("if($T181&lt;&gt;"""",VALUE(REGEXEXTRACT(SUBSTITUTE ($T181,N$1&amp;"" CE"",""""), N$1&amp;""[\w &amp;]*, (\d+\.\d+)"")),"""")
"),17)</f>
        <v>17</v>
      </c>
      <c r="O181" s="3" t="n">
        <f aca="false">IFERROR(__xludf.dummyfunction("if($T181&lt;&gt;"""",VALUE(REGEXEXTRACT($T181, O$1&amp;""[\w &amp;]*, (\d+\.\d+)"")),"""")
"),15)</f>
        <v>15</v>
      </c>
      <c r="P181" s="2" t="n">
        <f aca="false">IFERROR(__xludf.dummyfunction("if($T181&lt;&gt;"""",VALUE(REGEXEXTRACT($T181, P$1&amp;""[\w &amp;]*, (\d+\.\d+)"")),"""")
"),13.37)</f>
        <v>13.37</v>
      </c>
      <c r="Q181" s="2" t="n">
        <f aca="false">IFERROR(__xludf.dummyfunction("if($T181&lt;&gt;"""",VALUE(REGEXEXTRACT($T181, Q$1&amp;""[\w &amp;]*, (\d+\.\d+)"")),"""")
"),11.9)</f>
        <v>11.9</v>
      </c>
      <c r="R181" s="2" t="n">
        <f aca="false">IFERROR(__xludf.dummyfunction("if($T181&lt;&gt;"""",VALUE(REGEXEXTRACT($T181, SUBSTITUTE(R$1, ""+"", ""\+"")&amp;""[\w &amp;]*, (\d+\.\d+)"")),"""")"),21.33)</f>
        <v>21.33</v>
      </c>
      <c r="S181" s="2" t="n">
        <f aca="false">IFERROR(__xludf.dummyfunction("if($T181&lt;&gt;"""",VALUE(REGEXEXTRACT($T181, SUBSTITUTE(S$1, ""+"", ""\+"")&amp;""[\w &amp;]*, (\d+\.\d+)"")),"""")"),22.8)</f>
        <v>22.8</v>
      </c>
      <c r="T181" s="5" t="s">
        <v>390</v>
      </c>
    </row>
    <row r="182" customFormat="false" ht="15.75" hidden="false" customHeight="false" outlineLevel="0" collapsed="false">
      <c r="A182" s="4" t="n">
        <f aca="false">IFERROR(__xludf.dummyfunction("""COMPUTED_VALUE"""),45660.6361111111)</f>
        <v>45660.6361111111</v>
      </c>
      <c r="B182" s="2" t="n">
        <f aca="false">IFERROR(__xludf.dummyfunction("""COMPUTED_VALUE"""),17.88)</f>
        <v>17.88</v>
      </c>
      <c r="C182" s="2" t="n">
        <f aca="false">IFERROR(__xludf.dummyfunction("""COMPUTED_VALUE"""),17.88)</f>
        <v>17.88</v>
      </c>
      <c r="D182" s="2" t="n">
        <f aca="false">IFERROR(__xludf.dummyfunction("""COMPUTED_VALUE"""),16.11)</f>
        <v>16.11</v>
      </c>
      <c r="E182" s="2" t="n">
        <f aca="false">IFERROR(__xludf.dummyfunction("""COMPUTED_VALUE"""),16.13)</f>
        <v>16.13</v>
      </c>
      <c r="F182" s="3" t="n">
        <f aca="false">IFERROR(__xludf.dummyfunction("if($T182&lt;&gt;"""",VALUE(REGEXEXTRACT(SUBSTITUTE ($T182,F$1&amp;"" CE"",""""), F$1&amp;""[\w &amp;]*, (\d+\.\d+)"")),"""")
"),20)</f>
        <v>20</v>
      </c>
      <c r="G182" s="3" t="n">
        <f aca="false">IFERROR(__xludf.dummyfunction("if($T182&lt;&gt;"""",VALUE(REGEXEXTRACT($T182, G$1&amp;""[\w &amp;]*, (\d+\.\d+)"")),"""")
"),17)</f>
        <v>17</v>
      </c>
      <c r="H182" s="3" t="n">
        <f aca="false">IFERROR(__xludf.dummyfunction("if($T182&lt;&gt;"""",VALUE(REGEXEXTRACT($T182, H$1&amp;""[\w &amp;]*, (\d+\.\d+)"")),"""")
"),21)</f>
        <v>21</v>
      </c>
      <c r="I182" s="3" t="n">
        <f aca="false">IFERROR(__xludf.dummyfunction("if($T182&lt;&gt;"""",VALUE(REGEXEXTRACT(SUBSTITUTE ($T182,I$1&amp;"" CE"",""""), I$1&amp;""[\w &amp;]*, (\d+\.\d+)"")),"""")
"),17)</f>
        <v>17</v>
      </c>
      <c r="J182" s="3" t="n">
        <f aca="false">IFERROR(__xludf.dummyfunction("if($T182&lt;&gt;"""",VALUE(REGEXEXTRACT($T182, J$1&amp;""[\w &amp;]*, (\d+\.\d+)"")),"""")
"),15)</f>
        <v>15</v>
      </c>
      <c r="K182" s="3" t="str">
        <f aca="false">IFERROR(__xludf.dummyfunction("if($T182&lt;&gt;"""",VALUE(REGEXEXTRACT($T182, K$1&amp;""[\w &amp;]*, (\d+\.\d+)"")),"""")
"),"#N/A")</f>
        <v>#N/A</v>
      </c>
      <c r="L182" s="3" t="n">
        <f aca="false">IFERROR(__xludf.dummyfunction("if($T182&lt;&gt;"""",VALUE(REGEXEXTRACT(SUBSTITUTE ($T182,L$1&amp;"" CE"",""""), L$1&amp;""[\w &amp;]*, (\d+\.\d+)"")),"""")
"),17.5)</f>
        <v>17.5</v>
      </c>
      <c r="M182" s="3" t="n">
        <f aca="false">IFERROR(__xludf.dummyfunction("if($T182&lt;&gt;"""",VALUE(REGEXEXTRACT($T182, M$1&amp;""[\w &amp;]*, (\d+\.\d+)"")),"""")
"),15)</f>
        <v>15</v>
      </c>
      <c r="N182" s="3" t="n">
        <f aca="false">IFERROR(__xludf.dummyfunction("if($T182&lt;&gt;"""",VALUE(REGEXEXTRACT(SUBSTITUTE ($T182,N$1&amp;"" CE"",""""), N$1&amp;""[\w &amp;]*, (\d+\.\d+)"")),"""")
"),17)</f>
        <v>17</v>
      </c>
      <c r="O182" s="3" t="n">
        <f aca="false">IFERROR(__xludf.dummyfunction("if($T182&lt;&gt;"""",VALUE(REGEXEXTRACT($T182, O$1&amp;""[\w &amp;]*, (\d+\.\d+)"")),"""")
"),17)</f>
        <v>17</v>
      </c>
      <c r="P182" s="2" t="n">
        <f aca="false">IFERROR(__xludf.dummyfunction("if($T182&lt;&gt;"""",VALUE(REGEXEXTRACT($T182, P$1&amp;""[\w &amp;]*, (\d+\.\d+)"")),"""")
"),15.07)</f>
        <v>15.07</v>
      </c>
      <c r="Q182" s="2" t="n">
        <f aca="false">IFERROR(__xludf.dummyfunction("if($T182&lt;&gt;"""",VALUE(REGEXEXTRACT($T182, Q$1&amp;""[\w &amp;]*, (\d+\.\d+)"")),"""")
"),14.2)</f>
        <v>14.2</v>
      </c>
      <c r="R182" s="2" t="n">
        <f aca="false">IFERROR(__xludf.dummyfunction("if($T182&lt;&gt;"""",VALUE(REGEXEXTRACT($T182, SUBSTITUTE(R$1, ""+"", ""\+"")&amp;""[\w &amp;]*, (\d+\.\d+)"")),"""")"),17.19)</f>
        <v>17.19</v>
      </c>
      <c r="S182" s="2" t="n">
        <f aca="false">IFERROR(__xludf.dummyfunction("if($T182&lt;&gt;"""",VALUE(REGEXEXTRACT($T182, SUBSTITUTE(S$1, ""+"", ""\+"")&amp;""[\w &amp;]*, (\d+\.\d+)"")),"""")"),18.06)</f>
        <v>18.06</v>
      </c>
      <c r="T182" s="5" t="s">
        <v>391</v>
      </c>
    </row>
    <row r="183" customFormat="false" ht="15.75" hidden="false" customHeight="false" outlineLevel="0" collapsed="false">
      <c r="A183" s="4" t="n">
        <f aca="false">IFERROR(__xludf.dummyfunction("""COMPUTED_VALUE"""),45663.6361111111)</f>
        <v>45663.6361111111</v>
      </c>
      <c r="B183" s="2" t="n">
        <f aca="false">IFERROR(__xludf.dummyfunction("""COMPUTED_VALUE"""),16.77)</f>
        <v>16.77</v>
      </c>
      <c r="C183" s="2" t="n">
        <f aca="false">IFERROR(__xludf.dummyfunction("""COMPUTED_VALUE"""),16.87)</f>
        <v>16.87</v>
      </c>
      <c r="D183" s="2" t="n">
        <f aca="false">IFERROR(__xludf.dummyfunction("""COMPUTED_VALUE"""),15.71)</f>
        <v>15.71</v>
      </c>
      <c r="E183" s="2" t="n">
        <f aca="false">IFERROR(__xludf.dummyfunction("""COMPUTED_VALUE"""),16.04)</f>
        <v>16.04</v>
      </c>
      <c r="F183" s="3" t="n">
        <f aca="false">IFERROR(__xludf.dummyfunction("if($T183&lt;&gt;"""",VALUE(REGEXEXTRACT(SUBSTITUTE ($T183,F$1&amp;"" CE"",""""), F$1&amp;""[\w &amp;]*, (\d+\.\d+)"")),"""")
"),20)</f>
        <v>20</v>
      </c>
      <c r="G183" s="3" t="n">
        <f aca="false">IFERROR(__xludf.dummyfunction("if($T183&lt;&gt;"""",VALUE(REGEXEXTRACT($T183, G$1&amp;""[\w &amp;]*, (\d+\.\d+)"")),"""")
"),16)</f>
        <v>16</v>
      </c>
      <c r="H183" s="3" t="n">
        <f aca="false">IFERROR(__xludf.dummyfunction("if($T183&lt;&gt;"""",VALUE(REGEXEXTRACT($T183, H$1&amp;""[\w &amp;]*, (\d+\.\d+)"")),"""")
"),21)</f>
        <v>21</v>
      </c>
      <c r="I183" s="3" t="n">
        <f aca="false">IFERROR(__xludf.dummyfunction("if($T183&lt;&gt;"""",VALUE(REGEXEXTRACT(SUBSTITUTE ($T183,I$1&amp;"" CE"",""""), I$1&amp;""[\w &amp;]*, (\d+\.\d+)"")),"""")
"),17)</f>
        <v>17</v>
      </c>
      <c r="J183" s="3" t="n">
        <f aca="false">IFERROR(__xludf.dummyfunction("if($T183&lt;&gt;"""",VALUE(REGEXEXTRACT($T183, J$1&amp;""[\w &amp;]*, (\d+\.\d+)"")),"""")
"),15)</f>
        <v>15</v>
      </c>
      <c r="K183" s="3" t="str">
        <f aca="false">IFERROR(__xludf.dummyfunction("if($T183&lt;&gt;"""",VALUE(REGEXEXTRACT($T183, K$1&amp;""[\w &amp;]*, (\d+\.\d+)"")),"""")
"),"#N/A")</f>
        <v>#N/A</v>
      </c>
      <c r="L183" s="3" t="n">
        <f aca="false">IFERROR(__xludf.dummyfunction("if($T183&lt;&gt;"""",VALUE(REGEXEXTRACT(SUBSTITUTE ($T183,L$1&amp;"" CE"",""""), L$1&amp;""[\w &amp;]*, (\d+\.\d+)"")),"""")
"),17.5)</f>
        <v>17.5</v>
      </c>
      <c r="M183" s="3" t="n">
        <f aca="false">IFERROR(__xludf.dummyfunction("if($T183&lt;&gt;"""",VALUE(REGEXEXTRACT($T183, M$1&amp;""[\w &amp;]*, (\d+\.\d+)"")),"""")
"),19)</f>
        <v>19</v>
      </c>
      <c r="N183" s="3" t="n">
        <f aca="false">IFERROR(__xludf.dummyfunction("if($T183&lt;&gt;"""",VALUE(REGEXEXTRACT(SUBSTITUTE ($T183,N$1&amp;"" CE"",""""), N$1&amp;""[\w &amp;]*, (\d+\.\d+)"")),"""")
"),17)</f>
        <v>17</v>
      </c>
      <c r="O183" s="3" t="n">
        <f aca="false">IFERROR(__xludf.dummyfunction("if($T183&lt;&gt;"""",VALUE(REGEXEXTRACT($T183, O$1&amp;""[\w &amp;]*, (\d+\.\d+)"")),"""")
"),16)</f>
        <v>16</v>
      </c>
      <c r="P183" s="2" t="n">
        <f aca="false">IFERROR(__xludf.dummyfunction("if($T183&lt;&gt;"""",VALUE(REGEXEXTRACT($T183, P$1&amp;""[\w &amp;]*, (\d+\.\d+)"")),"""")
"),15.72)</f>
        <v>15.72</v>
      </c>
      <c r="Q183" s="2" t="n">
        <f aca="false">IFERROR(__xludf.dummyfunction("if($T183&lt;&gt;"""",VALUE(REGEXEXTRACT($T183, Q$1&amp;""[\w &amp;]*, (\d+\.\d+)"")),"""")
"),14.67)</f>
        <v>14.67</v>
      </c>
      <c r="R183" s="2" t="n">
        <f aca="false">IFERROR(__xludf.dummyfunction("if($T183&lt;&gt;"""",VALUE(REGEXEXTRACT($T183, SUBSTITUTE(R$1, ""+"", ""\+"")&amp;""[\w &amp;]*, (\d+\.\d+)"")),"""")"),20.14)</f>
        <v>20.14</v>
      </c>
      <c r="S183" s="2" t="n">
        <f aca="false">IFERROR(__xludf.dummyfunction("if($T183&lt;&gt;"""",VALUE(REGEXEXTRACT($T183, SUBSTITUTE(S$1, ""+"", ""\+"")&amp;""[\w &amp;]*, (\d+\.\d+)"")),"""")"),21.19)</f>
        <v>21.19</v>
      </c>
      <c r="T183" s="5" t="s">
        <v>392</v>
      </c>
    </row>
    <row r="184" customFormat="false" ht="15.75" hidden="false" customHeight="false" outlineLevel="0" collapsed="false">
      <c r="A184" s="4" t="n">
        <f aca="false">IFERROR(__xludf.dummyfunction("""COMPUTED_VALUE"""),45664.6361111111)</f>
        <v>45664.6361111111</v>
      </c>
      <c r="B184" s="2" t="n">
        <f aca="false">IFERROR(__xludf.dummyfunction("""COMPUTED_VALUE"""),16.2)</f>
        <v>16.2</v>
      </c>
      <c r="C184" s="2" t="n">
        <f aca="false">IFERROR(__xludf.dummyfunction("""COMPUTED_VALUE"""),18.9)</f>
        <v>18.9</v>
      </c>
      <c r="D184" s="2" t="n">
        <f aca="false">IFERROR(__xludf.dummyfunction("""COMPUTED_VALUE"""),15.79)</f>
        <v>15.79</v>
      </c>
      <c r="E184" s="2" t="n">
        <f aca="false">IFERROR(__xludf.dummyfunction("""COMPUTED_VALUE"""),17.82)</f>
        <v>17.82</v>
      </c>
      <c r="F184" s="3" t="n">
        <f aca="false">IFERROR(__xludf.dummyfunction("if($T184&lt;&gt;"""",VALUE(REGEXEXTRACT(SUBSTITUTE ($T184,F$1&amp;"" CE"",""""), F$1&amp;""[\w &amp;]*, (\d+\.\d+)"")),"""")
"),20)</f>
        <v>20</v>
      </c>
      <c r="G184" s="3" t="n">
        <f aca="false">IFERROR(__xludf.dummyfunction("if($T184&lt;&gt;"""",VALUE(REGEXEXTRACT($T184, G$1&amp;""[\w &amp;]*, (\d+\.\d+)"")),"""")
"),17)</f>
        <v>17</v>
      </c>
      <c r="H184" s="3" t="n">
        <f aca="false">IFERROR(__xludf.dummyfunction("if($T184&lt;&gt;"""",VALUE(REGEXEXTRACT($T184, H$1&amp;""[\w &amp;]*, (\d+\.\d+)"")),"""")
"),21)</f>
        <v>21</v>
      </c>
      <c r="I184" s="3" t="n">
        <f aca="false">IFERROR(__xludf.dummyfunction("if($T184&lt;&gt;"""",VALUE(REGEXEXTRACT(SUBSTITUTE ($T184,I$1&amp;"" CE"",""""), I$1&amp;""[\w &amp;]*, (\d+\.\d+)"")),"""")
"),17)</f>
        <v>17</v>
      </c>
      <c r="J184" s="3" t="n">
        <f aca="false">IFERROR(__xludf.dummyfunction("if($T184&lt;&gt;"""",VALUE(REGEXEXTRACT($T184, J$1&amp;""[\w &amp;]*, (\d+\.\d+)"")),"""")
"),15)</f>
        <v>15</v>
      </c>
      <c r="K184" s="3" t="str">
        <f aca="false">IFERROR(__xludf.dummyfunction("if($T184&lt;&gt;"""",VALUE(REGEXEXTRACT($T184, K$1&amp;""[\w &amp;]*, (\d+\.\d+)"")),"""")
"),"#N/A")</f>
        <v>#N/A</v>
      </c>
      <c r="L184" s="3" t="n">
        <f aca="false">IFERROR(__xludf.dummyfunction("if($T184&lt;&gt;"""",VALUE(REGEXEXTRACT(SUBSTITUTE ($T184,L$1&amp;"" CE"",""""), L$1&amp;""[\w &amp;]*, (\d+\.\d+)"")),"""")
"),17.5)</f>
        <v>17.5</v>
      </c>
      <c r="M184" s="3" t="n">
        <f aca="false">IFERROR(__xludf.dummyfunction("if($T184&lt;&gt;"""",VALUE(REGEXEXTRACT($T184, M$1&amp;""[\w &amp;]*, (\d+\.\d+)"")),"""")
"),15)</f>
        <v>15</v>
      </c>
      <c r="N184" s="3" t="n">
        <f aca="false">IFERROR(__xludf.dummyfunction("if($T184&lt;&gt;"""",VALUE(REGEXEXTRACT(SUBSTITUTE ($T184,N$1&amp;"" CE"",""""), N$1&amp;""[\w &amp;]*, (\d+\.\d+)"")),"""")
"),17)</f>
        <v>17</v>
      </c>
      <c r="O184" s="3" t="n">
        <f aca="false">IFERROR(__xludf.dummyfunction("if($T184&lt;&gt;"""",VALUE(REGEXEXTRACT($T184, O$1&amp;""[\w &amp;]*, (\d+\.\d+)"")),"""")
"),17)</f>
        <v>17</v>
      </c>
      <c r="P184" s="2" t="n">
        <f aca="false">IFERROR(__xludf.dummyfunction("if($T184&lt;&gt;"""",VALUE(REGEXEXTRACT($T184, P$1&amp;""[\w &amp;]*, (\d+\.\d+)"")),"""")
"),15.16)</f>
        <v>15.16</v>
      </c>
      <c r="Q184" s="2" t="n">
        <f aca="false">IFERROR(__xludf.dummyfunction("if($T184&lt;&gt;"""",VALUE(REGEXEXTRACT($T184, Q$1&amp;""[\w &amp;]*, (\d+\.\d+)"")),"""")
"),14.18)</f>
        <v>14.18</v>
      </c>
      <c r="R184" s="2" t="n">
        <f aca="false">IFERROR(__xludf.dummyfunction("if($T184&lt;&gt;"""",VALUE(REGEXEXTRACT($T184, SUBSTITUTE(R$1, ""+"", ""\+"")&amp;""[\w &amp;]*, (\d+\.\d+)"")),"""")"),16.92)</f>
        <v>16.92</v>
      </c>
      <c r="S184" s="2" t="n">
        <f aca="false">IFERROR(__xludf.dummyfunction("if($T184&lt;&gt;"""",VALUE(REGEXEXTRACT($T184, SUBSTITUTE(S$1, ""+"", ""\+"")&amp;""[\w &amp;]*, (\d+\.\d+)"")),"""")"),17.9)</f>
        <v>17.9</v>
      </c>
      <c r="T184" s="5" t="s">
        <v>393</v>
      </c>
    </row>
    <row r="185" customFormat="false" ht="15.75" hidden="false" customHeight="false" outlineLevel="0" collapsed="false">
      <c r="A185" s="4" t="n">
        <f aca="false">IFERROR(__xludf.dummyfunction("""COMPUTED_VALUE"""),45665.6361111111)</f>
        <v>45665.6361111111</v>
      </c>
      <c r="B185" s="2" t="n">
        <f aca="false">IFERROR(__xludf.dummyfunction("""COMPUTED_VALUE"""),18.85)</f>
        <v>18.85</v>
      </c>
      <c r="C185" s="2" t="n">
        <f aca="false">IFERROR(__xludf.dummyfunction("""COMPUTED_VALUE"""),19.5)</f>
        <v>19.5</v>
      </c>
      <c r="D185" s="2" t="n">
        <f aca="false">IFERROR(__xludf.dummyfunction("""COMPUTED_VALUE"""),17.37)</f>
        <v>17.37</v>
      </c>
      <c r="E185" s="2" t="n">
        <f aca="false">IFERROR(__xludf.dummyfunction("""COMPUTED_VALUE"""),17.7)</f>
        <v>17.7</v>
      </c>
      <c r="F185" s="3" t="n">
        <f aca="false">IFERROR(__xludf.dummyfunction("if($T185&lt;&gt;"""",VALUE(REGEXEXTRACT(SUBSTITUTE ($T185,F$1&amp;"" CE"",""""), F$1&amp;""[\w &amp;]*, (\d+\.\d+)"")),"""")
"),20)</f>
        <v>20</v>
      </c>
      <c r="G185" s="3" t="n">
        <f aca="false">IFERROR(__xludf.dummyfunction("if($T185&lt;&gt;"""",VALUE(REGEXEXTRACT($T185, G$1&amp;""[\w &amp;]*, (\d+\.\d+)"")),"""")
"),16)</f>
        <v>16</v>
      </c>
      <c r="H185" s="3" t="n">
        <f aca="false">IFERROR(__xludf.dummyfunction("if($T185&lt;&gt;"""",VALUE(REGEXEXTRACT($T185, H$1&amp;""[\w &amp;]*, (\d+\.\d+)"")),"""")
"),21)</f>
        <v>21</v>
      </c>
      <c r="I185" s="3" t="n">
        <f aca="false">IFERROR(__xludf.dummyfunction("if($T185&lt;&gt;"""",VALUE(REGEXEXTRACT(SUBSTITUTE ($T185,I$1&amp;"" CE"",""""), I$1&amp;""[\w &amp;]*, (\d+\.\d+)"")),"""")
"),17)</f>
        <v>17</v>
      </c>
      <c r="J185" s="3" t="n">
        <f aca="false">IFERROR(__xludf.dummyfunction("if($T185&lt;&gt;"""",VALUE(REGEXEXTRACT($T185, J$1&amp;""[\w &amp;]*, (\d+\.\d+)"")),"""")
"),17)</f>
        <v>17</v>
      </c>
      <c r="K185" s="3" t="n">
        <f aca="false">IFERROR(__xludf.dummyfunction("if($T185&lt;&gt;"""",VALUE(REGEXEXTRACT($T185, K$1&amp;""[\w &amp;]*, (\d+\.\d+)"")),"""")
"),16)</f>
        <v>16</v>
      </c>
      <c r="L185" s="3" t="n">
        <f aca="false">IFERROR(__xludf.dummyfunction("if($T185&lt;&gt;"""",VALUE(REGEXEXTRACT(SUBSTITUTE ($T185,L$1&amp;"" CE"",""""), L$1&amp;""[\w &amp;]*, (\d+\.\d+)"")),"""")
"),17.5)</f>
        <v>17.5</v>
      </c>
      <c r="M185" s="3" t="n">
        <f aca="false">IFERROR(__xludf.dummyfunction("if($T185&lt;&gt;"""",VALUE(REGEXEXTRACT($T185, M$1&amp;""[\w &amp;]*, (\d+\.\d+)"")),"""")
"),19)</f>
        <v>19</v>
      </c>
      <c r="N185" s="3" t="n">
        <f aca="false">IFERROR(__xludf.dummyfunction("if($T185&lt;&gt;"""",VALUE(REGEXEXTRACT(SUBSTITUTE ($T185,N$1&amp;"" CE"",""""), N$1&amp;""[\w &amp;]*, (\d+\.\d+)"")),"""")
"),17)</f>
        <v>17</v>
      </c>
      <c r="O185" s="3" t="n">
        <f aca="false">IFERROR(__xludf.dummyfunction("if($T185&lt;&gt;"""",VALUE(REGEXEXTRACT($T185, O$1&amp;""[\w &amp;]*, (\d+\.\d+)"")),"""")
"),17)</f>
        <v>17</v>
      </c>
      <c r="P185" s="2" t="n">
        <f aca="false">IFERROR(__xludf.dummyfunction("if($T185&lt;&gt;"""",VALUE(REGEXEXTRACT($T185, P$1&amp;""[\w &amp;]*, (\d+\.\d+)"")),"""")
"),17.07)</f>
        <v>17.07</v>
      </c>
      <c r="Q185" s="2" t="n">
        <f aca="false">IFERROR(__xludf.dummyfunction("if($T185&lt;&gt;"""",VALUE(REGEXEXTRACT($T185, Q$1&amp;""[\w &amp;]*, (\d+\.\d+)"")),"""")
"),15.69)</f>
        <v>15.69</v>
      </c>
      <c r="R185" s="2" t="n">
        <f aca="false">IFERROR(__xludf.dummyfunction("if($T185&lt;&gt;"""",VALUE(REGEXEXTRACT($T185, SUBSTITUTE(R$1, ""+"", ""\+"")&amp;""[\w &amp;]*, (\d+\.\d+)"")),"""")"),18.57)</f>
        <v>18.57</v>
      </c>
      <c r="S185" s="2" t="n">
        <f aca="false">IFERROR(__xludf.dummyfunction("if($T185&lt;&gt;"""",VALUE(REGEXEXTRACT($T185, SUBSTITUTE(S$1, ""+"", ""\+"")&amp;""[\w &amp;]*, (\d+\.\d+)"")),"""")"),19.95)</f>
        <v>19.95</v>
      </c>
      <c r="T185" s="5" t="s">
        <v>394</v>
      </c>
    </row>
    <row r="186" customFormat="false" ht="15.75" hidden="false" customHeight="false" outlineLevel="0" collapsed="false">
      <c r="A186" s="4" t="n">
        <f aca="false">IFERROR(__xludf.dummyfunction("""COMPUTED_VALUE"""),45667.6361111111)</f>
        <v>45667.6361111111</v>
      </c>
      <c r="B186" s="2" t="n">
        <f aca="false">IFERROR(__xludf.dummyfunction("""COMPUTED_VALUE"""),18.58)</f>
        <v>18.58</v>
      </c>
      <c r="C186" s="2" t="n">
        <f aca="false">IFERROR(__xludf.dummyfunction("""COMPUTED_VALUE"""),20.31)</f>
        <v>20.31</v>
      </c>
      <c r="D186" s="2" t="n">
        <f aca="false">IFERROR(__xludf.dummyfunction("""COMPUTED_VALUE"""),18.58)</f>
        <v>18.58</v>
      </c>
      <c r="E186" s="2" t="n">
        <f aca="false">IFERROR(__xludf.dummyfunction("""COMPUTED_VALUE"""),19.54)</f>
        <v>19.54</v>
      </c>
      <c r="F186" s="3" t="n">
        <f aca="false">IFERROR(__xludf.dummyfunction("if($T186&lt;&gt;"""",VALUE(REGEXEXTRACT(SUBSTITUTE ($T186,F$1&amp;"" CE"",""""), F$1&amp;""[\w &amp;]*, (\d+\.\d+)"")),"""")
"),20)</f>
        <v>20</v>
      </c>
      <c r="G186" s="3" t="n">
        <f aca="false">IFERROR(__xludf.dummyfunction("if($T186&lt;&gt;"""",VALUE(REGEXEXTRACT($T186, G$1&amp;""[\w &amp;]*, (\d+\.\d+)"")),"""")
"),20)</f>
        <v>20</v>
      </c>
      <c r="H186" s="3" t="n">
        <f aca="false">IFERROR(__xludf.dummyfunction("if($T186&lt;&gt;"""",VALUE(REGEXEXTRACT($T186, H$1&amp;""[\w &amp;]*, (\d+\.\d+)"")),"""")
"),21)</f>
        <v>21</v>
      </c>
      <c r="I186" s="3" t="n">
        <f aca="false">IFERROR(__xludf.dummyfunction("if($T186&lt;&gt;"""",VALUE(REGEXEXTRACT(SUBSTITUTE ($T186,I$1&amp;"" CE"",""""), I$1&amp;""[\w &amp;]*, (\d+\.\d+)"")),"""")
"),17)</f>
        <v>17</v>
      </c>
      <c r="J186" s="3" t="n">
        <f aca="false">IFERROR(__xludf.dummyfunction("if($T186&lt;&gt;"""",VALUE(REGEXEXTRACT($T186, J$1&amp;""[\w &amp;]*, (\d+\.\d+)"")),"""")
"),16)</f>
        <v>16</v>
      </c>
      <c r="K186" s="3" t="n">
        <f aca="false">IFERROR(__xludf.dummyfunction("if($T186&lt;&gt;"""",VALUE(REGEXEXTRACT($T186, K$1&amp;""[\w &amp;]*, (\d+\.\d+)"")),"""")
"),16)</f>
        <v>16</v>
      </c>
      <c r="L186" s="3" t="n">
        <f aca="false">IFERROR(__xludf.dummyfunction("if($T186&lt;&gt;"""",VALUE(REGEXEXTRACT(SUBSTITUTE ($T186,L$1&amp;"" CE"",""""), L$1&amp;""[\w &amp;]*, (\d+\.\d+)"")),"""")
"),17.5)</f>
        <v>17.5</v>
      </c>
      <c r="M186" s="3" t="n">
        <f aca="false">IFERROR(__xludf.dummyfunction("if($T186&lt;&gt;"""",VALUE(REGEXEXTRACT($T186, M$1&amp;""[\w &amp;]*, (\d+\.\d+)"")),"""")
"),16)</f>
        <v>16</v>
      </c>
      <c r="N186" s="3" t="n">
        <f aca="false">IFERROR(__xludf.dummyfunction("if($T186&lt;&gt;"""",VALUE(REGEXEXTRACT(SUBSTITUTE ($T186,N$1&amp;"" CE"",""""), N$1&amp;""[\w &amp;]*, (\d+\.\d+)"")),"""")
"),17)</f>
        <v>17</v>
      </c>
      <c r="O186" s="3" t="n">
        <f aca="false">IFERROR(__xludf.dummyfunction("if($T186&lt;&gt;"""",VALUE(REGEXEXTRACT($T186, O$1&amp;""[\w &amp;]*, (\d+\.\d+)"")),"""")
"),16)</f>
        <v>16</v>
      </c>
      <c r="P186" s="2" t="n">
        <f aca="false">IFERROR(__xludf.dummyfunction("if($T186&lt;&gt;"""",VALUE(REGEXEXTRACT($T186, P$1&amp;""[\w &amp;]*, (\d+\.\d+)"")),"""")
"),15.7)</f>
        <v>15.7</v>
      </c>
      <c r="Q186" s="2" t="n">
        <f aca="false">IFERROR(__xludf.dummyfunction("if($T186&lt;&gt;"""",VALUE(REGEXEXTRACT($T186, Q$1&amp;""[\w &amp;]*, (\d+\.\d+)"")),"""")
"),14.96)</f>
        <v>14.96</v>
      </c>
      <c r="R186" s="2" t="n">
        <f aca="false">IFERROR(__xludf.dummyfunction("if($T186&lt;&gt;"""",VALUE(REGEXEXTRACT($T186, SUBSTITUTE(R$1, ""+"", ""\+"")&amp;""[\w &amp;]*, (\d+\.\d+)"")),"""")"),19.7)</f>
        <v>19.7</v>
      </c>
      <c r="S186" s="2" t="n">
        <f aca="false">IFERROR(__xludf.dummyfunction("if($T186&lt;&gt;"""",VALUE(REGEXEXTRACT($T186, SUBSTITUTE(S$1, ""+"", ""\+"")&amp;""[\w &amp;]*, (\d+\.\d+)"")),"""")"),20.44)</f>
        <v>20.44</v>
      </c>
      <c r="T186" s="5" t="s">
        <v>395</v>
      </c>
    </row>
    <row r="187" customFormat="false" ht="15.75" hidden="false" customHeight="false" outlineLevel="0" collapsed="false">
      <c r="A187" s="4" t="n">
        <f aca="false">IFERROR(__xludf.dummyfunction("""COMPUTED_VALUE"""),45670.6361111111)</f>
        <v>45670.6361111111</v>
      </c>
      <c r="B187" s="2" t="n">
        <f aca="false">IFERROR(__xludf.dummyfunction("""COMPUTED_VALUE"""),21.18)</f>
        <v>21.18</v>
      </c>
      <c r="C187" s="2" t="n">
        <f aca="false">IFERROR(__xludf.dummyfunction("""COMPUTED_VALUE"""),22.04)</f>
        <v>22.04</v>
      </c>
      <c r="D187" s="2" t="n">
        <f aca="false">IFERROR(__xludf.dummyfunction("""COMPUTED_VALUE"""),19.15)</f>
        <v>19.15</v>
      </c>
      <c r="E187" s="2" t="n">
        <f aca="false">IFERROR(__xludf.dummyfunction("""COMPUTED_VALUE"""),19.19)</f>
        <v>19.19</v>
      </c>
      <c r="F187" s="3" t="n">
        <f aca="false">IFERROR(__xludf.dummyfunction("if($T187&lt;&gt;"""",VALUE(REGEXEXTRACT(SUBSTITUTE ($T187,F$1&amp;"" CE"",""""), F$1&amp;""[\w &amp;]*, (\d+\.\d+)"")),"""")
"),20)</f>
        <v>20</v>
      </c>
      <c r="G187" s="3" t="n">
        <f aca="false">IFERROR(__xludf.dummyfunction("if($T187&lt;&gt;"""",VALUE(REGEXEXTRACT($T187, G$1&amp;""[\w &amp;]*, (\d+\.\d+)"")),"""")
"),20)</f>
        <v>20</v>
      </c>
      <c r="H187" s="3" t="n">
        <f aca="false">IFERROR(__xludf.dummyfunction("if($T187&lt;&gt;"""",VALUE(REGEXEXTRACT($T187, H$1&amp;""[\w &amp;]*, (\d+\.\d+)"")),"""")
"),21)</f>
        <v>21</v>
      </c>
      <c r="I187" s="3" t="n">
        <f aca="false">IFERROR(__xludf.dummyfunction("if($T187&lt;&gt;"""",VALUE(REGEXEXTRACT(SUBSTITUTE ($T187,I$1&amp;"" CE"",""""), I$1&amp;""[\w &amp;]*, (\d+\.\d+)"")),"""")
"),17)</f>
        <v>17</v>
      </c>
      <c r="J187" s="3" t="n">
        <f aca="false">IFERROR(__xludf.dummyfunction("if($T187&lt;&gt;"""",VALUE(REGEXEXTRACT($T187, J$1&amp;""[\w &amp;]*, (\d+\.\d+)"")),"""")
"),16)</f>
        <v>16</v>
      </c>
      <c r="K187" s="3" t="n">
        <f aca="false">IFERROR(__xludf.dummyfunction("if($T187&lt;&gt;"""",VALUE(REGEXEXTRACT($T187, K$1&amp;""[\w &amp;]*, (\d+\.\d+)"")),"""")
"),16)</f>
        <v>16</v>
      </c>
      <c r="L187" s="3" t="n">
        <f aca="false">IFERROR(__xludf.dummyfunction("if($T187&lt;&gt;"""",VALUE(REGEXEXTRACT(SUBSTITUTE ($T187,L$1&amp;"" CE"",""""), L$1&amp;""[\w &amp;]*, (\d+\.\d+)"")),"""")
"),17.5)</f>
        <v>17.5</v>
      </c>
      <c r="M187" s="3" t="n">
        <f aca="false">IFERROR(__xludf.dummyfunction("if($T187&lt;&gt;"""",VALUE(REGEXEXTRACT($T187, M$1&amp;""[\w &amp;]*, (\d+\.\d+)"")),"""")
"),19)</f>
        <v>19</v>
      </c>
      <c r="N187" s="3" t="n">
        <f aca="false">IFERROR(__xludf.dummyfunction("if($T187&lt;&gt;"""",VALUE(REGEXEXTRACT(SUBSTITUTE ($T187,N$1&amp;"" CE"",""""), N$1&amp;""[\w &amp;]*, (\d+\.\d+)"")),"""")
"),17)</f>
        <v>17</v>
      </c>
      <c r="O187" s="3" t="n">
        <f aca="false">IFERROR(__xludf.dummyfunction("if($T187&lt;&gt;"""",VALUE(REGEXEXTRACT($T187, O$1&amp;""[\w &amp;]*, (\d+\.\d+)"")),"""")
"),18)</f>
        <v>18</v>
      </c>
      <c r="P187" s="2" t="n">
        <f aca="false">IFERROR(__xludf.dummyfunction("if($T187&lt;&gt;"""",VALUE(REGEXEXTRACT($T187, P$1&amp;""[\w &amp;]*, (\d+\.\d+)"")),"""")
"),15.59)</f>
        <v>15.59</v>
      </c>
      <c r="Q187" s="2" t="n">
        <f aca="false">IFERROR(__xludf.dummyfunction("if($T187&lt;&gt;"""",VALUE(REGEXEXTRACT($T187, Q$1&amp;""[\w &amp;]*, (\d+\.\d+)"")),"""")
"),14.66)</f>
        <v>14.66</v>
      </c>
      <c r="R187" s="2" t="n">
        <f aca="false">IFERROR(__xludf.dummyfunction("if($T187&lt;&gt;"""",VALUE(REGEXEXTRACT($T187, SUBSTITUTE(R$1, ""+"", ""\+"")&amp;""[\w &amp;]*, (\d+\.\d+)"")),"""")"),19.81)</f>
        <v>19.81</v>
      </c>
      <c r="S187" s="2" t="n">
        <f aca="false">IFERROR(__xludf.dummyfunction("if($T187&lt;&gt;"""",VALUE(REGEXEXTRACT($T187, SUBSTITUTE(S$1, ""+"", ""\+"")&amp;""[\w &amp;]*, (\d+\.\d+)"")),"""")"),20.74)</f>
        <v>20.74</v>
      </c>
      <c r="T187" s="5" t="s">
        <v>396</v>
      </c>
    </row>
    <row r="188" customFormat="false" ht="15.75" hidden="false" customHeight="false" outlineLevel="0" collapsed="false">
      <c r="A188" s="4" t="n">
        <f aca="false">IFERROR(__xludf.dummyfunction("""COMPUTED_VALUE"""),45671.6361111111)</f>
        <v>45671.6361111111</v>
      </c>
      <c r="B188" s="2" t="n">
        <f aca="false">IFERROR(__xludf.dummyfunction("""COMPUTED_VALUE"""),19.05)</f>
        <v>19.05</v>
      </c>
      <c r="C188" s="2" t="n">
        <f aca="false">IFERROR(__xludf.dummyfunction("""COMPUTED_VALUE"""),19.66)</f>
        <v>19.66</v>
      </c>
      <c r="D188" s="2" t="n">
        <f aca="false">IFERROR(__xludf.dummyfunction("""COMPUTED_VALUE"""),18.24)</f>
        <v>18.24</v>
      </c>
      <c r="E188" s="2" t="n">
        <f aca="false">IFERROR(__xludf.dummyfunction("""COMPUTED_VALUE"""),18.71)</f>
        <v>18.71</v>
      </c>
      <c r="F188" s="3" t="n">
        <f aca="false">IFERROR(__xludf.dummyfunction("if($T188&lt;&gt;"""",VALUE(REGEXEXTRACT(SUBSTITUTE ($T188,F$1&amp;"" CE"",""""), F$1&amp;""[\w &amp;]*, (\d+\.\d+)"")),"""")
"),20)</f>
        <v>20</v>
      </c>
      <c r="G188" s="3" t="n">
        <f aca="false">IFERROR(__xludf.dummyfunction("if($T188&lt;&gt;"""",VALUE(REGEXEXTRACT($T188, G$1&amp;""[\w &amp;]*, (\d+\.\d+)"")),"""")
"),21)</f>
        <v>21</v>
      </c>
      <c r="H188" s="3" t="n">
        <f aca="false">IFERROR(__xludf.dummyfunction("if($T188&lt;&gt;"""",VALUE(REGEXEXTRACT($T188, H$1&amp;""[\w &amp;]*, (\d+\.\d+)"")),"""")
"),21)</f>
        <v>21</v>
      </c>
      <c r="I188" s="3" t="n">
        <f aca="false">IFERROR(__xludf.dummyfunction("if($T188&lt;&gt;"""",VALUE(REGEXEXTRACT(SUBSTITUTE ($T188,I$1&amp;"" CE"",""""), I$1&amp;""[\w &amp;]*, (\d+\.\d+)"")),"""")
"),17)</f>
        <v>17</v>
      </c>
      <c r="J188" s="3" t="n">
        <f aca="false">IFERROR(__xludf.dummyfunction("if($T188&lt;&gt;"""",VALUE(REGEXEXTRACT($T188, J$1&amp;""[\w &amp;]*, (\d+\.\d+)"")),"""")
"),19)</f>
        <v>19</v>
      </c>
      <c r="K188" s="3" t="n">
        <f aca="false">IFERROR(__xludf.dummyfunction("if($T188&lt;&gt;"""",VALUE(REGEXEXTRACT($T188, K$1&amp;""[\w &amp;]*, (\d+\.\d+)"")),"""")
"),16)</f>
        <v>16</v>
      </c>
      <c r="L188" s="3" t="n">
        <f aca="false">IFERROR(__xludf.dummyfunction("if($T188&lt;&gt;"""",VALUE(REGEXEXTRACT(SUBSTITUTE ($T188,L$1&amp;"" CE"",""""), L$1&amp;""[\w &amp;]*, (\d+\.\d+)"")),"""")
"),17.5)</f>
        <v>17.5</v>
      </c>
      <c r="M188" s="3" t="n">
        <f aca="false">IFERROR(__xludf.dummyfunction("if($T188&lt;&gt;"""",VALUE(REGEXEXTRACT($T188, M$1&amp;""[\w &amp;]*, (\d+\.\d+)"")),"""")
"),19)</f>
        <v>19</v>
      </c>
      <c r="N188" s="3" t="n">
        <f aca="false">IFERROR(__xludf.dummyfunction("if($T188&lt;&gt;"""",VALUE(REGEXEXTRACT(SUBSTITUTE ($T188,N$1&amp;"" CE"",""""), N$1&amp;""[\w &amp;]*, (\d+\.\d+)"")),"""")
"),17)</f>
        <v>17</v>
      </c>
      <c r="O188" s="3" t="n">
        <f aca="false">IFERROR(__xludf.dummyfunction("if($T188&lt;&gt;"""",VALUE(REGEXEXTRACT($T188, O$1&amp;""[\w &amp;]*, (\d+\.\d+)"")),"""")
"),18)</f>
        <v>18</v>
      </c>
      <c r="P188" s="2" t="n">
        <f aca="false">IFERROR(__xludf.dummyfunction("if($T188&lt;&gt;"""",VALUE(REGEXEXTRACT($T188, P$1&amp;""[\w &amp;]*, (\d+\.\d+)"")),"""")
"),17.64)</f>
        <v>17.64</v>
      </c>
      <c r="Q188" s="2" t="n">
        <f aca="false">IFERROR(__xludf.dummyfunction("if($T188&lt;&gt;"""",VALUE(REGEXEXTRACT($T188, Q$1&amp;""[\w &amp;]*, (\d+\.\d+)"")),"""")
"),15.84)</f>
        <v>15.84</v>
      </c>
      <c r="R188" s="2" t="n">
        <f aca="false">IFERROR(__xludf.dummyfunction("if($T188&lt;&gt;"""",VALUE(REGEXEXTRACT($T188, SUBSTITUTE(R$1, ""+"", ""\+"")&amp;""[\w &amp;]*, (\d+\.\d+)"")),"""")"),20.74)</f>
        <v>20.74</v>
      </c>
      <c r="S188" s="2" t="n">
        <f aca="false">IFERROR(__xludf.dummyfunction("if($T188&lt;&gt;"""",VALUE(REGEXEXTRACT($T188, SUBSTITUTE(S$1, ""+"", ""\+"")&amp;""[\w &amp;]*, (\d+\.\d+)"")),"""")"),22.54)</f>
        <v>22.54</v>
      </c>
      <c r="T188" s="5" t="s">
        <v>397</v>
      </c>
    </row>
    <row r="189" customFormat="false" ht="15.75" hidden="false" customHeight="false" outlineLevel="0" collapsed="false">
      <c r="A189" s="4" t="n">
        <f aca="false">IFERROR(__xludf.dummyfunction("""COMPUTED_VALUE"""),45672.6361111111)</f>
        <v>45672.6361111111</v>
      </c>
      <c r="B189" s="2" t="n">
        <f aca="false">IFERROR(__xludf.dummyfunction("""COMPUTED_VALUE"""),18.66)</f>
        <v>18.66</v>
      </c>
      <c r="C189" s="2" t="n">
        <f aca="false">IFERROR(__xludf.dummyfunction("""COMPUTED_VALUE"""),18.66)</f>
        <v>18.66</v>
      </c>
      <c r="D189" s="2" t="n">
        <f aca="false">IFERROR(__xludf.dummyfunction("""COMPUTED_VALUE"""),15.96)</f>
        <v>15.96</v>
      </c>
      <c r="E189" s="2" t="n">
        <f aca="false">IFERROR(__xludf.dummyfunction("""COMPUTED_VALUE"""),16.12)</f>
        <v>16.12</v>
      </c>
      <c r="F189" s="3" t="n">
        <f aca="false">IFERROR(__xludf.dummyfunction("if($T189&lt;&gt;"""",VALUE(REGEXEXTRACT(SUBSTITUTE ($T189,F$1&amp;"" CE"",""""), F$1&amp;""[\w &amp;]*, (\d+\.\d+)"")),"""")
"),20)</f>
        <v>20</v>
      </c>
      <c r="G189" s="3" t="n">
        <f aca="false">IFERROR(__xludf.dummyfunction("if($T189&lt;&gt;"""",VALUE(REGEXEXTRACT($T189, G$1&amp;""[\w &amp;]*, (\d+\.\d+)"")),"""")
"),21)</f>
        <v>21</v>
      </c>
      <c r="H189" s="3" t="n">
        <f aca="false">IFERROR(__xludf.dummyfunction("if($T189&lt;&gt;"""",VALUE(REGEXEXTRACT($T189, H$1&amp;""[\w &amp;]*, (\d+\.\d+)"")),"""")
"),21)</f>
        <v>21</v>
      </c>
      <c r="I189" s="3" t="n">
        <f aca="false">IFERROR(__xludf.dummyfunction("if($T189&lt;&gt;"""",VALUE(REGEXEXTRACT(SUBSTITUTE ($T189,I$1&amp;"" CE"",""""), I$1&amp;""[\w &amp;]*, (\d+\.\d+)"")),"""")
"),17)</f>
        <v>17</v>
      </c>
      <c r="J189" s="3" t="n">
        <f aca="false">IFERROR(__xludf.dummyfunction("if($T189&lt;&gt;"""",VALUE(REGEXEXTRACT($T189, J$1&amp;""[\w &amp;]*, (\d+\.\d+)"")),"""")
"),19)</f>
        <v>19</v>
      </c>
      <c r="K189" s="3" t="n">
        <f aca="false">IFERROR(__xludf.dummyfunction("if($T189&lt;&gt;"""",VALUE(REGEXEXTRACT($T189, K$1&amp;""[\w &amp;]*, (\d+\.\d+)"")),"""")
"),16)</f>
        <v>16</v>
      </c>
      <c r="L189" s="3" t="n">
        <f aca="false">IFERROR(__xludf.dummyfunction("if($T189&lt;&gt;"""",VALUE(REGEXEXTRACT(SUBSTITUTE ($T189,L$1&amp;"" CE"",""""), L$1&amp;""[\w &amp;]*, (\d+\.\d+)"")),"""")
"),17.5)</f>
        <v>17.5</v>
      </c>
      <c r="M189" s="3" t="n">
        <f aca="false">IFERROR(__xludf.dummyfunction("if($T189&lt;&gt;"""",VALUE(REGEXEXTRACT($T189, M$1&amp;""[\w &amp;]*, (\d+\.\d+)"")),"""")
"),20)</f>
        <v>20</v>
      </c>
      <c r="N189" s="3" t="n">
        <f aca="false">IFERROR(__xludf.dummyfunction("if($T189&lt;&gt;"""",VALUE(REGEXEXTRACT(SUBSTITUTE ($T189,N$1&amp;"" CE"",""""), N$1&amp;""[\w &amp;]*, (\d+\.\d+)"")),"""")
"),20)</f>
        <v>20</v>
      </c>
      <c r="O189" s="3" t="n">
        <f aca="false">IFERROR(__xludf.dummyfunction("if($T189&lt;&gt;"""",VALUE(REGEXEXTRACT($T189, O$1&amp;""[\w &amp;]*, (\d+\.\d+)"")),"""")
"),19)</f>
        <v>19</v>
      </c>
      <c r="P189" s="2" t="n">
        <f aca="false">IFERROR(__xludf.dummyfunction("if($T189&lt;&gt;"""",VALUE(REGEXEXTRACT($T189, P$1&amp;""[\w &amp;]*, (\d+\.\d+)"")),"""")
"),17.35)</f>
        <v>17.35</v>
      </c>
      <c r="Q189" s="2" t="n">
        <f aca="false">IFERROR(__xludf.dummyfunction("if($T189&lt;&gt;"""",VALUE(REGEXEXTRACT($T189, Q$1&amp;""[\w &amp;]*, (\d+\.\d+)"")),"""")
"),15.55)</f>
        <v>15.55</v>
      </c>
      <c r="R189" s="2" t="n">
        <f aca="false">IFERROR(__xludf.dummyfunction("if($T189&lt;&gt;"""",VALUE(REGEXEXTRACT($T189, SUBSTITUTE(R$1, ""+"", ""\+"")&amp;""[\w &amp;]*, (\d+\.\d+)"")),"""")"),21.73)</f>
        <v>21.73</v>
      </c>
      <c r="S189" s="2" t="n">
        <f aca="false">IFERROR(__xludf.dummyfunction("if($T189&lt;&gt;"""",VALUE(REGEXEXTRACT($T189, SUBSTITUTE(S$1, ""+"", ""\+"")&amp;""[\w &amp;]*, (\d+\.\d+)"")),"""")"),23.53)</f>
        <v>23.53</v>
      </c>
      <c r="T189" s="5" t="s">
        <v>398</v>
      </c>
    </row>
    <row r="190" customFormat="false" ht="15.75" hidden="false" customHeight="false" outlineLevel="0" collapsed="false">
      <c r="A190" s="4" t="n">
        <f aca="false">IFERROR(__xludf.dummyfunction("""COMPUTED_VALUE"""),45673.6361111111)</f>
        <v>45673.6361111111</v>
      </c>
      <c r="B190" s="2" t="n">
        <f aca="false">IFERROR(__xludf.dummyfunction("""COMPUTED_VALUE"""),16.16)</f>
        <v>16.16</v>
      </c>
      <c r="C190" s="2" t="n">
        <f aca="false">IFERROR(__xludf.dummyfunction("""COMPUTED_VALUE"""),16.6)</f>
        <v>16.6</v>
      </c>
      <c r="D190" s="2" t="n">
        <f aca="false">IFERROR(__xludf.dummyfunction("""COMPUTED_VALUE"""),15.64)</f>
        <v>15.64</v>
      </c>
      <c r="E190" s="2" t="n">
        <f aca="false">IFERROR(__xludf.dummyfunction("""COMPUTED_VALUE"""),16.6)</f>
        <v>16.6</v>
      </c>
      <c r="F190" s="3" t="n">
        <f aca="false">IFERROR(__xludf.dummyfunction("if($T190&lt;&gt;"""",VALUE(REGEXEXTRACT(SUBSTITUTE ($T190,F$1&amp;"" CE"",""""), F$1&amp;""[\w &amp;]*, (\d+\.\d+)"")),"""")
"),20)</f>
        <v>20</v>
      </c>
      <c r="G190" s="3" t="n">
        <f aca="false">IFERROR(__xludf.dummyfunction("if($T190&lt;&gt;"""",VALUE(REGEXEXTRACT($T190, G$1&amp;""[\w &amp;]*, (\d+\.\d+)"")),"""")
"),20)</f>
        <v>20</v>
      </c>
      <c r="H190" s="3" t="n">
        <f aca="false">IFERROR(__xludf.dummyfunction("if($T190&lt;&gt;"""",VALUE(REGEXEXTRACT($T190, H$1&amp;""[\w &amp;]*, (\d+\.\d+)"")),"""")
"),21)</f>
        <v>21</v>
      </c>
      <c r="I190" s="3" t="n">
        <f aca="false">IFERROR(__xludf.dummyfunction("if($T190&lt;&gt;"""",VALUE(REGEXEXTRACT(SUBSTITUTE ($T190,I$1&amp;"" CE"",""""), I$1&amp;""[\w &amp;]*, (\d+\.\d+)"")),"""")
"),17)</f>
        <v>17</v>
      </c>
      <c r="J190" s="3" t="n">
        <f aca="false">IFERROR(__xludf.dummyfunction("if($T190&lt;&gt;"""",VALUE(REGEXEXTRACT($T190, J$1&amp;""[\w &amp;]*, (\d+\.\d+)"")),"""")
"),18)</f>
        <v>18</v>
      </c>
      <c r="K190" s="3" t="n">
        <f aca="false">IFERROR(__xludf.dummyfunction("if($T190&lt;&gt;"""",VALUE(REGEXEXTRACT($T190, K$1&amp;""[\w &amp;]*, (\d+\.\d+)"")),"""")
"),16)</f>
        <v>16</v>
      </c>
      <c r="L190" s="3" t="n">
        <f aca="false">IFERROR(__xludf.dummyfunction("if($T190&lt;&gt;"""",VALUE(REGEXEXTRACT(SUBSTITUTE ($T190,L$1&amp;"" CE"",""""), L$1&amp;""[\w &amp;]*, (\d+\.\d+)"")),"""")
"),18)</f>
        <v>18</v>
      </c>
      <c r="M190" s="3" t="n">
        <f aca="false">IFERROR(__xludf.dummyfunction("if($T190&lt;&gt;"""",VALUE(REGEXEXTRACT($T190, M$1&amp;""[\w &amp;]*, (\d+\.\d+)"")),"""")
"),19)</f>
        <v>19</v>
      </c>
      <c r="N190" s="3" t="n">
        <f aca="false">IFERROR(__xludf.dummyfunction("if($T190&lt;&gt;"""",VALUE(REGEXEXTRACT(SUBSTITUTE ($T190,N$1&amp;"" CE"",""""), N$1&amp;""[\w &amp;]*, (\d+\.\d+)"")),"""")
"),17)</f>
        <v>17</v>
      </c>
      <c r="O190" s="3" t="n">
        <f aca="false">IFERROR(__xludf.dummyfunction("if($T190&lt;&gt;"""",VALUE(REGEXEXTRACT($T190, O$1&amp;""[\w &amp;]*, (\d+\.\d+)"")),"""")
"),18)</f>
        <v>18</v>
      </c>
      <c r="P190" s="2" t="n">
        <f aca="false">IFERROR(__xludf.dummyfunction("if($T190&lt;&gt;"""",VALUE(REGEXEXTRACT($T190, P$1&amp;""[\w &amp;]*, (\d+\.\d+)"")),"""")
"),17.85)</f>
        <v>17.85</v>
      </c>
      <c r="Q190" s="2" t="n">
        <f aca="false">IFERROR(__xludf.dummyfunction("if($T190&lt;&gt;"""",VALUE(REGEXEXTRACT($T190, Q$1&amp;""[\w &amp;]*, (\d+\.\d+)"")),"""")
"),16.3)</f>
        <v>16.3</v>
      </c>
      <c r="R190" s="2" t="n">
        <f aca="false">IFERROR(__xludf.dummyfunction("if($T190&lt;&gt;"""",VALUE(REGEXEXTRACT($T190, SUBSTITUTE(R$1, ""+"", ""\+"")&amp;""[\w &amp;]*, (\d+\.\d+)"")),"""")"),19.57)</f>
        <v>19.57</v>
      </c>
      <c r="S190" s="2" t="n">
        <f aca="false">IFERROR(__xludf.dummyfunction("if($T190&lt;&gt;"""",VALUE(REGEXEXTRACT($T190, SUBSTITUTE(S$1, ""+"", ""\+"")&amp;""[\w &amp;]*, (\d+\.\d+)"")),"""")"),21.12)</f>
        <v>21.12</v>
      </c>
      <c r="T190" s="5" t="s">
        <v>399</v>
      </c>
    </row>
    <row r="191" customFormat="false" ht="15.75" hidden="false" customHeight="false" outlineLevel="0" collapsed="false">
      <c r="A191" s="4" t="n">
        <f aca="false">IFERROR(__xludf.dummyfunction("""COMPUTED_VALUE"""),45674.6361111111)</f>
        <v>45674.6361111111</v>
      </c>
      <c r="B191" s="2" t="n">
        <f aca="false">IFERROR(__xludf.dummyfunction("""COMPUTED_VALUE"""),16.09)</f>
        <v>16.09</v>
      </c>
      <c r="C191" s="2" t="n">
        <f aca="false">IFERROR(__xludf.dummyfunction("""COMPUTED_VALUE"""),16.09)</f>
        <v>16.09</v>
      </c>
      <c r="D191" s="2" t="n">
        <f aca="false">IFERROR(__xludf.dummyfunction("""COMPUTED_VALUE"""),15.53)</f>
        <v>15.53</v>
      </c>
      <c r="E191" s="2" t="n">
        <f aca="false">IFERROR(__xludf.dummyfunction("""COMPUTED_VALUE"""),15.97)</f>
        <v>15.97</v>
      </c>
      <c r="F191" s="3" t="n">
        <f aca="false">IFERROR(__xludf.dummyfunction("if($T191&lt;&gt;"""",VALUE(REGEXEXTRACT(SUBSTITUTE ($T191,F$1&amp;"" CE"",""""), F$1&amp;""[\w &amp;]*, (\d+\.\d+)"")),"""")
"),17)</f>
        <v>17</v>
      </c>
      <c r="G191" s="3" t="n">
        <f aca="false">IFERROR(__xludf.dummyfunction("if($T191&lt;&gt;"""",VALUE(REGEXEXTRACT($T191, G$1&amp;""[\w &amp;]*, (\d+\.\d+)"")),"""")
"),20)</f>
        <v>20</v>
      </c>
      <c r="H191" s="3" t="n">
        <f aca="false">IFERROR(__xludf.dummyfunction("if($T191&lt;&gt;"""",VALUE(REGEXEXTRACT($T191, H$1&amp;""[\w &amp;]*, (\d+\.\d+)"")),"""")
"),21)</f>
        <v>21</v>
      </c>
      <c r="I191" s="3" t="n">
        <f aca="false">IFERROR(__xludf.dummyfunction("if($T191&lt;&gt;"""",VALUE(REGEXEXTRACT(SUBSTITUTE ($T191,I$1&amp;"" CE"",""""), I$1&amp;""[\w &amp;]*, (\d+\.\d+)"")),"""")
"),16)</f>
        <v>16</v>
      </c>
      <c r="J191" s="3" t="n">
        <f aca="false">IFERROR(__xludf.dummyfunction("if($T191&lt;&gt;"""",VALUE(REGEXEXTRACT($T191, J$1&amp;""[\w &amp;]*, (\d+\.\d+)"")),"""")
"),15)</f>
        <v>15</v>
      </c>
      <c r="K191" s="3" t="str">
        <f aca="false">IFERROR(__xludf.dummyfunction("if($T191&lt;&gt;"""",VALUE(REGEXEXTRACT($T191, K$1&amp;""[\w &amp;]*, (\d+\.\d+)"")),"""")
"),"#N/A")</f>
        <v>#N/A</v>
      </c>
      <c r="L191" s="3" t="n">
        <f aca="false">IFERROR(__xludf.dummyfunction("if($T191&lt;&gt;"""",VALUE(REGEXEXTRACT(SUBSTITUTE ($T191,L$1&amp;"" CE"",""""), L$1&amp;""[\w &amp;]*, (\d+\.\d+)"")),"""")
"),17.5)</f>
        <v>17.5</v>
      </c>
      <c r="M191" s="3" t="n">
        <f aca="false">IFERROR(__xludf.dummyfunction("if($T191&lt;&gt;"""",VALUE(REGEXEXTRACT($T191, M$1&amp;""[\w &amp;]*, (\d+\.\d+)"")),"""")
"),17.5)</f>
        <v>17.5</v>
      </c>
      <c r="N191" s="3" t="n">
        <f aca="false">IFERROR(__xludf.dummyfunction("if($T191&lt;&gt;"""",VALUE(REGEXEXTRACT(SUBSTITUTE ($T191,N$1&amp;"" CE"",""""), N$1&amp;""[\w &amp;]*, (\d+\.\d+)"")),"""")
"),17)</f>
        <v>17</v>
      </c>
      <c r="O191" s="3" t="n">
        <f aca="false">IFERROR(__xludf.dummyfunction("if($T191&lt;&gt;"""",VALUE(REGEXEXTRACT($T191, O$1&amp;""[\w &amp;]*, (\d+\.\d+)"")),"""")
"),16)</f>
        <v>16</v>
      </c>
      <c r="P191" s="2" t="n">
        <f aca="false">IFERROR(__xludf.dummyfunction("if($T191&lt;&gt;"""",VALUE(REGEXEXTRACT($T191, P$1&amp;""[\w &amp;]*, (\d+\.\d+)"")),"""")
"),14.55)</f>
        <v>14.55</v>
      </c>
      <c r="Q191" s="2" t="n">
        <f aca="false">IFERROR(__xludf.dummyfunction("if($T191&lt;&gt;"""",VALUE(REGEXEXTRACT($T191, Q$1&amp;""[\w &amp;]*, (\d+\.\d+)"")),"""")
"),13.87)</f>
        <v>13.87</v>
      </c>
      <c r="R191" s="2" t="n">
        <f aca="false">IFERROR(__xludf.dummyfunction("if($T191&lt;&gt;"""",VALUE(REGEXEXTRACT($T191, SUBSTITUTE(R$1, ""+"", ""\+"")&amp;""[\w &amp;]*, (\d+\.\d+)"")),"""")"),17.69)</f>
        <v>17.69</v>
      </c>
      <c r="S191" s="2" t="n">
        <f aca="false">IFERROR(__xludf.dummyfunction("if($T191&lt;&gt;"""",VALUE(REGEXEXTRACT($T191, SUBSTITUTE(S$1, ""+"", ""\+"")&amp;""[\w &amp;]*, (\d+\.\d+)"")),"""")"),18.37)</f>
        <v>18.37</v>
      </c>
      <c r="T191" s="5" t="s">
        <v>400</v>
      </c>
    </row>
    <row r="192" customFormat="false" ht="15.75" hidden="false" customHeight="false" outlineLevel="0" collapsed="false">
      <c r="A192" s="4" t="n">
        <f aca="false">IFERROR(__xludf.dummyfunction("""COMPUTED_VALUE"""),45678.6361111111)</f>
        <v>45678.6361111111</v>
      </c>
      <c r="B192" s="2" t="n">
        <f aca="false">IFERROR(__xludf.dummyfunction("""COMPUTED_VALUE"""),15.89)</f>
        <v>15.89</v>
      </c>
      <c r="C192" s="2" t="n">
        <f aca="false">IFERROR(__xludf.dummyfunction("""COMPUTED_VALUE"""),15.89)</f>
        <v>15.89</v>
      </c>
      <c r="D192" s="2" t="n">
        <f aca="false">IFERROR(__xludf.dummyfunction("""COMPUTED_VALUE"""),14.93)</f>
        <v>14.93</v>
      </c>
      <c r="E192" s="2" t="n">
        <f aca="false">IFERROR(__xludf.dummyfunction("""COMPUTED_VALUE"""),15.06)</f>
        <v>15.06</v>
      </c>
      <c r="F192" s="3" t="n">
        <f aca="false">IFERROR(__xludf.dummyfunction("if($T192&lt;&gt;"""",VALUE(REGEXEXTRACT(SUBSTITUTE ($T192,F$1&amp;"" CE"",""""), F$1&amp;""[\w &amp;]*, (\d+\.\d+)"")),"""")
"),18)</f>
        <v>18</v>
      </c>
      <c r="G192" s="3" t="n">
        <f aca="false">IFERROR(__xludf.dummyfunction("if($T192&lt;&gt;"""",VALUE(REGEXEXTRACT($T192, G$1&amp;""[\w &amp;]*, (\d+\.\d+)"")),"""")
"),20)</f>
        <v>20</v>
      </c>
      <c r="H192" s="3" t="n">
        <f aca="false">IFERROR(__xludf.dummyfunction("if($T192&lt;&gt;"""",VALUE(REGEXEXTRACT($T192, H$1&amp;""[\w &amp;]*, (\d+\.\d+)"")),"""")
"),21)</f>
        <v>21</v>
      </c>
      <c r="I192" s="3" t="n">
        <f aca="false">IFERROR(__xludf.dummyfunction("if($T192&lt;&gt;"""",VALUE(REGEXEXTRACT(SUBSTITUTE ($T192,I$1&amp;"" CE"",""""), I$1&amp;""[\w &amp;]*, (\d+\.\d+)"")),"""")
"),16)</f>
        <v>16</v>
      </c>
      <c r="J192" s="3" t="n">
        <f aca="false">IFERROR(__xludf.dummyfunction("if($T192&lt;&gt;"""",VALUE(REGEXEXTRACT($T192, J$1&amp;""[\w &amp;]*, (\d+\.\d+)"")),"""")
"),15)</f>
        <v>15</v>
      </c>
      <c r="K192" s="3" t="str">
        <f aca="false">IFERROR(__xludf.dummyfunction("if($T192&lt;&gt;"""",VALUE(REGEXEXTRACT($T192, K$1&amp;""[\w &amp;]*, (\d+\.\d+)"")),"""")
"),"#N/A")</f>
        <v>#N/A</v>
      </c>
      <c r="L192" s="3" t="n">
        <f aca="false">IFERROR(__xludf.dummyfunction("if($T192&lt;&gt;"""",VALUE(REGEXEXTRACT(SUBSTITUTE ($T192,L$1&amp;"" CE"",""""), L$1&amp;""[\w &amp;]*, (\d+\.\d+)"")),"""")
"),17.5)</f>
        <v>17.5</v>
      </c>
      <c r="M192" s="3" t="n">
        <f aca="false">IFERROR(__xludf.dummyfunction("if($T192&lt;&gt;"""",VALUE(REGEXEXTRACT($T192, M$1&amp;""[\w &amp;]*, (\d+\.\d+)"")),"""")
"),17.5)</f>
        <v>17.5</v>
      </c>
      <c r="N192" s="3" t="n">
        <f aca="false">IFERROR(__xludf.dummyfunction("if($T192&lt;&gt;"""",VALUE(REGEXEXTRACT(SUBSTITUTE ($T192,N$1&amp;"" CE"",""""), N$1&amp;""[\w &amp;]*, (\d+\.\d+)"")),"""")
"),17)</f>
        <v>17</v>
      </c>
      <c r="O192" s="3" t="n">
        <f aca="false">IFERROR(__xludf.dummyfunction("if($T192&lt;&gt;"""",VALUE(REGEXEXTRACT($T192, O$1&amp;""[\w &amp;]*, (\d+\.\d+)"")),"""")
"),16)</f>
        <v>16</v>
      </c>
      <c r="P192" s="2" t="n">
        <f aca="false">IFERROR(__xludf.dummyfunction("if($T192&lt;&gt;"""",VALUE(REGEXEXTRACT($T192, P$1&amp;""[\w &amp;]*, (\d+\.\d+)"")),"""")
"),15.01)</f>
        <v>15.01</v>
      </c>
      <c r="Q192" s="2" t="n">
        <f aca="false">IFERROR(__xludf.dummyfunction("if($T192&lt;&gt;"""",VALUE(REGEXEXTRACT($T192, Q$1&amp;""[\w &amp;]*, (\d+\.\d+)"")),"""")
"),14.18)</f>
        <v>14.18</v>
      </c>
      <c r="R192" s="2" t="n">
        <f aca="false">IFERROR(__xludf.dummyfunction("if($T192&lt;&gt;"""",VALUE(REGEXEXTRACT($T192, SUBSTITUTE(R$1, ""+"", ""\+"")&amp;""[\w &amp;]*, (\d+\.\d+)"")),"""")"),18.19)</f>
        <v>18.19</v>
      </c>
      <c r="S192" s="2" t="n">
        <f aca="false">IFERROR(__xludf.dummyfunction("if($T192&lt;&gt;"""",VALUE(REGEXEXTRACT($T192, SUBSTITUTE(S$1, ""+"", ""\+"")&amp;""[\w &amp;]*, (\d+\.\d+)"")),"""")"),19.02)</f>
        <v>19.02</v>
      </c>
      <c r="T192" s="5" t="s">
        <v>401</v>
      </c>
    </row>
    <row r="193" customFormat="false" ht="15.75" hidden="false" customHeight="false" outlineLevel="0" collapsed="false">
      <c r="A193" s="4" t="n">
        <f aca="false">IFERROR(__xludf.dummyfunction("""COMPUTED_VALUE"""),45679.6361111111)</f>
        <v>45679.6361111111</v>
      </c>
      <c r="B193" s="2" t="n">
        <f aca="false">IFERROR(__xludf.dummyfunction("""COMPUTED_VALUE"""),14.86)</f>
        <v>14.86</v>
      </c>
      <c r="C193" s="2" t="n">
        <f aca="false">IFERROR(__xludf.dummyfunction("""COMPUTED_VALUE"""),15.29)</f>
        <v>15.29</v>
      </c>
      <c r="D193" s="2" t="n">
        <f aca="false">IFERROR(__xludf.dummyfunction("""COMPUTED_VALUE"""),14.59)</f>
        <v>14.59</v>
      </c>
      <c r="E193" s="2" t="n">
        <f aca="false">IFERROR(__xludf.dummyfunction("""COMPUTED_VALUE"""),15.1)</f>
        <v>15.1</v>
      </c>
      <c r="F193" s="3" t="n">
        <f aca="false">IFERROR(__xludf.dummyfunction("if($T193&lt;&gt;"""",VALUE(REGEXEXTRACT(SUBSTITUTE ($T193,F$1&amp;"" CE"",""""), F$1&amp;""[\w &amp;]*, (\d+\.\d+)"")),"""")
"),15)</f>
        <v>15</v>
      </c>
      <c r="G193" s="3" t="n">
        <f aca="false">IFERROR(__xludf.dummyfunction("if($T193&lt;&gt;"""",VALUE(REGEXEXTRACT($T193, G$1&amp;""[\w &amp;]*, (\d+\.\d+)"")),"""")
"),18)</f>
        <v>18</v>
      </c>
      <c r="H193" s="3" t="str">
        <f aca="false">IFERROR(__xludf.dummyfunction("if($T193&lt;&gt;"""",VALUE(REGEXEXTRACT($T193, H$1&amp;""[\w &amp;]*, (\d+\.\d+)"")),"""")
"),"#N/A")</f>
        <v>#N/A</v>
      </c>
      <c r="I193" s="3" t="n">
        <f aca="false">IFERROR(__xludf.dummyfunction("if($T193&lt;&gt;"""",VALUE(REGEXEXTRACT(SUBSTITUTE ($T193,I$1&amp;"" CE"",""""), I$1&amp;""[\w &amp;]*, (\d+\.\d+)"")),"""")
"),15)</f>
        <v>15</v>
      </c>
      <c r="J193" s="3" t="n">
        <f aca="false">IFERROR(__xludf.dummyfunction("if($T193&lt;&gt;"""",VALUE(REGEXEXTRACT($T193, J$1&amp;""[\w &amp;]*, (\d+\.\d+)"")),"""")
"),15)</f>
        <v>15</v>
      </c>
      <c r="K193" s="3" t="str">
        <f aca="false">IFERROR(__xludf.dummyfunction("if($T193&lt;&gt;"""",VALUE(REGEXEXTRACT($T193, K$1&amp;""[\w &amp;]*, (\d+\.\d+)"")),"""")
"),"#N/A")</f>
        <v>#N/A</v>
      </c>
      <c r="L193" s="3" t="n">
        <f aca="false">IFERROR(__xludf.dummyfunction("if($T193&lt;&gt;"""",VALUE(REGEXEXTRACT(SUBSTITUTE ($T193,L$1&amp;"" CE"",""""), L$1&amp;""[\w &amp;]*, (\d+\.\d+)"")),"""")
"),17.5)</f>
        <v>17.5</v>
      </c>
      <c r="M193" s="3" t="n">
        <f aca="false">IFERROR(__xludf.dummyfunction("if($T193&lt;&gt;"""",VALUE(REGEXEXTRACT($T193, M$1&amp;""[\w &amp;]*, (\d+\.\d+)"")),"""")
"),16)</f>
        <v>16</v>
      </c>
      <c r="N193" s="3" t="n">
        <f aca="false">IFERROR(__xludf.dummyfunction("if($T193&lt;&gt;"""",VALUE(REGEXEXTRACT(SUBSTITUTE ($T193,N$1&amp;"" CE"",""""), N$1&amp;""[\w &amp;]*, (\d+\.\d+)"")),"""")
"),15)</f>
        <v>15</v>
      </c>
      <c r="O193" s="3" t="n">
        <f aca="false">IFERROR(__xludf.dummyfunction("if($T193&lt;&gt;"""",VALUE(REGEXEXTRACT($T193, O$1&amp;""[\w &amp;]*, (\d+\.\d+)"")),"""")
"),15)</f>
        <v>15</v>
      </c>
      <c r="P193" s="2" t="n">
        <f aca="false">IFERROR(__xludf.dummyfunction("if($T193&lt;&gt;"""",VALUE(REGEXEXTRACT($T193, P$1&amp;""[\w &amp;]*, (\d+\.\d+)"")),"""")
"),14.58)</f>
        <v>14.58</v>
      </c>
      <c r="Q193" s="2" t="n">
        <f aca="false">IFERROR(__xludf.dummyfunction("if($T193&lt;&gt;"""",VALUE(REGEXEXTRACT($T193, Q$1&amp;""[\w &amp;]*, (\d+\.\d+)"")),"""")
"),13.63)</f>
        <v>13.63</v>
      </c>
      <c r="R193" s="2" t="n">
        <f aca="false">IFERROR(__xludf.dummyfunction("if($T193&lt;&gt;"""",VALUE(REGEXEXTRACT($T193, SUBSTITUTE(R$1, ""+"", ""\+"")&amp;""[\w &amp;]*, (\d+\.\d+)"")),"""")"),15.54)</f>
        <v>15.54</v>
      </c>
      <c r="S193" s="2" t="n">
        <f aca="false">IFERROR(__xludf.dummyfunction("if($T193&lt;&gt;"""",VALUE(REGEXEXTRACT($T193, SUBSTITUTE(S$1, ""+"", ""\+"")&amp;""[\w &amp;]*, (\d+\.\d+)"")),"""")"),16.49)</f>
        <v>16.49</v>
      </c>
      <c r="T193" s="5" t="s">
        <v>402</v>
      </c>
    </row>
    <row r="194" customFormat="false" ht="15.75" hidden="false" customHeight="false" outlineLevel="0" collapsed="false">
      <c r="A194" s="4" t="n">
        <f aca="false">IFERROR(__xludf.dummyfunction("""COMPUTED_VALUE"""),45680.6361111111)</f>
        <v>45680.6361111111</v>
      </c>
      <c r="B194" s="2" t="n">
        <f aca="false">IFERROR(__xludf.dummyfunction("""COMPUTED_VALUE"""),15.3)</f>
        <v>15.3</v>
      </c>
      <c r="C194" s="2" t="n">
        <f aca="false">IFERROR(__xludf.dummyfunction("""COMPUTED_VALUE"""),15.3)</f>
        <v>15.3</v>
      </c>
      <c r="D194" s="2" t="n">
        <f aca="false">IFERROR(__xludf.dummyfunction("""COMPUTED_VALUE"""),14.59)</f>
        <v>14.59</v>
      </c>
      <c r="E194" s="2" t="n">
        <f aca="false">IFERROR(__xludf.dummyfunction("""COMPUTED_VALUE"""),15.02)</f>
        <v>15.02</v>
      </c>
      <c r="F194" s="3" t="n">
        <f aca="false">IFERROR(__xludf.dummyfunction("if($T194&lt;&gt;"""",VALUE(REGEXEXTRACT(SUBSTITUTE ($T194,F$1&amp;"" CE"",""""), F$1&amp;""[\w &amp;]*, (\d+\.\d+)"")),"""")
"),19)</f>
        <v>19</v>
      </c>
      <c r="G194" s="3" t="n">
        <f aca="false">IFERROR(__xludf.dummyfunction("if($T194&lt;&gt;"""",VALUE(REGEXEXTRACT($T194, G$1&amp;""[\w &amp;]*, (\d+\.\d+)"")),"""")
"),17)</f>
        <v>17</v>
      </c>
      <c r="H194" s="3" t="str">
        <f aca="false">IFERROR(__xludf.dummyfunction("if($T194&lt;&gt;"""",VALUE(REGEXEXTRACT($T194, H$1&amp;""[\w &amp;]*, (\d+\.\d+)"")),"""")
"),"#N/A")</f>
        <v>#N/A</v>
      </c>
      <c r="I194" s="3" t="n">
        <f aca="false">IFERROR(__xludf.dummyfunction("if($T194&lt;&gt;"""",VALUE(REGEXEXTRACT(SUBSTITUTE ($T194,I$1&amp;"" CE"",""""), I$1&amp;""[\w &amp;]*, (\d+\.\d+)"")),"""")
"),15)</f>
        <v>15</v>
      </c>
      <c r="J194" s="3" t="n">
        <f aca="false">IFERROR(__xludf.dummyfunction("if($T194&lt;&gt;"""",VALUE(REGEXEXTRACT($T194, J$1&amp;""[\w &amp;]*, (\d+\.\d+)"")),"""")
"),15)</f>
        <v>15</v>
      </c>
      <c r="K194" s="3" t="n">
        <f aca="false">IFERROR(__xludf.dummyfunction("if($T194&lt;&gt;"""",VALUE(REGEXEXTRACT($T194, K$1&amp;""[\w &amp;]*, (\d+\.\d+)"")),"""")
"),14)</f>
        <v>14</v>
      </c>
      <c r="L194" s="3" t="n">
        <f aca="false">IFERROR(__xludf.dummyfunction("if($T194&lt;&gt;"""",VALUE(REGEXEXTRACT(SUBSTITUTE ($T194,L$1&amp;"" CE"",""""), L$1&amp;""[\w &amp;]*, (\d+\.\d+)"")),"""")
"),17)</f>
        <v>17</v>
      </c>
      <c r="M194" s="3" t="n">
        <f aca="false">IFERROR(__xludf.dummyfunction("if($T194&lt;&gt;"""",VALUE(REGEXEXTRACT($T194, M$1&amp;""[\w &amp;]*, (\d+\.\d+)"")),"""")
"),16)</f>
        <v>16</v>
      </c>
      <c r="N194" s="3" t="n">
        <f aca="false">IFERROR(__xludf.dummyfunction("if($T194&lt;&gt;"""",VALUE(REGEXEXTRACT(SUBSTITUTE ($T194,N$1&amp;"" CE"",""""), N$1&amp;""[\w &amp;]*, (\d+\.\d+)"")),"""")
"),17)</f>
        <v>17</v>
      </c>
      <c r="O194" s="3" t="n">
        <f aca="false">IFERROR(__xludf.dummyfunction("if($T194&lt;&gt;"""",VALUE(REGEXEXTRACT($T194, O$1&amp;""[\w &amp;]*, (\d+\.\d+)"")),"""")
"),16)</f>
        <v>16</v>
      </c>
      <c r="P194" s="2" t="n">
        <f aca="false">IFERROR(__xludf.dummyfunction("if($T194&lt;&gt;"""",VALUE(REGEXEXTRACT($T194, P$1&amp;""[\w &amp;]*, (\d+\.\d+)"")),"""")
"),13.46)</f>
        <v>13.46</v>
      </c>
      <c r="Q194" s="2" t="n">
        <f aca="false">IFERROR(__xludf.dummyfunction("if($T194&lt;&gt;"""",VALUE(REGEXEXTRACT($T194, Q$1&amp;""[\w &amp;]*, (\d+\.\d+)"")),"""")
"),12.78)</f>
        <v>12.78</v>
      </c>
      <c r="R194" s="2" t="n">
        <f aca="false">IFERROR(__xludf.dummyfunction("if($T194&lt;&gt;"""",VALUE(REGEXEXTRACT($T194, SUBSTITUTE(R$1, ""+"", ""\+"")&amp;""[\w &amp;]*, (\d+\.\d+)"")),"""")"),16.74)</f>
        <v>16.74</v>
      </c>
      <c r="S194" s="2" t="n">
        <f aca="false">IFERROR(__xludf.dummyfunction("if($T194&lt;&gt;"""",VALUE(REGEXEXTRACT($T194, SUBSTITUTE(S$1, ""+"", ""\+"")&amp;""[\w &amp;]*, (\d+\.\d+)"")),"""")"),17.42)</f>
        <v>17.42</v>
      </c>
      <c r="T194" s="5" t="s">
        <v>403</v>
      </c>
    </row>
    <row r="195" customFormat="false" ht="15.75" hidden="false" customHeight="false" outlineLevel="0" collapsed="false">
      <c r="A195" s="4" t="n">
        <f aca="false">IFERROR(__xludf.dummyfunction("""COMPUTED_VALUE"""),45681.6361111111)</f>
        <v>45681.6361111111</v>
      </c>
      <c r="B195" s="2" t="n">
        <f aca="false">IFERROR(__xludf.dummyfunction("""COMPUTED_VALUE"""),15)</f>
        <v>15</v>
      </c>
      <c r="C195" s="2" t="n">
        <f aca="false">IFERROR(__xludf.dummyfunction("""COMPUTED_VALUE"""),15.16)</f>
        <v>15.16</v>
      </c>
      <c r="D195" s="2" t="n">
        <f aca="false">IFERROR(__xludf.dummyfunction("""COMPUTED_VALUE"""),14.58)</f>
        <v>14.58</v>
      </c>
      <c r="E195" s="2" t="n">
        <f aca="false">IFERROR(__xludf.dummyfunction("""COMPUTED_VALUE"""),14.85)</f>
        <v>14.85</v>
      </c>
      <c r="F195" s="3" t="n">
        <f aca="false">IFERROR(__xludf.dummyfunction("if($T195&lt;&gt;"""",VALUE(REGEXEXTRACT(SUBSTITUTE ($T195,F$1&amp;"" CE"",""""), F$1&amp;""[\w &amp;]*, (\d+\.\d+)"")),"""")
"),19)</f>
        <v>19</v>
      </c>
      <c r="G195" s="3" t="n">
        <f aca="false">IFERROR(__xludf.dummyfunction("if($T195&lt;&gt;"""",VALUE(REGEXEXTRACT($T195, G$1&amp;""[\w &amp;]*, (\d+\.\d+)"")),"""")
"),17)</f>
        <v>17</v>
      </c>
      <c r="H195" s="3" t="str">
        <f aca="false">IFERROR(__xludf.dummyfunction("if($T195&lt;&gt;"""",VALUE(REGEXEXTRACT($T195, H$1&amp;""[\w &amp;]*, (\d+\.\d+)"")),"""")
"),"#N/A")</f>
        <v>#N/A</v>
      </c>
      <c r="I195" s="3" t="n">
        <f aca="false">IFERROR(__xludf.dummyfunction("if($T195&lt;&gt;"""",VALUE(REGEXEXTRACT(SUBSTITUTE ($T195,I$1&amp;"" CE"",""""), I$1&amp;""[\w &amp;]*, (\d+\.\d+)"")),"""")
"),15)</f>
        <v>15</v>
      </c>
      <c r="J195" s="3" t="n">
        <f aca="false">IFERROR(__xludf.dummyfunction("if($T195&lt;&gt;"""",VALUE(REGEXEXTRACT($T195, J$1&amp;""[\w &amp;]*, (\d+\.\d+)"")),"""")
"),16)</f>
        <v>16</v>
      </c>
      <c r="K195" s="3" t="n">
        <f aca="false">IFERROR(__xludf.dummyfunction("if($T195&lt;&gt;"""",VALUE(REGEXEXTRACT($T195, K$1&amp;""[\w &amp;]*, (\d+\.\d+)"")),"""")
"),14)</f>
        <v>14</v>
      </c>
      <c r="L195" s="3" t="n">
        <f aca="false">IFERROR(__xludf.dummyfunction("if($T195&lt;&gt;"""",VALUE(REGEXEXTRACT(SUBSTITUTE ($T195,L$1&amp;"" CE"",""""), L$1&amp;""[\w &amp;]*, (\d+\.\d+)"")),"""")
"),17.5)</f>
        <v>17.5</v>
      </c>
      <c r="M195" s="3" t="n">
        <f aca="false">IFERROR(__xludf.dummyfunction("if($T195&lt;&gt;"""",VALUE(REGEXEXTRACT($T195, M$1&amp;""[\w &amp;]*, (\d+\.\d+)"")),"""")
"),16)</f>
        <v>16</v>
      </c>
      <c r="N195" s="3" t="n">
        <f aca="false">IFERROR(__xludf.dummyfunction("if($T195&lt;&gt;"""",VALUE(REGEXEXTRACT(SUBSTITUTE ($T195,N$1&amp;"" CE"",""""), N$1&amp;""[\w &amp;]*, (\d+\.\d+)"")),"""")
"),17)</f>
        <v>17</v>
      </c>
      <c r="O195" s="3" t="n">
        <f aca="false">IFERROR(__xludf.dummyfunction("if($T195&lt;&gt;"""",VALUE(REGEXEXTRACT($T195, O$1&amp;""[\w &amp;]*, (\d+\.\d+)"")),"""")
"),16)</f>
        <v>16</v>
      </c>
      <c r="P195" s="2" t="n">
        <f aca="false">IFERROR(__xludf.dummyfunction("if($T195&lt;&gt;"""",VALUE(REGEXEXTRACT($T195, P$1&amp;""[\w &amp;]*, (\d+\.\d+)"")),"""")
"),13.75)</f>
        <v>13.75</v>
      </c>
      <c r="Q195" s="2" t="n">
        <f aca="false">IFERROR(__xludf.dummyfunction("if($T195&lt;&gt;"""",VALUE(REGEXEXTRACT($T195, Q$1&amp;""[\w &amp;]*, (\d+\.\d+)"")),"""")
"),13.16)</f>
        <v>13.16</v>
      </c>
      <c r="R195" s="2" t="n">
        <f aca="false">IFERROR(__xludf.dummyfunction("if($T195&lt;&gt;"""",VALUE(REGEXEXTRACT($T195, SUBSTITUTE(R$1, ""+"", ""\+"")&amp;""[\w &amp;]*, (\d+\.\d+)"")),"""")"),16.29)</f>
        <v>16.29</v>
      </c>
      <c r="S195" s="2" t="n">
        <f aca="false">IFERROR(__xludf.dummyfunction("if($T195&lt;&gt;"""",VALUE(REGEXEXTRACT($T195, SUBSTITUTE(S$1, ""+"", ""\+"")&amp;""[\w &amp;]*, (\d+\.\d+)"")),"""")"),16.88)</f>
        <v>16.88</v>
      </c>
      <c r="T195" s="5" t="s">
        <v>404</v>
      </c>
    </row>
    <row r="196" customFormat="false" ht="15.75" hidden="false" customHeight="false" outlineLevel="0" collapsed="false">
      <c r="A196" s="4" t="n">
        <f aca="false">IFERROR(__xludf.dummyfunction("""COMPUTED_VALUE"""),45684.6361111111)</f>
        <v>45684.6361111111</v>
      </c>
      <c r="B196" s="2" t="n">
        <f aca="false">IFERROR(__xludf.dummyfunction("""COMPUTED_VALUE"""),18.83)</f>
        <v>18.83</v>
      </c>
      <c r="C196" s="2" t="n">
        <f aca="false">IFERROR(__xludf.dummyfunction("""COMPUTED_VALUE"""),22.51)</f>
        <v>22.51</v>
      </c>
      <c r="D196" s="2" t="n">
        <f aca="false">IFERROR(__xludf.dummyfunction("""COMPUTED_VALUE"""),17.57)</f>
        <v>17.57</v>
      </c>
      <c r="E196" s="2" t="n">
        <f aca="false">IFERROR(__xludf.dummyfunction("""COMPUTED_VALUE"""),17.9)</f>
        <v>17.9</v>
      </c>
      <c r="F196" s="3" t="n">
        <f aca="false">IFERROR(__xludf.dummyfunction("if($T196&lt;&gt;"""",VALUE(REGEXEXTRACT(SUBSTITUTE ($T196,F$1&amp;"" CE"",""""), F$1&amp;""[\w &amp;]*, (\d+\.\d+)"")),"""")
"),20)</f>
        <v>20</v>
      </c>
      <c r="G196" s="3" t="n">
        <f aca="false">IFERROR(__xludf.dummyfunction("if($T196&lt;&gt;"""",VALUE(REGEXEXTRACT($T196, G$1&amp;""[\w &amp;]*, (\d+\.\d+)"")),"""")
"),25)</f>
        <v>25</v>
      </c>
      <c r="H196" s="3" t="n">
        <f aca="false">IFERROR(__xludf.dummyfunction("if($T196&lt;&gt;"""",VALUE(REGEXEXTRACT($T196, H$1&amp;""[\w &amp;]*, (\d+\.\d+)"")),"""")
"),21)</f>
        <v>21</v>
      </c>
      <c r="I196" s="3" t="n">
        <f aca="false">IFERROR(__xludf.dummyfunction("if($T196&lt;&gt;"""",VALUE(REGEXEXTRACT(SUBSTITUTE ($T196,I$1&amp;"" CE"",""""), I$1&amp;""[\w &amp;]*, (\d+\.\d+)"")),"""")
"),17)</f>
        <v>17</v>
      </c>
      <c r="J196" s="3" t="n">
        <f aca="false">IFERROR(__xludf.dummyfunction("if($T196&lt;&gt;"""",VALUE(REGEXEXTRACT($T196, J$1&amp;""[\w &amp;]*, (\d+\.\d+)"")),"""")
"),16)</f>
        <v>16</v>
      </c>
      <c r="K196" s="3" t="n">
        <f aca="false">IFERROR(__xludf.dummyfunction("if($T196&lt;&gt;"""",VALUE(REGEXEXTRACT($T196, K$1&amp;""[\w &amp;]*, (\d+\.\d+)"")),"""")
"),14)</f>
        <v>14</v>
      </c>
      <c r="L196" s="3" t="n">
        <f aca="false">IFERROR(__xludf.dummyfunction("if($T196&lt;&gt;"""",VALUE(REGEXEXTRACT(SUBSTITUTE ($T196,L$1&amp;"" CE"",""""), L$1&amp;""[\w &amp;]*, (\d+\.\d+)"")),"""")
"),17)</f>
        <v>17</v>
      </c>
      <c r="M196" s="3" t="n">
        <f aca="false">IFERROR(__xludf.dummyfunction("if($T196&lt;&gt;"""",VALUE(REGEXEXTRACT($T196, M$1&amp;""[\w &amp;]*, (\d+\.\d+)"")),"""")
"),18)</f>
        <v>18</v>
      </c>
      <c r="N196" s="3" t="n">
        <f aca="false">IFERROR(__xludf.dummyfunction("if($T196&lt;&gt;"""",VALUE(REGEXEXTRACT(SUBSTITUTE ($T196,N$1&amp;"" CE"",""""), N$1&amp;""[\w &amp;]*, (\d+\.\d+)"")),"""")
"),20)</f>
        <v>20</v>
      </c>
      <c r="O196" s="3" t="n">
        <f aca="false">IFERROR(__xludf.dummyfunction("if($T196&lt;&gt;"""",VALUE(REGEXEXTRACT($T196, O$1&amp;""[\w &amp;]*, (\d+\.\d+)"")),"""")
"),16)</f>
        <v>16</v>
      </c>
      <c r="P196" s="2" t="n">
        <f aca="false">IFERROR(__xludf.dummyfunction("if($T196&lt;&gt;"""",VALUE(REGEXEXTRACT($T196, P$1&amp;""[\w &amp;]*, (\d+\.\d+)"")),"""")
"),13.03)</f>
        <v>13.03</v>
      </c>
      <c r="Q196" s="2" t="n">
        <f aca="false">IFERROR(__xludf.dummyfunction("if($T196&lt;&gt;"""",VALUE(REGEXEXTRACT($T196, Q$1&amp;""[\w &amp;]*, (\d+\.\d+)"")),"""")
"),11.52)</f>
        <v>11.52</v>
      </c>
      <c r="R196" s="2" t="n">
        <f aca="false">IFERROR(__xludf.dummyfunction("if($T196&lt;&gt;"""",VALUE(REGEXEXTRACT($T196, SUBSTITUTE(R$1, ""+"", ""\+"")&amp;""[\w &amp;]*, (\d+\.\d+)"")),"""")"),16.67)</f>
        <v>16.67</v>
      </c>
      <c r="S196" s="2" t="n">
        <f aca="false">IFERROR(__xludf.dummyfunction("if($T196&lt;&gt;"""",VALUE(REGEXEXTRACT($T196, SUBSTITUTE(S$1, ""+"", ""\+"")&amp;""[\w &amp;]*, (\d+\.\d+)"")),"""")"),18.18)</f>
        <v>18.18</v>
      </c>
      <c r="T196" s="5" t="s">
        <v>405</v>
      </c>
    </row>
    <row r="197" customFormat="false" ht="15.75" hidden="false" customHeight="false" outlineLevel="0" collapsed="false">
      <c r="A197" s="4" t="n">
        <f aca="false">IFERROR(__xludf.dummyfunction("""COMPUTED_VALUE"""),45685.6361111111)</f>
        <v>45685.6361111111</v>
      </c>
      <c r="B197" s="2" t="n">
        <f aca="false">IFERROR(__xludf.dummyfunction("""COMPUTED_VALUE"""),18.09)</f>
        <v>18.09</v>
      </c>
      <c r="C197" s="2" t="n">
        <f aca="false">IFERROR(__xludf.dummyfunction("""COMPUTED_VALUE"""),18.39)</f>
        <v>18.39</v>
      </c>
      <c r="D197" s="2" t="n">
        <f aca="false">IFERROR(__xludf.dummyfunction("""COMPUTED_VALUE"""),16.25)</f>
        <v>16.25</v>
      </c>
      <c r="E197" s="2" t="n">
        <f aca="false">IFERROR(__xludf.dummyfunction("""COMPUTED_VALUE"""),16.41)</f>
        <v>16.41</v>
      </c>
      <c r="F197" s="3" t="n">
        <f aca="false">IFERROR(__xludf.dummyfunction("if($T197&lt;&gt;"""",VALUE(REGEXEXTRACT(SUBSTITUTE ($T197,F$1&amp;"" CE"",""""), F$1&amp;""[\w &amp;]*, (\d+\.\d+)"")),"""")
"),20)</f>
        <v>20</v>
      </c>
      <c r="G197" s="3" t="n">
        <f aca="false">IFERROR(__xludf.dummyfunction("if($T197&lt;&gt;"""",VALUE(REGEXEXTRACT($T197, G$1&amp;""[\w &amp;]*, (\d+\.\d+)"")),"""")
"),20)</f>
        <v>20</v>
      </c>
      <c r="H197" s="3" t="n">
        <f aca="false">IFERROR(__xludf.dummyfunction("if($T197&lt;&gt;"""",VALUE(REGEXEXTRACT($T197, H$1&amp;""[\w &amp;]*, (\d+\.\d+)"")),"""")
"),21)</f>
        <v>21</v>
      </c>
      <c r="I197" s="3" t="n">
        <f aca="false">IFERROR(__xludf.dummyfunction("if($T197&lt;&gt;"""",VALUE(REGEXEXTRACT(SUBSTITUTE ($T197,I$1&amp;"" CE"",""""), I$1&amp;""[\w &amp;]*, (\d+\.\d+)"")),"""")
"),17)</f>
        <v>17</v>
      </c>
      <c r="J197" s="3" t="n">
        <f aca="false">IFERROR(__xludf.dummyfunction("if($T197&lt;&gt;"""",VALUE(REGEXEXTRACT($T197, J$1&amp;""[\w &amp;]*, (\d+\.\d+)"")),"""")
"),16)</f>
        <v>16</v>
      </c>
      <c r="K197" s="3" t="n">
        <f aca="false">IFERROR(__xludf.dummyfunction("if($T197&lt;&gt;"""",VALUE(REGEXEXTRACT($T197, K$1&amp;""[\w &amp;]*, (\d+\.\d+)"")),"""")
"),14)</f>
        <v>14</v>
      </c>
      <c r="L197" s="3" t="n">
        <f aca="false">IFERROR(__xludf.dummyfunction("if($T197&lt;&gt;"""",VALUE(REGEXEXTRACT(SUBSTITUTE ($T197,L$1&amp;"" CE"",""""), L$1&amp;""[\w &amp;]*, (\d+\.\d+)"")),"""")
"),17.5)</f>
        <v>17.5</v>
      </c>
      <c r="M197" s="3" t="n">
        <f aca="false">IFERROR(__xludf.dummyfunction("if($T197&lt;&gt;"""",VALUE(REGEXEXTRACT($T197, M$1&amp;""[\w &amp;]*, (\d+\.\d+)"")),"""")
"),18)</f>
        <v>18</v>
      </c>
      <c r="N197" s="3" t="n">
        <f aca="false">IFERROR(__xludf.dummyfunction("if($T197&lt;&gt;"""",VALUE(REGEXEXTRACT(SUBSTITUTE ($T197,N$1&amp;"" CE"",""""), N$1&amp;""[\w &amp;]*, (\d+\.\d+)"")),"""")
"),17)</f>
        <v>17</v>
      </c>
      <c r="O197" s="3" t="n">
        <f aca="false">IFERROR(__xludf.dummyfunction("if($T197&lt;&gt;"""",VALUE(REGEXEXTRACT($T197, O$1&amp;""[\w &amp;]*, (\d+\.\d+)"")),"""")
"),16)</f>
        <v>16</v>
      </c>
      <c r="P197" s="2" t="n">
        <f aca="false">IFERROR(__xludf.dummyfunction("if($T197&lt;&gt;"""",VALUE(REGEXEXTRACT($T197, P$1&amp;""[\w &amp;]*, (\d+\.\d+)"")),"""")
"),16.42)</f>
        <v>16.42</v>
      </c>
      <c r="Q197" s="2" t="n">
        <f aca="false">IFERROR(__xludf.dummyfunction("if($T197&lt;&gt;"""",VALUE(REGEXEXTRACT($T197, Q$1&amp;""[\w &amp;]*, (\d+\.\d+)"")),"""")
"),14.76)</f>
        <v>14.76</v>
      </c>
      <c r="R197" s="2" t="n">
        <f aca="false">IFERROR(__xludf.dummyfunction("if($T197&lt;&gt;"""",VALUE(REGEXEXTRACT($T197, SUBSTITUTE(R$1, ""+"", ""\+"")&amp;""[\w &amp;]*, (\d+\.\d+)"")),"""")"),19.38)</f>
        <v>19.38</v>
      </c>
      <c r="S197" s="2" t="n">
        <f aca="false">IFERROR(__xludf.dummyfunction("if($T197&lt;&gt;"""",VALUE(REGEXEXTRACT($T197, SUBSTITUTE(S$1, ""+"", ""\+"")&amp;""[\w &amp;]*, (\d+\.\d+)"")),"""")"),21.04)</f>
        <v>21.04</v>
      </c>
      <c r="T197" s="5" t="s">
        <v>406</v>
      </c>
    </row>
    <row r="198" customFormat="false" ht="15.75" hidden="false" customHeight="false" outlineLevel="0" collapsed="false">
      <c r="A198" s="4" t="n">
        <f aca="false">IFERROR(__xludf.dummyfunction("""COMPUTED_VALUE"""),45686.6361111111)</f>
        <v>45686.6361111111</v>
      </c>
      <c r="B198" s="2" t="n">
        <f aca="false">IFERROR(__xludf.dummyfunction("""COMPUTED_VALUE"""),16.5)</f>
        <v>16.5</v>
      </c>
      <c r="C198" s="2" t="n">
        <f aca="false">IFERROR(__xludf.dummyfunction("""COMPUTED_VALUE"""),18.08)</f>
        <v>18.08</v>
      </c>
      <c r="D198" s="2" t="n">
        <f aca="false">IFERROR(__xludf.dummyfunction("""COMPUTED_VALUE"""),16.17)</f>
        <v>16.17</v>
      </c>
      <c r="E198" s="2" t="n">
        <f aca="false">IFERROR(__xludf.dummyfunction("""COMPUTED_VALUE"""),16.56)</f>
        <v>16.56</v>
      </c>
      <c r="F198" s="3" t="n">
        <f aca="false">IFERROR(__xludf.dummyfunction("if($T198&lt;&gt;"""",VALUE(REGEXEXTRACT(SUBSTITUTE ($T198,F$1&amp;"" CE"",""""), F$1&amp;""[\w &amp;]*, (\d+\.\d+)"")),"""")
"),17)</f>
        <v>17</v>
      </c>
      <c r="G198" s="3" t="n">
        <f aca="false">IFERROR(__xludf.dummyfunction("if($T198&lt;&gt;"""",VALUE(REGEXEXTRACT($T198, G$1&amp;""[\w &amp;]*, (\d+\.\d+)"")),"""")
"),17)</f>
        <v>17</v>
      </c>
      <c r="H198" s="3" t="n">
        <f aca="false">IFERROR(__xludf.dummyfunction("if($T198&lt;&gt;"""",VALUE(REGEXEXTRACT($T198, H$1&amp;""[\w &amp;]*, (\d+\.\d+)"")),"""")
"),21)</f>
        <v>21</v>
      </c>
      <c r="I198" s="3" t="n">
        <f aca="false">IFERROR(__xludf.dummyfunction("if($T198&lt;&gt;"""",VALUE(REGEXEXTRACT(SUBSTITUTE ($T198,I$1&amp;"" CE"",""""), I$1&amp;""[\w &amp;]*, (\d+\.\d+)"")),"""")
"),15)</f>
        <v>15</v>
      </c>
      <c r="J198" s="3" t="n">
        <f aca="false">IFERROR(__xludf.dummyfunction("if($T198&lt;&gt;"""",VALUE(REGEXEXTRACT($T198, J$1&amp;""[\w &amp;]*, (\d+\.\d+)"")),"""")
"),16)</f>
        <v>16</v>
      </c>
      <c r="K198" s="3" t="n">
        <f aca="false">IFERROR(__xludf.dummyfunction("if($T198&lt;&gt;"""",VALUE(REGEXEXTRACT($T198, K$1&amp;""[\w &amp;]*, (\d+\.\d+)"")),"""")
"),14)</f>
        <v>14</v>
      </c>
      <c r="L198" s="3" t="n">
        <f aca="false">IFERROR(__xludf.dummyfunction("if($T198&lt;&gt;"""",VALUE(REGEXEXTRACT(SUBSTITUTE ($T198,L$1&amp;"" CE"",""""), L$1&amp;""[\w &amp;]*, (\d+\.\d+)"")),"""")
"),17.5)</f>
        <v>17.5</v>
      </c>
      <c r="M198" s="3" t="n">
        <f aca="false">IFERROR(__xludf.dummyfunction("if($T198&lt;&gt;"""",VALUE(REGEXEXTRACT($T198, M$1&amp;""[\w &amp;]*, (\d+\.\d+)"")),"""")
"),16)</f>
        <v>16</v>
      </c>
      <c r="N198" s="3" t="n">
        <f aca="false">IFERROR(__xludf.dummyfunction("if($T198&lt;&gt;"""",VALUE(REGEXEXTRACT(SUBSTITUTE ($T198,N$1&amp;"" CE"",""""), N$1&amp;""[\w &amp;]*, (\d+\.\d+)"")),"""")
"),17)</f>
        <v>17</v>
      </c>
      <c r="O198" s="3" t="n">
        <f aca="false">IFERROR(__xludf.dummyfunction("if($T198&lt;&gt;"""",VALUE(REGEXEXTRACT($T198, O$1&amp;""[\w &amp;]*, (\d+\.\d+)"")),"""")
"),17)</f>
        <v>17</v>
      </c>
      <c r="P198" s="2" t="n">
        <f aca="false">IFERROR(__xludf.dummyfunction("if($T198&lt;&gt;"""",VALUE(REGEXEXTRACT($T198, P$1&amp;""[\w &amp;]*, (\d+\.\d+)"")),"""")
"),15.82)</f>
        <v>15.82</v>
      </c>
      <c r="Q198" s="2" t="n">
        <f aca="false">IFERROR(__xludf.dummyfunction("if($T198&lt;&gt;"""",VALUE(REGEXEXTRACT($T198, Q$1&amp;""[\w &amp;]*, (\d+\.\d+)"")),"""")
"),14.74)</f>
        <v>14.74</v>
      </c>
      <c r="R198" s="2" t="n">
        <f aca="false">IFERROR(__xludf.dummyfunction("if($T198&lt;&gt;"""",VALUE(REGEXEXTRACT($T198, SUBSTITUTE(R$1, ""+"", ""\+"")&amp;""[\w &amp;]*, (\d+\.\d+)"")),"""")"),17)</f>
        <v>17</v>
      </c>
      <c r="S198" s="2" t="n">
        <f aca="false">IFERROR(__xludf.dummyfunction("if($T198&lt;&gt;"""",VALUE(REGEXEXTRACT($T198, SUBSTITUTE(S$1, ""+"", ""\+"")&amp;""[\w &amp;]*, (\d+\.\d+)"")),"""")"),18.08)</f>
        <v>18.08</v>
      </c>
      <c r="T198" s="5" t="s">
        <v>407</v>
      </c>
    </row>
    <row r="199" customFormat="false" ht="15.75" hidden="false" customHeight="false" outlineLevel="0" collapsed="false">
      <c r="A199" s="4" t="n">
        <f aca="false">IFERROR(__xludf.dummyfunction("""COMPUTED_VALUE"""),45687.6361111111)</f>
        <v>45687.6361111111</v>
      </c>
      <c r="B199" s="2" t="n">
        <f aca="false">IFERROR(__xludf.dummyfunction("""COMPUTED_VALUE"""),16.08)</f>
        <v>16.08</v>
      </c>
      <c r="C199" s="2" t="n">
        <f aca="false">IFERROR(__xludf.dummyfunction("""COMPUTED_VALUE"""),16.42)</f>
        <v>16.42</v>
      </c>
      <c r="D199" s="2" t="n">
        <f aca="false">IFERROR(__xludf.dummyfunction("""COMPUTED_VALUE"""),15.32)</f>
        <v>15.32</v>
      </c>
      <c r="E199" s="2" t="n">
        <f aca="false">IFERROR(__xludf.dummyfunction("""COMPUTED_VALUE"""),15.84)</f>
        <v>15.84</v>
      </c>
      <c r="F199" s="3" t="n">
        <f aca="false">IFERROR(__xludf.dummyfunction("if($T199&lt;&gt;"""",VALUE(REGEXEXTRACT(SUBSTITUTE ($T199,F$1&amp;"" CE"",""""), F$1&amp;""[\w &amp;]*, (\d+\.\d+)"")),"""")
"),18)</f>
        <v>18</v>
      </c>
      <c r="G199" s="3" t="n">
        <f aca="false">IFERROR(__xludf.dummyfunction("if($T199&lt;&gt;"""",VALUE(REGEXEXTRACT($T199, G$1&amp;""[\w &amp;]*, (\d+\.\d+)"")),"""")
"),18)</f>
        <v>18</v>
      </c>
      <c r="H199" s="3" t="n">
        <f aca="false">IFERROR(__xludf.dummyfunction("if($T199&lt;&gt;"""",VALUE(REGEXEXTRACT($T199, H$1&amp;""[\w &amp;]*, (\d+\.\d+)"")),"""")
"),21)</f>
        <v>21</v>
      </c>
      <c r="I199" s="3" t="n">
        <f aca="false">IFERROR(__xludf.dummyfunction("if($T199&lt;&gt;"""",VALUE(REGEXEXTRACT(SUBSTITUTE ($T199,I$1&amp;"" CE"",""""), I$1&amp;""[\w &amp;]*, (\d+\.\d+)"")),"""")
"),16)</f>
        <v>16</v>
      </c>
      <c r="J199" s="3" t="n">
        <f aca="false">IFERROR(__xludf.dummyfunction("if($T199&lt;&gt;"""",VALUE(REGEXEXTRACT($T199, J$1&amp;""[\w &amp;]*, (\d+\.\d+)"")),"""")
"),15)</f>
        <v>15</v>
      </c>
      <c r="K199" s="3" t="str">
        <f aca="false">IFERROR(__xludf.dummyfunction("if($T199&lt;&gt;"""",VALUE(REGEXEXTRACT($T199, K$1&amp;""[\w &amp;]*, (\d+\.\d+)"")),"""")
"),"#N/A")</f>
        <v>#N/A</v>
      </c>
      <c r="L199" s="3" t="n">
        <f aca="false">IFERROR(__xludf.dummyfunction("if($T199&lt;&gt;"""",VALUE(REGEXEXTRACT(SUBSTITUTE ($T199,L$1&amp;"" CE"",""""), L$1&amp;""[\w &amp;]*, (\d+\.\d+)"")),"""")
"),17)</f>
        <v>17</v>
      </c>
      <c r="M199" s="3" t="n">
        <f aca="false">IFERROR(__xludf.dummyfunction("if($T199&lt;&gt;"""",VALUE(REGEXEXTRACT($T199, M$1&amp;""[\w &amp;]*, (\d+\.\d+)"")),"""")
"),16)</f>
        <v>16</v>
      </c>
      <c r="N199" s="3" t="n">
        <f aca="false">IFERROR(__xludf.dummyfunction("if($T199&lt;&gt;"""",VALUE(REGEXEXTRACT(SUBSTITUTE ($T199,N$1&amp;"" CE"",""""), N$1&amp;""[\w &amp;]*, (\d+\.\d+)"")),"""")
"),16)</f>
        <v>16</v>
      </c>
      <c r="O199" s="3" t="n">
        <f aca="false">IFERROR(__xludf.dummyfunction("if($T199&lt;&gt;"""",VALUE(REGEXEXTRACT($T199, O$1&amp;""[\w &amp;]*, (\d+\.\d+)"")),"""")
"),16)</f>
        <v>16</v>
      </c>
      <c r="P199" s="2" t="n">
        <f aca="false">IFERROR(__xludf.dummyfunction("if($T199&lt;&gt;"""",VALUE(REGEXEXTRACT($T199, P$1&amp;""[\w &amp;]*, (\d+\.\d+)"")),"""")
"),14.93)</f>
        <v>14.93</v>
      </c>
      <c r="Q199" s="2" t="n">
        <f aca="false">IFERROR(__xludf.dummyfunction("if($T199&lt;&gt;"""",VALUE(REGEXEXTRACT($T199, Q$1&amp;""[\w &amp;]*, (\d+\.\d+)"")),"""")
"),13.9)</f>
        <v>13.9</v>
      </c>
      <c r="R199" s="2" t="n">
        <f aca="false">IFERROR(__xludf.dummyfunction("if($T199&lt;&gt;"""",VALUE(REGEXEXTRACT($T199, SUBSTITUTE(R$1, ""+"", ""\+"")&amp;""[\w &amp;]*, (\d+\.\d+)"")),"""")"),17.01)</f>
        <v>17.01</v>
      </c>
      <c r="S199" s="2" t="n">
        <f aca="false">IFERROR(__xludf.dummyfunction("if($T199&lt;&gt;"""",VALUE(REGEXEXTRACT($T199, SUBSTITUTE(S$1, ""+"", ""\+"")&amp;""[\w &amp;]*, (\d+\.\d+)"")),"""")"),18.04)</f>
        <v>18.04</v>
      </c>
      <c r="T199" s="5" t="s">
        <v>408</v>
      </c>
    </row>
    <row r="200" customFormat="false" ht="15.75" hidden="false" customHeight="false" outlineLevel="0" collapsed="false">
      <c r="A200" s="4" t="n">
        <f aca="false">IFERROR(__xludf.dummyfunction("""COMPUTED_VALUE"""),45688.6361111111)</f>
        <v>45688.6361111111</v>
      </c>
      <c r="B200" s="2" t="n">
        <f aca="false">IFERROR(__xludf.dummyfunction("""COMPUTED_VALUE"""),15.28)</f>
        <v>15.28</v>
      </c>
      <c r="C200" s="2" t="n">
        <f aca="false">IFERROR(__xludf.dummyfunction("""COMPUTED_VALUE"""),17.09)</f>
        <v>17.09</v>
      </c>
      <c r="D200" s="2" t="n">
        <f aca="false">IFERROR(__xludf.dummyfunction("""COMPUTED_VALUE"""),14.9)</f>
        <v>14.9</v>
      </c>
      <c r="E200" s="2" t="n">
        <f aca="false">IFERROR(__xludf.dummyfunction("""COMPUTED_VALUE"""),16.43)</f>
        <v>16.43</v>
      </c>
      <c r="F200" s="3" t="n">
        <f aca="false">IFERROR(__xludf.dummyfunction("if($T200&lt;&gt;"""",VALUE(REGEXEXTRACT(SUBSTITUTE ($T200,F$1&amp;"" CE"",""""), F$1&amp;""[\w &amp;]*, (\d+\.\d+)"")),"""")
"),17)</f>
        <v>17</v>
      </c>
      <c r="G200" s="3" t="n">
        <f aca="false">IFERROR(__xludf.dummyfunction("if($T200&lt;&gt;"""",VALUE(REGEXEXTRACT($T200, G$1&amp;""[\w &amp;]*, (\d+\.\d+)"")),"""")
"),19)</f>
        <v>19</v>
      </c>
      <c r="H200" s="3" t="n">
        <f aca="false">IFERROR(__xludf.dummyfunction("if($T200&lt;&gt;"""",VALUE(REGEXEXTRACT($T200, H$1&amp;""[\w &amp;]*, (\d+\.\d+)"")),"""")
"),21)</f>
        <v>21</v>
      </c>
      <c r="I200" s="3" t="n">
        <f aca="false">IFERROR(__xludf.dummyfunction("if($T200&lt;&gt;"""",VALUE(REGEXEXTRACT(SUBSTITUTE ($T200,I$1&amp;"" CE"",""""), I$1&amp;""[\w &amp;]*, (\d+\.\d+)"")),"""")
"),17)</f>
        <v>17</v>
      </c>
      <c r="J200" s="3" t="n">
        <f aca="false">IFERROR(__xludf.dummyfunction("if($T200&lt;&gt;"""",VALUE(REGEXEXTRACT($T200, J$1&amp;""[\w &amp;]*, (\d+\.\d+)"")),"""")
"),15)</f>
        <v>15</v>
      </c>
      <c r="K200" s="3" t="n">
        <f aca="false">IFERROR(__xludf.dummyfunction("if($T200&lt;&gt;"""",VALUE(REGEXEXTRACT($T200, K$1&amp;""[\w &amp;]*, (\d+\.\d+)"")),"""")
"),14)</f>
        <v>14</v>
      </c>
      <c r="L200" s="3" t="n">
        <f aca="false">IFERROR(__xludf.dummyfunction("if($T200&lt;&gt;"""",VALUE(REGEXEXTRACT(SUBSTITUTE ($T200,L$1&amp;"" CE"",""""), L$1&amp;""[\w &amp;]*, (\d+\.\d+)"")),"""")
"),17.5)</f>
        <v>17.5</v>
      </c>
      <c r="M200" s="3" t="n">
        <f aca="false">IFERROR(__xludf.dummyfunction("if($T200&lt;&gt;"""",VALUE(REGEXEXTRACT($T200, M$1&amp;""[\w &amp;]*, (\d+\.\d+)"")),"""")
"),15)</f>
        <v>15</v>
      </c>
      <c r="N200" s="3" t="n">
        <f aca="false">IFERROR(__xludf.dummyfunction("if($T200&lt;&gt;"""",VALUE(REGEXEXTRACT(SUBSTITUTE ($T200,N$1&amp;"" CE"",""""), N$1&amp;""[\w &amp;]*, (\d+\.\d+)"")),"""")
"),17)</f>
        <v>17</v>
      </c>
      <c r="O200" s="3" t="n">
        <f aca="false">IFERROR(__xludf.dummyfunction("if($T200&lt;&gt;"""",VALUE(REGEXEXTRACT($T200, O$1&amp;""[\w &amp;]*, (\d+\.\d+)"")),"""")
"),17)</f>
        <v>17</v>
      </c>
      <c r="P200" s="2" t="n">
        <f aca="false">IFERROR(__xludf.dummyfunction("if($T200&lt;&gt;"""",VALUE(REGEXEXTRACT($T200, P$1&amp;""[\w &amp;]*, (\d+\.\d+)"")),"""")
"),14.31)</f>
        <v>14.31</v>
      </c>
      <c r="Q200" s="2" t="n">
        <f aca="false">IFERROR(__xludf.dummyfunction("if($T200&lt;&gt;"""",VALUE(REGEXEXTRACT($T200, Q$1&amp;""[\w &amp;]*, (\d+\.\d+)"")),"""")
"),13.58)</f>
        <v>13.58</v>
      </c>
      <c r="R200" s="2" t="n">
        <f aca="false">IFERROR(__xludf.dummyfunction("if($T200&lt;&gt;"""",VALUE(REGEXEXTRACT($T200, SUBSTITUTE(R$1, ""+"", ""\+"")&amp;""[\w &amp;]*, (\d+\.\d+)"")),"""")"),17.37)</f>
        <v>17.37</v>
      </c>
      <c r="S200" s="2" t="n">
        <f aca="false">IFERROR(__xludf.dummyfunction("if($T200&lt;&gt;"""",VALUE(REGEXEXTRACT($T200, SUBSTITUTE(S$1, ""+"", ""\+"")&amp;""[\w &amp;]*, (\d+\.\d+)"")),"""")"),18.1)</f>
        <v>18.1</v>
      </c>
      <c r="T200" s="5" t="s">
        <v>409</v>
      </c>
    </row>
    <row r="201" customFormat="false" ht="15.75" hidden="false" customHeight="false" outlineLevel="0" collapsed="false">
      <c r="A201" s="4" t="n">
        <f aca="false">IFERROR(__xludf.dummyfunction("""COMPUTED_VALUE"""),45691.6361111111)</f>
        <v>45691.6361111111</v>
      </c>
      <c r="B201" s="2" t="n">
        <f aca="false">IFERROR(__xludf.dummyfunction("""COMPUTED_VALUE"""),20.36)</f>
        <v>20.36</v>
      </c>
      <c r="C201" s="2" t="n">
        <f aca="false">IFERROR(__xludf.dummyfunction("""COMPUTED_VALUE"""),20.42)</f>
        <v>20.42</v>
      </c>
      <c r="D201" s="2" t="n">
        <f aca="false">IFERROR(__xludf.dummyfunction("""COMPUTED_VALUE"""),17.66)</f>
        <v>17.66</v>
      </c>
      <c r="E201" s="2" t="n">
        <f aca="false">IFERROR(__xludf.dummyfunction("""COMPUTED_VALUE"""),18.62)</f>
        <v>18.62</v>
      </c>
      <c r="F201" s="3" t="n">
        <f aca="false">IFERROR(__xludf.dummyfunction("if($T201&lt;&gt;"""",VALUE(REGEXEXTRACT(SUBSTITUTE ($T201,F$1&amp;"" CE"",""""), F$1&amp;""[\w &amp;]*, (\d+\.\d+)"")),"""")
"),17)</f>
        <v>17</v>
      </c>
      <c r="G201" s="3" t="n">
        <f aca="false">IFERROR(__xludf.dummyfunction("if($T201&lt;&gt;"""",VALUE(REGEXEXTRACT($T201, G$1&amp;""[\w &amp;]*, (\d+\.\d+)"")),"""")
"),19)</f>
        <v>19</v>
      </c>
      <c r="H201" s="3" t="n">
        <f aca="false">IFERROR(__xludf.dummyfunction("if($T201&lt;&gt;"""",VALUE(REGEXEXTRACT($T201, H$1&amp;""[\w &amp;]*, (\d+\.\d+)"")),"""")
"),21)</f>
        <v>21</v>
      </c>
      <c r="I201" s="3" t="n">
        <f aca="false">IFERROR(__xludf.dummyfunction("if($T201&lt;&gt;"""",VALUE(REGEXEXTRACT(SUBSTITUTE ($T201,I$1&amp;"" CE"",""""), I$1&amp;""[\w &amp;]*, (\d+\.\d+)"")),"""")
"),17)</f>
        <v>17</v>
      </c>
      <c r="J201" s="3" t="n">
        <f aca="false">IFERROR(__xludf.dummyfunction("if($T201&lt;&gt;"""",VALUE(REGEXEXTRACT($T201, J$1&amp;""[\w &amp;]*, (\d+\.\d+)"")),"""")
"),15)</f>
        <v>15</v>
      </c>
      <c r="K201" s="3" t="n">
        <f aca="false">IFERROR(__xludf.dummyfunction("if($T201&lt;&gt;"""",VALUE(REGEXEXTRACT($T201, K$1&amp;""[\w &amp;]*, (\d+\.\d+)"")),"""")
"),14)</f>
        <v>14</v>
      </c>
      <c r="L201" s="3" t="n">
        <f aca="false">IFERROR(__xludf.dummyfunction("if($T201&lt;&gt;"""",VALUE(REGEXEXTRACT(SUBSTITUTE ($T201,L$1&amp;"" CE"",""""), L$1&amp;""[\w &amp;]*, (\d+\.\d+)"")),"""")
"),17.5)</f>
        <v>17.5</v>
      </c>
      <c r="M201" s="3" t="n">
        <f aca="false">IFERROR(__xludf.dummyfunction("if($T201&lt;&gt;"""",VALUE(REGEXEXTRACT($T201, M$1&amp;""[\w &amp;]*, (\d+\.\d+)"")),"""")
"),15)</f>
        <v>15</v>
      </c>
      <c r="N201" s="3" t="n">
        <f aca="false">IFERROR(__xludf.dummyfunction("if($T201&lt;&gt;"""",VALUE(REGEXEXTRACT(SUBSTITUTE ($T201,N$1&amp;"" CE"",""""), N$1&amp;""[\w &amp;]*, (\d+\.\d+)"")),"""")
"),17)</f>
        <v>17</v>
      </c>
      <c r="O201" s="3" t="n">
        <f aca="false">IFERROR(__xludf.dummyfunction("if($T201&lt;&gt;"""",VALUE(REGEXEXTRACT($T201, O$1&amp;""[\w &amp;]*, (\d+\.\d+)"")),"""")
"),18)</f>
        <v>18</v>
      </c>
      <c r="P201" s="2" t="n">
        <f aca="false">IFERROR(__xludf.dummyfunction("if($T201&lt;&gt;"""",VALUE(REGEXEXTRACT($T201, P$1&amp;""[\w &amp;]*, (\d+\.\d+)"")),"""")
"),16.91)</f>
        <v>16.91</v>
      </c>
      <c r="Q201" s="2" t="n">
        <f aca="false">IFERROR(__xludf.dummyfunction("if($T201&lt;&gt;"""",VALUE(REGEXEXTRACT($T201, Q$1&amp;""[\w &amp;]*, (\d+\.\d+)"")),"""")
"),14.98)</f>
        <v>14.98</v>
      </c>
      <c r="R201" s="2" t="n">
        <f aca="false">IFERROR(__xludf.dummyfunction("if($T201&lt;&gt;"""",VALUE(REGEXEXTRACT($T201, SUBSTITUTE(R$1, ""+"", ""\+"")&amp;""[\w &amp;]*, (\d+\.\d+)"")),"""")"),20.33)</f>
        <v>20.33</v>
      </c>
      <c r="S201" s="2" t="n">
        <f aca="false">IFERROR(__xludf.dummyfunction("if($T201&lt;&gt;"""",VALUE(REGEXEXTRACT($T201, SUBSTITUTE(S$1, ""+"", ""\+"")&amp;""[\w &amp;]*, (\d+\.\d+)"")),"""")"),22.26)</f>
        <v>22.26</v>
      </c>
      <c r="T201" s="5" t="s">
        <v>410</v>
      </c>
    </row>
    <row r="202" customFormat="false" ht="15.75" hidden="false" customHeight="false" outlineLevel="0" collapsed="false">
      <c r="A202" s="4" t="n">
        <f aca="false">IFERROR(__xludf.dummyfunction("""COMPUTED_VALUE"""),45692.6361111111)</f>
        <v>45692.6361111111</v>
      </c>
      <c r="B202" s="2" t="n">
        <f aca="false">IFERROR(__xludf.dummyfunction("""COMPUTED_VALUE"""),18.34)</f>
        <v>18.34</v>
      </c>
      <c r="C202" s="2" t="n">
        <f aca="false">IFERROR(__xludf.dummyfunction("""COMPUTED_VALUE"""),18.34)</f>
        <v>18.34</v>
      </c>
      <c r="D202" s="2" t="n">
        <f aca="false">IFERROR(__xludf.dummyfunction("""COMPUTED_VALUE"""),16.78)</f>
        <v>16.78</v>
      </c>
      <c r="E202" s="2" t="n">
        <f aca="false">IFERROR(__xludf.dummyfunction("""COMPUTED_VALUE"""),17.21)</f>
        <v>17.21</v>
      </c>
      <c r="F202" s="3" t="n">
        <f aca="false">IFERROR(__xludf.dummyfunction("if($T202&lt;&gt;"""",VALUE(REGEXEXTRACT(SUBSTITUTE ($T202,F$1&amp;"" CE"",""""), F$1&amp;""[\w &amp;]*, (\d+\.\d+)"")),"""")
"),19)</f>
        <v>19</v>
      </c>
      <c r="G202" s="3" t="n">
        <f aca="false">IFERROR(__xludf.dummyfunction("if($T202&lt;&gt;"""",VALUE(REGEXEXTRACT($T202, G$1&amp;""[\w &amp;]*, (\d+\.\d+)"")),"""")
"),18)</f>
        <v>18</v>
      </c>
      <c r="H202" s="3" t="n">
        <f aca="false">IFERROR(__xludf.dummyfunction("if($T202&lt;&gt;"""",VALUE(REGEXEXTRACT($T202, H$1&amp;""[\w &amp;]*, (\d+\.\d+)"")),"""")
"),21)</f>
        <v>21</v>
      </c>
      <c r="I202" s="3" t="n">
        <f aca="false">IFERROR(__xludf.dummyfunction("if($T202&lt;&gt;"""",VALUE(REGEXEXTRACT(SUBSTITUTE ($T202,I$1&amp;"" CE"",""""), I$1&amp;""[\w &amp;]*, (\d+\.\d+)"")),"""")
"),17)</f>
        <v>17</v>
      </c>
      <c r="J202" s="3" t="n">
        <f aca="false">IFERROR(__xludf.dummyfunction("if($T202&lt;&gt;"""",VALUE(REGEXEXTRACT($T202, J$1&amp;""[\w &amp;]*, (\d+\.\d+)"")),"""")
"),15)</f>
        <v>15</v>
      </c>
      <c r="K202" s="3" t="n">
        <f aca="false">IFERROR(__xludf.dummyfunction("if($T202&lt;&gt;"""",VALUE(REGEXEXTRACT($T202, K$1&amp;""[\w &amp;]*, (\d+\.\d+)"")),"""")
"),14)</f>
        <v>14</v>
      </c>
      <c r="L202" s="3" t="n">
        <f aca="false">IFERROR(__xludf.dummyfunction("if($T202&lt;&gt;"""",VALUE(REGEXEXTRACT(SUBSTITUTE ($T202,L$1&amp;"" CE"",""""), L$1&amp;""[\w &amp;]*, (\d+\.\d+)"")),"""")
"),17.5)</f>
        <v>17.5</v>
      </c>
      <c r="M202" s="3" t="n">
        <f aca="false">IFERROR(__xludf.dummyfunction("if($T202&lt;&gt;"""",VALUE(REGEXEXTRACT($T202, M$1&amp;""[\w &amp;]*, (\d+\.\d+)"")),"""")
"),15)</f>
        <v>15</v>
      </c>
      <c r="N202" s="3" t="n">
        <f aca="false">IFERROR(__xludf.dummyfunction("if($T202&lt;&gt;"""",VALUE(REGEXEXTRACT(SUBSTITUTE ($T202,N$1&amp;"" CE"",""""), N$1&amp;""[\w &amp;]*, (\d+\.\d+)"")),"""")
"),17)</f>
        <v>17</v>
      </c>
      <c r="O202" s="3" t="n">
        <f aca="false">IFERROR(__xludf.dummyfunction("if($T202&lt;&gt;"""",VALUE(REGEXEXTRACT($T202, O$1&amp;""[\w &amp;]*, (\d+\.\d+)"")),"""")
"),17)</f>
        <v>17</v>
      </c>
      <c r="P202" s="2" t="n">
        <f aca="false">IFERROR(__xludf.dummyfunction("if($T202&lt;&gt;"""",VALUE(REGEXEXTRACT($T202, P$1&amp;""[\w &amp;]*, (\d+\.\d+)"")),"""")
"),16.54)</f>
        <v>16.54</v>
      </c>
      <c r="Q202" s="2" t="n">
        <f aca="false">IFERROR(__xludf.dummyfunction("if($T202&lt;&gt;"""",VALUE(REGEXEXTRACT($T202, Q$1&amp;""[\w &amp;]*, (\d+\.\d+)"")),"""")
"),15.3)</f>
        <v>15.3</v>
      </c>
      <c r="R202" s="2" t="n">
        <f aca="false">IFERROR(__xludf.dummyfunction("if($T202&lt;&gt;"""",VALUE(REGEXEXTRACT($T202, SUBSTITUTE(R$1, ""+"", ""\+"")&amp;""[\w &amp;]*, (\d+\.\d+)"")),"""")"),17.88)</f>
        <v>17.88</v>
      </c>
      <c r="S202" s="2" t="n">
        <f aca="false">IFERROR(__xludf.dummyfunction("if($T202&lt;&gt;"""",VALUE(REGEXEXTRACT($T202, SUBSTITUTE(S$1, ""+"", ""\+"")&amp;""[\w &amp;]*, (\d+\.\d+)"")),"""")"),19.12)</f>
        <v>19.12</v>
      </c>
      <c r="T202" s="5" t="s">
        <v>411</v>
      </c>
    </row>
    <row r="203" customFormat="false" ht="15.75" hidden="false" customHeight="false" outlineLevel="0" collapsed="false">
      <c r="A203" s="4" t="n">
        <f aca="false">IFERROR(__xludf.dummyfunction("""COMPUTED_VALUE"""),45693.6361111111)</f>
        <v>45693.6361111111</v>
      </c>
      <c r="B203" s="2" t="n">
        <f aca="false">IFERROR(__xludf.dummyfunction("""COMPUTED_VALUE"""),17.54)</f>
        <v>17.54</v>
      </c>
      <c r="C203" s="2" t="n">
        <f aca="false">IFERROR(__xludf.dummyfunction("""COMPUTED_VALUE"""),17.54)</f>
        <v>17.54</v>
      </c>
      <c r="D203" s="2" t="n">
        <f aca="false">IFERROR(__xludf.dummyfunction("""COMPUTED_VALUE"""),15.77)</f>
        <v>15.77</v>
      </c>
      <c r="E203" s="2" t="n">
        <f aca="false">IFERROR(__xludf.dummyfunction("""COMPUTED_VALUE"""),15.77)</f>
        <v>15.77</v>
      </c>
      <c r="F203" s="3" t="n">
        <f aca="false">IFERROR(__xludf.dummyfunction("if($T203&lt;&gt;"""",VALUE(REGEXEXTRACT(SUBSTITUTE ($T203,F$1&amp;"" CE"",""""), F$1&amp;""[\w &amp;]*, (\d+\.\d+)"")),"""")
"),20)</f>
        <v>20</v>
      </c>
      <c r="G203" s="3" t="n">
        <f aca="false">IFERROR(__xludf.dummyfunction("if($T203&lt;&gt;"""",VALUE(REGEXEXTRACT($T203, G$1&amp;""[\w &amp;]*, (\d+\.\d+)"")),"""")
"),20)</f>
        <v>20</v>
      </c>
      <c r="H203" s="3" t="n">
        <f aca="false">IFERROR(__xludf.dummyfunction("if($T203&lt;&gt;"""",VALUE(REGEXEXTRACT($T203, H$1&amp;""[\w &amp;]*, (\d+\.\d+)"")),"""")
"),21)</f>
        <v>21</v>
      </c>
      <c r="I203" s="3" t="n">
        <f aca="false">IFERROR(__xludf.dummyfunction("if($T203&lt;&gt;"""",VALUE(REGEXEXTRACT(SUBSTITUTE ($T203,I$1&amp;"" CE"",""""), I$1&amp;""[\w &amp;]*, (\d+\.\d+)"")),"""")
"),17)</f>
        <v>17</v>
      </c>
      <c r="J203" s="3" t="n">
        <f aca="false">IFERROR(__xludf.dummyfunction("if($T203&lt;&gt;"""",VALUE(REGEXEXTRACT($T203, J$1&amp;""[\w &amp;]*, (\d+\.\d+)"")),"""")
"),15)</f>
        <v>15</v>
      </c>
      <c r="K203" s="3" t="n">
        <f aca="false">IFERROR(__xludf.dummyfunction("if($T203&lt;&gt;"""",VALUE(REGEXEXTRACT($T203, K$1&amp;""[\w &amp;]*, (\d+\.\d+)"")),"""")
"),14)</f>
        <v>14</v>
      </c>
      <c r="L203" s="3" t="n">
        <f aca="false">IFERROR(__xludf.dummyfunction("if($T203&lt;&gt;"""",VALUE(REGEXEXTRACT(SUBSTITUTE ($T203,L$1&amp;"" CE"",""""), L$1&amp;""[\w &amp;]*, (\d+\.\d+)"")),"""")
"),17.5)</f>
        <v>17.5</v>
      </c>
      <c r="M203" s="3" t="n">
        <f aca="false">IFERROR(__xludf.dummyfunction("if($T203&lt;&gt;"""",VALUE(REGEXEXTRACT($T203, M$1&amp;""[\w &amp;]*, (\d+\.\d+)"")),"""")
"),17)</f>
        <v>17</v>
      </c>
      <c r="N203" s="3" t="n">
        <f aca="false">IFERROR(__xludf.dummyfunction("if($T203&lt;&gt;"""",VALUE(REGEXEXTRACT(SUBSTITUTE ($T203,N$1&amp;"" CE"",""""), N$1&amp;""[\w &amp;]*, (\d+\.\d+)"")),"""")
"),17)</f>
        <v>17</v>
      </c>
      <c r="O203" s="3" t="n">
        <f aca="false">IFERROR(__xludf.dummyfunction("if($T203&lt;&gt;"""",VALUE(REGEXEXTRACT($T203, O$1&amp;""[\w &amp;]*, (\d+\.\d+)"")),"""")
"),17)</f>
        <v>17</v>
      </c>
      <c r="P203" s="2" t="n">
        <f aca="false">IFERROR(__xludf.dummyfunction("if($T203&lt;&gt;"""",VALUE(REGEXEXTRACT($T203, P$1&amp;""[\w &amp;]*, (\d+\.\d+)"")),"""")
"),14.82)</f>
        <v>14.82</v>
      </c>
      <c r="Q203" s="2" t="n">
        <f aca="false">IFERROR(__xludf.dummyfunction("if($T203&lt;&gt;"""",VALUE(REGEXEXTRACT($T203, Q$1&amp;""[\w &amp;]*, (\d+\.\d+)"")),"""")
"),13.49)</f>
        <v>13.49</v>
      </c>
      <c r="R203" s="2" t="n">
        <f aca="false">IFERROR(__xludf.dummyfunction("if($T203&lt;&gt;"""",VALUE(REGEXEXTRACT($T203, SUBSTITUTE(R$1, ""+"", ""\+"")&amp;""[\w &amp;]*, (\d+\.\d+)"")),"""")"),18.04)</f>
        <v>18.04</v>
      </c>
      <c r="S203" s="2" t="n">
        <f aca="false">IFERROR(__xludf.dummyfunction("if($T203&lt;&gt;"""",VALUE(REGEXEXTRACT($T203, SUBSTITUTE(S$1, ""+"", ""\+"")&amp;""[\w &amp;]*, (\d+\.\d+)"")),"""")"),19.37)</f>
        <v>19.37</v>
      </c>
      <c r="T203" s="5" t="s">
        <v>412</v>
      </c>
    </row>
    <row r="204" customFormat="false" ht="15.75" hidden="false" customHeight="false" outlineLevel="0" collapsed="false">
      <c r="A204" s="4" t="n">
        <f aca="false">IFERROR(__xludf.dummyfunction("""COMPUTED_VALUE"""),45694.6361111111)</f>
        <v>45694.6361111111</v>
      </c>
      <c r="B204" s="2" t="n">
        <f aca="false">IFERROR(__xludf.dummyfunction("""COMPUTED_VALUE"""),16.09)</f>
        <v>16.09</v>
      </c>
      <c r="C204" s="2" t="n">
        <f aca="false">IFERROR(__xludf.dummyfunction("""COMPUTED_VALUE"""),16.09)</f>
        <v>16.09</v>
      </c>
      <c r="D204" s="2" t="n">
        <f aca="false">IFERROR(__xludf.dummyfunction("""COMPUTED_VALUE"""),14.99)</f>
        <v>14.99</v>
      </c>
      <c r="E204" s="2" t="n">
        <f aca="false">IFERROR(__xludf.dummyfunction("""COMPUTED_VALUE"""),15.5)</f>
        <v>15.5</v>
      </c>
      <c r="F204" s="3" t="n">
        <f aca="false">IFERROR(__xludf.dummyfunction("if($T204&lt;&gt;"""",VALUE(REGEXEXTRACT(SUBSTITUTE ($T204,F$1&amp;"" CE"",""""), F$1&amp;""[\w &amp;]*, (\d+\.\d+)"")),"""")
"),17)</f>
        <v>17</v>
      </c>
      <c r="G204" s="3" t="n">
        <f aca="false">IFERROR(__xludf.dummyfunction("if($T204&lt;&gt;"""",VALUE(REGEXEXTRACT($T204, G$1&amp;""[\w &amp;]*, (\d+\.\d+)"")),"""")
"),17)</f>
        <v>17</v>
      </c>
      <c r="H204" s="3" t="str">
        <f aca="false">IFERROR(__xludf.dummyfunction("if($T204&lt;&gt;"""",VALUE(REGEXEXTRACT($T204, H$1&amp;""[\w &amp;]*, (\d+\.\d+)"")),"""")
"),"#N/A")</f>
        <v>#N/A</v>
      </c>
      <c r="I204" s="3" t="n">
        <f aca="false">IFERROR(__xludf.dummyfunction("if($T204&lt;&gt;"""",VALUE(REGEXEXTRACT(SUBSTITUTE ($T204,I$1&amp;"" CE"",""""), I$1&amp;""[\w &amp;]*, (\d+\.\d+)"")),"""")
"),17)</f>
        <v>17</v>
      </c>
      <c r="J204" s="3" t="n">
        <f aca="false">IFERROR(__xludf.dummyfunction("if($T204&lt;&gt;"""",VALUE(REGEXEXTRACT($T204, J$1&amp;""[\w &amp;]*, (\d+\.\d+)"")),"""")
"),15)</f>
        <v>15</v>
      </c>
      <c r="K204" s="3" t="n">
        <f aca="false">IFERROR(__xludf.dummyfunction("if($T204&lt;&gt;"""",VALUE(REGEXEXTRACT($T204, K$1&amp;""[\w &amp;]*, (\d+\.\d+)"")),"""")
"),14)</f>
        <v>14</v>
      </c>
      <c r="L204" s="3" t="n">
        <f aca="false">IFERROR(__xludf.dummyfunction("if($T204&lt;&gt;"""",VALUE(REGEXEXTRACT(SUBSTITUTE ($T204,L$1&amp;"" CE"",""""), L$1&amp;""[\w &amp;]*, (\d+\.\d+)"")),"""")
"),17.5)</f>
        <v>17.5</v>
      </c>
      <c r="M204" s="3" t="n">
        <f aca="false">IFERROR(__xludf.dummyfunction("if($T204&lt;&gt;"""",VALUE(REGEXEXTRACT($T204, M$1&amp;""[\w &amp;]*, (\d+\.\d+)"")),"""")
"),15)</f>
        <v>15</v>
      </c>
      <c r="N204" s="3" t="n">
        <f aca="false">IFERROR(__xludf.dummyfunction("if($T204&lt;&gt;"""",VALUE(REGEXEXTRACT(SUBSTITUTE ($T204,N$1&amp;"" CE"",""""), N$1&amp;""[\w &amp;]*, (\d+\.\d+)"")),"""")
"),17)</f>
        <v>17</v>
      </c>
      <c r="O204" s="3" t="n">
        <f aca="false">IFERROR(__xludf.dummyfunction("if($T204&lt;&gt;"""",VALUE(REGEXEXTRACT($T204, O$1&amp;""[\w &amp;]*, (\d+\.\d+)"")),"""")
"),17)</f>
        <v>17</v>
      </c>
      <c r="P204" s="2" t="n">
        <f aca="false">IFERROR(__xludf.dummyfunction("if($T204&lt;&gt;"""",VALUE(REGEXEXTRACT($T204, P$1&amp;""[\w &amp;]*, (\d+\.\d+)"")),"""")
"),14.27)</f>
        <v>14.27</v>
      </c>
      <c r="Q204" s="2" t="n">
        <f aca="false">IFERROR(__xludf.dummyfunction("if($T204&lt;&gt;"""",VALUE(REGEXEXTRACT($T204, Q$1&amp;""[\w &amp;]*, (\d+\.\d+)"")),"""")
"),13.66)</f>
        <v>13.66</v>
      </c>
      <c r="R204" s="2" t="n">
        <f aca="false">IFERROR(__xludf.dummyfunction("if($T204&lt;&gt;"""",VALUE(REGEXEXTRACT($T204, SUBSTITUTE(R$1, ""+"", ""\+"")&amp;""[\w &amp;]*, (\d+\.\d+)"")),"""")"),17.27)</f>
        <v>17.27</v>
      </c>
      <c r="S204" s="2" t="n">
        <f aca="false">IFERROR(__xludf.dummyfunction("if($T204&lt;&gt;"""",VALUE(REGEXEXTRACT($T204, SUBSTITUTE(S$1, ""+"", ""\+"")&amp;""[\w &amp;]*, (\d+\.\d+)"")),"""")"),17.88)</f>
        <v>17.88</v>
      </c>
      <c r="T204" s="5" t="s">
        <v>413</v>
      </c>
    </row>
    <row r="205" customFormat="false" ht="15.75" hidden="false" customHeight="false" outlineLevel="0" collapsed="false">
      <c r="A205" s="4"/>
      <c r="B205" s="2"/>
      <c r="C205" s="2"/>
      <c r="D205" s="2"/>
      <c r="E205" s="2"/>
      <c r="F205" s="3" t="n">
        <f aca="false">IFERROR(__xludf.dummyfunction("if($T205&lt;&gt;"""",VALUE(REGEXEXTRACT(SUBSTITUTE ($T205,F$1&amp;"" CE"",""""), F$1&amp;""[\w &amp;]*, (\d+\.\d+)"")),"""")
"),17)</f>
        <v>17</v>
      </c>
      <c r="G205" s="3" t="n">
        <f aca="false">IFERROR(__xludf.dummyfunction("if($T205&lt;&gt;"""",VALUE(REGEXEXTRACT($T205, G$1&amp;""[\w &amp;]*, (\d+\.\d+)"")),"""")
"),18)</f>
        <v>18</v>
      </c>
      <c r="H205" s="3" t="str">
        <f aca="false">IFERROR(__xludf.dummyfunction("if($T205&lt;&gt;"""",VALUE(REGEXEXTRACT($T205, H$1&amp;""[\w &amp;]*, (\d+\.\d+)"")),"""")
"),"#N/A")</f>
        <v>#N/A</v>
      </c>
      <c r="I205" s="3" t="n">
        <f aca="false">IFERROR(__xludf.dummyfunction("if($T205&lt;&gt;"""",VALUE(REGEXEXTRACT(SUBSTITUTE ($T205,I$1&amp;"" CE"",""""), I$1&amp;""[\w &amp;]*, (\d+\.\d+)"")),"""")
"),17)</f>
        <v>17</v>
      </c>
      <c r="J205" s="3" t="n">
        <f aca="false">IFERROR(__xludf.dummyfunction("if($T205&lt;&gt;"""",VALUE(REGEXEXTRACT($T205, J$1&amp;""[\w &amp;]*, (\d+\.\d+)"")),"""")
"),15)</f>
        <v>15</v>
      </c>
      <c r="K205" s="3" t="n">
        <f aca="false">IFERROR(__xludf.dummyfunction("if($T205&lt;&gt;"""",VALUE(REGEXEXTRACT($T205, K$1&amp;""[\w &amp;]*, (\d+\.\d+)"")),"""")
"),14)</f>
        <v>14</v>
      </c>
      <c r="L205" s="3" t="n">
        <f aca="false">IFERROR(__xludf.dummyfunction("if($T205&lt;&gt;"""",VALUE(REGEXEXTRACT(SUBSTITUTE ($T205,L$1&amp;"" CE"",""""), L$1&amp;""[\w &amp;]*, (\d+\.\d+)"")),"""")
"),17.5)</f>
        <v>17.5</v>
      </c>
      <c r="M205" s="3" t="n">
        <f aca="false">IFERROR(__xludf.dummyfunction("if($T205&lt;&gt;"""",VALUE(REGEXEXTRACT($T205, M$1&amp;""[\w &amp;]*, (\d+\.\d+)"")),"""")
"),15)</f>
        <v>15</v>
      </c>
      <c r="N205" s="3" t="n">
        <f aca="false">IFERROR(__xludf.dummyfunction("if($T205&lt;&gt;"""",VALUE(REGEXEXTRACT(SUBSTITUTE ($T205,N$1&amp;"" CE"",""""), N$1&amp;""[\w &amp;]*, (\d+\.\d+)"")),"""")
"),17)</f>
        <v>17</v>
      </c>
      <c r="O205" s="3" t="n">
        <f aca="false">IFERROR(__xludf.dummyfunction("if($T205&lt;&gt;"""",VALUE(REGEXEXTRACT($T205, O$1&amp;""[\w &amp;]*, (\d+\.\d+)"")),"""")
"),17)</f>
        <v>17</v>
      </c>
      <c r="P205" s="2" t="n">
        <f aca="false">IFERROR(__xludf.dummyfunction("if($T205&lt;&gt;"""",VALUE(REGEXEXTRACT($T205, P$1&amp;""[\w &amp;]*, (\d+\.\d+)"")),"""")
"),14.23)</f>
        <v>14.23</v>
      </c>
      <c r="Q205" s="2" t="n">
        <f aca="false">IFERROR(__xludf.dummyfunction("if($T205&lt;&gt;"""",VALUE(REGEXEXTRACT($T205, Q$1&amp;""[\w &amp;]*, (\d+\.\d+)"")),"""")
"),13.53)</f>
        <v>13.53</v>
      </c>
      <c r="R205" s="2" t="n">
        <f aca="false">IFERROR(__xludf.dummyfunction("if($T205&lt;&gt;"""",VALUE(REGEXEXTRACT($T205, SUBSTITUTE(R$1, ""+"", ""\+"")&amp;""[\w &amp;]*, (\d+\.\d+)"")),"""")"),16.77)</f>
        <v>16.77</v>
      </c>
      <c r="S205" s="2" t="n">
        <f aca="false">IFERROR(__xludf.dummyfunction("if($T205&lt;&gt;"""",VALUE(REGEXEXTRACT($T205, SUBSTITUTE(S$1, ""+"", ""\+"")&amp;""[\w &amp;]*, (\d+\.\d+)"")),"""")"),17.47)</f>
        <v>17.47</v>
      </c>
      <c r="T205" s="5" t="s">
        <v>414</v>
      </c>
    </row>
    <row r="206" customFormat="false" ht="15.75" hidden="false" customHeight="false" outlineLevel="0" collapsed="false">
      <c r="A206" s="4"/>
      <c r="B206" s="2"/>
      <c r="C206" s="2"/>
      <c r="D206" s="2"/>
      <c r="E206" s="2"/>
      <c r="F206" s="3" t="n">
        <f aca="false">IFERROR(__xludf.dummyfunction("if($T206&lt;&gt;"""",VALUE(REGEXEXTRACT(SUBSTITUTE ($T206,F$1&amp;"" CE"",""""), F$1&amp;""[\w &amp;]*, (\d+\.\d+)"")),"""")
"),17)</f>
        <v>17</v>
      </c>
      <c r="G206" s="3" t="n">
        <f aca="false">IFERROR(__xludf.dummyfunction("if($T206&lt;&gt;"""",VALUE(REGEXEXTRACT($T206, G$1&amp;""[\w &amp;]*, (\d+\.\d+)"")),"""")
"),19)</f>
        <v>19</v>
      </c>
      <c r="H206" s="3" t="n">
        <f aca="false">IFERROR(__xludf.dummyfunction("if($T206&lt;&gt;"""",VALUE(REGEXEXTRACT($T206, H$1&amp;""[\w &amp;]*, (\d+\.\d+)"")),"""")
"),21)</f>
        <v>21</v>
      </c>
      <c r="I206" s="3" t="n">
        <f aca="false">IFERROR(__xludf.dummyfunction("if($T206&lt;&gt;"""",VALUE(REGEXEXTRACT(SUBSTITUTE ($T206,I$1&amp;"" CE"",""""), I$1&amp;""[\w &amp;]*, (\d+\.\d+)"")),"""")
"),17)</f>
        <v>17</v>
      </c>
      <c r="J206" s="3" t="n">
        <f aca="false">IFERROR(__xludf.dummyfunction("if($T206&lt;&gt;"""",VALUE(REGEXEXTRACT($T206, J$1&amp;""[\w &amp;]*, (\d+\.\d+)"")),"""")
"),15)</f>
        <v>15</v>
      </c>
      <c r="K206" s="3" t="n">
        <f aca="false">IFERROR(__xludf.dummyfunction("if($T206&lt;&gt;"""",VALUE(REGEXEXTRACT($T206, K$1&amp;""[\w &amp;]*, (\d+\.\d+)"")),"""")
"),14)</f>
        <v>14</v>
      </c>
      <c r="L206" s="3" t="n">
        <f aca="false">IFERROR(__xludf.dummyfunction("if($T206&lt;&gt;"""",VALUE(REGEXEXTRACT(SUBSTITUTE ($T206,L$1&amp;"" CE"",""""), L$1&amp;""[\w &amp;]*, (\d+\.\d+)"")),"""")
"),17.5)</f>
        <v>17.5</v>
      </c>
      <c r="M206" s="3" t="n">
        <f aca="false">IFERROR(__xludf.dummyfunction("if($T206&lt;&gt;"""",VALUE(REGEXEXTRACT($T206, M$1&amp;""[\w &amp;]*, (\d+\.\d+)"")),"""")
"),15)</f>
        <v>15</v>
      </c>
      <c r="N206" s="3" t="n">
        <f aca="false">IFERROR(__xludf.dummyfunction("if($T206&lt;&gt;"""",VALUE(REGEXEXTRACT(SUBSTITUTE ($T206,N$1&amp;"" CE"",""""), N$1&amp;""[\w &amp;]*, (\d+\.\d+)"")),"""")
"),17)</f>
        <v>17</v>
      </c>
      <c r="O206" s="3" t="n">
        <f aca="false">IFERROR(__xludf.dummyfunction("if($T206&lt;&gt;"""",VALUE(REGEXEXTRACT($T206, O$1&amp;""[\w &amp;]*, (\d+\.\d+)"")),"""")
"),17)</f>
        <v>17</v>
      </c>
      <c r="P206" s="2" t="n">
        <f aca="false">IFERROR(__xludf.dummyfunction("if($T206&lt;&gt;"""",VALUE(REGEXEXTRACT($T206, P$1&amp;""[\w &amp;]*, (\d+\.\d+)"")),"""")
"),14.51)</f>
        <v>14.51</v>
      </c>
      <c r="Q206" s="2" t="n">
        <f aca="false">IFERROR(__xludf.dummyfunction("if($T206&lt;&gt;"""",VALUE(REGEXEXTRACT($T206, Q$1&amp;""[\w &amp;]*, (\d+\.\d+)"")),"""")
"),13.66)</f>
        <v>13.66</v>
      </c>
      <c r="R206" s="2" t="n">
        <f aca="false">IFERROR(__xludf.dummyfunction("if($T206&lt;&gt;"""",VALUE(REGEXEXTRACT($T206, SUBSTITUTE(R$1, ""+"", ""\+"")&amp;""[\w &amp;]*, (\d+\.\d+)"")),"""")"),18.61)</f>
        <v>18.61</v>
      </c>
      <c r="S206" s="2" t="n">
        <f aca="false">IFERROR(__xludf.dummyfunction("if($T206&lt;&gt;"""",VALUE(REGEXEXTRACT($T206, SUBSTITUTE(S$1, ""+"", ""\+"")&amp;""[\w &amp;]*, (\d+\.\d+)"")),"""")"),19.46)</f>
        <v>19.46</v>
      </c>
      <c r="T206" s="5" t="s">
        <v>415</v>
      </c>
    </row>
    <row r="207" customFormat="false" ht="15.75" hidden="false" customHeight="false" outlineLevel="0" collapsed="false">
      <c r="A207" s="4"/>
      <c r="B207" s="2"/>
      <c r="C207" s="2"/>
      <c r="D207" s="2"/>
      <c r="E207" s="2"/>
      <c r="F207" s="3" t="n">
        <f aca="false">IFERROR(__xludf.dummyfunction("if($T207&lt;&gt;"""",VALUE(REGEXEXTRACT(SUBSTITUTE ($T207,F$1&amp;"" CE"",""""), F$1&amp;""[\w &amp;]*, (\d+\.\d+)"")),"""")
"),18)</f>
        <v>18</v>
      </c>
      <c r="G207" s="3" t="n">
        <f aca="false">IFERROR(__xludf.dummyfunction("if($T207&lt;&gt;"""",VALUE(REGEXEXTRACT($T207, G$1&amp;""[\w &amp;]*, (\d+\.\d+)"")),"""")
"),18)</f>
        <v>18</v>
      </c>
      <c r="H207" s="3" t="n">
        <f aca="false">IFERROR(__xludf.dummyfunction("if($T207&lt;&gt;"""",VALUE(REGEXEXTRACT($T207, H$1&amp;""[\w &amp;]*, (\d+\.\d+)"")),"""")
"),21)</f>
        <v>21</v>
      </c>
      <c r="I207" s="3" t="n">
        <f aca="false">IFERROR(__xludf.dummyfunction("if($T207&lt;&gt;"""",VALUE(REGEXEXTRACT(SUBSTITUTE ($T207,I$1&amp;"" CE"",""""), I$1&amp;""[\w &amp;]*, (\d+\.\d+)"")),"""")
"),16)</f>
        <v>16</v>
      </c>
      <c r="J207" s="3" t="n">
        <f aca="false">IFERROR(__xludf.dummyfunction("if($T207&lt;&gt;"""",VALUE(REGEXEXTRACT($T207, J$1&amp;""[\w &amp;]*, (\d+\.\d+)"")),"""")
"),15)</f>
        <v>15</v>
      </c>
      <c r="K207" s="3" t="str">
        <f aca="false">IFERROR(__xludf.dummyfunction("if($T207&lt;&gt;"""",VALUE(REGEXEXTRACT($T207, K$1&amp;""[\w &amp;]*, (\d+\.\d+)"")),"""")
"),"#N/A")</f>
        <v>#N/A</v>
      </c>
      <c r="L207" s="3" t="n">
        <f aca="false">IFERROR(__xludf.dummyfunction("if($T207&lt;&gt;"""",VALUE(REGEXEXTRACT(SUBSTITUTE ($T207,L$1&amp;"" CE"",""""), L$1&amp;""[\w &amp;]*, (\d+\.\d+)"")),"""")
"),17)</f>
        <v>17</v>
      </c>
      <c r="M207" s="3" t="n">
        <f aca="false">IFERROR(__xludf.dummyfunction("if($T207&lt;&gt;"""",VALUE(REGEXEXTRACT($T207, M$1&amp;""[\w &amp;]*, (\d+\.\d+)"")),"""")
"),16)</f>
        <v>16</v>
      </c>
      <c r="N207" s="3" t="n">
        <f aca="false">IFERROR(__xludf.dummyfunction("if($T207&lt;&gt;"""",VALUE(REGEXEXTRACT(SUBSTITUTE ($T207,N$1&amp;"" CE"",""""), N$1&amp;""[\w &amp;]*, (\d+\.\d+)"")),"""")
"),17)</f>
        <v>17</v>
      </c>
      <c r="O207" s="3" t="n">
        <f aca="false">IFERROR(__xludf.dummyfunction("if($T207&lt;&gt;"""",VALUE(REGEXEXTRACT($T207, O$1&amp;""[\w &amp;]*, (\d+\.\d+)"")),"""")
"),16)</f>
        <v>16</v>
      </c>
      <c r="P207" s="2" t="n">
        <f aca="false">IFERROR(__xludf.dummyfunction("if($T207&lt;&gt;"""",VALUE(REGEXEXTRACT($T207, P$1&amp;""[\w &amp;]*, (\d+\.\d+)"")),"""")
"),14.75)</f>
        <v>14.75</v>
      </c>
      <c r="Q207" s="2" t="n">
        <f aca="false">IFERROR(__xludf.dummyfunction("if($T207&lt;&gt;"""",VALUE(REGEXEXTRACT($T207, Q$1&amp;""[\w &amp;]*, (\d+\.\d+)"")),"""")
"),13.82)</f>
        <v>13.82</v>
      </c>
      <c r="R207" s="2" t="n">
        <f aca="false">IFERROR(__xludf.dummyfunction("if($T207&lt;&gt;"""",VALUE(REGEXEXTRACT($T207, SUBSTITUTE(R$1, ""+"", ""\+"")&amp;""[\w &amp;]*, (\d+\.\d+)"")),"""")"),17.19)</f>
        <v>17.19</v>
      </c>
      <c r="S207" s="2" t="n">
        <f aca="false">IFERROR(__xludf.dummyfunction("if($T207&lt;&gt;"""",VALUE(REGEXEXTRACT($T207, SUBSTITUTE(S$1, ""+"", ""\+"")&amp;""[\w &amp;]*, (\d+\.\d+)"")),"""")"),18.12)</f>
        <v>18.12</v>
      </c>
      <c r="T207" s="5" t="s">
        <v>416</v>
      </c>
    </row>
    <row r="208" customFormat="false" ht="15.75" hidden="false" customHeight="false" outlineLevel="0" collapsed="false">
      <c r="A208" s="4"/>
      <c r="B208" s="2"/>
      <c r="C208" s="2"/>
      <c r="D208" s="2"/>
      <c r="E208" s="2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2"/>
      <c r="Q208" s="2"/>
      <c r="R208" s="2"/>
      <c r="S208" s="2"/>
      <c r="T208" s="5"/>
    </row>
    <row r="209" customFormat="false" ht="15.75" hidden="false" customHeight="false" outlineLevel="0" collapsed="false">
      <c r="A209" s="4"/>
      <c r="B209" s="2"/>
      <c r="C209" s="2"/>
      <c r="D209" s="2"/>
      <c r="E209" s="2"/>
      <c r="F209" s="3" t="n">
        <f aca="false">IFERROR(__xludf.dummyfunction("if($T209&lt;&gt;"""",VALUE(REGEXEXTRACT(SUBSTITUTE ($T209,F$1&amp;"" CE"",""""), F$1&amp;""[\w &amp;]*, (\d+\.\d+)"")),"""")
"),20)</f>
        <v>20</v>
      </c>
      <c r="G209" s="3" t="n">
        <f aca="false">IFERROR(__xludf.dummyfunction("if($T209&lt;&gt;"""",VALUE(REGEXEXTRACT($T209, G$1&amp;""[\w &amp;]*, (\d+\.\d+)"")),"""")
"),16)</f>
        <v>16</v>
      </c>
      <c r="H209" s="3" t="n">
        <f aca="false">IFERROR(__xludf.dummyfunction("if($T209&lt;&gt;"""",VALUE(REGEXEXTRACT($T209, H$1&amp;""[\w &amp;]*, (\d+\.\d+)"")),"""")
"),21)</f>
        <v>21</v>
      </c>
      <c r="I209" s="3" t="n">
        <f aca="false">IFERROR(__xludf.dummyfunction("if($T209&lt;&gt;"""",VALUE(REGEXEXTRACT(SUBSTITUTE ($T209,I$1&amp;"" CE"",""""), I$1&amp;""[\w &amp;]*, (\d+\.\d+)"")),"""")
"),17)</f>
        <v>17</v>
      </c>
      <c r="J209" s="3" t="n">
        <f aca="false">IFERROR(__xludf.dummyfunction("if($T209&lt;&gt;"""",VALUE(REGEXEXTRACT($T209, J$1&amp;""[\w &amp;]*, (\d+\.\d+)"")),"""")
"),15)</f>
        <v>15</v>
      </c>
      <c r="K209" s="3" t="n">
        <f aca="false">IFERROR(__xludf.dummyfunction("if($T209&lt;&gt;"""",VALUE(REGEXEXTRACT($T209, K$1&amp;""[\w &amp;]*, (\d+\.\d+)"")),"""")
"),14)</f>
        <v>14</v>
      </c>
      <c r="L209" s="3" t="n">
        <f aca="false">IFERROR(__xludf.dummyfunction("if($T209&lt;&gt;"""",VALUE(REGEXEXTRACT(SUBSTITUTE ($T209,L$1&amp;"" CE"",""""), L$1&amp;""[\w &amp;]*, (\d+\.\d+)"")),"""")
"),17.5)</f>
        <v>17.5</v>
      </c>
      <c r="M209" s="3" t="n">
        <f aca="false">IFERROR(__xludf.dummyfunction("if($T209&lt;&gt;"""",VALUE(REGEXEXTRACT($T209, M$1&amp;""[\w &amp;]*, (\d+\.\d+)"")),"""")
"),15)</f>
        <v>15</v>
      </c>
      <c r="N209" s="3" t="n">
        <f aca="false">IFERROR(__xludf.dummyfunction("if($T209&lt;&gt;"""",VALUE(REGEXEXTRACT(SUBSTITUTE ($T209,N$1&amp;"" CE"",""""), N$1&amp;""[\w &amp;]*, (\d+\.\d+)"")),"""")
"),17)</f>
        <v>17</v>
      </c>
      <c r="O209" s="3" t="n">
        <f aca="false">IFERROR(__xludf.dummyfunction("if($T209&lt;&gt;"""",VALUE(REGEXEXTRACT($T209, O$1&amp;""[\w &amp;]*, (\d+\.\d+)"")),"""")
"),15)</f>
        <v>15</v>
      </c>
      <c r="P209" s="2" t="n">
        <f aca="false">IFERROR(__xludf.dummyfunction("if($T209&lt;&gt;"""",VALUE(REGEXEXTRACT($T209, P$1&amp;""[\w &amp;]*, (\d+\.\d+)"")),"""")
"),15.25)</f>
        <v>15.25</v>
      </c>
      <c r="Q209" s="2" t="n">
        <f aca="false">IFERROR(__xludf.dummyfunction("if($T209&lt;&gt;"""",VALUE(REGEXEXTRACT($T209, Q$1&amp;""[\w &amp;]*, (\d+\.\d+)"")),"""")
"),14.38)</f>
        <v>14.38</v>
      </c>
      <c r="R209" s="2" t="n">
        <f aca="false">IFERROR(__xludf.dummyfunction("if($T209&lt;&gt;"""",VALUE(REGEXEXTRACT($T209, SUBSTITUTE(R$1, ""+"", ""\+"")&amp;""[\w &amp;]*, (\d+\.\d+)"")),"""")"),19.45)</f>
        <v>19.45</v>
      </c>
      <c r="S209" s="2" t="n">
        <f aca="false">IFERROR(__xludf.dummyfunction("if($T209&lt;&gt;"""",VALUE(REGEXEXTRACT($T209, SUBSTITUTE(S$1, ""+"", ""\+"")&amp;""[\w &amp;]*, (\d+\.\d+)"")),"""")"),20.32)</f>
        <v>20.32</v>
      </c>
      <c r="T209" s="5" t="s">
        <v>417</v>
      </c>
    </row>
    <row r="210" customFormat="false" ht="15.75" hidden="false" customHeight="false" outlineLevel="0" collapsed="false">
      <c r="A210" s="4"/>
      <c r="B210" s="2"/>
      <c r="C210" s="2"/>
      <c r="D210" s="2"/>
      <c r="E210" s="2"/>
      <c r="F210" s="3" t="n">
        <f aca="false">IFERROR(__xludf.dummyfunction("if($T210&lt;&gt;"""",VALUE(REGEXEXTRACT(SUBSTITUTE ($T210,F$1&amp;"" CE"",""""), F$1&amp;""[\w &amp;]*, (\d+\.\d+)"")),"""")
"),20)</f>
        <v>20</v>
      </c>
      <c r="G210" s="3" t="n">
        <f aca="false">IFERROR(__xludf.dummyfunction("if($T210&lt;&gt;"""",VALUE(REGEXEXTRACT($T210, G$1&amp;""[\w &amp;]*, (\d+\.\d+)"")),"""")
"),20)</f>
        <v>20</v>
      </c>
      <c r="H210" s="3" t="n">
        <f aca="false">IFERROR(__xludf.dummyfunction("if($T210&lt;&gt;"""",VALUE(REGEXEXTRACT($T210, H$1&amp;""[\w &amp;]*, (\d+\.\d+)"")),"""")
"),21)</f>
        <v>21</v>
      </c>
      <c r="I210" s="3" t="n">
        <f aca="false">IFERROR(__xludf.dummyfunction("if($T210&lt;&gt;"""",VALUE(REGEXEXTRACT(SUBSTITUTE ($T210,I$1&amp;"" CE"",""""), I$1&amp;""[\w &amp;]*, (\d+\.\d+)"")),"""")
"),17)</f>
        <v>17</v>
      </c>
      <c r="J210" s="3" t="n">
        <f aca="false">IFERROR(__xludf.dummyfunction("if($T210&lt;&gt;"""",VALUE(REGEXEXTRACT($T210, J$1&amp;""[\w &amp;]*, (\d+\.\d+)"")),"""")
"),17)</f>
        <v>17</v>
      </c>
      <c r="K210" s="3" t="n">
        <f aca="false">IFERROR(__xludf.dummyfunction("if($T210&lt;&gt;"""",VALUE(REGEXEXTRACT($T210, K$1&amp;""[\w &amp;]*, (\d+\.\d+)"")),"""")
"),14)</f>
        <v>14</v>
      </c>
      <c r="L210" s="3" t="n">
        <f aca="false">IFERROR(__xludf.dummyfunction("if($T210&lt;&gt;"""",VALUE(REGEXEXTRACT(SUBSTITUTE ($T210,L$1&amp;"" CE"",""""), L$1&amp;""[\w &amp;]*, (\d+\.\d+)"")),"""")
"),17.5)</f>
        <v>17.5</v>
      </c>
      <c r="M210" s="3" t="n">
        <f aca="false">IFERROR(__xludf.dummyfunction("if($T210&lt;&gt;"""",VALUE(REGEXEXTRACT($T210, M$1&amp;""[\w &amp;]*, (\d+\.\d+)"")),"""")
"),19)</f>
        <v>19</v>
      </c>
      <c r="N210" s="3" t="n">
        <f aca="false">IFERROR(__xludf.dummyfunction("if($T210&lt;&gt;"""",VALUE(REGEXEXTRACT(SUBSTITUTE ($T210,N$1&amp;"" CE"",""""), N$1&amp;""[\w &amp;]*, (\d+\.\d+)"")),"""")
"),17)</f>
        <v>17</v>
      </c>
      <c r="O210" s="3" t="n">
        <f aca="false">IFERROR(__xludf.dummyfunction("if($T210&lt;&gt;"""",VALUE(REGEXEXTRACT($T210, O$1&amp;""[\w &amp;]*, (\d+\.\d+)"")),"""")
"),17)</f>
        <v>17</v>
      </c>
      <c r="P210" s="2" t="n">
        <f aca="false">IFERROR(__xludf.dummyfunction("if($T210&lt;&gt;"""",VALUE(REGEXEXTRACT($T210, P$1&amp;""[\w &amp;]*, (\d+\.\d+)"")),"""")
"),16.72)</f>
        <v>16.72</v>
      </c>
      <c r="Q210" s="2" t="n">
        <f aca="false">IFERROR(__xludf.dummyfunction("if($T210&lt;&gt;"""",VALUE(REGEXEXTRACT($T210, Q$1&amp;""[\w &amp;]*, (\d+\.\d+)"")),"""")
"),15.36)</f>
        <v>15.36</v>
      </c>
      <c r="R210" s="2" t="n">
        <f aca="false">IFERROR(__xludf.dummyfunction("if($T210&lt;&gt;"""",VALUE(REGEXEXTRACT($T210, SUBSTITUTE(R$1, ""+"", ""\+"")&amp;""[\w &amp;]*, (\d+\.\d+)"")),"""")"),18.08)</f>
        <v>18.08</v>
      </c>
      <c r="S210" s="2" t="n">
        <f aca="false">IFERROR(__xludf.dummyfunction("if($T210&lt;&gt;"""",VALUE(REGEXEXTRACT($T210, SUBSTITUTE(S$1, ""+"", ""\+"")&amp;""[\w &amp;]*, (\d+\.\d+)"")),"""")"),19.44)</f>
        <v>19.44</v>
      </c>
      <c r="T210" s="5" t="s">
        <v>418</v>
      </c>
    </row>
    <row r="211" customFormat="false" ht="15.75" hidden="false" customHeight="false" outlineLevel="0" collapsed="false">
      <c r="A211" s="4"/>
      <c r="B211" s="2"/>
      <c r="C211" s="2"/>
      <c r="D211" s="2"/>
      <c r="E211" s="2"/>
      <c r="F211" s="3" t="str">
        <f aca="false">IFERROR(__xludf.dummyfunction("if($T211&lt;&gt;"""",VALUE(REGEXEXTRACT(SUBSTITUTE ($T211,F$1&amp;"" CE"",""""), F$1&amp;""[\w &amp;]*, (\d+\.\d+)"")),"""")
"),"")</f>
        <v/>
      </c>
      <c r="G211" s="3" t="str">
        <f aca="false">IFERROR(__xludf.dummyfunction("if($T211&lt;&gt;"""",VALUE(REGEXEXTRACT($T211, G$1&amp;""[\w &amp;]*, (\d+\.\d+)"")),"""")
"),"")</f>
        <v/>
      </c>
      <c r="H211" s="3" t="str">
        <f aca="false">IFERROR(__xludf.dummyfunction("if($T211&lt;&gt;"""",VALUE(REGEXEXTRACT($T211, H$1&amp;""[\w &amp;]*, (\d+\.\d+)"")),"""")
"),"")</f>
        <v/>
      </c>
      <c r="I211" s="3" t="str">
        <f aca="false">IFERROR(__xludf.dummyfunction("if($T211&lt;&gt;"""",VALUE(REGEXEXTRACT(SUBSTITUTE ($T211,I$1&amp;"" CE"",""""), I$1&amp;""[\w &amp;]*, (\d+\.\d+)"")),"""")
"),"")</f>
        <v/>
      </c>
      <c r="J211" s="3" t="str">
        <f aca="false">IFERROR(__xludf.dummyfunction("if($T211&lt;&gt;"""",VALUE(REGEXEXTRACT($T211, J$1&amp;""[\w &amp;]*, (\d+\.\d+)"")),"""")
"),"")</f>
        <v/>
      </c>
      <c r="K211" s="3" t="str">
        <f aca="false">IFERROR(__xludf.dummyfunction("if($T211&lt;&gt;"""",VALUE(REGEXEXTRACT($T211, K$1&amp;""[\w &amp;]*, (\d+\.\d+)"")),"""")
"),"")</f>
        <v/>
      </c>
      <c r="L211" s="3" t="str">
        <f aca="false">IFERROR(__xludf.dummyfunction("if($T211&lt;&gt;"""",VALUE(REGEXEXTRACT(SUBSTITUTE ($T211,L$1&amp;"" CE"",""""), L$1&amp;""[\w &amp;]*, (\d+\.\d+)"")),"""")
"),"")</f>
        <v/>
      </c>
      <c r="M211" s="3" t="str">
        <f aca="false">IFERROR(__xludf.dummyfunction("if($T211&lt;&gt;"""",VALUE(REGEXEXTRACT($T211, M$1&amp;""[\w &amp;]*, (\d+\.\d+)"")),"""")
"),"")</f>
        <v/>
      </c>
      <c r="N211" s="3" t="str">
        <f aca="false">IFERROR(__xludf.dummyfunction("if($T211&lt;&gt;"""",VALUE(REGEXEXTRACT(SUBSTITUTE ($T211,N$1&amp;"" CE"",""""), N$1&amp;""[\w &amp;]*, (\d+\.\d+)"")),"""")
"),"")</f>
        <v/>
      </c>
      <c r="O211" s="3" t="str">
        <f aca="false">IFERROR(__xludf.dummyfunction("if($T211&lt;&gt;"""",VALUE(REGEXEXTRACT($T211, O$1&amp;""[\w &amp;]*, (\d+\.\d+)"")),"""")
"),"")</f>
        <v/>
      </c>
      <c r="P211" s="2" t="str">
        <f aca="false">IFERROR(__xludf.dummyfunction("if($T211&lt;&gt;"""",VALUE(REGEXEXTRACT($T211, P$1&amp;""[\w &amp;]*, (\d+\.\d+)"")),"""")
"),"")</f>
        <v/>
      </c>
      <c r="Q211" s="2" t="str">
        <f aca="false">IFERROR(__xludf.dummyfunction("if($T211&lt;&gt;"""",VALUE(REGEXEXTRACT($T211, Q$1&amp;""[\w &amp;]*, (\d+\.\d+)"")),"""")
"),"")</f>
        <v/>
      </c>
      <c r="R211" s="2" t="str">
        <f aca="false">IFERROR(__xludf.dummyfunction("if($T211&lt;&gt;"""",VALUE(REGEXEXTRACT($T211, SUBSTITUTE(R$1, ""+"", ""\+"")&amp;""[\w &amp;]*, (\d+\.\d+)"")),"""")"),"")</f>
        <v/>
      </c>
      <c r="S211" s="2" t="str">
        <f aca="false">IFERROR(__xludf.dummyfunction("if($T211&lt;&gt;"""",VALUE(REGEXEXTRACT($T211, SUBSTITUTE(S$1, ""+"", ""\+"")&amp;""[\w &amp;]*, (\d+\.\d+)"")),"""")"),"")</f>
        <v/>
      </c>
      <c r="T211" s="5"/>
    </row>
    <row r="212" customFormat="false" ht="15.75" hidden="false" customHeight="false" outlineLevel="0" collapsed="false">
      <c r="A212" s="4"/>
      <c r="B212" s="2"/>
      <c r="C212" s="2"/>
      <c r="D212" s="2"/>
      <c r="E212" s="2"/>
      <c r="F212" s="3" t="str">
        <f aca="false">IFERROR(__xludf.dummyfunction("if($T212&lt;&gt;"""",VALUE(REGEXEXTRACT(SUBSTITUTE ($T212,F$1&amp;"" CE"",""""), F$1&amp;""[\w &amp;]*, (\d+\.\d+)"")),"""")
"),"")</f>
        <v/>
      </c>
      <c r="G212" s="3" t="str">
        <f aca="false">IFERROR(__xludf.dummyfunction("if($T212&lt;&gt;"""",VALUE(REGEXEXTRACT($T212, G$1&amp;""[\w &amp;]*, (\d+\.\d+)"")),"""")
"),"")</f>
        <v/>
      </c>
      <c r="H212" s="3" t="str">
        <f aca="false">IFERROR(__xludf.dummyfunction("if($T212&lt;&gt;"""",VALUE(REGEXEXTRACT($T212, H$1&amp;""[\w &amp;]*, (\d+\.\d+)"")),"""")
"),"")</f>
        <v/>
      </c>
      <c r="I212" s="3" t="str">
        <f aca="false">IFERROR(__xludf.dummyfunction("if($T212&lt;&gt;"""",VALUE(REGEXEXTRACT(SUBSTITUTE ($T212,I$1&amp;"" CE"",""""), I$1&amp;""[\w &amp;]*, (\d+\.\d+)"")),"""")
"),"")</f>
        <v/>
      </c>
      <c r="J212" s="3" t="str">
        <f aca="false">IFERROR(__xludf.dummyfunction("if($T212&lt;&gt;"""",VALUE(REGEXEXTRACT($T212, J$1&amp;""[\w &amp;]*, (\d+\.\d+)"")),"""")
"),"")</f>
        <v/>
      </c>
      <c r="K212" s="3" t="str">
        <f aca="false">IFERROR(__xludf.dummyfunction("if($T212&lt;&gt;"""",VALUE(REGEXEXTRACT($T212, K$1&amp;""[\w &amp;]*, (\d+\.\d+)"")),"""")
"),"")</f>
        <v/>
      </c>
      <c r="L212" s="3" t="str">
        <f aca="false">IFERROR(__xludf.dummyfunction("if($T212&lt;&gt;"""",VALUE(REGEXEXTRACT(SUBSTITUTE ($T212,L$1&amp;"" CE"",""""), L$1&amp;""[\w &amp;]*, (\d+\.\d+)"")),"""")
"),"")</f>
        <v/>
      </c>
      <c r="M212" s="3" t="str">
        <f aca="false">IFERROR(__xludf.dummyfunction("if($T212&lt;&gt;"""",VALUE(REGEXEXTRACT($T212, M$1&amp;""[\w &amp;]*, (\d+\.\d+)"")),"""")
"),"")</f>
        <v/>
      </c>
      <c r="N212" s="3" t="str">
        <f aca="false">IFERROR(__xludf.dummyfunction("if($T212&lt;&gt;"""",VALUE(REGEXEXTRACT(SUBSTITUTE ($T212,N$1&amp;"" CE"",""""), N$1&amp;""[\w &amp;]*, (\d+\.\d+)"")),"""")
"),"")</f>
        <v/>
      </c>
      <c r="O212" s="3" t="str">
        <f aca="false">IFERROR(__xludf.dummyfunction("if($T212&lt;&gt;"""",VALUE(REGEXEXTRACT($T212, O$1&amp;""[\w &amp;]*, (\d+\.\d+)"")),"""")
"),"")</f>
        <v/>
      </c>
      <c r="P212" s="2" t="str">
        <f aca="false">IFERROR(__xludf.dummyfunction("if($T212&lt;&gt;"""",VALUE(REGEXEXTRACT($T212, P$1&amp;""[\w &amp;]*, (\d+\.\d+)"")),"""")
"),"")</f>
        <v/>
      </c>
      <c r="Q212" s="2" t="str">
        <f aca="false">IFERROR(__xludf.dummyfunction("if($T212&lt;&gt;"""",VALUE(REGEXEXTRACT($T212, Q$1&amp;""[\w &amp;]*, (\d+\.\d+)"")),"""")
"),"")</f>
        <v/>
      </c>
      <c r="R212" s="2" t="str">
        <f aca="false">IFERROR(__xludf.dummyfunction("if($T212&lt;&gt;"""",VALUE(REGEXEXTRACT($T212, SUBSTITUTE(R$1, ""+"", ""\+"")&amp;""[\w &amp;]*, (\d+\.\d+)"")),"""")"),"")</f>
        <v/>
      </c>
      <c r="S212" s="2" t="str">
        <f aca="false">IFERROR(__xludf.dummyfunction("if($T212&lt;&gt;"""",VALUE(REGEXEXTRACT($T212, SUBSTITUTE(S$1, ""+"", ""\+"")&amp;""[\w &amp;]*, (\d+\.\d+)"")),"""")"),"")</f>
        <v/>
      </c>
      <c r="T212" s="5"/>
    </row>
    <row r="213" customFormat="false" ht="15.75" hidden="false" customHeight="false" outlineLevel="0" collapsed="false">
      <c r="A213" s="4"/>
      <c r="B213" s="2"/>
      <c r="C213" s="2"/>
      <c r="D213" s="2"/>
      <c r="E213" s="2"/>
      <c r="F213" s="3" t="str">
        <f aca="false">IFERROR(__xludf.dummyfunction("if($T213&lt;&gt;"""",VALUE(REGEXEXTRACT(SUBSTITUTE ($T213,F$1&amp;"" CE"",""""), F$1&amp;""[\w &amp;]*, (\d+\.\d+)"")),"""")
"),"")</f>
        <v/>
      </c>
      <c r="G213" s="3" t="str">
        <f aca="false">IFERROR(__xludf.dummyfunction("if($T213&lt;&gt;"""",VALUE(REGEXEXTRACT($T213, G$1&amp;""[\w &amp;]*, (\d+\.\d+)"")),"""")
"),"")</f>
        <v/>
      </c>
      <c r="H213" s="3" t="str">
        <f aca="false">IFERROR(__xludf.dummyfunction("if($T213&lt;&gt;"""",VALUE(REGEXEXTRACT($T213, H$1&amp;""[\w &amp;]*, (\d+\.\d+)"")),"""")
"),"")</f>
        <v/>
      </c>
      <c r="I213" s="3" t="str">
        <f aca="false">IFERROR(__xludf.dummyfunction("if($T213&lt;&gt;"""",VALUE(REGEXEXTRACT(SUBSTITUTE ($T213,I$1&amp;"" CE"",""""), I$1&amp;""[\w &amp;]*, (\d+\.\d+)"")),"""")
"),"")</f>
        <v/>
      </c>
      <c r="J213" s="3" t="str">
        <f aca="false">IFERROR(__xludf.dummyfunction("if($T213&lt;&gt;"""",VALUE(REGEXEXTRACT($T213, J$1&amp;""[\w &amp;]*, (\d+\.\d+)"")),"""")
"),"")</f>
        <v/>
      </c>
      <c r="K213" s="3" t="str">
        <f aca="false">IFERROR(__xludf.dummyfunction("if($T213&lt;&gt;"""",VALUE(REGEXEXTRACT($T213, K$1&amp;""[\w &amp;]*, (\d+\.\d+)"")),"""")
"),"")</f>
        <v/>
      </c>
      <c r="L213" s="3" t="str">
        <f aca="false">IFERROR(__xludf.dummyfunction("if($T213&lt;&gt;"""",VALUE(REGEXEXTRACT(SUBSTITUTE ($T213,L$1&amp;"" CE"",""""), L$1&amp;""[\w &amp;]*, (\d+\.\d+)"")),"""")
"),"")</f>
        <v/>
      </c>
      <c r="M213" s="3" t="str">
        <f aca="false">IFERROR(__xludf.dummyfunction("if($T213&lt;&gt;"""",VALUE(REGEXEXTRACT($T213, M$1&amp;""[\w &amp;]*, (\d+\.\d+)"")),"""")
"),"")</f>
        <v/>
      </c>
      <c r="N213" s="3" t="str">
        <f aca="false">IFERROR(__xludf.dummyfunction("if($T213&lt;&gt;"""",VALUE(REGEXEXTRACT(SUBSTITUTE ($T213,N$1&amp;"" CE"",""""), N$1&amp;""[\w &amp;]*, (\d+\.\d+)"")),"""")
"),"")</f>
        <v/>
      </c>
      <c r="O213" s="3" t="str">
        <f aca="false">IFERROR(__xludf.dummyfunction("if($T213&lt;&gt;"""",VALUE(REGEXEXTRACT($T213, O$1&amp;""[\w &amp;]*, (\d+\.\d+)"")),"""")
"),"")</f>
        <v/>
      </c>
      <c r="P213" s="2" t="str">
        <f aca="false">IFERROR(__xludf.dummyfunction("if($T213&lt;&gt;"""",VALUE(REGEXEXTRACT($T213, P$1&amp;""[\w &amp;]*, (\d+\.\d+)"")),"""")
"),"")</f>
        <v/>
      </c>
      <c r="Q213" s="2" t="str">
        <f aca="false">IFERROR(__xludf.dummyfunction("if($T213&lt;&gt;"""",VALUE(REGEXEXTRACT($T213, Q$1&amp;""[\w &amp;]*, (\d+\.\d+)"")),"""")
"),"")</f>
        <v/>
      </c>
      <c r="R213" s="2" t="str">
        <f aca="false">IFERROR(__xludf.dummyfunction("if($T213&lt;&gt;"""",VALUE(REGEXEXTRACT($T213, SUBSTITUTE(R$1, ""+"", ""\+"")&amp;""[\w &amp;]*, (\d+\.\d+)"")),"""")"),"")</f>
        <v/>
      </c>
      <c r="S213" s="2" t="str">
        <f aca="false">IFERROR(__xludf.dummyfunction("if($T213&lt;&gt;"""",VALUE(REGEXEXTRACT($T213, SUBSTITUTE(S$1, ""+"", ""\+"")&amp;""[\w &amp;]*, (\d+\.\d+)"")),"""")"),"")</f>
        <v/>
      </c>
      <c r="T213" s="5"/>
    </row>
    <row r="214" customFormat="false" ht="15.75" hidden="false" customHeight="false" outlineLevel="0" collapsed="false">
      <c r="A214" s="4"/>
      <c r="B214" s="2"/>
      <c r="C214" s="2"/>
      <c r="D214" s="2"/>
      <c r="E214" s="2"/>
      <c r="F214" s="3" t="str">
        <f aca="false">IFERROR(__xludf.dummyfunction("if($T214&lt;&gt;"""",VALUE(REGEXEXTRACT(SUBSTITUTE ($T214,F$1&amp;"" CE"",""""), F$1&amp;""[\w &amp;]*, (\d+\.\d+)"")),"""")
"),"")</f>
        <v/>
      </c>
      <c r="G214" s="3" t="str">
        <f aca="false">IFERROR(__xludf.dummyfunction("if($T214&lt;&gt;"""",VALUE(REGEXEXTRACT($T214, G$1&amp;""[\w &amp;]*, (\d+\.\d+)"")),"""")
"),"")</f>
        <v/>
      </c>
      <c r="H214" s="3" t="str">
        <f aca="false">IFERROR(__xludf.dummyfunction("if($T214&lt;&gt;"""",VALUE(REGEXEXTRACT($T214, H$1&amp;""[\w &amp;]*, (\d+\.\d+)"")),"""")
"),"")</f>
        <v/>
      </c>
      <c r="I214" s="3" t="str">
        <f aca="false">IFERROR(__xludf.dummyfunction("if($T214&lt;&gt;"""",VALUE(REGEXEXTRACT(SUBSTITUTE ($T214,I$1&amp;"" CE"",""""), I$1&amp;""[\w &amp;]*, (\d+\.\d+)"")),"""")
"),"")</f>
        <v/>
      </c>
      <c r="J214" s="3" t="str">
        <f aca="false">IFERROR(__xludf.dummyfunction("if($T214&lt;&gt;"""",VALUE(REGEXEXTRACT($T214, J$1&amp;""[\w &amp;]*, (\d+\.\d+)"")),"""")
"),"")</f>
        <v/>
      </c>
      <c r="K214" s="3" t="str">
        <f aca="false">IFERROR(__xludf.dummyfunction("if($T214&lt;&gt;"""",VALUE(REGEXEXTRACT($T214, K$1&amp;""[\w &amp;]*, (\d+\.\d+)"")),"""")
"),"")</f>
        <v/>
      </c>
      <c r="L214" s="3" t="str">
        <f aca="false">IFERROR(__xludf.dummyfunction("if($T214&lt;&gt;"""",VALUE(REGEXEXTRACT(SUBSTITUTE ($T214,L$1&amp;"" CE"",""""), L$1&amp;""[\w &amp;]*, (\d+\.\d+)"")),"""")
"),"")</f>
        <v/>
      </c>
      <c r="M214" s="3" t="str">
        <f aca="false">IFERROR(__xludf.dummyfunction("if($T214&lt;&gt;"""",VALUE(REGEXEXTRACT($T214, M$1&amp;""[\w &amp;]*, (\d+\.\d+)"")),"""")
"),"")</f>
        <v/>
      </c>
      <c r="N214" s="3" t="str">
        <f aca="false">IFERROR(__xludf.dummyfunction("if($T214&lt;&gt;"""",VALUE(REGEXEXTRACT(SUBSTITUTE ($T214,N$1&amp;"" CE"",""""), N$1&amp;""[\w &amp;]*, (\d+\.\d+)"")),"""")
"),"")</f>
        <v/>
      </c>
      <c r="O214" s="3" t="str">
        <f aca="false">IFERROR(__xludf.dummyfunction("if($T214&lt;&gt;"""",VALUE(REGEXEXTRACT($T214, O$1&amp;""[\w &amp;]*, (\d+\.\d+)"")),"""")
"),"")</f>
        <v/>
      </c>
      <c r="P214" s="2" t="str">
        <f aca="false">IFERROR(__xludf.dummyfunction("if($T214&lt;&gt;"""",VALUE(REGEXEXTRACT($T214, P$1&amp;""[\w &amp;]*, (\d+\.\d+)"")),"""")
"),"")</f>
        <v/>
      </c>
      <c r="Q214" s="2" t="str">
        <f aca="false">IFERROR(__xludf.dummyfunction("if($T214&lt;&gt;"""",VALUE(REGEXEXTRACT($T214, Q$1&amp;""[\w &amp;]*, (\d+\.\d+)"")),"""")
"),"")</f>
        <v/>
      </c>
      <c r="R214" s="2" t="str">
        <f aca="false">IFERROR(__xludf.dummyfunction("if($T214&lt;&gt;"""",VALUE(REGEXEXTRACT($T214, SUBSTITUTE(R$1, ""+"", ""\+"")&amp;""[\w &amp;]*, (\d+\.\d+)"")),"""")"),"")</f>
        <v/>
      </c>
      <c r="S214" s="2" t="str">
        <f aca="false">IFERROR(__xludf.dummyfunction("if($T214&lt;&gt;"""",VALUE(REGEXEXTRACT($T214, SUBSTITUTE(S$1, ""+"", ""\+"")&amp;""[\w &amp;]*, (\d+\.\d+)"")),"""")"),"")</f>
        <v/>
      </c>
      <c r="T214" s="5"/>
    </row>
    <row r="215" customFormat="false" ht="15.75" hidden="false" customHeight="false" outlineLevel="0" collapsed="false">
      <c r="A215" s="4"/>
      <c r="B215" s="2"/>
      <c r="C215" s="2"/>
      <c r="D215" s="2"/>
      <c r="E215" s="2"/>
      <c r="F215" s="3" t="str">
        <f aca="false">IFERROR(__xludf.dummyfunction("if($T215&lt;&gt;"""",VALUE(REGEXEXTRACT(SUBSTITUTE ($T215,F$1&amp;"" CE"",""""), F$1&amp;""[\w &amp;]*, (\d+\.\d+)"")),"""")
"),"")</f>
        <v/>
      </c>
      <c r="G215" s="3" t="str">
        <f aca="false">IFERROR(__xludf.dummyfunction("if($T215&lt;&gt;"""",VALUE(REGEXEXTRACT($T215, G$1&amp;""[\w &amp;]*, (\d+\.\d+)"")),"""")
"),"")</f>
        <v/>
      </c>
      <c r="H215" s="3" t="str">
        <f aca="false">IFERROR(__xludf.dummyfunction("if($T215&lt;&gt;"""",VALUE(REGEXEXTRACT($T215, H$1&amp;""[\w &amp;]*, (\d+\.\d+)"")),"""")
"),"")</f>
        <v/>
      </c>
      <c r="I215" s="3" t="str">
        <f aca="false">IFERROR(__xludf.dummyfunction("if($T215&lt;&gt;"""",VALUE(REGEXEXTRACT(SUBSTITUTE ($T215,I$1&amp;"" CE"",""""), I$1&amp;""[\w &amp;]*, (\d+\.\d+)"")),"""")
"),"")</f>
        <v/>
      </c>
      <c r="J215" s="3" t="str">
        <f aca="false">IFERROR(__xludf.dummyfunction("if($T215&lt;&gt;"""",VALUE(REGEXEXTRACT($T215, J$1&amp;""[\w &amp;]*, (\d+\.\d+)"")),"""")
"),"")</f>
        <v/>
      </c>
      <c r="K215" s="3" t="str">
        <f aca="false">IFERROR(__xludf.dummyfunction("if($T215&lt;&gt;"""",VALUE(REGEXEXTRACT($T215, K$1&amp;""[\w &amp;]*, (\d+\.\d+)"")),"""")
"),"")</f>
        <v/>
      </c>
      <c r="L215" s="3" t="str">
        <f aca="false">IFERROR(__xludf.dummyfunction("if($T215&lt;&gt;"""",VALUE(REGEXEXTRACT(SUBSTITUTE ($T215,L$1&amp;"" CE"",""""), L$1&amp;""[\w &amp;]*, (\d+\.\d+)"")),"""")
"),"")</f>
        <v/>
      </c>
      <c r="M215" s="3" t="str">
        <f aca="false">IFERROR(__xludf.dummyfunction("if($T215&lt;&gt;"""",VALUE(REGEXEXTRACT($T215, M$1&amp;""[\w &amp;]*, (\d+\.\d+)"")),"""")
"),"")</f>
        <v/>
      </c>
      <c r="N215" s="3" t="str">
        <f aca="false">IFERROR(__xludf.dummyfunction("if($T215&lt;&gt;"""",VALUE(REGEXEXTRACT(SUBSTITUTE ($T215,N$1&amp;"" CE"",""""), N$1&amp;""[\w &amp;]*, (\d+\.\d+)"")),"""")
"),"")</f>
        <v/>
      </c>
      <c r="O215" s="3" t="str">
        <f aca="false">IFERROR(__xludf.dummyfunction("if($T215&lt;&gt;"""",VALUE(REGEXEXTRACT($T215, O$1&amp;""[\w &amp;]*, (\d+\.\d+)"")),"""")
"),"")</f>
        <v/>
      </c>
      <c r="P215" s="2" t="str">
        <f aca="false">IFERROR(__xludf.dummyfunction("if($T215&lt;&gt;"""",VALUE(REGEXEXTRACT($T215, P$1&amp;""[\w &amp;]*, (\d+\.\d+)"")),"""")
"),"")</f>
        <v/>
      </c>
      <c r="Q215" s="2" t="str">
        <f aca="false">IFERROR(__xludf.dummyfunction("if($T215&lt;&gt;"""",VALUE(REGEXEXTRACT($T215, Q$1&amp;""[\w &amp;]*, (\d+\.\d+)"")),"""")
"),"")</f>
        <v/>
      </c>
      <c r="R215" s="2" t="str">
        <f aca="false">IFERROR(__xludf.dummyfunction("if($T215&lt;&gt;"""",VALUE(REGEXEXTRACT($T215, SUBSTITUTE(R$1, ""+"", ""\+"")&amp;""[\w &amp;]*, (\d+\.\d+)"")),"""")"),"")</f>
        <v/>
      </c>
      <c r="S215" s="2" t="str">
        <f aca="false">IFERROR(__xludf.dummyfunction("if($T215&lt;&gt;"""",VALUE(REGEXEXTRACT($T215, SUBSTITUTE(S$1, ""+"", ""\+"")&amp;""[\w &amp;]*, (\d+\.\d+)"")),"""")"),"")</f>
        <v/>
      </c>
      <c r="T215" s="5"/>
    </row>
    <row r="216" customFormat="false" ht="15.75" hidden="false" customHeight="false" outlineLevel="0" collapsed="false">
      <c r="A216" s="4"/>
      <c r="B216" s="2"/>
      <c r="C216" s="2"/>
      <c r="D216" s="2"/>
      <c r="E216" s="2"/>
      <c r="F216" s="3" t="str">
        <f aca="false">IFERROR(__xludf.dummyfunction("if($T216&lt;&gt;"""",VALUE(REGEXEXTRACT(SUBSTITUTE ($T216,F$1&amp;"" CE"",""""), F$1&amp;""[\w &amp;]*, (\d+\.\d+)"")),"""")
"),"")</f>
        <v/>
      </c>
      <c r="G216" s="3" t="str">
        <f aca="false">IFERROR(__xludf.dummyfunction("if($T216&lt;&gt;"""",VALUE(REGEXEXTRACT($T216, G$1&amp;""[\w &amp;]*, (\d+\.\d+)"")),"""")
"),"")</f>
        <v/>
      </c>
      <c r="H216" s="3" t="str">
        <f aca="false">IFERROR(__xludf.dummyfunction("if($T216&lt;&gt;"""",VALUE(REGEXEXTRACT($T216, H$1&amp;""[\w &amp;]*, (\d+\.\d+)"")),"""")
"),"")</f>
        <v/>
      </c>
      <c r="I216" s="3" t="str">
        <f aca="false">IFERROR(__xludf.dummyfunction("if($T216&lt;&gt;"""",VALUE(REGEXEXTRACT(SUBSTITUTE ($T216,I$1&amp;"" CE"",""""), I$1&amp;""[\w &amp;]*, (\d+\.\d+)"")),"""")
"),"")</f>
        <v/>
      </c>
      <c r="J216" s="3" t="str">
        <f aca="false">IFERROR(__xludf.dummyfunction("if($T216&lt;&gt;"""",VALUE(REGEXEXTRACT($T216, J$1&amp;""[\w &amp;]*, (\d+\.\d+)"")),"""")
"),"")</f>
        <v/>
      </c>
      <c r="K216" s="3" t="str">
        <f aca="false">IFERROR(__xludf.dummyfunction("if($T216&lt;&gt;"""",VALUE(REGEXEXTRACT($T216, K$1&amp;""[\w &amp;]*, (\d+\.\d+)"")),"""")
"),"")</f>
        <v/>
      </c>
      <c r="L216" s="3" t="str">
        <f aca="false">IFERROR(__xludf.dummyfunction("if($T216&lt;&gt;"""",VALUE(REGEXEXTRACT(SUBSTITUTE ($T216,L$1&amp;"" CE"",""""), L$1&amp;""[\w &amp;]*, (\d+\.\d+)"")),"""")
"),"")</f>
        <v/>
      </c>
      <c r="M216" s="3" t="str">
        <f aca="false">IFERROR(__xludf.dummyfunction("if($T216&lt;&gt;"""",VALUE(REGEXEXTRACT($T216, M$1&amp;""[\w &amp;]*, (\d+\.\d+)"")),"""")
"),"")</f>
        <v/>
      </c>
      <c r="N216" s="3" t="str">
        <f aca="false">IFERROR(__xludf.dummyfunction("if($T216&lt;&gt;"""",VALUE(REGEXEXTRACT(SUBSTITUTE ($T216,N$1&amp;"" CE"",""""), N$1&amp;""[\w &amp;]*, (\d+\.\d+)"")),"""")
"),"")</f>
        <v/>
      </c>
      <c r="O216" s="3" t="str">
        <f aca="false">IFERROR(__xludf.dummyfunction("if($T216&lt;&gt;"""",VALUE(REGEXEXTRACT($T216, O$1&amp;""[\w &amp;]*, (\d+\.\d+)"")),"""")
"),"")</f>
        <v/>
      </c>
      <c r="P216" s="2" t="str">
        <f aca="false">IFERROR(__xludf.dummyfunction("if($T216&lt;&gt;"""",VALUE(REGEXEXTRACT($T216, P$1&amp;""[\w &amp;]*, (\d+\.\d+)"")),"""")
"),"")</f>
        <v/>
      </c>
      <c r="Q216" s="2" t="str">
        <f aca="false">IFERROR(__xludf.dummyfunction("if($T216&lt;&gt;"""",VALUE(REGEXEXTRACT($T216, Q$1&amp;""[\w &amp;]*, (\d+\.\d+)"")),"""")
"),"")</f>
        <v/>
      </c>
      <c r="R216" s="2" t="str">
        <f aca="false">IFERROR(__xludf.dummyfunction("if($T216&lt;&gt;"""",VALUE(REGEXEXTRACT($T216, SUBSTITUTE(R$1, ""+"", ""\+"")&amp;""[\w &amp;]*, (\d+\.\d+)"")),"""")"),"")</f>
        <v/>
      </c>
      <c r="S216" s="2" t="str">
        <f aca="false">IFERROR(__xludf.dummyfunction("if($T216&lt;&gt;"""",VALUE(REGEXEXTRACT($T216, SUBSTITUTE(S$1, ""+"", ""\+"")&amp;""[\w &amp;]*, (\d+\.\d+)"")),"""")"),"")</f>
        <v/>
      </c>
      <c r="T216" s="5"/>
    </row>
    <row r="217" customFormat="false" ht="15.75" hidden="false" customHeight="false" outlineLevel="0" collapsed="false">
      <c r="A217" s="4"/>
      <c r="B217" s="2"/>
      <c r="C217" s="2"/>
      <c r="D217" s="2"/>
      <c r="E217" s="2"/>
      <c r="F217" s="3" t="str">
        <f aca="false">IFERROR(__xludf.dummyfunction("if($T217&lt;&gt;"""",VALUE(REGEXEXTRACT(SUBSTITUTE ($T217,F$1&amp;"" CE"",""""), F$1&amp;""[\w &amp;]*, (\d+\.\d+)"")),"""")
"),"")</f>
        <v/>
      </c>
      <c r="G217" s="3" t="str">
        <f aca="false">IFERROR(__xludf.dummyfunction("if($T217&lt;&gt;"""",VALUE(REGEXEXTRACT($T217, G$1&amp;""[\w &amp;]*, (\d+\.\d+)"")),"""")
"),"")</f>
        <v/>
      </c>
      <c r="H217" s="3" t="str">
        <f aca="false">IFERROR(__xludf.dummyfunction("if($T217&lt;&gt;"""",VALUE(REGEXEXTRACT($T217, H$1&amp;""[\w &amp;]*, (\d+\.\d+)"")),"""")
"),"")</f>
        <v/>
      </c>
      <c r="I217" s="3" t="str">
        <f aca="false">IFERROR(__xludf.dummyfunction("if($T217&lt;&gt;"""",VALUE(REGEXEXTRACT(SUBSTITUTE ($T217,I$1&amp;"" CE"",""""), I$1&amp;""[\w &amp;]*, (\d+\.\d+)"")),"""")
"),"")</f>
        <v/>
      </c>
      <c r="J217" s="3" t="str">
        <f aca="false">IFERROR(__xludf.dummyfunction("if($T217&lt;&gt;"""",VALUE(REGEXEXTRACT($T217, J$1&amp;""[\w &amp;]*, (\d+\.\d+)"")),"""")
"),"")</f>
        <v/>
      </c>
      <c r="K217" s="3" t="str">
        <f aca="false">IFERROR(__xludf.dummyfunction("if($T217&lt;&gt;"""",VALUE(REGEXEXTRACT($T217, K$1&amp;""[\w &amp;]*, (\d+\.\d+)"")),"""")
"),"")</f>
        <v/>
      </c>
      <c r="L217" s="3" t="str">
        <f aca="false">IFERROR(__xludf.dummyfunction("if($T217&lt;&gt;"""",VALUE(REGEXEXTRACT(SUBSTITUTE ($T217,L$1&amp;"" CE"",""""), L$1&amp;""[\w &amp;]*, (\d+\.\d+)"")),"""")
"),"")</f>
        <v/>
      </c>
      <c r="M217" s="3" t="str">
        <f aca="false">IFERROR(__xludf.dummyfunction("if($T217&lt;&gt;"""",VALUE(REGEXEXTRACT($T217, M$1&amp;""[\w &amp;]*, (\d+\.\d+)"")),"""")
"),"")</f>
        <v/>
      </c>
      <c r="N217" s="3" t="str">
        <f aca="false">IFERROR(__xludf.dummyfunction("if($T217&lt;&gt;"""",VALUE(REGEXEXTRACT(SUBSTITUTE ($T217,N$1&amp;"" CE"",""""), N$1&amp;""[\w &amp;]*, (\d+\.\d+)"")),"""")
"),"")</f>
        <v/>
      </c>
      <c r="O217" s="3" t="str">
        <f aca="false">IFERROR(__xludf.dummyfunction("if($T217&lt;&gt;"""",VALUE(REGEXEXTRACT($T217, O$1&amp;""[\w &amp;]*, (\d+\.\d+)"")),"""")
"),"")</f>
        <v/>
      </c>
      <c r="P217" s="2" t="str">
        <f aca="false">IFERROR(__xludf.dummyfunction("if($T217&lt;&gt;"""",VALUE(REGEXEXTRACT($T217, P$1&amp;""[\w &amp;]*, (\d+\.\d+)"")),"""")
"),"")</f>
        <v/>
      </c>
      <c r="Q217" s="2" t="str">
        <f aca="false">IFERROR(__xludf.dummyfunction("if($T217&lt;&gt;"""",VALUE(REGEXEXTRACT($T217, Q$1&amp;""[\w &amp;]*, (\d+\.\d+)"")),"""")
"),"")</f>
        <v/>
      </c>
      <c r="R217" s="2" t="str">
        <f aca="false">IFERROR(__xludf.dummyfunction("if($T217&lt;&gt;"""",VALUE(REGEXEXTRACT($T217, SUBSTITUTE(R$1, ""+"", ""\+"")&amp;""[\w &amp;]*, (\d+\.\d+)"")),"""")"),"")</f>
        <v/>
      </c>
      <c r="S217" s="2" t="str">
        <f aca="false">IFERROR(__xludf.dummyfunction("if($T217&lt;&gt;"""",VALUE(REGEXEXTRACT($T217, SUBSTITUTE(S$1, ""+"", ""\+"")&amp;""[\w &amp;]*, (\d+\.\d+)"")),"""")"),"")</f>
        <v/>
      </c>
      <c r="T217" s="5"/>
    </row>
    <row r="218" customFormat="false" ht="15.75" hidden="false" customHeight="false" outlineLevel="0" collapsed="false">
      <c r="A218" s="4"/>
      <c r="B218" s="2"/>
      <c r="C218" s="2"/>
      <c r="D218" s="2"/>
      <c r="E218" s="2"/>
      <c r="F218" s="3" t="str">
        <f aca="false">IFERROR(__xludf.dummyfunction("if($T218&lt;&gt;"""",VALUE(REGEXEXTRACT(SUBSTITUTE ($T218,F$1&amp;"" CE"",""""), F$1&amp;""[\w &amp;]*, (\d+\.\d+)"")),"""")
"),"")</f>
        <v/>
      </c>
      <c r="G218" s="3" t="str">
        <f aca="false">IFERROR(__xludf.dummyfunction("if($T218&lt;&gt;"""",VALUE(REGEXEXTRACT($T218, G$1&amp;""[\w &amp;]*, (\d+\.\d+)"")),"""")
"),"")</f>
        <v/>
      </c>
      <c r="H218" s="3" t="str">
        <f aca="false">IFERROR(__xludf.dummyfunction("if($T218&lt;&gt;"""",VALUE(REGEXEXTRACT($T218, H$1&amp;""[\w &amp;]*, (\d+\.\d+)"")),"""")
"),"")</f>
        <v/>
      </c>
      <c r="I218" s="3" t="str">
        <f aca="false">IFERROR(__xludf.dummyfunction("if($T218&lt;&gt;"""",VALUE(REGEXEXTRACT(SUBSTITUTE ($T218,I$1&amp;"" CE"",""""), I$1&amp;""[\w &amp;]*, (\d+\.\d+)"")),"""")
"),"")</f>
        <v/>
      </c>
      <c r="J218" s="3" t="str">
        <f aca="false">IFERROR(__xludf.dummyfunction("if($T218&lt;&gt;"""",VALUE(REGEXEXTRACT($T218, J$1&amp;""[\w &amp;]*, (\d+\.\d+)"")),"""")
"),"")</f>
        <v/>
      </c>
      <c r="K218" s="3" t="str">
        <f aca="false">IFERROR(__xludf.dummyfunction("if($T218&lt;&gt;"""",VALUE(REGEXEXTRACT($T218, K$1&amp;""[\w &amp;]*, (\d+\.\d+)"")),"""")
"),"")</f>
        <v/>
      </c>
      <c r="L218" s="3" t="str">
        <f aca="false">IFERROR(__xludf.dummyfunction("if($T218&lt;&gt;"""",VALUE(REGEXEXTRACT(SUBSTITUTE ($T218,L$1&amp;"" CE"",""""), L$1&amp;""[\w &amp;]*, (\d+\.\d+)"")),"""")
"),"")</f>
        <v/>
      </c>
      <c r="M218" s="3" t="str">
        <f aca="false">IFERROR(__xludf.dummyfunction("if($T218&lt;&gt;"""",VALUE(REGEXEXTRACT($T218, M$1&amp;""[\w &amp;]*, (\d+\.\d+)"")),"""")
"),"")</f>
        <v/>
      </c>
      <c r="N218" s="3" t="str">
        <f aca="false">IFERROR(__xludf.dummyfunction("if($T218&lt;&gt;"""",VALUE(REGEXEXTRACT(SUBSTITUTE ($T218,N$1&amp;"" CE"",""""), N$1&amp;""[\w &amp;]*, (\d+\.\d+)"")),"""")
"),"")</f>
        <v/>
      </c>
      <c r="O218" s="3" t="str">
        <f aca="false">IFERROR(__xludf.dummyfunction("if($T218&lt;&gt;"""",VALUE(REGEXEXTRACT($T218, O$1&amp;""[\w &amp;]*, (\d+\.\d+)"")),"""")
"),"")</f>
        <v/>
      </c>
      <c r="P218" s="2" t="str">
        <f aca="false">IFERROR(__xludf.dummyfunction("if($T218&lt;&gt;"""",VALUE(REGEXEXTRACT($T218, P$1&amp;""[\w &amp;]*, (\d+\.\d+)"")),"""")
"),"")</f>
        <v/>
      </c>
      <c r="Q218" s="2" t="str">
        <f aca="false">IFERROR(__xludf.dummyfunction("if($T218&lt;&gt;"""",VALUE(REGEXEXTRACT($T218, Q$1&amp;""[\w &amp;]*, (\d+\.\d+)"")),"""")
"),"")</f>
        <v/>
      </c>
      <c r="R218" s="2" t="str">
        <f aca="false">IFERROR(__xludf.dummyfunction("if($T218&lt;&gt;"""",VALUE(REGEXEXTRACT($T218, SUBSTITUTE(R$1, ""+"", ""\+"")&amp;""[\w &amp;]*, (\d+\.\d+)"")),"""")"),"")</f>
        <v/>
      </c>
      <c r="S218" s="2" t="str">
        <f aca="false">IFERROR(__xludf.dummyfunction("if($T218&lt;&gt;"""",VALUE(REGEXEXTRACT($T218, SUBSTITUTE(S$1, ""+"", ""\+"")&amp;""[\w &amp;]*, (\d+\.\d+)"")),"""")"),"")</f>
        <v/>
      </c>
      <c r="T218" s="5"/>
    </row>
    <row r="219" customFormat="false" ht="15.75" hidden="false" customHeight="false" outlineLevel="0" collapsed="false">
      <c r="A219" s="4"/>
      <c r="B219" s="2"/>
      <c r="C219" s="2"/>
      <c r="D219" s="2"/>
      <c r="E219" s="2"/>
      <c r="F219" s="3" t="str">
        <f aca="false">IFERROR(__xludf.dummyfunction("if($T219&lt;&gt;"""",VALUE(REGEXEXTRACT(SUBSTITUTE ($T219,F$1&amp;"" CE"",""""), F$1&amp;""[\w &amp;]*, (\d+\.\d+)"")),"""")
"),"")</f>
        <v/>
      </c>
      <c r="G219" s="3" t="str">
        <f aca="false">IFERROR(__xludf.dummyfunction("if($T219&lt;&gt;"""",VALUE(REGEXEXTRACT($T219, G$1&amp;""[\w &amp;]*, (\d+\.\d+)"")),"""")
"),"")</f>
        <v/>
      </c>
      <c r="H219" s="3"/>
      <c r="I219" s="3" t="str">
        <f aca="false">IFERROR(__xludf.dummyfunction("if($T219&lt;&gt;"""",VALUE(REGEXEXTRACT(SUBSTITUTE ($T219,I$1&amp;"" CE"",""""), I$1&amp;""[\w &amp;]*, (\d+\.\d+)"")),"""")
"),"")</f>
        <v/>
      </c>
      <c r="J219" s="3" t="str">
        <f aca="false">IFERROR(__xludf.dummyfunction("if($T219&lt;&gt;"""",VALUE(REGEXEXTRACT($T219, J$1&amp;""[\w &amp;]*, (\d+\.\d+)"")),"""")
"),"")</f>
        <v/>
      </c>
      <c r="K219" s="3"/>
      <c r="L219" s="3" t="str">
        <f aca="false">IFERROR(__xludf.dummyfunction("if($T219&lt;&gt;"""",VALUE(REGEXEXTRACT(SUBSTITUTE ($T219,L$1&amp;"" CE"",""""), L$1&amp;""[\w &amp;]*, (\d+\.\d+)"")),"""")
"),"")</f>
        <v/>
      </c>
      <c r="M219" s="3" t="str">
        <f aca="false">IFERROR(__xludf.dummyfunction("if($T219&lt;&gt;"""",VALUE(REGEXEXTRACT($T219, M$1&amp;""[\w &amp;]*, (\d+\.\d+)"")),"""")
"),"")</f>
        <v/>
      </c>
      <c r="N219" s="3" t="str">
        <f aca="false">IFERROR(__xludf.dummyfunction("if($T219&lt;&gt;"""",VALUE(REGEXEXTRACT(SUBSTITUTE ($T219,N$1&amp;"" CE"",""""), N$1&amp;""[\w &amp;]*, (\d+\.\d+)"")),"""")
"),"")</f>
        <v/>
      </c>
      <c r="O219" s="3" t="str">
        <f aca="false">IFERROR(__xludf.dummyfunction("if($T219&lt;&gt;"""",VALUE(REGEXEXTRACT($T219, O$1&amp;""[\w &amp;]*, (\d+\.\d+)"")),"""")
"),"")</f>
        <v/>
      </c>
      <c r="P219" s="2"/>
      <c r="Q219" s="2"/>
      <c r="R219" s="2"/>
      <c r="S219" s="2"/>
      <c r="T219" s="5"/>
    </row>
    <row r="220" customFormat="false" ht="15.75" hidden="false" customHeight="false" outlineLevel="0" collapsed="false">
      <c r="A220" s="4"/>
      <c r="B220" s="2"/>
      <c r="C220" s="2"/>
      <c r="D220" s="2"/>
      <c r="E220" s="2"/>
      <c r="F220" s="3" t="str">
        <f aca="false">IFERROR(__xludf.dummyfunction("if($T220&lt;&gt;"""",VALUE(REGEXEXTRACT(SUBSTITUTE ($T220,F$1&amp;"" CE"",""""), F$1&amp;""[\w &amp;]*, (\d+\.\d+)"")),"""")
"),"")</f>
        <v/>
      </c>
      <c r="G220" s="3" t="str">
        <f aca="false">IFERROR(__xludf.dummyfunction("if($T220&lt;&gt;"""",VALUE(REGEXEXTRACT($T220, G$1&amp;""[\w &amp;]*, (\d+\.\d+)"")),"""")
"),"")</f>
        <v/>
      </c>
      <c r="H220" s="3"/>
      <c r="I220" s="3" t="str">
        <f aca="false">IFERROR(__xludf.dummyfunction("if($T220&lt;&gt;"""",VALUE(REGEXEXTRACT(SUBSTITUTE ($T220,I$1&amp;"" CE"",""""), I$1&amp;""[\w &amp;]*, (\d+\.\d+)"")),"""")
"),"")</f>
        <v/>
      </c>
      <c r="J220" s="3" t="str">
        <f aca="false">IFERROR(__xludf.dummyfunction("if($T220&lt;&gt;"""",VALUE(REGEXEXTRACT($T220, J$1&amp;""[\w &amp;]*, (\d+\.\d+)"")),"""")
"),"")</f>
        <v/>
      </c>
      <c r="K220" s="3"/>
      <c r="L220" s="3" t="str">
        <f aca="false">IFERROR(__xludf.dummyfunction("if($T220&lt;&gt;"""",VALUE(REGEXEXTRACT(SUBSTITUTE ($T220,L$1&amp;"" CE"",""""), L$1&amp;""[\w &amp;]*, (\d+\.\d+)"")),"""")
"),"")</f>
        <v/>
      </c>
      <c r="M220" s="3" t="str">
        <f aca="false">IFERROR(__xludf.dummyfunction("if($T220&lt;&gt;"""",VALUE(REGEXEXTRACT($T220, M$1&amp;""[\w &amp;]*, (\d+\.\d+)"")),"""")
"),"")</f>
        <v/>
      </c>
      <c r="N220" s="3" t="str">
        <f aca="false">IFERROR(__xludf.dummyfunction("if($T220&lt;&gt;"""",VALUE(REGEXEXTRACT(SUBSTITUTE ($T220,N$1&amp;"" CE"",""""), N$1&amp;""[\w &amp;]*, (\d+\.\d+)"")),"""")
"),"")</f>
        <v/>
      </c>
      <c r="O220" s="3" t="str">
        <f aca="false">IFERROR(__xludf.dummyfunction("if($T220&lt;&gt;"""",VALUE(REGEXEXTRACT($T220, O$1&amp;""[\w &amp;]*, (\d+\.\d+)"")),"""")
"),"")</f>
        <v/>
      </c>
      <c r="P220" s="2"/>
      <c r="Q220" s="2"/>
      <c r="R220" s="2"/>
      <c r="S220" s="2"/>
      <c r="T220" s="5"/>
    </row>
    <row r="221" customFormat="false" ht="15.75" hidden="false" customHeight="false" outlineLevel="0" collapsed="false">
      <c r="A221" s="4"/>
      <c r="B221" s="2"/>
      <c r="C221" s="2"/>
      <c r="D221" s="2"/>
      <c r="E221" s="2"/>
      <c r="F221" s="3" t="str">
        <f aca="false">IFERROR(__xludf.dummyfunction("if($T221&lt;&gt;"""",VALUE(REGEXEXTRACT(SUBSTITUTE ($T221,F$1&amp;"" CE"",""""), F$1&amp;""[\w &amp;]*, (\d+\.\d+)"")),"""")
"),"")</f>
        <v/>
      </c>
      <c r="G221" s="3" t="str">
        <f aca="false">IFERROR(__xludf.dummyfunction("if($T221&lt;&gt;"""",VALUE(REGEXEXTRACT($T221, G$1&amp;""[\w &amp;]*, (\d+\.\d+)"")),"""")
"),"")</f>
        <v/>
      </c>
      <c r="H221" s="3"/>
      <c r="I221" s="3" t="str">
        <f aca="false">IFERROR(__xludf.dummyfunction("if($T221&lt;&gt;"""",VALUE(REGEXEXTRACT(SUBSTITUTE ($T221,I$1&amp;"" CE"",""""), I$1&amp;""[\w &amp;]*, (\d+\.\d+)"")),"""")
"),"")</f>
        <v/>
      </c>
      <c r="J221" s="3" t="str">
        <f aca="false">IFERROR(__xludf.dummyfunction("if($T221&lt;&gt;"""",VALUE(REGEXEXTRACT($T221, J$1&amp;""[\w &amp;]*, (\d+\.\d+)"")),"""")
"),"")</f>
        <v/>
      </c>
      <c r="K221" s="3"/>
      <c r="L221" s="3" t="str">
        <f aca="false">IFERROR(__xludf.dummyfunction("if($T221&lt;&gt;"""",VALUE(REGEXEXTRACT(SUBSTITUTE ($T221,L$1&amp;"" CE"",""""), L$1&amp;""[\w &amp;]*, (\d+\.\d+)"")),"""")
"),"")</f>
        <v/>
      </c>
      <c r="M221" s="3" t="str">
        <f aca="false">IFERROR(__xludf.dummyfunction("if($T221&lt;&gt;"""",VALUE(REGEXEXTRACT($T221, M$1&amp;""[\w &amp;]*, (\d+\.\d+)"")),"""")
"),"")</f>
        <v/>
      </c>
      <c r="N221" s="3" t="str">
        <f aca="false">IFERROR(__xludf.dummyfunction("if($T221&lt;&gt;"""",VALUE(REGEXEXTRACT(SUBSTITUTE ($T221,N$1&amp;"" CE"",""""), N$1&amp;""[\w &amp;]*, (\d+\.\d+)"")),"""")
"),"")</f>
        <v/>
      </c>
      <c r="O221" s="3" t="str">
        <f aca="false">IFERROR(__xludf.dummyfunction("if($T221&lt;&gt;"""",VALUE(REGEXEXTRACT($T221, O$1&amp;""[\w &amp;]*, (\d+\.\d+)"")),"""")
"),"")</f>
        <v/>
      </c>
      <c r="P221" s="2"/>
      <c r="Q221" s="2"/>
      <c r="R221" s="2"/>
      <c r="S221" s="2"/>
      <c r="T221" s="5"/>
    </row>
    <row r="222" customFormat="false" ht="15.75" hidden="false" customHeight="false" outlineLevel="0" collapsed="false">
      <c r="A222" s="4"/>
      <c r="B222" s="2"/>
      <c r="C222" s="2"/>
      <c r="D222" s="2"/>
      <c r="E222" s="2"/>
      <c r="F222" s="3" t="str">
        <f aca="false">IFERROR(__xludf.dummyfunction("if($T222&lt;&gt;"""",VALUE(REGEXEXTRACT(SUBSTITUTE ($T222,F$1&amp;"" CE"",""""), F$1&amp;""[\w &amp;]*, (\d+\.\d+)"")),"""")
"),"")</f>
        <v/>
      </c>
      <c r="G222" s="3" t="str">
        <f aca="false">IFERROR(__xludf.dummyfunction("if($T222&lt;&gt;"""",VALUE(REGEXEXTRACT($T222, G$1&amp;""[\w &amp;]*, (\d+\.\d+)"")),"""")
"),"")</f>
        <v/>
      </c>
      <c r="H222" s="3"/>
      <c r="I222" s="3" t="str">
        <f aca="false">IFERROR(__xludf.dummyfunction("if($T222&lt;&gt;"""",VALUE(REGEXEXTRACT(SUBSTITUTE ($T222,I$1&amp;"" CE"",""""), I$1&amp;""[\w &amp;]*, (\d+\.\d+)"")),"""")
"),"")</f>
        <v/>
      </c>
      <c r="J222" s="3" t="str">
        <f aca="false">IFERROR(__xludf.dummyfunction("if($T222&lt;&gt;"""",VALUE(REGEXEXTRACT($T222, J$1&amp;""[\w &amp;]*, (\d+\.\d+)"")),"""")
"),"")</f>
        <v/>
      </c>
      <c r="K222" s="3"/>
      <c r="L222" s="3" t="str">
        <f aca="false">IFERROR(__xludf.dummyfunction("if($T222&lt;&gt;"""",VALUE(REGEXEXTRACT(SUBSTITUTE ($T222,L$1&amp;"" CE"",""""), L$1&amp;""[\w &amp;]*, (\d+\.\d+)"")),"""")
"),"")</f>
        <v/>
      </c>
      <c r="M222" s="3" t="str">
        <f aca="false">IFERROR(__xludf.dummyfunction("if($T222&lt;&gt;"""",VALUE(REGEXEXTRACT($T222, M$1&amp;""[\w &amp;]*, (\d+\.\d+)"")),"""")
"),"")</f>
        <v/>
      </c>
      <c r="N222" s="3" t="str">
        <f aca="false">IFERROR(__xludf.dummyfunction("if($T222&lt;&gt;"""",VALUE(REGEXEXTRACT(SUBSTITUTE ($T222,N$1&amp;"" CE"",""""), N$1&amp;""[\w &amp;]*, (\d+\.\d+)"")),"""")
"),"")</f>
        <v/>
      </c>
      <c r="O222" s="3" t="str">
        <f aca="false">IFERROR(__xludf.dummyfunction("if($T222&lt;&gt;"""",VALUE(REGEXEXTRACT($T222, O$1&amp;""[\w &amp;]*, (\d+\.\d+)"")),"""")
"),"")</f>
        <v/>
      </c>
      <c r="P222" s="2"/>
      <c r="Q222" s="2"/>
      <c r="R222" s="2"/>
      <c r="S222" s="2"/>
      <c r="T222" s="5"/>
    </row>
    <row r="223" customFormat="false" ht="15.75" hidden="false" customHeight="false" outlineLevel="0" collapsed="false">
      <c r="A223" s="4"/>
      <c r="B223" s="2"/>
      <c r="C223" s="2"/>
      <c r="D223" s="2"/>
      <c r="E223" s="2"/>
      <c r="F223" s="3" t="str">
        <f aca="false">IFERROR(__xludf.dummyfunction("if($T223&lt;&gt;"""",VALUE(REGEXEXTRACT(SUBSTITUTE ($T223,F$1&amp;"" CE"",""""), F$1&amp;""[\w &amp;]*, (\d+\.\d+)"")),"""")
"),"")</f>
        <v/>
      </c>
      <c r="G223" s="3" t="str">
        <f aca="false">IFERROR(__xludf.dummyfunction("if($T223&lt;&gt;"""",VALUE(REGEXEXTRACT($T223, G$1&amp;""[\w &amp;]*, (\d+\.\d+)"")),"""")
"),"")</f>
        <v/>
      </c>
      <c r="H223" s="3"/>
      <c r="I223" s="3" t="str">
        <f aca="false">IFERROR(__xludf.dummyfunction("if($T223&lt;&gt;"""",VALUE(REGEXEXTRACT(SUBSTITUTE ($T223,I$1&amp;"" CE"",""""), I$1&amp;""[\w &amp;]*, (\d+\.\d+)"")),"""")
"),"")</f>
        <v/>
      </c>
      <c r="J223" s="3" t="str">
        <f aca="false">IFERROR(__xludf.dummyfunction("if($T223&lt;&gt;"""",VALUE(REGEXEXTRACT($T223, J$1&amp;""[\w &amp;]*, (\d+\.\d+)"")),"""")
"),"")</f>
        <v/>
      </c>
      <c r="K223" s="3"/>
      <c r="L223" s="3" t="str">
        <f aca="false">IFERROR(__xludf.dummyfunction("if($T223&lt;&gt;"""",VALUE(REGEXEXTRACT(SUBSTITUTE ($T223,L$1&amp;"" CE"",""""), L$1&amp;""[\w &amp;]*, (\d+\.\d+)"")),"""")
"),"")</f>
        <v/>
      </c>
      <c r="M223" s="3" t="str">
        <f aca="false">IFERROR(__xludf.dummyfunction("if($T223&lt;&gt;"""",VALUE(REGEXEXTRACT($T223, M$1&amp;""[\w &amp;]*, (\d+\.\d+)"")),"""")
"),"")</f>
        <v/>
      </c>
      <c r="N223" s="3" t="str">
        <f aca="false">IFERROR(__xludf.dummyfunction("if($T223&lt;&gt;"""",VALUE(REGEXEXTRACT(SUBSTITUTE ($T223,N$1&amp;"" CE"",""""), N$1&amp;""[\w &amp;]*, (\d+\.\d+)"")),"""")
"),"")</f>
        <v/>
      </c>
      <c r="O223" s="3" t="str">
        <f aca="false">IFERROR(__xludf.dummyfunction("if($T223&lt;&gt;"""",VALUE(REGEXEXTRACT($T223, O$1&amp;""[\w &amp;]*, (\d+\.\d+)"")),"""")
"),"")</f>
        <v/>
      </c>
      <c r="P223" s="2"/>
      <c r="Q223" s="2"/>
      <c r="R223" s="2"/>
      <c r="S223" s="2"/>
      <c r="T223" s="5"/>
    </row>
    <row r="224" customFormat="false" ht="15.75" hidden="false" customHeight="false" outlineLevel="0" collapsed="false">
      <c r="A224" s="4"/>
      <c r="B224" s="2"/>
      <c r="C224" s="2"/>
      <c r="D224" s="2"/>
      <c r="E224" s="2"/>
      <c r="F224" s="3" t="str">
        <f aca="false">IFERROR(__xludf.dummyfunction("if($T224&lt;&gt;"""",VALUE(REGEXEXTRACT(SUBSTITUTE ($T224,F$1&amp;"" CE"",""""), F$1&amp;""[\w &amp;]*, (\d+\.\d+)"")),"""")
"),"")</f>
        <v/>
      </c>
      <c r="G224" s="3" t="str">
        <f aca="false">IFERROR(__xludf.dummyfunction("if($T224&lt;&gt;"""",VALUE(REGEXEXTRACT($T224, G$1&amp;""[\w &amp;]*, (\d+\.\d+)"")),"""")
"),"")</f>
        <v/>
      </c>
      <c r="H224" s="3"/>
      <c r="I224" s="3" t="str">
        <f aca="false">IFERROR(__xludf.dummyfunction("if($T224&lt;&gt;"""",VALUE(REGEXEXTRACT(SUBSTITUTE ($T224,I$1&amp;"" CE"",""""), I$1&amp;""[\w &amp;]*, (\d+\.\d+)"")),"""")
"),"")</f>
        <v/>
      </c>
      <c r="J224" s="3" t="str">
        <f aca="false">IFERROR(__xludf.dummyfunction("if($T224&lt;&gt;"""",VALUE(REGEXEXTRACT($T224, J$1&amp;""[\w &amp;]*, (\d+\.\d+)"")),"""")
"),"")</f>
        <v/>
      </c>
      <c r="K224" s="3"/>
      <c r="L224" s="3" t="str">
        <f aca="false">IFERROR(__xludf.dummyfunction("if($T224&lt;&gt;"""",VALUE(REGEXEXTRACT(SUBSTITUTE ($T224,L$1&amp;"" CE"",""""), L$1&amp;""[\w &amp;]*, (\d+\.\d+)"")),"""")
"),"")</f>
        <v/>
      </c>
      <c r="M224" s="3" t="str">
        <f aca="false">IFERROR(__xludf.dummyfunction("if($T224&lt;&gt;"""",VALUE(REGEXEXTRACT($T224, M$1&amp;""[\w &amp;]*, (\d+\.\d+)"")),"""")
"),"")</f>
        <v/>
      </c>
      <c r="N224" s="3" t="str">
        <f aca="false">IFERROR(__xludf.dummyfunction("if($T224&lt;&gt;"""",VALUE(REGEXEXTRACT(SUBSTITUTE ($T224,N$1&amp;"" CE"",""""), N$1&amp;""[\w &amp;]*, (\d+\.\d+)"")),"""")
"),"")</f>
        <v/>
      </c>
      <c r="O224" s="3" t="str">
        <f aca="false">IFERROR(__xludf.dummyfunction("if($T224&lt;&gt;"""",VALUE(REGEXEXTRACT($T224, O$1&amp;""[\w &amp;]*, (\d+\.\d+)"")),"""")
"),"")</f>
        <v/>
      </c>
      <c r="P224" s="2"/>
      <c r="Q224" s="2"/>
      <c r="R224" s="2"/>
      <c r="S224" s="2"/>
      <c r="T224" s="5"/>
    </row>
    <row r="225" customFormat="false" ht="15.75" hidden="false" customHeight="false" outlineLevel="0" collapsed="false">
      <c r="A225" s="4"/>
      <c r="B225" s="2"/>
      <c r="C225" s="2"/>
      <c r="D225" s="2"/>
      <c r="E225" s="2"/>
      <c r="F225" s="3" t="str">
        <f aca="false">IFERROR(__xludf.dummyfunction("if($T225&lt;&gt;"""",VALUE(REGEXEXTRACT(SUBSTITUTE ($T225,F$1&amp;"" CE"",""""), F$1&amp;""[\w &amp;]*, (\d+\.\d+)"")),"""")
"),"")</f>
        <v/>
      </c>
      <c r="G225" s="3" t="str">
        <f aca="false">IFERROR(__xludf.dummyfunction("if($T225&lt;&gt;"""",VALUE(REGEXEXTRACT($T225, G$1&amp;""[\w &amp;]*, (\d+\.\d+)"")),"""")
"),"")</f>
        <v/>
      </c>
      <c r="H225" s="3"/>
      <c r="I225" s="3" t="str">
        <f aca="false">IFERROR(__xludf.dummyfunction("if($T225&lt;&gt;"""",VALUE(REGEXEXTRACT(SUBSTITUTE ($T225,I$1&amp;"" CE"",""""), I$1&amp;""[\w &amp;]*, (\d+\.\d+)"")),"""")
"),"")</f>
        <v/>
      </c>
      <c r="J225" s="3" t="str">
        <f aca="false">IFERROR(__xludf.dummyfunction("if($T225&lt;&gt;"""",VALUE(REGEXEXTRACT($T225, J$1&amp;""[\w &amp;]*, (\d+\.\d+)"")),"""")
"),"")</f>
        <v/>
      </c>
      <c r="K225" s="3"/>
      <c r="L225" s="3" t="str">
        <f aca="false">IFERROR(__xludf.dummyfunction("if($T225&lt;&gt;"""",VALUE(REGEXEXTRACT(SUBSTITUTE ($T225,L$1&amp;"" CE"",""""), L$1&amp;""[\w &amp;]*, (\d+\.\d+)"")),"""")
"),"")</f>
        <v/>
      </c>
      <c r="M225" s="3" t="str">
        <f aca="false">IFERROR(__xludf.dummyfunction("if($T225&lt;&gt;"""",VALUE(REGEXEXTRACT($T225, M$1&amp;""[\w &amp;]*, (\d+\.\d+)"")),"""")
"),"")</f>
        <v/>
      </c>
      <c r="N225" s="3" t="str">
        <f aca="false">IFERROR(__xludf.dummyfunction("if($T225&lt;&gt;"""",VALUE(REGEXEXTRACT(SUBSTITUTE ($T225,N$1&amp;"" CE"",""""), N$1&amp;""[\w &amp;]*, (\d+\.\d+)"")),"""")
"),"")</f>
        <v/>
      </c>
      <c r="O225" s="3" t="str">
        <f aca="false">IFERROR(__xludf.dummyfunction("if($T225&lt;&gt;"""",VALUE(REGEXEXTRACT($T225, O$1&amp;""[\w &amp;]*, (\d+\.\d+)"")),"""")
"),"")</f>
        <v/>
      </c>
      <c r="P225" s="2"/>
      <c r="Q225" s="2"/>
      <c r="R225" s="2"/>
      <c r="S225" s="2"/>
      <c r="T225" s="5"/>
    </row>
    <row r="226" customFormat="false" ht="15.75" hidden="false" customHeight="false" outlineLevel="0" collapsed="false">
      <c r="A226" s="4"/>
      <c r="B226" s="2"/>
      <c r="C226" s="2"/>
      <c r="D226" s="2"/>
      <c r="E226" s="2"/>
      <c r="F226" s="3" t="str">
        <f aca="false">IFERROR(__xludf.dummyfunction("if($T226&lt;&gt;"""",VALUE(REGEXEXTRACT(SUBSTITUTE ($T226,F$1&amp;"" CE"",""""), F$1&amp;""[\w &amp;]*, (\d+\.\d+)"")),"""")
"),"")</f>
        <v/>
      </c>
      <c r="G226" s="3" t="str">
        <f aca="false">IFERROR(__xludf.dummyfunction("if($T226&lt;&gt;"""",VALUE(REGEXEXTRACT($T226, G$1&amp;""[\w &amp;]*, (\d+\.\d+)"")),"""")
"),"")</f>
        <v/>
      </c>
      <c r="H226" s="3"/>
      <c r="I226" s="3" t="str">
        <f aca="false">IFERROR(__xludf.dummyfunction("if($T226&lt;&gt;"""",VALUE(REGEXEXTRACT(SUBSTITUTE ($T226,I$1&amp;"" CE"",""""), I$1&amp;""[\w &amp;]*, (\d+\.\d+)"")),"""")
"),"")</f>
        <v/>
      </c>
      <c r="J226" s="3" t="str">
        <f aca="false">IFERROR(__xludf.dummyfunction("if($T226&lt;&gt;"""",VALUE(REGEXEXTRACT($T226, J$1&amp;""[\w &amp;]*, (\d+\.\d+)"")),"""")
"),"")</f>
        <v/>
      </c>
      <c r="K226" s="3"/>
      <c r="L226" s="3" t="str">
        <f aca="false">IFERROR(__xludf.dummyfunction("if($T226&lt;&gt;"""",VALUE(REGEXEXTRACT(SUBSTITUTE ($T226,L$1&amp;"" CE"",""""), L$1&amp;""[\w &amp;]*, (\d+\.\d+)"")),"""")
"),"")</f>
        <v/>
      </c>
      <c r="M226" s="3" t="str">
        <f aca="false">IFERROR(__xludf.dummyfunction("if($T226&lt;&gt;"""",VALUE(REGEXEXTRACT($T226, M$1&amp;""[\w &amp;]*, (\d+\.\d+)"")),"""")
"),"")</f>
        <v/>
      </c>
      <c r="N226" s="3" t="str">
        <f aca="false">IFERROR(__xludf.dummyfunction("if($T226&lt;&gt;"""",VALUE(REGEXEXTRACT(SUBSTITUTE ($T226,N$1&amp;"" CE"",""""), N$1&amp;""[\w &amp;]*, (\d+\.\d+)"")),"""")
"),"")</f>
        <v/>
      </c>
      <c r="O226" s="3" t="str">
        <f aca="false">IFERROR(__xludf.dummyfunction("if($T226&lt;&gt;"""",VALUE(REGEXEXTRACT($T226, O$1&amp;""[\w &amp;]*, (\d+\.\d+)"")),"""")
"),"")</f>
        <v/>
      </c>
      <c r="P226" s="2"/>
      <c r="Q226" s="2"/>
      <c r="R226" s="2"/>
      <c r="S226" s="2"/>
      <c r="T226" s="5"/>
    </row>
    <row r="227" customFormat="false" ht="15.75" hidden="false" customHeight="false" outlineLevel="0" collapsed="false">
      <c r="A227" s="4"/>
      <c r="B227" s="2"/>
      <c r="C227" s="2"/>
      <c r="D227" s="2"/>
      <c r="E227" s="2"/>
      <c r="F227" s="3" t="str">
        <f aca="false">IFERROR(__xludf.dummyfunction("if($T227&lt;&gt;"""",VALUE(REGEXEXTRACT(SUBSTITUTE ($T227,F$1&amp;"" CE"",""""), F$1&amp;""[\w &amp;]*, (\d+\.\d+)"")),"""")
"),"")</f>
        <v/>
      </c>
      <c r="G227" s="3" t="str">
        <f aca="false">IFERROR(__xludf.dummyfunction("if($T227&lt;&gt;"""",VALUE(REGEXEXTRACT($T227, G$1&amp;""[\w &amp;]*, (\d+\.\d+)"")),"""")
"),"")</f>
        <v/>
      </c>
      <c r="H227" s="3"/>
      <c r="I227" s="3" t="str">
        <f aca="false">IFERROR(__xludf.dummyfunction("if($T227&lt;&gt;"""",VALUE(REGEXEXTRACT(SUBSTITUTE ($T227,I$1&amp;"" CE"",""""), I$1&amp;""[\w &amp;]*, (\d+\.\d+)"")),"""")
"),"")</f>
        <v/>
      </c>
      <c r="J227" s="3" t="str">
        <f aca="false">IFERROR(__xludf.dummyfunction("if($T227&lt;&gt;"""",VALUE(REGEXEXTRACT($T227, J$1&amp;""[\w &amp;]*, (\d+\.\d+)"")),"""")
"),"")</f>
        <v/>
      </c>
      <c r="K227" s="3"/>
      <c r="L227" s="3" t="str">
        <f aca="false">IFERROR(__xludf.dummyfunction("if($T227&lt;&gt;"""",VALUE(REGEXEXTRACT(SUBSTITUTE ($T227,L$1&amp;"" CE"",""""), L$1&amp;""[\w &amp;]*, (\d+\.\d+)"")),"""")
"),"")</f>
        <v/>
      </c>
      <c r="M227" s="3" t="str">
        <f aca="false">IFERROR(__xludf.dummyfunction("if($T227&lt;&gt;"""",VALUE(REGEXEXTRACT($T227, M$1&amp;""[\w &amp;]*, (\d+\.\d+)"")),"""")
"),"")</f>
        <v/>
      </c>
      <c r="N227" s="3" t="str">
        <f aca="false">IFERROR(__xludf.dummyfunction("if($T227&lt;&gt;"""",VALUE(REGEXEXTRACT(SUBSTITUTE ($T227,N$1&amp;"" CE"",""""), N$1&amp;""[\w &amp;]*, (\d+\.\d+)"")),"""")
"),"")</f>
        <v/>
      </c>
      <c r="O227" s="3" t="str">
        <f aca="false">IFERROR(__xludf.dummyfunction("if($T227&lt;&gt;"""",VALUE(REGEXEXTRACT($T227, O$1&amp;""[\w &amp;]*, (\d+\.\d+)"")),"""")
"),"")</f>
        <v/>
      </c>
      <c r="P227" s="2"/>
      <c r="Q227" s="2"/>
      <c r="R227" s="2"/>
      <c r="S227" s="2"/>
      <c r="T227" s="5"/>
    </row>
    <row r="228" customFormat="false" ht="15.75" hidden="false" customHeight="false" outlineLevel="0" collapsed="false">
      <c r="A228" s="4"/>
      <c r="B228" s="2"/>
      <c r="C228" s="2"/>
      <c r="D228" s="2"/>
      <c r="E228" s="2"/>
      <c r="F228" s="3" t="str">
        <f aca="false">IFERROR(__xludf.dummyfunction("if($T228&lt;&gt;"""",VALUE(REGEXEXTRACT(SUBSTITUTE ($T228,F$1&amp;"" CE"",""""), F$1&amp;""[\w &amp;]*, (\d+\.\d+)"")),"""")
"),"")</f>
        <v/>
      </c>
      <c r="G228" s="3" t="str">
        <f aca="false">IFERROR(__xludf.dummyfunction("if($T228&lt;&gt;"""",VALUE(REGEXEXTRACT($T228, G$1&amp;""[\w &amp;]*, (\d+\.\d+)"")),"""")
"),"")</f>
        <v/>
      </c>
      <c r="H228" s="3"/>
      <c r="I228" s="3" t="str">
        <f aca="false">IFERROR(__xludf.dummyfunction("if($T228&lt;&gt;"""",VALUE(REGEXEXTRACT(SUBSTITUTE ($T228,I$1&amp;"" CE"",""""), I$1&amp;""[\w &amp;]*, (\d+\.\d+)"")),"""")
"),"")</f>
        <v/>
      </c>
      <c r="J228" s="3" t="str">
        <f aca="false">IFERROR(__xludf.dummyfunction("if($T228&lt;&gt;"""",VALUE(REGEXEXTRACT($T228, J$1&amp;""[\w &amp;]*, (\d+\.\d+)"")),"""")
"),"")</f>
        <v/>
      </c>
      <c r="K228" s="3"/>
      <c r="L228" s="3" t="str">
        <f aca="false">IFERROR(__xludf.dummyfunction("if($T228&lt;&gt;"""",VALUE(REGEXEXTRACT(SUBSTITUTE ($T228,L$1&amp;"" CE"",""""), L$1&amp;""[\w &amp;]*, (\d+\.\d+)"")),"""")
"),"")</f>
        <v/>
      </c>
      <c r="M228" s="3" t="str">
        <f aca="false">IFERROR(__xludf.dummyfunction("if($T228&lt;&gt;"""",VALUE(REGEXEXTRACT($T228, M$1&amp;""[\w &amp;]*, (\d+\.\d+)"")),"""")
"),"")</f>
        <v/>
      </c>
      <c r="N228" s="3" t="str">
        <f aca="false">IFERROR(__xludf.dummyfunction("if($T228&lt;&gt;"""",VALUE(REGEXEXTRACT(SUBSTITUTE ($T228,N$1&amp;"" CE"",""""), N$1&amp;""[\w &amp;]*, (\d+\.\d+)"")),"""")
"),"")</f>
        <v/>
      </c>
      <c r="O228" s="3" t="str">
        <f aca="false">IFERROR(__xludf.dummyfunction("if($T228&lt;&gt;"""",VALUE(REGEXEXTRACT($T228, O$1&amp;""[\w &amp;]*, (\d+\.\d+)"")),"""")
"),"")</f>
        <v/>
      </c>
      <c r="P228" s="2"/>
      <c r="Q228" s="2"/>
      <c r="R228" s="2"/>
      <c r="S228" s="2"/>
      <c r="T228" s="5"/>
    </row>
    <row r="229" customFormat="false" ht="15.75" hidden="false" customHeight="false" outlineLevel="0" collapsed="false">
      <c r="A229" s="4"/>
      <c r="B229" s="2"/>
      <c r="C229" s="2"/>
      <c r="D229" s="2"/>
      <c r="E229" s="2"/>
      <c r="F229" s="3" t="str">
        <f aca="false">IFERROR(__xludf.dummyfunction("if($T229&lt;&gt;"""",VALUE(REGEXEXTRACT(SUBSTITUTE ($T229,F$1&amp;"" CE"",""""), F$1&amp;""[\w &amp;]*, (\d+\.\d+)"")),"""")
"),"")</f>
        <v/>
      </c>
      <c r="G229" s="3" t="str">
        <f aca="false">IFERROR(__xludf.dummyfunction("if($T229&lt;&gt;"""",VALUE(REGEXEXTRACT($T229, G$1&amp;""[\w &amp;]*, (\d+\.\d+)"")),"""")
"),"")</f>
        <v/>
      </c>
      <c r="H229" s="3"/>
      <c r="I229" s="3" t="str">
        <f aca="false">IFERROR(__xludf.dummyfunction("if($T229&lt;&gt;"""",VALUE(REGEXEXTRACT(SUBSTITUTE ($T229,I$1&amp;"" CE"",""""), I$1&amp;""[\w &amp;]*, (\d+\.\d+)"")),"""")
"),"")</f>
        <v/>
      </c>
      <c r="J229" s="3" t="str">
        <f aca="false">IFERROR(__xludf.dummyfunction("if($T229&lt;&gt;"""",VALUE(REGEXEXTRACT($T229, J$1&amp;""[\w &amp;]*, (\d+\.\d+)"")),"""")
"),"")</f>
        <v/>
      </c>
      <c r="K229" s="3"/>
      <c r="L229" s="3" t="str">
        <f aca="false">IFERROR(__xludf.dummyfunction("if($T229&lt;&gt;"""",VALUE(REGEXEXTRACT(SUBSTITUTE ($T229,L$1&amp;"" CE"",""""), L$1&amp;""[\w &amp;]*, (\d+\.\d+)"")),"""")
"),"")</f>
        <v/>
      </c>
      <c r="M229" s="3" t="str">
        <f aca="false">IFERROR(__xludf.dummyfunction("if($T229&lt;&gt;"""",VALUE(REGEXEXTRACT($T229, M$1&amp;""[\w &amp;]*, (\d+\.\d+)"")),"""")
"),"")</f>
        <v/>
      </c>
      <c r="N229" s="3" t="str">
        <f aca="false">IFERROR(__xludf.dummyfunction("if($T229&lt;&gt;"""",VALUE(REGEXEXTRACT(SUBSTITUTE ($T229,N$1&amp;"" CE"",""""), N$1&amp;""[\w &amp;]*, (\d+\.\d+)"")),"""")
"),"")</f>
        <v/>
      </c>
      <c r="O229" s="3" t="str">
        <f aca="false">IFERROR(__xludf.dummyfunction("if($T229&lt;&gt;"""",VALUE(REGEXEXTRACT($T229, O$1&amp;""[\w &amp;]*, (\d+\.\d+)"")),"""")
"),"")</f>
        <v/>
      </c>
      <c r="P229" s="2"/>
      <c r="Q229" s="2"/>
      <c r="R229" s="2"/>
      <c r="S229" s="2"/>
      <c r="T229" s="5"/>
    </row>
    <row r="230" customFormat="false" ht="15.75" hidden="false" customHeight="false" outlineLevel="0" collapsed="false">
      <c r="A230" s="4"/>
      <c r="B230" s="2"/>
      <c r="C230" s="2"/>
      <c r="D230" s="2"/>
      <c r="E230" s="2"/>
      <c r="F230" s="3" t="str">
        <f aca="false">IFERROR(__xludf.dummyfunction("if($T230&lt;&gt;"""",VALUE(REGEXEXTRACT(SUBSTITUTE ($T230,F$1&amp;"" CE"",""""), F$1&amp;""[\w &amp;]*, (\d+\.\d+)"")),"""")
"),"")</f>
        <v/>
      </c>
      <c r="G230" s="3" t="str">
        <f aca="false">IFERROR(__xludf.dummyfunction("if($T230&lt;&gt;"""",VALUE(REGEXEXTRACT($T230, G$1&amp;""[\w &amp;]*, (\d+\.\d+)"")),"""")
"),"")</f>
        <v/>
      </c>
      <c r="H230" s="3"/>
      <c r="I230" s="3" t="str">
        <f aca="false">IFERROR(__xludf.dummyfunction("if($T230&lt;&gt;"""",VALUE(REGEXEXTRACT(SUBSTITUTE ($T230,I$1&amp;"" CE"",""""), I$1&amp;""[\w &amp;]*, (\d+\.\d+)"")),"""")
"),"")</f>
        <v/>
      </c>
      <c r="J230" s="3" t="str">
        <f aca="false">IFERROR(__xludf.dummyfunction("if($T230&lt;&gt;"""",VALUE(REGEXEXTRACT($T230, J$1&amp;""[\w &amp;]*, (\d+\.\d+)"")),"""")
"),"")</f>
        <v/>
      </c>
      <c r="K230" s="3"/>
      <c r="L230" s="3" t="str">
        <f aca="false">IFERROR(__xludf.dummyfunction("if($T230&lt;&gt;"""",VALUE(REGEXEXTRACT(SUBSTITUTE ($T230,L$1&amp;"" CE"",""""), L$1&amp;""[\w &amp;]*, (\d+\.\d+)"")),"""")
"),"")</f>
        <v/>
      </c>
      <c r="M230" s="3" t="str">
        <f aca="false">IFERROR(__xludf.dummyfunction("if($T230&lt;&gt;"""",VALUE(REGEXEXTRACT($T230, M$1&amp;""[\w &amp;]*, (\d+\.\d+)"")),"""")
"),"")</f>
        <v/>
      </c>
      <c r="N230" s="3" t="str">
        <f aca="false">IFERROR(__xludf.dummyfunction("if($T230&lt;&gt;"""",VALUE(REGEXEXTRACT(SUBSTITUTE ($T230,N$1&amp;"" CE"",""""), N$1&amp;""[\w &amp;]*, (\d+\.\d+)"")),"""")
"),"")</f>
        <v/>
      </c>
      <c r="O230" s="3" t="str">
        <f aca="false">IFERROR(__xludf.dummyfunction("if($T230&lt;&gt;"""",VALUE(REGEXEXTRACT($T230, O$1&amp;""[\w &amp;]*, (\d+\.\d+)"")),"""")
"),"")</f>
        <v/>
      </c>
      <c r="P230" s="2"/>
      <c r="Q230" s="2"/>
      <c r="R230" s="2"/>
      <c r="S230" s="2"/>
      <c r="T230" s="5"/>
    </row>
    <row r="231" customFormat="false" ht="15.75" hidden="false" customHeight="false" outlineLevel="0" collapsed="false">
      <c r="A231" s="4"/>
      <c r="B231" s="2"/>
      <c r="C231" s="2"/>
      <c r="D231" s="2"/>
      <c r="E231" s="2"/>
      <c r="F231" s="3" t="str">
        <f aca="false">IFERROR(__xludf.dummyfunction("if($T231&lt;&gt;"""",VALUE(REGEXEXTRACT(SUBSTITUTE ($T231,F$1&amp;"" CE"",""""), F$1&amp;""[\w &amp;]*, (\d+\.\d+)"")),"""")
"),"")</f>
        <v/>
      </c>
      <c r="G231" s="3" t="str">
        <f aca="false">IFERROR(__xludf.dummyfunction("if($T231&lt;&gt;"""",VALUE(REGEXEXTRACT($T231, G$1&amp;""[\w &amp;]*, (\d+\.\d+)"")),"""")
"),"")</f>
        <v/>
      </c>
      <c r="H231" s="3"/>
      <c r="I231" s="3" t="str">
        <f aca="false">IFERROR(__xludf.dummyfunction("if($T231&lt;&gt;"""",VALUE(REGEXEXTRACT(SUBSTITUTE ($T231,I$1&amp;"" CE"",""""), I$1&amp;""[\w &amp;]*, (\d+\.\d+)"")),"""")
"),"")</f>
        <v/>
      </c>
      <c r="J231" s="3" t="str">
        <f aca="false">IFERROR(__xludf.dummyfunction("if($T231&lt;&gt;"""",VALUE(REGEXEXTRACT($T231, J$1&amp;""[\w &amp;]*, (\d+\.\d+)"")),"""")
"),"")</f>
        <v/>
      </c>
      <c r="K231" s="3"/>
      <c r="L231" s="3" t="str">
        <f aca="false">IFERROR(__xludf.dummyfunction("if($T231&lt;&gt;"""",VALUE(REGEXEXTRACT(SUBSTITUTE ($T231,L$1&amp;"" CE"",""""), L$1&amp;""[\w &amp;]*, (\d+\.\d+)"")),"""")
"),"")</f>
        <v/>
      </c>
      <c r="M231" s="3" t="str">
        <f aca="false">IFERROR(__xludf.dummyfunction("if($T231&lt;&gt;"""",VALUE(REGEXEXTRACT($T231, M$1&amp;""[\w &amp;]*, (\d+\.\d+)"")),"""")
"),"")</f>
        <v/>
      </c>
      <c r="N231" s="3" t="str">
        <f aca="false">IFERROR(__xludf.dummyfunction("if($T231&lt;&gt;"""",VALUE(REGEXEXTRACT(SUBSTITUTE ($T231,N$1&amp;"" CE"",""""), N$1&amp;""[\w &amp;]*, (\d+\.\d+)"")),"""")
"),"")</f>
        <v/>
      </c>
      <c r="O231" s="3" t="str">
        <f aca="false">IFERROR(__xludf.dummyfunction("if($T231&lt;&gt;"""",VALUE(REGEXEXTRACT($T231, O$1&amp;""[\w &amp;]*, (\d+\.\d+)"")),"""")
"),"")</f>
        <v/>
      </c>
      <c r="P231" s="2"/>
      <c r="Q231" s="2"/>
      <c r="R231" s="2"/>
      <c r="S231" s="2"/>
      <c r="T231" s="5"/>
    </row>
    <row r="232" customFormat="false" ht="15.75" hidden="false" customHeight="false" outlineLevel="0" collapsed="false">
      <c r="A232" s="4"/>
      <c r="B232" s="2"/>
      <c r="C232" s="2"/>
      <c r="D232" s="2"/>
      <c r="E232" s="2"/>
      <c r="F232" s="3" t="str">
        <f aca="false">IFERROR(__xludf.dummyfunction("if($T232&lt;&gt;"""",VALUE(REGEXEXTRACT(SUBSTITUTE ($T232,F$1&amp;"" CE"",""""), F$1&amp;""[\w &amp;]*, (\d+\.\d+)"")),"""")
"),"")</f>
        <v/>
      </c>
      <c r="G232" s="3" t="str">
        <f aca="false">IFERROR(__xludf.dummyfunction("if($T232&lt;&gt;"""",VALUE(REGEXEXTRACT($T232, G$1&amp;""[\w &amp;]*, (\d+\.\d+)"")),"""")
"),"")</f>
        <v/>
      </c>
      <c r="H232" s="3"/>
      <c r="I232" s="3" t="str">
        <f aca="false">IFERROR(__xludf.dummyfunction("if($T232&lt;&gt;"""",VALUE(REGEXEXTRACT(SUBSTITUTE ($T232,I$1&amp;"" CE"",""""), I$1&amp;""[\w &amp;]*, (\d+\.\d+)"")),"""")
"),"")</f>
        <v/>
      </c>
      <c r="J232" s="3" t="str">
        <f aca="false">IFERROR(__xludf.dummyfunction("if($T232&lt;&gt;"""",VALUE(REGEXEXTRACT($T232, J$1&amp;""[\w &amp;]*, (\d+\.\d+)"")),"""")
"),"")</f>
        <v/>
      </c>
      <c r="K232" s="3"/>
      <c r="L232" s="3" t="str">
        <f aca="false">IFERROR(__xludf.dummyfunction("if($T232&lt;&gt;"""",VALUE(REGEXEXTRACT(SUBSTITUTE ($T232,L$1&amp;"" CE"",""""), L$1&amp;""[\w &amp;]*, (\d+\.\d+)"")),"""")
"),"")</f>
        <v/>
      </c>
      <c r="M232" s="3" t="str">
        <f aca="false">IFERROR(__xludf.dummyfunction("if($T232&lt;&gt;"""",VALUE(REGEXEXTRACT($T232, M$1&amp;""[\w &amp;]*, (\d+\.\d+)"")),"""")
"),"")</f>
        <v/>
      </c>
      <c r="N232" s="3" t="str">
        <f aca="false">IFERROR(__xludf.dummyfunction("if($T232&lt;&gt;"""",VALUE(REGEXEXTRACT(SUBSTITUTE ($T232,N$1&amp;"" CE"",""""), N$1&amp;""[\w &amp;]*, (\d+\.\d+)"")),"""")
"),"")</f>
        <v/>
      </c>
      <c r="O232" s="3" t="str">
        <f aca="false">IFERROR(__xludf.dummyfunction("if($T232&lt;&gt;"""",VALUE(REGEXEXTRACT($T232, O$1&amp;""[\w &amp;]*, (\d+\.\d+)"")),"""")
"),"")</f>
        <v/>
      </c>
      <c r="P232" s="2"/>
      <c r="Q232" s="2"/>
      <c r="R232" s="2"/>
      <c r="S232" s="2"/>
      <c r="T232" s="5"/>
    </row>
    <row r="233" customFormat="false" ht="15.75" hidden="false" customHeight="false" outlineLevel="0" collapsed="false">
      <c r="A233" s="4"/>
      <c r="B233" s="2"/>
      <c r="C233" s="2"/>
      <c r="D233" s="2"/>
      <c r="E233" s="2"/>
      <c r="F233" s="3" t="str">
        <f aca="false">IFERROR(__xludf.dummyfunction("if($T233&lt;&gt;"""",VALUE(REGEXEXTRACT(SUBSTITUTE ($T233,F$1&amp;"" CE"",""""), F$1&amp;""[\w &amp;]*, (\d+\.\d+)"")),"""")
"),"")</f>
        <v/>
      </c>
      <c r="G233" s="3" t="str">
        <f aca="false">IFERROR(__xludf.dummyfunction("if($T233&lt;&gt;"""",VALUE(REGEXEXTRACT($T233, G$1&amp;""[\w &amp;]*, (\d+\.\d+)"")),"""")
"),"")</f>
        <v/>
      </c>
      <c r="H233" s="3"/>
      <c r="I233" s="3" t="str">
        <f aca="false">IFERROR(__xludf.dummyfunction("if($T233&lt;&gt;"""",VALUE(REGEXEXTRACT(SUBSTITUTE ($T233,I$1&amp;"" CE"",""""), I$1&amp;""[\w &amp;]*, (\d+\.\d+)"")),"""")
"),"")</f>
        <v/>
      </c>
      <c r="J233" s="3" t="str">
        <f aca="false">IFERROR(__xludf.dummyfunction("if($T233&lt;&gt;"""",VALUE(REGEXEXTRACT($T233, J$1&amp;""[\w &amp;]*, (\d+\.\d+)"")),"""")
"),"")</f>
        <v/>
      </c>
      <c r="K233" s="3"/>
      <c r="L233" s="3" t="str">
        <f aca="false">IFERROR(__xludf.dummyfunction("if($T233&lt;&gt;"""",VALUE(REGEXEXTRACT(SUBSTITUTE ($T233,L$1&amp;"" CE"",""""), L$1&amp;""[\w &amp;]*, (\d+\.\d+)"")),"""")
"),"")</f>
        <v/>
      </c>
      <c r="M233" s="3" t="str">
        <f aca="false">IFERROR(__xludf.dummyfunction("if($T233&lt;&gt;"""",VALUE(REGEXEXTRACT($T233, M$1&amp;""[\w &amp;]*, (\d+\.\d+)"")),"""")
"),"")</f>
        <v/>
      </c>
      <c r="N233" s="3" t="str">
        <f aca="false">IFERROR(__xludf.dummyfunction("if($T233&lt;&gt;"""",VALUE(REGEXEXTRACT(SUBSTITUTE ($T233,N$1&amp;"" CE"",""""), N$1&amp;""[\w &amp;]*, (\d+\.\d+)"")),"""")
"),"")</f>
        <v/>
      </c>
      <c r="O233" s="3" t="str">
        <f aca="false">IFERROR(__xludf.dummyfunction("if($T233&lt;&gt;"""",VALUE(REGEXEXTRACT($T233, O$1&amp;""[\w &amp;]*, (\d+\.\d+)"")),"""")
"),"")</f>
        <v/>
      </c>
      <c r="P233" s="2"/>
      <c r="Q233" s="2"/>
      <c r="R233" s="2"/>
      <c r="S233" s="2"/>
      <c r="T233" s="5"/>
    </row>
    <row r="234" customFormat="false" ht="15.75" hidden="false" customHeight="false" outlineLevel="0" collapsed="false">
      <c r="A234" s="4"/>
      <c r="B234" s="2"/>
      <c r="C234" s="2"/>
      <c r="D234" s="2"/>
      <c r="E234" s="2"/>
      <c r="F234" s="3" t="str">
        <f aca="false">IFERROR(__xludf.dummyfunction("if($T234&lt;&gt;"""",VALUE(REGEXEXTRACT(SUBSTITUTE ($T234,F$1&amp;"" CE"",""""), F$1&amp;""[\w &amp;]*, (\d+\.\d+)"")),"""")
"),"")</f>
        <v/>
      </c>
      <c r="G234" s="3" t="str">
        <f aca="false">IFERROR(__xludf.dummyfunction("if($T234&lt;&gt;"""",VALUE(REGEXEXTRACT($T234, G$1&amp;""[\w &amp;]*, (\d+\.\d+)"")),"""")
"),"")</f>
        <v/>
      </c>
      <c r="H234" s="3"/>
      <c r="I234" s="3" t="str">
        <f aca="false">IFERROR(__xludf.dummyfunction("if($T234&lt;&gt;"""",VALUE(REGEXEXTRACT(SUBSTITUTE ($T234,I$1&amp;"" CE"",""""), I$1&amp;""[\w &amp;]*, (\d+\.\d+)"")),"""")
"),"")</f>
        <v/>
      </c>
      <c r="J234" s="3" t="str">
        <f aca="false">IFERROR(__xludf.dummyfunction("if($T234&lt;&gt;"""",VALUE(REGEXEXTRACT($T234, J$1&amp;""[\w &amp;]*, (\d+\.\d+)"")),"""")
"),"")</f>
        <v/>
      </c>
      <c r="K234" s="3"/>
      <c r="L234" s="3" t="str">
        <f aca="false">IFERROR(__xludf.dummyfunction("if($T234&lt;&gt;"""",VALUE(REGEXEXTRACT(SUBSTITUTE ($T234,L$1&amp;"" CE"",""""), L$1&amp;""[\w &amp;]*, (\d+\.\d+)"")),"""")
"),"")</f>
        <v/>
      </c>
      <c r="M234" s="3" t="str">
        <f aca="false">IFERROR(__xludf.dummyfunction("if($T234&lt;&gt;"""",VALUE(REGEXEXTRACT($T234, M$1&amp;""[\w &amp;]*, (\d+\.\d+)"")),"""")
"),"")</f>
        <v/>
      </c>
      <c r="N234" s="3" t="str">
        <f aca="false">IFERROR(__xludf.dummyfunction("if($T234&lt;&gt;"""",VALUE(REGEXEXTRACT(SUBSTITUTE ($T234,N$1&amp;"" CE"",""""), N$1&amp;""[\w &amp;]*, (\d+\.\d+)"")),"""")
"),"")</f>
        <v/>
      </c>
      <c r="O234" s="3" t="str">
        <f aca="false">IFERROR(__xludf.dummyfunction("if($T234&lt;&gt;"""",VALUE(REGEXEXTRACT($T234, O$1&amp;""[\w &amp;]*, (\d+\.\d+)"")),"""")
"),"")</f>
        <v/>
      </c>
      <c r="P234" s="2"/>
      <c r="Q234" s="2"/>
      <c r="R234" s="2"/>
      <c r="S234" s="2"/>
      <c r="T234" s="5"/>
    </row>
    <row r="235" customFormat="false" ht="15.75" hidden="false" customHeight="false" outlineLevel="0" collapsed="false">
      <c r="A235" s="4"/>
      <c r="B235" s="2"/>
      <c r="C235" s="2"/>
      <c r="D235" s="2"/>
      <c r="E235" s="2"/>
      <c r="F235" s="3" t="str">
        <f aca="false">IFERROR(__xludf.dummyfunction("if($T235&lt;&gt;"""",VALUE(REGEXEXTRACT(SUBSTITUTE ($T235,F$1&amp;"" CE"",""""), F$1&amp;""[\w &amp;]*, (\d+\.\d+)"")),"""")
"),"")</f>
        <v/>
      </c>
      <c r="G235" s="3" t="str">
        <f aca="false">IFERROR(__xludf.dummyfunction("if($T235&lt;&gt;"""",VALUE(REGEXEXTRACT($T235, G$1&amp;""[\w &amp;]*, (\d+\.\d+)"")),"""")
"),"")</f>
        <v/>
      </c>
      <c r="H235" s="3"/>
      <c r="I235" s="3" t="str">
        <f aca="false">IFERROR(__xludf.dummyfunction("if($T235&lt;&gt;"""",VALUE(REGEXEXTRACT(SUBSTITUTE ($T235,I$1&amp;"" CE"",""""), I$1&amp;""[\w &amp;]*, (\d+\.\d+)"")),"""")
"),"")</f>
        <v/>
      </c>
      <c r="J235" s="3" t="str">
        <f aca="false">IFERROR(__xludf.dummyfunction("if($T235&lt;&gt;"""",VALUE(REGEXEXTRACT($T235, J$1&amp;""[\w &amp;]*, (\d+\.\d+)"")),"""")
"),"")</f>
        <v/>
      </c>
      <c r="K235" s="3"/>
      <c r="L235" s="3" t="str">
        <f aca="false">IFERROR(__xludf.dummyfunction("if($T235&lt;&gt;"""",VALUE(REGEXEXTRACT(SUBSTITUTE ($T235,L$1&amp;"" CE"",""""), L$1&amp;""[\w &amp;]*, (\d+\.\d+)"")),"""")
"),"")</f>
        <v/>
      </c>
      <c r="M235" s="3" t="str">
        <f aca="false">IFERROR(__xludf.dummyfunction("if($T235&lt;&gt;"""",VALUE(REGEXEXTRACT($T235, M$1&amp;""[\w &amp;]*, (\d+\.\d+)"")),"""")
"),"")</f>
        <v/>
      </c>
      <c r="N235" s="3" t="str">
        <f aca="false">IFERROR(__xludf.dummyfunction("if($T235&lt;&gt;"""",VALUE(REGEXEXTRACT(SUBSTITUTE ($T235,N$1&amp;"" CE"",""""), N$1&amp;""[\w &amp;]*, (\d+\.\d+)"")),"""")
"),"")</f>
        <v/>
      </c>
      <c r="O235" s="3" t="str">
        <f aca="false">IFERROR(__xludf.dummyfunction("if($T235&lt;&gt;"""",VALUE(REGEXEXTRACT($T235, O$1&amp;""[\w &amp;]*, (\d+\.\d+)"")),"""")
"),"")</f>
        <v/>
      </c>
      <c r="P235" s="2"/>
      <c r="Q235" s="2"/>
      <c r="R235" s="2"/>
      <c r="S235" s="2"/>
      <c r="T235" s="5"/>
    </row>
    <row r="236" customFormat="false" ht="15.75" hidden="false" customHeight="false" outlineLevel="0" collapsed="false">
      <c r="A236" s="4"/>
      <c r="B236" s="2"/>
      <c r="C236" s="2"/>
      <c r="D236" s="2"/>
      <c r="E236" s="2"/>
      <c r="F236" s="3" t="str">
        <f aca="false">IFERROR(__xludf.dummyfunction("if($T236&lt;&gt;"""",VALUE(REGEXEXTRACT(SUBSTITUTE ($T236,F$1&amp;"" CE"",""""), F$1&amp;""[\w &amp;]*, (\d+\.\d+)"")),"""")
"),"")</f>
        <v/>
      </c>
      <c r="G236" s="3" t="str">
        <f aca="false">IFERROR(__xludf.dummyfunction("if($T236&lt;&gt;"""",VALUE(REGEXEXTRACT($T236, G$1&amp;""[\w &amp;]*, (\d+\.\d+)"")),"""")
"),"")</f>
        <v/>
      </c>
      <c r="H236" s="3"/>
      <c r="I236" s="3" t="str">
        <f aca="false">IFERROR(__xludf.dummyfunction("if($T236&lt;&gt;"""",VALUE(REGEXEXTRACT(SUBSTITUTE ($T236,I$1&amp;"" CE"",""""), I$1&amp;""[\w &amp;]*, (\d+\.\d+)"")),"""")
"),"")</f>
        <v/>
      </c>
      <c r="J236" s="3" t="str">
        <f aca="false">IFERROR(__xludf.dummyfunction("if($T236&lt;&gt;"""",VALUE(REGEXEXTRACT($T236, J$1&amp;""[\w &amp;]*, (\d+\.\d+)"")),"""")
"),"")</f>
        <v/>
      </c>
      <c r="K236" s="3"/>
      <c r="L236" s="3" t="str">
        <f aca="false">IFERROR(__xludf.dummyfunction("if($T236&lt;&gt;"""",VALUE(REGEXEXTRACT(SUBSTITUTE ($T236,L$1&amp;"" CE"",""""), L$1&amp;""[\w &amp;]*, (\d+\.\d+)"")),"""")
"),"")</f>
        <v/>
      </c>
      <c r="M236" s="3" t="str">
        <f aca="false">IFERROR(__xludf.dummyfunction("if($T236&lt;&gt;"""",VALUE(REGEXEXTRACT($T236, M$1&amp;""[\w &amp;]*, (\d+\.\d+)"")),"""")
"),"")</f>
        <v/>
      </c>
      <c r="N236" s="3" t="str">
        <f aca="false">IFERROR(__xludf.dummyfunction("if($T236&lt;&gt;"""",VALUE(REGEXEXTRACT(SUBSTITUTE ($T236,N$1&amp;"" CE"",""""), N$1&amp;""[\w &amp;]*, (\d+\.\d+)"")),"""")
"),"")</f>
        <v/>
      </c>
      <c r="O236" s="3" t="str">
        <f aca="false">IFERROR(__xludf.dummyfunction("if($T236&lt;&gt;"""",VALUE(REGEXEXTRACT($T236, O$1&amp;""[\w &amp;]*, (\d+\.\d+)"")),"""")
"),"")</f>
        <v/>
      </c>
      <c r="P236" s="2"/>
      <c r="Q236" s="2"/>
      <c r="R236" s="2"/>
      <c r="S236" s="2"/>
      <c r="T236" s="5"/>
    </row>
    <row r="237" customFormat="false" ht="15.75" hidden="false" customHeight="false" outlineLevel="0" collapsed="false">
      <c r="A237" s="4"/>
      <c r="B237" s="2"/>
      <c r="C237" s="2"/>
      <c r="D237" s="2"/>
      <c r="E237" s="2"/>
      <c r="F237" s="3" t="str">
        <f aca="false">IFERROR(__xludf.dummyfunction("if($T237&lt;&gt;"""",VALUE(REGEXEXTRACT(SUBSTITUTE ($T237,F$1&amp;"" CE"",""""), F$1&amp;""[\w &amp;]*, (\d+\.\d+)"")),"""")
"),"")</f>
        <v/>
      </c>
      <c r="G237" s="3" t="str">
        <f aca="false">IFERROR(__xludf.dummyfunction("if($T237&lt;&gt;"""",VALUE(REGEXEXTRACT($T237, G$1&amp;""[\w &amp;]*, (\d+\.\d+)"")),"""")
"),"")</f>
        <v/>
      </c>
      <c r="H237" s="3"/>
      <c r="I237" s="3" t="str">
        <f aca="false">IFERROR(__xludf.dummyfunction("if($T237&lt;&gt;"""",VALUE(REGEXEXTRACT(SUBSTITUTE ($T237,I$1&amp;"" CE"",""""), I$1&amp;""[\w &amp;]*, (\d+\.\d+)"")),"""")
"),"")</f>
        <v/>
      </c>
      <c r="J237" s="3" t="str">
        <f aca="false">IFERROR(__xludf.dummyfunction("if($T237&lt;&gt;"""",VALUE(REGEXEXTRACT($T237, J$1&amp;""[\w &amp;]*, (\d+\.\d+)"")),"""")
"),"")</f>
        <v/>
      </c>
      <c r="K237" s="3"/>
      <c r="L237" s="3" t="str">
        <f aca="false">IFERROR(__xludf.dummyfunction("if($T237&lt;&gt;"""",VALUE(REGEXEXTRACT(SUBSTITUTE ($T237,L$1&amp;"" CE"",""""), L$1&amp;""[\w &amp;]*, (\d+\.\d+)"")),"""")
"),"")</f>
        <v/>
      </c>
      <c r="M237" s="3" t="str">
        <f aca="false">IFERROR(__xludf.dummyfunction("if($T237&lt;&gt;"""",VALUE(REGEXEXTRACT($T237, M$1&amp;""[\w &amp;]*, (\d+\.\d+)"")),"""")
"),"")</f>
        <v/>
      </c>
      <c r="N237" s="3" t="str">
        <f aca="false">IFERROR(__xludf.dummyfunction("if($T237&lt;&gt;"""",VALUE(REGEXEXTRACT(SUBSTITUTE ($T237,N$1&amp;"" CE"",""""), N$1&amp;""[\w &amp;]*, (\d+\.\d+)"")),"""")
"),"")</f>
        <v/>
      </c>
      <c r="O237" s="3" t="str">
        <f aca="false">IFERROR(__xludf.dummyfunction("if($T237&lt;&gt;"""",VALUE(REGEXEXTRACT($T237, O$1&amp;""[\w &amp;]*, (\d+\.\d+)"")),"""")
"),"")</f>
        <v/>
      </c>
      <c r="P237" s="2"/>
      <c r="Q237" s="2"/>
      <c r="R237" s="2"/>
      <c r="S237" s="2"/>
      <c r="T237" s="5"/>
    </row>
    <row r="238" customFormat="false" ht="15.75" hidden="false" customHeight="false" outlineLevel="0" collapsed="false">
      <c r="A238" s="4"/>
      <c r="B238" s="2"/>
      <c r="C238" s="2"/>
      <c r="D238" s="2"/>
      <c r="E238" s="2"/>
      <c r="F238" s="3" t="str">
        <f aca="false">IFERROR(__xludf.dummyfunction("if($T238&lt;&gt;"""",VALUE(REGEXEXTRACT(SUBSTITUTE ($T238,F$1&amp;"" CE"",""""), F$1&amp;""[\w &amp;]*, (\d+\.\d+)"")),"""")
"),"")</f>
        <v/>
      </c>
      <c r="G238" s="3" t="str">
        <f aca="false">IFERROR(__xludf.dummyfunction("if($T238&lt;&gt;"""",VALUE(REGEXEXTRACT($T238, G$1&amp;""[\w &amp;]*, (\d+\.\d+)"")),"""")
"),"")</f>
        <v/>
      </c>
      <c r="H238" s="3"/>
      <c r="I238" s="3" t="str">
        <f aca="false">IFERROR(__xludf.dummyfunction("if($T238&lt;&gt;"""",VALUE(REGEXEXTRACT(SUBSTITUTE ($T238,I$1&amp;"" CE"",""""), I$1&amp;""[\w &amp;]*, (\d+\.\d+)"")),"""")
"),"")</f>
        <v/>
      </c>
      <c r="J238" s="3" t="str">
        <f aca="false">IFERROR(__xludf.dummyfunction("if($T238&lt;&gt;"""",VALUE(REGEXEXTRACT($T238, J$1&amp;""[\w &amp;]*, (\d+\.\d+)"")),"""")
"),"")</f>
        <v/>
      </c>
      <c r="K238" s="3"/>
      <c r="L238" s="3" t="str">
        <f aca="false">IFERROR(__xludf.dummyfunction("if($T238&lt;&gt;"""",VALUE(REGEXEXTRACT(SUBSTITUTE ($T238,L$1&amp;"" CE"",""""), L$1&amp;""[\w &amp;]*, (\d+\.\d+)"")),"""")
"),"")</f>
        <v/>
      </c>
      <c r="M238" s="3" t="str">
        <f aca="false">IFERROR(__xludf.dummyfunction("if($T238&lt;&gt;"""",VALUE(REGEXEXTRACT($T238, M$1&amp;""[\w &amp;]*, (\d+\.\d+)"")),"""")
"),"")</f>
        <v/>
      </c>
      <c r="N238" s="3" t="str">
        <f aca="false">IFERROR(__xludf.dummyfunction("if($T238&lt;&gt;"""",VALUE(REGEXEXTRACT(SUBSTITUTE ($T238,N$1&amp;"" CE"",""""), N$1&amp;""[\w &amp;]*, (\d+\.\d+)"")),"""")
"),"")</f>
        <v/>
      </c>
      <c r="O238" s="3" t="str">
        <f aca="false">IFERROR(__xludf.dummyfunction("if($T238&lt;&gt;"""",VALUE(REGEXEXTRACT($T238, O$1&amp;""[\w &amp;]*, (\d+\.\d+)"")),"""")
"),"")</f>
        <v/>
      </c>
      <c r="P238" s="2"/>
      <c r="Q238" s="2"/>
      <c r="R238" s="2"/>
      <c r="S238" s="2"/>
      <c r="T238" s="5"/>
    </row>
    <row r="239" customFormat="false" ht="15.75" hidden="false" customHeight="false" outlineLevel="0" collapsed="false">
      <c r="A239" s="4"/>
      <c r="B239" s="2"/>
      <c r="C239" s="2"/>
      <c r="D239" s="2"/>
      <c r="E239" s="2"/>
      <c r="F239" s="3" t="str">
        <f aca="false">IFERROR(__xludf.dummyfunction("if($T239&lt;&gt;"""",VALUE(REGEXEXTRACT(SUBSTITUTE ($T239,F$1&amp;"" CE"",""""), F$1&amp;""[\w &amp;]*, (\d+\.\d+)"")),"""")
"),"")</f>
        <v/>
      </c>
      <c r="G239" s="3" t="str">
        <f aca="false">IFERROR(__xludf.dummyfunction("if($T239&lt;&gt;"""",VALUE(REGEXEXTRACT($T239, G$1&amp;""[\w &amp;]*, (\d+\.\d+)"")),"""")
"),"")</f>
        <v/>
      </c>
      <c r="H239" s="3"/>
      <c r="I239" s="3" t="str">
        <f aca="false">IFERROR(__xludf.dummyfunction("if($T239&lt;&gt;"""",VALUE(REGEXEXTRACT(SUBSTITUTE ($T239,I$1&amp;"" CE"",""""), I$1&amp;""[\w &amp;]*, (\d+\.\d+)"")),"""")
"),"")</f>
        <v/>
      </c>
      <c r="J239" s="3" t="str">
        <f aca="false">IFERROR(__xludf.dummyfunction("if($T239&lt;&gt;"""",VALUE(REGEXEXTRACT($T239, J$1&amp;""[\w &amp;]*, (\d+\.\d+)"")),"""")
"),"")</f>
        <v/>
      </c>
      <c r="K239" s="3"/>
      <c r="L239" s="3" t="str">
        <f aca="false">IFERROR(__xludf.dummyfunction("if($T239&lt;&gt;"""",VALUE(REGEXEXTRACT(SUBSTITUTE ($T239,L$1&amp;"" CE"",""""), L$1&amp;""[\w &amp;]*, (\d+\.\d+)"")),"""")
"),"")</f>
        <v/>
      </c>
      <c r="M239" s="3" t="str">
        <f aca="false">IFERROR(__xludf.dummyfunction("if($T239&lt;&gt;"""",VALUE(REGEXEXTRACT($T239, M$1&amp;""[\w &amp;]*, (\d+\.\d+)"")),"""")
"),"")</f>
        <v/>
      </c>
      <c r="N239" s="3" t="str">
        <f aca="false">IFERROR(__xludf.dummyfunction("if($T239&lt;&gt;"""",VALUE(REGEXEXTRACT(SUBSTITUTE ($T239,N$1&amp;"" CE"",""""), N$1&amp;""[\w &amp;]*, (\d+\.\d+)"")),"""")
"),"")</f>
        <v/>
      </c>
      <c r="O239" s="3" t="str">
        <f aca="false">IFERROR(__xludf.dummyfunction("if($T239&lt;&gt;"""",VALUE(REGEXEXTRACT($T239, O$1&amp;""[\w &amp;]*, (\d+\.\d+)"")),"""")
"),"")</f>
        <v/>
      </c>
      <c r="P239" s="2"/>
      <c r="Q239" s="2"/>
      <c r="R239" s="2"/>
      <c r="S239" s="2"/>
      <c r="T239" s="5"/>
    </row>
    <row r="240" customFormat="false" ht="15.75" hidden="false" customHeight="false" outlineLevel="0" collapsed="false">
      <c r="A240" s="4"/>
      <c r="B240" s="2"/>
      <c r="C240" s="2"/>
      <c r="D240" s="2"/>
      <c r="E240" s="2"/>
      <c r="F240" s="3" t="str">
        <f aca="false">IFERROR(__xludf.dummyfunction("if($T240&lt;&gt;"""",VALUE(REGEXEXTRACT(SUBSTITUTE ($T240,F$1&amp;"" CE"",""""), F$1&amp;""[\w &amp;]*, (\d+\.\d+)"")),"""")
"),"")</f>
        <v/>
      </c>
      <c r="G240" s="3" t="str">
        <f aca="false">IFERROR(__xludf.dummyfunction("if($T240&lt;&gt;"""",VALUE(REGEXEXTRACT($T240, G$1&amp;""[\w &amp;]*, (\d+\.\d+)"")),"""")
"),"")</f>
        <v/>
      </c>
      <c r="H240" s="3"/>
      <c r="I240" s="3" t="str">
        <f aca="false">IFERROR(__xludf.dummyfunction("if($T240&lt;&gt;"""",VALUE(REGEXEXTRACT(SUBSTITUTE ($T240,I$1&amp;"" CE"",""""), I$1&amp;""[\w &amp;]*, (\d+\.\d+)"")),"""")
"),"")</f>
        <v/>
      </c>
      <c r="J240" s="3" t="str">
        <f aca="false">IFERROR(__xludf.dummyfunction("if($T240&lt;&gt;"""",VALUE(REGEXEXTRACT($T240, J$1&amp;""[\w &amp;]*, (\d+\.\d+)"")),"""")
"),"")</f>
        <v/>
      </c>
      <c r="K240" s="3"/>
      <c r="L240" s="3" t="str">
        <f aca="false">IFERROR(__xludf.dummyfunction("if($T240&lt;&gt;"""",VALUE(REGEXEXTRACT(SUBSTITUTE ($T240,L$1&amp;"" CE"",""""), L$1&amp;""[\w &amp;]*, (\d+\.\d+)"")),"""")
"),"")</f>
        <v/>
      </c>
      <c r="M240" s="3" t="str">
        <f aca="false">IFERROR(__xludf.dummyfunction("if($T240&lt;&gt;"""",VALUE(REGEXEXTRACT($T240, M$1&amp;""[\w &amp;]*, (\d+\.\d+)"")),"""")
"),"")</f>
        <v/>
      </c>
      <c r="N240" s="3" t="str">
        <f aca="false">IFERROR(__xludf.dummyfunction("if($T240&lt;&gt;"""",VALUE(REGEXEXTRACT(SUBSTITUTE ($T240,N$1&amp;"" CE"",""""), N$1&amp;""[\w &amp;]*, (\d+\.\d+)"")),"""")
"),"")</f>
        <v/>
      </c>
      <c r="O240" s="3" t="str">
        <f aca="false">IFERROR(__xludf.dummyfunction("if($T240&lt;&gt;"""",VALUE(REGEXEXTRACT($T240, O$1&amp;""[\w &amp;]*, (\d+\.\d+)"")),"""")
"),"")</f>
        <v/>
      </c>
      <c r="P240" s="2"/>
      <c r="Q240" s="2"/>
      <c r="R240" s="2"/>
      <c r="S240" s="2"/>
      <c r="T240" s="5"/>
    </row>
    <row r="241" customFormat="false" ht="15.75" hidden="false" customHeight="false" outlineLevel="0" collapsed="false">
      <c r="A241" s="4"/>
      <c r="B241" s="2"/>
      <c r="C241" s="2"/>
      <c r="D241" s="2"/>
      <c r="E241" s="2"/>
      <c r="F241" s="3" t="str">
        <f aca="false">IFERROR(__xludf.dummyfunction("if($T241&lt;&gt;"""",VALUE(REGEXEXTRACT(SUBSTITUTE ($T241,F$1&amp;"" CE"",""""), F$1&amp;""[\w &amp;]*, (\d+\.\d+)"")),"""")
"),"")</f>
        <v/>
      </c>
      <c r="G241" s="3" t="str">
        <f aca="false">IFERROR(__xludf.dummyfunction("if($T241&lt;&gt;"""",VALUE(REGEXEXTRACT($T241, G$1&amp;""[\w &amp;]*, (\d+\.\d+)"")),"""")
"),"")</f>
        <v/>
      </c>
      <c r="H241" s="3"/>
      <c r="I241" s="3" t="str">
        <f aca="false">IFERROR(__xludf.dummyfunction("if($T241&lt;&gt;"""",VALUE(REGEXEXTRACT(SUBSTITUTE ($T241,I$1&amp;"" CE"",""""), I$1&amp;""[\w &amp;]*, (\d+\.\d+)"")),"""")
"),"")</f>
        <v/>
      </c>
      <c r="J241" s="3" t="str">
        <f aca="false">IFERROR(__xludf.dummyfunction("if($T241&lt;&gt;"""",VALUE(REGEXEXTRACT($T241, J$1&amp;""[\w &amp;]*, (\d+\.\d+)"")),"""")
"),"")</f>
        <v/>
      </c>
      <c r="K241" s="3"/>
      <c r="L241" s="3" t="str">
        <f aca="false">IFERROR(__xludf.dummyfunction("if($T241&lt;&gt;"""",VALUE(REGEXEXTRACT(SUBSTITUTE ($T241,L$1&amp;"" CE"",""""), L$1&amp;""[\w &amp;]*, (\d+\.\d+)"")),"""")
"),"")</f>
        <v/>
      </c>
      <c r="M241" s="3" t="str">
        <f aca="false">IFERROR(__xludf.dummyfunction("if($T241&lt;&gt;"""",VALUE(REGEXEXTRACT($T241, M$1&amp;""[\w &amp;]*, (\d+\.\d+)"")),"""")
"),"")</f>
        <v/>
      </c>
      <c r="N241" s="3" t="str">
        <f aca="false">IFERROR(__xludf.dummyfunction("if($T241&lt;&gt;"""",VALUE(REGEXEXTRACT(SUBSTITUTE ($T241,N$1&amp;"" CE"",""""), N$1&amp;""[\w &amp;]*, (\d+\.\d+)"")),"""")
"),"")</f>
        <v/>
      </c>
      <c r="O241" s="3" t="str">
        <f aca="false">IFERROR(__xludf.dummyfunction("if($T241&lt;&gt;"""",VALUE(REGEXEXTRACT($T241, O$1&amp;""[\w &amp;]*, (\d+\.\d+)"")),"""")
"),"")</f>
        <v/>
      </c>
      <c r="P241" s="2"/>
      <c r="Q241" s="2"/>
      <c r="R241" s="2"/>
      <c r="S241" s="2"/>
      <c r="T241" s="5"/>
    </row>
    <row r="242" customFormat="false" ht="15.75" hidden="false" customHeight="false" outlineLevel="0" collapsed="false">
      <c r="A242" s="4"/>
      <c r="B242" s="2"/>
      <c r="C242" s="2"/>
      <c r="D242" s="2"/>
      <c r="E242" s="2"/>
      <c r="F242" s="3" t="str">
        <f aca="false">IFERROR(__xludf.dummyfunction("if($T242&lt;&gt;"""",VALUE(REGEXEXTRACT(SUBSTITUTE ($T242,F$1&amp;"" CE"",""""), F$1&amp;""[\w &amp;]*, (\d+\.\d+)"")),"""")
"),"")</f>
        <v/>
      </c>
      <c r="G242" s="3" t="str">
        <f aca="false">IFERROR(__xludf.dummyfunction("if($T242&lt;&gt;"""",VALUE(REGEXEXTRACT($T242, G$1&amp;""[\w &amp;]*, (\d+\.\d+)"")),"""")
"),"")</f>
        <v/>
      </c>
      <c r="H242" s="3"/>
      <c r="I242" s="3" t="str">
        <f aca="false">IFERROR(__xludf.dummyfunction("if($T242&lt;&gt;"""",VALUE(REGEXEXTRACT(SUBSTITUTE ($T242,I$1&amp;"" CE"",""""), I$1&amp;""[\w &amp;]*, (\d+\.\d+)"")),"""")
"),"")</f>
        <v/>
      </c>
      <c r="J242" s="3" t="str">
        <f aca="false">IFERROR(__xludf.dummyfunction("if($T242&lt;&gt;"""",VALUE(REGEXEXTRACT($T242, J$1&amp;""[\w &amp;]*, (\d+\.\d+)"")),"""")
"),"")</f>
        <v/>
      </c>
      <c r="K242" s="3"/>
      <c r="L242" s="3" t="str">
        <f aca="false">IFERROR(__xludf.dummyfunction("if($T242&lt;&gt;"""",VALUE(REGEXEXTRACT(SUBSTITUTE ($T242,L$1&amp;"" CE"",""""), L$1&amp;""[\w &amp;]*, (\d+\.\d+)"")),"""")
"),"")</f>
        <v/>
      </c>
      <c r="M242" s="3" t="str">
        <f aca="false">IFERROR(__xludf.dummyfunction("if($T242&lt;&gt;"""",VALUE(REGEXEXTRACT($T242, M$1&amp;""[\w &amp;]*, (\d+\.\d+)"")),"""")
"),"")</f>
        <v/>
      </c>
      <c r="N242" s="3" t="str">
        <f aca="false">IFERROR(__xludf.dummyfunction("if($T242&lt;&gt;"""",VALUE(REGEXEXTRACT(SUBSTITUTE ($T242,N$1&amp;"" CE"",""""), N$1&amp;""[\w &amp;]*, (\d+\.\d+)"")),"""")
"),"")</f>
        <v/>
      </c>
      <c r="O242" s="3" t="str">
        <f aca="false">IFERROR(__xludf.dummyfunction("if($T242&lt;&gt;"""",VALUE(REGEXEXTRACT($T242, O$1&amp;""[\w &amp;]*, (\d+\.\d+)"")),"""")
"),"")</f>
        <v/>
      </c>
      <c r="P242" s="2"/>
      <c r="Q242" s="2"/>
      <c r="R242" s="2"/>
      <c r="S242" s="2"/>
      <c r="T242" s="5"/>
    </row>
    <row r="243" customFormat="false" ht="15.75" hidden="false" customHeight="false" outlineLevel="0" collapsed="false">
      <c r="A243" s="4"/>
      <c r="B243" s="2"/>
      <c r="C243" s="2"/>
      <c r="D243" s="2"/>
      <c r="E243" s="2"/>
      <c r="F243" s="3" t="str">
        <f aca="false">IFERROR(__xludf.dummyfunction("if($T243&lt;&gt;"""",VALUE(REGEXEXTRACT(SUBSTITUTE ($T243,F$1&amp;"" CE"",""""), F$1&amp;""[\w &amp;]*, (\d+\.\d+)"")),"""")
"),"")</f>
        <v/>
      </c>
      <c r="G243" s="3" t="str">
        <f aca="false">IFERROR(__xludf.dummyfunction("if($T243&lt;&gt;"""",VALUE(REGEXEXTRACT($T243, G$1&amp;""[\w &amp;]*, (\d+\.\d+)"")),"""")
"),"")</f>
        <v/>
      </c>
      <c r="H243" s="3"/>
      <c r="I243" s="3" t="str">
        <f aca="false">IFERROR(__xludf.dummyfunction("if($T243&lt;&gt;"""",VALUE(REGEXEXTRACT(SUBSTITUTE ($T243,I$1&amp;"" CE"",""""), I$1&amp;""[\w &amp;]*, (\d+\.\d+)"")),"""")
"),"")</f>
        <v/>
      </c>
      <c r="J243" s="3" t="str">
        <f aca="false">IFERROR(__xludf.dummyfunction("if($T243&lt;&gt;"""",VALUE(REGEXEXTRACT($T243, J$1&amp;""[\w &amp;]*, (\d+\.\d+)"")),"""")
"),"")</f>
        <v/>
      </c>
      <c r="K243" s="3"/>
      <c r="L243" s="3" t="str">
        <f aca="false">IFERROR(__xludf.dummyfunction("if($T243&lt;&gt;"""",VALUE(REGEXEXTRACT(SUBSTITUTE ($T243,L$1&amp;"" CE"",""""), L$1&amp;""[\w &amp;]*, (\d+\.\d+)"")),"""")
"),"")</f>
        <v/>
      </c>
      <c r="M243" s="3" t="str">
        <f aca="false">IFERROR(__xludf.dummyfunction("if($T243&lt;&gt;"""",VALUE(REGEXEXTRACT($T243, M$1&amp;""[\w &amp;]*, (\d+\.\d+)"")),"""")
"),"")</f>
        <v/>
      </c>
      <c r="N243" s="3" t="str">
        <f aca="false">IFERROR(__xludf.dummyfunction("if($T243&lt;&gt;"""",VALUE(REGEXEXTRACT(SUBSTITUTE ($T243,N$1&amp;"" CE"",""""), N$1&amp;""[\w &amp;]*, (\d+\.\d+)"")),"""")
"),"")</f>
        <v/>
      </c>
      <c r="O243" s="3" t="str">
        <f aca="false">IFERROR(__xludf.dummyfunction("if($T243&lt;&gt;"""",VALUE(REGEXEXTRACT($T243, O$1&amp;""[\w &amp;]*, (\d+\.\d+)"")),"""")
"),"")</f>
        <v/>
      </c>
      <c r="P243" s="2"/>
      <c r="Q243" s="2"/>
      <c r="R243" s="2"/>
      <c r="S243" s="2"/>
      <c r="T243" s="5"/>
    </row>
    <row r="244" customFormat="false" ht="15.75" hidden="false" customHeight="false" outlineLevel="0" collapsed="false">
      <c r="A244" s="4"/>
      <c r="B244" s="2"/>
      <c r="C244" s="2"/>
      <c r="D244" s="2"/>
      <c r="E244" s="2"/>
      <c r="F244" s="3" t="str">
        <f aca="false">IFERROR(__xludf.dummyfunction("if($T244&lt;&gt;"""",VALUE(REGEXEXTRACT(SUBSTITUTE ($T244,F$1&amp;"" CE"",""""), F$1&amp;""[\w &amp;]*, (\d+\.\d+)"")),"""")
"),"")</f>
        <v/>
      </c>
      <c r="G244" s="3" t="str">
        <f aca="false">IFERROR(__xludf.dummyfunction("if($T244&lt;&gt;"""",VALUE(REGEXEXTRACT($T244, G$1&amp;""[\w &amp;]*, (\d+\.\d+)"")),"""")
"),"")</f>
        <v/>
      </c>
      <c r="H244" s="3"/>
      <c r="I244" s="3" t="str">
        <f aca="false">IFERROR(__xludf.dummyfunction("if($T244&lt;&gt;"""",VALUE(REGEXEXTRACT(SUBSTITUTE ($T244,I$1&amp;"" CE"",""""), I$1&amp;""[\w &amp;]*, (\d+\.\d+)"")),"""")
"),"")</f>
        <v/>
      </c>
      <c r="J244" s="3" t="str">
        <f aca="false">IFERROR(__xludf.dummyfunction("if($T244&lt;&gt;"""",VALUE(REGEXEXTRACT($T244, J$1&amp;""[\w &amp;]*, (\d+\.\d+)"")),"""")
"),"")</f>
        <v/>
      </c>
      <c r="K244" s="3"/>
      <c r="L244" s="3" t="str">
        <f aca="false">IFERROR(__xludf.dummyfunction("if($T244&lt;&gt;"""",VALUE(REGEXEXTRACT(SUBSTITUTE ($T244,L$1&amp;"" CE"",""""), L$1&amp;""[\w &amp;]*, (\d+\.\d+)"")),"""")
"),"")</f>
        <v/>
      </c>
      <c r="M244" s="3" t="str">
        <f aca="false">IFERROR(__xludf.dummyfunction("if($T244&lt;&gt;"""",VALUE(REGEXEXTRACT($T244, M$1&amp;""[\w &amp;]*, (\d+\.\d+)"")),"""")
"),"")</f>
        <v/>
      </c>
      <c r="N244" s="3" t="str">
        <f aca="false">IFERROR(__xludf.dummyfunction("if($T244&lt;&gt;"""",VALUE(REGEXEXTRACT(SUBSTITUTE ($T244,N$1&amp;"" CE"",""""), N$1&amp;""[\w &amp;]*, (\d+\.\d+)"")),"""")
"),"")</f>
        <v/>
      </c>
      <c r="O244" s="3" t="str">
        <f aca="false">IFERROR(__xludf.dummyfunction("if($T244&lt;&gt;"""",VALUE(REGEXEXTRACT($T244, O$1&amp;""[\w &amp;]*, (\d+\.\d+)"")),"""")
"),"")</f>
        <v/>
      </c>
      <c r="P244" s="2"/>
      <c r="Q244" s="2"/>
      <c r="R244" s="2"/>
      <c r="S244" s="2"/>
      <c r="T244" s="5"/>
    </row>
    <row r="245" customFormat="false" ht="15.75" hidden="false" customHeight="false" outlineLevel="0" collapsed="false">
      <c r="A245" s="4"/>
      <c r="B245" s="2"/>
      <c r="C245" s="2"/>
      <c r="D245" s="2"/>
      <c r="E245" s="2"/>
      <c r="F245" s="3" t="str">
        <f aca="false">IFERROR(__xludf.dummyfunction("if($T245&lt;&gt;"""",VALUE(REGEXEXTRACT(SUBSTITUTE ($T245,F$1&amp;"" CE"",""""), F$1&amp;""[\w &amp;]*, (\d+\.\d+)"")),"""")
"),"")</f>
        <v/>
      </c>
      <c r="G245" s="3" t="str">
        <f aca="false">IFERROR(__xludf.dummyfunction("if($T245&lt;&gt;"""",VALUE(REGEXEXTRACT($T245, G$1&amp;""[\w &amp;]*, (\d+\.\d+)"")),"""")
"),"")</f>
        <v/>
      </c>
      <c r="H245" s="3"/>
      <c r="I245" s="3" t="str">
        <f aca="false">IFERROR(__xludf.dummyfunction("if($T245&lt;&gt;"""",VALUE(REGEXEXTRACT(SUBSTITUTE ($T245,I$1&amp;"" CE"",""""), I$1&amp;""[\w &amp;]*, (\d+\.\d+)"")),"""")
"),"")</f>
        <v/>
      </c>
      <c r="J245" s="3" t="str">
        <f aca="false">IFERROR(__xludf.dummyfunction("if($T245&lt;&gt;"""",VALUE(REGEXEXTRACT($T245, J$1&amp;""[\w &amp;]*, (\d+\.\d+)"")),"""")
"),"")</f>
        <v/>
      </c>
      <c r="K245" s="3"/>
      <c r="L245" s="3" t="str">
        <f aca="false">IFERROR(__xludf.dummyfunction("if($T245&lt;&gt;"""",VALUE(REGEXEXTRACT(SUBSTITUTE ($T245,L$1&amp;"" CE"",""""), L$1&amp;""[\w &amp;]*, (\d+\.\d+)"")),"""")
"),"")</f>
        <v/>
      </c>
      <c r="M245" s="3" t="str">
        <f aca="false">IFERROR(__xludf.dummyfunction("if($T245&lt;&gt;"""",VALUE(REGEXEXTRACT($T245, M$1&amp;""[\w &amp;]*, (\d+\.\d+)"")),"""")
"),"")</f>
        <v/>
      </c>
      <c r="N245" s="3" t="str">
        <f aca="false">IFERROR(__xludf.dummyfunction("if($T245&lt;&gt;"""",VALUE(REGEXEXTRACT(SUBSTITUTE ($T245,N$1&amp;"" CE"",""""), N$1&amp;""[\w &amp;]*, (\d+\.\d+)"")),"""")
"),"")</f>
        <v/>
      </c>
      <c r="O245" s="3" t="str">
        <f aca="false">IFERROR(__xludf.dummyfunction("if($T245&lt;&gt;"""",VALUE(REGEXEXTRACT($T245, O$1&amp;""[\w &amp;]*, (\d+\.\d+)"")),"""")
"),"")</f>
        <v/>
      </c>
      <c r="P245" s="2"/>
      <c r="Q245" s="2"/>
      <c r="R245" s="2"/>
      <c r="S245" s="2"/>
      <c r="T245" s="5"/>
    </row>
    <row r="246" customFormat="false" ht="15.75" hidden="false" customHeight="false" outlineLevel="0" collapsed="false">
      <c r="A246" s="4"/>
      <c r="B246" s="2"/>
      <c r="C246" s="2"/>
      <c r="D246" s="2"/>
      <c r="E246" s="2"/>
      <c r="F246" s="3" t="str">
        <f aca="false">IFERROR(__xludf.dummyfunction("if($T246&lt;&gt;"""",VALUE(REGEXEXTRACT(SUBSTITUTE ($T246,F$1&amp;"" CE"",""""), F$1&amp;""[\w &amp;]*, (\d+\.\d+)"")),"""")
"),"")</f>
        <v/>
      </c>
      <c r="G246" s="3" t="str">
        <f aca="false">IFERROR(__xludf.dummyfunction("if($T246&lt;&gt;"""",VALUE(REGEXEXTRACT($T246, G$1&amp;""[\w &amp;]*, (\d+\.\d+)"")),"""")
"),"")</f>
        <v/>
      </c>
      <c r="H246" s="3"/>
      <c r="I246" s="3" t="str">
        <f aca="false">IFERROR(__xludf.dummyfunction("if($T246&lt;&gt;"""",VALUE(REGEXEXTRACT(SUBSTITUTE ($T246,I$1&amp;"" CE"",""""), I$1&amp;""[\w &amp;]*, (\d+\.\d+)"")),"""")
"),"")</f>
        <v/>
      </c>
      <c r="J246" s="3" t="str">
        <f aca="false">IFERROR(__xludf.dummyfunction("if($T246&lt;&gt;"""",VALUE(REGEXEXTRACT($T246, J$1&amp;""[\w &amp;]*, (\d+\.\d+)"")),"""")
"),"")</f>
        <v/>
      </c>
      <c r="K246" s="3"/>
      <c r="L246" s="3" t="str">
        <f aca="false">IFERROR(__xludf.dummyfunction("if($T246&lt;&gt;"""",VALUE(REGEXEXTRACT(SUBSTITUTE ($T246,L$1&amp;"" CE"",""""), L$1&amp;""[\w &amp;]*, (\d+\.\d+)"")),"""")
"),"")</f>
        <v/>
      </c>
      <c r="M246" s="3" t="str">
        <f aca="false">IFERROR(__xludf.dummyfunction("if($T246&lt;&gt;"""",VALUE(REGEXEXTRACT($T246, M$1&amp;""[\w &amp;]*, (\d+\.\d+)"")),"""")
"),"")</f>
        <v/>
      </c>
      <c r="N246" s="3" t="str">
        <f aca="false">IFERROR(__xludf.dummyfunction("if($T246&lt;&gt;"""",VALUE(REGEXEXTRACT(SUBSTITUTE ($T246,N$1&amp;"" CE"",""""), N$1&amp;""[\w &amp;]*, (\d+\.\d+)"")),"""")
"),"")</f>
        <v/>
      </c>
      <c r="O246" s="3" t="str">
        <f aca="false">IFERROR(__xludf.dummyfunction("if($T246&lt;&gt;"""",VALUE(REGEXEXTRACT($T246, O$1&amp;""[\w &amp;]*, (\d+\.\d+)"")),"""")
"),"")</f>
        <v/>
      </c>
      <c r="P246" s="2"/>
      <c r="Q246" s="2"/>
      <c r="R246" s="2"/>
      <c r="S246" s="2"/>
      <c r="T246" s="5"/>
    </row>
    <row r="247" customFormat="false" ht="15.75" hidden="false" customHeight="false" outlineLevel="0" collapsed="false">
      <c r="A247" s="4"/>
      <c r="B247" s="2"/>
      <c r="C247" s="2"/>
      <c r="D247" s="2"/>
      <c r="E247" s="2"/>
      <c r="F247" s="3" t="str">
        <f aca="false">IFERROR(__xludf.dummyfunction("if($T247&lt;&gt;"""",VALUE(REGEXEXTRACT(SUBSTITUTE ($T247,F$1&amp;"" CE"",""""), F$1&amp;""[\w &amp;]*, (\d+\.\d+)"")),"""")
"),"")</f>
        <v/>
      </c>
      <c r="G247" s="3" t="str">
        <f aca="false">IFERROR(__xludf.dummyfunction("if($T247&lt;&gt;"""",VALUE(REGEXEXTRACT($T247, G$1&amp;""[\w &amp;]*, (\d+\.\d+)"")),"""")
"),"")</f>
        <v/>
      </c>
      <c r="H247" s="3"/>
      <c r="I247" s="3" t="str">
        <f aca="false">IFERROR(__xludf.dummyfunction("if($T247&lt;&gt;"""",VALUE(REGEXEXTRACT(SUBSTITUTE ($T247,I$1&amp;"" CE"",""""), I$1&amp;""[\w &amp;]*, (\d+\.\d+)"")),"""")
"),"")</f>
        <v/>
      </c>
      <c r="J247" s="3" t="str">
        <f aca="false">IFERROR(__xludf.dummyfunction("if($T247&lt;&gt;"""",VALUE(REGEXEXTRACT($T247, J$1&amp;""[\w &amp;]*, (\d+\.\d+)"")),"""")
"),"")</f>
        <v/>
      </c>
      <c r="K247" s="3"/>
      <c r="L247" s="3" t="str">
        <f aca="false">IFERROR(__xludf.dummyfunction("if($T247&lt;&gt;"""",VALUE(REGEXEXTRACT(SUBSTITUTE ($T247,L$1&amp;"" CE"",""""), L$1&amp;""[\w &amp;]*, (\d+\.\d+)"")),"""")
"),"")</f>
        <v/>
      </c>
      <c r="M247" s="3" t="str">
        <f aca="false">IFERROR(__xludf.dummyfunction("if($T247&lt;&gt;"""",VALUE(REGEXEXTRACT($T247, M$1&amp;""[\w &amp;]*, (\d+\.\d+)"")),"""")
"),"")</f>
        <v/>
      </c>
      <c r="N247" s="3" t="str">
        <f aca="false">IFERROR(__xludf.dummyfunction("if($T247&lt;&gt;"""",VALUE(REGEXEXTRACT(SUBSTITUTE ($T247,N$1&amp;"" CE"",""""), N$1&amp;""[\w &amp;]*, (\d+\.\d+)"")),"""")
"),"")</f>
        <v/>
      </c>
      <c r="O247" s="3" t="str">
        <f aca="false">IFERROR(__xludf.dummyfunction("if($T247&lt;&gt;"""",VALUE(REGEXEXTRACT($T247, O$1&amp;""[\w &amp;]*, (\d+\.\d+)"")),"""")
"),"")</f>
        <v/>
      </c>
      <c r="P247" s="2"/>
      <c r="Q247" s="2"/>
      <c r="R247" s="2"/>
      <c r="S247" s="2"/>
      <c r="T247" s="5"/>
    </row>
    <row r="248" customFormat="false" ht="15.75" hidden="false" customHeight="false" outlineLevel="0" collapsed="false">
      <c r="A248" s="4"/>
      <c r="B248" s="2"/>
      <c r="C248" s="2"/>
      <c r="D248" s="2"/>
      <c r="E248" s="2"/>
      <c r="F248" s="3" t="str">
        <f aca="false">IFERROR(__xludf.dummyfunction("if($T248&lt;&gt;"""",VALUE(REGEXEXTRACT(SUBSTITUTE ($T248,F$1&amp;"" CE"",""""), F$1&amp;""[\w &amp;]*, (\d+\.\d+)"")),"""")
"),"")</f>
        <v/>
      </c>
      <c r="G248" s="3" t="str">
        <f aca="false">IFERROR(__xludf.dummyfunction("if($T248&lt;&gt;"""",VALUE(REGEXEXTRACT($T248, G$1&amp;""[\w &amp;]*, (\d+\.\d+)"")),"""")
"),"")</f>
        <v/>
      </c>
      <c r="H248" s="3"/>
      <c r="I248" s="3" t="str">
        <f aca="false">IFERROR(__xludf.dummyfunction("if($T248&lt;&gt;"""",VALUE(REGEXEXTRACT(SUBSTITUTE ($T248,I$1&amp;"" CE"",""""), I$1&amp;""[\w &amp;]*, (\d+\.\d+)"")),"""")
"),"")</f>
        <v/>
      </c>
      <c r="J248" s="3" t="str">
        <f aca="false">IFERROR(__xludf.dummyfunction("if($T248&lt;&gt;"""",VALUE(REGEXEXTRACT($T248, J$1&amp;""[\w &amp;]*, (\d+\.\d+)"")),"""")
"),"")</f>
        <v/>
      </c>
      <c r="K248" s="3"/>
      <c r="L248" s="3" t="str">
        <f aca="false">IFERROR(__xludf.dummyfunction("if($T248&lt;&gt;"""",VALUE(REGEXEXTRACT(SUBSTITUTE ($T248,L$1&amp;"" CE"",""""), L$1&amp;""[\w &amp;]*, (\d+\.\d+)"")),"""")
"),"")</f>
        <v/>
      </c>
      <c r="M248" s="3" t="str">
        <f aca="false">IFERROR(__xludf.dummyfunction("if($T248&lt;&gt;"""",VALUE(REGEXEXTRACT($T248, M$1&amp;""[\w &amp;]*, (\d+\.\d+)"")),"""")
"),"")</f>
        <v/>
      </c>
      <c r="N248" s="3" t="str">
        <f aca="false">IFERROR(__xludf.dummyfunction("if($T248&lt;&gt;"""",VALUE(REGEXEXTRACT(SUBSTITUTE ($T248,N$1&amp;"" CE"",""""), N$1&amp;""[\w &amp;]*, (\d+\.\d+)"")),"""")
"),"")</f>
        <v/>
      </c>
      <c r="O248" s="3" t="str">
        <f aca="false">IFERROR(__xludf.dummyfunction("if($T248&lt;&gt;"""",VALUE(REGEXEXTRACT($T248, O$1&amp;""[\w &amp;]*, (\d+\.\d+)"")),"""")
"),"")</f>
        <v/>
      </c>
      <c r="P248" s="2"/>
      <c r="Q248" s="2"/>
      <c r="R248" s="2"/>
      <c r="S248" s="2"/>
      <c r="T248" s="5"/>
    </row>
    <row r="249" customFormat="false" ht="15.75" hidden="false" customHeight="false" outlineLevel="0" collapsed="false">
      <c r="A249" s="4"/>
      <c r="B249" s="2"/>
      <c r="C249" s="2"/>
      <c r="D249" s="2"/>
      <c r="E249" s="2"/>
      <c r="F249" s="3" t="str">
        <f aca="false">IFERROR(__xludf.dummyfunction("if($T249&lt;&gt;"""",VALUE(REGEXEXTRACT(SUBSTITUTE ($T249,F$1&amp;"" CE"",""""), F$1&amp;""[\w &amp;]*, (\d+\.\d+)"")),"""")
"),"")</f>
        <v/>
      </c>
      <c r="G249" s="3" t="str">
        <f aca="false">IFERROR(__xludf.dummyfunction("if($T249&lt;&gt;"""",VALUE(REGEXEXTRACT($T249, G$1&amp;""[\w &amp;]*, (\d+\.\d+)"")),"""")
"),"")</f>
        <v/>
      </c>
      <c r="H249" s="3"/>
      <c r="I249" s="3" t="str">
        <f aca="false">IFERROR(__xludf.dummyfunction("if($T249&lt;&gt;"""",VALUE(REGEXEXTRACT(SUBSTITUTE ($T249,I$1&amp;"" CE"",""""), I$1&amp;""[\w &amp;]*, (\d+\.\d+)"")),"""")
"),"")</f>
        <v/>
      </c>
      <c r="J249" s="3" t="str">
        <f aca="false">IFERROR(__xludf.dummyfunction("if($T249&lt;&gt;"""",VALUE(REGEXEXTRACT($T249, J$1&amp;""[\w &amp;]*, (\d+\.\d+)"")),"""")
"),"")</f>
        <v/>
      </c>
      <c r="K249" s="3"/>
      <c r="L249" s="3" t="str">
        <f aca="false">IFERROR(__xludf.dummyfunction("if($T249&lt;&gt;"""",VALUE(REGEXEXTRACT(SUBSTITUTE ($T249,L$1&amp;"" CE"",""""), L$1&amp;""[\w &amp;]*, (\d+\.\d+)"")),"""")
"),"")</f>
        <v/>
      </c>
      <c r="M249" s="3" t="str">
        <f aca="false">IFERROR(__xludf.dummyfunction("if($T249&lt;&gt;"""",VALUE(REGEXEXTRACT($T249, M$1&amp;""[\w &amp;]*, (\d+\.\d+)"")),"""")
"),"")</f>
        <v/>
      </c>
      <c r="N249" s="3" t="str">
        <f aca="false">IFERROR(__xludf.dummyfunction("if($T249&lt;&gt;"""",VALUE(REGEXEXTRACT(SUBSTITUTE ($T249,N$1&amp;"" CE"",""""), N$1&amp;""[\w &amp;]*, (\d+\.\d+)"")),"""")
"),"")</f>
        <v/>
      </c>
      <c r="O249" s="3" t="str">
        <f aca="false">IFERROR(__xludf.dummyfunction("if($T249&lt;&gt;"""",VALUE(REGEXEXTRACT($T249, O$1&amp;""[\w &amp;]*, (\d+\.\d+)"")),"""")
"),"")</f>
        <v/>
      </c>
      <c r="P249" s="2"/>
      <c r="Q249" s="2"/>
      <c r="R249" s="2"/>
      <c r="S249" s="2"/>
      <c r="T249" s="5"/>
    </row>
    <row r="250" customFormat="false" ht="15.75" hidden="false" customHeight="false" outlineLevel="0" collapsed="false">
      <c r="A250" s="4"/>
      <c r="B250" s="2"/>
      <c r="C250" s="2"/>
      <c r="D250" s="2"/>
      <c r="E250" s="2"/>
      <c r="F250" s="3" t="str">
        <f aca="false">IFERROR(__xludf.dummyfunction("if($T250&lt;&gt;"""",VALUE(REGEXEXTRACT(SUBSTITUTE ($T250,F$1&amp;"" CE"",""""), F$1&amp;""[\w &amp;]*, (\d+\.\d+)"")),"""")
"),"")</f>
        <v/>
      </c>
      <c r="G250" s="3" t="str">
        <f aca="false">IFERROR(__xludf.dummyfunction("if($T250&lt;&gt;"""",VALUE(REGEXEXTRACT($T250, G$1&amp;""[\w &amp;]*, (\d+\.\d+)"")),"""")
"),"")</f>
        <v/>
      </c>
      <c r="H250" s="3"/>
      <c r="I250" s="3" t="str">
        <f aca="false">IFERROR(__xludf.dummyfunction("if($T250&lt;&gt;"""",VALUE(REGEXEXTRACT(SUBSTITUTE ($T250,I$1&amp;"" CE"",""""), I$1&amp;""[\w &amp;]*, (\d+\.\d+)"")),"""")
"),"")</f>
        <v/>
      </c>
      <c r="J250" s="3" t="str">
        <f aca="false">IFERROR(__xludf.dummyfunction("if($T250&lt;&gt;"""",VALUE(REGEXEXTRACT($T250, J$1&amp;""[\w &amp;]*, (\d+\.\d+)"")),"""")
"),"")</f>
        <v/>
      </c>
      <c r="K250" s="3"/>
      <c r="L250" s="3" t="str">
        <f aca="false">IFERROR(__xludf.dummyfunction("if($T250&lt;&gt;"""",VALUE(REGEXEXTRACT(SUBSTITUTE ($T250,L$1&amp;"" CE"",""""), L$1&amp;""[\w &amp;]*, (\d+\.\d+)"")),"""")
"),"")</f>
        <v/>
      </c>
      <c r="M250" s="3" t="str">
        <f aca="false">IFERROR(__xludf.dummyfunction("if($T250&lt;&gt;"""",VALUE(REGEXEXTRACT($T250, M$1&amp;""[\w &amp;]*, (\d+\.\d+)"")),"""")
"),"")</f>
        <v/>
      </c>
      <c r="N250" s="3" t="str">
        <f aca="false">IFERROR(__xludf.dummyfunction("if($T250&lt;&gt;"""",VALUE(REGEXEXTRACT(SUBSTITUTE ($T250,N$1&amp;"" CE"",""""), N$1&amp;""[\w &amp;]*, (\d+\.\d+)"")),"""")
"),"")</f>
        <v/>
      </c>
      <c r="O250" s="3" t="str">
        <f aca="false">IFERROR(__xludf.dummyfunction("if($T250&lt;&gt;"""",VALUE(REGEXEXTRACT($T250, O$1&amp;""[\w &amp;]*, (\d+\.\d+)"")),"""")
"),"")</f>
        <v/>
      </c>
      <c r="P250" s="2"/>
      <c r="Q250" s="2"/>
      <c r="R250" s="2"/>
      <c r="S250" s="2"/>
      <c r="T250" s="5"/>
    </row>
    <row r="251" customFormat="false" ht="15.75" hidden="false" customHeight="false" outlineLevel="0" collapsed="false">
      <c r="A251" s="4"/>
      <c r="B251" s="2"/>
      <c r="C251" s="2"/>
      <c r="D251" s="2"/>
      <c r="E251" s="2"/>
      <c r="F251" s="3" t="str">
        <f aca="false">IFERROR(__xludf.dummyfunction("if($T251&lt;&gt;"""",VALUE(REGEXEXTRACT(SUBSTITUTE ($T251,F$1&amp;"" CE"",""""), F$1&amp;""[\w &amp;]*, (\d+\.\d+)"")),"""")
"),"")</f>
        <v/>
      </c>
      <c r="G251" s="3" t="str">
        <f aca="false">IFERROR(__xludf.dummyfunction("if($T251&lt;&gt;"""",VALUE(REGEXEXTRACT($T251, G$1&amp;""[\w &amp;]*, (\d+\.\d+)"")),"""")
"),"")</f>
        <v/>
      </c>
      <c r="H251" s="3"/>
      <c r="I251" s="3" t="str">
        <f aca="false">IFERROR(__xludf.dummyfunction("if($T251&lt;&gt;"""",VALUE(REGEXEXTRACT(SUBSTITUTE ($T251,I$1&amp;"" CE"",""""), I$1&amp;""[\w &amp;]*, (\d+\.\d+)"")),"""")
"),"")</f>
        <v/>
      </c>
      <c r="J251" s="3" t="str">
        <f aca="false">IFERROR(__xludf.dummyfunction("if($T251&lt;&gt;"""",VALUE(REGEXEXTRACT($T251, J$1&amp;""[\w &amp;]*, (\d+\.\d+)"")),"""")
"),"")</f>
        <v/>
      </c>
      <c r="K251" s="3"/>
      <c r="L251" s="3" t="str">
        <f aca="false">IFERROR(__xludf.dummyfunction("if($T251&lt;&gt;"""",VALUE(REGEXEXTRACT(SUBSTITUTE ($T251,L$1&amp;"" CE"",""""), L$1&amp;""[\w &amp;]*, (\d+\.\d+)"")),"""")
"),"")</f>
        <v/>
      </c>
      <c r="M251" s="3" t="str">
        <f aca="false">IFERROR(__xludf.dummyfunction("if($T251&lt;&gt;"""",VALUE(REGEXEXTRACT($T251, M$1&amp;""[\w &amp;]*, (\d+\.\d+)"")),"""")
"),"")</f>
        <v/>
      </c>
      <c r="N251" s="3" t="str">
        <f aca="false">IFERROR(__xludf.dummyfunction("if($T251&lt;&gt;"""",VALUE(REGEXEXTRACT(SUBSTITUTE ($T251,N$1&amp;"" CE"",""""), N$1&amp;""[\w &amp;]*, (\d+\.\d+)"")),"""")
"),"")</f>
        <v/>
      </c>
      <c r="O251" s="3" t="str">
        <f aca="false">IFERROR(__xludf.dummyfunction("if($T251&lt;&gt;"""",VALUE(REGEXEXTRACT($T251, O$1&amp;""[\w &amp;]*, (\d+\.\d+)"")),"""")
"),"")</f>
        <v/>
      </c>
      <c r="P251" s="2"/>
      <c r="Q251" s="2"/>
      <c r="R251" s="2"/>
      <c r="S251" s="2"/>
      <c r="T251" s="5"/>
    </row>
    <row r="252" customFormat="false" ht="15.75" hidden="false" customHeight="false" outlineLevel="0" collapsed="false">
      <c r="A252" s="4"/>
      <c r="B252" s="2"/>
      <c r="C252" s="2"/>
      <c r="D252" s="2"/>
      <c r="E252" s="2"/>
      <c r="F252" s="3" t="str">
        <f aca="false">IFERROR(__xludf.dummyfunction("if($T252&lt;&gt;"""",VALUE(REGEXEXTRACT(SUBSTITUTE ($T252,F$1&amp;"" CE"",""""), F$1&amp;""[\w &amp;]*, (\d+\.\d+)"")),"""")
"),"")</f>
        <v/>
      </c>
      <c r="G252" s="3" t="str">
        <f aca="false">IFERROR(__xludf.dummyfunction("if($T252&lt;&gt;"""",VALUE(REGEXEXTRACT($T252, G$1&amp;""[\w &amp;]*, (\d+\.\d+)"")),"""")
"),"")</f>
        <v/>
      </c>
      <c r="H252" s="3"/>
      <c r="I252" s="3" t="str">
        <f aca="false">IFERROR(__xludf.dummyfunction("if($T252&lt;&gt;"""",VALUE(REGEXEXTRACT(SUBSTITUTE ($T252,I$1&amp;"" CE"",""""), I$1&amp;""[\w &amp;]*, (\d+\.\d+)"")),"""")
"),"")</f>
        <v/>
      </c>
      <c r="J252" s="3" t="str">
        <f aca="false">IFERROR(__xludf.dummyfunction("if($T252&lt;&gt;"""",VALUE(REGEXEXTRACT($T252, J$1&amp;""[\w &amp;]*, (\d+\.\d+)"")),"""")
"),"")</f>
        <v/>
      </c>
      <c r="K252" s="3"/>
      <c r="L252" s="3" t="str">
        <f aca="false">IFERROR(__xludf.dummyfunction("if($T252&lt;&gt;"""",VALUE(REGEXEXTRACT(SUBSTITUTE ($T252,L$1&amp;"" CE"",""""), L$1&amp;""[\w &amp;]*, (\d+\.\d+)"")),"""")
"),"")</f>
        <v/>
      </c>
      <c r="M252" s="3" t="str">
        <f aca="false">IFERROR(__xludf.dummyfunction("if($T252&lt;&gt;"""",VALUE(REGEXEXTRACT($T252, M$1&amp;""[\w &amp;]*, (\d+\.\d+)"")),"""")
"),"")</f>
        <v/>
      </c>
      <c r="N252" s="3" t="str">
        <f aca="false">IFERROR(__xludf.dummyfunction("if($T252&lt;&gt;"""",VALUE(REGEXEXTRACT(SUBSTITUTE ($T252,N$1&amp;"" CE"",""""), N$1&amp;""[\w &amp;]*, (\d+\.\d+)"")),"""")
"),"")</f>
        <v/>
      </c>
      <c r="O252" s="3" t="str">
        <f aca="false">IFERROR(__xludf.dummyfunction("if($T252&lt;&gt;"""",VALUE(REGEXEXTRACT($T252, O$1&amp;""[\w &amp;]*, (\d+\.\d+)"")),"""")
"),"")</f>
        <v/>
      </c>
      <c r="P252" s="2"/>
      <c r="Q252" s="2"/>
      <c r="R252" s="2"/>
      <c r="S252" s="2"/>
      <c r="T252" s="5"/>
    </row>
    <row r="253" customFormat="false" ht="15.75" hidden="false" customHeight="false" outlineLevel="0" collapsed="false">
      <c r="A253" s="4"/>
      <c r="B253" s="2"/>
      <c r="C253" s="2"/>
      <c r="D253" s="2"/>
      <c r="E253" s="2"/>
      <c r="F253" s="3" t="str">
        <f aca="false">IFERROR(__xludf.dummyfunction("if($T253&lt;&gt;"""",VALUE(REGEXEXTRACT(SUBSTITUTE ($T253,F$1&amp;"" CE"",""""), F$1&amp;""[\w &amp;]*, (\d+\.\d+)"")),"""")
"),"")</f>
        <v/>
      </c>
      <c r="G253" s="3" t="str">
        <f aca="false">IFERROR(__xludf.dummyfunction("if($T253&lt;&gt;"""",VALUE(REGEXEXTRACT($T253, G$1&amp;""[\w &amp;]*, (\d+\.\d+)"")),"""")
"),"")</f>
        <v/>
      </c>
      <c r="H253" s="3"/>
      <c r="I253" s="3" t="str">
        <f aca="false">IFERROR(__xludf.dummyfunction("if($T253&lt;&gt;"""",VALUE(REGEXEXTRACT(SUBSTITUTE ($T253,I$1&amp;"" CE"",""""), I$1&amp;""[\w &amp;]*, (\d+\.\d+)"")),"""")
"),"")</f>
        <v/>
      </c>
      <c r="J253" s="3" t="str">
        <f aca="false">IFERROR(__xludf.dummyfunction("if($T253&lt;&gt;"""",VALUE(REGEXEXTRACT($T253, J$1&amp;""[\w &amp;]*, (\d+\.\d+)"")),"""")
"),"")</f>
        <v/>
      </c>
      <c r="K253" s="3"/>
      <c r="L253" s="3" t="str">
        <f aca="false">IFERROR(__xludf.dummyfunction("if($T253&lt;&gt;"""",VALUE(REGEXEXTRACT(SUBSTITUTE ($T253,L$1&amp;"" CE"",""""), L$1&amp;""[\w &amp;]*, (\d+\.\d+)"")),"""")
"),"")</f>
        <v/>
      </c>
      <c r="M253" s="3" t="str">
        <f aca="false">IFERROR(__xludf.dummyfunction("if($T253&lt;&gt;"""",VALUE(REGEXEXTRACT($T253, M$1&amp;""[\w &amp;]*, (\d+\.\d+)"")),"""")
"),"")</f>
        <v/>
      </c>
      <c r="N253" s="3" t="str">
        <f aca="false">IFERROR(__xludf.dummyfunction("if($T253&lt;&gt;"""",VALUE(REGEXEXTRACT(SUBSTITUTE ($T253,N$1&amp;"" CE"",""""), N$1&amp;""[\w &amp;]*, (\d+\.\d+)"")),"""")
"),"")</f>
        <v/>
      </c>
      <c r="O253" s="3" t="str">
        <f aca="false">IFERROR(__xludf.dummyfunction("if($T253&lt;&gt;"""",VALUE(REGEXEXTRACT($T253, O$1&amp;""[\w &amp;]*, (\d+\.\d+)"")),"""")
"),"")</f>
        <v/>
      </c>
      <c r="P253" s="2"/>
      <c r="Q253" s="2"/>
      <c r="R253" s="2"/>
      <c r="S253" s="2"/>
      <c r="T253" s="5"/>
    </row>
    <row r="254" customFormat="false" ht="15.75" hidden="false" customHeight="false" outlineLevel="0" collapsed="false">
      <c r="A254" s="4"/>
      <c r="B254" s="2"/>
      <c r="C254" s="2"/>
      <c r="D254" s="2"/>
      <c r="E254" s="2"/>
      <c r="F254" s="3" t="str">
        <f aca="false">IFERROR(__xludf.dummyfunction("if($T254&lt;&gt;"""",VALUE(REGEXEXTRACT(SUBSTITUTE ($T254,F$1&amp;"" CE"",""""), F$1&amp;""[\w &amp;]*, (\d+\.\d+)"")),"""")
"),"")</f>
        <v/>
      </c>
      <c r="G254" s="3" t="str">
        <f aca="false">IFERROR(__xludf.dummyfunction("if($T254&lt;&gt;"""",VALUE(REGEXEXTRACT($T254, G$1&amp;""[\w &amp;]*, (\d+\.\d+)"")),"""")
"),"")</f>
        <v/>
      </c>
      <c r="H254" s="3"/>
      <c r="I254" s="3" t="str">
        <f aca="false">IFERROR(__xludf.dummyfunction("if($T254&lt;&gt;"""",VALUE(REGEXEXTRACT(SUBSTITUTE ($T254,I$1&amp;"" CE"",""""), I$1&amp;""[\w &amp;]*, (\d+\.\d+)"")),"""")
"),"")</f>
        <v/>
      </c>
      <c r="J254" s="3" t="str">
        <f aca="false">IFERROR(__xludf.dummyfunction("if($T254&lt;&gt;"""",VALUE(REGEXEXTRACT($T254, J$1&amp;""[\w &amp;]*, (\d+\.\d+)"")),"""")
"),"")</f>
        <v/>
      </c>
      <c r="K254" s="3"/>
      <c r="L254" s="3" t="str">
        <f aca="false">IFERROR(__xludf.dummyfunction("if($T254&lt;&gt;"""",VALUE(REGEXEXTRACT(SUBSTITUTE ($T254,L$1&amp;"" CE"",""""), L$1&amp;""[\w &amp;]*, (\d+\.\d+)"")),"""")
"),"")</f>
        <v/>
      </c>
      <c r="M254" s="3" t="str">
        <f aca="false">IFERROR(__xludf.dummyfunction("if($T254&lt;&gt;"""",VALUE(REGEXEXTRACT($T254, M$1&amp;""[\w &amp;]*, (\d+\.\d+)"")),"""")
"),"")</f>
        <v/>
      </c>
      <c r="N254" s="3" t="str">
        <f aca="false">IFERROR(__xludf.dummyfunction("if($T254&lt;&gt;"""",VALUE(REGEXEXTRACT(SUBSTITUTE ($T254,N$1&amp;"" CE"",""""), N$1&amp;""[\w &amp;]*, (\d+\.\d+)"")),"""")
"),"")</f>
        <v/>
      </c>
      <c r="O254" s="3" t="str">
        <f aca="false">IFERROR(__xludf.dummyfunction("if($T254&lt;&gt;"""",VALUE(REGEXEXTRACT($T254, O$1&amp;""[\w &amp;]*, (\d+\.\d+)"")),"""")
"),"")</f>
        <v/>
      </c>
      <c r="P254" s="2"/>
      <c r="Q254" s="2"/>
      <c r="R254" s="2"/>
      <c r="S254" s="2"/>
      <c r="T254" s="5"/>
    </row>
    <row r="255" customFormat="false" ht="15.75" hidden="false" customHeight="false" outlineLevel="0" collapsed="false">
      <c r="A255" s="4"/>
      <c r="B255" s="2"/>
      <c r="C255" s="2"/>
      <c r="D255" s="2"/>
      <c r="E255" s="2"/>
      <c r="F255" s="3" t="str">
        <f aca="false">IFERROR(__xludf.dummyfunction("if($T255&lt;&gt;"""",VALUE(REGEXEXTRACT(SUBSTITUTE ($T255,F$1&amp;"" CE"",""""), F$1&amp;""[\w &amp;]*, (\d+\.\d+)"")),"""")
"),"")</f>
        <v/>
      </c>
      <c r="G255" s="3" t="str">
        <f aca="false">IFERROR(__xludf.dummyfunction("if($T255&lt;&gt;"""",VALUE(REGEXEXTRACT($T255, G$1&amp;""[\w &amp;]*, (\d+\.\d+)"")),"""")
"),"")</f>
        <v/>
      </c>
      <c r="H255" s="3"/>
      <c r="I255" s="3" t="str">
        <f aca="false">IFERROR(__xludf.dummyfunction("if($T255&lt;&gt;"""",VALUE(REGEXEXTRACT(SUBSTITUTE ($T255,I$1&amp;"" CE"",""""), I$1&amp;""[\w &amp;]*, (\d+\.\d+)"")),"""")
"),"")</f>
        <v/>
      </c>
      <c r="J255" s="3" t="str">
        <f aca="false">IFERROR(__xludf.dummyfunction("if($T255&lt;&gt;"""",VALUE(REGEXEXTRACT($T255, J$1&amp;""[\w &amp;]*, (\d+\.\d+)"")),"""")
"),"")</f>
        <v/>
      </c>
      <c r="K255" s="3"/>
      <c r="L255" s="3" t="str">
        <f aca="false">IFERROR(__xludf.dummyfunction("if($T255&lt;&gt;"""",VALUE(REGEXEXTRACT(SUBSTITUTE ($T255,L$1&amp;"" CE"",""""), L$1&amp;""[\w &amp;]*, (\d+\.\d+)"")),"""")
"),"")</f>
        <v/>
      </c>
      <c r="M255" s="3" t="str">
        <f aca="false">IFERROR(__xludf.dummyfunction("if($T255&lt;&gt;"""",VALUE(REGEXEXTRACT($T255, M$1&amp;""[\w &amp;]*, (\d+\.\d+)"")),"""")
"),"")</f>
        <v/>
      </c>
      <c r="N255" s="3" t="str">
        <f aca="false">IFERROR(__xludf.dummyfunction("if($T255&lt;&gt;"""",VALUE(REGEXEXTRACT(SUBSTITUTE ($T255,N$1&amp;"" CE"",""""), N$1&amp;""[\w &amp;]*, (\d+\.\d+)"")),"""")
"),"")</f>
        <v/>
      </c>
      <c r="O255" s="3" t="str">
        <f aca="false">IFERROR(__xludf.dummyfunction("if($T255&lt;&gt;"""",VALUE(REGEXEXTRACT($T255, O$1&amp;""[\w &amp;]*, (\d+\.\d+)"")),"""")
"),"")</f>
        <v/>
      </c>
      <c r="P255" s="2"/>
      <c r="Q255" s="2"/>
      <c r="R255" s="2"/>
      <c r="S255" s="2"/>
      <c r="T255" s="5"/>
    </row>
    <row r="256" customFormat="false" ht="15.75" hidden="false" customHeight="false" outlineLevel="0" collapsed="false">
      <c r="A256" s="4"/>
      <c r="B256" s="2"/>
      <c r="C256" s="2"/>
      <c r="D256" s="2"/>
      <c r="E256" s="2"/>
      <c r="F256" s="3" t="str">
        <f aca="false">IFERROR(__xludf.dummyfunction("if($T256&lt;&gt;"""",VALUE(REGEXEXTRACT(SUBSTITUTE ($T256,F$1&amp;"" CE"",""""), F$1&amp;""[\w &amp;]*, (\d+\.\d+)"")),"""")
"),"")</f>
        <v/>
      </c>
      <c r="G256" s="3" t="str">
        <f aca="false">IFERROR(__xludf.dummyfunction("if($T256&lt;&gt;"""",VALUE(REGEXEXTRACT($T256, G$1&amp;""[\w &amp;]*, (\d+\.\d+)"")),"""")
"),"")</f>
        <v/>
      </c>
      <c r="H256" s="3"/>
      <c r="I256" s="3" t="str">
        <f aca="false">IFERROR(__xludf.dummyfunction("if($T256&lt;&gt;"""",VALUE(REGEXEXTRACT(SUBSTITUTE ($T256,I$1&amp;"" CE"",""""), I$1&amp;""[\w &amp;]*, (\d+\.\d+)"")),"""")
"),"")</f>
        <v/>
      </c>
      <c r="J256" s="3" t="str">
        <f aca="false">IFERROR(__xludf.dummyfunction("if($T256&lt;&gt;"""",VALUE(REGEXEXTRACT($T256, J$1&amp;""[\w &amp;]*, (\d+\.\d+)"")),"""")
"),"")</f>
        <v/>
      </c>
      <c r="K256" s="3"/>
      <c r="L256" s="3" t="str">
        <f aca="false">IFERROR(__xludf.dummyfunction("if($T256&lt;&gt;"""",VALUE(REGEXEXTRACT(SUBSTITUTE ($T256,L$1&amp;"" CE"",""""), L$1&amp;""[\w &amp;]*, (\d+\.\d+)"")),"""")
"),"")</f>
        <v/>
      </c>
      <c r="M256" s="3" t="str">
        <f aca="false">IFERROR(__xludf.dummyfunction("if($T256&lt;&gt;"""",VALUE(REGEXEXTRACT($T256, M$1&amp;""[\w &amp;]*, (\d+\.\d+)"")),"""")
"),"")</f>
        <v/>
      </c>
      <c r="N256" s="3" t="str">
        <f aca="false">IFERROR(__xludf.dummyfunction("if($T256&lt;&gt;"""",VALUE(REGEXEXTRACT(SUBSTITUTE ($T256,N$1&amp;"" CE"",""""), N$1&amp;""[\w &amp;]*, (\d+\.\d+)"")),"""")
"),"")</f>
        <v/>
      </c>
      <c r="O256" s="3" t="str">
        <f aca="false">IFERROR(__xludf.dummyfunction("if($T256&lt;&gt;"""",VALUE(REGEXEXTRACT($T256, O$1&amp;""[\w &amp;]*, (\d+\.\d+)"")),"""")
"),"")</f>
        <v/>
      </c>
      <c r="P256" s="2"/>
      <c r="Q256" s="2"/>
      <c r="R256" s="2"/>
      <c r="S256" s="2"/>
      <c r="T256" s="5"/>
    </row>
    <row r="257" customFormat="false" ht="15.75" hidden="false" customHeight="false" outlineLevel="0" collapsed="false">
      <c r="A257" s="4"/>
      <c r="B257" s="2"/>
      <c r="C257" s="2"/>
      <c r="D257" s="2"/>
      <c r="E257" s="2"/>
      <c r="F257" s="3" t="str">
        <f aca="false">IFERROR(__xludf.dummyfunction("if($T257&lt;&gt;"""",VALUE(REGEXEXTRACT(SUBSTITUTE ($T257,F$1&amp;"" CE"",""""), F$1&amp;""[\w &amp;]*, (\d+\.\d+)"")),"""")
"),"")</f>
        <v/>
      </c>
      <c r="G257" s="3" t="str">
        <f aca="false">IFERROR(__xludf.dummyfunction("if($T257&lt;&gt;"""",VALUE(REGEXEXTRACT($T257, G$1&amp;""[\w &amp;]*, (\d+\.\d+)"")),"""")
"),"")</f>
        <v/>
      </c>
      <c r="H257" s="3"/>
      <c r="I257" s="3" t="str">
        <f aca="false">IFERROR(__xludf.dummyfunction("if($T257&lt;&gt;"""",VALUE(REGEXEXTRACT(SUBSTITUTE ($T257,I$1&amp;"" CE"",""""), I$1&amp;""[\w &amp;]*, (\d+\.\d+)"")),"""")
"),"")</f>
        <v/>
      </c>
      <c r="J257" s="3" t="str">
        <f aca="false">IFERROR(__xludf.dummyfunction("if($T257&lt;&gt;"""",VALUE(REGEXEXTRACT($T257, J$1&amp;""[\w &amp;]*, (\d+\.\d+)"")),"""")
"),"")</f>
        <v/>
      </c>
      <c r="K257" s="3"/>
      <c r="L257" s="3" t="str">
        <f aca="false">IFERROR(__xludf.dummyfunction("if($T257&lt;&gt;"""",VALUE(REGEXEXTRACT(SUBSTITUTE ($T257,L$1&amp;"" CE"",""""), L$1&amp;""[\w &amp;]*, (\d+\.\d+)"")),"""")
"),"")</f>
        <v/>
      </c>
      <c r="M257" s="3" t="str">
        <f aca="false">IFERROR(__xludf.dummyfunction("if($T257&lt;&gt;"""",VALUE(REGEXEXTRACT($T257, M$1&amp;""[\w &amp;]*, (\d+\.\d+)"")),"""")
"),"")</f>
        <v/>
      </c>
      <c r="N257" s="3" t="str">
        <f aca="false">IFERROR(__xludf.dummyfunction("if($T257&lt;&gt;"""",VALUE(REGEXEXTRACT(SUBSTITUTE ($T257,N$1&amp;"" CE"",""""), N$1&amp;""[\w &amp;]*, (\d+\.\d+)"")),"""")
"),"")</f>
        <v/>
      </c>
      <c r="O257" s="3" t="str">
        <f aca="false">IFERROR(__xludf.dummyfunction("if($T257&lt;&gt;"""",VALUE(REGEXEXTRACT($T257, O$1&amp;""[\w &amp;]*, (\d+\.\d+)"")),"""")
"),"")</f>
        <v/>
      </c>
      <c r="P257" s="2"/>
      <c r="Q257" s="2"/>
      <c r="R257" s="2"/>
      <c r="S257" s="2"/>
      <c r="T257" s="5"/>
    </row>
    <row r="258" customFormat="false" ht="15.75" hidden="false" customHeight="false" outlineLevel="0" collapsed="false">
      <c r="A258" s="4"/>
      <c r="B258" s="2"/>
      <c r="C258" s="2"/>
      <c r="D258" s="2"/>
      <c r="E258" s="2"/>
      <c r="F258" s="3" t="str">
        <f aca="false">IFERROR(__xludf.dummyfunction("if($T258&lt;&gt;"""",VALUE(REGEXEXTRACT(SUBSTITUTE ($T258,F$1&amp;"" CE"",""""), F$1&amp;""[\w &amp;]*, (\d+\.\d+)"")),"""")
"),"")</f>
        <v/>
      </c>
      <c r="G258" s="3" t="str">
        <f aca="false">IFERROR(__xludf.dummyfunction("if($T258&lt;&gt;"""",VALUE(REGEXEXTRACT($T258, G$1&amp;""[\w &amp;]*, (\d+\.\d+)"")),"""")
"),"")</f>
        <v/>
      </c>
      <c r="H258" s="3"/>
      <c r="I258" s="3" t="str">
        <f aca="false">IFERROR(__xludf.dummyfunction("if($T258&lt;&gt;"""",VALUE(REGEXEXTRACT(SUBSTITUTE ($T258,I$1&amp;"" CE"",""""), I$1&amp;""[\w &amp;]*, (\d+\.\d+)"")),"""")
"),"")</f>
        <v/>
      </c>
      <c r="J258" s="3" t="str">
        <f aca="false">IFERROR(__xludf.dummyfunction("if($T258&lt;&gt;"""",VALUE(REGEXEXTRACT($T258, J$1&amp;""[\w &amp;]*, (\d+\.\d+)"")),"""")
"),"")</f>
        <v/>
      </c>
      <c r="K258" s="3"/>
      <c r="L258" s="3" t="str">
        <f aca="false">IFERROR(__xludf.dummyfunction("if($T258&lt;&gt;"""",VALUE(REGEXEXTRACT(SUBSTITUTE ($T258,L$1&amp;"" CE"",""""), L$1&amp;""[\w &amp;]*, (\d+\.\d+)"")),"""")
"),"")</f>
        <v/>
      </c>
      <c r="M258" s="3" t="str">
        <f aca="false">IFERROR(__xludf.dummyfunction("if($T258&lt;&gt;"""",VALUE(REGEXEXTRACT($T258, M$1&amp;""[\w &amp;]*, (\d+\.\d+)"")),"""")
"),"")</f>
        <v/>
      </c>
      <c r="N258" s="3" t="str">
        <f aca="false">IFERROR(__xludf.dummyfunction("if($T258&lt;&gt;"""",VALUE(REGEXEXTRACT(SUBSTITUTE ($T258,N$1&amp;"" CE"",""""), N$1&amp;""[\w &amp;]*, (\d+\.\d+)"")),"""")
"),"")</f>
        <v/>
      </c>
      <c r="O258" s="3" t="str">
        <f aca="false">IFERROR(__xludf.dummyfunction("if($T258&lt;&gt;"""",VALUE(REGEXEXTRACT($T258, O$1&amp;""[\w &amp;]*, (\d+\.\d+)"")),"""")
"),"")</f>
        <v/>
      </c>
      <c r="P258" s="2"/>
      <c r="Q258" s="2"/>
      <c r="R258" s="2"/>
      <c r="S258" s="2"/>
      <c r="T258" s="5"/>
    </row>
    <row r="259" customFormat="false" ht="15.75" hidden="false" customHeight="false" outlineLevel="0" collapsed="false">
      <c r="A259" s="4"/>
      <c r="B259" s="2"/>
      <c r="C259" s="2"/>
      <c r="D259" s="2"/>
      <c r="E259" s="2"/>
      <c r="F259" s="3" t="str">
        <f aca="false">IFERROR(__xludf.dummyfunction("if($T259&lt;&gt;"""",VALUE(REGEXEXTRACT(SUBSTITUTE ($T259,F$1&amp;"" CE"",""""), F$1&amp;""[\w &amp;]*, (\d+\.\d+)"")),"""")
"),"")</f>
        <v/>
      </c>
      <c r="G259" s="3" t="str">
        <f aca="false">IFERROR(__xludf.dummyfunction("if($T259&lt;&gt;"""",VALUE(REGEXEXTRACT($T259, G$1&amp;""[\w &amp;]*, (\d+\.\d+)"")),"""")
"),"")</f>
        <v/>
      </c>
      <c r="H259" s="3"/>
      <c r="I259" s="3" t="str">
        <f aca="false">IFERROR(__xludf.dummyfunction("if($T259&lt;&gt;"""",VALUE(REGEXEXTRACT(SUBSTITUTE ($T259,I$1&amp;"" CE"",""""), I$1&amp;""[\w &amp;]*, (\d+\.\d+)"")),"""")
"),"")</f>
        <v/>
      </c>
      <c r="J259" s="3" t="str">
        <f aca="false">IFERROR(__xludf.dummyfunction("if($T259&lt;&gt;"""",VALUE(REGEXEXTRACT($T259, J$1&amp;""[\w &amp;]*, (\d+\.\d+)"")),"""")
"),"")</f>
        <v/>
      </c>
      <c r="K259" s="3"/>
      <c r="L259" s="3" t="str">
        <f aca="false">IFERROR(__xludf.dummyfunction("if($T259&lt;&gt;"""",VALUE(REGEXEXTRACT(SUBSTITUTE ($T259,L$1&amp;"" CE"",""""), L$1&amp;""[\w &amp;]*, (\d+\.\d+)"")),"""")
"),"")</f>
        <v/>
      </c>
      <c r="M259" s="3" t="str">
        <f aca="false">IFERROR(__xludf.dummyfunction("if($T259&lt;&gt;"""",VALUE(REGEXEXTRACT($T259, M$1&amp;""[\w &amp;]*, (\d+\.\d+)"")),"""")
"),"")</f>
        <v/>
      </c>
      <c r="N259" s="3" t="str">
        <f aca="false">IFERROR(__xludf.dummyfunction("if($T259&lt;&gt;"""",VALUE(REGEXEXTRACT(SUBSTITUTE ($T259,N$1&amp;"" CE"",""""), N$1&amp;""[\w &amp;]*, (\d+\.\d+)"")),"""")
"),"")</f>
        <v/>
      </c>
      <c r="O259" s="3" t="str">
        <f aca="false">IFERROR(__xludf.dummyfunction("if($T259&lt;&gt;"""",VALUE(REGEXEXTRACT($T259, O$1&amp;""[\w &amp;]*, (\d+\.\d+)"")),"""")
"),"")</f>
        <v/>
      </c>
      <c r="P259" s="2"/>
      <c r="Q259" s="2"/>
      <c r="R259" s="2"/>
      <c r="S259" s="2"/>
      <c r="T259" s="5"/>
    </row>
    <row r="260" customFormat="false" ht="15.75" hidden="false" customHeight="false" outlineLevel="0" collapsed="false">
      <c r="A260" s="4"/>
      <c r="B260" s="2"/>
      <c r="C260" s="2"/>
      <c r="D260" s="2"/>
      <c r="E260" s="2"/>
      <c r="F260" s="3" t="str">
        <f aca="false">IFERROR(__xludf.dummyfunction("if($T260&lt;&gt;"""",VALUE(REGEXEXTRACT(SUBSTITUTE ($T260,F$1&amp;"" CE"",""""), F$1&amp;""[\w &amp;]*, (\d+\.\d+)"")),"""")
"),"")</f>
        <v/>
      </c>
      <c r="G260" s="3" t="str">
        <f aca="false">IFERROR(__xludf.dummyfunction("if($T260&lt;&gt;"""",VALUE(REGEXEXTRACT($T260, G$1&amp;""[\w &amp;]*, (\d+\.\d+)"")),"""")
"),"")</f>
        <v/>
      </c>
      <c r="H260" s="3"/>
      <c r="I260" s="3" t="str">
        <f aca="false">IFERROR(__xludf.dummyfunction("if($T260&lt;&gt;"""",VALUE(REGEXEXTRACT(SUBSTITUTE ($T260,I$1&amp;"" CE"",""""), I$1&amp;""[\w &amp;]*, (\d+\.\d+)"")),"""")
"),"")</f>
        <v/>
      </c>
      <c r="J260" s="3" t="str">
        <f aca="false">IFERROR(__xludf.dummyfunction("if($T260&lt;&gt;"""",VALUE(REGEXEXTRACT($T260, J$1&amp;""[\w &amp;]*, (\d+\.\d+)"")),"""")
"),"")</f>
        <v/>
      </c>
      <c r="K260" s="3"/>
      <c r="L260" s="3" t="str">
        <f aca="false">IFERROR(__xludf.dummyfunction("if($T260&lt;&gt;"""",VALUE(REGEXEXTRACT(SUBSTITUTE ($T260,L$1&amp;"" CE"",""""), L$1&amp;""[\w &amp;]*, (\d+\.\d+)"")),"""")
"),"")</f>
        <v/>
      </c>
      <c r="M260" s="3" t="str">
        <f aca="false">IFERROR(__xludf.dummyfunction("if($T260&lt;&gt;"""",VALUE(REGEXEXTRACT($T260, M$1&amp;""[\w &amp;]*, (\d+\.\d+)"")),"""")
"),"")</f>
        <v/>
      </c>
      <c r="N260" s="3" t="str">
        <f aca="false">IFERROR(__xludf.dummyfunction("if($T260&lt;&gt;"""",VALUE(REGEXEXTRACT(SUBSTITUTE ($T260,N$1&amp;"" CE"",""""), N$1&amp;""[\w &amp;]*, (\d+\.\d+)"")),"""")
"),"")</f>
        <v/>
      </c>
      <c r="O260" s="3" t="str">
        <f aca="false">IFERROR(__xludf.dummyfunction("if($T260&lt;&gt;"""",VALUE(REGEXEXTRACT($T260, O$1&amp;""[\w &amp;]*, (\d+\.\d+)"")),"""")
"),"")</f>
        <v/>
      </c>
      <c r="P260" s="2"/>
      <c r="Q260" s="2"/>
      <c r="R260" s="2"/>
      <c r="S260" s="2"/>
      <c r="T260" s="5"/>
    </row>
    <row r="261" customFormat="false" ht="15.75" hidden="false" customHeight="false" outlineLevel="0" collapsed="false">
      <c r="A261" s="4"/>
      <c r="B261" s="2"/>
      <c r="C261" s="2"/>
      <c r="D261" s="2"/>
      <c r="E261" s="2"/>
      <c r="F261" s="3" t="str">
        <f aca="false">IFERROR(__xludf.dummyfunction("if($T261&lt;&gt;"""",VALUE(REGEXEXTRACT(SUBSTITUTE ($T261,F$1&amp;"" CE"",""""), F$1&amp;""[\w &amp;]*, (\d+\.\d+)"")),"""")
"),"")</f>
        <v/>
      </c>
      <c r="G261" s="3" t="str">
        <f aca="false">IFERROR(__xludf.dummyfunction("if($T261&lt;&gt;"""",VALUE(REGEXEXTRACT($T261, G$1&amp;""[\w &amp;]*, (\d+\.\d+)"")),"""")
"),"")</f>
        <v/>
      </c>
      <c r="H261" s="3"/>
      <c r="I261" s="3" t="str">
        <f aca="false">IFERROR(__xludf.dummyfunction("if($T261&lt;&gt;"""",VALUE(REGEXEXTRACT(SUBSTITUTE ($T261,I$1&amp;"" CE"",""""), I$1&amp;""[\w &amp;]*, (\d+\.\d+)"")),"""")
"),"")</f>
        <v/>
      </c>
      <c r="J261" s="3" t="str">
        <f aca="false">IFERROR(__xludf.dummyfunction("if($T261&lt;&gt;"""",VALUE(REGEXEXTRACT($T261, J$1&amp;""[\w &amp;]*, (\d+\.\d+)"")),"""")
"),"")</f>
        <v/>
      </c>
      <c r="K261" s="3"/>
      <c r="L261" s="3" t="str">
        <f aca="false">IFERROR(__xludf.dummyfunction("if($T261&lt;&gt;"""",VALUE(REGEXEXTRACT(SUBSTITUTE ($T261,L$1&amp;"" CE"",""""), L$1&amp;""[\w &amp;]*, (\d+\.\d+)"")),"""")
"),"")</f>
        <v/>
      </c>
      <c r="M261" s="3" t="str">
        <f aca="false">IFERROR(__xludf.dummyfunction("if($T261&lt;&gt;"""",VALUE(REGEXEXTRACT($T261, M$1&amp;""[\w &amp;]*, (\d+\.\d+)"")),"""")
"),"")</f>
        <v/>
      </c>
      <c r="N261" s="3" t="str">
        <f aca="false">IFERROR(__xludf.dummyfunction("if($T261&lt;&gt;"""",VALUE(REGEXEXTRACT(SUBSTITUTE ($T261,N$1&amp;"" CE"",""""), N$1&amp;""[\w &amp;]*, (\d+\.\d+)"")),"""")
"),"")</f>
        <v/>
      </c>
      <c r="O261" s="3" t="str">
        <f aca="false">IFERROR(__xludf.dummyfunction("if($T261&lt;&gt;"""",VALUE(REGEXEXTRACT($T261, O$1&amp;""[\w &amp;]*, (\d+\.\d+)"")),"""")
"),"")</f>
        <v/>
      </c>
      <c r="P261" s="2"/>
      <c r="Q261" s="2"/>
      <c r="R261" s="2"/>
      <c r="S261" s="2"/>
      <c r="T261" s="5"/>
    </row>
    <row r="262" customFormat="false" ht="15.75" hidden="false" customHeight="false" outlineLevel="0" collapsed="false">
      <c r="A262" s="4"/>
      <c r="B262" s="2"/>
      <c r="C262" s="2"/>
      <c r="D262" s="2"/>
      <c r="E262" s="2"/>
      <c r="F262" s="3" t="str">
        <f aca="false">IFERROR(__xludf.dummyfunction("if($T262&lt;&gt;"""",REGEXEXTRACT(SUBSTITUTE ($T262,F$1&amp;"" CE"",""""), F$1&amp;""[\w &amp;]*, (\d+\.\d+)""),"""")
"),"")</f>
        <v/>
      </c>
      <c r="G262" s="3" t="str">
        <f aca="false">IFERROR(__xludf.dummyfunction("if($T262&lt;&gt;"""",REGEXEXTRACT($T262, G$1&amp;""[\w &amp;]*, (\d+\.\d+)""),"""")
"),"")</f>
        <v/>
      </c>
      <c r="H262" s="3"/>
      <c r="I262" s="3" t="str">
        <f aca="false">IFERROR(__xludf.dummyfunction("if($T262&lt;&gt;"""",REGEXEXTRACT(SUBSTITUTE ($T262,I$1&amp;"" CE"",""""), I$1&amp;""[\w &amp;]*, (\d+\.\d+)""),"""")
"),"")</f>
        <v/>
      </c>
      <c r="J262" s="3" t="str">
        <f aca="false">IFERROR(__xludf.dummyfunction("if($T262&lt;&gt;"""",REGEXEXTRACT($T262, J$1&amp;""[\w &amp;]*, (\d+\.\d+)""),"""")
"),"")</f>
        <v/>
      </c>
      <c r="K262" s="3"/>
      <c r="L262" s="3" t="str">
        <f aca="false">IFERROR(__xludf.dummyfunction("if($T262&lt;&gt;"""",REGEXEXTRACT(SUBSTITUTE ($T262,L$1&amp;"" CE"",""""), L$1&amp;""[\w &amp;]*, (\d+\.\d+)""),"""")
"),"")</f>
        <v/>
      </c>
      <c r="M262" s="3" t="str">
        <f aca="false">IFERROR(__xludf.dummyfunction("if($T262&lt;&gt;"""",REGEXEXTRACT($T262, M$1&amp;""[\w &amp;]*, (\d+\.\d+)""),"""")
"),"")</f>
        <v/>
      </c>
      <c r="N262" s="3" t="str">
        <f aca="false">IFERROR(__xludf.dummyfunction("if($T262&lt;&gt;"""",REGEXEXTRACT(SUBSTITUTE ($T262,N$1&amp;"" CE"",""""), N$1&amp;""[\w &amp;]*, (\d+\.\d+)""),"""")
"),"")</f>
        <v/>
      </c>
      <c r="O262" s="3" t="str">
        <f aca="false">IFERROR(__xludf.dummyfunction("if($T262&lt;&gt;"""",REGEXEXTRACT($T262, O$1&amp;""[\w &amp;]*, (\d+\.\d+)""),"""")
"),"")</f>
        <v/>
      </c>
      <c r="P262" s="2"/>
      <c r="Q262" s="2"/>
      <c r="R262" s="2"/>
      <c r="S262" s="2"/>
      <c r="T262" s="5"/>
    </row>
    <row r="263" customFormat="false" ht="15.75" hidden="false" customHeight="false" outlineLevel="0" collapsed="false">
      <c r="A263" s="4"/>
      <c r="B263" s="2"/>
      <c r="C263" s="2"/>
      <c r="D263" s="2"/>
      <c r="E263" s="2"/>
      <c r="F263" s="3" t="str">
        <f aca="false">IFERROR(__xludf.dummyfunction("if($T263&lt;&gt;"""",REGEXEXTRACT(SUBSTITUTE ($T263,F$1&amp;"" CE"",""""), F$1&amp;""[\w &amp;]*, (\d+\.\d+)""),"""")
"),"")</f>
        <v/>
      </c>
      <c r="G263" s="3" t="str">
        <f aca="false">IFERROR(__xludf.dummyfunction("if($T263&lt;&gt;"""",REGEXEXTRACT($T263, G$1&amp;""[\w &amp;]*, (\d+\.\d+)""),"""")
"),"")</f>
        <v/>
      </c>
      <c r="H263" s="3"/>
      <c r="I263" s="3" t="str">
        <f aca="false">IFERROR(__xludf.dummyfunction("if($T263&lt;&gt;"""",REGEXEXTRACT(SUBSTITUTE ($T263,I$1&amp;"" CE"",""""), I$1&amp;""[\w &amp;]*, (\d+\.\d+)""),"""")
"),"")</f>
        <v/>
      </c>
      <c r="J263" s="3" t="str">
        <f aca="false">IFERROR(__xludf.dummyfunction("if($T263&lt;&gt;"""",REGEXEXTRACT($T263, J$1&amp;""[\w &amp;]*, (\d+\.\d+)""),"""")
"),"")</f>
        <v/>
      </c>
      <c r="K263" s="3"/>
      <c r="L263" s="3" t="str">
        <f aca="false">IFERROR(__xludf.dummyfunction("if($T263&lt;&gt;"""",REGEXEXTRACT(SUBSTITUTE ($T263,L$1&amp;"" CE"",""""), L$1&amp;""[\w &amp;]*, (\d+\.\d+)""),"""")
"),"")</f>
        <v/>
      </c>
      <c r="M263" s="3" t="str">
        <f aca="false">IFERROR(__xludf.dummyfunction("if($T263&lt;&gt;"""",REGEXEXTRACT($T263, M$1&amp;""[\w &amp;]*, (\d+\.\d+)""),"""")
"),"")</f>
        <v/>
      </c>
      <c r="N263" s="3" t="str">
        <f aca="false">IFERROR(__xludf.dummyfunction("if($T263&lt;&gt;"""",REGEXEXTRACT(SUBSTITUTE ($T263,N$1&amp;"" CE"",""""), N$1&amp;""[\w &amp;]*, (\d+\.\d+)""),"""")
"),"")</f>
        <v/>
      </c>
      <c r="O263" s="3" t="str">
        <f aca="false">IFERROR(__xludf.dummyfunction("if($T263&lt;&gt;"""",REGEXEXTRACT($T263, O$1&amp;""[\w &amp;]*, (\d+\.\d+)""),"""")
"),"")</f>
        <v/>
      </c>
      <c r="P263" s="2"/>
      <c r="Q263" s="2"/>
      <c r="R263" s="2"/>
      <c r="S263" s="2"/>
      <c r="T263" s="5"/>
    </row>
    <row r="264" customFormat="false" ht="15.75" hidden="false" customHeight="false" outlineLevel="0" collapsed="false">
      <c r="A264" s="4"/>
      <c r="B264" s="2"/>
      <c r="C264" s="2"/>
      <c r="D264" s="2"/>
      <c r="E264" s="2"/>
      <c r="F264" s="3" t="str">
        <f aca="false">IFERROR(__xludf.dummyfunction("if($T264&lt;&gt;"""",REGEXEXTRACT(SUBSTITUTE ($T264,F$1&amp;"" CE"",""""), F$1&amp;""[\w &amp;]*, (\d+\.\d+)""),"""")
"),"")</f>
        <v/>
      </c>
      <c r="G264" s="3" t="str">
        <f aca="false">IFERROR(__xludf.dummyfunction("if($T264&lt;&gt;"""",REGEXEXTRACT($T264, G$1&amp;""[\w &amp;]*, (\d+\.\d+)""),"""")
"),"")</f>
        <v/>
      </c>
      <c r="H264" s="3"/>
      <c r="I264" s="3" t="str">
        <f aca="false">IFERROR(__xludf.dummyfunction("if($T264&lt;&gt;"""",REGEXEXTRACT(SUBSTITUTE ($T264,I$1&amp;"" CE"",""""), I$1&amp;""[\w &amp;]*, (\d+\.\d+)""),"""")
"),"")</f>
        <v/>
      </c>
      <c r="J264" s="3" t="str">
        <f aca="false">IFERROR(__xludf.dummyfunction("if($T264&lt;&gt;"""",REGEXEXTRACT($T264, J$1&amp;""[\w &amp;]*, (\d+\.\d+)""),"""")
"),"")</f>
        <v/>
      </c>
      <c r="K264" s="3"/>
      <c r="L264" s="3" t="str">
        <f aca="false">IFERROR(__xludf.dummyfunction("if($T264&lt;&gt;"""",REGEXEXTRACT(SUBSTITUTE ($T264,L$1&amp;"" CE"",""""), L$1&amp;""[\w &amp;]*, (\d+\.\d+)""),"""")
"),"")</f>
        <v/>
      </c>
      <c r="M264" s="3" t="str">
        <f aca="false">IFERROR(__xludf.dummyfunction("if($T264&lt;&gt;"""",REGEXEXTRACT($T264, M$1&amp;""[\w &amp;]*, (\d+\.\d+)""),"""")
"),"")</f>
        <v/>
      </c>
      <c r="N264" s="3" t="str">
        <f aca="false">IFERROR(__xludf.dummyfunction("if($T264&lt;&gt;"""",REGEXEXTRACT(SUBSTITUTE ($T264,N$1&amp;"" CE"",""""), N$1&amp;""[\w &amp;]*, (\d+\.\d+)""),"""")
"),"")</f>
        <v/>
      </c>
      <c r="O264" s="3" t="str">
        <f aca="false">IFERROR(__xludf.dummyfunction("if($T264&lt;&gt;"""",REGEXEXTRACT($T264, O$1&amp;""[\w &amp;]*, (\d+\.\d+)""),"""")
"),"")</f>
        <v/>
      </c>
      <c r="P264" s="2"/>
      <c r="Q264" s="2"/>
      <c r="R264" s="2"/>
      <c r="S264" s="2"/>
      <c r="T264" s="5"/>
    </row>
    <row r="265" customFormat="false" ht="15.75" hidden="false" customHeight="false" outlineLevel="0" collapsed="false">
      <c r="A265" s="4"/>
      <c r="B265" s="2"/>
      <c r="C265" s="2"/>
      <c r="D265" s="2"/>
      <c r="E265" s="2"/>
      <c r="F265" s="3" t="str">
        <f aca="false">IFERROR(__xludf.dummyfunction("if($T265&lt;&gt;"""",REGEXEXTRACT(SUBSTITUTE ($T265,F$1&amp;"" CE"",""""), F$1&amp;""[\w &amp;]*, (\d+\.\d+)""),"""")
"),"")</f>
        <v/>
      </c>
      <c r="G265" s="3" t="str">
        <f aca="false">IFERROR(__xludf.dummyfunction("if($T265&lt;&gt;"""",REGEXEXTRACT($T265, G$1&amp;""[\w &amp;]*, (\d+\.\d+)""),"""")
"),"")</f>
        <v/>
      </c>
      <c r="H265" s="3"/>
      <c r="I265" s="3" t="str">
        <f aca="false">IFERROR(__xludf.dummyfunction("if($T265&lt;&gt;"""",REGEXEXTRACT(SUBSTITUTE ($T265,I$1&amp;"" CE"",""""), I$1&amp;""[\w &amp;]*, (\d+\.\d+)""),"""")
"),"")</f>
        <v/>
      </c>
      <c r="J265" s="3" t="str">
        <f aca="false">IFERROR(__xludf.dummyfunction("if($T265&lt;&gt;"""",REGEXEXTRACT($T265, J$1&amp;""[\w &amp;]*, (\d+\.\d+)""),"""")
"),"")</f>
        <v/>
      </c>
      <c r="K265" s="3"/>
      <c r="L265" s="3" t="str">
        <f aca="false">IFERROR(__xludf.dummyfunction("if($T265&lt;&gt;"""",REGEXEXTRACT(SUBSTITUTE ($T265,L$1&amp;"" CE"",""""), L$1&amp;""[\w &amp;]*, (\d+\.\d+)""),"""")
"),"")</f>
        <v/>
      </c>
      <c r="M265" s="3" t="str">
        <f aca="false">IFERROR(__xludf.dummyfunction("if($T265&lt;&gt;"""",REGEXEXTRACT($T265, M$1&amp;""[\w &amp;]*, (\d+\.\d+)""),"""")
"),"")</f>
        <v/>
      </c>
      <c r="N265" s="3" t="str">
        <f aca="false">IFERROR(__xludf.dummyfunction("if($T265&lt;&gt;"""",REGEXEXTRACT(SUBSTITUTE ($T265,N$1&amp;"" CE"",""""), N$1&amp;""[\w &amp;]*, (\d+\.\d+)""),"""")
"),"")</f>
        <v/>
      </c>
      <c r="O265" s="3" t="str">
        <f aca="false">IFERROR(__xludf.dummyfunction("if($T265&lt;&gt;"""",REGEXEXTRACT($T265, O$1&amp;""[\w &amp;]*, (\d+\.\d+)""),"""")
"),"")</f>
        <v/>
      </c>
      <c r="P265" s="2"/>
      <c r="Q265" s="2"/>
      <c r="R265" s="2"/>
      <c r="S265" s="2"/>
      <c r="T265" s="5"/>
    </row>
    <row r="266" customFormat="false" ht="15.75" hidden="false" customHeight="false" outlineLevel="0" collapsed="false">
      <c r="A266" s="4"/>
      <c r="B266" s="2"/>
      <c r="C266" s="2"/>
      <c r="D266" s="2"/>
      <c r="E266" s="2"/>
      <c r="F266" s="3" t="str">
        <f aca="false">IFERROR(__xludf.dummyfunction("if($T266&lt;&gt;"""",REGEXEXTRACT(SUBSTITUTE ($T266,F$1&amp;"" CE"",""""), F$1&amp;""[\w &amp;]*, (\d+\.\d+)""),"""")
"),"")</f>
        <v/>
      </c>
      <c r="G266" s="3" t="str">
        <f aca="false">IFERROR(__xludf.dummyfunction("if($T266&lt;&gt;"""",REGEXEXTRACT($T266, G$1&amp;""[\w &amp;]*, (\d+\.\d+)""),"""")
"),"")</f>
        <v/>
      </c>
      <c r="H266" s="3"/>
      <c r="I266" s="3" t="str">
        <f aca="false">IFERROR(__xludf.dummyfunction("if($T266&lt;&gt;"""",REGEXEXTRACT(SUBSTITUTE ($T266,I$1&amp;"" CE"",""""), I$1&amp;""[\w &amp;]*, (\d+\.\d+)""),"""")
"),"")</f>
        <v/>
      </c>
      <c r="J266" s="3" t="str">
        <f aca="false">IFERROR(__xludf.dummyfunction("if($T266&lt;&gt;"""",REGEXEXTRACT($T266, J$1&amp;""[\w &amp;]*, (\d+\.\d+)""),"""")
"),"")</f>
        <v/>
      </c>
      <c r="K266" s="3"/>
      <c r="L266" s="3" t="str">
        <f aca="false">IFERROR(__xludf.dummyfunction("if($T266&lt;&gt;"""",REGEXEXTRACT(SUBSTITUTE ($T266,L$1&amp;"" CE"",""""), L$1&amp;""[\w &amp;]*, (\d+\.\d+)""),"""")
"),"")</f>
        <v/>
      </c>
      <c r="M266" s="3" t="str">
        <f aca="false">IFERROR(__xludf.dummyfunction("if($T266&lt;&gt;"""",REGEXEXTRACT($T266, M$1&amp;""[\w &amp;]*, (\d+\.\d+)""),"""")
"),"")</f>
        <v/>
      </c>
      <c r="N266" s="3" t="str">
        <f aca="false">IFERROR(__xludf.dummyfunction("if($T266&lt;&gt;"""",REGEXEXTRACT(SUBSTITUTE ($T266,N$1&amp;"" CE"",""""), N$1&amp;""[\w &amp;]*, (\d+\.\d+)""),"""")
"),"")</f>
        <v/>
      </c>
      <c r="O266" s="3" t="str">
        <f aca="false">IFERROR(__xludf.dummyfunction("if($T266&lt;&gt;"""",REGEXEXTRACT($T266, O$1&amp;""[\w &amp;]*, (\d+\.\d+)""),"""")
"),"")</f>
        <v/>
      </c>
      <c r="P266" s="2"/>
      <c r="Q266" s="2"/>
      <c r="R266" s="2"/>
      <c r="S266" s="2"/>
      <c r="T266" s="5"/>
    </row>
    <row r="267" customFormat="false" ht="15.75" hidden="false" customHeight="false" outlineLevel="0" collapsed="false">
      <c r="A267" s="4"/>
      <c r="B267" s="2"/>
      <c r="C267" s="2"/>
      <c r="D267" s="2"/>
      <c r="E267" s="2"/>
      <c r="F267" s="3" t="str">
        <f aca="false">IFERROR(__xludf.dummyfunction("if($T267&lt;&gt;"""",REGEXEXTRACT(SUBSTITUTE ($T267,F$1&amp;"" CE"",""""), F$1&amp;""[\w &amp;]*, (\d+\.\d+)""),"""")
"),"")</f>
        <v/>
      </c>
      <c r="G267" s="3" t="str">
        <f aca="false">IFERROR(__xludf.dummyfunction("if($T267&lt;&gt;"""",REGEXEXTRACT($T267, G$1&amp;""[\w &amp;]*, (\d+\.\d+)""),"""")
"),"")</f>
        <v/>
      </c>
      <c r="H267" s="3"/>
      <c r="I267" s="3" t="str">
        <f aca="false">IFERROR(__xludf.dummyfunction("if($T267&lt;&gt;"""",REGEXEXTRACT(SUBSTITUTE ($T267,I$1&amp;"" CE"",""""), I$1&amp;""[\w &amp;]*, (\d+\.\d+)""),"""")
"),"")</f>
        <v/>
      </c>
      <c r="J267" s="3" t="str">
        <f aca="false">IFERROR(__xludf.dummyfunction("if($T267&lt;&gt;"""",REGEXEXTRACT($T267, J$1&amp;""[\w &amp;]*, (\d+\.\d+)""),"""")
"),"")</f>
        <v/>
      </c>
      <c r="K267" s="3"/>
      <c r="L267" s="3" t="str">
        <f aca="false">IFERROR(__xludf.dummyfunction("if($T267&lt;&gt;"""",REGEXEXTRACT(SUBSTITUTE ($T267,L$1&amp;"" CE"",""""), L$1&amp;""[\w &amp;]*, (\d+\.\d+)""),"""")
"),"")</f>
        <v/>
      </c>
      <c r="M267" s="3" t="str">
        <f aca="false">IFERROR(__xludf.dummyfunction("if($T267&lt;&gt;"""",REGEXEXTRACT($T267, M$1&amp;""[\w &amp;]*, (\d+\.\d+)""),"""")
"),"")</f>
        <v/>
      </c>
      <c r="N267" s="3" t="str">
        <f aca="false">IFERROR(__xludf.dummyfunction("if($T267&lt;&gt;"""",REGEXEXTRACT(SUBSTITUTE ($T267,N$1&amp;"" CE"",""""), N$1&amp;""[\w &amp;]*, (\d+\.\d+)""),"""")
"),"")</f>
        <v/>
      </c>
      <c r="O267" s="3" t="str">
        <f aca="false">IFERROR(__xludf.dummyfunction("if($T267&lt;&gt;"""",REGEXEXTRACT($T267, O$1&amp;""[\w &amp;]*, (\d+\.\d+)""),"""")
"),"")</f>
        <v/>
      </c>
      <c r="P267" s="2"/>
      <c r="Q267" s="2"/>
      <c r="R267" s="2"/>
      <c r="S267" s="2"/>
      <c r="T267" s="5"/>
    </row>
    <row r="268" customFormat="false" ht="15.75" hidden="false" customHeight="false" outlineLevel="0" collapsed="false">
      <c r="A268" s="4"/>
      <c r="B268" s="2"/>
      <c r="C268" s="2"/>
      <c r="D268" s="2"/>
      <c r="E268" s="2"/>
      <c r="F268" s="3" t="str">
        <f aca="false">IFERROR(__xludf.dummyfunction("if($T268&lt;&gt;"""",REGEXEXTRACT(SUBSTITUTE ($T268,F$1&amp;"" CE"",""""), F$1&amp;""[\w &amp;]*, (\d+\.\d+)""),"""")
"),"")</f>
        <v/>
      </c>
      <c r="G268" s="3" t="str">
        <f aca="false">IFERROR(__xludf.dummyfunction("if($T268&lt;&gt;"""",REGEXEXTRACT($T268, G$1&amp;""[\w &amp;]*, (\d+\.\d+)""),"""")
"),"")</f>
        <v/>
      </c>
      <c r="H268" s="3"/>
      <c r="I268" s="3" t="str">
        <f aca="false">IFERROR(__xludf.dummyfunction("if($T268&lt;&gt;"""",REGEXEXTRACT(SUBSTITUTE ($T268,I$1&amp;"" CE"",""""), I$1&amp;""[\w &amp;]*, (\d+\.\d+)""),"""")
"),"")</f>
        <v/>
      </c>
      <c r="J268" s="3" t="str">
        <f aca="false">IFERROR(__xludf.dummyfunction("if($T268&lt;&gt;"""",REGEXEXTRACT($T268, J$1&amp;""[\w &amp;]*, (\d+\.\d+)""),"""")
"),"")</f>
        <v/>
      </c>
      <c r="K268" s="3"/>
      <c r="L268" s="3" t="str">
        <f aca="false">IFERROR(__xludf.dummyfunction("if($T268&lt;&gt;"""",REGEXEXTRACT(SUBSTITUTE ($T268,L$1&amp;"" CE"",""""), L$1&amp;""[\w &amp;]*, (\d+\.\d+)""),"""")
"),"")</f>
        <v/>
      </c>
      <c r="M268" s="3" t="str">
        <f aca="false">IFERROR(__xludf.dummyfunction("if($T268&lt;&gt;"""",REGEXEXTRACT($T268, M$1&amp;""[\w &amp;]*, (\d+\.\d+)""),"""")
"),"")</f>
        <v/>
      </c>
      <c r="N268" s="3" t="str">
        <f aca="false">IFERROR(__xludf.dummyfunction("if($T268&lt;&gt;"""",REGEXEXTRACT(SUBSTITUTE ($T268,N$1&amp;"" CE"",""""), N$1&amp;""[\w &amp;]*, (\d+\.\d+)""),"""")
"),"")</f>
        <v/>
      </c>
      <c r="O268" s="3" t="str">
        <f aca="false">IFERROR(__xludf.dummyfunction("if($T268&lt;&gt;"""",REGEXEXTRACT($T268, O$1&amp;""[\w &amp;]*, (\d+\.\d+)""),"""")
"),"")</f>
        <v/>
      </c>
      <c r="P268" s="2"/>
      <c r="Q268" s="2"/>
      <c r="R268" s="2"/>
      <c r="S268" s="2"/>
      <c r="T268" s="5"/>
    </row>
    <row r="269" customFormat="false" ht="15.75" hidden="false" customHeight="false" outlineLevel="0" collapsed="false">
      <c r="A269" s="4"/>
      <c r="B269" s="2"/>
      <c r="C269" s="2"/>
      <c r="D269" s="2"/>
      <c r="E269" s="2"/>
      <c r="F269" s="3" t="str">
        <f aca="false">IFERROR(__xludf.dummyfunction("if($T269&lt;&gt;"""",REGEXEXTRACT(SUBSTITUTE ($T269,F$1&amp;"" CE"",""""), F$1&amp;""[\w &amp;]*, (\d+\.\d+)""),"""")
"),"")</f>
        <v/>
      </c>
      <c r="G269" s="3" t="str">
        <f aca="false">IFERROR(__xludf.dummyfunction("if($T269&lt;&gt;"""",REGEXEXTRACT($T269, G$1&amp;""[\w &amp;]*, (\d+\.\d+)""),"""")
"),"")</f>
        <v/>
      </c>
      <c r="H269" s="3"/>
      <c r="I269" s="3" t="str">
        <f aca="false">IFERROR(__xludf.dummyfunction("if($T269&lt;&gt;"""",REGEXEXTRACT(SUBSTITUTE ($T269,I$1&amp;"" CE"",""""), I$1&amp;""[\w &amp;]*, (\d+\.\d+)""),"""")
"),"")</f>
        <v/>
      </c>
      <c r="J269" s="3" t="str">
        <f aca="false">IFERROR(__xludf.dummyfunction("if($T269&lt;&gt;"""",REGEXEXTRACT($T269, J$1&amp;""[\w &amp;]*, (\d+\.\d+)""),"""")
"),"")</f>
        <v/>
      </c>
      <c r="K269" s="3"/>
      <c r="L269" s="3" t="str">
        <f aca="false">IFERROR(__xludf.dummyfunction("if($T269&lt;&gt;"""",REGEXEXTRACT(SUBSTITUTE ($T269,L$1&amp;"" CE"",""""), L$1&amp;""[\w &amp;]*, (\d+\.\d+)""),"""")
"),"")</f>
        <v/>
      </c>
      <c r="M269" s="3" t="str">
        <f aca="false">IFERROR(__xludf.dummyfunction("if($T269&lt;&gt;"""",REGEXEXTRACT($T269, M$1&amp;""[\w &amp;]*, (\d+\.\d+)""),"""")
"),"")</f>
        <v/>
      </c>
      <c r="N269" s="3" t="str">
        <f aca="false">IFERROR(__xludf.dummyfunction("if($T269&lt;&gt;"""",REGEXEXTRACT(SUBSTITUTE ($T269,N$1&amp;"" CE"",""""), N$1&amp;""[\w &amp;]*, (\d+\.\d+)""),"""")
"),"")</f>
        <v/>
      </c>
      <c r="O269" s="3" t="str">
        <f aca="false">IFERROR(__xludf.dummyfunction("if($T269&lt;&gt;"""",REGEXEXTRACT($T269, O$1&amp;""[\w &amp;]*, (\d+\.\d+)""),"""")
"),"")</f>
        <v/>
      </c>
      <c r="P269" s="2"/>
      <c r="Q269" s="2"/>
      <c r="R269" s="2"/>
      <c r="S269" s="2"/>
      <c r="T269" s="5"/>
    </row>
    <row r="270" customFormat="false" ht="15.75" hidden="false" customHeight="false" outlineLevel="0" collapsed="false">
      <c r="A270" s="4"/>
      <c r="B270" s="2"/>
      <c r="C270" s="2"/>
      <c r="D270" s="2"/>
      <c r="E270" s="2"/>
      <c r="F270" s="3" t="str">
        <f aca="false">IFERROR(__xludf.dummyfunction("if($T270&lt;&gt;"""",REGEXEXTRACT(SUBSTITUTE ($T270,F$1&amp;"" CE"",""""), F$1&amp;""[\w &amp;]*, (\d+\.\d+)""),"""")
"),"")</f>
        <v/>
      </c>
      <c r="G270" s="3" t="str">
        <f aca="false">IFERROR(__xludf.dummyfunction("if($T270&lt;&gt;"""",REGEXEXTRACT($T270, G$1&amp;""[\w &amp;]*, (\d+\.\d+)""),"""")
"),"")</f>
        <v/>
      </c>
      <c r="H270" s="3"/>
      <c r="I270" s="3" t="str">
        <f aca="false">IFERROR(__xludf.dummyfunction("if($T270&lt;&gt;"""",REGEXEXTRACT(SUBSTITUTE ($T270,I$1&amp;"" CE"",""""), I$1&amp;""[\w &amp;]*, (\d+\.\d+)""),"""")
"),"")</f>
        <v/>
      </c>
      <c r="J270" s="3" t="str">
        <f aca="false">IFERROR(__xludf.dummyfunction("if($T270&lt;&gt;"""",REGEXEXTRACT($T270, J$1&amp;""[\w &amp;]*, (\d+\.\d+)""),"""")
"),"")</f>
        <v/>
      </c>
      <c r="K270" s="3"/>
      <c r="L270" s="3" t="str">
        <f aca="false">IFERROR(__xludf.dummyfunction("if($T270&lt;&gt;"""",REGEXEXTRACT(SUBSTITUTE ($T270,L$1&amp;"" CE"",""""), L$1&amp;""[\w &amp;]*, (\d+\.\d+)""),"""")
"),"")</f>
        <v/>
      </c>
      <c r="M270" s="3" t="str">
        <f aca="false">IFERROR(__xludf.dummyfunction("if($T270&lt;&gt;"""",REGEXEXTRACT($T270, M$1&amp;""[\w &amp;]*, (\d+\.\d+)""),"""")
"),"")</f>
        <v/>
      </c>
      <c r="N270" s="3" t="str">
        <f aca="false">IFERROR(__xludf.dummyfunction("if($T270&lt;&gt;"""",REGEXEXTRACT(SUBSTITUTE ($T270,N$1&amp;"" CE"",""""), N$1&amp;""[\w &amp;]*, (\d+\.\d+)""),"""")
"),"")</f>
        <v/>
      </c>
      <c r="O270" s="3" t="str">
        <f aca="false">IFERROR(__xludf.dummyfunction("if($T270&lt;&gt;"""",REGEXEXTRACT($T270, O$1&amp;""[\w &amp;]*, (\d+\.\d+)""),"""")
"),"")</f>
        <v/>
      </c>
      <c r="P270" s="2"/>
      <c r="Q270" s="2"/>
      <c r="R270" s="2"/>
      <c r="S270" s="2"/>
      <c r="T270" s="5"/>
    </row>
    <row r="271" customFormat="false" ht="15.75" hidden="false" customHeight="false" outlineLevel="0" collapsed="false">
      <c r="A271" s="4"/>
      <c r="B271" s="2"/>
      <c r="C271" s="2"/>
      <c r="D271" s="2"/>
      <c r="E271" s="2"/>
      <c r="F271" s="3" t="str">
        <f aca="false">IFERROR(__xludf.dummyfunction("if($T271&lt;&gt;"""",REGEXEXTRACT(SUBSTITUTE ($T271,F$1&amp;"" CE"",""""), F$1&amp;""[\w &amp;]*, (\d+\.\d+)""),"""")
"),"")</f>
        <v/>
      </c>
      <c r="G271" s="3" t="str">
        <f aca="false">IFERROR(__xludf.dummyfunction("if($T271&lt;&gt;"""",REGEXEXTRACT($T271, G$1&amp;""[\w &amp;]*, (\d+\.\d+)""),"""")
"),"")</f>
        <v/>
      </c>
      <c r="H271" s="3"/>
      <c r="I271" s="3" t="str">
        <f aca="false">IFERROR(__xludf.dummyfunction("if($T271&lt;&gt;"""",REGEXEXTRACT(SUBSTITUTE ($T271,I$1&amp;"" CE"",""""), I$1&amp;""[\w &amp;]*, (\d+\.\d+)""),"""")
"),"")</f>
        <v/>
      </c>
      <c r="J271" s="3" t="str">
        <f aca="false">IFERROR(__xludf.dummyfunction("if($T271&lt;&gt;"""",REGEXEXTRACT($T271, J$1&amp;""[\w &amp;]*, (\d+\.\d+)""),"""")
"),"")</f>
        <v/>
      </c>
      <c r="K271" s="3"/>
      <c r="L271" s="3" t="str">
        <f aca="false">IFERROR(__xludf.dummyfunction("if($T271&lt;&gt;"""",REGEXEXTRACT(SUBSTITUTE ($T271,L$1&amp;"" CE"",""""), L$1&amp;""[\w &amp;]*, (\d+\.\d+)""),"""")
"),"")</f>
        <v/>
      </c>
      <c r="M271" s="3" t="str">
        <f aca="false">IFERROR(__xludf.dummyfunction("if($T271&lt;&gt;"""",REGEXEXTRACT($T271, M$1&amp;""[\w &amp;]*, (\d+\.\d+)""),"""")
"),"")</f>
        <v/>
      </c>
      <c r="N271" s="3" t="str">
        <f aca="false">IFERROR(__xludf.dummyfunction("if($T271&lt;&gt;"""",REGEXEXTRACT(SUBSTITUTE ($T271,N$1&amp;"" CE"",""""), N$1&amp;""[\w &amp;]*, (\d+\.\d+)""),"""")
"),"")</f>
        <v/>
      </c>
      <c r="O271" s="3" t="str">
        <f aca="false">IFERROR(__xludf.dummyfunction("if($T271&lt;&gt;"""",REGEXEXTRACT($T271, O$1&amp;""[\w &amp;]*, (\d+\.\d+)""),"""")
"),"")</f>
        <v/>
      </c>
      <c r="P271" s="2"/>
      <c r="Q271" s="2"/>
      <c r="R271" s="2"/>
      <c r="S271" s="2"/>
      <c r="T271" s="5"/>
    </row>
    <row r="272" customFormat="false" ht="15.75" hidden="false" customHeight="false" outlineLevel="0" collapsed="false">
      <c r="A272" s="4"/>
      <c r="B272" s="2"/>
      <c r="C272" s="2"/>
      <c r="D272" s="2"/>
      <c r="E272" s="2"/>
      <c r="F272" s="3" t="str">
        <f aca="false">IFERROR(__xludf.dummyfunction("if($T272&lt;&gt;"""",REGEXEXTRACT(SUBSTITUTE ($T272,F$1&amp;"" CE"",""""), F$1&amp;""[\w &amp;]*, (\d+\.\d+)""),"""")
"),"")</f>
        <v/>
      </c>
      <c r="G272" s="3" t="str">
        <f aca="false">IFERROR(__xludf.dummyfunction("if($T272&lt;&gt;"""",REGEXEXTRACT($T272, G$1&amp;""[\w &amp;]*, (\d+\.\d+)""),"""")
"),"")</f>
        <v/>
      </c>
      <c r="H272" s="3"/>
      <c r="I272" s="3" t="str">
        <f aca="false">IFERROR(__xludf.dummyfunction("if($T272&lt;&gt;"""",REGEXEXTRACT(SUBSTITUTE ($T272,I$1&amp;"" CE"",""""), I$1&amp;""[\w &amp;]*, (\d+\.\d+)""),"""")
"),"")</f>
        <v/>
      </c>
      <c r="J272" s="3" t="str">
        <f aca="false">IFERROR(__xludf.dummyfunction("if($T272&lt;&gt;"""",REGEXEXTRACT($T272, J$1&amp;""[\w &amp;]*, (\d+\.\d+)""),"""")
"),"")</f>
        <v/>
      </c>
      <c r="K272" s="3"/>
      <c r="L272" s="3" t="str">
        <f aca="false">IFERROR(__xludf.dummyfunction("if($T272&lt;&gt;"""",REGEXEXTRACT(SUBSTITUTE ($T272,L$1&amp;"" CE"",""""), L$1&amp;""[\w &amp;]*, (\d+\.\d+)""),"""")
"),"")</f>
        <v/>
      </c>
      <c r="M272" s="3" t="str">
        <f aca="false">IFERROR(__xludf.dummyfunction("if($T272&lt;&gt;"""",REGEXEXTRACT($T272, M$1&amp;""[\w &amp;]*, (\d+\.\d+)""),"""")
"),"")</f>
        <v/>
      </c>
      <c r="N272" s="3" t="str">
        <f aca="false">IFERROR(__xludf.dummyfunction("if($T272&lt;&gt;"""",REGEXEXTRACT(SUBSTITUTE ($T272,N$1&amp;"" CE"",""""), N$1&amp;""[\w &amp;]*, (\d+\.\d+)""),"""")
"),"")</f>
        <v/>
      </c>
      <c r="O272" s="3" t="str">
        <f aca="false">IFERROR(__xludf.dummyfunction("if($T272&lt;&gt;"""",REGEXEXTRACT($T272, O$1&amp;""[\w &amp;]*, (\d+\.\d+)""),"""")
"),"")</f>
        <v/>
      </c>
      <c r="P272" s="2"/>
      <c r="Q272" s="2"/>
      <c r="R272" s="2"/>
      <c r="S272" s="2"/>
      <c r="T272" s="5"/>
    </row>
    <row r="273" customFormat="false" ht="15.75" hidden="false" customHeight="false" outlineLevel="0" collapsed="false">
      <c r="A273" s="4"/>
      <c r="B273" s="2"/>
      <c r="C273" s="2"/>
      <c r="D273" s="2"/>
      <c r="E273" s="2"/>
      <c r="F273" s="3" t="str">
        <f aca="false">IFERROR(__xludf.dummyfunction("if($T273&lt;&gt;"""",REGEXEXTRACT(SUBSTITUTE ($T273,F$1&amp;"" CE"",""""), F$1&amp;""[\w &amp;]*, (\d+\.\d+)""),"""")
"),"")</f>
        <v/>
      </c>
      <c r="G273" s="3" t="str">
        <f aca="false">IFERROR(__xludf.dummyfunction("if($T273&lt;&gt;"""",REGEXEXTRACT($T273, G$1&amp;""[\w &amp;]*, (\d+\.\d+)""),"""")
"),"")</f>
        <v/>
      </c>
      <c r="H273" s="3"/>
      <c r="I273" s="3" t="str">
        <f aca="false">IFERROR(__xludf.dummyfunction("if($T273&lt;&gt;"""",REGEXEXTRACT(SUBSTITUTE ($T273,I$1&amp;"" CE"",""""), I$1&amp;""[\w &amp;]*, (\d+\.\d+)""),"""")
"),"")</f>
        <v/>
      </c>
      <c r="J273" s="3" t="str">
        <f aca="false">IFERROR(__xludf.dummyfunction("if($T273&lt;&gt;"""",REGEXEXTRACT($T273, J$1&amp;""[\w &amp;]*, (\d+\.\d+)""),"""")
"),"")</f>
        <v/>
      </c>
      <c r="K273" s="3"/>
      <c r="L273" s="3" t="str">
        <f aca="false">IFERROR(__xludf.dummyfunction("if($T273&lt;&gt;"""",REGEXEXTRACT(SUBSTITUTE ($T273,L$1&amp;"" CE"",""""), L$1&amp;""[\w &amp;]*, (\d+\.\d+)""),"""")
"),"")</f>
        <v/>
      </c>
      <c r="M273" s="3" t="str">
        <f aca="false">IFERROR(__xludf.dummyfunction("if($T273&lt;&gt;"""",REGEXEXTRACT($T273, M$1&amp;""[\w &amp;]*, (\d+\.\d+)""),"""")
"),"")</f>
        <v/>
      </c>
      <c r="N273" s="3" t="str">
        <f aca="false">IFERROR(__xludf.dummyfunction("if($T273&lt;&gt;"""",REGEXEXTRACT(SUBSTITUTE ($T273,N$1&amp;"" CE"",""""), N$1&amp;""[\w &amp;]*, (\d+\.\d+)""),"""")
"),"")</f>
        <v/>
      </c>
      <c r="O273" s="3" t="str">
        <f aca="false">IFERROR(__xludf.dummyfunction("if($T273&lt;&gt;"""",REGEXEXTRACT($T273, O$1&amp;""[\w &amp;]*, (\d+\.\d+)""),"""")
"),"")</f>
        <v/>
      </c>
      <c r="P273" s="2"/>
      <c r="Q273" s="2"/>
      <c r="R273" s="2"/>
      <c r="S273" s="2"/>
      <c r="T273" s="5"/>
    </row>
    <row r="274" customFormat="false" ht="15.75" hidden="false" customHeight="false" outlineLevel="0" collapsed="false">
      <c r="A274" s="4"/>
      <c r="B274" s="2"/>
      <c r="C274" s="2"/>
      <c r="D274" s="2"/>
      <c r="E274" s="2"/>
      <c r="F274" s="3" t="str">
        <f aca="false">IFERROR(__xludf.dummyfunction("if($T274&lt;&gt;"""",REGEXEXTRACT(SUBSTITUTE ($T274,F$1&amp;"" CE"",""""), F$1&amp;""[\w &amp;]*, (\d+\.\d+)""),"""")
"),"")</f>
        <v/>
      </c>
      <c r="G274" s="3" t="str">
        <f aca="false">IFERROR(__xludf.dummyfunction("if($T274&lt;&gt;"""",REGEXEXTRACT($T274, G$1&amp;""[\w &amp;]*, (\d+\.\d+)""),"""")
"),"")</f>
        <v/>
      </c>
      <c r="H274" s="3"/>
      <c r="I274" s="3" t="str">
        <f aca="false">IFERROR(__xludf.dummyfunction("if($T274&lt;&gt;"""",REGEXEXTRACT(SUBSTITUTE ($T274,I$1&amp;"" CE"",""""), I$1&amp;""[\w &amp;]*, (\d+\.\d+)""),"""")
"),"")</f>
        <v/>
      </c>
      <c r="J274" s="3" t="str">
        <f aca="false">IFERROR(__xludf.dummyfunction("if($T274&lt;&gt;"""",REGEXEXTRACT($T274, J$1&amp;""[\w &amp;]*, (\d+\.\d+)""),"""")
"),"")</f>
        <v/>
      </c>
      <c r="K274" s="3"/>
      <c r="L274" s="3" t="str">
        <f aca="false">IFERROR(__xludf.dummyfunction("if($T274&lt;&gt;"""",REGEXEXTRACT(SUBSTITUTE ($T274,L$1&amp;"" CE"",""""), L$1&amp;""[\w &amp;]*, (\d+\.\d+)""),"""")
"),"")</f>
        <v/>
      </c>
      <c r="M274" s="3" t="str">
        <f aca="false">IFERROR(__xludf.dummyfunction("if($T274&lt;&gt;"""",REGEXEXTRACT($T274, M$1&amp;""[\w &amp;]*, (\d+\.\d+)""),"""")
"),"")</f>
        <v/>
      </c>
      <c r="N274" s="3" t="str">
        <f aca="false">IFERROR(__xludf.dummyfunction("if($T274&lt;&gt;"""",REGEXEXTRACT(SUBSTITUTE ($T274,N$1&amp;"" CE"",""""), N$1&amp;""[\w &amp;]*, (\d+\.\d+)""),"""")
"),"")</f>
        <v/>
      </c>
      <c r="O274" s="3" t="str">
        <f aca="false">IFERROR(__xludf.dummyfunction("if($T274&lt;&gt;"""",REGEXEXTRACT($T274, O$1&amp;""[\w &amp;]*, (\d+\.\d+)""),"""")
"),"")</f>
        <v/>
      </c>
      <c r="P274" s="2"/>
      <c r="Q274" s="2"/>
      <c r="R274" s="2"/>
      <c r="S274" s="2"/>
      <c r="T274" s="5"/>
    </row>
    <row r="275" customFormat="false" ht="15.75" hidden="false" customHeight="false" outlineLevel="0" collapsed="false">
      <c r="A275" s="4"/>
      <c r="B275" s="2"/>
      <c r="C275" s="2"/>
      <c r="D275" s="2"/>
      <c r="E275" s="2"/>
      <c r="F275" s="3" t="str">
        <f aca="false">IFERROR(__xludf.dummyfunction("if($T275&lt;&gt;"""",REGEXEXTRACT(SUBSTITUTE ($T275,F$1&amp;"" CE"",""""), F$1&amp;""[\w &amp;]*, (\d+\.\d+)""),"""")
"),"")</f>
        <v/>
      </c>
      <c r="G275" s="3" t="str">
        <f aca="false">IFERROR(__xludf.dummyfunction("if($T275&lt;&gt;"""",REGEXEXTRACT($T275, G$1&amp;""[\w &amp;]*, (\d+\.\d+)""),"""")
"),"")</f>
        <v/>
      </c>
      <c r="H275" s="3"/>
      <c r="I275" s="3" t="str">
        <f aca="false">IFERROR(__xludf.dummyfunction("if($T275&lt;&gt;"""",REGEXEXTRACT(SUBSTITUTE ($T275,I$1&amp;"" CE"",""""), I$1&amp;""[\w &amp;]*, (\d+\.\d+)""),"""")
"),"")</f>
        <v/>
      </c>
      <c r="J275" s="3" t="str">
        <f aca="false">IFERROR(__xludf.dummyfunction("if($T275&lt;&gt;"""",REGEXEXTRACT($T275, J$1&amp;""[\w &amp;]*, (\d+\.\d+)""),"""")
"),"")</f>
        <v/>
      </c>
      <c r="K275" s="3"/>
      <c r="L275" s="3" t="str">
        <f aca="false">IFERROR(__xludf.dummyfunction("if($T275&lt;&gt;"""",REGEXEXTRACT(SUBSTITUTE ($T275,L$1&amp;"" CE"",""""), L$1&amp;""[\w &amp;]*, (\d+\.\d+)""),"""")
"),"")</f>
        <v/>
      </c>
      <c r="M275" s="3" t="str">
        <f aca="false">IFERROR(__xludf.dummyfunction("if($T275&lt;&gt;"""",REGEXEXTRACT($T275, M$1&amp;""[\w &amp;]*, (\d+\.\d+)""),"""")
"),"")</f>
        <v/>
      </c>
      <c r="N275" s="3" t="str">
        <f aca="false">IFERROR(__xludf.dummyfunction("if($T275&lt;&gt;"""",REGEXEXTRACT(SUBSTITUTE ($T275,N$1&amp;"" CE"",""""), N$1&amp;""[\w &amp;]*, (\d+\.\d+)""),"""")
"),"")</f>
        <v/>
      </c>
      <c r="O275" s="3" t="str">
        <f aca="false">IFERROR(__xludf.dummyfunction("if($T275&lt;&gt;"""",REGEXEXTRACT($T275, O$1&amp;""[\w &amp;]*, (\d+\.\d+)""),"""")
"),"")</f>
        <v/>
      </c>
      <c r="P275" s="2"/>
      <c r="Q275" s="2"/>
      <c r="R275" s="2"/>
      <c r="S275" s="2"/>
      <c r="T275" s="5"/>
    </row>
    <row r="276" customFormat="false" ht="15.75" hidden="false" customHeight="false" outlineLevel="0" collapsed="false">
      <c r="A276" s="4"/>
      <c r="B276" s="2"/>
      <c r="C276" s="2"/>
      <c r="D276" s="2"/>
      <c r="E276" s="2"/>
      <c r="F276" s="3" t="str">
        <f aca="false">IFERROR(__xludf.dummyfunction("if($T276&lt;&gt;"""",REGEXEXTRACT(SUBSTITUTE ($T276,F$1&amp;"" CE"",""""), F$1&amp;""[\w &amp;]*, (\d+\.\d+)""),"""")
"),"")</f>
        <v/>
      </c>
      <c r="G276" s="3" t="str">
        <f aca="false">IFERROR(__xludf.dummyfunction("if($T276&lt;&gt;"""",REGEXEXTRACT($T276, G$1&amp;""[\w &amp;]*, (\d+\.\d+)""),"""")
"),"")</f>
        <v/>
      </c>
      <c r="H276" s="3"/>
      <c r="I276" s="3" t="str">
        <f aca="false">IFERROR(__xludf.dummyfunction("if($T276&lt;&gt;"""",REGEXEXTRACT(SUBSTITUTE ($T276,I$1&amp;"" CE"",""""), I$1&amp;""[\w &amp;]*, (\d+\.\d+)""),"""")
"),"")</f>
        <v/>
      </c>
      <c r="J276" s="3" t="str">
        <f aca="false">IFERROR(__xludf.dummyfunction("if($T276&lt;&gt;"""",REGEXEXTRACT($T276, J$1&amp;""[\w &amp;]*, (\d+\.\d+)""),"""")
"),"")</f>
        <v/>
      </c>
      <c r="K276" s="3"/>
      <c r="L276" s="3" t="str">
        <f aca="false">IFERROR(__xludf.dummyfunction("if($T276&lt;&gt;"""",REGEXEXTRACT(SUBSTITUTE ($T276,L$1&amp;"" CE"",""""), L$1&amp;""[\w &amp;]*, (\d+\.\d+)""),"""")
"),"")</f>
        <v/>
      </c>
      <c r="M276" s="3" t="str">
        <f aca="false">IFERROR(__xludf.dummyfunction("if($T276&lt;&gt;"""",REGEXEXTRACT($T276, M$1&amp;""[\w &amp;]*, (\d+\.\d+)""),"""")
"),"")</f>
        <v/>
      </c>
      <c r="N276" s="3" t="str">
        <f aca="false">IFERROR(__xludf.dummyfunction("if($T276&lt;&gt;"""",REGEXEXTRACT(SUBSTITUTE ($T276,N$1&amp;"" CE"",""""), N$1&amp;""[\w &amp;]*, (\d+\.\d+)""),"""")
"),"")</f>
        <v/>
      </c>
      <c r="O276" s="3" t="str">
        <f aca="false">IFERROR(__xludf.dummyfunction("if($T276&lt;&gt;"""",REGEXEXTRACT($T276, O$1&amp;""[\w &amp;]*, (\d+\.\d+)""),"""")
"),"")</f>
        <v/>
      </c>
      <c r="P276" s="2"/>
      <c r="Q276" s="2"/>
      <c r="R276" s="2"/>
      <c r="S276" s="2"/>
      <c r="T276" s="5"/>
    </row>
    <row r="277" customFormat="false" ht="15.75" hidden="false" customHeight="false" outlineLevel="0" collapsed="false">
      <c r="A277" s="4"/>
      <c r="B277" s="2"/>
      <c r="C277" s="2"/>
      <c r="D277" s="2"/>
      <c r="E277" s="2"/>
      <c r="F277" s="3" t="str">
        <f aca="false">IFERROR(__xludf.dummyfunction("if($T277&lt;&gt;"""",REGEXEXTRACT(SUBSTITUTE ($T277,F$1&amp;"" CE"",""""), F$1&amp;""[\w &amp;]*, (\d+\.\d+)""),"""")
"),"")</f>
        <v/>
      </c>
      <c r="G277" s="3" t="str">
        <f aca="false">IFERROR(__xludf.dummyfunction("if($T277&lt;&gt;"""",REGEXEXTRACT($T277, G$1&amp;""[\w &amp;]*, (\d+\.\d+)""),"""")
"),"")</f>
        <v/>
      </c>
      <c r="H277" s="3"/>
      <c r="I277" s="3" t="str">
        <f aca="false">IFERROR(__xludf.dummyfunction("if($T277&lt;&gt;"""",REGEXEXTRACT(SUBSTITUTE ($T277,I$1&amp;"" CE"",""""), I$1&amp;""[\w &amp;]*, (\d+\.\d+)""),"""")
"),"")</f>
        <v/>
      </c>
      <c r="J277" s="3" t="str">
        <f aca="false">IFERROR(__xludf.dummyfunction("if($T277&lt;&gt;"""",REGEXEXTRACT($T277, J$1&amp;""[\w &amp;]*, (\d+\.\d+)""),"""")
"),"")</f>
        <v/>
      </c>
      <c r="K277" s="3"/>
      <c r="L277" s="3" t="str">
        <f aca="false">IFERROR(__xludf.dummyfunction("if($T277&lt;&gt;"""",REGEXEXTRACT(SUBSTITUTE ($T277,L$1&amp;"" CE"",""""), L$1&amp;""[\w &amp;]*, (\d+\.\d+)""),"""")
"),"")</f>
        <v/>
      </c>
      <c r="M277" s="3" t="str">
        <f aca="false">IFERROR(__xludf.dummyfunction("if($T277&lt;&gt;"""",REGEXEXTRACT($T277, M$1&amp;""[\w &amp;]*, (\d+\.\d+)""),"""")
"),"")</f>
        <v/>
      </c>
      <c r="N277" s="3" t="str">
        <f aca="false">IFERROR(__xludf.dummyfunction("if($T277&lt;&gt;"""",REGEXEXTRACT(SUBSTITUTE ($T277,N$1&amp;"" CE"",""""), N$1&amp;""[\w &amp;]*, (\d+\.\d+)""),"""")
"),"")</f>
        <v/>
      </c>
      <c r="O277" s="3" t="str">
        <f aca="false">IFERROR(__xludf.dummyfunction("if($T277&lt;&gt;"""",REGEXEXTRACT($T277, O$1&amp;""[\w &amp;]*, (\d+\.\d+)""),"""")
"),"")</f>
        <v/>
      </c>
      <c r="P277" s="2"/>
      <c r="Q277" s="2"/>
      <c r="R277" s="2"/>
      <c r="S277" s="2"/>
      <c r="T277" s="5"/>
    </row>
    <row r="278" customFormat="false" ht="15.75" hidden="false" customHeight="false" outlineLevel="0" collapsed="false">
      <c r="A278" s="4"/>
      <c r="B278" s="2"/>
      <c r="C278" s="2"/>
      <c r="D278" s="2"/>
      <c r="E278" s="2"/>
      <c r="F278" s="3" t="str">
        <f aca="false">IFERROR(__xludf.dummyfunction("if($T278&lt;&gt;"""",REGEXEXTRACT(SUBSTITUTE ($T278,F$1&amp;"" CE"",""""), F$1&amp;""[\w &amp;]*, (\d+\.\d+)""),"""")
"),"")</f>
        <v/>
      </c>
      <c r="G278" s="3" t="str">
        <f aca="false">IFERROR(__xludf.dummyfunction("if($T278&lt;&gt;"""",REGEXEXTRACT($T278, G$1&amp;""[\w &amp;]*, (\d+\.\d+)""),"""")
"),"")</f>
        <v/>
      </c>
      <c r="H278" s="3"/>
      <c r="I278" s="3" t="str">
        <f aca="false">IFERROR(__xludf.dummyfunction("if($T278&lt;&gt;"""",REGEXEXTRACT(SUBSTITUTE ($T278,I$1&amp;"" CE"",""""), I$1&amp;""[\w &amp;]*, (\d+\.\d+)""),"""")
"),"")</f>
        <v/>
      </c>
      <c r="J278" s="3" t="str">
        <f aca="false">IFERROR(__xludf.dummyfunction("if($T278&lt;&gt;"""",REGEXEXTRACT($T278, J$1&amp;""[\w &amp;]*, (\d+\.\d+)""),"""")
"),"")</f>
        <v/>
      </c>
      <c r="K278" s="3"/>
      <c r="L278" s="3" t="str">
        <f aca="false">IFERROR(__xludf.dummyfunction("if($T278&lt;&gt;"""",REGEXEXTRACT(SUBSTITUTE ($T278,L$1&amp;"" CE"",""""), L$1&amp;""[\w &amp;]*, (\d+\.\d+)""),"""")
"),"")</f>
        <v/>
      </c>
      <c r="M278" s="3" t="str">
        <f aca="false">IFERROR(__xludf.dummyfunction("if($T278&lt;&gt;"""",REGEXEXTRACT($T278, M$1&amp;""[\w &amp;]*, (\d+\.\d+)""),"""")
"),"")</f>
        <v/>
      </c>
      <c r="N278" s="3" t="str">
        <f aca="false">IFERROR(__xludf.dummyfunction("if($T278&lt;&gt;"""",REGEXEXTRACT(SUBSTITUTE ($T278,N$1&amp;"" CE"",""""), N$1&amp;""[\w &amp;]*, (\d+\.\d+)""),"""")
"),"")</f>
        <v/>
      </c>
      <c r="O278" s="3" t="str">
        <f aca="false">IFERROR(__xludf.dummyfunction("if($T278&lt;&gt;"""",REGEXEXTRACT($T278, O$1&amp;""[\w &amp;]*, (\d+\.\d+)""),"""")
"),"")</f>
        <v/>
      </c>
      <c r="P278" s="2"/>
      <c r="Q278" s="2"/>
      <c r="R278" s="2"/>
      <c r="S278" s="2"/>
      <c r="T278" s="5"/>
    </row>
    <row r="279" customFormat="false" ht="15.75" hidden="false" customHeight="false" outlineLevel="0" collapsed="false">
      <c r="A279" s="4"/>
      <c r="B279" s="2"/>
      <c r="C279" s="2"/>
      <c r="D279" s="2"/>
      <c r="E279" s="2"/>
      <c r="F279" s="3" t="str">
        <f aca="false">IFERROR(__xludf.dummyfunction("if($T279&lt;&gt;"""",REGEXEXTRACT(SUBSTITUTE ($T279,F$1&amp;"" CE"",""""), F$1&amp;""[\w &amp;]*, (\d+\.\d+)""),"""")
"),"")</f>
        <v/>
      </c>
      <c r="G279" s="3" t="str">
        <f aca="false">IFERROR(__xludf.dummyfunction("if($T279&lt;&gt;"""",REGEXEXTRACT($T279, G$1&amp;""[\w &amp;]*, (\d+\.\d+)""),"""")
"),"")</f>
        <v/>
      </c>
      <c r="H279" s="3"/>
      <c r="I279" s="3" t="str">
        <f aca="false">IFERROR(__xludf.dummyfunction("if($T279&lt;&gt;"""",REGEXEXTRACT(SUBSTITUTE ($T279,I$1&amp;"" CE"",""""), I$1&amp;""[\w &amp;]*, (\d+\.\d+)""),"""")
"),"")</f>
        <v/>
      </c>
      <c r="J279" s="3" t="str">
        <f aca="false">IFERROR(__xludf.dummyfunction("if($T279&lt;&gt;"""",REGEXEXTRACT($T279, J$1&amp;""[\w &amp;]*, (\d+\.\d+)""),"""")
"),"")</f>
        <v/>
      </c>
      <c r="K279" s="3"/>
      <c r="L279" s="3" t="str">
        <f aca="false">IFERROR(__xludf.dummyfunction("if($T279&lt;&gt;"""",REGEXEXTRACT(SUBSTITUTE ($T279,L$1&amp;"" CE"",""""), L$1&amp;""[\w &amp;]*, (\d+\.\d+)""),"""")
"),"")</f>
        <v/>
      </c>
      <c r="M279" s="3" t="str">
        <f aca="false">IFERROR(__xludf.dummyfunction("if($T279&lt;&gt;"""",REGEXEXTRACT($T279, M$1&amp;""[\w &amp;]*, (\d+\.\d+)""),"""")
"),"")</f>
        <v/>
      </c>
      <c r="N279" s="3" t="str">
        <f aca="false">IFERROR(__xludf.dummyfunction("if($T279&lt;&gt;"""",REGEXEXTRACT(SUBSTITUTE ($T279,N$1&amp;"" CE"",""""), N$1&amp;""[\w &amp;]*, (\d+\.\d+)""),"""")
"),"")</f>
        <v/>
      </c>
      <c r="O279" s="3" t="str">
        <f aca="false">IFERROR(__xludf.dummyfunction("if($T279&lt;&gt;"""",REGEXEXTRACT($T279, O$1&amp;""[\w &amp;]*, (\d+\.\d+)""),"""")
"),"")</f>
        <v/>
      </c>
      <c r="P279" s="2"/>
      <c r="Q279" s="2"/>
      <c r="R279" s="2"/>
      <c r="S279" s="2"/>
      <c r="T279" s="5"/>
    </row>
    <row r="280" customFormat="false" ht="15.75" hidden="false" customHeight="false" outlineLevel="0" collapsed="false">
      <c r="A280" s="4"/>
      <c r="B280" s="2"/>
      <c r="C280" s="2"/>
      <c r="D280" s="2"/>
      <c r="E280" s="2"/>
      <c r="F280" s="3" t="str">
        <f aca="false">IFERROR(__xludf.dummyfunction("if($T280&lt;&gt;"""",REGEXEXTRACT(SUBSTITUTE ($T280,F$1&amp;"" CE"",""""), F$1&amp;""[\w &amp;]*, (\d+\.\d+)""),"""")
"),"")</f>
        <v/>
      </c>
      <c r="G280" s="3" t="str">
        <f aca="false">IFERROR(__xludf.dummyfunction("if($T280&lt;&gt;"""",REGEXEXTRACT($T280, G$1&amp;""[\w &amp;]*, (\d+\.\d+)""),"""")
"),"")</f>
        <v/>
      </c>
      <c r="H280" s="3"/>
      <c r="I280" s="3" t="str">
        <f aca="false">IFERROR(__xludf.dummyfunction("if($T280&lt;&gt;"""",REGEXEXTRACT(SUBSTITUTE ($T280,I$1&amp;"" CE"",""""), I$1&amp;""[\w &amp;]*, (\d+\.\d+)""),"""")
"),"")</f>
        <v/>
      </c>
      <c r="J280" s="3" t="str">
        <f aca="false">IFERROR(__xludf.dummyfunction("if($T280&lt;&gt;"""",REGEXEXTRACT($T280, J$1&amp;""[\w &amp;]*, (\d+\.\d+)""),"""")
"),"")</f>
        <v/>
      </c>
      <c r="K280" s="3"/>
      <c r="L280" s="3" t="str">
        <f aca="false">IFERROR(__xludf.dummyfunction("if($T280&lt;&gt;"""",REGEXEXTRACT(SUBSTITUTE ($T280,L$1&amp;"" CE"",""""), L$1&amp;""[\w &amp;]*, (\d+\.\d+)""),"""")
"),"")</f>
        <v/>
      </c>
      <c r="M280" s="3" t="str">
        <f aca="false">IFERROR(__xludf.dummyfunction("if($T280&lt;&gt;"""",REGEXEXTRACT($T280, M$1&amp;""[\w &amp;]*, (\d+\.\d+)""),"""")
"),"")</f>
        <v/>
      </c>
      <c r="N280" s="3" t="str">
        <f aca="false">IFERROR(__xludf.dummyfunction("if($T280&lt;&gt;"""",REGEXEXTRACT(SUBSTITUTE ($T280,N$1&amp;"" CE"",""""), N$1&amp;""[\w &amp;]*, (\d+\.\d+)""),"""")
"),"")</f>
        <v/>
      </c>
      <c r="O280" s="3" t="str">
        <f aca="false">IFERROR(__xludf.dummyfunction("if($T280&lt;&gt;"""",REGEXEXTRACT($T280, O$1&amp;""[\w &amp;]*, (\d+\.\d+)""),"""")
"),"")</f>
        <v/>
      </c>
      <c r="P280" s="2"/>
      <c r="Q280" s="2"/>
      <c r="R280" s="2"/>
      <c r="S280" s="2"/>
      <c r="T280" s="5"/>
    </row>
    <row r="281" customFormat="false" ht="15.75" hidden="false" customHeight="false" outlineLevel="0" collapsed="false">
      <c r="A281" s="4"/>
      <c r="B281" s="2"/>
      <c r="C281" s="2"/>
      <c r="D281" s="2"/>
      <c r="E281" s="2"/>
      <c r="F281" s="3" t="str">
        <f aca="false">IFERROR(__xludf.dummyfunction("if($T281&lt;&gt;"""",REGEXEXTRACT(SUBSTITUTE ($T281,F$1&amp;"" CE"",""""), F$1&amp;""[\w &amp;]*, (\d+\.\d+)""),"""")
"),"")</f>
        <v/>
      </c>
      <c r="G281" s="3" t="str">
        <f aca="false">IFERROR(__xludf.dummyfunction("if($T281&lt;&gt;"""",REGEXEXTRACT($T281, G$1&amp;""[\w &amp;]*, (\d+\.\d+)""),"""")
"),"")</f>
        <v/>
      </c>
      <c r="H281" s="3"/>
      <c r="I281" s="3" t="str">
        <f aca="false">IFERROR(__xludf.dummyfunction("if($T281&lt;&gt;"""",REGEXEXTRACT(SUBSTITUTE ($T281,I$1&amp;"" CE"",""""), I$1&amp;""[\w &amp;]*, (\d+\.\d+)""),"""")
"),"")</f>
        <v/>
      </c>
      <c r="J281" s="3" t="str">
        <f aca="false">IFERROR(__xludf.dummyfunction("if($T281&lt;&gt;"""",REGEXEXTRACT($T281, J$1&amp;""[\w &amp;]*, (\d+\.\d+)""),"""")
"),"")</f>
        <v/>
      </c>
      <c r="K281" s="3"/>
      <c r="L281" s="3" t="str">
        <f aca="false">IFERROR(__xludf.dummyfunction("if($T281&lt;&gt;"""",REGEXEXTRACT(SUBSTITUTE ($T281,L$1&amp;"" CE"",""""), L$1&amp;""[\w &amp;]*, (\d+\.\d+)""),"""")
"),"")</f>
        <v/>
      </c>
      <c r="M281" s="3" t="str">
        <f aca="false">IFERROR(__xludf.dummyfunction("if($T281&lt;&gt;"""",REGEXEXTRACT($T281, M$1&amp;""[\w &amp;]*, (\d+\.\d+)""),"""")
"),"")</f>
        <v/>
      </c>
      <c r="N281" s="3" t="str">
        <f aca="false">IFERROR(__xludf.dummyfunction("if($T281&lt;&gt;"""",REGEXEXTRACT(SUBSTITUTE ($T281,N$1&amp;"" CE"",""""), N$1&amp;""[\w &amp;]*, (\d+\.\d+)""),"""")
"),"")</f>
        <v/>
      </c>
      <c r="O281" s="3" t="str">
        <f aca="false">IFERROR(__xludf.dummyfunction("if($T281&lt;&gt;"""",REGEXEXTRACT($T281, O$1&amp;""[\w &amp;]*, (\d+\.\d+)""),"""")
"),"")</f>
        <v/>
      </c>
      <c r="P281" s="2"/>
      <c r="Q281" s="2"/>
      <c r="R281" s="2"/>
      <c r="S281" s="2"/>
      <c r="T281" s="5"/>
    </row>
    <row r="282" customFormat="false" ht="15.75" hidden="false" customHeight="false" outlineLevel="0" collapsed="false">
      <c r="A282" s="4"/>
      <c r="B282" s="2"/>
      <c r="C282" s="2"/>
      <c r="D282" s="2"/>
      <c r="E282" s="2"/>
      <c r="F282" s="3" t="str">
        <f aca="false">IFERROR(__xludf.dummyfunction("if($T282&lt;&gt;"""",REGEXEXTRACT(SUBSTITUTE ($T282,F$1&amp;"" CE"",""""), F$1&amp;""[\w &amp;]*, (\d+\.\d+)""),"""")
"),"")</f>
        <v/>
      </c>
      <c r="G282" s="3" t="str">
        <f aca="false">IFERROR(__xludf.dummyfunction("if($T282&lt;&gt;"""",REGEXEXTRACT($T282, G$1&amp;""[\w &amp;]*, (\d+\.\d+)""),"""")
"),"")</f>
        <v/>
      </c>
      <c r="H282" s="3"/>
      <c r="I282" s="3" t="str">
        <f aca="false">IFERROR(__xludf.dummyfunction("if($T282&lt;&gt;"""",REGEXEXTRACT(SUBSTITUTE ($T282,I$1&amp;"" CE"",""""), I$1&amp;""[\w &amp;]*, (\d+\.\d+)""),"""")
"),"")</f>
        <v/>
      </c>
      <c r="J282" s="3" t="str">
        <f aca="false">IFERROR(__xludf.dummyfunction("if($T282&lt;&gt;"""",REGEXEXTRACT($T282, J$1&amp;""[\w &amp;]*, (\d+\.\d+)""),"""")
"),"")</f>
        <v/>
      </c>
      <c r="K282" s="3"/>
      <c r="L282" s="3" t="str">
        <f aca="false">IFERROR(__xludf.dummyfunction("if($T282&lt;&gt;"""",REGEXEXTRACT(SUBSTITUTE ($T282,L$1&amp;"" CE"",""""), L$1&amp;""[\w &amp;]*, (\d+\.\d+)""),"""")
"),"")</f>
        <v/>
      </c>
      <c r="M282" s="3" t="str">
        <f aca="false">IFERROR(__xludf.dummyfunction("if($T282&lt;&gt;"""",REGEXEXTRACT($T282, M$1&amp;""[\w &amp;]*, (\d+\.\d+)""),"""")
"),"")</f>
        <v/>
      </c>
      <c r="N282" s="3" t="str">
        <f aca="false">IFERROR(__xludf.dummyfunction("if($T282&lt;&gt;"""",REGEXEXTRACT(SUBSTITUTE ($T282,N$1&amp;"" CE"",""""), N$1&amp;""[\w &amp;]*, (\d+\.\d+)""),"""")
"),"")</f>
        <v/>
      </c>
      <c r="O282" s="3" t="str">
        <f aca="false">IFERROR(__xludf.dummyfunction("if($T282&lt;&gt;"""",REGEXEXTRACT($T282, O$1&amp;""[\w &amp;]*, (\d+\.\d+)""),"""")
"),"")</f>
        <v/>
      </c>
      <c r="P282" s="2"/>
      <c r="Q282" s="2"/>
      <c r="R282" s="2"/>
      <c r="S282" s="2"/>
      <c r="T282" s="5"/>
    </row>
    <row r="283" customFormat="false" ht="15.75" hidden="false" customHeight="false" outlineLevel="0" collapsed="false">
      <c r="A283" s="4"/>
      <c r="B283" s="2"/>
      <c r="C283" s="2"/>
      <c r="D283" s="2"/>
      <c r="E283" s="2"/>
      <c r="F283" s="3" t="str">
        <f aca="false">IFERROR(__xludf.dummyfunction("if($T283&lt;&gt;"""",REGEXEXTRACT(SUBSTITUTE ($T283,F$1&amp;"" CE"",""""), F$1&amp;""[\w &amp;]*, (\d+\.\d+)""),"""")
"),"")</f>
        <v/>
      </c>
      <c r="G283" s="3" t="str">
        <f aca="false">IFERROR(__xludf.dummyfunction("if($T283&lt;&gt;"""",REGEXEXTRACT($T283, G$1&amp;""[\w &amp;]*, (\d+\.\d+)""),"""")
"),"")</f>
        <v/>
      </c>
      <c r="H283" s="3"/>
      <c r="I283" s="3" t="str">
        <f aca="false">IFERROR(__xludf.dummyfunction("if($T283&lt;&gt;"""",REGEXEXTRACT(SUBSTITUTE ($T283,I$1&amp;"" CE"",""""), I$1&amp;""[\w &amp;]*, (\d+\.\d+)""),"""")
"),"")</f>
        <v/>
      </c>
      <c r="J283" s="3" t="str">
        <f aca="false">IFERROR(__xludf.dummyfunction("if($T283&lt;&gt;"""",REGEXEXTRACT($T283, J$1&amp;""[\w &amp;]*, (\d+\.\d+)""),"""")
"),"")</f>
        <v/>
      </c>
      <c r="K283" s="3"/>
      <c r="L283" s="3" t="str">
        <f aca="false">IFERROR(__xludf.dummyfunction("if($T283&lt;&gt;"""",REGEXEXTRACT(SUBSTITUTE ($T283,L$1&amp;"" CE"",""""), L$1&amp;""[\w &amp;]*, (\d+\.\d+)""),"""")
"),"")</f>
        <v/>
      </c>
      <c r="M283" s="3" t="str">
        <f aca="false">IFERROR(__xludf.dummyfunction("if($T283&lt;&gt;"""",REGEXEXTRACT($T283, M$1&amp;""[\w &amp;]*, (\d+\.\d+)""),"""")
"),"")</f>
        <v/>
      </c>
      <c r="N283" s="3" t="str">
        <f aca="false">IFERROR(__xludf.dummyfunction("if($T283&lt;&gt;"""",REGEXEXTRACT(SUBSTITUTE ($T283,N$1&amp;"" CE"",""""), N$1&amp;""[\w &amp;]*, (\d+\.\d+)""),"""")
"),"")</f>
        <v/>
      </c>
      <c r="O283" s="3" t="str">
        <f aca="false">IFERROR(__xludf.dummyfunction("if($T283&lt;&gt;"""",REGEXEXTRACT($T283, O$1&amp;""[\w &amp;]*, (\d+\.\d+)""),"""")
"),"")</f>
        <v/>
      </c>
      <c r="P283" s="2"/>
      <c r="Q283" s="2"/>
      <c r="R283" s="2"/>
      <c r="S283" s="2"/>
      <c r="T283" s="5"/>
    </row>
    <row r="284" customFormat="false" ht="15.75" hidden="false" customHeight="false" outlineLevel="0" collapsed="false">
      <c r="A284" s="4"/>
      <c r="B284" s="2"/>
      <c r="C284" s="2"/>
      <c r="D284" s="2"/>
      <c r="E284" s="2"/>
      <c r="F284" s="3" t="str">
        <f aca="false">IFERROR(__xludf.dummyfunction("if($T284&lt;&gt;"""",REGEXEXTRACT(SUBSTITUTE ($T284,F$1&amp;"" CE"",""""), F$1&amp;""[\w &amp;]*, (\d+\.\d+)""),"""")
"),"")</f>
        <v/>
      </c>
      <c r="G284" s="3" t="str">
        <f aca="false">IFERROR(__xludf.dummyfunction("if($T284&lt;&gt;"""",REGEXEXTRACT($T284, G$1&amp;""[\w &amp;]*, (\d+\.\d+)""),"""")
"),"")</f>
        <v/>
      </c>
      <c r="H284" s="3"/>
      <c r="I284" s="3" t="str">
        <f aca="false">IFERROR(__xludf.dummyfunction("if($T284&lt;&gt;"""",REGEXEXTRACT(SUBSTITUTE ($T284,I$1&amp;"" CE"",""""), I$1&amp;""[\w &amp;]*, (\d+\.\d+)""),"""")
"),"")</f>
        <v/>
      </c>
      <c r="J284" s="3" t="str">
        <f aca="false">IFERROR(__xludf.dummyfunction("if($T284&lt;&gt;"""",REGEXEXTRACT($T284, J$1&amp;""[\w &amp;]*, (\d+\.\d+)""),"""")
"),"")</f>
        <v/>
      </c>
      <c r="K284" s="3"/>
      <c r="L284" s="3" t="str">
        <f aca="false">IFERROR(__xludf.dummyfunction("if($T284&lt;&gt;"""",REGEXEXTRACT(SUBSTITUTE ($T284,L$1&amp;"" CE"",""""), L$1&amp;""[\w &amp;]*, (\d+\.\d+)""),"""")
"),"")</f>
        <v/>
      </c>
      <c r="M284" s="3" t="str">
        <f aca="false">IFERROR(__xludf.dummyfunction("if($T284&lt;&gt;"""",REGEXEXTRACT($T284, M$1&amp;""[\w &amp;]*, (\d+\.\d+)""),"""")
"),"")</f>
        <v/>
      </c>
      <c r="N284" s="3" t="str">
        <f aca="false">IFERROR(__xludf.dummyfunction("if($T284&lt;&gt;"""",REGEXEXTRACT(SUBSTITUTE ($T284,N$1&amp;"" CE"",""""), N$1&amp;""[\w &amp;]*, (\d+\.\d+)""),"""")
"),"")</f>
        <v/>
      </c>
      <c r="O284" s="3" t="str">
        <f aca="false">IFERROR(__xludf.dummyfunction("if($T284&lt;&gt;"""",REGEXEXTRACT($T284, O$1&amp;""[\w &amp;]*, (\d+\.\d+)""),"""")
"),"")</f>
        <v/>
      </c>
      <c r="P284" s="2"/>
      <c r="Q284" s="2"/>
      <c r="R284" s="2"/>
      <c r="S284" s="2"/>
      <c r="T284" s="5"/>
    </row>
    <row r="285" customFormat="false" ht="15.75" hidden="false" customHeight="false" outlineLevel="0" collapsed="false">
      <c r="A285" s="4"/>
      <c r="B285" s="2"/>
      <c r="C285" s="2"/>
      <c r="D285" s="2"/>
      <c r="E285" s="2"/>
      <c r="F285" s="3" t="str">
        <f aca="false">IFERROR(__xludf.dummyfunction("if($T285&lt;&gt;"""",REGEXEXTRACT(SUBSTITUTE ($T285,F$1&amp;"" CE"",""""), F$1&amp;""[\w &amp;]*, (\d+\.\d+)""),"""")
"),"")</f>
        <v/>
      </c>
      <c r="G285" s="3" t="str">
        <f aca="false">IFERROR(__xludf.dummyfunction("if($T285&lt;&gt;"""",REGEXEXTRACT($T285, G$1&amp;""[\w &amp;]*, (\d+\.\d+)""),"""")
"),"")</f>
        <v/>
      </c>
      <c r="H285" s="3"/>
      <c r="I285" s="3" t="str">
        <f aca="false">IFERROR(__xludf.dummyfunction("if($T285&lt;&gt;"""",REGEXEXTRACT(SUBSTITUTE ($T285,I$1&amp;"" CE"",""""), I$1&amp;""[\w &amp;]*, (\d+\.\d+)""),"""")
"),"")</f>
        <v/>
      </c>
      <c r="J285" s="3" t="str">
        <f aca="false">IFERROR(__xludf.dummyfunction("if($T285&lt;&gt;"""",REGEXEXTRACT($T285, J$1&amp;""[\w &amp;]*, (\d+\.\d+)""),"""")
"),"")</f>
        <v/>
      </c>
      <c r="K285" s="3"/>
      <c r="L285" s="3" t="str">
        <f aca="false">IFERROR(__xludf.dummyfunction("if($T285&lt;&gt;"""",REGEXEXTRACT(SUBSTITUTE ($T285,L$1&amp;"" CE"",""""), L$1&amp;""[\w &amp;]*, (\d+\.\d+)""),"""")
"),"")</f>
        <v/>
      </c>
      <c r="M285" s="3" t="str">
        <f aca="false">IFERROR(__xludf.dummyfunction("if($T285&lt;&gt;"""",REGEXEXTRACT($T285, M$1&amp;""[\w &amp;]*, (\d+\.\d+)""),"""")
"),"")</f>
        <v/>
      </c>
      <c r="N285" s="3" t="str">
        <f aca="false">IFERROR(__xludf.dummyfunction("if($T285&lt;&gt;"""",REGEXEXTRACT(SUBSTITUTE ($T285,N$1&amp;"" CE"",""""), N$1&amp;""[\w &amp;]*, (\d+\.\d+)""),"""")
"),"")</f>
        <v/>
      </c>
      <c r="O285" s="3" t="str">
        <f aca="false">IFERROR(__xludf.dummyfunction("if($T285&lt;&gt;"""",REGEXEXTRACT($T285, O$1&amp;""[\w &amp;]*, (\d+\.\d+)""),"""")
"),"")</f>
        <v/>
      </c>
      <c r="P285" s="2"/>
      <c r="Q285" s="2"/>
      <c r="R285" s="2"/>
      <c r="S285" s="2"/>
      <c r="T285" s="5"/>
    </row>
    <row r="286" customFormat="false" ht="15.75" hidden="false" customHeight="false" outlineLevel="0" collapsed="false">
      <c r="A286" s="4"/>
      <c r="B286" s="2"/>
      <c r="C286" s="2"/>
      <c r="D286" s="2"/>
      <c r="E286" s="2"/>
      <c r="F286" s="3" t="str">
        <f aca="false">IFERROR(__xludf.dummyfunction("if($T286&lt;&gt;"""",REGEXEXTRACT(SUBSTITUTE ($T286,F$1&amp;"" CE"",""""), F$1&amp;""[\w &amp;]*, (\d+\.\d+)""),"""")
"),"")</f>
        <v/>
      </c>
      <c r="G286" s="3" t="str">
        <f aca="false">IFERROR(__xludf.dummyfunction("if($T286&lt;&gt;"""",REGEXEXTRACT($T286, G$1&amp;""[\w &amp;]*, (\d+\.\d+)""),"""")
"),"")</f>
        <v/>
      </c>
      <c r="H286" s="3"/>
      <c r="I286" s="3" t="str">
        <f aca="false">IFERROR(__xludf.dummyfunction("if($T286&lt;&gt;"""",REGEXEXTRACT(SUBSTITUTE ($T286,I$1&amp;"" CE"",""""), I$1&amp;""[\w &amp;]*, (\d+\.\d+)""),"""")
"),"")</f>
        <v/>
      </c>
      <c r="J286" s="3" t="str">
        <f aca="false">IFERROR(__xludf.dummyfunction("if($T286&lt;&gt;"""",REGEXEXTRACT($T286, J$1&amp;""[\w &amp;]*, (\d+\.\d+)""),"""")
"),"")</f>
        <v/>
      </c>
      <c r="K286" s="3"/>
      <c r="L286" s="3" t="str">
        <f aca="false">IFERROR(__xludf.dummyfunction("if($T286&lt;&gt;"""",REGEXEXTRACT(SUBSTITUTE ($T286,L$1&amp;"" CE"",""""), L$1&amp;""[\w &amp;]*, (\d+\.\d+)""),"""")
"),"")</f>
        <v/>
      </c>
      <c r="M286" s="3" t="str">
        <f aca="false">IFERROR(__xludf.dummyfunction("if($T286&lt;&gt;"""",REGEXEXTRACT($T286, M$1&amp;""[\w &amp;]*, (\d+\.\d+)""),"""")
"),"")</f>
        <v/>
      </c>
      <c r="N286" s="3" t="str">
        <f aca="false">IFERROR(__xludf.dummyfunction("if($T286&lt;&gt;"""",REGEXEXTRACT(SUBSTITUTE ($T286,N$1&amp;"" CE"",""""), N$1&amp;""[\w &amp;]*, (\d+\.\d+)""),"""")
"),"")</f>
        <v/>
      </c>
      <c r="O286" s="3" t="str">
        <f aca="false">IFERROR(__xludf.dummyfunction("if($T286&lt;&gt;"""",REGEXEXTRACT($T286, O$1&amp;""[\w &amp;]*, (\d+\.\d+)""),"""")
"),"")</f>
        <v/>
      </c>
      <c r="P286" s="2"/>
      <c r="Q286" s="2"/>
      <c r="R286" s="2"/>
      <c r="S286" s="2"/>
      <c r="T286" s="5"/>
    </row>
    <row r="287" customFormat="false" ht="15.75" hidden="false" customHeight="false" outlineLevel="0" collapsed="false">
      <c r="A287" s="4"/>
      <c r="B287" s="2"/>
      <c r="C287" s="2"/>
      <c r="D287" s="2"/>
      <c r="E287" s="2"/>
      <c r="F287" s="3" t="str">
        <f aca="false">IFERROR(__xludf.dummyfunction("if($T287&lt;&gt;"""",REGEXEXTRACT(SUBSTITUTE ($T287,F$1&amp;"" CE"",""""), F$1&amp;""[\w &amp;]*, (\d+\.\d+)""),"""")
"),"")</f>
        <v/>
      </c>
      <c r="G287" s="3" t="str">
        <f aca="false">IFERROR(__xludf.dummyfunction("if($T287&lt;&gt;"""",REGEXEXTRACT($T287, G$1&amp;""[\w &amp;]*, (\d+\.\d+)""),"""")
"),"")</f>
        <v/>
      </c>
      <c r="H287" s="3"/>
      <c r="I287" s="3" t="str">
        <f aca="false">IFERROR(__xludf.dummyfunction("if($T287&lt;&gt;"""",REGEXEXTRACT(SUBSTITUTE ($T287,I$1&amp;"" CE"",""""), I$1&amp;""[\w &amp;]*, (\d+\.\d+)""),"""")
"),"")</f>
        <v/>
      </c>
      <c r="J287" s="3" t="str">
        <f aca="false">IFERROR(__xludf.dummyfunction("if($T287&lt;&gt;"""",REGEXEXTRACT($T287, J$1&amp;""[\w &amp;]*, (\d+\.\d+)""),"""")
"),"")</f>
        <v/>
      </c>
      <c r="K287" s="3"/>
      <c r="L287" s="3" t="str">
        <f aca="false">IFERROR(__xludf.dummyfunction("if($T287&lt;&gt;"""",REGEXEXTRACT(SUBSTITUTE ($T287,L$1&amp;"" CE"",""""), L$1&amp;""[\w &amp;]*, (\d+\.\d+)""),"""")
"),"")</f>
        <v/>
      </c>
      <c r="M287" s="3" t="str">
        <f aca="false">IFERROR(__xludf.dummyfunction("if($T287&lt;&gt;"""",REGEXEXTRACT($T287, M$1&amp;""[\w &amp;]*, (\d+\.\d+)""),"""")
"),"")</f>
        <v/>
      </c>
      <c r="N287" s="3" t="str">
        <f aca="false">IFERROR(__xludf.dummyfunction("if($T287&lt;&gt;"""",REGEXEXTRACT(SUBSTITUTE ($T287,N$1&amp;"" CE"",""""), N$1&amp;""[\w &amp;]*, (\d+\.\d+)""),"""")
"),"")</f>
        <v/>
      </c>
      <c r="O287" s="3" t="str">
        <f aca="false">IFERROR(__xludf.dummyfunction("if($T287&lt;&gt;"""",REGEXEXTRACT($T287, O$1&amp;""[\w &amp;]*, (\d+\.\d+)""),"""")
"),"")</f>
        <v/>
      </c>
      <c r="P287" s="2"/>
      <c r="Q287" s="2"/>
      <c r="R287" s="2"/>
      <c r="S287" s="2"/>
      <c r="T287" s="5"/>
    </row>
    <row r="288" customFormat="false" ht="15.75" hidden="false" customHeight="false" outlineLevel="0" collapsed="false">
      <c r="A288" s="4"/>
      <c r="B288" s="2"/>
      <c r="C288" s="2"/>
      <c r="D288" s="2"/>
      <c r="E288" s="2"/>
      <c r="F288" s="3" t="str">
        <f aca="false">IFERROR(__xludf.dummyfunction("if($T288&lt;&gt;"""",REGEXEXTRACT(SUBSTITUTE ($T288,F$1&amp;"" CE"",""""), F$1&amp;""[\w &amp;]*, (\d+\.\d+)""),"""")
"),"")</f>
        <v/>
      </c>
      <c r="G288" s="3" t="str">
        <f aca="false">IFERROR(__xludf.dummyfunction("if($T288&lt;&gt;"""",REGEXEXTRACT($T288, G$1&amp;""[\w &amp;]*, (\d+\.\d+)""),"""")
"),"")</f>
        <v/>
      </c>
      <c r="H288" s="3"/>
      <c r="I288" s="3" t="str">
        <f aca="false">IFERROR(__xludf.dummyfunction("if($T288&lt;&gt;"""",REGEXEXTRACT(SUBSTITUTE ($T288,I$1&amp;"" CE"",""""), I$1&amp;""[\w &amp;]*, (\d+\.\d+)""),"""")
"),"")</f>
        <v/>
      </c>
      <c r="J288" s="3" t="str">
        <f aca="false">IFERROR(__xludf.dummyfunction("if($T288&lt;&gt;"""",REGEXEXTRACT($T288, J$1&amp;""[\w &amp;]*, (\d+\.\d+)""),"""")
"),"")</f>
        <v/>
      </c>
      <c r="K288" s="3"/>
      <c r="L288" s="3" t="str">
        <f aca="false">IFERROR(__xludf.dummyfunction("if($T288&lt;&gt;"""",REGEXEXTRACT(SUBSTITUTE ($T288,L$1&amp;"" CE"",""""), L$1&amp;""[\w &amp;]*, (\d+\.\d+)""),"""")
"),"")</f>
        <v/>
      </c>
      <c r="M288" s="3" t="str">
        <f aca="false">IFERROR(__xludf.dummyfunction("if($T288&lt;&gt;"""",REGEXEXTRACT($T288, M$1&amp;""[\w &amp;]*, (\d+\.\d+)""),"""")
"),"")</f>
        <v/>
      </c>
      <c r="N288" s="3" t="str">
        <f aca="false">IFERROR(__xludf.dummyfunction("if($T288&lt;&gt;"""",REGEXEXTRACT(SUBSTITUTE ($T288,N$1&amp;"" CE"",""""), N$1&amp;""[\w &amp;]*, (\d+\.\d+)""),"""")
"),"")</f>
        <v/>
      </c>
      <c r="O288" s="3" t="str">
        <f aca="false">IFERROR(__xludf.dummyfunction("if($T288&lt;&gt;"""",REGEXEXTRACT($T288, O$1&amp;""[\w &amp;]*, (\d+\.\d+)""),"""")
"),"")</f>
        <v/>
      </c>
      <c r="P288" s="2"/>
      <c r="Q288" s="2"/>
      <c r="R288" s="2"/>
      <c r="S288" s="2"/>
      <c r="T288" s="5"/>
    </row>
    <row r="289" customFormat="false" ht="15.75" hidden="false" customHeight="false" outlineLevel="0" collapsed="false">
      <c r="A289" s="4"/>
      <c r="B289" s="2"/>
      <c r="C289" s="2"/>
      <c r="D289" s="2"/>
      <c r="E289" s="2"/>
      <c r="F289" s="3" t="str">
        <f aca="false">IFERROR(__xludf.dummyfunction("if($T289&lt;&gt;"""",REGEXEXTRACT(SUBSTITUTE ($T289,F$1&amp;"" CE"",""""), F$1&amp;""[\w &amp;]*, (\d+\.\d+)""),"""")
"),"")</f>
        <v/>
      </c>
      <c r="G289" s="3" t="str">
        <f aca="false">IFERROR(__xludf.dummyfunction("if($T289&lt;&gt;"""",REGEXEXTRACT($T289, G$1&amp;""[\w &amp;]*, (\d+\.\d+)""),"""")
"),"")</f>
        <v/>
      </c>
      <c r="H289" s="3"/>
      <c r="I289" s="3" t="str">
        <f aca="false">IFERROR(__xludf.dummyfunction("if($T289&lt;&gt;"""",REGEXEXTRACT(SUBSTITUTE ($T289,I$1&amp;"" CE"",""""), I$1&amp;""[\w &amp;]*, (\d+\.\d+)""),"""")
"),"")</f>
        <v/>
      </c>
      <c r="J289" s="3" t="str">
        <f aca="false">IFERROR(__xludf.dummyfunction("if($T289&lt;&gt;"""",REGEXEXTRACT($T289, J$1&amp;""[\w &amp;]*, (\d+\.\d+)""),"""")
"),"")</f>
        <v/>
      </c>
      <c r="K289" s="3"/>
      <c r="L289" s="3" t="str">
        <f aca="false">IFERROR(__xludf.dummyfunction("if($T289&lt;&gt;"""",REGEXEXTRACT(SUBSTITUTE ($T289,L$1&amp;"" CE"",""""), L$1&amp;""[\w &amp;]*, (\d+\.\d+)""),"""")
"),"")</f>
        <v/>
      </c>
      <c r="M289" s="3" t="str">
        <f aca="false">IFERROR(__xludf.dummyfunction("if($T289&lt;&gt;"""",REGEXEXTRACT($T289, M$1&amp;""[\w &amp;]*, (\d+\.\d+)""),"""")
"),"")</f>
        <v/>
      </c>
      <c r="N289" s="3" t="str">
        <f aca="false">IFERROR(__xludf.dummyfunction("if($T289&lt;&gt;"""",REGEXEXTRACT(SUBSTITUTE ($T289,N$1&amp;"" CE"",""""), N$1&amp;""[\w &amp;]*, (\d+\.\d+)""),"""")
"),"")</f>
        <v/>
      </c>
      <c r="O289" s="3" t="str">
        <f aca="false">IFERROR(__xludf.dummyfunction("if($T289&lt;&gt;"""",REGEXEXTRACT($T289, O$1&amp;""[\w &amp;]*, (\d+\.\d+)""),"""")
"),"")</f>
        <v/>
      </c>
      <c r="P289" s="2"/>
      <c r="Q289" s="2"/>
      <c r="R289" s="2"/>
      <c r="S289" s="2"/>
      <c r="T289" s="5"/>
    </row>
    <row r="290" customFormat="false" ht="15.75" hidden="false" customHeight="false" outlineLevel="0" collapsed="false">
      <c r="A290" s="4"/>
      <c r="B290" s="2"/>
      <c r="C290" s="2"/>
      <c r="D290" s="2"/>
      <c r="E290" s="2"/>
      <c r="F290" s="3" t="str">
        <f aca="false">IFERROR(__xludf.dummyfunction("if($T290&lt;&gt;"""",REGEXEXTRACT(SUBSTITUTE ($T290,F$1&amp;"" CE"",""""), F$1&amp;""[\w &amp;]*, (\d+\.\d+)""),"""")
"),"")</f>
        <v/>
      </c>
      <c r="G290" s="3" t="str">
        <f aca="false">IFERROR(__xludf.dummyfunction("if($T290&lt;&gt;"""",REGEXEXTRACT($T290, G$1&amp;""[\w &amp;]*, (\d+\.\d+)""),"""")
"),"")</f>
        <v/>
      </c>
      <c r="H290" s="3"/>
      <c r="I290" s="3" t="str">
        <f aca="false">IFERROR(__xludf.dummyfunction("if($T290&lt;&gt;"""",REGEXEXTRACT(SUBSTITUTE ($T290,I$1&amp;"" CE"",""""), I$1&amp;""[\w &amp;]*, (\d+\.\d+)""),"""")
"),"")</f>
        <v/>
      </c>
      <c r="J290" s="3" t="str">
        <f aca="false">IFERROR(__xludf.dummyfunction("if($T290&lt;&gt;"""",REGEXEXTRACT($T290, J$1&amp;""[\w &amp;]*, (\d+\.\d+)""),"""")
"),"")</f>
        <v/>
      </c>
      <c r="K290" s="3"/>
      <c r="L290" s="3" t="str">
        <f aca="false">IFERROR(__xludf.dummyfunction("if($T290&lt;&gt;"""",REGEXEXTRACT(SUBSTITUTE ($T290,L$1&amp;"" CE"",""""), L$1&amp;""[\w &amp;]*, (\d+\.\d+)""),"""")
"),"")</f>
        <v/>
      </c>
      <c r="M290" s="3" t="str">
        <f aca="false">IFERROR(__xludf.dummyfunction("if($T290&lt;&gt;"""",REGEXEXTRACT($T290, M$1&amp;""[\w &amp;]*, (\d+\.\d+)""),"""")
"),"")</f>
        <v/>
      </c>
      <c r="N290" s="3" t="str">
        <f aca="false">IFERROR(__xludf.dummyfunction("if($T290&lt;&gt;"""",REGEXEXTRACT(SUBSTITUTE ($T290,N$1&amp;"" CE"",""""), N$1&amp;""[\w &amp;]*, (\d+\.\d+)""),"""")
"),"")</f>
        <v/>
      </c>
      <c r="O290" s="3" t="str">
        <f aca="false">IFERROR(__xludf.dummyfunction("if($T290&lt;&gt;"""",REGEXEXTRACT($T290, O$1&amp;""[\w &amp;]*, (\d+\.\d+)""),"""")
"),"")</f>
        <v/>
      </c>
      <c r="P290" s="2"/>
      <c r="Q290" s="2"/>
      <c r="R290" s="2"/>
      <c r="S290" s="2"/>
      <c r="T290" s="5"/>
    </row>
    <row r="291" customFormat="false" ht="15.75" hidden="false" customHeight="false" outlineLevel="0" collapsed="false">
      <c r="A291" s="4"/>
      <c r="B291" s="2"/>
      <c r="C291" s="2"/>
      <c r="D291" s="2"/>
      <c r="E291" s="2"/>
      <c r="F291" s="3" t="str">
        <f aca="false">IFERROR(__xludf.dummyfunction("if($T291&lt;&gt;"""",REGEXEXTRACT(SUBSTITUTE ($T291,F$1&amp;"" CE"",""""), F$1&amp;""[\w &amp;]*, (\d+\.\d+)""),"""")
"),"")</f>
        <v/>
      </c>
      <c r="G291" s="3" t="str">
        <f aca="false">IFERROR(__xludf.dummyfunction("if($T291&lt;&gt;"""",REGEXEXTRACT($T291, G$1&amp;""[\w &amp;]*, (\d+\.\d+)""),"""")
"),"")</f>
        <v/>
      </c>
      <c r="H291" s="3"/>
      <c r="I291" s="3" t="str">
        <f aca="false">IFERROR(__xludf.dummyfunction("if($T291&lt;&gt;"""",REGEXEXTRACT(SUBSTITUTE ($T291,I$1&amp;"" CE"",""""), I$1&amp;""[\w &amp;]*, (\d+\.\d+)""),"""")
"),"")</f>
        <v/>
      </c>
      <c r="J291" s="3" t="str">
        <f aca="false">IFERROR(__xludf.dummyfunction("if($T291&lt;&gt;"""",REGEXEXTRACT($T291, J$1&amp;""[\w &amp;]*, (\d+\.\d+)""),"""")
"),"")</f>
        <v/>
      </c>
      <c r="K291" s="3"/>
      <c r="L291" s="3" t="str">
        <f aca="false">IFERROR(__xludf.dummyfunction("if($T291&lt;&gt;"""",REGEXEXTRACT(SUBSTITUTE ($T291,L$1&amp;"" CE"",""""), L$1&amp;""[\w &amp;]*, (\d+\.\d+)""),"""")
"),"")</f>
        <v/>
      </c>
      <c r="M291" s="3" t="str">
        <f aca="false">IFERROR(__xludf.dummyfunction("if($T291&lt;&gt;"""",REGEXEXTRACT($T291, M$1&amp;""[\w &amp;]*, (\d+\.\d+)""),"""")
"),"")</f>
        <v/>
      </c>
      <c r="N291" s="3" t="str">
        <f aca="false">IFERROR(__xludf.dummyfunction("if($T291&lt;&gt;"""",REGEXEXTRACT(SUBSTITUTE ($T291,N$1&amp;"" CE"",""""), N$1&amp;""[\w &amp;]*, (\d+\.\d+)""),"""")
"),"")</f>
        <v/>
      </c>
      <c r="O291" s="3" t="str">
        <f aca="false">IFERROR(__xludf.dummyfunction("if($T291&lt;&gt;"""",REGEXEXTRACT($T291, O$1&amp;""[\w &amp;]*, (\d+\.\d+)""),"""")
"),"")</f>
        <v/>
      </c>
      <c r="P291" s="2"/>
      <c r="Q291" s="2"/>
      <c r="R291" s="2"/>
      <c r="S291" s="2"/>
      <c r="T291" s="5"/>
    </row>
    <row r="292" customFormat="false" ht="15.75" hidden="false" customHeight="false" outlineLevel="0" collapsed="false">
      <c r="A292" s="4"/>
      <c r="B292" s="2"/>
      <c r="C292" s="2"/>
      <c r="D292" s="2"/>
      <c r="E292" s="2"/>
      <c r="F292" s="3" t="str">
        <f aca="false">IFERROR(__xludf.dummyfunction("if($T292&lt;&gt;"""",REGEXEXTRACT(SUBSTITUTE ($T292,F$1&amp;"" CE"",""""), F$1&amp;""[\w &amp;]*, (\d+\.\d+)""),"""")
"),"")</f>
        <v/>
      </c>
      <c r="G292" s="3" t="str">
        <f aca="false">IFERROR(__xludf.dummyfunction("if($T292&lt;&gt;"""",REGEXEXTRACT($T292, G$1&amp;""[\w &amp;]*, (\d+\.\d+)""),"""")
"),"")</f>
        <v/>
      </c>
      <c r="H292" s="3"/>
      <c r="I292" s="3" t="str">
        <f aca="false">IFERROR(__xludf.dummyfunction("if($T292&lt;&gt;"""",REGEXEXTRACT(SUBSTITUTE ($T292,I$1&amp;"" CE"",""""), I$1&amp;""[\w &amp;]*, (\d+\.\d+)""),"""")
"),"")</f>
        <v/>
      </c>
      <c r="J292" s="3" t="str">
        <f aca="false">IFERROR(__xludf.dummyfunction("if($T292&lt;&gt;"""",REGEXEXTRACT($T292, J$1&amp;""[\w &amp;]*, (\d+\.\d+)""),"""")
"),"")</f>
        <v/>
      </c>
      <c r="K292" s="3"/>
      <c r="L292" s="3" t="str">
        <f aca="false">IFERROR(__xludf.dummyfunction("if($T292&lt;&gt;"""",REGEXEXTRACT(SUBSTITUTE ($T292,L$1&amp;"" CE"",""""), L$1&amp;""[\w &amp;]*, (\d+\.\d+)""),"""")
"),"")</f>
        <v/>
      </c>
      <c r="M292" s="3" t="str">
        <f aca="false">IFERROR(__xludf.dummyfunction("if($T292&lt;&gt;"""",REGEXEXTRACT($T292, M$1&amp;""[\w &amp;]*, (\d+\.\d+)""),"""")
"),"")</f>
        <v/>
      </c>
      <c r="N292" s="3" t="str">
        <f aca="false">IFERROR(__xludf.dummyfunction("if($T292&lt;&gt;"""",REGEXEXTRACT(SUBSTITUTE ($T292,N$1&amp;"" CE"",""""), N$1&amp;""[\w &amp;]*, (\d+\.\d+)""),"""")
"),"")</f>
        <v/>
      </c>
      <c r="O292" s="3" t="str">
        <f aca="false">IFERROR(__xludf.dummyfunction("if($T292&lt;&gt;"""",REGEXEXTRACT($T292, O$1&amp;""[\w &amp;]*, (\d+\.\d+)""),"""")
"),"")</f>
        <v/>
      </c>
      <c r="P292" s="2"/>
      <c r="Q292" s="2"/>
      <c r="R292" s="2"/>
      <c r="S292" s="2"/>
      <c r="T292" s="5"/>
    </row>
    <row r="293" customFormat="false" ht="15.75" hidden="false" customHeight="false" outlineLevel="0" collapsed="false">
      <c r="A293" s="4"/>
      <c r="B293" s="2"/>
      <c r="C293" s="2"/>
      <c r="D293" s="2"/>
      <c r="E293" s="2"/>
      <c r="F293" s="3" t="str">
        <f aca="false">IFERROR(__xludf.dummyfunction("if($T293&lt;&gt;"""",REGEXEXTRACT(SUBSTITUTE ($T293,F$1&amp;"" CE"",""""), F$1&amp;""[\w &amp;]*, (\d+\.\d+)""),"""")
"),"")</f>
        <v/>
      </c>
      <c r="G293" s="3" t="str">
        <f aca="false">IFERROR(__xludf.dummyfunction("if($T293&lt;&gt;"""",REGEXEXTRACT($T293, G$1&amp;""[\w &amp;]*, (\d+\.\d+)""),"""")
"),"")</f>
        <v/>
      </c>
      <c r="H293" s="3"/>
      <c r="I293" s="3" t="str">
        <f aca="false">IFERROR(__xludf.dummyfunction("if($T293&lt;&gt;"""",REGEXEXTRACT(SUBSTITUTE ($T293,I$1&amp;"" CE"",""""), I$1&amp;""[\w &amp;]*, (\d+\.\d+)""),"""")
"),"")</f>
        <v/>
      </c>
      <c r="J293" s="3" t="str">
        <f aca="false">IFERROR(__xludf.dummyfunction("if($T293&lt;&gt;"""",REGEXEXTRACT($T293, J$1&amp;""[\w &amp;]*, (\d+\.\d+)""),"""")
"),"")</f>
        <v/>
      </c>
      <c r="K293" s="3"/>
      <c r="L293" s="3" t="str">
        <f aca="false">IFERROR(__xludf.dummyfunction("if($T293&lt;&gt;"""",REGEXEXTRACT(SUBSTITUTE ($T293,L$1&amp;"" CE"",""""), L$1&amp;""[\w &amp;]*, (\d+\.\d+)""),"""")
"),"")</f>
        <v/>
      </c>
      <c r="M293" s="3" t="str">
        <f aca="false">IFERROR(__xludf.dummyfunction("if($T293&lt;&gt;"""",REGEXEXTRACT($T293, M$1&amp;""[\w &amp;]*, (\d+\.\d+)""),"""")
"),"")</f>
        <v/>
      </c>
      <c r="N293" s="3" t="str">
        <f aca="false">IFERROR(__xludf.dummyfunction("if($T293&lt;&gt;"""",REGEXEXTRACT(SUBSTITUTE ($T293,N$1&amp;"" CE"",""""), N$1&amp;""[\w &amp;]*, (\d+\.\d+)""),"""")
"),"")</f>
        <v/>
      </c>
      <c r="O293" s="3" t="str">
        <f aca="false">IFERROR(__xludf.dummyfunction("if($T293&lt;&gt;"""",REGEXEXTRACT($T293, O$1&amp;""[\w &amp;]*, (\d+\.\d+)""),"""")
"),"")</f>
        <v/>
      </c>
      <c r="P293" s="2"/>
      <c r="Q293" s="2"/>
      <c r="R293" s="2"/>
      <c r="S293" s="2"/>
      <c r="T293" s="5"/>
    </row>
    <row r="294" customFormat="false" ht="15.75" hidden="false" customHeight="false" outlineLevel="0" collapsed="false">
      <c r="A294" s="4"/>
      <c r="B294" s="2"/>
      <c r="C294" s="2"/>
      <c r="D294" s="2"/>
      <c r="E294" s="2"/>
      <c r="F294" s="3" t="str">
        <f aca="false">IFERROR(__xludf.dummyfunction("if($T294&lt;&gt;"""",REGEXEXTRACT(SUBSTITUTE ($T294,F$1&amp;"" CE"",""""), F$1&amp;""[\w &amp;]*, (\d+\.\d+)""),"""")
"),"")</f>
        <v/>
      </c>
      <c r="G294" s="3" t="str">
        <f aca="false">IFERROR(__xludf.dummyfunction("if($T294&lt;&gt;"""",REGEXEXTRACT($T294, G$1&amp;""[\w &amp;]*, (\d+\.\d+)""),"""")
"),"")</f>
        <v/>
      </c>
      <c r="H294" s="3"/>
      <c r="I294" s="3" t="str">
        <f aca="false">IFERROR(__xludf.dummyfunction("if($T294&lt;&gt;"""",REGEXEXTRACT(SUBSTITUTE ($T294,I$1&amp;"" CE"",""""), I$1&amp;""[\w &amp;]*, (\d+\.\d+)""),"""")
"),"")</f>
        <v/>
      </c>
      <c r="J294" s="3" t="str">
        <f aca="false">IFERROR(__xludf.dummyfunction("if($T294&lt;&gt;"""",REGEXEXTRACT($T294, J$1&amp;""[\w &amp;]*, (\d+\.\d+)""),"""")
"),"")</f>
        <v/>
      </c>
      <c r="K294" s="3"/>
      <c r="L294" s="3" t="str">
        <f aca="false">IFERROR(__xludf.dummyfunction("if($T294&lt;&gt;"""",REGEXEXTRACT(SUBSTITUTE ($T294,L$1&amp;"" CE"",""""), L$1&amp;""[\w &amp;]*, (\d+\.\d+)""),"""")
"),"")</f>
        <v/>
      </c>
      <c r="M294" s="3" t="str">
        <f aca="false">IFERROR(__xludf.dummyfunction("if($T294&lt;&gt;"""",REGEXEXTRACT($T294, M$1&amp;""[\w &amp;]*, (\d+\.\d+)""),"""")
"),"")</f>
        <v/>
      </c>
      <c r="N294" s="3" t="str">
        <f aca="false">IFERROR(__xludf.dummyfunction("if($T294&lt;&gt;"""",REGEXEXTRACT(SUBSTITUTE ($T294,N$1&amp;"" CE"",""""), N$1&amp;""[\w &amp;]*, (\d+\.\d+)""),"""")
"),"")</f>
        <v/>
      </c>
      <c r="O294" s="3" t="str">
        <f aca="false">IFERROR(__xludf.dummyfunction("if($T294&lt;&gt;"""",REGEXEXTRACT($T294, O$1&amp;""[\w &amp;]*, (\d+\.\d+)""),"""")
"),"")</f>
        <v/>
      </c>
      <c r="P294" s="2"/>
      <c r="Q294" s="2"/>
      <c r="R294" s="2"/>
      <c r="S294" s="2"/>
      <c r="T294" s="5"/>
    </row>
    <row r="295" customFormat="false" ht="15.75" hidden="false" customHeight="false" outlineLevel="0" collapsed="false">
      <c r="A295" s="4"/>
      <c r="B295" s="2"/>
      <c r="C295" s="2"/>
      <c r="D295" s="2"/>
      <c r="E295" s="2"/>
      <c r="F295" s="3" t="str">
        <f aca="false">IFERROR(__xludf.dummyfunction("if($T295&lt;&gt;"""",REGEXEXTRACT(SUBSTITUTE ($T295,F$1&amp;"" CE"",""""), F$1&amp;""[\w &amp;]*, (\d+\.\d+)""),"""")
"),"")</f>
        <v/>
      </c>
      <c r="G295" s="3" t="str">
        <f aca="false">IFERROR(__xludf.dummyfunction("if($T295&lt;&gt;"""",REGEXEXTRACT($T295, G$1&amp;""[\w &amp;]*, (\d+\.\d+)""),"""")
"),"")</f>
        <v/>
      </c>
      <c r="H295" s="3"/>
      <c r="I295" s="3" t="str">
        <f aca="false">IFERROR(__xludf.dummyfunction("if($T295&lt;&gt;"""",REGEXEXTRACT(SUBSTITUTE ($T295,I$1&amp;"" CE"",""""), I$1&amp;""[\w &amp;]*, (\d+\.\d+)""),"""")
"),"")</f>
        <v/>
      </c>
      <c r="J295" s="3" t="str">
        <f aca="false">IFERROR(__xludf.dummyfunction("if($T295&lt;&gt;"""",REGEXEXTRACT($T295, J$1&amp;""[\w &amp;]*, (\d+\.\d+)""),"""")
"),"")</f>
        <v/>
      </c>
      <c r="K295" s="3"/>
      <c r="L295" s="3" t="str">
        <f aca="false">IFERROR(__xludf.dummyfunction("if($T295&lt;&gt;"""",REGEXEXTRACT(SUBSTITUTE ($T295,L$1&amp;"" CE"",""""), L$1&amp;""[\w &amp;]*, (\d+\.\d+)""),"""")
"),"")</f>
        <v/>
      </c>
      <c r="M295" s="3" t="str">
        <f aca="false">IFERROR(__xludf.dummyfunction("if($T295&lt;&gt;"""",REGEXEXTRACT($T295, M$1&amp;""[\w &amp;]*, (\d+\.\d+)""),"""")
"),"")</f>
        <v/>
      </c>
      <c r="N295" s="3" t="str">
        <f aca="false">IFERROR(__xludf.dummyfunction("if($T295&lt;&gt;"""",REGEXEXTRACT(SUBSTITUTE ($T295,N$1&amp;"" CE"",""""), N$1&amp;""[\w &amp;]*, (\d+\.\d+)""),"""")
"),"")</f>
        <v/>
      </c>
      <c r="O295" s="3" t="str">
        <f aca="false">IFERROR(__xludf.dummyfunction("if($T295&lt;&gt;"""",REGEXEXTRACT($T295, O$1&amp;""[\w &amp;]*, (\d+\.\d+)""),"""")
"),"")</f>
        <v/>
      </c>
      <c r="P295" s="2"/>
      <c r="Q295" s="2"/>
      <c r="R295" s="2"/>
      <c r="S295" s="2"/>
      <c r="T295" s="5"/>
    </row>
    <row r="296" customFormat="false" ht="15.75" hidden="false" customHeight="false" outlineLevel="0" collapsed="false">
      <c r="A296" s="4"/>
      <c r="B296" s="2"/>
      <c r="C296" s="2"/>
      <c r="D296" s="2"/>
      <c r="E296" s="2"/>
      <c r="F296" s="3" t="str">
        <f aca="false">IFERROR(__xludf.dummyfunction("if($T296&lt;&gt;"""",REGEXEXTRACT(SUBSTITUTE ($T296,F$1&amp;"" CE"",""""), F$1&amp;""[\w &amp;]*, (\d+\.\d+)""),"""")
"),"")</f>
        <v/>
      </c>
      <c r="G296" s="3" t="str">
        <f aca="false">IFERROR(__xludf.dummyfunction("if($T296&lt;&gt;"""",REGEXEXTRACT($T296, G$1&amp;""[\w &amp;]*, (\d+\.\d+)""),"""")
"),"")</f>
        <v/>
      </c>
      <c r="H296" s="3"/>
      <c r="I296" s="3" t="str">
        <f aca="false">IFERROR(__xludf.dummyfunction("if($T296&lt;&gt;"""",REGEXEXTRACT(SUBSTITUTE ($T296,I$1&amp;"" CE"",""""), I$1&amp;""[\w &amp;]*, (\d+\.\d+)""),"""")
"),"")</f>
        <v/>
      </c>
      <c r="J296" s="3" t="str">
        <f aca="false">IFERROR(__xludf.dummyfunction("if($T296&lt;&gt;"""",REGEXEXTRACT($T296, J$1&amp;""[\w &amp;]*, (\d+\.\d+)""),"""")
"),"")</f>
        <v/>
      </c>
      <c r="K296" s="3"/>
      <c r="L296" s="3" t="str">
        <f aca="false">IFERROR(__xludf.dummyfunction("if($T296&lt;&gt;"""",REGEXEXTRACT(SUBSTITUTE ($T296,L$1&amp;"" CE"",""""), L$1&amp;""[\w &amp;]*, (\d+\.\d+)""),"""")
"),"")</f>
        <v/>
      </c>
      <c r="M296" s="3" t="str">
        <f aca="false">IFERROR(__xludf.dummyfunction("if($T296&lt;&gt;"""",REGEXEXTRACT($T296, M$1&amp;""[\w &amp;]*, (\d+\.\d+)""),"""")
"),"")</f>
        <v/>
      </c>
      <c r="N296" s="3" t="str">
        <f aca="false">IFERROR(__xludf.dummyfunction("if($T296&lt;&gt;"""",REGEXEXTRACT(SUBSTITUTE ($T296,N$1&amp;"" CE"",""""), N$1&amp;""[\w &amp;]*, (\d+\.\d+)""),"""")
"),"")</f>
        <v/>
      </c>
      <c r="O296" s="3" t="str">
        <f aca="false">IFERROR(__xludf.dummyfunction("if($T296&lt;&gt;"""",REGEXEXTRACT($T296, O$1&amp;""[\w &amp;]*, (\d+\.\d+)""),"""")
"),"")</f>
        <v/>
      </c>
      <c r="P296" s="2"/>
      <c r="Q296" s="2"/>
      <c r="R296" s="2"/>
      <c r="S296" s="2"/>
      <c r="T296" s="5"/>
    </row>
    <row r="297" customFormat="false" ht="15.75" hidden="false" customHeight="false" outlineLevel="0" collapsed="false">
      <c r="A297" s="4"/>
      <c r="B297" s="2"/>
      <c r="C297" s="2"/>
      <c r="D297" s="2"/>
      <c r="E297" s="2"/>
      <c r="F297" s="3" t="str">
        <f aca="false">IFERROR(__xludf.dummyfunction("if($T297&lt;&gt;"""",REGEXEXTRACT(SUBSTITUTE ($T297,F$1&amp;"" CE"",""""), F$1&amp;""[\w &amp;]*, (\d+\.\d+)""),"""")
"),"")</f>
        <v/>
      </c>
      <c r="G297" s="3" t="str">
        <f aca="false">IFERROR(__xludf.dummyfunction("if($T297&lt;&gt;"""",REGEXEXTRACT($T297, G$1&amp;""[\w &amp;]*, (\d+\.\d+)""),"""")
"),"")</f>
        <v/>
      </c>
      <c r="H297" s="3"/>
      <c r="I297" s="3" t="str">
        <f aca="false">IFERROR(__xludf.dummyfunction("if($T297&lt;&gt;"""",REGEXEXTRACT(SUBSTITUTE ($T297,I$1&amp;"" CE"",""""), I$1&amp;""[\w &amp;]*, (\d+\.\d+)""),"""")
"),"")</f>
        <v/>
      </c>
      <c r="J297" s="3" t="str">
        <f aca="false">IFERROR(__xludf.dummyfunction("if($T297&lt;&gt;"""",REGEXEXTRACT($T297, J$1&amp;""[\w &amp;]*, (\d+\.\d+)""),"""")
"),"")</f>
        <v/>
      </c>
      <c r="K297" s="3"/>
      <c r="L297" s="3" t="str">
        <f aca="false">IFERROR(__xludf.dummyfunction("if($T297&lt;&gt;"""",REGEXEXTRACT(SUBSTITUTE ($T297,L$1&amp;"" CE"",""""), L$1&amp;""[\w &amp;]*, (\d+\.\d+)""),"""")
"),"")</f>
        <v/>
      </c>
      <c r="M297" s="3" t="str">
        <f aca="false">IFERROR(__xludf.dummyfunction("if($T297&lt;&gt;"""",REGEXEXTRACT($T297, M$1&amp;""[\w &amp;]*, (\d+\.\d+)""),"""")
"),"")</f>
        <v/>
      </c>
      <c r="N297" s="3" t="str">
        <f aca="false">IFERROR(__xludf.dummyfunction("if($T297&lt;&gt;"""",REGEXEXTRACT(SUBSTITUTE ($T297,N$1&amp;"" CE"",""""), N$1&amp;""[\w &amp;]*, (\d+\.\d+)""),"""")
"),"")</f>
        <v/>
      </c>
      <c r="O297" s="3" t="str">
        <f aca="false">IFERROR(__xludf.dummyfunction("if($T297&lt;&gt;"""",REGEXEXTRACT($T297, O$1&amp;""[\w &amp;]*, (\d+\.\d+)""),"""")
"),"")</f>
        <v/>
      </c>
      <c r="P297" s="2"/>
      <c r="Q297" s="2"/>
      <c r="R297" s="2"/>
      <c r="S297" s="2"/>
      <c r="T297" s="5"/>
    </row>
    <row r="298" customFormat="false" ht="15.75" hidden="false" customHeight="false" outlineLevel="0" collapsed="false">
      <c r="A298" s="4"/>
      <c r="B298" s="2"/>
      <c r="C298" s="2"/>
      <c r="D298" s="2"/>
      <c r="E298" s="2"/>
      <c r="F298" s="3" t="str">
        <f aca="false">IFERROR(__xludf.dummyfunction("if($T298&lt;&gt;"""",REGEXEXTRACT(SUBSTITUTE ($T298,F$1&amp;"" CE"",""""), F$1&amp;""[\w &amp;]*, (\d+\.\d+)""),"""")
"),"")</f>
        <v/>
      </c>
      <c r="G298" s="3" t="str">
        <f aca="false">IFERROR(__xludf.dummyfunction("if($T298&lt;&gt;"""",REGEXEXTRACT($T298, G$1&amp;""[\w &amp;]*, (\d+\.\d+)""),"""")
"),"")</f>
        <v/>
      </c>
      <c r="H298" s="3"/>
      <c r="I298" s="3" t="str">
        <f aca="false">IFERROR(__xludf.dummyfunction("if($T298&lt;&gt;"""",REGEXEXTRACT(SUBSTITUTE ($T298,I$1&amp;"" CE"",""""), I$1&amp;""[\w &amp;]*, (\d+\.\d+)""),"""")
"),"")</f>
        <v/>
      </c>
      <c r="J298" s="3" t="str">
        <f aca="false">IFERROR(__xludf.dummyfunction("if($T298&lt;&gt;"""",REGEXEXTRACT($T298, J$1&amp;""[\w &amp;]*, (\d+\.\d+)""),"""")
"),"")</f>
        <v/>
      </c>
      <c r="K298" s="3"/>
      <c r="L298" s="3" t="str">
        <f aca="false">IFERROR(__xludf.dummyfunction("if($T298&lt;&gt;"""",REGEXEXTRACT(SUBSTITUTE ($T298,L$1&amp;"" CE"",""""), L$1&amp;""[\w &amp;]*, (\d+\.\d+)""),"""")
"),"")</f>
        <v/>
      </c>
      <c r="M298" s="3" t="str">
        <f aca="false">IFERROR(__xludf.dummyfunction("if($T298&lt;&gt;"""",REGEXEXTRACT($T298, M$1&amp;""[\w &amp;]*, (\d+\.\d+)""),"""")
"),"")</f>
        <v/>
      </c>
      <c r="N298" s="3" t="str">
        <f aca="false">IFERROR(__xludf.dummyfunction("if($T298&lt;&gt;"""",REGEXEXTRACT(SUBSTITUTE ($T298,N$1&amp;"" CE"",""""), N$1&amp;""[\w &amp;]*, (\d+\.\d+)""),"""")
"),"")</f>
        <v/>
      </c>
      <c r="O298" s="3" t="str">
        <f aca="false">IFERROR(__xludf.dummyfunction("if($T298&lt;&gt;"""",REGEXEXTRACT($T298, O$1&amp;""[\w &amp;]*, (\d+\.\d+)""),"""")
"),"")</f>
        <v/>
      </c>
      <c r="P298" s="2"/>
      <c r="Q298" s="2"/>
      <c r="R298" s="2"/>
      <c r="S298" s="2"/>
      <c r="T298" s="5"/>
    </row>
    <row r="299" customFormat="false" ht="15.75" hidden="false" customHeight="false" outlineLevel="0" collapsed="false">
      <c r="A299" s="4"/>
      <c r="B299" s="2"/>
      <c r="C299" s="2"/>
      <c r="D299" s="2"/>
      <c r="E299" s="2"/>
      <c r="F299" s="3" t="str">
        <f aca="false">IFERROR(__xludf.dummyfunction("if($T299&lt;&gt;"""",REGEXEXTRACT(SUBSTITUTE ($T299,F$1&amp;"" CE"",""""), F$1&amp;""[\w &amp;]*, (\d+\.\d+)""),"""")
"),"")</f>
        <v/>
      </c>
      <c r="G299" s="3" t="str">
        <f aca="false">IFERROR(__xludf.dummyfunction("if($T299&lt;&gt;"""",REGEXEXTRACT($T299, G$1&amp;""[\w &amp;]*, (\d+\.\d+)""),"""")
"),"")</f>
        <v/>
      </c>
      <c r="H299" s="3"/>
      <c r="I299" s="3" t="str">
        <f aca="false">IFERROR(__xludf.dummyfunction("if($T299&lt;&gt;"""",REGEXEXTRACT(SUBSTITUTE ($T299,I$1&amp;"" CE"",""""), I$1&amp;""[\w &amp;]*, (\d+\.\d+)""),"""")
"),"")</f>
        <v/>
      </c>
      <c r="J299" s="3" t="str">
        <f aca="false">IFERROR(__xludf.dummyfunction("if($T299&lt;&gt;"""",REGEXEXTRACT($T299, J$1&amp;""[\w &amp;]*, (\d+\.\d+)""),"""")
"),"")</f>
        <v/>
      </c>
      <c r="K299" s="3"/>
      <c r="L299" s="3" t="str">
        <f aca="false">IFERROR(__xludf.dummyfunction("if($T299&lt;&gt;"""",REGEXEXTRACT(SUBSTITUTE ($T299,L$1&amp;"" CE"",""""), L$1&amp;""[\w &amp;]*, (\d+\.\d+)""),"""")
"),"")</f>
        <v/>
      </c>
      <c r="M299" s="3" t="str">
        <f aca="false">IFERROR(__xludf.dummyfunction("if($T299&lt;&gt;"""",REGEXEXTRACT($T299, M$1&amp;""[\w &amp;]*, (\d+\.\d+)""),"""")
"),"")</f>
        <v/>
      </c>
      <c r="N299" s="3" t="str">
        <f aca="false">IFERROR(__xludf.dummyfunction("if($T299&lt;&gt;"""",REGEXEXTRACT(SUBSTITUTE ($T299,N$1&amp;"" CE"",""""), N$1&amp;""[\w &amp;]*, (\d+\.\d+)""),"""")
"),"")</f>
        <v/>
      </c>
      <c r="O299" s="3" t="str">
        <f aca="false">IFERROR(__xludf.dummyfunction("if($T299&lt;&gt;"""",REGEXEXTRACT($T299, O$1&amp;""[\w &amp;]*, (\d+\.\d+)""),"""")
"),"")</f>
        <v/>
      </c>
      <c r="P299" s="2"/>
      <c r="Q299" s="2"/>
      <c r="R299" s="2"/>
      <c r="S299" s="2"/>
      <c r="T299" s="5"/>
    </row>
    <row r="300" customFormat="false" ht="15.75" hidden="false" customHeight="false" outlineLevel="0" collapsed="false">
      <c r="A300" s="4"/>
      <c r="B300" s="2"/>
      <c r="C300" s="2"/>
      <c r="D300" s="2"/>
      <c r="E300" s="2"/>
      <c r="F300" s="3" t="str">
        <f aca="false">IFERROR(__xludf.dummyfunction("if($T300&lt;&gt;"""",REGEXEXTRACT(SUBSTITUTE ($T300,F$1&amp;"" CE"",""""), F$1&amp;""[\w &amp;]*, (\d+\.\d+)""),"""")
"),"")</f>
        <v/>
      </c>
      <c r="G300" s="3" t="str">
        <f aca="false">IFERROR(__xludf.dummyfunction("if($T300&lt;&gt;"""",REGEXEXTRACT($T300, G$1&amp;""[\w &amp;]*, (\d+\.\d+)""),"""")
"),"")</f>
        <v/>
      </c>
      <c r="H300" s="3"/>
      <c r="I300" s="3" t="str">
        <f aca="false">IFERROR(__xludf.dummyfunction("if($T300&lt;&gt;"""",REGEXEXTRACT(SUBSTITUTE ($T300,I$1&amp;"" CE"",""""), I$1&amp;""[\w &amp;]*, (\d+\.\d+)""),"""")
"),"")</f>
        <v/>
      </c>
      <c r="J300" s="3" t="str">
        <f aca="false">IFERROR(__xludf.dummyfunction("if($T300&lt;&gt;"""",REGEXEXTRACT($T300, J$1&amp;""[\w &amp;]*, (\d+\.\d+)""),"""")
"),"")</f>
        <v/>
      </c>
      <c r="K300" s="3"/>
      <c r="L300" s="3" t="str">
        <f aca="false">IFERROR(__xludf.dummyfunction("if($T300&lt;&gt;"""",REGEXEXTRACT(SUBSTITUTE ($T300,L$1&amp;"" CE"",""""), L$1&amp;""[\w &amp;]*, (\d+\.\d+)""),"""")
"),"")</f>
        <v/>
      </c>
      <c r="M300" s="3" t="str">
        <f aca="false">IFERROR(__xludf.dummyfunction("if($T300&lt;&gt;"""",REGEXEXTRACT($T300, M$1&amp;""[\w &amp;]*, (\d+\.\d+)""),"""")
"),"")</f>
        <v/>
      </c>
      <c r="N300" s="3" t="str">
        <f aca="false">IFERROR(__xludf.dummyfunction("if($T300&lt;&gt;"""",REGEXEXTRACT(SUBSTITUTE ($T300,N$1&amp;"" CE"",""""), N$1&amp;""[\w &amp;]*, (\d+\.\d+)""),"""")
"),"")</f>
        <v/>
      </c>
      <c r="O300" s="3" t="str">
        <f aca="false">IFERROR(__xludf.dummyfunction("if($T300&lt;&gt;"""",REGEXEXTRACT($T300, O$1&amp;""[\w &amp;]*, (\d+\.\d+)""),"""")
"),"")</f>
        <v/>
      </c>
      <c r="P300" s="2"/>
      <c r="Q300" s="2"/>
      <c r="R300" s="2"/>
      <c r="S300" s="2"/>
      <c r="T300" s="5"/>
    </row>
    <row r="301" customFormat="false" ht="15.75" hidden="false" customHeight="false" outlineLevel="0" collapsed="false">
      <c r="A301" s="4"/>
      <c r="B301" s="2"/>
      <c r="C301" s="2"/>
      <c r="D301" s="2"/>
      <c r="E301" s="2"/>
      <c r="F301" s="3" t="str">
        <f aca="false">IFERROR(__xludf.dummyfunction("if($T301&lt;&gt;"""",REGEXEXTRACT(SUBSTITUTE ($T301,F$1&amp;"" CE"",""""), F$1&amp;""[\w &amp;]*, (\d+\.\d+)""),"""")
"),"")</f>
        <v/>
      </c>
      <c r="G301" s="3" t="str">
        <f aca="false">IFERROR(__xludf.dummyfunction("if($T301&lt;&gt;"""",REGEXEXTRACT($T301, G$1&amp;""[\w &amp;]*, (\d+\.\d+)""),"""")
"),"")</f>
        <v/>
      </c>
      <c r="H301" s="3"/>
      <c r="I301" s="3" t="str">
        <f aca="false">IFERROR(__xludf.dummyfunction("if($T301&lt;&gt;"""",REGEXEXTRACT(SUBSTITUTE ($T301,I$1&amp;"" CE"",""""), I$1&amp;""[\w &amp;]*, (\d+\.\d+)""),"""")
"),"")</f>
        <v/>
      </c>
      <c r="J301" s="3" t="str">
        <f aca="false">IFERROR(__xludf.dummyfunction("if($T301&lt;&gt;"""",REGEXEXTRACT($T301, J$1&amp;""[\w &amp;]*, (\d+\.\d+)""),"""")
"),"")</f>
        <v/>
      </c>
      <c r="K301" s="3"/>
      <c r="L301" s="3" t="str">
        <f aca="false">IFERROR(__xludf.dummyfunction("if($T301&lt;&gt;"""",REGEXEXTRACT(SUBSTITUTE ($T301,L$1&amp;"" CE"",""""), L$1&amp;""[\w &amp;]*, (\d+\.\d+)""),"""")
"),"")</f>
        <v/>
      </c>
      <c r="M301" s="3" t="str">
        <f aca="false">IFERROR(__xludf.dummyfunction("if($T301&lt;&gt;"""",REGEXEXTRACT($T301, M$1&amp;""[\w &amp;]*, (\d+\.\d+)""),"""")
"),"")</f>
        <v/>
      </c>
      <c r="N301" s="3" t="str">
        <f aca="false">IFERROR(__xludf.dummyfunction("if($T301&lt;&gt;"""",REGEXEXTRACT(SUBSTITUTE ($T301,N$1&amp;"" CE"",""""), N$1&amp;""[\w &amp;]*, (\d+\.\d+)""),"""")
"),"")</f>
        <v/>
      </c>
      <c r="O301" s="3" t="str">
        <f aca="false">IFERROR(__xludf.dummyfunction("if($T301&lt;&gt;"""",REGEXEXTRACT($T301, O$1&amp;""[\w &amp;]*, (\d+\.\d+)""),"""")
"),"")</f>
        <v/>
      </c>
      <c r="P301" s="2"/>
      <c r="Q301" s="2"/>
      <c r="R301" s="2"/>
      <c r="S301" s="2"/>
      <c r="T301" s="5"/>
    </row>
    <row r="302" customFormat="false" ht="15.75" hidden="false" customHeight="false" outlineLevel="0" collapsed="false">
      <c r="A302" s="4"/>
      <c r="B302" s="2"/>
      <c r="C302" s="2"/>
      <c r="D302" s="2"/>
      <c r="E302" s="2"/>
      <c r="F302" s="3" t="str">
        <f aca="false">IFERROR(__xludf.dummyfunction("if($T302&lt;&gt;"""",REGEXEXTRACT(SUBSTITUTE ($T302,F$1&amp;"" CE"",""""), F$1&amp;""[\w &amp;]*, (\d+\.\d+)""),"""")
"),"")</f>
        <v/>
      </c>
      <c r="G302" s="3" t="str">
        <f aca="false">IFERROR(__xludf.dummyfunction("if($T302&lt;&gt;"""",REGEXEXTRACT($T302, G$1&amp;""[\w &amp;]*, (\d+\.\d+)""),"""")
"),"")</f>
        <v/>
      </c>
      <c r="H302" s="3"/>
      <c r="I302" s="3" t="str">
        <f aca="false">IFERROR(__xludf.dummyfunction("if($T302&lt;&gt;"""",REGEXEXTRACT(SUBSTITUTE ($T302,I$1&amp;"" CE"",""""), I$1&amp;""[\w &amp;]*, (\d+\.\d+)""),"""")
"),"")</f>
        <v/>
      </c>
      <c r="J302" s="3" t="str">
        <f aca="false">IFERROR(__xludf.dummyfunction("if($T302&lt;&gt;"""",REGEXEXTRACT($T302, J$1&amp;""[\w &amp;]*, (\d+\.\d+)""),"""")
"),"")</f>
        <v/>
      </c>
      <c r="K302" s="3"/>
      <c r="L302" s="3" t="str">
        <f aca="false">IFERROR(__xludf.dummyfunction("if($T302&lt;&gt;"""",REGEXEXTRACT(SUBSTITUTE ($T302,L$1&amp;"" CE"",""""), L$1&amp;""[\w &amp;]*, (\d+\.\d+)""),"""")
"),"")</f>
        <v/>
      </c>
      <c r="M302" s="3" t="str">
        <f aca="false">IFERROR(__xludf.dummyfunction("if($T302&lt;&gt;"""",REGEXEXTRACT($T302, M$1&amp;""[\w &amp;]*, (\d+\.\d+)""),"""")
"),"")</f>
        <v/>
      </c>
      <c r="N302" s="3" t="str">
        <f aca="false">IFERROR(__xludf.dummyfunction("if($T302&lt;&gt;"""",REGEXEXTRACT(SUBSTITUTE ($T302,N$1&amp;"" CE"",""""), N$1&amp;""[\w &amp;]*, (\d+\.\d+)""),"""")
"),"")</f>
        <v/>
      </c>
      <c r="O302" s="3" t="str">
        <f aca="false">IFERROR(__xludf.dummyfunction("if($T302&lt;&gt;"""",REGEXEXTRACT($T302, O$1&amp;""[\w &amp;]*, (\d+\.\d+)""),"""")
"),"")</f>
        <v/>
      </c>
      <c r="P302" s="2"/>
      <c r="Q302" s="2"/>
      <c r="R302" s="2"/>
      <c r="S302" s="2"/>
      <c r="T302" s="5"/>
    </row>
    <row r="303" customFormat="false" ht="15.75" hidden="false" customHeight="false" outlineLevel="0" collapsed="false">
      <c r="A303" s="4"/>
      <c r="B303" s="2"/>
      <c r="C303" s="2"/>
      <c r="D303" s="2"/>
      <c r="E303" s="2"/>
      <c r="F303" s="3" t="str">
        <f aca="false">IFERROR(__xludf.dummyfunction("if($T303&lt;&gt;"""",REGEXEXTRACT(SUBSTITUTE ($T303,F$1&amp;"" CE"",""""), F$1&amp;""[\w &amp;]*, (\d+\.\d+)""),"""")
"),"")</f>
        <v/>
      </c>
      <c r="G303" s="3" t="str">
        <f aca="false">IFERROR(__xludf.dummyfunction("if($T303&lt;&gt;"""",REGEXEXTRACT($T303, G$1&amp;""[\w &amp;]*, (\d+\.\d+)""),"""")
"),"")</f>
        <v/>
      </c>
      <c r="H303" s="3"/>
      <c r="I303" s="3" t="str">
        <f aca="false">IFERROR(__xludf.dummyfunction("if($T303&lt;&gt;"""",REGEXEXTRACT(SUBSTITUTE ($T303,I$1&amp;"" CE"",""""), I$1&amp;""[\w &amp;]*, (\d+\.\d+)""),"""")
"),"")</f>
        <v/>
      </c>
      <c r="J303" s="3" t="str">
        <f aca="false">IFERROR(__xludf.dummyfunction("if($T303&lt;&gt;"""",REGEXEXTRACT($T303, J$1&amp;""[\w &amp;]*, (\d+\.\d+)""),"""")
"),"")</f>
        <v/>
      </c>
      <c r="K303" s="3"/>
      <c r="L303" s="3" t="str">
        <f aca="false">IFERROR(__xludf.dummyfunction("if($T303&lt;&gt;"""",REGEXEXTRACT(SUBSTITUTE ($T303,L$1&amp;"" CE"",""""), L$1&amp;""[\w &amp;]*, (\d+\.\d+)""),"""")
"),"")</f>
        <v/>
      </c>
      <c r="M303" s="3" t="str">
        <f aca="false">IFERROR(__xludf.dummyfunction("if($T303&lt;&gt;"""",REGEXEXTRACT($T303, M$1&amp;""[\w &amp;]*, (\d+\.\d+)""),"""")
"),"")</f>
        <v/>
      </c>
      <c r="N303" s="3" t="str">
        <f aca="false">IFERROR(__xludf.dummyfunction("if($T303&lt;&gt;"""",REGEXEXTRACT(SUBSTITUTE ($T303,N$1&amp;"" CE"",""""), N$1&amp;""[\w &amp;]*, (\d+\.\d+)""),"""")
"),"")</f>
        <v/>
      </c>
      <c r="O303" s="3" t="str">
        <f aca="false">IFERROR(__xludf.dummyfunction("if($T303&lt;&gt;"""",REGEXEXTRACT($T303, O$1&amp;""[\w &amp;]*, (\d+\.\d+)""),"""")
"),"")</f>
        <v/>
      </c>
      <c r="P303" s="2"/>
      <c r="Q303" s="2"/>
      <c r="R303" s="2"/>
      <c r="S303" s="2"/>
      <c r="T303" s="5"/>
    </row>
    <row r="304" customFormat="false" ht="15.75" hidden="false" customHeight="false" outlineLevel="0" collapsed="false">
      <c r="A304" s="4"/>
      <c r="B304" s="2"/>
      <c r="C304" s="2"/>
      <c r="D304" s="2"/>
      <c r="E304" s="2"/>
      <c r="F304" s="3" t="str">
        <f aca="false">IFERROR(__xludf.dummyfunction("if($T304&lt;&gt;"""",REGEXEXTRACT(SUBSTITUTE ($T304,F$1&amp;"" CE"",""""), F$1&amp;""[\w &amp;]*, (\d+\.\d+)""),"""")
"),"")</f>
        <v/>
      </c>
      <c r="G304" s="3" t="str">
        <f aca="false">IFERROR(__xludf.dummyfunction("if($T304&lt;&gt;"""",REGEXEXTRACT($T304, G$1&amp;""[\w &amp;]*, (\d+\.\d+)""),"""")
"),"")</f>
        <v/>
      </c>
      <c r="H304" s="3"/>
      <c r="I304" s="3" t="str">
        <f aca="false">IFERROR(__xludf.dummyfunction("if($T304&lt;&gt;"""",REGEXEXTRACT(SUBSTITUTE ($T304,I$1&amp;"" CE"",""""), I$1&amp;""[\w &amp;]*, (\d+\.\d+)""),"""")
"),"")</f>
        <v/>
      </c>
      <c r="J304" s="3" t="str">
        <f aca="false">IFERROR(__xludf.dummyfunction("if($T304&lt;&gt;"""",REGEXEXTRACT($T304, J$1&amp;""[\w &amp;]*, (\d+\.\d+)""),"""")
"),"")</f>
        <v/>
      </c>
      <c r="K304" s="3"/>
      <c r="L304" s="3" t="str">
        <f aca="false">IFERROR(__xludf.dummyfunction("if($T304&lt;&gt;"""",REGEXEXTRACT(SUBSTITUTE ($T304,L$1&amp;"" CE"",""""), L$1&amp;""[\w &amp;]*, (\d+\.\d+)""),"""")
"),"")</f>
        <v/>
      </c>
      <c r="M304" s="3" t="str">
        <f aca="false">IFERROR(__xludf.dummyfunction("if($T304&lt;&gt;"""",REGEXEXTRACT($T304, M$1&amp;""[\w &amp;]*, (\d+\.\d+)""),"""")
"),"")</f>
        <v/>
      </c>
      <c r="N304" s="3" t="str">
        <f aca="false">IFERROR(__xludf.dummyfunction("if($T304&lt;&gt;"""",REGEXEXTRACT(SUBSTITUTE ($T304,N$1&amp;"" CE"",""""), N$1&amp;""[\w &amp;]*, (\d+\.\d+)""),"""")
"),"")</f>
        <v/>
      </c>
      <c r="O304" s="3" t="str">
        <f aca="false">IFERROR(__xludf.dummyfunction("if($T304&lt;&gt;"""",REGEXEXTRACT($T304, O$1&amp;""[\w &amp;]*, (\d+\.\d+)""),"""")
"),"")</f>
        <v/>
      </c>
      <c r="P304" s="2"/>
      <c r="Q304" s="2"/>
      <c r="R304" s="2"/>
      <c r="S304" s="2"/>
      <c r="T304" s="5"/>
    </row>
    <row r="305" customFormat="false" ht="15.75" hidden="false" customHeight="false" outlineLevel="0" collapsed="false">
      <c r="A305" s="4"/>
      <c r="B305" s="2"/>
      <c r="C305" s="2"/>
      <c r="D305" s="2"/>
      <c r="E305" s="2"/>
      <c r="F305" s="3" t="str">
        <f aca="false">IFERROR(__xludf.dummyfunction("if($T305&lt;&gt;"""",REGEXEXTRACT(SUBSTITUTE ($T305,F$1&amp;"" CE"",""""), F$1&amp;""[\w &amp;]*, (\d+\.\d+)""),"""")
"),"")</f>
        <v/>
      </c>
      <c r="G305" s="3" t="str">
        <f aca="false">IFERROR(__xludf.dummyfunction("if($T305&lt;&gt;"""",REGEXEXTRACT($T305, G$1&amp;""[\w &amp;]*, (\d+\.\d+)""),"""")
"),"")</f>
        <v/>
      </c>
      <c r="H305" s="3"/>
      <c r="I305" s="3" t="str">
        <f aca="false">IFERROR(__xludf.dummyfunction("if($T305&lt;&gt;"""",REGEXEXTRACT(SUBSTITUTE ($T305,I$1&amp;"" CE"",""""), I$1&amp;""[\w &amp;]*, (\d+\.\d+)""),"""")
"),"")</f>
        <v/>
      </c>
      <c r="J305" s="3" t="str">
        <f aca="false">IFERROR(__xludf.dummyfunction("if($T305&lt;&gt;"""",REGEXEXTRACT($T305, J$1&amp;""[\w &amp;]*, (\d+\.\d+)""),"""")
"),"")</f>
        <v/>
      </c>
      <c r="K305" s="3"/>
      <c r="L305" s="3" t="str">
        <f aca="false">IFERROR(__xludf.dummyfunction("if($T305&lt;&gt;"""",REGEXEXTRACT(SUBSTITUTE ($T305,L$1&amp;"" CE"",""""), L$1&amp;""[\w &amp;]*, (\d+\.\d+)""),"""")
"),"")</f>
        <v/>
      </c>
      <c r="M305" s="3" t="str">
        <f aca="false">IFERROR(__xludf.dummyfunction("if($T305&lt;&gt;"""",REGEXEXTRACT($T305, M$1&amp;""[\w &amp;]*, (\d+\.\d+)""),"""")
"),"")</f>
        <v/>
      </c>
      <c r="N305" s="3" t="str">
        <f aca="false">IFERROR(__xludf.dummyfunction("if($T305&lt;&gt;"""",REGEXEXTRACT(SUBSTITUTE ($T305,N$1&amp;"" CE"",""""), N$1&amp;""[\w &amp;]*, (\d+\.\d+)""),"""")
"),"")</f>
        <v/>
      </c>
      <c r="O305" s="3" t="str">
        <f aca="false">IFERROR(__xludf.dummyfunction("if($T305&lt;&gt;"""",REGEXEXTRACT($T305, O$1&amp;""[\w &amp;]*, (\d+\.\d+)""),"""")
"),"")</f>
        <v/>
      </c>
      <c r="P305" s="2"/>
      <c r="Q305" s="2"/>
      <c r="R305" s="2"/>
      <c r="S305" s="2"/>
      <c r="T305" s="5"/>
    </row>
    <row r="306" customFormat="false" ht="15.75" hidden="false" customHeight="false" outlineLevel="0" collapsed="false">
      <c r="A306" s="4"/>
      <c r="B306" s="2"/>
      <c r="C306" s="2"/>
      <c r="D306" s="2"/>
      <c r="E306" s="2"/>
      <c r="F306" s="3" t="str">
        <f aca="false">IFERROR(__xludf.dummyfunction("if($T306&lt;&gt;"""",REGEXEXTRACT(SUBSTITUTE ($T306,F$1&amp;"" CE"",""""), F$1&amp;""[\w &amp;]*, (\d+\.\d+)""),"""")
"),"")</f>
        <v/>
      </c>
      <c r="G306" s="3" t="str">
        <f aca="false">IFERROR(__xludf.dummyfunction("if($T306&lt;&gt;"""",REGEXEXTRACT($T306, G$1&amp;""[\w &amp;]*, (\d+\.\d+)""),"""")
"),"")</f>
        <v/>
      </c>
      <c r="H306" s="3"/>
      <c r="I306" s="3" t="str">
        <f aca="false">IFERROR(__xludf.dummyfunction("if($T306&lt;&gt;"""",REGEXEXTRACT(SUBSTITUTE ($T306,I$1&amp;"" CE"",""""), I$1&amp;""[\w &amp;]*, (\d+\.\d+)""),"""")
"),"")</f>
        <v/>
      </c>
      <c r="J306" s="3" t="str">
        <f aca="false">IFERROR(__xludf.dummyfunction("if($T306&lt;&gt;"""",REGEXEXTRACT($T306, J$1&amp;""[\w &amp;]*, (\d+\.\d+)""),"""")
"),"")</f>
        <v/>
      </c>
      <c r="K306" s="3"/>
      <c r="L306" s="3" t="str">
        <f aca="false">IFERROR(__xludf.dummyfunction("if($T306&lt;&gt;"""",REGEXEXTRACT(SUBSTITUTE ($T306,L$1&amp;"" CE"",""""), L$1&amp;""[\w &amp;]*, (\d+\.\d+)""),"""")
"),"")</f>
        <v/>
      </c>
      <c r="M306" s="3" t="str">
        <f aca="false">IFERROR(__xludf.dummyfunction("if($T306&lt;&gt;"""",REGEXEXTRACT($T306, M$1&amp;""[\w &amp;]*, (\d+\.\d+)""),"""")
"),"")</f>
        <v/>
      </c>
      <c r="N306" s="3" t="str">
        <f aca="false">IFERROR(__xludf.dummyfunction("if($T306&lt;&gt;"""",REGEXEXTRACT(SUBSTITUTE ($T306,N$1&amp;"" CE"",""""), N$1&amp;""[\w &amp;]*, (\d+\.\d+)""),"""")
"),"")</f>
        <v/>
      </c>
      <c r="O306" s="3" t="str">
        <f aca="false">IFERROR(__xludf.dummyfunction("if($T306&lt;&gt;"""",REGEXEXTRACT($T306, O$1&amp;""[\w &amp;]*, (\d+\.\d+)""),"""")
"),"")</f>
        <v/>
      </c>
      <c r="P306" s="2"/>
      <c r="Q306" s="2"/>
      <c r="R306" s="2"/>
      <c r="S306" s="2"/>
      <c r="T306" s="5"/>
    </row>
    <row r="307" customFormat="false" ht="15.75" hidden="false" customHeight="false" outlineLevel="0" collapsed="false">
      <c r="A307" s="4"/>
      <c r="B307" s="2"/>
      <c r="C307" s="2"/>
      <c r="D307" s="2"/>
      <c r="E307" s="2"/>
      <c r="F307" s="3" t="str">
        <f aca="false">IFERROR(__xludf.dummyfunction("if($T307&lt;&gt;"""",REGEXEXTRACT(SUBSTITUTE ($T307,F$1&amp;"" CE"",""""), F$1&amp;""[\w &amp;]*, (\d+\.\d+)""),"""")
"),"")</f>
        <v/>
      </c>
      <c r="G307" s="3" t="str">
        <f aca="false">IFERROR(__xludf.dummyfunction("if($T307&lt;&gt;"""",REGEXEXTRACT($T307, G$1&amp;""[\w &amp;]*, (\d+\.\d+)""),"""")
"),"")</f>
        <v/>
      </c>
      <c r="H307" s="3"/>
      <c r="I307" s="3" t="str">
        <f aca="false">IFERROR(__xludf.dummyfunction("if($T307&lt;&gt;"""",REGEXEXTRACT(SUBSTITUTE ($T307,I$1&amp;"" CE"",""""), I$1&amp;""[\w &amp;]*, (\d+\.\d+)""),"""")
"),"")</f>
        <v/>
      </c>
      <c r="J307" s="3" t="str">
        <f aca="false">IFERROR(__xludf.dummyfunction("if($T307&lt;&gt;"""",REGEXEXTRACT($T307, J$1&amp;""[\w &amp;]*, (\d+\.\d+)""),"""")
"),"")</f>
        <v/>
      </c>
      <c r="K307" s="3"/>
      <c r="L307" s="3" t="str">
        <f aca="false">IFERROR(__xludf.dummyfunction("if($T307&lt;&gt;"""",REGEXEXTRACT(SUBSTITUTE ($T307,L$1&amp;"" CE"",""""), L$1&amp;""[\w &amp;]*, (\d+\.\d+)""),"""")
"),"")</f>
        <v/>
      </c>
      <c r="M307" s="3" t="str">
        <f aca="false">IFERROR(__xludf.dummyfunction("if($T307&lt;&gt;"""",REGEXEXTRACT($T307, M$1&amp;""[\w &amp;]*, (\d+\.\d+)""),"""")
"),"")</f>
        <v/>
      </c>
      <c r="N307" s="3" t="str">
        <f aca="false">IFERROR(__xludf.dummyfunction("if($T307&lt;&gt;"""",REGEXEXTRACT(SUBSTITUTE ($T307,N$1&amp;"" CE"",""""), N$1&amp;""[\w &amp;]*, (\d+\.\d+)""),"""")
"),"")</f>
        <v/>
      </c>
      <c r="O307" s="3" t="str">
        <f aca="false">IFERROR(__xludf.dummyfunction("if($T307&lt;&gt;"""",REGEXEXTRACT($T307, O$1&amp;""[\w &amp;]*, (\d+\.\d+)""),"""")
"),"")</f>
        <v/>
      </c>
      <c r="P307" s="2"/>
      <c r="Q307" s="2"/>
      <c r="R307" s="2"/>
      <c r="S307" s="2"/>
      <c r="T307" s="5"/>
    </row>
    <row r="308" customFormat="false" ht="15.75" hidden="false" customHeight="false" outlineLevel="0" collapsed="false">
      <c r="A308" s="4"/>
      <c r="B308" s="2"/>
      <c r="C308" s="2"/>
      <c r="D308" s="2"/>
      <c r="E308" s="2"/>
      <c r="F308" s="3" t="str">
        <f aca="false">IFERROR(__xludf.dummyfunction("if($T308&lt;&gt;"""",REGEXEXTRACT(SUBSTITUTE ($T308,F$1&amp;"" CE"",""""), F$1&amp;""[\w &amp;]*, (\d+\.\d+)""),"""")
"),"")</f>
        <v/>
      </c>
      <c r="G308" s="3" t="str">
        <f aca="false">IFERROR(__xludf.dummyfunction("if($T308&lt;&gt;"""",REGEXEXTRACT($T308, G$1&amp;""[\w &amp;]*, (\d+\.\d+)""),"""")
"),"")</f>
        <v/>
      </c>
      <c r="H308" s="3"/>
      <c r="I308" s="3" t="str">
        <f aca="false">IFERROR(__xludf.dummyfunction("if($T308&lt;&gt;"""",REGEXEXTRACT(SUBSTITUTE ($T308,I$1&amp;"" CE"",""""), I$1&amp;""[\w &amp;]*, (\d+\.\d+)""),"""")
"),"")</f>
        <v/>
      </c>
      <c r="J308" s="3" t="str">
        <f aca="false">IFERROR(__xludf.dummyfunction("if($T308&lt;&gt;"""",REGEXEXTRACT($T308, J$1&amp;""[\w &amp;]*, (\d+\.\d+)""),"""")
"),"")</f>
        <v/>
      </c>
      <c r="K308" s="3"/>
      <c r="L308" s="3" t="str">
        <f aca="false">IFERROR(__xludf.dummyfunction("if($T308&lt;&gt;"""",REGEXEXTRACT(SUBSTITUTE ($T308,L$1&amp;"" CE"",""""), L$1&amp;""[\w &amp;]*, (\d+\.\d+)""),"""")
"),"")</f>
        <v/>
      </c>
      <c r="M308" s="3" t="str">
        <f aca="false">IFERROR(__xludf.dummyfunction("if($T308&lt;&gt;"""",REGEXEXTRACT($T308, M$1&amp;""[\w &amp;]*, (\d+\.\d+)""),"""")
"),"")</f>
        <v/>
      </c>
      <c r="N308" s="3" t="str">
        <f aca="false">IFERROR(__xludf.dummyfunction("if($T308&lt;&gt;"""",REGEXEXTRACT(SUBSTITUTE ($T308,N$1&amp;"" CE"",""""), N$1&amp;""[\w &amp;]*, (\d+\.\d+)""),"""")
"),"")</f>
        <v/>
      </c>
      <c r="O308" s="3" t="str">
        <f aca="false">IFERROR(__xludf.dummyfunction("if($T308&lt;&gt;"""",REGEXEXTRACT($T308, O$1&amp;""[\w &amp;]*, (\d+\.\d+)""),"""")
"),"")</f>
        <v/>
      </c>
      <c r="P308" s="2"/>
      <c r="Q308" s="2"/>
      <c r="R308" s="2"/>
      <c r="S308" s="2"/>
      <c r="T308" s="5"/>
    </row>
    <row r="309" customFormat="false" ht="15.75" hidden="false" customHeight="false" outlineLevel="0" collapsed="false">
      <c r="A309" s="4"/>
      <c r="B309" s="2"/>
      <c r="C309" s="2"/>
      <c r="D309" s="2"/>
      <c r="E309" s="2"/>
      <c r="F309" s="3" t="str">
        <f aca="false">IFERROR(__xludf.dummyfunction("if($T309&lt;&gt;"""",REGEXEXTRACT(SUBSTITUTE ($T309,F$1&amp;"" CE"",""""), F$1&amp;""[\w &amp;]*, (\d+\.\d+)""),"""")
"),"")</f>
        <v/>
      </c>
      <c r="G309" s="3" t="str">
        <f aca="false">IFERROR(__xludf.dummyfunction("if($T309&lt;&gt;"""",REGEXEXTRACT($T309, G$1&amp;""[\w &amp;]*, (\d+\.\d+)""),"""")
"),"")</f>
        <v/>
      </c>
      <c r="H309" s="3"/>
      <c r="I309" s="3" t="str">
        <f aca="false">IFERROR(__xludf.dummyfunction("if($T309&lt;&gt;"""",REGEXEXTRACT(SUBSTITUTE ($T309,I$1&amp;"" CE"",""""), I$1&amp;""[\w &amp;]*, (\d+\.\d+)""),"""")
"),"")</f>
        <v/>
      </c>
      <c r="J309" s="3" t="str">
        <f aca="false">IFERROR(__xludf.dummyfunction("if($T309&lt;&gt;"""",REGEXEXTRACT($T309, J$1&amp;""[\w &amp;]*, (\d+\.\d+)""),"""")
"),"")</f>
        <v/>
      </c>
      <c r="K309" s="3"/>
      <c r="L309" s="3" t="str">
        <f aca="false">IFERROR(__xludf.dummyfunction("if($T309&lt;&gt;"""",REGEXEXTRACT(SUBSTITUTE ($T309,L$1&amp;"" CE"",""""), L$1&amp;""[\w &amp;]*, (\d+\.\d+)""),"""")
"),"")</f>
        <v/>
      </c>
      <c r="M309" s="3" t="str">
        <f aca="false">IFERROR(__xludf.dummyfunction("if($T309&lt;&gt;"""",REGEXEXTRACT($T309, M$1&amp;""[\w &amp;]*, (\d+\.\d+)""),"""")
"),"")</f>
        <v/>
      </c>
      <c r="N309" s="3" t="str">
        <f aca="false">IFERROR(__xludf.dummyfunction("if($T309&lt;&gt;"""",REGEXEXTRACT(SUBSTITUTE ($T309,N$1&amp;"" CE"",""""), N$1&amp;""[\w &amp;]*, (\d+\.\d+)""),"""")
"),"")</f>
        <v/>
      </c>
      <c r="O309" s="3" t="str">
        <f aca="false">IFERROR(__xludf.dummyfunction("if($T309&lt;&gt;"""",REGEXEXTRACT($T309, O$1&amp;""[\w &amp;]*, (\d+\.\d+)""),"""")
"),"")</f>
        <v/>
      </c>
      <c r="P309" s="2"/>
      <c r="Q309" s="2"/>
      <c r="R309" s="2"/>
      <c r="S309" s="2"/>
      <c r="T309" s="5"/>
    </row>
    <row r="310" customFormat="false" ht="15.75" hidden="false" customHeight="false" outlineLevel="0" collapsed="false">
      <c r="A310" s="4"/>
      <c r="B310" s="2"/>
      <c r="C310" s="2"/>
      <c r="D310" s="2"/>
      <c r="E310" s="2"/>
      <c r="F310" s="3" t="str">
        <f aca="false">IFERROR(__xludf.dummyfunction("if($T310&lt;&gt;"""",REGEXEXTRACT(SUBSTITUTE ($T310,F$1&amp;"" CE"",""""), F$1&amp;""[\w &amp;]*, (\d+\.\d+)""),"""")
"),"")</f>
        <v/>
      </c>
      <c r="G310" s="3" t="str">
        <f aca="false">IFERROR(__xludf.dummyfunction("if($T310&lt;&gt;"""",REGEXEXTRACT($T310, G$1&amp;""[\w &amp;]*, (\d+\.\d+)""),"""")
"),"")</f>
        <v/>
      </c>
      <c r="H310" s="3"/>
      <c r="I310" s="3" t="str">
        <f aca="false">IFERROR(__xludf.dummyfunction("if($T310&lt;&gt;"""",REGEXEXTRACT(SUBSTITUTE ($T310,I$1&amp;"" CE"",""""), I$1&amp;""[\w &amp;]*, (\d+\.\d+)""),"""")
"),"")</f>
        <v/>
      </c>
      <c r="J310" s="3" t="str">
        <f aca="false">IFERROR(__xludf.dummyfunction("if($T310&lt;&gt;"""",REGEXEXTRACT($T310, J$1&amp;""[\w &amp;]*, (\d+\.\d+)""),"""")
"),"")</f>
        <v/>
      </c>
      <c r="K310" s="3"/>
      <c r="L310" s="3" t="str">
        <f aca="false">IFERROR(__xludf.dummyfunction("if($T310&lt;&gt;"""",REGEXEXTRACT(SUBSTITUTE ($T310,L$1&amp;"" CE"",""""), L$1&amp;""[\w &amp;]*, (\d+\.\d+)""),"""")
"),"")</f>
        <v/>
      </c>
      <c r="M310" s="3" t="str">
        <f aca="false">IFERROR(__xludf.dummyfunction("if($T310&lt;&gt;"""",REGEXEXTRACT($T310, M$1&amp;""[\w &amp;]*, (\d+\.\d+)""),"""")
"),"")</f>
        <v/>
      </c>
      <c r="N310" s="3" t="str">
        <f aca="false">IFERROR(__xludf.dummyfunction("if($T310&lt;&gt;"""",REGEXEXTRACT(SUBSTITUTE ($T310,N$1&amp;"" CE"",""""), N$1&amp;""[\w &amp;]*, (\d+\.\d+)""),"""")
"),"")</f>
        <v/>
      </c>
      <c r="O310" s="3" t="str">
        <f aca="false">IFERROR(__xludf.dummyfunction("if($T310&lt;&gt;"""",REGEXEXTRACT($T310, O$1&amp;""[\w &amp;]*, (\d+\.\d+)""),"""")
"),"")</f>
        <v/>
      </c>
      <c r="P310" s="2"/>
      <c r="Q310" s="2"/>
      <c r="R310" s="2"/>
      <c r="S310" s="2"/>
      <c r="T310" s="5"/>
    </row>
    <row r="311" customFormat="false" ht="15.75" hidden="false" customHeight="false" outlineLevel="0" collapsed="false">
      <c r="A311" s="4"/>
      <c r="B311" s="2"/>
      <c r="C311" s="2"/>
      <c r="D311" s="2"/>
      <c r="E311" s="2"/>
      <c r="F311" s="3" t="str">
        <f aca="false">IFERROR(__xludf.dummyfunction("if($T311&lt;&gt;"""",REGEXEXTRACT(SUBSTITUTE ($T311,F$1&amp;"" CE"",""""), F$1&amp;""[\w &amp;]*, (\d+\.\d+)""),"""")
"),"")</f>
        <v/>
      </c>
      <c r="G311" s="3" t="str">
        <f aca="false">IFERROR(__xludf.dummyfunction("if($T311&lt;&gt;"""",REGEXEXTRACT($T311, G$1&amp;""[\w &amp;]*, (\d+\.\d+)""),"""")
"),"")</f>
        <v/>
      </c>
      <c r="H311" s="3"/>
      <c r="I311" s="3" t="str">
        <f aca="false">IFERROR(__xludf.dummyfunction("if($T311&lt;&gt;"""",REGEXEXTRACT(SUBSTITUTE ($T311,I$1&amp;"" CE"",""""), I$1&amp;""[\w &amp;]*, (\d+\.\d+)""),"""")
"),"")</f>
        <v/>
      </c>
      <c r="J311" s="3" t="str">
        <f aca="false">IFERROR(__xludf.dummyfunction("if($T311&lt;&gt;"""",REGEXEXTRACT($T311, J$1&amp;""[\w &amp;]*, (\d+\.\d+)""),"""")
"),"")</f>
        <v/>
      </c>
      <c r="K311" s="3"/>
      <c r="L311" s="3" t="str">
        <f aca="false">IFERROR(__xludf.dummyfunction("if($T311&lt;&gt;"""",REGEXEXTRACT(SUBSTITUTE ($T311,L$1&amp;"" CE"",""""), L$1&amp;""[\w &amp;]*, (\d+\.\d+)""),"""")
"),"")</f>
        <v/>
      </c>
      <c r="M311" s="3" t="str">
        <f aca="false">IFERROR(__xludf.dummyfunction("if($T311&lt;&gt;"""",REGEXEXTRACT($T311, M$1&amp;""[\w &amp;]*, (\d+\.\d+)""),"""")
"),"")</f>
        <v/>
      </c>
      <c r="N311" s="3" t="str">
        <f aca="false">IFERROR(__xludf.dummyfunction("if($T311&lt;&gt;"""",REGEXEXTRACT(SUBSTITUTE ($T311,N$1&amp;"" CE"",""""), N$1&amp;""[\w &amp;]*, (\d+\.\d+)""),"""")
"),"")</f>
        <v/>
      </c>
      <c r="O311" s="3" t="str">
        <f aca="false">IFERROR(__xludf.dummyfunction("if($T311&lt;&gt;"""",REGEXEXTRACT($T311, O$1&amp;""[\w &amp;]*, (\d+\.\d+)""),"""")
"),"")</f>
        <v/>
      </c>
      <c r="P311" s="2"/>
      <c r="Q311" s="2"/>
      <c r="R311" s="2"/>
      <c r="S311" s="2"/>
      <c r="T311" s="5"/>
    </row>
    <row r="312" customFormat="false" ht="15.75" hidden="false" customHeight="false" outlineLevel="0" collapsed="false">
      <c r="A312" s="4"/>
      <c r="B312" s="2"/>
      <c r="C312" s="2"/>
      <c r="D312" s="2"/>
      <c r="E312" s="2"/>
      <c r="F312" s="3" t="str">
        <f aca="false">IFERROR(__xludf.dummyfunction("if($T312&lt;&gt;"""",REGEXEXTRACT(SUBSTITUTE ($T312,F$1&amp;"" CE"",""""), F$1&amp;""[\w &amp;]*, (\d+\.\d+)""),"""")
"),"")</f>
        <v/>
      </c>
      <c r="G312" s="3" t="str">
        <f aca="false">IFERROR(__xludf.dummyfunction("if($T312&lt;&gt;"""",REGEXEXTRACT($T312, G$1&amp;""[\w &amp;]*, (\d+\.\d+)""),"""")
"),"")</f>
        <v/>
      </c>
      <c r="H312" s="3"/>
      <c r="I312" s="3" t="str">
        <f aca="false">IFERROR(__xludf.dummyfunction("if($T312&lt;&gt;"""",REGEXEXTRACT(SUBSTITUTE ($T312,I$1&amp;"" CE"",""""), I$1&amp;""[\w &amp;]*, (\d+\.\d+)""),"""")
"),"")</f>
        <v/>
      </c>
      <c r="J312" s="3" t="str">
        <f aca="false">IFERROR(__xludf.dummyfunction("if($T312&lt;&gt;"""",REGEXEXTRACT($T312, J$1&amp;""[\w &amp;]*, (\d+\.\d+)""),"""")
"),"")</f>
        <v/>
      </c>
      <c r="K312" s="3"/>
      <c r="L312" s="3" t="str">
        <f aca="false">IFERROR(__xludf.dummyfunction("if($T312&lt;&gt;"""",REGEXEXTRACT(SUBSTITUTE ($T312,L$1&amp;"" CE"",""""), L$1&amp;""[\w &amp;]*, (\d+\.\d+)""),"""")
"),"")</f>
        <v/>
      </c>
      <c r="M312" s="3" t="str">
        <f aca="false">IFERROR(__xludf.dummyfunction("if($T312&lt;&gt;"""",REGEXEXTRACT($T312, M$1&amp;""[\w &amp;]*, (\d+\.\d+)""),"""")
"),"")</f>
        <v/>
      </c>
      <c r="N312" s="3" t="str">
        <f aca="false">IFERROR(__xludf.dummyfunction("if($T312&lt;&gt;"""",REGEXEXTRACT(SUBSTITUTE ($T312,N$1&amp;"" CE"",""""), N$1&amp;""[\w &amp;]*, (\d+\.\d+)""),"""")
"),"")</f>
        <v/>
      </c>
      <c r="O312" s="3" t="str">
        <f aca="false">IFERROR(__xludf.dummyfunction("if($T312&lt;&gt;"""",REGEXEXTRACT($T312, O$1&amp;""[\w &amp;]*, (\d+\.\d+)""),"""")
"),"")</f>
        <v/>
      </c>
      <c r="P312" s="2"/>
      <c r="Q312" s="2"/>
      <c r="R312" s="2"/>
      <c r="S312" s="2"/>
      <c r="T312" s="5"/>
    </row>
    <row r="313" customFormat="false" ht="15.75" hidden="false" customHeight="false" outlineLevel="0" collapsed="false">
      <c r="A313" s="4"/>
      <c r="B313" s="2"/>
      <c r="C313" s="2"/>
      <c r="D313" s="2"/>
      <c r="E313" s="2"/>
      <c r="F313" s="3" t="str">
        <f aca="false">IFERROR(__xludf.dummyfunction("if($T313&lt;&gt;"""",REGEXEXTRACT(SUBSTITUTE ($T313,F$1&amp;"" CE"",""""), F$1&amp;""[\w &amp;]*, (\d+\.\d+)""),"""")
"),"")</f>
        <v/>
      </c>
      <c r="G313" s="3" t="str">
        <f aca="false">IFERROR(__xludf.dummyfunction("if($T313&lt;&gt;"""",REGEXEXTRACT($T313, G$1&amp;""[\w &amp;]*, (\d+\.\d+)""),"""")
"),"")</f>
        <v/>
      </c>
      <c r="H313" s="3"/>
      <c r="I313" s="3" t="str">
        <f aca="false">IFERROR(__xludf.dummyfunction("if($T313&lt;&gt;"""",REGEXEXTRACT(SUBSTITUTE ($T313,I$1&amp;"" CE"",""""), I$1&amp;""[\w &amp;]*, (\d+\.\d+)""),"""")
"),"")</f>
        <v/>
      </c>
      <c r="J313" s="3" t="str">
        <f aca="false">IFERROR(__xludf.dummyfunction("if($T313&lt;&gt;"""",REGEXEXTRACT($T313, J$1&amp;""[\w &amp;]*, (\d+\.\d+)""),"""")
"),"")</f>
        <v/>
      </c>
      <c r="K313" s="3"/>
      <c r="L313" s="3" t="str">
        <f aca="false">IFERROR(__xludf.dummyfunction("if($T313&lt;&gt;"""",REGEXEXTRACT(SUBSTITUTE ($T313,L$1&amp;"" CE"",""""), L$1&amp;""[\w &amp;]*, (\d+\.\d+)""),"""")
"),"")</f>
        <v/>
      </c>
      <c r="M313" s="3" t="str">
        <f aca="false">IFERROR(__xludf.dummyfunction("if($T313&lt;&gt;"""",REGEXEXTRACT($T313, M$1&amp;""[\w &amp;]*, (\d+\.\d+)""),"""")
"),"")</f>
        <v/>
      </c>
      <c r="N313" s="3" t="str">
        <f aca="false">IFERROR(__xludf.dummyfunction("if($T313&lt;&gt;"""",REGEXEXTRACT(SUBSTITUTE ($T313,N$1&amp;"" CE"",""""), N$1&amp;""[\w &amp;]*, (\d+\.\d+)""),"""")
"),"")</f>
        <v/>
      </c>
      <c r="O313" s="3" t="str">
        <f aca="false">IFERROR(__xludf.dummyfunction("if($T313&lt;&gt;"""",REGEXEXTRACT($T313, O$1&amp;""[\w &amp;]*, (\d+\.\d+)""),"""")
"),"")</f>
        <v/>
      </c>
      <c r="P313" s="2"/>
      <c r="Q313" s="2"/>
      <c r="R313" s="2"/>
      <c r="S313" s="2"/>
      <c r="T313" s="5"/>
    </row>
    <row r="314" customFormat="false" ht="15.75" hidden="false" customHeight="false" outlineLevel="0" collapsed="false">
      <c r="A314" s="4"/>
      <c r="B314" s="2"/>
      <c r="C314" s="2"/>
      <c r="D314" s="2"/>
      <c r="E314" s="2"/>
      <c r="F314" s="3" t="str">
        <f aca="false">IFERROR(__xludf.dummyfunction("if($T314&lt;&gt;"""",REGEXEXTRACT(SUBSTITUTE ($T314,F$1&amp;"" CE"",""""), F$1&amp;""[\w &amp;]*, (\d+\.\d+)""),"""")
"),"")</f>
        <v/>
      </c>
      <c r="G314" s="3" t="str">
        <f aca="false">IFERROR(__xludf.dummyfunction("if($T314&lt;&gt;"""",REGEXEXTRACT($T314, G$1&amp;""[\w &amp;]*, (\d+\.\d+)""),"""")
"),"")</f>
        <v/>
      </c>
      <c r="H314" s="3"/>
      <c r="I314" s="3" t="str">
        <f aca="false">IFERROR(__xludf.dummyfunction("if($T314&lt;&gt;"""",REGEXEXTRACT(SUBSTITUTE ($T314,I$1&amp;"" CE"",""""), I$1&amp;""[\w &amp;]*, (\d+\.\d+)""),"""")
"),"")</f>
        <v/>
      </c>
      <c r="J314" s="3" t="str">
        <f aca="false">IFERROR(__xludf.dummyfunction("if($T314&lt;&gt;"""",REGEXEXTRACT($T314, J$1&amp;""[\w &amp;]*, (\d+\.\d+)""),"""")
"),"")</f>
        <v/>
      </c>
      <c r="K314" s="3"/>
      <c r="L314" s="3" t="str">
        <f aca="false">IFERROR(__xludf.dummyfunction("if($T314&lt;&gt;"""",REGEXEXTRACT(SUBSTITUTE ($T314,L$1&amp;"" CE"",""""), L$1&amp;""[\w &amp;]*, (\d+\.\d+)""),"""")
"),"")</f>
        <v/>
      </c>
      <c r="M314" s="3" t="str">
        <f aca="false">IFERROR(__xludf.dummyfunction("if($T314&lt;&gt;"""",REGEXEXTRACT($T314, M$1&amp;""[\w &amp;]*, (\d+\.\d+)""),"""")
"),"")</f>
        <v/>
      </c>
      <c r="N314" s="3" t="str">
        <f aca="false">IFERROR(__xludf.dummyfunction("if($T314&lt;&gt;"""",REGEXEXTRACT(SUBSTITUTE ($T314,N$1&amp;"" CE"",""""), N$1&amp;""[\w &amp;]*, (\d+\.\d+)""),"""")
"),"")</f>
        <v/>
      </c>
      <c r="O314" s="3" t="str">
        <f aca="false">IFERROR(__xludf.dummyfunction("if($T314&lt;&gt;"""",REGEXEXTRACT($T314, O$1&amp;""[\w &amp;]*, (\d+\.\d+)""),"""")
"),"")</f>
        <v/>
      </c>
      <c r="P314" s="2"/>
      <c r="Q314" s="2"/>
      <c r="R314" s="2"/>
      <c r="S314" s="2"/>
      <c r="T314" s="5"/>
    </row>
    <row r="315" customFormat="false" ht="15.75" hidden="false" customHeight="false" outlineLevel="0" collapsed="false">
      <c r="A315" s="4"/>
      <c r="B315" s="2"/>
      <c r="C315" s="2"/>
      <c r="D315" s="2"/>
      <c r="E315" s="2"/>
      <c r="F315" s="3" t="str">
        <f aca="false">IFERROR(__xludf.dummyfunction("if($T315&lt;&gt;"""",REGEXEXTRACT(SUBSTITUTE ($T315,F$1&amp;"" CE"",""""), F$1&amp;""[\w &amp;]*, (\d+\.\d+)""),"""")
"),"")</f>
        <v/>
      </c>
      <c r="G315" s="3" t="str">
        <f aca="false">IFERROR(__xludf.dummyfunction("if($T315&lt;&gt;"""",REGEXEXTRACT($T315, G$1&amp;""[\w &amp;]*, (\d+\.\d+)""),"""")
"),"")</f>
        <v/>
      </c>
      <c r="H315" s="3"/>
      <c r="I315" s="3" t="str">
        <f aca="false">IFERROR(__xludf.dummyfunction("if($T315&lt;&gt;"""",REGEXEXTRACT(SUBSTITUTE ($T315,I$1&amp;"" CE"",""""), I$1&amp;""[\w &amp;]*, (\d+\.\d+)""),"""")
"),"")</f>
        <v/>
      </c>
      <c r="J315" s="3" t="str">
        <f aca="false">IFERROR(__xludf.dummyfunction("if($T315&lt;&gt;"""",REGEXEXTRACT($T315, J$1&amp;""[\w &amp;]*, (\d+\.\d+)""),"""")
"),"")</f>
        <v/>
      </c>
      <c r="K315" s="3"/>
      <c r="L315" s="3" t="str">
        <f aca="false">IFERROR(__xludf.dummyfunction("if($T315&lt;&gt;"""",REGEXEXTRACT(SUBSTITUTE ($T315,L$1&amp;"" CE"",""""), L$1&amp;""[\w &amp;]*, (\d+\.\d+)""),"""")
"),"")</f>
        <v/>
      </c>
      <c r="M315" s="3" t="str">
        <f aca="false">IFERROR(__xludf.dummyfunction("if($T315&lt;&gt;"""",REGEXEXTRACT($T315, M$1&amp;""[\w &amp;]*, (\d+\.\d+)""),"""")
"),"")</f>
        <v/>
      </c>
      <c r="N315" s="3" t="str">
        <f aca="false">IFERROR(__xludf.dummyfunction("if($T315&lt;&gt;"""",REGEXEXTRACT(SUBSTITUTE ($T315,N$1&amp;"" CE"",""""), N$1&amp;""[\w &amp;]*, (\d+\.\d+)""),"""")
"),"")</f>
        <v/>
      </c>
      <c r="O315" s="3" t="str">
        <f aca="false">IFERROR(__xludf.dummyfunction("if($T315&lt;&gt;"""",REGEXEXTRACT($T315, O$1&amp;""[\w &amp;]*, (\d+\.\d+)""),"""")
"),"")</f>
        <v/>
      </c>
      <c r="P315" s="2"/>
      <c r="Q315" s="2"/>
      <c r="R315" s="2"/>
      <c r="S315" s="2"/>
      <c r="T315" s="5"/>
    </row>
    <row r="316" customFormat="false" ht="15.75" hidden="false" customHeight="false" outlineLevel="0" collapsed="false">
      <c r="A316" s="4"/>
      <c r="B316" s="2"/>
      <c r="C316" s="2"/>
      <c r="D316" s="2"/>
      <c r="E316" s="2"/>
      <c r="F316" s="3" t="str">
        <f aca="false">IFERROR(__xludf.dummyfunction("if($T316&lt;&gt;"""",REGEXEXTRACT(SUBSTITUTE ($T316,F$1&amp;"" CE"",""""), F$1&amp;""[\w &amp;]*, (\d+\.\d+)""),"""")
"),"")</f>
        <v/>
      </c>
      <c r="G316" s="3" t="str">
        <f aca="false">IFERROR(__xludf.dummyfunction("if($T316&lt;&gt;"""",REGEXEXTRACT($T316, G$1&amp;""[\w &amp;]*, (\d+\.\d+)""),"""")
"),"")</f>
        <v/>
      </c>
      <c r="H316" s="3"/>
      <c r="I316" s="3" t="str">
        <f aca="false">IFERROR(__xludf.dummyfunction("if($T316&lt;&gt;"""",REGEXEXTRACT(SUBSTITUTE ($T316,I$1&amp;"" CE"",""""), I$1&amp;""[\w &amp;]*, (\d+\.\d+)""),"""")
"),"")</f>
        <v/>
      </c>
      <c r="J316" s="3" t="str">
        <f aca="false">IFERROR(__xludf.dummyfunction("if($T316&lt;&gt;"""",REGEXEXTRACT($T316, J$1&amp;""[\w &amp;]*, (\d+\.\d+)""),"""")
"),"")</f>
        <v/>
      </c>
      <c r="K316" s="3"/>
      <c r="L316" s="3" t="str">
        <f aca="false">IFERROR(__xludf.dummyfunction("if($T316&lt;&gt;"""",REGEXEXTRACT(SUBSTITUTE ($T316,L$1&amp;"" CE"",""""), L$1&amp;""[\w &amp;]*, (\d+\.\d+)""),"""")
"),"")</f>
        <v/>
      </c>
      <c r="M316" s="3" t="str">
        <f aca="false">IFERROR(__xludf.dummyfunction("if($T316&lt;&gt;"""",REGEXEXTRACT($T316, M$1&amp;""[\w &amp;]*, (\d+\.\d+)""),"""")
"),"")</f>
        <v/>
      </c>
      <c r="N316" s="3" t="str">
        <f aca="false">IFERROR(__xludf.dummyfunction("if($T316&lt;&gt;"""",REGEXEXTRACT(SUBSTITUTE ($T316,N$1&amp;"" CE"",""""), N$1&amp;""[\w &amp;]*, (\d+\.\d+)""),"""")
"),"")</f>
        <v/>
      </c>
      <c r="O316" s="3" t="str">
        <f aca="false">IFERROR(__xludf.dummyfunction("if($T316&lt;&gt;"""",REGEXEXTRACT($T316, O$1&amp;""[\w &amp;]*, (\d+\.\d+)""),"""")
"),"")</f>
        <v/>
      </c>
      <c r="P316" s="2"/>
      <c r="Q316" s="2"/>
      <c r="R316" s="2"/>
      <c r="S316" s="2"/>
      <c r="T316" s="5"/>
    </row>
    <row r="317" customFormat="false" ht="15.75" hidden="false" customHeight="false" outlineLevel="0" collapsed="false">
      <c r="A317" s="4"/>
      <c r="B317" s="2"/>
      <c r="C317" s="2"/>
      <c r="D317" s="2"/>
      <c r="E317" s="2"/>
      <c r="F317" s="3" t="str">
        <f aca="false">IFERROR(__xludf.dummyfunction("if($T317&lt;&gt;"""",REGEXEXTRACT(SUBSTITUTE ($T317,F$1&amp;"" CE"",""""), F$1&amp;""[\w &amp;]*, (\d+\.\d+)""),"""")
"),"")</f>
        <v/>
      </c>
      <c r="G317" s="3" t="str">
        <f aca="false">IFERROR(__xludf.dummyfunction("if($T317&lt;&gt;"""",REGEXEXTRACT($T317, G$1&amp;""[\w &amp;]*, (\d+\.\d+)""),"""")
"),"")</f>
        <v/>
      </c>
      <c r="H317" s="3"/>
      <c r="I317" s="3" t="str">
        <f aca="false">IFERROR(__xludf.dummyfunction("if($T317&lt;&gt;"""",REGEXEXTRACT(SUBSTITUTE ($T317,I$1&amp;"" CE"",""""), I$1&amp;""[\w &amp;]*, (\d+\.\d+)""),"""")
"),"")</f>
        <v/>
      </c>
      <c r="J317" s="3" t="str">
        <f aca="false">IFERROR(__xludf.dummyfunction("if($T317&lt;&gt;"""",REGEXEXTRACT($T317, J$1&amp;""[\w &amp;]*, (\d+\.\d+)""),"""")
"),"")</f>
        <v/>
      </c>
      <c r="K317" s="3"/>
      <c r="L317" s="3" t="str">
        <f aca="false">IFERROR(__xludf.dummyfunction("if($T317&lt;&gt;"""",REGEXEXTRACT(SUBSTITUTE ($T317,L$1&amp;"" CE"",""""), L$1&amp;""[\w &amp;]*, (\d+\.\d+)""),"""")
"),"")</f>
        <v/>
      </c>
      <c r="M317" s="3" t="str">
        <f aca="false">IFERROR(__xludf.dummyfunction("if($T317&lt;&gt;"""",REGEXEXTRACT($T317, M$1&amp;""[\w &amp;]*, (\d+\.\d+)""),"""")
"),"")</f>
        <v/>
      </c>
      <c r="N317" s="3" t="str">
        <f aca="false">IFERROR(__xludf.dummyfunction("if($T317&lt;&gt;"""",REGEXEXTRACT(SUBSTITUTE ($T317,N$1&amp;"" CE"",""""), N$1&amp;""[\w &amp;]*, (\d+\.\d+)""),"""")
"),"")</f>
        <v/>
      </c>
      <c r="O317" s="3" t="str">
        <f aca="false">IFERROR(__xludf.dummyfunction("if($T317&lt;&gt;"""",REGEXEXTRACT($T317, O$1&amp;""[\w &amp;]*, (\d+\.\d+)""),"""")
"),"")</f>
        <v/>
      </c>
      <c r="P317" s="2"/>
      <c r="Q317" s="2"/>
      <c r="R317" s="2"/>
      <c r="S317" s="2"/>
      <c r="T317" s="5"/>
    </row>
    <row r="318" customFormat="false" ht="15.75" hidden="false" customHeight="false" outlineLevel="0" collapsed="false">
      <c r="A318" s="4"/>
      <c r="B318" s="2"/>
      <c r="C318" s="2"/>
      <c r="D318" s="2"/>
      <c r="E318" s="2"/>
      <c r="F318" s="3" t="str">
        <f aca="false">IFERROR(__xludf.dummyfunction("if($T318&lt;&gt;"""",REGEXEXTRACT(SUBSTITUTE ($T318,F$1&amp;"" CE"",""""), F$1&amp;""[\w &amp;]*, (\d+\.\d+)""),"""")
"),"")</f>
        <v/>
      </c>
      <c r="G318" s="3" t="str">
        <f aca="false">IFERROR(__xludf.dummyfunction("if($T318&lt;&gt;"""",REGEXEXTRACT($T318, G$1&amp;""[\w &amp;]*, (\d+\.\d+)""),"""")
"),"")</f>
        <v/>
      </c>
      <c r="H318" s="3"/>
      <c r="I318" s="3" t="str">
        <f aca="false">IFERROR(__xludf.dummyfunction("if($T318&lt;&gt;"""",REGEXEXTRACT(SUBSTITUTE ($T318,I$1&amp;"" CE"",""""), I$1&amp;""[\w &amp;]*, (\d+\.\d+)""),"""")
"),"")</f>
        <v/>
      </c>
      <c r="J318" s="3" t="str">
        <f aca="false">IFERROR(__xludf.dummyfunction("if($T318&lt;&gt;"""",REGEXEXTRACT($T318, J$1&amp;""[\w &amp;]*, (\d+\.\d+)""),"""")
"),"")</f>
        <v/>
      </c>
      <c r="K318" s="3"/>
      <c r="L318" s="3" t="str">
        <f aca="false">IFERROR(__xludf.dummyfunction("if($T318&lt;&gt;"""",REGEXEXTRACT(SUBSTITUTE ($T318,L$1&amp;"" CE"",""""), L$1&amp;""[\w &amp;]*, (\d+\.\d+)""),"""")
"),"")</f>
        <v/>
      </c>
      <c r="M318" s="3" t="str">
        <f aca="false">IFERROR(__xludf.dummyfunction("if($T318&lt;&gt;"""",REGEXEXTRACT($T318, M$1&amp;""[\w &amp;]*, (\d+\.\d+)""),"""")
"),"")</f>
        <v/>
      </c>
      <c r="N318" s="3" t="str">
        <f aca="false">IFERROR(__xludf.dummyfunction("if($T318&lt;&gt;"""",REGEXEXTRACT(SUBSTITUTE ($T318,N$1&amp;"" CE"",""""), N$1&amp;""[\w &amp;]*, (\d+\.\d+)""),"""")
"),"")</f>
        <v/>
      </c>
      <c r="O318" s="3" t="str">
        <f aca="false">IFERROR(__xludf.dummyfunction("if($T318&lt;&gt;"""",REGEXEXTRACT($T318, O$1&amp;""[\w &amp;]*, (\d+\.\d+)""),"""")
"),"")</f>
        <v/>
      </c>
      <c r="P318" s="2"/>
      <c r="Q318" s="2"/>
      <c r="R318" s="2"/>
      <c r="S318" s="2"/>
      <c r="T318" s="5"/>
    </row>
    <row r="319" customFormat="false" ht="15.75" hidden="false" customHeight="false" outlineLevel="0" collapsed="false">
      <c r="A319" s="4"/>
      <c r="B319" s="2"/>
      <c r="C319" s="2"/>
      <c r="D319" s="2"/>
      <c r="E319" s="2"/>
      <c r="F319" s="3" t="str">
        <f aca="false">IFERROR(__xludf.dummyfunction("if($T319&lt;&gt;"""",REGEXEXTRACT(SUBSTITUTE ($T319,F$1&amp;"" CE"",""""), F$1&amp;""[\w &amp;]*, (\d+\.\d+)""),"""")
"),"")</f>
        <v/>
      </c>
      <c r="G319" s="3" t="str">
        <f aca="false">IFERROR(__xludf.dummyfunction("if($T319&lt;&gt;"""",REGEXEXTRACT($T319, G$1&amp;""[\w &amp;]*, (\d+\.\d+)""),"""")
"),"")</f>
        <v/>
      </c>
      <c r="H319" s="3"/>
      <c r="I319" s="3" t="str">
        <f aca="false">IFERROR(__xludf.dummyfunction("if($T319&lt;&gt;"""",REGEXEXTRACT(SUBSTITUTE ($T319,I$1&amp;"" CE"",""""), I$1&amp;""[\w &amp;]*, (\d+\.\d+)""),"""")
"),"")</f>
        <v/>
      </c>
      <c r="J319" s="3" t="str">
        <f aca="false">IFERROR(__xludf.dummyfunction("if($T319&lt;&gt;"""",REGEXEXTRACT($T319, J$1&amp;""[\w &amp;]*, (\d+\.\d+)""),"""")
"),"")</f>
        <v/>
      </c>
      <c r="K319" s="3"/>
      <c r="L319" s="3" t="str">
        <f aca="false">IFERROR(__xludf.dummyfunction("if($T319&lt;&gt;"""",REGEXEXTRACT(SUBSTITUTE ($T319,L$1&amp;"" CE"",""""), L$1&amp;""[\w &amp;]*, (\d+\.\d+)""),"""")
"),"")</f>
        <v/>
      </c>
      <c r="M319" s="3" t="str">
        <f aca="false">IFERROR(__xludf.dummyfunction("if($T319&lt;&gt;"""",REGEXEXTRACT($T319, M$1&amp;""[\w &amp;]*, (\d+\.\d+)""),"""")
"),"")</f>
        <v/>
      </c>
      <c r="N319" s="3" t="str">
        <f aca="false">IFERROR(__xludf.dummyfunction("if($T319&lt;&gt;"""",REGEXEXTRACT(SUBSTITUTE ($T319,N$1&amp;"" CE"",""""), N$1&amp;""[\w &amp;]*, (\d+\.\d+)""),"""")
"),"")</f>
        <v/>
      </c>
      <c r="O319" s="3" t="str">
        <f aca="false">IFERROR(__xludf.dummyfunction("if($T319&lt;&gt;"""",REGEXEXTRACT($T319, O$1&amp;""[\w &amp;]*, (\d+\.\d+)""),"""")
"),"")</f>
        <v/>
      </c>
      <c r="P319" s="2"/>
      <c r="Q319" s="2"/>
      <c r="R319" s="2"/>
      <c r="S319" s="2"/>
      <c r="T319" s="5"/>
    </row>
    <row r="320" customFormat="false" ht="15.75" hidden="false" customHeight="false" outlineLevel="0" collapsed="false">
      <c r="A320" s="4"/>
      <c r="B320" s="2"/>
      <c r="C320" s="2"/>
      <c r="D320" s="2"/>
      <c r="E320" s="2"/>
      <c r="F320" s="3" t="str">
        <f aca="false">IFERROR(__xludf.dummyfunction("if($T320&lt;&gt;"""",REGEXEXTRACT(SUBSTITUTE ($T320,F$1&amp;"" CE"",""""), F$1&amp;""[\w &amp;]*, (\d+\.\d+)""),"""")
"),"")</f>
        <v/>
      </c>
      <c r="G320" s="3" t="str">
        <f aca="false">IFERROR(__xludf.dummyfunction("if($T320&lt;&gt;"""",REGEXEXTRACT($T320, G$1&amp;""[\w &amp;]*, (\d+\.\d+)""),"""")
"),"")</f>
        <v/>
      </c>
      <c r="H320" s="3"/>
      <c r="I320" s="3" t="str">
        <f aca="false">IFERROR(__xludf.dummyfunction("if($T320&lt;&gt;"""",REGEXEXTRACT(SUBSTITUTE ($T320,I$1&amp;"" CE"",""""), I$1&amp;""[\w &amp;]*, (\d+\.\d+)""),"""")
"),"")</f>
        <v/>
      </c>
      <c r="J320" s="3" t="str">
        <f aca="false">IFERROR(__xludf.dummyfunction("if($T320&lt;&gt;"""",REGEXEXTRACT($T320, J$1&amp;""[\w &amp;]*, (\d+\.\d+)""),"""")
"),"")</f>
        <v/>
      </c>
      <c r="K320" s="3"/>
      <c r="L320" s="3" t="str">
        <f aca="false">IFERROR(__xludf.dummyfunction("if($T320&lt;&gt;"""",REGEXEXTRACT(SUBSTITUTE ($T320,L$1&amp;"" CE"",""""), L$1&amp;""[\w &amp;]*, (\d+\.\d+)""),"""")
"),"")</f>
        <v/>
      </c>
      <c r="M320" s="3" t="str">
        <f aca="false">IFERROR(__xludf.dummyfunction("if($T320&lt;&gt;"""",REGEXEXTRACT($T320, M$1&amp;""[\w &amp;]*, (\d+\.\d+)""),"""")
"),"")</f>
        <v/>
      </c>
      <c r="N320" s="3" t="str">
        <f aca="false">IFERROR(__xludf.dummyfunction("if($T320&lt;&gt;"""",REGEXEXTRACT(SUBSTITUTE ($T320,N$1&amp;"" CE"",""""), N$1&amp;""[\w &amp;]*, (\d+\.\d+)""),"""")
"),"")</f>
        <v/>
      </c>
      <c r="O320" s="3" t="str">
        <f aca="false">IFERROR(__xludf.dummyfunction("if($T320&lt;&gt;"""",REGEXEXTRACT($T320, O$1&amp;""[\w &amp;]*, (\d+\.\d+)""),"""")
"),"")</f>
        <v/>
      </c>
      <c r="P320" s="2"/>
      <c r="Q320" s="2"/>
      <c r="R320" s="2"/>
      <c r="S320" s="2"/>
      <c r="T320" s="5"/>
    </row>
    <row r="321" customFormat="false" ht="15.75" hidden="false" customHeight="false" outlineLevel="0" collapsed="false">
      <c r="A321" s="4"/>
      <c r="B321" s="2"/>
      <c r="C321" s="2"/>
      <c r="D321" s="2"/>
      <c r="E321" s="2"/>
      <c r="F321" s="3" t="str">
        <f aca="false">IFERROR(__xludf.dummyfunction("if($T321&lt;&gt;"""",REGEXEXTRACT(SUBSTITUTE ($T321,F$1&amp;"" CE"",""""), F$1&amp;""[\w &amp;]*, (\d+\.\d+)""),"""")
"),"")</f>
        <v/>
      </c>
      <c r="G321" s="3" t="str">
        <f aca="false">IFERROR(__xludf.dummyfunction("if($T321&lt;&gt;"""",REGEXEXTRACT($T321, G$1&amp;""[\w &amp;]*, (\d+\.\d+)""),"""")
"),"")</f>
        <v/>
      </c>
      <c r="H321" s="3"/>
      <c r="I321" s="3" t="str">
        <f aca="false">IFERROR(__xludf.dummyfunction("if($T321&lt;&gt;"""",REGEXEXTRACT(SUBSTITUTE ($T321,I$1&amp;"" CE"",""""), I$1&amp;""[\w &amp;]*, (\d+\.\d+)""),"""")
"),"")</f>
        <v/>
      </c>
      <c r="J321" s="3" t="str">
        <f aca="false">IFERROR(__xludf.dummyfunction("if($T321&lt;&gt;"""",REGEXEXTRACT($T321, J$1&amp;""[\w &amp;]*, (\d+\.\d+)""),"""")
"),"")</f>
        <v/>
      </c>
      <c r="K321" s="3"/>
      <c r="L321" s="3" t="str">
        <f aca="false">IFERROR(__xludf.dummyfunction("if($T321&lt;&gt;"""",REGEXEXTRACT(SUBSTITUTE ($T321,L$1&amp;"" CE"",""""), L$1&amp;""[\w &amp;]*, (\d+\.\d+)""),"""")
"),"")</f>
        <v/>
      </c>
      <c r="M321" s="3" t="str">
        <f aca="false">IFERROR(__xludf.dummyfunction("if($T321&lt;&gt;"""",REGEXEXTRACT($T321, M$1&amp;""[\w &amp;]*, (\d+\.\d+)""),"""")
"),"")</f>
        <v/>
      </c>
      <c r="N321" s="3" t="str">
        <f aca="false">IFERROR(__xludf.dummyfunction("if($T321&lt;&gt;"""",REGEXEXTRACT(SUBSTITUTE ($T321,N$1&amp;"" CE"",""""), N$1&amp;""[\w &amp;]*, (\d+\.\d+)""),"""")
"),"")</f>
        <v/>
      </c>
      <c r="O321" s="3" t="str">
        <f aca="false">IFERROR(__xludf.dummyfunction("if($T321&lt;&gt;"""",REGEXEXTRACT($T321, O$1&amp;""[\w &amp;]*, (\d+\.\d+)""),"""")
"),"")</f>
        <v/>
      </c>
      <c r="P321" s="2"/>
      <c r="Q321" s="2"/>
      <c r="R321" s="2"/>
      <c r="S321" s="2"/>
      <c r="T321" s="5"/>
    </row>
    <row r="322" customFormat="false" ht="15.75" hidden="false" customHeight="false" outlineLevel="0" collapsed="false">
      <c r="A322" s="4"/>
      <c r="B322" s="2"/>
      <c r="C322" s="2"/>
      <c r="D322" s="2"/>
      <c r="E322" s="2"/>
      <c r="F322" s="3" t="str">
        <f aca="false">IFERROR(__xludf.dummyfunction("if($T322&lt;&gt;"""",REGEXEXTRACT(SUBSTITUTE ($T322,F$1&amp;"" CE"",""""), F$1&amp;""[\w &amp;]*, (\d+\.\d+)""),"""")
"),"")</f>
        <v/>
      </c>
      <c r="G322" s="3" t="str">
        <f aca="false">IFERROR(__xludf.dummyfunction("if($T322&lt;&gt;"""",REGEXEXTRACT($T322, G$1&amp;""[\w &amp;]*, (\d+\.\d+)""),"""")
"),"")</f>
        <v/>
      </c>
      <c r="H322" s="3"/>
      <c r="I322" s="3" t="str">
        <f aca="false">IFERROR(__xludf.dummyfunction("if($T322&lt;&gt;"""",REGEXEXTRACT(SUBSTITUTE ($T322,I$1&amp;"" CE"",""""), I$1&amp;""[\w &amp;]*, (\d+\.\d+)""),"""")
"),"")</f>
        <v/>
      </c>
      <c r="J322" s="3" t="str">
        <f aca="false">IFERROR(__xludf.dummyfunction("if($T322&lt;&gt;"""",REGEXEXTRACT($T322, J$1&amp;""[\w &amp;]*, (\d+\.\d+)""),"""")
"),"")</f>
        <v/>
      </c>
      <c r="K322" s="3"/>
      <c r="L322" s="3" t="str">
        <f aca="false">IFERROR(__xludf.dummyfunction("if($T322&lt;&gt;"""",REGEXEXTRACT(SUBSTITUTE ($T322,L$1&amp;"" CE"",""""), L$1&amp;""[\w &amp;]*, (\d+\.\d+)""),"""")
"),"")</f>
        <v/>
      </c>
      <c r="M322" s="3" t="str">
        <f aca="false">IFERROR(__xludf.dummyfunction("if($T322&lt;&gt;"""",REGEXEXTRACT($T322, M$1&amp;""[\w &amp;]*, (\d+\.\d+)""),"""")
"),"")</f>
        <v/>
      </c>
      <c r="N322" s="3" t="str">
        <f aca="false">IFERROR(__xludf.dummyfunction("if($T322&lt;&gt;"""",REGEXEXTRACT(SUBSTITUTE ($T322,N$1&amp;"" CE"",""""), N$1&amp;""[\w &amp;]*, (\d+\.\d+)""),"""")
"),"")</f>
        <v/>
      </c>
      <c r="O322" s="3" t="str">
        <f aca="false">IFERROR(__xludf.dummyfunction("if($T322&lt;&gt;"""",REGEXEXTRACT($T322, O$1&amp;""[\w &amp;]*, (\d+\.\d+)""),"""")
"),"")</f>
        <v/>
      </c>
      <c r="P322" s="2"/>
      <c r="Q322" s="2"/>
      <c r="R322" s="2"/>
      <c r="S322" s="2"/>
      <c r="T322" s="5"/>
    </row>
    <row r="323" customFormat="false" ht="15.75" hidden="false" customHeight="false" outlineLevel="0" collapsed="false">
      <c r="A323" s="4"/>
      <c r="B323" s="2"/>
      <c r="C323" s="2"/>
      <c r="D323" s="2"/>
      <c r="E323" s="2"/>
      <c r="F323" s="3" t="str">
        <f aca="false">IFERROR(__xludf.dummyfunction("if($T323&lt;&gt;"""",REGEXEXTRACT(SUBSTITUTE ($T323,F$1&amp;"" CE"",""""), F$1&amp;""[\w &amp;]*, (\d+\.\d+)""),"""")
"),"")</f>
        <v/>
      </c>
      <c r="G323" s="3" t="str">
        <f aca="false">IFERROR(__xludf.dummyfunction("if($T323&lt;&gt;"""",REGEXEXTRACT($T323, G$1&amp;""[\w &amp;]*, (\d+\.\d+)""),"""")
"),"")</f>
        <v/>
      </c>
      <c r="H323" s="3"/>
      <c r="I323" s="3" t="str">
        <f aca="false">IFERROR(__xludf.dummyfunction("if($T323&lt;&gt;"""",REGEXEXTRACT(SUBSTITUTE ($T323,I$1&amp;"" CE"",""""), I$1&amp;""[\w &amp;]*, (\d+\.\d+)""),"""")
"),"")</f>
        <v/>
      </c>
      <c r="J323" s="3" t="str">
        <f aca="false">IFERROR(__xludf.dummyfunction("if($T323&lt;&gt;"""",REGEXEXTRACT($T323, J$1&amp;""[\w &amp;]*, (\d+\.\d+)""),"""")
"),"")</f>
        <v/>
      </c>
      <c r="K323" s="3"/>
      <c r="L323" s="3" t="str">
        <f aca="false">IFERROR(__xludf.dummyfunction("if($T323&lt;&gt;"""",REGEXEXTRACT(SUBSTITUTE ($T323,L$1&amp;"" CE"",""""), L$1&amp;""[\w &amp;]*, (\d+\.\d+)""),"""")
"),"")</f>
        <v/>
      </c>
      <c r="M323" s="3" t="str">
        <f aca="false">IFERROR(__xludf.dummyfunction("if($T323&lt;&gt;"""",REGEXEXTRACT($T323, M$1&amp;""[\w &amp;]*, (\d+\.\d+)""),"""")
"),"")</f>
        <v/>
      </c>
      <c r="N323" s="3" t="str">
        <f aca="false">IFERROR(__xludf.dummyfunction("if($T323&lt;&gt;"""",REGEXEXTRACT(SUBSTITUTE ($T323,N$1&amp;"" CE"",""""), N$1&amp;""[\w &amp;]*, (\d+\.\d+)""),"""")
"),"")</f>
        <v/>
      </c>
      <c r="O323" s="3" t="str">
        <f aca="false">IFERROR(__xludf.dummyfunction("if($T323&lt;&gt;"""",REGEXEXTRACT($T323, O$1&amp;""[\w &amp;]*, (\d+\.\d+)""),"""")
"),"")</f>
        <v/>
      </c>
      <c r="P323" s="2"/>
      <c r="Q323" s="2"/>
      <c r="R323" s="2"/>
      <c r="S323" s="2"/>
      <c r="T323" s="5"/>
    </row>
    <row r="324" customFormat="false" ht="15.75" hidden="false" customHeight="false" outlineLevel="0" collapsed="false">
      <c r="A324" s="4"/>
      <c r="B324" s="2"/>
      <c r="C324" s="2"/>
      <c r="D324" s="2"/>
      <c r="E324" s="2"/>
      <c r="F324" s="3" t="str">
        <f aca="false">IFERROR(__xludf.dummyfunction("if($T324&lt;&gt;"""",REGEXEXTRACT(SUBSTITUTE ($T324,F$1&amp;"" CE"",""""), F$1&amp;""[\w &amp;]*, (\d+\.\d+)""),"""")
"),"")</f>
        <v/>
      </c>
      <c r="G324" s="3" t="str">
        <f aca="false">IFERROR(__xludf.dummyfunction("if($T324&lt;&gt;"""",REGEXEXTRACT($T324, G$1&amp;""[\w &amp;]*, (\d+\.\d+)""),"""")
"),"")</f>
        <v/>
      </c>
      <c r="H324" s="3"/>
      <c r="I324" s="3" t="str">
        <f aca="false">IFERROR(__xludf.dummyfunction("if($T324&lt;&gt;"""",REGEXEXTRACT(SUBSTITUTE ($T324,I$1&amp;"" CE"",""""), I$1&amp;""[\w &amp;]*, (\d+\.\d+)""),"""")
"),"")</f>
        <v/>
      </c>
      <c r="J324" s="3" t="str">
        <f aca="false">IFERROR(__xludf.dummyfunction("if($T324&lt;&gt;"""",REGEXEXTRACT($T324, J$1&amp;""[\w &amp;]*, (\d+\.\d+)""),"""")
"),"")</f>
        <v/>
      </c>
      <c r="K324" s="3"/>
      <c r="L324" s="3" t="str">
        <f aca="false">IFERROR(__xludf.dummyfunction("if($T324&lt;&gt;"""",REGEXEXTRACT(SUBSTITUTE ($T324,L$1&amp;"" CE"",""""), L$1&amp;""[\w &amp;]*, (\d+\.\d+)""),"""")
"),"")</f>
        <v/>
      </c>
      <c r="M324" s="3" t="str">
        <f aca="false">IFERROR(__xludf.dummyfunction("if($T324&lt;&gt;"""",REGEXEXTRACT($T324, M$1&amp;""[\w &amp;]*, (\d+\.\d+)""),"""")
"),"")</f>
        <v/>
      </c>
      <c r="N324" s="3" t="str">
        <f aca="false">IFERROR(__xludf.dummyfunction("if($T324&lt;&gt;"""",REGEXEXTRACT(SUBSTITUTE ($T324,N$1&amp;"" CE"",""""), N$1&amp;""[\w &amp;]*, (\d+\.\d+)""),"""")
"),"")</f>
        <v/>
      </c>
      <c r="O324" s="3" t="str">
        <f aca="false">IFERROR(__xludf.dummyfunction("if($T324&lt;&gt;"""",REGEXEXTRACT($T324, O$1&amp;""[\w &amp;]*, (\d+\.\d+)""),"""")
"),"")</f>
        <v/>
      </c>
      <c r="P324" s="2"/>
      <c r="Q324" s="2"/>
      <c r="R324" s="2"/>
      <c r="S324" s="2"/>
      <c r="T324" s="5"/>
    </row>
    <row r="325" customFormat="false" ht="15.75" hidden="false" customHeight="false" outlineLevel="0" collapsed="false">
      <c r="A325" s="4"/>
      <c r="B325" s="2"/>
      <c r="C325" s="2"/>
      <c r="D325" s="2"/>
      <c r="E325" s="2"/>
      <c r="F325" s="3" t="str">
        <f aca="false">IFERROR(__xludf.dummyfunction("if($T325&lt;&gt;"""",REGEXEXTRACT(SUBSTITUTE ($T325,F$1&amp;"" CE"",""""), F$1&amp;""[\w &amp;]*, (\d+\.\d+)""),"""")
"),"")</f>
        <v/>
      </c>
      <c r="G325" s="3" t="str">
        <f aca="false">IFERROR(__xludf.dummyfunction("if($T325&lt;&gt;"""",REGEXEXTRACT($T325, G$1&amp;""[\w &amp;]*, (\d+\.\d+)""),"""")
"),"")</f>
        <v/>
      </c>
      <c r="H325" s="3"/>
      <c r="I325" s="3" t="str">
        <f aca="false">IFERROR(__xludf.dummyfunction("if($T325&lt;&gt;"""",REGEXEXTRACT(SUBSTITUTE ($T325,I$1&amp;"" CE"",""""), I$1&amp;""[\w &amp;]*, (\d+\.\d+)""),"""")
"),"")</f>
        <v/>
      </c>
      <c r="J325" s="3" t="str">
        <f aca="false">IFERROR(__xludf.dummyfunction("if($T325&lt;&gt;"""",REGEXEXTRACT($T325, J$1&amp;""[\w &amp;]*, (\d+\.\d+)""),"""")
"),"")</f>
        <v/>
      </c>
      <c r="K325" s="3"/>
      <c r="L325" s="3" t="str">
        <f aca="false">IFERROR(__xludf.dummyfunction("if($T325&lt;&gt;"""",REGEXEXTRACT(SUBSTITUTE ($T325,L$1&amp;"" CE"",""""), L$1&amp;""[\w &amp;]*, (\d+\.\d+)""),"""")
"),"")</f>
        <v/>
      </c>
      <c r="M325" s="3" t="str">
        <f aca="false">IFERROR(__xludf.dummyfunction("if($T325&lt;&gt;"""",REGEXEXTRACT($T325, M$1&amp;""[\w &amp;]*, (\d+\.\d+)""),"""")
"),"")</f>
        <v/>
      </c>
      <c r="N325" s="3" t="str">
        <f aca="false">IFERROR(__xludf.dummyfunction("if($T325&lt;&gt;"""",REGEXEXTRACT(SUBSTITUTE ($T325,N$1&amp;"" CE"",""""), N$1&amp;""[\w &amp;]*, (\d+\.\d+)""),"""")
"),"")</f>
        <v/>
      </c>
      <c r="O325" s="3" t="str">
        <f aca="false">IFERROR(__xludf.dummyfunction("if($T325&lt;&gt;"""",REGEXEXTRACT($T325, O$1&amp;""[\w &amp;]*, (\d+\.\d+)""),"""")
"),"")</f>
        <v/>
      </c>
      <c r="P325" s="2"/>
      <c r="Q325" s="2"/>
      <c r="R325" s="2"/>
      <c r="S325" s="2"/>
      <c r="T325" s="5"/>
    </row>
    <row r="326" customFormat="false" ht="15.75" hidden="false" customHeight="false" outlineLevel="0" collapsed="false">
      <c r="A326" s="4"/>
      <c r="B326" s="2"/>
      <c r="C326" s="2"/>
      <c r="D326" s="2"/>
      <c r="E326" s="2"/>
      <c r="F326" s="3" t="str">
        <f aca="false">IFERROR(__xludf.dummyfunction("if($T326&lt;&gt;"""",REGEXEXTRACT(SUBSTITUTE ($T326,F$1&amp;"" CE"",""""), F$1&amp;""[\w &amp;]*, (\d+\.\d+)""),"""")
"),"")</f>
        <v/>
      </c>
      <c r="G326" s="3" t="str">
        <f aca="false">IFERROR(__xludf.dummyfunction("if($T326&lt;&gt;"""",REGEXEXTRACT($T326, G$1&amp;""[\w &amp;]*, (\d+\.\d+)""),"""")
"),"")</f>
        <v/>
      </c>
      <c r="H326" s="3"/>
      <c r="I326" s="3" t="str">
        <f aca="false">IFERROR(__xludf.dummyfunction("if($T326&lt;&gt;"""",REGEXEXTRACT(SUBSTITUTE ($T326,I$1&amp;"" CE"",""""), I$1&amp;""[\w &amp;]*, (\d+\.\d+)""),"""")
"),"")</f>
        <v/>
      </c>
      <c r="J326" s="3" t="str">
        <f aca="false">IFERROR(__xludf.dummyfunction("if($T326&lt;&gt;"""",REGEXEXTRACT($T326, J$1&amp;""[\w &amp;]*, (\d+\.\d+)""),"""")
"),"")</f>
        <v/>
      </c>
      <c r="K326" s="3"/>
      <c r="L326" s="3" t="str">
        <f aca="false">IFERROR(__xludf.dummyfunction("if($T326&lt;&gt;"""",REGEXEXTRACT(SUBSTITUTE ($T326,L$1&amp;"" CE"",""""), L$1&amp;""[\w &amp;]*, (\d+\.\d+)""),"""")
"),"")</f>
        <v/>
      </c>
      <c r="M326" s="3" t="str">
        <f aca="false">IFERROR(__xludf.dummyfunction("if($T326&lt;&gt;"""",REGEXEXTRACT($T326, M$1&amp;""[\w &amp;]*, (\d+\.\d+)""),"""")
"),"")</f>
        <v/>
      </c>
      <c r="N326" s="3" t="str">
        <f aca="false">IFERROR(__xludf.dummyfunction("if($T326&lt;&gt;"""",REGEXEXTRACT(SUBSTITUTE ($T326,N$1&amp;"" CE"",""""), N$1&amp;""[\w &amp;]*, (\d+\.\d+)""),"""")
"),"")</f>
        <v/>
      </c>
      <c r="O326" s="3" t="str">
        <f aca="false">IFERROR(__xludf.dummyfunction("if($T326&lt;&gt;"""",REGEXEXTRACT($T326, O$1&amp;""[\w &amp;]*, (\d+\.\d+)""),"""")
"),"")</f>
        <v/>
      </c>
      <c r="P326" s="2"/>
      <c r="Q326" s="2"/>
      <c r="R326" s="2"/>
      <c r="S326" s="2"/>
      <c r="T326" s="5"/>
    </row>
    <row r="327" customFormat="false" ht="15.75" hidden="false" customHeight="false" outlineLevel="0" collapsed="false">
      <c r="A327" s="4"/>
      <c r="B327" s="2"/>
      <c r="C327" s="2"/>
      <c r="D327" s="2"/>
      <c r="E327" s="2"/>
      <c r="F327" s="3" t="str">
        <f aca="false">IFERROR(__xludf.dummyfunction("if($T327&lt;&gt;"""",REGEXEXTRACT(SUBSTITUTE ($T327,F$1&amp;"" CE"",""""), F$1&amp;""[\w &amp;]*, (\d+\.\d+)""),"""")
"),"")</f>
        <v/>
      </c>
      <c r="G327" s="3" t="str">
        <f aca="false">IFERROR(__xludf.dummyfunction("if($T327&lt;&gt;"""",REGEXEXTRACT($T327, G$1&amp;""[\w &amp;]*, (\d+\.\d+)""),"""")
"),"")</f>
        <v/>
      </c>
      <c r="H327" s="3"/>
      <c r="I327" s="3" t="str">
        <f aca="false">IFERROR(__xludf.dummyfunction("if($T327&lt;&gt;"""",REGEXEXTRACT(SUBSTITUTE ($T327,I$1&amp;"" CE"",""""), I$1&amp;""[\w &amp;]*, (\d+\.\d+)""),"""")
"),"")</f>
        <v/>
      </c>
      <c r="J327" s="3" t="str">
        <f aca="false">IFERROR(__xludf.dummyfunction("if($T327&lt;&gt;"""",REGEXEXTRACT($T327, J$1&amp;""[\w &amp;]*, (\d+\.\d+)""),"""")
"),"")</f>
        <v/>
      </c>
      <c r="K327" s="3"/>
      <c r="L327" s="3" t="str">
        <f aca="false">IFERROR(__xludf.dummyfunction("if($T327&lt;&gt;"""",REGEXEXTRACT(SUBSTITUTE ($T327,L$1&amp;"" CE"",""""), L$1&amp;""[\w &amp;]*, (\d+\.\d+)""),"""")
"),"")</f>
        <v/>
      </c>
      <c r="M327" s="3" t="str">
        <f aca="false">IFERROR(__xludf.dummyfunction("if($T327&lt;&gt;"""",REGEXEXTRACT($T327, M$1&amp;""[\w &amp;]*, (\d+\.\d+)""),"""")
"),"")</f>
        <v/>
      </c>
      <c r="N327" s="3" t="str">
        <f aca="false">IFERROR(__xludf.dummyfunction("if($T327&lt;&gt;"""",REGEXEXTRACT(SUBSTITUTE ($T327,N$1&amp;"" CE"",""""), N$1&amp;""[\w &amp;]*, (\d+\.\d+)""),"""")
"),"")</f>
        <v/>
      </c>
      <c r="O327" s="3" t="str">
        <f aca="false">IFERROR(__xludf.dummyfunction("if($T327&lt;&gt;"""",REGEXEXTRACT($T327, O$1&amp;""[\w &amp;]*, (\d+\.\d+)""),"""")
"),"")</f>
        <v/>
      </c>
      <c r="P327" s="2"/>
      <c r="Q327" s="2"/>
      <c r="R327" s="2"/>
      <c r="S327" s="2"/>
      <c r="T327" s="5"/>
    </row>
    <row r="328" customFormat="false" ht="15.75" hidden="false" customHeight="false" outlineLevel="0" collapsed="false">
      <c r="A328" s="4"/>
      <c r="B328" s="2"/>
      <c r="C328" s="2"/>
      <c r="D328" s="2"/>
      <c r="E328" s="2"/>
      <c r="F328" s="3" t="str">
        <f aca="false">IFERROR(__xludf.dummyfunction("if($T328&lt;&gt;"""",REGEXEXTRACT(SUBSTITUTE ($T328,F$1&amp;"" CE"",""""), F$1&amp;""[\w &amp;]*, (\d+\.\d+)""),"""")
"),"")</f>
        <v/>
      </c>
      <c r="G328" s="3" t="str">
        <f aca="false">IFERROR(__xludf.dummyfunction("if($T328&lt;&gt;"""",REGEXEXTRACT($T328, G$1&amp;""[\w &amp;]*, (\d+\.\d+)""),"""")
"),"")</f>
        <v/>
      </c>
      <c r="H328" s="3"/>
      <c r="I328" s="3" t="str">
        <f aca="false">IFERROR(__xludf.dummyfunction("if($T328&lt;&gt;"""",REGEXEXTRACT(SUBSTITUTE ($T328,I$1&amp;"" CE"",""""), I$1&amp;""[\w &amp;]*, (\d+\.\d+)""),"""")
"),"")</f>
        <v/>
      </c>
      <c r="J328" s="3" t="str">
        <f aca="false">IFERROR(__xludf.dummyfunction("if($T328&lt;&gt;"""",REGEXEXTRACT($T328, J$1&amp;""[\w &amp;]*, (\d+\.\d+)""),"""")
"),"")</f>
        <v/>
      </c>
      <c r="K328" s="3"/>
      <c r="L328" s="3" t="str">
        <f aca="false">IFERROR(__xludf.dummyfunction("if($T328&lt;&gt;"""",REGEXEXTRACT(SUBSTITUTE ($T328,L$1&amp;"" CE"",""""), L$1&amp;""[\w &amp;]*, (\d+\.\d+)""),"""")
"),"")</f>
        <v/>
      </c>
      <c r="M328" s="3" t="str">
        <f aca="false">IFERROR(__xludf.dummyfunction("if($T328&lt;&gt;"""",REGEXEXTRACT($T328, M$1&amp;""[\w &amp;]*, (\d+\.\d+)""),"""")
"),"")</f>
        <v/>
      </c>
      <c r="N328" s="3" t="str">
        <f aca="false">IFERROR(__xludf.dummyfunction("if($T328&lt;&gt;"""",REGEXEXTRACT(SUBSTITUTE ($T328,N$1&amp;"" CE"",""""), N$1&amp;""[\w &amp;]*, (\d+\.\d+)""),"""")
"),"")</f>
        <v/>
      </c>
      <c r="O328" s="3" t="str">
        <f aca="false">IFERROR(__xludf.dummyfunction("if($T328&lt;&gt;"""",REGEXEXTRACT($T328, O$1&amp;""[\w &amp;]*, (\d+\.\d+)""),"""")
"),"")</f>
        <v/>
      </c>
      <c r="P328" s="2"/>
      <c r="Q328" s="2"/>
      <c r="R328" s="2"/>
      <c r="S328" s="2"/>
      <c r="T328" s="5"/>
    </row>
    <row r="329" customFormat="false" ht="15.75" hidden="false" customHeight="false" outlineLevel="0" collapsed="false">
      <c r="A329" s="4"/>
      <c r="B329" s="2"/>
      <c r="C329" s="2"/>
      <c r="D329" s="2"/>
      <c r="E329" s="2"/>
      <c r="F329" s="3" t="str">
        <f aca="false">IFERROR(__xludf.dummyfunction("if($T329&lt;&gt;"""",REGEXEXTRACT(SUBSTITUTE ($T329,F$1&amp;"" CE"",""""), F$1&amp;""[\w &amp;]*, (\d+\.\d+)""),"""")
"),"")</f>
        <v/>
      </c>
      <c r="G329" s="3" t="str">
        <f aca="false">IFERROR(__xludf.dummyfunction("if($T329&lt;&gt;"""",REGEXEXTRACT($T329, G$1&amp;""[\w &amp;]*, (\d+\.\d+)""),"""")
"),"")</f>
        <v/>
      </c>
      <c r="H329" s="3"/>
      <c r="I329" s="3" t="str">
        <f aca="false">IFERROR(__xludf.dummyfunction("if($T329&lt;&gt;"""",REGEXEXTRACT(SUBSTITUTE ($T329,I$1&amp;"" CE"",""""), I$1&amp;""[\w &amp;]*, (\d+\.\d+)""),"""")
"),"")</f>
        <v/>
      </c>
      <c r="J329" s="3" t="str">
        <f aca="false">IFERROR(__xludf.dummyfunction("if($T329&lt;&gt;"""",REGEXEXTRACT($T329, J$1&amp;""[\w &amp;]*, (\d+\.\d+)""),"""")
"),"")</f>
        <v/>
      </c>
      <c r="K329" s="3"/>
      <c r="L329" s="3" t="str">
        <f aca="false">IFERROR(__xludf.dummyfunction("if($T329&lt;&gt;"""",REGEXEXTRACT(SUBSTITUTE ($T329,L$1&amp;"" CE"",""""), L$1&amp;""[\w &amp;]*, (\d+\.\d+)""),"""")
"),"")</f>
        <v/>
      </c>
      <c r="M329" s="3" t="str">
        <f aca="false">IFERROR(__xludf.dummyfunction("if($T329&lt;&gt;"""",REGEXEXTRACT($T329, M$1&amp;""[\w &amp;]*, (\d+\.\d+)""),"""")
"),"")</f>
        <v/>
      </c>
      <c r="N329" s="3" t="str">
        <f aca="false">IFERROR(__xludf.dummyfunction("if($T329&lt;&gt;"""",REGEXEXTRACT(SUBSTITUTE ($T329,N$1&amp;"" CE"",""""), N$1&amp;""[\w &amp;]*, (\d+\.\d+)""),"""")
"),"")</f>
        <v/>
      </c>
      <c r="O329" s="3" t="str">
        <f aca="false">IFERROR(__xludf.dummyfunction("if($T329&lt;&gt;"""",REGEXEXTRACT($T329, O$1&amp;""[\w &amp;]*, (\d+\.\d+)""),"""")
"),"")</f>
        <v/>
      </c>
      <c r="P329" s="2"/>
      <c r="Q329" s="2"/>
      <c r="R329" s="2"/>
      <c r="S329" s="2"/>
      <c r="T329" s="5"/>
    </row>
    <row r="330" customFormat="false" ht="15.75" hidden="false" customHeight="false" outlineLevel="0" collapsed="false">
      <c r="A330" s="4"/>
      <c r="B330" s="2"/>
      <c r="C330" s="2"/>
      <c r="D330" s="2"/>
      <c r="E330" s="2"/>
      <c r="F330" s="3" t="str">
        <f aca="false">IFERROR(__xludf.dummyfunction("if($T330&lt;&gt;"""",REGEXEXTRACT(SUBSTITUTE ($T330,F$1&amp;"" CE"",""""), F$1&amp;""[\w &amp;]*, (\d+\.\d+)""),"""")
"),"")</f>
        <v/>
      </c>
      <c r="G330" s="3" t="str">
        <f aca="false">IFERROR(__xludf.dummyfunction("if($T330&lt;&gt;"""",REGEXEXTRACT($T330, G$1&amp;""[\w &amp;]*, (\d+\.\d+)""),"""")
"),"")</f>
        <v/>
      </c>
      <c r="H330" s="3"/>
      <c r="I330" s="3" t="str">
        <f aca="false">IFERROR(__xludf.dummyfunction("if($T330&lt;&gt;"""",REGEXEXTRACT(SUBSTITUTE ($T330,I$1&amp;"" CE"",""""), I$1&amp;""[\w &amp;]*, (\d+\.\d+)""),"""")
"),"")</f>
        <v/>
      </c>
      <c r="J330" s="3" t="str">
        <f aca="false">IFERROR(__xludf.dummyfunction("if($T330&lt;&gt;"""",REGEXEXTRACT($T330, J$1&amp;""[\w &amp;]*, (\d+\.\d+)""),"""")
"),"")</f>
        <v/>
      </c>
      <c r="K330" s="3"/>
      <c r="L330" s="3" t="str">
        <f aca="false">IFERROR(__xludf.dummyfunction("if($T330&lt;&gt;"""",REGEXEXTRACT(SUBSTITUTE ($T330,L$1&amp;"" CE"",""""), L$1&amp;""[\w &amp;]*, (\d+\.\d+)""),"""")
"),"")</f>
        <v/>
      </c>
      <c r="M330" s="3" t="str">
        <f aca="false">IFERROR(__xludf.dummyfunction("if($T330&lt;&gt;"""",REGEXEXTRACT($T330, M$1&amp;""[\w &amp;]*, (\d+\.\d+)""),"""")
"),"")</f>
        <v/>
      </c>
      <c r="N330" s="3" t="str">
        <f aca="false">IFERROR(__xludf.dummyfunction("if($T330&lt;&gt;"""",REGEXEXTRACT(SUBSTITUTE ($T330,N$1&amp;"" CE"",""""), N$1&amp;""[\w &amp;]*, (\d+\.\d+)""),"""")
"),"")</f>
        <v/>
      </c>
      <c r="O330" s="3" t="str">
        <f aca="false">IFERROR(__xludf.dummyfunction("if($T330&lt;&gt;"""",REGEXEXTRACT($T330, O$1&amp;""[\w &amp;]*, (\d+\.\d+)""),"""")
"),"")</f>
        <v/>
      </c>
      <c r="P330" s="2"/>
      <c r="Q330" s="2"/>
      <c r="R330" s="2"/>
      <c r="S330" s="2"/>
      <c r="T330" s="5"/>
    </row>
    <row r="331" customFormat="false" ht="15.75" hidden="false" customHeight="false" outlineLevel="0" collapsed="false">
      <c r="A331" s="4"/>
      <c r="B331" s="2"/>
      <c r="C331" s="2"/>
      <c r="D331" s="2"/>
      <c r="E331" s="2"/>
      <c r="F331" s="3" t="str">
        <f aca="false">IFERROR(__xludf.dummyfunction("if($T331&lt;&gt;"""",REGEXEXTRACT(SUBSTITUTE ($T331,F$1&amp;"" CE"",""""), F$1&amp;""[\w &amp;]*, (\d+\.\d+)""),"""")
"),"")</f>
        <v/>
      </c>
      <c r="G331" s="3" t="str">
        <f aca="false">IFERROR(__xludf.dummyfunction("if($T331&lt;&gt;"""",REGEXEXTRACT($T331, G$1&amp;""[\w &amp;]*, (\d+\.\d+)""),"""")
"),"")</f>
        <v/>
      </c>
      <c r="H331" s="3"/>
      <c r="I331" s="3" t="str">
        <f aca="false">IFERROR(__xludf.dummyfunction("if($T331&lt;&gt;"""",REGEXEXTRACT(SUBSTITUTE ($T331,I$1&amp;"" CE"",""""), I$1&amp;""[\w &amp;]*, (\d+\.\d+)""),"""")
"),"")</f>
        <v/>
      </c>
      <c r="J331" s="3" t="str">
        <f aca="false">IFERROR(__xludf.dummyfunction("if($T331&lt;&gt;"""",REGEXEXTRACT($T331, J$1&amp;""[\w &amp;]*, (\d+\.\d+)""),"""")
"),"")</f>
        <v/>
      </c>
      <c r="K331" s="3"/>
      <c r="L331" s="3" t="str">
        <f aca="false">IFERROR(__xludf.dummyfunction("if($T331&lt;&gt;"""",REGEXEXTRACT(SUBSTITUTE ($T331,L$1&amp;"" CE"",""""), L$1&amp;""[\w &amp;]*, (\d+\.\d+)""),"""")
"),"")</f>
        <v/>
      </c>
      <c r="M331" s="3" t="str">
        <f aca="false">IFERROR(__xludf.dummyfunction("if($T331&lt;&gt;"""",REGEXEXTRACT($T331, M$1&amp;""[\w &amp;]*, (\d+\.\d+)""),"""")
"),"")</f>
        <v/>
      </c>
      <c r="N331" s="3" t="str">
        <f aca="false">IFERROR(__xludf.dummyfunction("if($T331&lt;&gt;"""",REGEXEXTRACT(SUBSTITUTE ($T331,N$1&amp;"" CE"",""""), N$1&amp;""[\w &amp;]*, (\d+\.\d+)""),"""")
"),"")</f>
        <v/>
      </c>
      <c r="O331" s="3" t="str">
        <f aca="false">IFERROR(__xludf.dummyfunction("if($T331&lt;&gt;"""",REGEXEXTRACT($T331, O$1&amp;""[\w &amp;]*, (\d+\.\d+)""),"""")
"),"")</f>
        <v/>
      </c>
      <c r="P331" s="2"/>
      <c r="Q331" s="2"/>
      <c r="R331" s="2"/>
      <c r="S331" s="2"/>
      <c r="T331" s="5"/>
    </row>
    <row r="332" customFormat="false" ht="15.75" hidden="false" customHeight="false" outlineLevel="0" collapsed="false">
      <c r="A332" s="4"/>
      <c r="B332" s="2"/>
      <c r="C332" s="2"/>
      <c r="D332" s="2"/>
      <c r="E332" s="2"/>
      <c r="F332" s="3" t="str">
        <f aca="false">IFERROR(__xludf.dummyfunction("if($T332&lt;&gt;"""",REGEXEXTRACT(SUBSTITUTE ($T332,F$1&amp;"" CE"",""""), F$1&amp;""[\w &amp;]*, (\d+\.\d+)""),"""")
"),"")</f>
        <v/>
      </c>
      <c r="G332" s="3" t="str">
        <f aca="false">IFERROR(__xludf.dummyfunction("if($T332&lt;&gt;"""",REGEXEXTRACT($T332, G$1&amp;""[\w &amp;]*, (\d+\.\d+)""),"""")
"),"")</f>
        <v/>
      </c>
      <c r="H332" s="3"/>
      <c r="I332" s="3" t="str">
        <f aca="false">IFERROR(__xludf.dummyfunction("if($T332&lt;&gt;"""",REGEXEXTRACT(SUBSTITUTE ($T332,I$1&amp;"" CE"",""""), I$1&amp;""[\w &amp;]*, (\d+\.\d+)""),"""")
"),"")</f>
        <v/>
      </c>
      <c r="J332" s="3" t="str">
        <f aca="false">IFERROR(__xludf.dummyfunction("if($T332&lt;&gt;"""",REGEXEXTRACT($T332, J$1&amp;""[\w &amp;]*, (\d+\.\d+)""),"""")
"),"")</f>
        <v/>
      </c>
      <c r="K332" s="3"/>
      <c r="L332" s="3" t="str">
        <f aca="false">IFERROR(__xludf.dummyfunction("if($T332&lt;&gt;"""",REGEXEXTRACT(SUBSTITUTE ($T332,L$1&amp;"" CE"",""""), L$1&amp;""[\w &amp;]*, (\d+\.\d+)""),"""")
"),"")</f>
        <v/>
      </c>
      <c r="M332" s="3" t="str">
        <f aca="false">IFERROR(__xludf.dummyfunction("if($T332&lt;&gt;"""",REGEXEXTRACT($T332, M$1&amp;""[\w &amp;]*, (\d+\.\d+)""),"""")
"),"")</f>
        <v/>
      </c>
      <c r="N332" s="3" t="str">
        <f aca="false">IFERROR(__xludf.dummyfunction("if($T332&lt;&gt;"""",REGEXEXTRACT(SUBSTITUTE ($T332,N$1&amp;"" CE"",""""), N$1&amp;""[\w &amp;]*, (\d+\.\d+)""),"""")
"),"")</f>
        <v/>
      </c>
      <c r="O332" s="3" t="str">
        <f aca="false">IFERROR(__xludf.dummyfunction("if($T332&lt;&gt;"""",REGEXEXTRACT($T332, O$1&amp;""[\w &amp;]*, (\d+\.\d+)""),"""")
"),"")</f>
        <v/>
      </c>
      <c r="P332" s="2"/>
      <c r="Q332" s="2"/>
      <c r="R332" s="2"/>
      <c r="S332" s="2"/>
      <c r="T332" s="5"/>
    </row>
    <row r="333" customFormat="false" ht="15.75" hidden="false" customHeight="false" outlineLevel="0" collapsed="false">
      <c r="A333" s="4"/>
      <c r="B333" s="2"/>
      <c r="C333" s="2"/>
      <c r="D333" s="2"/>
      <c r="E333" s="2"/>
      <c r="F333" s="3" t="str">
        <f aca="false">IFERROR(__xludf.dummyfunction("if($T333&lt;&gt;"""",REGEXEXTRACT(SUBSTITUTE ($T333,F$1&amp;"" CE"",""""), F$1&amp;""[\w &amp;]*, (\d+\.\d+)""),"""")
"),"")</f>
        <v/>
      </c>
      <c r="G333" s="3" t="str">
        <f aca="false">IFERROR(__xludf.dummyfunction("if($T333&lt;&gt;"""",REGEXEXTRACT($T333, G$1&amp;""[\w &amp;]*, (\d+\.\d+)""),"""")
"),"")</f>
        <v/>
      </c>
      <c r="H333" s="3"/>
      <c r="I333" s="3" t="str">
        <f aca="false">IFERROR(__xludf.dummyfunction("if($T333&lt;&gt;"""",REGEXEXTRACT(SUBSTITUTE ($T333,I$1&amp;"" CE"",""""), I$1&amp;""[\w &amp;]*, (\d+\.\d+)""),"""")
"),"")</f>
        <v/>
      </c>
      <c r="J333" s="3" t="str">
        <f aca="false">IFERROR(__xludf.dummyfunction("if($T333&lt;&gt;"""",REGEXEXTRACT($T333, J$1&amp;""[\w &amp;]*, (\d+\.\d+)""),"""")
"),"")</f>
        <v/>
      </c>
      <c r="K333" s="3"/>
      <c r="L333" s="3" t="str">
        <f aca="false">IFERROR(__xludf.dummyfunction("if($T333&lt;&gt;"""",REGEXEXTRACT(SUBSTITUTE ($T333,L$1&amp;"" CE"",""""), L$1&amp;""[\w &amp;]*, (\d+\.\d+)""),"""")
"),"")</f>
        <v/>
      </c>
      <c r="M333" s="3" t="str">
        <f aca="false">IFERROR(__xludf.dummyfunction("if($T333&lt;&gt;"""",REGEXEXTRACT($T333, M$1&amp;""[\w &amp;]*, (\d+\.\d+)""),"""")
"),"")</f>
        <v/>
      </c>
      <c r="N333" s="3" t="str">
        <f aca="false">IFERROR(__xludf.dummyfunction("if($T333&lt;&gt;"""",REGEXEXTRACT(SUBSTITUTE ($T333,N$1&amp;"" CE"",""""), N$1&amp;""[\w &amp;]*, (\d+\.\d+)""),"""")
"),"")</f>
        <v/>
      </c>
      <c r="O333" s="3" t="str">
        <f aca="false">IFERROR(__xludf.dummyfunction("if($T333&lt;&gt;"""",REGEXEXTRACT($T333, O$1&amp;""[\w &amp;]*, (\d+\.\d+)""),"""")
"),"")</f>
        <v/>
      </c>
      <c r="P333" s="2"/>
      <c r="Q333" s="2"/>
      <c r="R333" s="2"/>
      <c r="S333" s="2"/>
      <c r="T333" s="5"/>
    </row>
    <row r="334" customFormat="false" ht="15.75" hidden="false" customHeight="false" outlineLevel="0" collapsed="false">
      <c r="A334" s="4"/>
      <c r="B334" s="2"/>
      <c r="C334" s="2"/>
      <c r="D334" s="2"/>
      <c r="E334" s="2"/>
      <c r="F334" s="3" t="str">
        <f aca="false">IFERROR(__xludf.dummyfunction("if($T334&lt;&gt;"""",REGEXEXTRACT(SUBSTITUTE ($T334,F$1&amp;"" CE"",""""), F$1&amp;""[\w &amp;]*, (\d+\.\d+)""),"""")
"),"")</f>
        <v/>
      </c>
      <c r="G334" s="3" t="str">
        <f aca="false">IFERROR(__xludf.dummyfunction("if($T334&lt;&gt;"""",REGEXEXTRACT($T334, G$1&amp;""[\w &amp;]*, (\d+\.\d+)""),"""")
"),"")</f>
        <v/>
      </c>
      <c r="H334" s="3"/>
      <c r="I334" s="3" t="str">
        <f aca="false">IFERROR(__xludf.dummyfunction("if($T334&lt;&gt;"""",REGEXEXTRACT(SUBSTITUTE ($T334,I$1&amp;"" CE"",""""), I$1&amp;""[\w &amp;]*, (\d+\.\d+)""),"""")
"),"")</f>
        <v/>
      </c>
      <c r="J334" s="3" t="str">
        <f aca="false">IFERROR(__xludf.dummyfunction("if($T334&lt;&gt;"""",REGEXEXTRACT($T334, J$1&amp;""[\w &amp;]*, (\d+\.\d+)""),"""")
"),"")</f>
        <v/>
      </c>
      <c r="K334" s="3"/>
      <c r="L334" s="3" t="str">
        <f aca="false">IFERROR(__xludf.dummyfunction("if($T334&lt;&gt;"""",REGEXEXTRACT(SUBSTITUTE ($T334,L$1&amp;"" CE"",""""), L$1&amp;""[\w &amp;]*, (\d+\.\d+)""),"""")
"),"")</f>
        <v/>
      </c>
      <c r="M334" s="3" t="str">
        <f aca="false">IFERROR(__xludf.dummyfunction("if($T334&lt;&gt;"""",REGEXEXTRACT($T334, M$1&amp;""[\w &amp;]*, (\d+\.\d+)""),"""")
"),"")</f>
        <v/>
      </c>
      <c r="N334" s="3" t="str">
        <f aca="false">IFERROR(__xludf.dummyfunction("if($T334&lt;&gt;"""",REGEXEXTRACT(SUBSTITUTE ($T334,N$1&amp;"" CE"",""""), N$1&amp;""[\w &amp;]*, (\d+\.\d+)""),"""")
"),"")</f>
        <v/>
      </c>
      <c r="O334" s="3" t="str">
        <f aca="false">IFERROR(__xludf.dummyfunction("if($T334&lt;&gt;"""",REGEXEXTRACT($T334, O$1&amp;""[\w &amp;]*, (\d+\.\d+)""),"""")
"),"")</f>
        <v/>
      </c>
      <c r="P334" s="2"/>
      <c r="Q334" s="2"/>
      <c r="R334" s="2"/>
      <c r="S334" s="2"/>
      <c r="T334" s="5"/>
    </row>
    <row r="335" customFormat="false" ht="15.75" hidden="false" customHeight="false" outlineLevel="0" collapsed="false">
      <c r="A335" s="4"/>
      <c r="B335" s="2"/>
      <c r="C335" s="2"/>
      <c r="D335" s="2"/>
      <c r="E335" s="2"/>
      <c r="F335" s="3" t="str">
        <f aca="false">IFERROR(__xludf.dummyfunction("if($T335&lt;&gt;"""",REGEXEXTRACT(SUBSTITUTE ($T335,F$1&amp;"" CE"",""""), F$1&amp;""[\w &amp;]*, (\d+\.\d+)""),"""")
"),"")</f>
        <v/>
      </c>
      <c r="G335" s="3" t="str">
        <f aca="false">IFERROR(__xludf.dummyfunction("if($T335&lt;&gt;"""",REGEXEXTRACT($T335, G$1&amp;""[\w &amp;]*, (\d+\.\d+)""),"""")
"),"")</f>
        <v/>
      </c>
      <c r="H335" s="3"/>
      <c r="I335" s="3" t="str">
        <f aca="false">IFERROR(__xludf.dummyfunction("if($T335&lt;&gt;"""",REGEXEXTRACT(SUBSTITUTE ($T335,I$1&amp;"" CE"",""""), I$1&amp;""[\w &amp;]*, (\d+\.\d+)""),"""")
"),"")</f>
        <v/>
      </c>
      <c r="J335" s="3" t="str">
        <f aca="false">IFERROR(__xludf.dummyfunction("if($T335&lt;&gt;"""",REGEXEXTRACT($T335, J$1&amp;""[\w &amp;]*, (\d+\.\d+)""),"""")
"),"")</f>
        <v/>
      </c>
      <c r="K335" s="3"/>
      <c r="L335" s="3" t="str">
        <f aca="false">IFERROR(__xludf.dummyfunction("if($T335&lt;&gt;"""",REGEXEXTRACT(SUBSTITUTE ($T335,L$1&amp;"" CE"",""""), L$1&amp;""[\w &amp;]*, (\d+\.\d+)""),"""")
"),"")</f>
        <v/>
      </c>
      <c r="M335" s="3" t="str">
        <f aca="false">IFERROR(__xludf.dummyfunction("if($T335&lt;&gt;"""",REGEXEXTRACT($T335, M$1&amp;""[\w &amp;]*, (\d+\.\d+)""),"""")
"),"")</f>
        <v/>
      </c>
      <c r="N335" s="3" t="str">
        <f aca="false">IFERROR(__xludf.dummyfunction("if($T335&lt;&gt;"""",REGEXEXTRACT(SUBSTITUTE ($T335,N$1&amp;"" CE"",""""), N$1&amp;""[\w &amp;]*, (\d+\.\d+)""),"""")
"),"")</f>
        <v/>
      </c>
      <c r="O335" s="3" t="str">
        <f aca="false">IFERROR(__xludf.dummyfunction("if($T335&lt;&gt;"""",REGEXEXTRACT($T335, O$1&amp;""[\w &amp;]*, (\d+\.\d+)""),"""")
"),"")</f>
        <v/>
      </c>
      <c r="P335" s="2"/>
      <c r="Q335" s="2"/>
      <c r="R335" s="2"/>
      <c r="S335" s="2"/>
      <c r="T335" s="5"/>
    </row>
    <row r="336" customFormat="false" ht="15.75" hidden="false" customHeight="false" outlineLevel="0" collapsed="false">
      <c r="A336" s="4"/>
      <c r="B336" s="2"/>
      <c r="C336" s="2"/>
      <c r="D336" s="2"/>
      <c r="E336" s="2"/>
      <c r="F336" s="3" t="str">
        <f aca="false">IFERROR(__xludf.dummyfunction("if($T336&lt;&gt;"""",REGEXEXTRACT(SUBSTITUTE ($T336,F$1&amp;"" CE"",""""), F$1&amp;""[\w &amp;]*, (\d+\.\d+)""),"""")
"),"")</f>
        <v/>
      </c>
      <c r="G336" s="3" t="str">
        <f aca="false">IFERROR(__xludf.dummyfunction("if($T336&lt;&gt;"""",REGEXEXTRACT($T336, G$1&amp;""[\w &amp;]*, (\d+\.\d+)""),"""")
"),"")</f>
        <v/>
      </c>
      <c r="H336" s="3"/>
      <c r="I336" s="3" t="str">
        <f aca="false">IFERROR(__xludf.dummyfunction("if($T336&lt;&gt;"""",REGEXEXTRACT(SUBSTITUTE ($T336,I$1&amp;"" CE"",""""), I$1&amp;""[\w &amp;]*, (\d+\.\d+)""),"""")
"),"")</f>
        <v/>
      </c>
      <c r="J336" s="3" t="str">
        <f aca="false">IFERROR(__xludf.dummyfunction("if($T336&lt;&gt;"""",REGEXEXTRACT($T336, J$1&amp;""[\w &amp;]*, (\d+\.\d+)""),"""")
"),"")</f>
        <v/>
      </c>
      <c r="K336" s="3"/>
      <c r="L336" s="3" t="str">
        <f aca="false">IFERROR(__xludf.dummyfunction("if($T336&lt;&gt;"""",REGEXEXTRACT(SUBSTITUTE ($T336,L$1&amp;"" CE"",""""), L$1&amp;""[\w &amp;]*, (\d+\.\d+)""),"""")
"),"")</f>
        <v/>
      </c>
      <c r="M336" s="3" t="str">
        <f aca="false">IFERROR(__xludf.dummyfunction("if($T336&lt;&gt;"""",REGEXEXTRACT($T336, M$1&amp;""[\w &amp;]*, (\d+\.\d+)""),"""")
"),"")</f>
        <v/>
      </c>
      <c r="N336" s="3" t="str">
        <f aca="false">IFERROR(__xludf.dummyfunction("if($T336&lt;&gt;"""",REGEXEXTRACT(SUBSTITUTE ($T336,N$1&amp;"" CE"",""""), N$1&amp;""[\w &amp;]*, (\d+\.\d+)""),"""")
"),"")</f>
        <v/>
      </c>
      <c r="O336" s="3" t="str">
        <f aca="false">IFERROR(__xludf.dummyfunction("if($T336&lt;&gt;"""",REGEXEXTRACT($T336, O$1&amp;""[\w &amp;]*, (\d+\.\d+)""),"""")
"),"")</f>
        <v/>
      </c>
      <c r="P336" s="2"/>
      <c r="Q336" s="2"/>
      <c r="R336" s="2"/>
      <c r="S336" s="2"/>
      <c r="T336" s="5"/>
    </row>
    <row r="337" customFormat="false" ht="15.75" hidden="false" customHeight="false" outlineLevel="0" collapsed="false">
      <c r="A337" s="4"/>
      <c r="B337" s="2"/>
      <c r="C337" s="2"/>
      <c r="D337" s="2"/>
      <c r="E337" s="2"/>
      <c r="F337" s="3" t="str">
        <f aca="false">IFERROR(__xludf.dummyfunction("if($T337&lt;&gt;"""",REGEXEXTRACT(SUBSTITUTE ($T337,F$1&amp;"" CE"",""""), F$1&amp;""[\w &amp;]*, (\d+\.\d+)""),"""")
"),"")</f>
        <v/>
      </c>
      <c r="G337" s="3" t="str">
        <f aca="false">IFERROR(__xludf.dummyfunction("if($T337&lt;&gt;"""",REGEXEXTRACT($T337, G$1&amp;""[\w &amp;]*, (\d+\.\d+)""),"""")
"),"")</f>
        <v/>
      </c>
      <c r="H337" s="3"/>
      <c r="I337" s="3" t="str">
        <f aca="false">IFERROR(__xludf.dummyfunction("if($T337&lt;&gt;"""",REGEXEXTRACT(SUBSTITUTE ($T337,I$1&amp;"" CE"",""""), I$1&amp;""[\w &amp;]*, (\d+\.\d+)""),"""")
"),"")</f>
        <v/>
      </c>
      <c r="J337" s="3" t="str">
        <f aca="false">IFERROR(__xludf.dummyfunction("if($T337&lt;&gt;"""",REGEXEXTRACT($T337, J$1&amp;""[\w &amp;]*, (\d+\.\d+)""),"""")
"),"")</f>
        <v/>
      </c>
      <c r="K337" s="3"/>
      <c r="L337" s="3" t="str">
        <f aca="false">IFERROR(__xludf.dummyfunction("if($T337&lt;&gt;"""",REGEXEXTRACT(SUBSTITUTE ($T337,L$1&amp;"" CE"",""""), L$1&amp;""[\w &amp;]*, (\d+\.\d+)""),"""")
"),"")</f>
        <v/>
      </c>
      <c r="M337" s="3" t="str">
        <f aca="false">IFERROR(__xludf.dummyfunction("if($T337&lt;&gt;"""",REGEXEXTRACT($T337, M$1&amp;""[\w &amp;]*, (\d+\.\d+)""),"""")
"),"")</f>
        <v/>
      </c>
      <c r="N337" s="3" t="str">
        <f aca="false">IFERROR(__xludf.dummyfunction("if($T337&lt;&gt;"""",REGEXEXTRACT(SUBSTITUTE ($T337,N$1&amp;"" CE"",""""), N$1&amp;""[\w &amp;]*, (\d+\.\d+)""),"""")
"),"")</f>
        <v/>
      </c>
      <c r="O337" s="3" t="str">
        <f aca="false">IFERROR(__xludf.dummyfunction("if($T337&lt;&gt;"""",REGEXEXTRACT($T337, O$1&amp;""[\w &amp;]*, (\d+\.\d+)""),"""")
"),"")</f>
        <v/>
      </c>
      <c r="P337" s="2"/>
      <c r="Q337" s="2"/>
      <c r="R337" s="2"/>
      <c r="S337" s="2"/>
      <c r="T337" s="5"/>
    </row>
    <row r="338" customFormat="false" ht="15.75" hidden="false" customHeight="false" outlineLevel="0" collapsed="false">
      <c r="A338" s="4"/>
      <c r="B338" s="2"/>
      <c r="C338" s="2"/>
      <c r="D338" s="2"/>
      <c r="E338" s="2"/>
      <c r="F338" s="3" t="str">
        <f aca="false">IFERROR(__xludf.dummyfunction("if($T338&lt;&gt;"""",REGEXEXTRACT(SUBSTITUTE ($T338,F$1&amp;"" CE"",""""), F$1&amp;""[\w &amp;]*, (\d+\.\d+)""),"""")
"),"")</f>
        <v/>
      </c>
      <c r="G338" s="3" t="str">
        <f aca="false">IFERROR(__xludf.dummyfunction("if($T338&lt;&gt;"""",REGEXEXTRACT($T338, G$1&amp;""[\w &amp;]*, (\d+\.\d+)""),"""")
"),"")</f>
        <v/>
      </c>
      <c r="H338" s="3"/>
      <c r="I338" s="3" t="str">
        <f aca="false">IFERROR(__xludf.dummyfunction("if($T338&lt;&gt;"""",REGEXEXTRACT(SUBSTITUTE ($T338,I$1&amp;"" CE"",""""), I$1&amp;""[\w &amp;]*, (\d+\.\d+)""),"""")
"),"")</f>
        <v/>
      </c>
      <c r="J338" s="3" t="str">
        <f aca="false">IFERROR(__xludf.dummyfunction("if($T338&lt;&gt;"""",REGEXEXTRACT($T338, J$1&amp;""[\w &amp;]*, (\d+\.\d+)""),"""")
"),"")</f>
        <v/>
      </c>
      <c r="K338" s="3"/>
      <c r="L338" s="3" t="str">
        <f aca="false">IFERROR(__xludf.dummyfunction("if($T338&lt;&gt;"""",REGEXEXTRACT(SUBSTITUTE ($T338,L$1&amp;"" CE"",""""), L$1&amp;""[\w &amp;]*, (\d+\.\d+)""),"""")
"),"")</f>
        <v/>
      </c>
      <c r="M338" s="3" t="str">
        <f aca="false">IFERROR(__xludf.dummyfunction("if($T338&lt;&gt;"""",REGEXEXTRACT($T338, M$1&amp;""[\w &amp;]*, (\d+\.\d+)""),"""")
"),"")</f>
        <v/>
      </c>
      <c r="N338" s="3" t="str">
        <f aca="false">IFERROR(__xludf.dummyfunction("if($T338&lt;&gt;"""",REGEXEXTRACT(SUBSTITUTE ($T338,N$1&amp;"" CE"",""""), N$1&amp;""[\w &amp;]*, (\d+\.\d+)""),"""")
"),"")</f>
        <v/>
      </c>
      <c r="O338" s="3" t="str">
        <f aca="false">IFERROR(__xludf.dummyfunction("if($T338&lt;&gt;"""",REGEXEXTRACT($T338, O$1&amp;""[\w &amp;]*, (\d+\.\d+)""),"""")
"),"")</f>
        <v/>
      </c>
      <c r="P338" s="2"/>
      <c r="Q338" s="2"/>
      <c r="R338" s="2"/>
      <c r="S338" s="2"/>
      <c r="T338" s="5"/>
    </row>
    <row r="339" customFormat="false" ht="15.75" hidden="false" customHeight="false" outlineLevel="0" collapsed="false">
      <c r="A339" s="4"/>
      <c r="B339" s="2"/>
      <c r="C339" s="2"/>
      <c r="D339" s="2"/>
      <c r="E339" s="2"/>
      <c r="F339" s="3" t="str">
        <f aca="false">IFERROR(__xludf.dummyfunction("if($T339&lt;&gt;"""",REGEXEXTRACT(SUBSTITUTE ($T339,F$1&amp;"" CE"",""""), F$1&amp;""[\w &amp;]*, (\d+\.\d+)""),"""")
"),"")</f>
        <v/>
      </c>
      <c r="G339" s="3" t="str">
        <f aca="false">IFERROR(__xludf.dummyfunction("if($T339&lt;&gt;"""",REGEXEXTRACT($T339, G$1&amp;""[\w &amp;]*, (\d+\.\d+)""),"""")
"),"")</f>
        <v/>
      </c>
      <c r="H339" s="3"/>
      <c r="I339" s="3" t="str">
        <f aca="false">IFERROR(__xludf.dummyfunction("if($T339&lt;&gt;"""",REGEXEXTRACT(SUBSTITUTE ($T339,I$1&amp;"" CE"",""""), I$1&amp;""[\w &amp;]*, (\d+\.\d+)""),"""")
"),"")</f>
        <v/>
      </c>
      <c r="J339" s="3" t="str">
        <f aca="false">IFERROR(__xludf.dummyfunction("if($T339&lt;&gt;"""",REGEXEXTRACT($T339, J$1&amp;""[\w &amp;]*, (\d+\.\d+)""),"""")
"),"")</f>
        <v/>
      </c>
      <c r="K339" s="3"/>
      <c r="L339" s="3" t="str">
        <f aca="false">IFERROR(__xludf.dummyfunction("if($T339&lt;&gt;"""",REGEXEXTRACT(SUBSTITUTE ($T339,L$1&amp;"" CE"",""""), L$1&amp;""[\w &amp;]*, (\d+\.\d+)""),"""")
"),"")</f>
        <v/>
      </c>
      <c r="M339" s="3" t="str">
        <f aca="false">IFERROR(__xludf.dummyfunction("if($T339&lt;&gt;"""",REGEXEXTRACT($T339, M$1&amp;""[\w &amp;]*, (\d+\.\d+)""),"""")
"),"")</f>
        <v/>
      </c>
      <c r="N339" s="3" t="str">
        <f aca="false">IFERROR(__xludf.dummyfunction("if($T339&lt;&gt;"""",REGEXEXTRACT(SUBSTITUTE ($T339,N$1&amp;"" CE"",""""), N$1&amp;""[\w &amp;]*, (\d+\.\d+)""),"""")
"),"")</f>
        <v/>
      </c>
      <c r="O339" s="3" t="str">
        <f aca="false">IFERROR(__xludf.dummyfunction("if($T339&lt;&gt;"""",REGEXEXTRACT($T339, O$1&amp;""[\w &amp;]*, (\d+\.\d+)""),"""")
"),"")</f>
        <v/>
      </c>
      <c r="P339" s="2"/>
      <c r="Q339" s="2"/>
      <c r="R339" s="2"/>
      <c r="S339" s="2"/>
      <c r="T339" s="5"/>
    </row>
    <row r="340" customFormat="false" ht="15.75" hidden="false" customHeight="false" outlineLevel="0" collapsed="false">
      <c r="A340" s="4"/>
      <c r="B340" s="2"/>
      <c r="C340" s="2"/>
      <c r="D340" s="2"/>
      <c r="E340" s="2"/>
      <c r="F340" s="3" t="str">
        <f aca="false">IFERROR(__xludf.dummyfunction("if($T340&lt;&gt;"""",REGEXEXTRACT(SUBSTITUTE ($T340,F$1&amp;"" CE"",""""), F$1&amp;""[\w &amp;]*, (\d+\.\d+)""),"""")
"),"")</f>
        <v/>
      </c>
      <c r="G340" s="3" t="str">
        <f aca="false">IFERROR(__xludf.dummyfunction("if($T340&lt;&gt;"""",REGEXEXTRACT($T340, G$1&amp;""[\w &amp;]*, (\d+\.\d+)""),"""")
"),"")</f>
        <v/>
      </c>
      <c r="H340" s="3"/>
      <c r="I340" s="3" t="str">
        <f aca="false">IFERROR(__xludf.dummyfunction("if($T340&lt;&gt;"""",REGEXEXTRACT(SUBSTITUTE ($T340,I$1&amp;"" CE"",""""), I$1&amp;""[\w &amp;]*, (\d+\.\d+)""),"""")
"),"")</f>
        <v/>
      </c>
      <c r="J340" s="3" t="str">
        <f aca="false">IFERROR(__xludf.dummyfunction("if($T340&lt;&gt;"""",REGEXEXTRACT($T340, J$1&amp;""[\w &amp;]*, (\d+\.\d+)""),"""")
"),"")</f>
        <v/>
      </c>
      <c r="K340" s="3"/>
      <c r="L340" s="3" t="str">
        <f aca="false">IFERROR(__xludf.dummyfunction("if($T340&lt;&gt;"""",REGEXEXTRACT(SUBSTITUTE ($T340,L$1&amp;"" CE"",""""), L$1&amp;""[\w &amp;]*, (\d+\.\d+)""),"""")
"),"")</f>
        <v/>
      </c>
      <c r="M340" s="3" t="str">
        <f aca="false">IFERROR(__xludf.dummyfunction("if($T340&lt;&gt;"""",REGEXEXTRACT($T340, M$1&amp;""[\w &amp;]*, (\d+\.\d+)""),"""")
"),"")</f>
        <v/>
      </c>
      <c r="N340" s="3" t="str">
        <f aca="false">IFERROR(__xludf.dummyfunction("if($T340&lt;&gt;"""",REGEXEXTRACT(SUBSTITUTE ($T340,N$1&amp;"" CE"",""""), N$1&amp;""[\w &amp;]*, (\d+\.\d+)""),"""")
"),"")</f>
        <v/>
      </c>
      <c r="O340" s="3" t="str">
        <f aca="false">IFERROR(__xludf.dummyfunction("if($T340&lt;&gt;"""",REGEXEXTRACT($T340, O$1&amp;""[\w &amp;]*, (\d+\.\d+)""),"""")
"),"")</f>
        <v/>
      </c>
      <c r="P340" s="2"/>
      <c r="Q340" s="2"/>
      <c r="R340" s="2"/>
      <c r="S340" s="2"/>
      <c r="T340" s="5"/>
    </row>
    <row r="341" customFormat="false" ht="15.75" hidden="false" customHeight="false" outlineLevel="0" collapsed="false">
      <c r="A341" s="4"/>
      <c r="B341" s="2"/>
      <c r="C341" s="2"/>
      <c r="D341" s="2"/>
      <c r="E341" s="2"/>
      <c r="F341" s="3" t="str">
        <f aca="false">IFERROR(__xludf.dummyfunction("if($T341&lt;&gt;"""",REGEXEXTRACT(SUBSTITUTE ($T341,F$1&amp;"" CE"",""""), F$1&amp;""[\w &amp;]*, (\d+\.\d+)""),"""")
"),"")</f>
        <v/>
      </c>
      <c r="G341" s="3" t="str">
        <f aca="false">IFERROR(__xludf.dummyfunction("if($T341&lt;&gt;"""",REGEXEXTRACT($T341, G$1&amp;""[\w &amp;]*, (\d+\.\d+)""),"""")
"),"")</f>
        <v/>
      </c>
      <c r="H341" s="3"/>
      <c r="I341" s="3" t="str">
        <f aca="false">IFERROR(__xludf.dummyfunction("if($T341&lt;&gt;"""",REGEXEXTRACT(SUBSTITUTE ($T341,I$1&amp;"" CE"",""""), I$1&amp;""[\w &amp;]*, (\d+\.\d+)""),"""")
"),"")</f>
        <v/>
      </c>
      <c r="J341" s="3" t="str">
        <f aca="false">IFERROR(__xludf.dummyfunction("if($T341&lt;&gt;"""",REGEXEXTRACT($T341, J$1&amp;""[\w &amp;]*, (\d+\.\d+)""),"""")
"),"")</f>
        <v/>
      </c>
      <c r="K341" s="3"/>
      <c r="L341" s="3" t="str">
        <f aca="false">IFERROR(__xludf.dummyfunction("if($T341&lt;&gt;"""",REGEXEXTRACT(SUBSTITUTE ($T341,L$1&amp;"" CE"",""""), L$1&amp;""[\w &amp;]*, (\d+\.\d+)""),"""")
"),"")</f>
        <v/>
      </c>
      <c r="M341" s="3" t="str">
        <f aca="false">IFERROR(__xludf.dummyfunction("if($T341&lt;&gt;"""",REGEXEXTRACT($T341, M$1&amp;""[\w &amp;]*, (\d+\.\d+)""),"""")
"),"")</f>
        <v/>
      </c>
      <c r="N341" s="3" t="str">
        <f aca="false">IFERROR(__xludf.dummyfunction("if($T341&lt;&gt;"""",REGEXEXTRACT(SUBSTITUTE ($T341,N$1&amp;"" CE"",""""), N$1&amp;""[\w &amp;]*, (\d+\.\d+)""),"""")
"),"")</f>
        <v/>
      </c>
      <c r="O341" s="3" t="str">
        <f aca="false">IFERROR(__xludf.dummyfunction("if($T341&lt;&gt;"""",REGEXEXTRACT($T341, O$1&amp;""[\w &amp;]*, (\d+\.\d+)""),"""")
"),"")</f>
        <v/>
      </c>
      <c r="P341" s="2"/>
      <c r="Q341" s="2"/>
      <c r="R341" s="2"/>
      <c r="S341" s="2"/>
      <c r="T341" s="5"/>
    </row>
    <row r="342" customFormat="false" ht="15.75" hidden="false" customHeight="false" outlineLevel="0" collapsed="false">
      <c r="A342" s="4"/>
      <c r="B342" s="2"/>
      <c r="C342" s="2"/>
      <c r="D342" s="2"/>
      <c r="E342" s="2"/>
      <c r="F342" s="3" t="str">
        <f aca="false">IFERROR(__xludf.dummyfunction("if($T342&lt;&gt;"""",REGEXEXTRACT(SUBSTITUTE ($T342,F$1&amp;"" CE"",""""), F$1&amp;""[\w &amp;]*, (\d+\.\d+)""),"""")
"),"")</f>
        <v/>
      </c>
      <c r="G342" s="3" t="str">
        <f aca="false">IFERROR(__xludf.dummyfunction("if($T342&lt;&gt;"""",REGEXEXTRACT($T342, G$1&amp;""[\w &amp;]*, (\d+\.\d+)""),"""")
"),"")</f>
        <v/>
      </c>
      <c r="H342" s="3"/>
      <c r="I342" s="3" t="str">
        <f aca="false">IFERROR(__xludf.dummyfunction("if($T342&lt;&gt;"""",REGEXEXTRACT(SUBSTITUTE ($T342,I$1&amp;"" CE"",""""), I$1&amp;""[\w &amp;]*, (\d+\.\d+)""),"""")
"),"")</f>
        <v/>
      </c>
      <c r="J342" s="3" t="str">
        <f aca="false">IFERROR(__xludf.dummyfunction("if($T342&lt;&gt;"""",REGEXEXTRACT($T342, J$1&amp;""[\w &amp;]*, (\d+\.\d+)""),"""")
"),"")</f>
        <v/>
      </c>
      <c r="K342" s="3"/>
      <c r="L342" s="3" t="str">
        <f aca="false">IFERROR(__xludf.dummyfunction("if($T342&lt;&gt;"""",REGEXEXTRACT(SUBSTITUTE ($T342,L$1&amp;"" CE"",""""), L$1&amp;""[\w &amp;]*, (\d+\.\d+)""),"""")
"),"")</f>
        <v/>
      </c>
      <c r="M342" s="3" t="str">
        <f aca="false">IFERROR(__xludf.dummyfunction("if($T342&lt;&gt;"""",REGEXEXTRACT($T342, M$1&amp;""[\w &amp;]*, (\d+\.\d+)""),"""")
"),"")</f>
        <v/>
      </c>
      <c r="N342" s="3" t="str">
        <f aca="false">IFERROR(__xludf.dummyfunction("if($T342&lt;&gt;"""",REGEXEXTRACT(SUBSTITUTE ($T342,N$1&amp;"" CE"",""""), N$1&amp;""[\w &amp;]*, (\d+\.\d+)""),"""")
"),"")</f>
        <v/>
      </c>
      <c r="O342" s="3" t="str">
        <f aca="false">IFERROR(__xludf.dummyfunction("if($T342&lt;&gt;"""",REGEXEXTRACT($T342, O$1&amp;""[\w &amp;]*, (\d+\.\d+)""),"""")
"),"")</f>
        <v/>
      </c>
      <c r="P342" s="2"/>
      <c r="Q342" s="2"/>
      <c r="R342" s="2"/>
      <c r="S342" s="2"/>
      <c r="T342" s="5"/>
    </row>
    <row r="343" customFormat="false" ht="15.75" hidden="false" customHeight="false" outlineLevel="0" collapsed="false">
      <c r="A343" s="4"/>
      <c r="B343" s="2"/>
      <c r="C343" s="2"/>
      <c r="D343" s="2"/>
      <c r="E343" s="2"/>
      <c r="F343" s="3" t="str">
        <f aca="false">IFERROR(__xludf.dummyfunction("if($T343&lt;&gt;"""",REGEXEXTRACT(SUBSTITUTE ($T343,F$1&amp;"" CE"",""""), F$1&amp;""[\w &amp;]*, (\d+\.\d+)""),"""")
"),"")</f>
        <v/>
      </c>
      <c r="G343" s="3" t="str">
        <f aca="false">IFERROR(__xludf.dummyfunction("if($T343&lt;&gt;"""",REGEXEXTRACT($T343, G$1&amp;""[\w &amp;]*, (\d+\.\d+)""),"""")
"),"")</f>
        <v/>
      </c>
      <c r="H343" s="3"/>
      <c r="I343" s="3" t="str">
        <f aca="false">IFERROR(__xludf.dummyfunction("if($T343&lt;&gt;"""",REGEXEXTRACT(SUBSTITUTE ($T343,I$1&amp;"" CE"",""""), I$1&amp;""[\w &amp;]*, (\d+\.\d+)""),"""")
"),"")</f>
        <v/>
      </c>
      <c r="J343" s="3" t="str">
        <f aca="false">IFERROR(__xludf.dummyfunction("if($T343&lt;&gt;"""",REGEXEXTRACT($T343, J$1&amp;""[\w &amp;]*, (\d+\.\d+)""),"""")
"),"")</f>
        <v/>
      </c>
      <c r="K343" s="3"/>
      <c r="L343" s="3" t="str">
        <f aca="false">IFERROR(__xludf.dummyfunction("if($T343&lt;&gt;"""",REGEXEXTRACT(SUBSTITUTE ($T343,L$1&amp;"" CE"",""""), L$1&amp;""[\w &amp;]*, (\d+\.\d+)""),"""")
"),"")</f>
        <v/>
      </c>
      <c r="M343" s="3" t="str">
        <f aca="false">IFERROR(__xludf.dummyfunction("if($T343&lt;&gt;"""",REGEXEXTRACT($T343, M$1&amp;""[\w &amp;]*, (\d+\.\d+)""),"""")
"),"")</f>
        <v/>
      </c>
      <c r="N343" s="3" t="str">
        <f aca="false">IFERROR(__xludf.dummyfunction("if($T343&lt;&gt;"""",REGEXEXTRACT(SUBSTITUTE ($T343,N$1&amp;"" CE"",""""), N$1&amp;""[\w &amp;]*, (\d+\.\d+)""),"""")
"),"")</f>
        <v/>
      </c>
      <c r="O343" s="3" t="str">
        <f aca="false">IFERROR(__xludf.dummyfunction("if($T343&lt;&gt;"""",REGEXEXTRACT($T343, O$1&amp;""[\w &amp;]*, (\d+\.\d+)""),"""")
"),"")</f>
        <v/>
      </c>
      <c r="P343" s="2"/>
      <c r="Q343" s="2"/>
      <c r="R343" s="2"/>
      <c r="S343" s="2"/>
      <c r="T343" s="5"/>
    </row>
    <row r="344" customFormat="false" ht="15.75" hidden="false" customHeight="false" outlineLevel="0" collapsed="false">
      <c r="A344" s="4"/>
      <c r="B344" s="2"/>
      <c r="C344" s="2"/>
      <c r="D344" s="2"/>
      <c r="E344" s="2"/>
      <c r="F344" s="3" t="str">
        <f aca="false">IFERROR(__xludf.dummyfunction("if($T344&lt;&gt;"""",REGEXEXTRACT(SUBSTITUTE ($T344,F$1&amp;"" CE"",""""), F$1&amp;""[\w &amp;]*, (\d+\.\d+)""),"""")
"),"")</f>
        <v/>
      </c>
      <c r="G344" s="3" t="str">
        <f aca="false">IFERROR(__xludf.dummyfunction("if($T344&lt;&gt;"""",REGEXEXTRACT($T344, G$1&amp;""[\w &amp;]*, (\d+\.\d+)""),"""")
"),"")</f>
        <v/>
      </c>
      <c r="H344" s="3"/>
      <c r="I344" s="3" t="str">
        <f aca="false">IFERROR(__xludf.dummyfunction("if($T344&lt;&gt;"""",REGEXEXTRACT(SUBSTITUTE ($T344,I$1&amp;"" CE"",""""), I$1&amp;""[\w &amp;]*, (\d+\.\d+)""),"""")
"),"")</f>
        <v/>
      </c>
      <c r="J344" s="3" t="str">
        <f aca="false">IFERROR(__xludf.dummyfunction("if($T344&lt;&gt;"""",REGEXEXTRACT($T344, J$1&amp;""[\w &amp;]*, (\d+\.\d+)""),"""")
"),"")</f>
        <v/>
      </c>
      <c r="K344" s="3"/>
      <c r="L344" s="3" t="str">
        <f aca="false">IFERROR(__xludf.dummyfunction("if($T344&lt;&gt;"""",REGEXEXTRACT(SUBSTITUTE ($T344,L$1&amp;"" CE"",""""), L$1&amp;""[\w &amp;]*, (\d+\.\d+)""),"""")
"),"")</f>
        <v/>
      </c>
      <c r="M344" s="3" t="str">
        <f aca="false">IFERROR(__xludf.dummyfunction("if($T344&lt;&gt;"""",REGEXEXTRACT($T344, M$1&amp;""[\w &amp;]*, (\d+\.\d+)""),"""")
"),"")</f>
        <v/>
      </c>
      <c r="N344" s="3" t="str">
        <f aca="false">IFERROR(__xludf.dummyfunction("if($T344&lt;&gt;"""",REGEXEXTRACT(SUBSTITUTE ($T344,N$1&amp;"" CE"",""""), N$1&amp;""[\w &amp;]*, (\d+\.\d+)""),"""")
"),"")</f>
        <v/>
      </c>
      <c r="O344" s="3" t="str">
        <f aca="false">IFERROR(__xludf.dummyfunction("if($T344&lt;&gt;"""",REGEXEXTRACT($T344, O$1&amp;""[\w &amp;]*, (\d+\.\d+)""),"""")
"),"")</f>
        <v/>
      </c>
      <c r="P344" s="2"/>
      <c r="Q344" s="2"/>
      <c r="R344" s="2"/>
      <c r="S344" s="2"/>
      <c r="T344" s="5"/>
    </row>
    <row r="345" customFormat="false" ht="15.75" hidden="false" customHeight="false" outlineLevel="0" collapsed="false">
      <c r="A345" s="4"/>
      <c r="B345" s="2"/>
      <c r="C345" s="2"/>
      <c r="D345" s="2"/>
      <c r="E345" s="2"/>
      <c r="F345" s="3" t="str">
        <f aca="false">IFERROR(__xludf.dummyfunction("if($T345&lt;&gt;"""",REGEXEXTRACT(SUBSTITUTE ($T345,F$1&amp;"" CE"",""""), F$1&amp;""[\w &amp;]*, (\d+\.\d+)""),"""")
"),"")</f>
        <v/>
      </c>
      <c r="G345" s="3" t="str">
        <f aca="false">IFERROR(__xludf.dummyfunction("if($T345&lt;&gt;"""",REGEXEXTRACT($T345, G$1&amp;""[\w &amp;]*, (\d+\.\d+)""),"""")
"),"")</f>
        <v/>
      </c>
      <c r="H345" s="3"/>
      <c r="I345" s="3" t="str">
        <f aca="false">IFERROR(__xludf.dummyfunction("if($T345&lt;&gt;"""",REGEXEXTRACT(SUBSTITUTE ($T345,I$1&amp;"" CE"",""""), I$1&amp;""[\w &amp;]*, (\d+\.\d+)""),"""")
"),"")</f>
        <v/>
      </c>
      <c r="J345" s="3" t="str">
        <f aca="false">IFERROR(__xludf.dummyfunction("if($T345&lt;&gt;"""",REGEXEXTRACT($T345, J$1&amp;""[\w &amp;]*, (\d+\.\d+)""),"""")
"),"")</f>
        <v/>
      </c>
      <c r="K345" s="3"/>
      <c r="L345" s="3" t="str">
        <f aca="false">IFERROR(__xludf.dummyfunction("if($T345&lt;&gt;"""",REGEXEXTRACT(SUBSTITUTE ($T345,L$1&amp;"" CE"",""""), L$1&amp;""[\w &amp;]*, (\d+\.\d+)""),"""")
"),"")</f>
        <v/>
      </c>
      <c r="M345" s="3" t="str">
        <f aca="false">IFERROR(__xludf.dummyfunction("if($T345&lt;&gt;"""",REGEXEXTRACT($T345, M$1&amp;""[\w &amp;]*, (\d+\.\d+)""),"""")
"),"")</f>
        <v/>
      </c>
      <c r="N345" s="3" t="str">
        <f aca="false">IFERROR(__xludf.dummyfunction("if($T345&lt;&gt;"""",REGEXEXTRACT(SUBSTITUTE ($T345,N$1&amp;"" CE"",""""), N$1&amp;""[\w &amp;]*, (\d+\.\d+)""),"""")
"),"")</f>
        <v/>
      </c>
      <c r="O345" s="3" t="str">
        <f aca="false">IFERROR(__xludf.dummyfunction("if($T345&lt;&gt;"""",REGEXEXTRACT($T345, O$1&amp;""[\w &amp;]*, (\d+\.\d+)""),"""")
"),"")</f>
        <v/>
      </c>
      <c r="P345" s="2"/>
      <c r="Q345" s="2"/>
      <c r="R345" s="2"/>
      <c r="S345" s="2"/>
      <c r="T345" s="5"/>
    </row>
    <row r="346" customFormat="false" ht="15.75" hidden="false" customHeight="false" outlineLevel="0" collapsed="false">
      <c r="A346" s="4"/>
      <c r="B346" s="2"/>
      <c r="C346" s="2"/>
      <c r="D346" s="2"/>
      <c r="E346" s="2"/>
      <c r="F346" s="3" t="str">
        <f aca="false">IFERROR(__xludf.dummyfunction("if($T346&lt;&gt;"""",REGEXEXTRACT(SUBSTITUTE ($T346,F$1&amp;"" CE"",""""), F$1&amp;""[\w &amp;]*, (\d+\.\d+)""),"""")
"),"")</f>
        <v/>
      </c>
      <c r="G346" s="3" t="str">
        <f aca="false">IFERROR(__xludf.dummyfunction("if($T346&lt;&gt;"""",REGEXEXTRACT($T346, G$1&amp;""[\w &amp;]*, (\d+\.\d+)""),"""")
"),"")</f>
        <v/>
      </c>
      <c r="H346" s="3"/>
      <c r="I346" s="3" t="str">
        <f aca="false">IFERROR(__xludf.dummyfunction("if($T346&lt;&gt;"""",REGEXEXTRACT(SUBSTITUTE ($T346,I$1&amp;"" CE"",""""), I$1&amp;""[\w &amp;]*, (\d+\.\d+)""),"""")
"),"")</f>
        <v/>
      </c>
      <c r="J346" s="3" t="str">
        <f aca="false">IFERROR(__xludf.dummyfunction("if($T346&lt;&gt;"""",REGEXEXTRACT($T346, J$1&amp;""[\w &amp;]*, (\d+\.\d+)""),"""")
"),"")</f>
        <v/>
      </c>
      <c r="K346" s="3"/>
      <c r="L346" s="3" t="str">
        <f aca="false">IFERROR(__xludf.dummyfunction("if($T346&lt;&gt;"""",REGEXEXTRACT(SUBSTITUTE ($T346,L$1&amp;"" CE"",""""), L$1&amp;""[\w &amp;]*, (\d+\.\d+)""),"""")
"),"")</f>
        <v/>
      </c>
      <c r="M346" s="3" t="str">
        <f aca="false">IFERROR(__xludf.dummyfunction("if($T346&lt;&gt;"""",REGEXEXTRACT($T346, M$1&amp;""[\w &amp;]*, (\d+\.\d+)""),"""")
"),"")</f>
        <v/>
      </c>
      <c r="N346" s="3" t="str">
        <f aca="false">IFERROR(__xludf.dummyfunction("if($T346&lt;&gt;"""",REGEXEXTRACT(SUBSTITUTE ($T346,N$1&amp;"" CE"",""""), N$1&amp;""[\w &amp;]*, (\d+\.\d+)""),"""")
"),"")</f>
        <v/>
      </c>
      <c r="O346" s="3" t="str">
        <f aca="false">IFERROR(__xludf.dummyfunction("if($T346&lt;&gt;"""",REGEXEXTRACT($T346, O$1&amp;""[\w &amp;]*, (\d+\.\d+)""),"""")
"),"")</f>
        <v/>
      </c>
      <c r="P346" s="2"/>
      <c r="Q346" s="2"/>
      <c r="R346" s="2"/>
      <c r="S346" s="2"/>
      <c r="T346" s="5"/>
    </row>
    <row r="347" customFormat="false" ht="15.75" hidden="false" customHeight="false" outlineLevel="0" collapsed="false">
      <c r="A347" s="4"/>
      <c r="B347" s="2"/>
      <c r="C347" s="2"/>
      <c r="D347" s="2"/>
      <c r="E347" s="2"/>
      <c r="F347" s="3" t="str">
        <f aca="false">IFERROR(__xludf.dummyfunction("if($T347&lt;&gt;"""",REGEXEXTRACT(SUBSTITUTE ($T347,F$1&amp;"" CE"",""""), F$1&amp;""[\w &amp;]*, (\d+\.\d+)""),"""")
"),"")</f>
        <v/>
      </c>
      <c r="G347" s="3" t="str">
        <f aca="false">IFERROR(__xludf.dummyfunction("if($T347&lt;&gt;"""",REGEXEXTRACT($T347, G$1&amp;""[\w &amp;]*, (\d+\.\d+)""),"""")
"),"")</f>
        <v/>
      </c>
      <c r="H347" s="3"/>
      <c r="I347" s="3" t="str">
        <f aca="false">IFERROR(__xludf.dummyfunction("if($T347&lt;&gt;"""",REGEXEXTRACT(SUBSTITUTE ($T347,I$1&amp;"" CE"",""""), I$1&amp;""[\w &amp;]*, (\d+\.\d+)""),"""")
"),"")</f>
        <v/>
      </c>
      <c r="J347" s="3" t="str">
        <f aca="false">IFERROR(__xludf.dummyfunction("if($T347&lt;&gt;"""",REGEXEXTRACT($T347, J$1&amp;""[\w &amp;]*, (\d+\.\d+)""),"""")
"),"")</f>
        <v/>
      </c>
      <c r="K347" s="3"/>
      <c r="L347" s="3" t="str">
        <f aca="false">IFERROR(__xludf.dummyfunction("if($T347&lt;&gt;"""",REGEXEXTRACT(SUBSTITUTE ($T347,L$1&amp;"" CE"",""""), L$1&amp;""[\w &amp;]*, (\d+\.\d+)""),"""")
"),"")</f>
        <v/>
      </c>
      <c r="M347" s="3" t="str">
        <f aca="false">IFERROR(__xludf.dummyfunction("if($T347&lt;&gt;"""",REGEXEXTRACT($T347, M$1&amp;""[\w &amp;]*, (\d+\.\d+)""),"""")
"),"")</f>
        <v/>
      </c>
      <c r="N347" s="3" t="str">
        <f aca="false">IFERROR(__xludf.dummyfunction("if($T347&lt;&gt;"""",REGEXEXTRACT(SUBSTITUTE ($T347,N$1&amp;"" CE"",""""), N$1&amp;""[\w &amp;]*, (\d+\.\d+)""),"""")
"),"")</f>
        <v/>
      </c>
      <c r="O347" s="3" t="str">
        <f aca="false">IFERROR(__xludf.dummyfunction("if($T347&lt;&gt;"""",REGEXEXTRACT($T347, O$1&amp;""[\w &amp;]*, (\d+\.\d+)""),"""")
"),"")</f>
        <v/>
      </c>
      <c r="P347" s="2"/>
      <c r="Q347" s="2"/>
      <c r="R347" s="2"/>
      <c r="S347" s="2"/>
      <c r="T347" s="5"/>
    </row>
    <row r="348" customFormat="false" ht="15.75" hidden="false" customHeight="false" outlineLevel="0" collapsed="false">
      <c r="A348" s="4"/>
      <c r="B348" s="2"/>
      <c r="C348" s="2"/>
      <c r="D348" s="2"/>
      <c r="E348" s="2"/>
      <c r="F348" s="3" t="str">
        <f aca="false">IFERROR(__xludf.dummyfunction("if($T348&lt;&gt;"""",REGEXEXTRACT(SUBSTITUTE ($T348,F$1&amp;"" CE"",""""), F$1&amp;""[\w &amp;]*, (\d+\.\d+)""),"""")
"),"")</f>
        <v/>
      </c>
      <c r="G348" s="3" t="str">
        <f aca="false">IFERROR(__xludf.dummyfunction("if($T348&lt;&gt;"""",REGEXEXTRACT($T348, G$1&amp;""[\w &amp;]*, (\d+\.\d+)""),"""")
"),"")</f>
        <v/>
      </c>
      <c r="H348" s="3"/>
      <c r="I348" s="3" t="str">
        <f aca="false">IFERROR(__xludf.dummyfunction("if($T348&lt;&gt;"""",REGEXEXTRACT(SUBSTITUTE ($T348,I$1&amp;"" CE"",""""), I$1&amp;""[\w &amp;]*, (\d+\.\d+)""),"""")
"),"")</f>
        <v/>
      </c>
      <c r="J348" s="3" t="str">
        <f aca="false">IFERROR(__xludf.dummyfunction("if($T348&lt;&gt;"""",REGEXEXTRACT($T348, J$1&amp;""[\w &amp;]*, (\d+\.\d+)""),"""")
"),"")</f>
        <v/>
      </c>
      <c r="K348" s="3"/>
      <c r="L348" s="3" t="str">
        <f aca="false">IFERROR(__xludf.dummyfunction("if($T348&lt;&gt;"""",REGEXEXTRACT(SUBSTITUTE ($T348,L$1&amp;"" CE"",""""), L$1&amp;""[\w &amp;]*, (\d+\.\d+)""),"""")
"),"")</f>
        <v/>
      </c>
      <c r="M348" s="3" t="str">
        <f aca="false">IFERROR(__xludf.dummyfunction("if($T348&lt;&gt;"""",REGEXEXTRACT($T348, M$1&amp;""[\w &amp;]*, (\d+\.\d+)""),"""")
"),"")</f>
        <v/>
      </c>
      <c r="N348" s="3" t="str">
        <f aca="false">IFERROR(__xludf.dummyfunction("if($T348&lt;&gt;"""",REGEXEXTRACT(SUBSTITUTE ($T348,N$1&amp;"" CE"",""""), N$1&amp;""[\w &amp;]*, (\d+\.\d+)""),"""")
"),"")</f>
        <v/>
      </c>
      <c r="O348" s="3" t="str">
        <f aca="false">IFERROR(__xludf.dummyfunction("if($T348&lt;&gt;"""",REGEXEXTRACT($T348, O$1&amp;""[\w &amp;]*, (\d+\.\d+)""),"""")
"),"")</f>
        <v/>
      </c>
      <c r="P348" s="2"/>
      <c r="Q348" s="2"/>
      <c r="R348" s="2"/>
      <c r="S348" s="2"/>
      <c r="T348" s="5"/>
    </row>
    <row r="349" customFormat="false" ht="15.75" hidden="false" customHeight="false" outlineLevel="0" collapsed="false">
      <c r="A349" s="4"/>
      <c r="B349" s="2"/>
      <c r="C349" s="2"/>
      <c r="D349" s="2"/>
      <c r="E349" s="2"/>
      <c r="F349" s="3" t="str">
        <f aca="false">IFERROR(__xludf.dummyfunction("if($T349&lt;&gt;"""",REGEXEXTRACT(SUBSTITUTE ($T349,F$1&amp;"" CE"",""""), F$1&amp;""[\w &amp;]*, (\d+\.\d+)""),"""")
"),"")</f>
        <v/>
      </c>
      <c r="G349" s="3" t="str">
        <f aca="false">IFERROR(__xludf.dummyfunction("if($T349&lt;&gt;"""",REGEXEXTRACT($T349, G$1&amp;""[\w &amp;]*, (\d+\.\d+)""),"""")
"),"")</f>
        <v/>
      </c>
      <c r="H349" s="3"/>
      <c r="I349" s="3" t="str">
        <f aca="false">IFERROR(__xludf.dummyfunction("if($T349&lt;&gt;"""",REGEXEXTRACT(SUBSTITUTE ($T349,I$1&amp;"" CE"",""""), I$1&amp;""[\w &amp;]*, (\d+\.\d+)""),"""")
"),"")</f>
        <v/>
      </c>
      <c r="J349" s="3" t="str">
        <f aca="false">IFERROR(__xludf.dummyfunction("if($T349&lt;&gt;"""",REGEXEXTRACT($T349, J$1&amp;""[\w &amp;]*, (\d+\.\d+)""),"""")
"),"")</f>
        <v/>
      </c>
      <c r="K349" s="3"/>
      <c r="L349" s="3" t="str">
        <f aca="false">IFERROR(__xludf.dummyfunction("if($T349&lt;&gt;"""",REGEXEXTRACT(SUBSTITUTE ($T349,L$1&amp;"" CE"",""""), L$1&amp;""[\w &amp;]*, (\d+\.\d+)""),"""")
"),"")</f>
        <v/>
      </c>
      <c r="M349" s="3" t="str">
        <f aca="false">IFERROR(__xludf.dummyfunction("if($T349&lt;&gt;"""",REGEXEXTRACT($T349, M$1&amp;""[\w &amp;]*, (\d+\.\d+)""),"""")
"),"")</f>
        <v/>
      </c>
      <c r="N349" s="3" t="str">
        <f aca="false">IFERROR(__xludf.dummyfunction("if($T349&lt;&gt;"""",REGEXEXTRACT(SUBSTITUTE ($T349,N$1&amp;"" CE"",""""), N$1&amp;""[\w &amp;]*, (\d+\.\d+)""),"""")
"),"")</f>
        <v/>
      </c>
      <c r="O349" s="3" t="str">
        <f aca="false">IFERROR(__xludf.dummyfunction("if($T349&lt;&gt;"""",REGEXEXTRACT($T349, O$1&amp;""[\w &amp;]*, (\d+\.\d+)""),"""")
"),"")</f>
        <v/>
      </c>
      <c r="P349" s="2"/>
      <c r="Q349" s="2"/>
      <c r="R349" s="2"/>
      <c r="S349" s="2"/>
      <c r="T349" s="5"/>
    </row>
    <row r="350" customFormat="false" ht="15.75" hidden="false" customHeight="false" outlineLevel="0" collapsed="false">
      <c r="A350" s="4"/>
      <c r="B350" s="2"/>
      <c r="C350" s="2"/>
      <c r="D350" s="2"/>
      <c r="E350" s="2"/>
      <c r="F350" s="3" t="str">
        <f aca="false">IFERROR(__xludf.dummyfunction("if($T350&lt;&gt;"""",REGEXEXTRACT(SUBSTITUTE ($T350,F$1&amp;"" CE"",""""), F$1&amp;""[\w &amp;]*, (\d+\.\d+)""),"""")
"),"")</f>
        <v/>
      </c>
      <c r="G350" s="3" t="str">
        <f aca="false">IFERROR(__xludf.dummyfunction("if($T350&lt;&gt;"""",REGEXEXTRACT($T350, G$1&amp;""[\w &amp;]*, (\d+\.\d+)""),"""")
"),"")</f>
        <v/>
      </c>
      <c r="H350" s="3"/>
      <c r="I350" s="3" t="str">
        <f aca="false">IFERROR(__xludf.dummyfunction("if($T350&lt;&gt;"""",REGEXEXTRACT(SUBSTITUTE ($T350,I$1&amp;"" CE"",""""), I$1&amp;""[\w &amp;]*, (\d+\.\d+)""),"""")
"),"")</f>
        <v/>
      </c>
      <c r="J350" s="3" t="str">
        <f aca="false">IFERROR(__xludf.dummyfunction("if($T350&lt;&gt;"""",REGEXEXTRACT($T350, J$1&amp;""[\w &amp;]*, (\d+\.\d+)""),"""")
"),"")</f>
        <v/>
      </c>
      <c r="K350" s="3"/>
      <c r="L350" s="3" t="str">
        <f aca="false">IFERROR(__xludf.dummyfunction("if($T350&lt;&gt;"""",REGEXEXTRACT(SUBSTITUTE ($T350,L$1&amp;"" CE"",""""), L$1&amp;""[\w &amp;]*, (\d+\.\d+)""),"""")
"),"")</f>
        <v/>
      </c>
      <c r="M350" s="3" t="str">
        <f aca="false">IFERROR(__xludf.dummyfunction("if($T350&lt;&gt;"""",REGEXEXTRACT($T350, M$1&amp;""[\w &amp;]*, (\d+\.\d+)""),"""")
"),"")</f>
        <v/>
      </c>
      <c r="N350" s="3" t="str">
        <f aca="false">IFERROR(__xludf.dummyfunction("if($T350&lt;&gt;"""",REGEXEXTRACT(SUBSTITUTE ($T350,N$1&amp;"" CE"",""""), N$1&amp;""[\w &amp;]*, (\d+\.\d+)""),"""")
"),"")</f>
        <v/>
      </c>
      <c r="O350" s="3" t="str">
        <f aca="false">IFERROR(__xludf.dummyfunction("if($T350&lt;&gt;"""",REGEXEXTRACT($T350, O$1&amp;""[\w &amp;]*, (\d+\.\d+)""),"""")
"),"")</f>
        <v/>
      </c>
      <c r="P350" s="2"/>
      <c r="Q350" s="2"/>
      <c r="R350" s="2"/>
      <c r="S350" s="2"/>
      <c r="T350" s="5"/>
    </row>
    <row r="351" customFormat="false" ht="15.75" hidden="false" customHeight="false" outlineLevel="0" collapsed="false">
      <c r="A351" s="4"/>
      <c r="B351" s="2"/>
      <c r="C351" s="2"/>
      <c r="D351" s="2"/>
      <c r="E351" s="2"/>
      <c r="F351" s="3" t="str">
        <f aca="false">IFERROR(__xludf.dummyfunction("if($T351&lt;&gt;"""",REGEXEXTRACT(SUBSTITUTE ($T351,F$1&amp;"" CE"",""""), F$1&amp;""[\w &amp;]*, (\d+\.\d+)""),"""")
"),"")</f>
        <v/>
      </c>
      <c r="G351" s="3" t="str">
        <f aca="false">IFERROR(__xludf.dummyfunction("if($T351&lt;&gt;"""",REGEXEXTRACT($T351, G$1&amp;""[\w &amp;]*, (\d+\.\d+)""),"""")
"),"")</f>
        <v/>
      </c>
      <c r="H351" s="3"/>
      <c r="I351" s="3" t="str">
        <f aca="false">IFERROR(__xludf.dummyfunction("if($T351&lt;&gt;"""",REGEXEXTRACT(SUBSTITUTE ($T351,I$1&amp;"" CE"",""""), I$1&amp;""[\w &amp;]*, (\d+\.\d+)""),"""")
"),"")</f>
        <v/>
      </c>
      <c r="J351" s="3" t="str">
        <f aca="false">IFERROR(__xludf.dummyfunction("if($T351&lt;&gt;"""",REGEXEXTRACT($T351, J$1&amp;""[\w &amp;]*, (\d+\.\d+)""),"""")
"),"")</f>
        <v/>
      </c>
      <c r="K351" s="3"/>
      <c r="L351" s="3" t="str">
        <f aca="false">IFERROR(__xludf.dummyfunction("if($T351&lt;&gt;"""",REGEXEXTRACT(SUBSTITUTE ($T351,L$1&amp;"" CE"",""""), L$1&amp;""[\w &amp;]*, (\d+\.\d+)""),"""")
"),"")</f>
        <v/>
      </c>
      <c r="M351" s="3" t="str">
        <f aca="false">IFERROR(__xludf.dummyfunction("if($T351&lt;&gt;"""",REGEXEXTRACT($T351, M$1&amp;""[\w &amp;]*, (\d+\.\d+)""),"""")
"),"")</f>
        <v/>
      </c>
      <c r="N351" s="3" t="str">
        <f aca="false">IFERROR(__xludf.dummyfunction("if($T351&lt;&gt;"""",REGEXEXTRACT(SUBSTITUTE ($T351,N$1&amp;"" CE"",""""), N$1&amp;""[\w &amp;]*, (\d+\.\d+)""),"""")
"),"")</f>
        <v/>
      </c>
      <c r="O351" s="3" t="str">
        <f aca="false">IFERROR(__xludf.dummyfunction("if($T351&lt;&gt;"""",REGEXEXTRACT($T351, O$1&amp;""[\w &amp;]*, (\d+\.\d+)""),"""")
"),"")</f>
        <v/>
      </c>
      <c r="P351" s="2"/>
      <c r="Q351" s="2"/>
      <c r="R351" s="2"/>
      <c r="S351" s="2"/>
      <c r="T351" s="5"/>
    </row>
    <row r="352" customFormat="false" ht="15.75" hidden="false" customHeight="false" outlineLevel="0" collapsed="false">
      <c r="A352" s="4"/>
      <c r="B352" s="2"/>
      <c r="C352" s="2"/>
      <c r="D352" s="2"/>
      <c r="E352" s="2"/>
      <c r="F352" s="3" t="str">
        <f aca="false">IFERROR(__xludf.dummyfunction("if($T352&lt;&gt;"""",REGEXEXTRACT(SUBSTITUTE ($T352,F$1&amp;"" CE"",""""), F$1&amp;""[\w &amp;]*, (\d+\.\d+)""),"""")
"),"")</f>
        <v/>
      </c>
      <c r="G352" s="3" t="str">
        <f aca="false">IFERROR(__xludf.dummyfunction("if($T352&lt;&gt;"""",REGEXEXTRACT($T352, G$1&amp;""[\w &amp;]*, (\d+\.\d+)""),"""")
"),"")</f>
        <v/>
      </c>
      <c r="H352" s="3"/>
      <c r="I352" s="3" t="str">
        <f aca="false">IFERROR(__xludf.dummyfunction("if($T352&lt;&gt;"""",REGEXEXTRACT(SUBSTITUTE ($T352,I$1&amp;"" CE"",""""), I$1&amp;""[\w &amp;]*, (\d+\.\d+)""),"""")
"),"")</f>
        <v/>
      </c>
      <c r="J352" s="3" t="str">
        <f aca="false">IFERROR(__xludf.dummyfunction("if($T352&lt;&gt;"""",REGEXEXTRACT($T352, J$1&amp;""[\w &amp;]*, (\d+\.\d+)""),"""")
"),"")</f>
        <v/>
      </c>
      <c r="K352" s="3"/>
      <c r="L352" s="3" t="str">
        <f aca="false">IFERROR(__xludf.dummyfunction("if($T352&lt;&gt;"""",REGEXEXTRACT(SUBSTITUTE ($T352,L$1&amp;"" CE"",""""), L$1&amp;""[\w &amp;]*, (\d+\.\d+)""),"""")
"),"")</f>
        <v/>
      </c>
      <c r="M352" s="3" t="str">
        <f aca="false">IFERROR(__xludf.dummyfunction("if($T352&lt;&gt;"""",REGEXEXTRACT($T352, M$1&amp;""[\w &amp;]*, (\d+\.\d+)""),"""")
"),"")</f>
        <v/>
      </c>
      <c r="N352" s="3" t="str">
        <f aca="false">IFERROR(__xludf.dummyfunction("if($T352&lt;&gt;"""",REGEXEXTRACT(SUBSTITUTE ($T352,N$1&amp;"" CE"",""""), N$1&amp;""[\w &amp;]*, (\d+\.\d+)""),"""")
"),"")</f>
        <v/>
      </c>
      <c r="O352" s="3" t="str">
        <f aca="false">IFERROR(__xludf.dummyfunction("if($T352&lt;&gt;"""",REGEXEXTRACT($T352, O$1&amp;""[\w &amp;]*, (\d+\.\d+)""),"""")
"),"")</f>
        <v/>
      </c>
      <c r="P352" s="2"/>
      <c r="Q352" s="2"/>
      <c r="R352" s="2"/>
      <c r="S352" s="2"/>
      <c r="T352" s="5"/>
    </row>
    <row r="353" customFormat="false" ht="15.75" hidden="false" customHeight="false" outlineLevel="0" collapsed="false">
      <c r="A353" s="4"/>
      <c r="B353" s="2"/>
      <c r="C353" s="2"/>
      <c r="D353" s="2"/>
      <c r="E353" s="2"/>
      <c r="F353" s="3" t="str">
        <f aca="false">IFERROR(__xludf.dummyfunction("if($T353&lt;&gt;"""",REGEXEXTRACT(SUBSTITUTE ($T353,F$1&amp;"" CE"",""""), F$1&amp;""[\w &amp;]*, (\d+\.\d+)""),"""")
"),"")</f>
        <v/>
      </c>
      <c r="G353" s="3" t="str">
        <f aca="false">IFERROR(__xludf.dummyfunction("if($T353&lt;&gt;"""",REGEXEXTRACT($T353, G$1&amp;""[\w &amp;]*, (\d+\.\d+)""),"""")
"),"")</f>
        <v/>
      </c>
      <c r="H353" s="3"/>
      <c r="I353" s="3" t="str">
        <f aca="false">IFERROR(__xludf.dummyfunction("if($T353&lt;&gt;"""",REGEXEXTRACT(SUBSTITUTE ($T353,I$1&amp;"" CE"",""""), I$1&amp;""[\w &amp;]*, (\d+\.\d+)""),"""")
"),"")</f>
        <v/>
      </c>
      <c r="J353" s="3" t="str">
        <f aca="false">IFERROR(__xludf.dummyfunction("if($T353&lt;&gt;"""",REGEXEXTRACT($T353, J$1&amp;""[\w &amp;]*, (\d+\.\d+)""),"""")
"),"")</f>
        <v/>
      </c>
      <c r="K353" s="3"/>
      <c r="L353" s="3" t="str">
        <f aca="false">IFERROR(__xludf.dummyfunction("if($T353&lt;&gt;"""",REGEXEXTRACT(SUBSTITUTE ($T353,L$1&amp;"" CE"",""""), L$1&amp;""[\w &amp;]*, (\d+\.\d+)""),"""")
"),"")</f>
        <v/>
      </c>
      <c r="M353" s="3" t="str">
        <f aca="false">IFERROR(__xludf.dummyfunction("if($T353&lt;&gt;"""",REGEXEXTRACT($T353, M$1&amp;""[\w &amp;]*, (\d+\.\d+)""),"""")
"),"")</f>
        <v/>
      </c>
      <c r="N353" s="3" t="str">
        <f aca="false">IFERROR(__xludf.dummyfunction("if($T353&lt;&gt;"""",REGEXEXTRACT(SUBSTITUTE ($T353,N$1&amp;"" CE"",""""), N$1&amp;""[\w &amp;]*, (\d+\.\d+)""),"""")
"),"")</f>
        <v/>
      </c>
      <c r="O353" s="3" t="str">
        <f aca="false">IFERROR(__xludf.dummyfunction("if($T353&lt;&gt;"""",REGEXEXTRACT($T353, O$1&amp;""[\w &amp;]*, (\d+\.\d+)""),"""")
"),"")</f>
        <v/>
      </c>
      <c r="P353" s="2"/>
      <c r="Q353" s="2"/>
      <c r="R353" s="2"/>
      <c r="S353" s="2"/>
      <c r="T353" s="5"/>
    </row>
    <row r="354" customFormat="false" ht="15.75" hidden="false" customHeight="false" outlineLevel="0" collapsed="false">
      <c r="A354" s="4"/>
      <c r="B354" s="2"/>
      <c r="C354" s="2"/>
      <c r="D354" s="2"/>
      <c r="E354" s="2"/>
      <c r="F354" s="3" t="str">
        <f aca="false">IFERROR(__xludf.dummyfunction("if($T354&lt;&gt;"""",REGEXEXTRACT(SUBSTITUTE ($T354,F$1&amp;"" CE"",""""), F$1&amp;""[\w &amp;]*, (\d+\.\d+)""),"""")
"),"")</f>
        <v/>
      </c>
      <c r="G354" s="3" t="str">
        <f aca="false">IFERROR(__xludf.dummyfunction("if($T354&lt;&gt;"""",REGEXEXTRACT($T354, G$1&amp;""[\w &amp;]*, (\d+\.\d+)""),"""")
"),"")</f>
        <v/>
      </c>
      <c r="H354" s="3"/>
      <c r="I354" s="3" t="str">
        <f aca="false">IFERROR(__xludf.dummyfunction("if($T354&lt;&gt;"""",REGEXEXTRACT(SUBSTITUTE ($T354,I$1&amp;"" CE"",""""), I$1&amp;""[\w &amp;]*, (\d+\.\d+)""),"""")
"),"")</f>
        <v/>
      </c>
      <c r="J354" s="3" t="str">
        <f aca="false">IFERROR(__xludf.dummyfunction("if($T354&lt;&gt;"""",REGEXEXTRACT($T354, J$1&amp;""[\w &amp;]*, (\d+\.\d+)""),"""")
"),"")</f>
        <v/>
      </c>
      <c r="K354" s="3"/>
      <c r="L354" s="3" t="str">
        <f aca="false">IFERROR(__xludf.dummyfunction("if($T354&lt;&gt;"""",REGEXEXTRACT(SUBSTITUTE ($T354,L$1&amp;"" CE"",""""), L$1&amp;""[\w &amp;]*, (\d+\.\d+)""),"""")
"),"")</f>
        <v/>
      </c>
      <c r="M354" s="3" t="str">
        <f aca="false">IFERROR(__xludf.dummyfunction("if($T354&lt;&gt;"""",REGEXEXTRACT($T354, M$1&amp;""[\w &amp;]*, (\d+\.\d+)""),"""")
"),"")</f>
        <v/>
      </c>
      <c r="N354" s="3" t="str">
        <f aca="false">IFERROR(__xludf.dummyfunction("if($T354&lt;&gt;"""",REGEXEXTRACT(SUBSTITUTE ($T354,N$1&amp;"" CE"",""""), N$1&amp;""[\w &amp;]*, (\d+\.\d+)""),"""")
"),"")</f>
        <v/>
      </c>
      <c r="O354" s="3" t="str">
        <f aca="false">IFERROR(__xludf.dummyfunction("if($T354&lt;&gt;"""",REGEXEXTRACT($T354, O$1&amp;""[\w &amp;]*, (\d+\.\d+)""),"""")
"),"")</f>
        <v/>
      </c>
      <c r="P354" s="2"/>
      <c r="Q354" s="2"/>
      <c r="R354" s="2"/>
      <c r="S354" s="2"/>
      <c r="T354" s="5"/>
    </row>
    <row r="355" customFormat="false" ht="15.75" hidden="false" customHeight="false" outlineLevel="0" collapsed="false">
      <c r="A355" s="4"/>
      <c r="B355" s="2"/>
      <c r="C355" s="2"/>
      <c r="D355" s="2"/>
      <c r="E355" s="2"/>
      <c r="F355" s="3" t="str">
        <f aca="false">IFERROR(__xludf.dummyfunction("if($T355&lt;&gt;"""",REGEXEXTRACT(SUBSTITUTE ($T355,F$1&amp;"" CE"",""""), F$1&amp;""[\w &amp;]*, (\d+\.\d+)""),"""")
"),"")</f>
        <v/>
      </c>
      <c r="G355" s="3" t="str">
        <f aca="false">IFERROR(__xludf.dummyfunction("if($T355&lt;&gt;"""",REGEXEXTRACT($T355, G$1&amp;""[\w &amp;]*, (\d+\.\d+)""),"""")
"),"")</f>
        <v/>
      </c>
      <c r="H355" s="3"/>
      <c r="I355" s="3" t="str">
        <f aca="false">IFERROR(__xludf.dummyfunction("if($T355&lt;&gt;"""",REGEXEXTRACT(SUBSTITUTE ($T355,I$1&amp;"" CE"",""""), I$1&amp;""[\w &amp;]*, (\d+\.\d+)""),"""")
"),"")</f>
        <v/>
      </c>
      <c r="J355" s="3" t="str">
        <f aca="false">IFERROR(__xludf.dummyfunction("if($T355&lt;&gt;"""",REGEXEXTRACT($T355, J$1&amp;""[\w &amp;]*, (\d+\.\d+)""),"""")
"),"")</f>
        <v/>
      </c>
      <c r="K355" s="3"/>
      <c r="L355" s="3" t="str">
        <f aca="false">IFERROR(__xludf.dummyfunction("if($T355&lt;&gt;"""",REGEXEXTRACT(SUBSTITUTE ($T355,L$1&amp;"" CE"",""""), L$1&amp;""[\w &amp;]*, (\d+\.\d+)""),"""")
"),"")</f>
        <v/>
      </c>
      <c r="M355" s="3" t="str">
        <f aca="false">IFERROR(__xludf.dummyfunction("if($T355&lt;&gt;"""",REGEXEXTRACT($T355, M$1&amp;""[\w &amp;]*, (\d+\.\d+)""),"""")
"),"")</f>
        <v/>
      </c>
      <c r="N355" s="3" t="str">
        <f aca="false">IFERROR(__xludf.dummyfunction("if($T355&lt;&gt;"""",REGEXEXTRACT(SUBSTITUTE ($T355,N$1&amp;"" CE"",""""), N$1&amp;""[\w &amp;]*, (\d+\.\d+)""),"""")
"),"")</f>
        <v/>
      </c>
      <c r="O355" s="3" t="str">
        <f aca="false">IFERROR(__xludf.dummyfunction("if($T355&lt;&gt;"""",REGEXEXTRACT($T355, O$1&amp;""[\w &amp;]*, (\d+\.\d+)""),"""")
"),"")</f>
        <v/>
      </c>
      <c r="P355" s="2"/>
      <c r="Q355" s="2"/>
      <c r="R355" s="2"/>
      <c r="S355" s="2"/>
      <c r="T355" s="5"/>
    </row>
    <row r="356" customFormat="false" ht="15.75" hidden="false" customHeight="false" outlineLevel="0" collapsed="false">
      <c r="A356" s="4"/>
      <c r="B356" s="2"/>
      <c r="C356" s="2"/>
      <c r="D356" s="2"/>
      <c r="E356" s="2"/>
      <c r="F356" s="3" t="str">
        <f aca="false">IFERROR(__xludf.dummyfunction("if($T356&lt;&gt;"""",REGEXEXTRACT(SUBSTITUTE ($T356,F$1&amp;"" CE"",""""), F$1&amp;""[\w &amp;]*, (\d+\.\d+)""),"""")
"),"")</f>
        <v/>
      </c>
      <c r="G356" s="3" t="str">
        <f aca="false">IFERROR(__xludf.dummyfunction("if($T356&lt;&gt;"""",REGEXEXTRACT($T356, G$1&amp;""[\w &amp;]*, (\d+\.\d+)""),"""")
"),"")</f>
        <v/>
      </c>
      <c r="H356" s="3"/>
      <c r="I356" s="3" t="str">
        <f aca="false">IFERROR(__xludf.dummyfunction("if($T356&lt;&gt;"""",REGEXEXTRACT(SUBSTITUTE ($T356,I$1&amp;"" CE"",""""), I$1&amp;""[\w &amp;]*, (\d+\.\d+)""),"""")
"),"")</f>
        <v/>
      </c>
      <c r="J356" s="3" t="str">
        <f aca="false">IFERROR(__xludf.dummyfunction("if($T356&lt;&gt;"""",REGEXEXTRACT($T356, J$1&amp;""[\w &amp;]*, (\d+\.\d+)""),"""")
"),"")</f>
        <v/>
      </c>
      <c r="K356" s="3"/>
      <c r="L356" s="3" t="str">
        <f aca="false">IFERROR(__xludf.dummyfunction("if($T356&lt;&gt;"""",REGEXEXTRACT(SUBSTITUTE ($T356,L$1&amp;"" CE"",""""), L$1&amp;""[\w &amp;]*, (\d+\.\d+)""),"""")
"),"")</f>
        <v/>
      </c>
      <c r="M356" s="3" t="str">
        <f aca="false">IFERROR(__xludf.dummyfunction("if($T356&lt;&gt;"""",REGEXEXTRACT($T356, M$1&amp;""[\w &amp;]*, (\d+\.\d+)""),"""")
"),"")</f>
        <v/>
      </c>
      <c r="N356" s="3" t="str">
        <f aca="false">IFERROR(__xludf.dummyfunction("if($T356&lt;&gt;"""",REGEXEXTRACT(SUBSTITUTE ($T356,N$1&amp;"" CE"",""""), N$1&amp;""[\w &amp;]*, (\d+\.\d+)""),"""")
"),"")</f>
        <v/>
      </c>
      <c r="O356" s="3" t="str">
        <f aca="false">IFERROR(__xludf.dummyfunction("if($T356&lt;&gt;"""",REGEXEXTRACT($T356, O$1&amp;""[\w &amp;]*, (\d+\.\d+)""),"""")
"),"")</f>
        <v/>
      </c>
      <c r="P356" s="2"/>
      <c r="Q356" s="2"/>
      <c r="R356" s="2"/>
      <c r="S356" s="2"/>
      <c r="T356" s="5"/>
    </row>
    <row r="357" customFormat="false" ht="15.75" hidden="false" customHeight="false" outlineLevel="0" collapsed="false">
      <c r="A357" s="4"/>
      <c r="B357" s="2"/>
      <c r="C357" s="2"/>
      <c r="D357" s="2"/>
      <c r="E357" s="2"/>
      <c r="F357" s="3" t="str">
        <f aca="false">IFERROR(__xludf.dummyfunction("if($T357&lt;&gt;"""",REGEXEXTRACT(SUBSTITUTE ($T357,F$1&amp;"" CE"",""""), F$1&amp;""[\w &amp;]*, (\d+\.\d+)""),"""")
"),"")</f>
        <v/>
      </c>
      <c r="G357" s="3" t="str">
        <f aca="false">IFERROR(__xludf.dummyfunction("if($T357&lt;&gt;"""",REGEXEXTRACT($T357, G$1&amp;""[\w &amp;]*, (\d+\.\d+)""),"""")
"),"")</f>
        <v/>
      </c>
      <c r="H357" s="3"/>
      <c r="I357" s="3" t="str">
        <f aca="false">IFERROR(__xludf.dummyfunction("if($T357&lt;&gt;"""",REGEXEXTRACT(SUBSTITUTE ($T357,I$1&amp;"" CE"",""""), I$1&amp;""[\w &amp;]*, (\d+\.\d+)""),"""")
"),"")</f>
        <v/>
      </c>
      <c r="J357" s="3" t="str">
        <f aca="false">IFERROR(__xludf.dummyfunction("if($T357&lt;&gt;"""",REGEXEXTRACT($T357, J$1&amp;""[\w &amp;]*, (\d+\.\d+)""),"""")
"),"")</f>
        <v/>
      </c>
      <c r="K357" s="3"/>
      <c r="L357" s="3" t="str">
        <f aca="false">IFERROR(__xludf.dummyfunction("if($T357&lt;&gt;"""",REGEXEXTRACT(SUBSTITUTE ($T357,L$1&amp;"" CE"",""""), L$1&amp;""[\w &amp;]*, (\d+\.\d+)""),"""")
"),"")</f>
        <v/>
      </c>
      <c r="M357" s="3" t="str">
        <f aca="false">IFERROR(__xludf.dummyfunction("if($T357&lt;&gt;"""",REGEXEXTRACT($T357, M$1&amp;""[\w &amp;]*, (\d+\.\d+)""),"""")
"),"")</f>
        <v/>
      </c>
      <c r="N357" s="3" t="str">
        <f aca="false">IFERROR(__xludf.dummyfunction("if($T357&lt;&gt;"""",REGEXEXTRACT(SUBSTITUTE ($T357,N$1&amp;"" CE"",""""), N$1&amp;""[\w &amp;]*, (\d+\.\d+)""),"""")
"),"")</f>
        <v/>
      </c>
      <c r="O357" s="3" t="str">
        <f aca="false">IFERROR(__xludf.dummyfunction("if($T357&lt;&gt;"""",REGEXEXTRACT($T357, O$1&amp;""[\w &amp;]*, (\d+\.\d+)""),"""")
"),"")</f>
        <v/>
      </c>
      <c r="P357" s="2"/>
      <c r="Q357" s="2"/>
      <c r="R357" s="2"/>
      <c r="S357" s="2"/>
      <c r="T357" s="5"/>
    </row>
    <row r="358" customFormat="false" ht="15.75" hidden="false" customHeight="false" outlineLevel="0" collapsed="false">
      <c r="A358" s="4"/>
      <c r="B358" s="2"/>
      <c r="C358" s="2"/>
      <c r="D358" s="2"/>
      <c r="E358" s="2"/>
      <c r="F358" s="3" t="str">
        <f aca="false">IFERROR(__xludf.dummyfunction("if($T358&lt;&gt;"""",REGEXEXTRACT(SUBSTITUTE ($T358,F$1&amp;"" CE"",""""), F$1&amp;""[\w &amp;]*, (\d+\.\d+)""),"""")
"),"")</f>
        <v/>
      </c>
      <c r="G358" s="3" t="str">
        <f aca="false">IFERROR(__xludf.dummyfunction("if($T358&lt;&gt;"""",REGEXEXTRACT($T358, G$1&amp;""[\w &amp;]*, (\d+\.\d+)""),"""")
"),"")</f>
        <v/>
      </c>
      <c r="H358" s="3"/>
      <c r="I358" s="3" t="str">
        <f aca="false">IFERROR(__xludf.dummyfunction("if($T358&lt;&gt;"""",REGEXEXTRACT(SUBSTITUTE ($T358,I$1&amp;"" CE"",""""), I$1&amp;""[\w &amp;]*, (\d+\.\d+)""),"""")
"),"")</f>
        <v/>
      </c>
      <c r="J358" s="3" t="str">
        <f aca="false">IFERROR(__xludf.dummyfunction("if($T358&lt;&gt;"""",REGEXEXTRACT($T358, J$1&amp;""[\w &amp;]*, (\d+\.\d+)""),"""")
"),"")</f>
        <v/>
      </c>
      <c r="K358" s="3"/>
      <c r="L358" s="3" t="str">
        <f aca="false">IFERROR(__xludf.dummyfunction("if($T358&lt;&gt;"""",REGEXEXTRACT(SUBSTITUTE ($T358,L$1&amp;"" CE"",""""), L$1&amp;""[\w &amp;]*, (\d+\.\d+)""),"""")
"),"")</f>
        <v/>
      </c>
      <c r="M358" s="3" t="str">
        <f aca="false">IFERROR(__xludf.dummyfunction("if($T358&lt;&gt;"""",REGEXEXTRACT($T358, M$1&amp;""[\w &amp;]*, (\d+\.\d+)""),"""")
"),"")</f>
        <v/>
      </c>
      <c r="N358" s="3" t="str">
        <f aca="false">IFERROR(__xludf.dummyfunction("if($T358&lt;&gt;"""",REGEXEXTRACT(SUBSTITUTE ($T358,N$1&amp;"" CE"",""""), N$1&amp;""[\w &amp;]*, (\d+\.\d+)""),"""")
"),"")</f>
        <v/>
      </c>
      <c r="O358" s="3" t="str">
        <f aca="false">IFERROR(__xludf.dummyfunction("if($T358&lt;&gt;"""",REGEXEXTRACT($T358, O$1&amp;""[\w &amp;]*, (\d+\.\d+)""),"""")
"),"")</f>
        <v/>
      </c>
      <c r="P358" s="2"/>
      <c r="Q358" s="2"/>
      <c r="R358" s="2"/>
      <c r="S358" s="2"/>
      <c r="T358" s="5"/>
    </row>
    <row r="359" customFormat="false" ht="15.75" hidden="false" customHeight="false" outlineLevel="0" collapsed="false">
      <c r="A359" s="4"/>
      <c r="B359" s="2"/>
      <c r="C359" s="2"/>
      <c r="D359" s="2"/>
      <c r="E359" s="2"/>
      <c r="F359" s="3" t="str">
        <f aca="false">IFERROR(__xludf.dummyfunction("if($T359&lt;&gt;"""",REGEXEXTRACT(SUBSTITUTE ($T359,F$1&amp;"" CE"",""""), F$1&amp;""[\w &amp;]*, (\d+\.\d+)""),"""")
"),"")</f>
        <v/>
      </c>
      <c r="G359" s="3" t="str">
        <f aca="false">IFERROR(__xludf.dummyfunction("if($T359&lt;&gt;"""",REGEXEXTRACT($T359, G$1&amp;""[\w &amp;]*, (\d+\.\d+)""),"""")
"),"")</f>
        <v/>
      </c>
      <c r="H359" s="3"/>
      <c r="I359" s="3" t="str">
        <f aca="false">IFERROR(__xludf.dummyfunction("if($T359&lt;&gt;"""",REGEXEXTRACT(SUBSTITUTE ($T359,I$1&amp;"" CE"",""""), I$1&amp;""[\w &amp;]*, (\d+\.\d+)""),"""")
"),"")</f>
        <v/>
      </c>
      <c r="J359" s="3" t="str">
        <f aca="false">IFERROR(__xludf.dummyfunction("if($T359&lt;&gt;"""",REGEXEXTRACT($T359, J$1&amp;""[\w &amp;]*, (\d+\.\d+)""),"""")
"),"")</f>
        <v/>
      </c>
      <c r="K359" s="3"/>
      <c r="L359" s="3" t="str">
        <f aca="false">IFERROR(__xludf.dummyfunction("if($T359&lt;&gt;"""",REGEXEXTRACT(SUBSTITUTE ($T359,L$1&amp;"" CE"",""""), L$1&amp;""[\w &amp;]*, (\d+\.\d+)""),"""")
"),"")</f>
        <v/>
      </c>
      <c r="M359" s="3" t="str">
        <f aca="false">IFERROR(__xludf.dummyfunction("if($T359&lt;&gt;"""",REGEXEXTRACT($T359, M$1&amp;""[\w &amp;]*, (\d+\.\d+)""),"""")
"),"")</f>
        <v/>
      </c>
      <c r="N359" s="3" t="str">
        <f aca="false">IFERROR(__xludf.dummyfunction("if($T359&lt;&gt;"""",REGEXEXTRACT(SUBSTITUTE ($T359,N$1&amp;"" CE"",""""), N$1&amp;""[\w &amp;]*, (\d+\.\d+)""),"""")
"),"")</f>
        <v/>
      </c>
      <c r="O359" s="3" t="str">
        <f aca="false">IFERROR(__xludf.dummyfunction("if($T359&lt;&gt;"""",REGEXEXTRACT($T359, O$1&amp;""[\w &amp;]*, (\d+\.\d+)""),"""")
"),"")</f>
        <v/>
      </c>
      <c r="P359" s="2"/>
      <c r="Q359" s="2"/>
      <c r="R359" s="2"/>
      <c r="S359" s="2"/>
      <c r="T359" s="5"/>
    </row>
    <row r="360" customFormat="false" ht="15.75" hidden="false" customHeight="false" outlineLevel="0" collapsed="false">
      <c r="A360" s="4"/>
      <c r="B360" s="2"/>
      <c r="C360" s="2"/>
      <c r="D360" s="2"/>
      <c r="E360" s="2"/>
      <c r="F360" s="3" t="str">
        <f aca="false">IFERROR(__xludf.dummyfunction("if($T360&lt;&gt;"""",REGEXEXTRACT(SUBSTITUTE ($T360,F$1&amp;"" CE"",""""), F$1&amp;""[\w &amp;]*, (\d+\.\d+)""),"""")
"),"")</f>
        <v/>
      </c>
      <c r="G360" s="3" t="str">
        <f aca="false">IFERROR(__xludf.dummyfunction("if($T360&lt;&gt;"""",REGEXEXTRACT($T360, G$1&amp;""[\w &amp;]*, (\d+\.\d+)""),"""")
"),"")</f>
        <v/>
      </c>
      <c r="H360" s="3"/>
      <c r="I360" s="3" t="str">
        <f aca="false">IFERROR(__xludf.dummyfunction("if($T360&lt;&gt;"""",REGEXEXTRACT(SUBSTITUTE ($T360,I$1&amp;"" CE"",""""), I$1&amp;""[\w &amp;]*, (\d+\.\d+)""),"""")
"),"")</f>
        <v/>
      </c>
      <c r="J360" s="3" t="str">
        <f aca="false">IFERROR(__xludf.dummyfunction("if($T360&lt;&gt;"""",REGEXEXTRACT($T360, J$1&amp;""[\w &amp;]*, (\d+\.\d+)""),"""")
"),"")</f>
        <v/>
      </c>
      <c r="K360" s="3"/>
      <c r="L360" s="3" t="str">
        <f aca="false">IFERROR(__xludf.dummyfunction("if($T360&lt;&gt;"""",REGEXEXTRACT(SUBSTITUTE ($T360,L$1&amp;"" CE"",""""), L$1&amp;""[\w &amp;]*, (\d+\.\d+)""),"""")
"),"")</f>
        <v/>
      </c>
      <c r="M360" s="3" t="str">
        <f aca="false">IFERROR(__xludf.dummyfunction("if($T360&lt;&gt;"""",REGEXEXTRACT($T360, M$1&amp;""[\w &amp;]*, (\d+\.\d+)""),"""")
"),"")</f>
        <v/>
      </c>
      <c r="N360" s="3" t="str">
        <f aca="false">IFERROR(__xludf.dummyfunction("if($T360&lt;&gt;"""",REGEXEXTRACT(SUBSTITUTE ($T360,N$1&amp;"" CE"",""""), N$1&amp;""[\w &amp;]*, (\d+\.\d+)""),"""")
"),"")</f>
        <v/>
      </c>
      <c r="O360" s="3" t="str">
        <f aca="false">IFERROR(__xludf.dummyfunction("if($T360&lt;&gt;"""",REGEXEXTRACT($T360, O$1&amp;""[\w &amp;]*, (\d+\.\d+)""),"""")
"),"")</f>
        <v/>
      </c>
      <c r="P360" s="2"/>
      <c r="Q360" s="2"/>
      <c r="R360" s="2"/>
      <c r="S360" s="2"/>
      <c r="T360" s="5"/>
    </row>
    <row r="361" customFormat="false" ht="15.75" hidden="false" customHeight="false" outlineLevel="0" collapsed="false">
      <c r="A361" s="4"/>
      <c r="B361" s="2"/>
      <c r="C361" s="2"/>
      <c r="D361" s="2"/>
      <c r="E361" s="2"/>
      <c r="F361" s="3" t="str">
        <f aca="false">IFERROR(__xludf.dummyfunction("if($T361&lt;&gt;"""",REGEXEXTRACT(SUBSTITUTE ($T361,F$1&amp;"" CE"",""""), F$1&amp;""[\w &amp;]*, (\d+\.\d+)""),"""")
"),"")</f>
        <v/>
      </c>
      <c r="G361" s="3" t="str">
        <f aca="false">IFERROR(__xludf.dummyfunction("if($T361&lt;&gt;"""",REGEXEXTRACT($T361, G$1&amp;""[\w &amp;]*, (\d+\.\d+)""),"""")
"),"")</f>
        <v/>
      </c>
      <c r="H361" s="3"/>
      <c r="I361" s="3" t="str">
        <f aca="false">IFERROR(__xludf.dummyfunction("if($T361&lt;&gt;"""",REGEXEXTRACT(SUBSTITUTE ($T361,I$1&amp;"" CE"",""""), I$1&amp;""[\w &amp;]*, (\d+\.\d+)""),"""")
"),"")</f>
        <v/>
      </c>
      <c r="J361" s="3" t="str">
        <f aca="false">IFERROR(__xludf.dummyfunction("if($T361&lt;&gt;"""",REGEXEXTRACT($T361, J$1&amp;""[\w &amp;]*, (\d+\.\d+)""),"""")
"),"")</f>
        <v/>
      </c>
      <c r="K361" s="3"/>
      <c r="L361" s="3" t="str">
        <f aca="false">IFERROR(__xludf.dummyfunction("if($T361&lt;&gt;"""",REGEXEXTRACT(SUBSTITUTE ($T361,L$1&amp;"" CE"",""""), L$1&amp;""[\w &amp;]*, (\d+\.\d+)""),"""")
"),"")</f>
        <v/>
      </c>
      <c r="M361" s="3" t="str">
        <f aca="false">IFERROR(__xludf.dummyfunction("if($T361&lt;&gt;"""",REGEXEXTRACT($T361, M$1&amp;""[\w &amp;]*, (\d+\.\d+)""),"""")
"),"")</f>
        <v/>
      </c>
      <c r="N361" s="3" t="str">
        <f aca="false">IFERROR(__xludf.dummyfunction("if($T361&lt;&gt;"""",REGEXEXTRACT(SUBSTITUTE ($T361,N$1&amp;"" CE"",""""), N$1&amp;""[\w &amp;]*, (\d+\.\d+)""),"""")
"),"")</f>
        <v/>
      </c>
      <c r="O361" s="3" t="str">
        <f aca="false">IFERROR(__xludf.dummyfunction("if($T361&lt;&gt;"""",REGEXEXTRACT($T361, O$1&amp;""[\w &amp;]*, (\d+\.\d+)""),"""")
"),"")</f>
        <v/>
      </c>
      <c r="P361" s="2"/>
      <c r="Q361" s="2"/>
      <c r="R361" s="2"/>
      <c r="S361" s="2"/>
      <c r="T361" s="5"/>
    </row>
    <row r="362" customFormat="false" ht="15.75" hidden="false" customHeight="false" outlineLevel="0" collapsed="false">
      <c r="A362" s="4"/>
      <c r="B362" s="2"/>
      <c r="C362" s="2"/>
      <c r="D362" s="2"/>
      <c r="E362" s="2"/>
      <c r="F362" s="3" t="str">
        <f aca="false">IFERROR(__xludf.dummyfunction("if($T362&lt;&gt;"""",REGEXEXTRACT(SUBSTITUTE ($T362,F$1&amp;"" CE"",""""), F$1&amp;""[\w &amp;]*, (\d+\.\d+)""),"""")
"),"")</f>
        <v/>
      </c>
      <c r="G362" s="3" t="str">
        <f aca="false">IFERROR(__xludf.dummyfunction("if($T362&lt;&gt;"""",REGEXEXTRACT($T362, G$1&amp;""[\w &amp;]*, (\d+\.\d+)""),"""")
"),"")</f>
        <v/>
      </c>
      <c r="H362" s="3"/>
      <c r="I362" s="3" t="str">
        <f aca="false">IFERROR(__xludf.dummyfunction("if($T362&lt;&gt;"""",REGEXEXTRACT(SUBSTITUTE ($T362,I$1&amp;"" CE"",""""), I$1&amp;""[\w &amp;]*, (\d+\.\d+)""),"""")
"),"")</f>
        <v/>
      </c>
      <c r="J362" s="3" t="str">
        <f aca="false">IFERROR(__xludf.dummyfunction("if($T362&lt;&gt;"""",REGEXEXTRACT($T362, J$1&amp;""[\w &amp;]*, (\d+\.\d+)""),"""")
"),"")</f>
        <v/>
      </c>
      <c r="K362" s="3"/>
      <c r="L362" s="3" t="str">
        <f aca="false">IFERROR(__xludf.dummyfunction("if($T362&lt;&gt;"""",REGEXEXTRACT(SUBSTITUTE ($T362,L$1&amp;"" CE"",""""), L$1&amp;""[\w &amp;]*, (\d+\.\d+)""),"""")
"),"")</f>
        <v/>
      </c>
      <c r="M362" s="3" t="str">
        <f aca="false">IFERROR(__xludf.dummyfunction("if($T362&lt;&gt;"""",REGEXEXTRACT($T362, M$1&amp;""[\w &amp;]*, (\d+\.\d+)""),"""")
"),"")</f>
        <v/>
      </c>
      <c r="N362" s="3" t="str">
        <f aca="false">IFERROR(__xludf.dummyfunction("if($T362&lt;&gt;"""",REGEXEXTRACT(SUBSTITUTE ($T362,N$1&amp;"" CE"",""""), N$1&amp;""[\w &amp;]*, (\d+\.\d+)""),"""")
"),"")</f>
        <v/>
      </c>
      <c r="O362" s="3" t="str">
        <f aca="false">IFERROR(__xludf.dummyfunction("if($T362&lt;&gt;"""",REGEXEXTRACT($T362, O$1&amp;""[\w &amp;]*, (\d+\.\d+)""),"""")
"),"")</f>
        <v/>
      </c>
      <c r="P362" s="2"/>
      <c r="Q362" s="2"/>
      <c r="R362" s="2"/>
      <c r="S362" s="2"/>
      <c r="T362" s="5"/>
    </row>
    <row r="363" customFormat="false" ht="15.75" hidden="false" customHeight="false" outlineLevel="0" collapsed="false">
      <c r="A363" s="4"/>
      <c r="B363" s="2"/>
      <c r="C363" s="2"/>
      <c r="D363" s="2"/>
      <c r="E363" s="2"/>
      <c r="F363" s="3" t="str">
        <f aca="false">IFERROR(__xludf.dummyfunction("if($T363&lt;&gt;"""",REGEXEXTRACT(SUBSTITUTE ($T363,F$1&amp;"" CE"",""""), F$1&amp;""[\w &amp;]*, (\d+\.\d+)""),"""")
"),"")</f>
        <v/>
      </c>
      <c r="G363" s="3" t="str">
        <f aca="false">IFERROR(__xludf.dummyfunction("if($T363&lt;&gt;"""",REGEXEXTRACT($T363, G$1&amp;""[\w &amp;]*, (\d+\.\d+)""),"""")
"),"")</f>
        <v/>
      </c>
      <c r="H363" s="3"/>
      <c r="I363" s="3" t="str">
        <f aca="false">IFERROR(__xludf.dummyfunction("if($T363&lt;&gt;"""",REGEXEXTRACT(SUBSTITUTE ($T363,I$1&amp;"" CE"",""""), I$1&amp;""[\w &amp;]*, (\d+\.\d+)""),"""")
"),"")</f>
        <v/>
      </c>
      <c r="J363" s="3" t="str">
        <f aca="false">IFERROR(__xludf.dummyfunction("if($T363&lt;&gt;"""",REGEXEXTRACT($T363, J$1&amp;""[\w &amp;]*, (\d+\.\d+)""),"""")
"),"")</f>
        <v/>
      </c>
      <c r="K363" s="3"/>
      <c r="L363" s="3" t="str">
        <f aca="false">IFERROR(__xludf.dummyfunction("if($T363&lt;&gt;"""",REGEXEXTRACT(SUBSTITUTE ($T363,L$1&amp;"" CE"",""""), L$1&amp;""[\w &amp;]*, (\d+\.\d+)""),"""")
"),"")</f>
        <v/>
      </c>
      <c r="M363" s="3" t="str">
        <f aca="false">IFERROR(__xludf.dummyfunction("if($T363&lt;&gt;"""",REGEXEXTRACT($T363, M$1&amp;""[\w &amp;]*, (\d+\.\d+)""),"""")
"),"")</f>
        <v/>
      </c>
      <c r="N363" s="3" t="str">
        <f aca="false">IFERROR(__xludf.dummyfunction("if($T363&lt;&gt;"""",REGEXEXTRACT(SUBSTITUTE ($T363,N$1&amp;"" CE"",""""), N$1&amp;""[\w &amp;]*, (\d+\.\d+)""),"""")
"),"")</f>
        <v/>
      </c>
      <c r="O363" s="3" t="str">
        <f aca="false">IFERROR(__xludf.dummyfunction("if($T363&lt;&gt;"""",REGEXEXTRACT($T363, O$1&amp;""[\w &amp;]*, (\d+\.\d+)""),"""")
"),"")</f>
        <v/>
      </c>
      <c r="P363" s="2"/>
      <c r="Q363" s="2"/>
      <c r="R363" s="2"/>
      <c r="S363" s="2"/>
      <c r="T363" s="5"/>
    </row>
    <row r="364" customFormat="false" ht="15.75" hidden="false" customHeight="false" outlineLevel="0" collapsed="false">
      <c r="A364" s="4"/>
      <c r="B364" s="2"/>
      <c r="C364" s="2"/>
      <c r="D364" s="2"/>
      <c r="E364" s="2"/>
      <c r="F364" s="3" t="str">
        <f aca="false">IFERROR(__xludf.dummyfunction("if($T364&lt;&gt;"""",REGEXEXTRACT(SUBSTITUTE ($T364,F$1&amp;"" CE"",""""), F$1&amp;""[\w &amp;]*, (\d+\.\d+)""),"""")
"),"")</f>
        <v/>
      </c>
      <c r="G364" s="3" t="str">
        <f aca="false">IFERROR(__xludf.dummyfunction("if($T364&lt;&gt;"""",REGEXEXTRACT($T364, G$1&amp;""[\w &amp;]*, (\d+\.\d+)""),"""")
"),"")</f>
        <v/>
      </c>
      <c r="H364" s="3"/>
      <c r="I364" s="3" t="str">
        <f aca="false">IFERROR(__xludf.dummyfunction("if($T364&lt;&gt;"""",REGEXEXTRACT(SUBSTITUTE ($T364,I$1&amp;"" CE"",""""), I$1&amp;""[\w &amp;]*, (\d+\.\d+)""),"""")
"),"")</f>
        <v/>
      </c>
      <c r="J364" s="3" t="str">
        <f aca="false">IFERROR(__xludf.dummyfunction("if($T364&lt;&gt;"""",REGEXEXTRACT($T364, J$1&amp;""[\w &amp;]*, (\d+\.\d+)""),"""")
"),"")</f>
        <v/>
      </c>
      <c r="K364" s="3"/>
      <c r="L364" s="3" t="str">
        <f aca="false">IFERROR(__xludf.dummyfunction("if($T364&lt;&gt;"""",REGEXEXTRACT(SUBSTITUTE ($T364,L$1&amp;"" CE"",""""), L$1&amp;""[\w &amp;]*, (\d+\.\d+)""),"""")
"),"")</f>
        <v/>
      </c>
      <c r="M364" s="3" t="str">
        <f aca="false">IFERROR(__xludf.dummyfunction("if($T364&lt;&gt;"""",REGEXEXTRACT($T364, M$1&amp;""[\w &amp;]*, (\d+\.\d+)""),"""")
"),"")</f>
        <v/>
      </c>
      <c r="N364" s="3" t="str">
        <f aca="false">IFERROR(__xludf.dummyfunction("if($T364&lt;&gt;"""",REGEXEXTRACT(SUBSTITUTE ($T364,N$1&amp;"" CE"",""""), N$1&amp;""[\w &amp;]*, (\d+\.\d+)""),"""")
"),"")</f>
        <v/>
      </c>
      <c r="O364" s="3" t="str">
        <f aca="false">IFERROR(__xludf.dummyfunction("if($T364&lt;&gt;"""",REGEXEXTRACT($T364, O$1&amp;""[\w &amp;]*, (\d+\.\d+)""),"""")
"),"")</f>
        <v/>
      </c>
      <c r="P364" s="2"/>
      <c r="Q364" s="2"/>
      <c r="R364" s="2"/>
      <c r="S364" s="2"/>
      <c r="T364" s="5"/>
    </row>
    <row r="365" customFormat="false" ht="15.75" hidden="false" customHeight="false" outlineLevel="0" collapsed="false">
      <c r="A365" s="4"/>
      <c r="B365" s="2"/>
      <c r="C365" s="2"/>
      <c r="D365" s="2"/>
      <c r="E365" s="2"/>
      <c r="F365" s="3" t="str">
        <f aca="false">IFERROR(__xludf.dummyfunction("if($T365&lt;&gt;"""",REGEXEXTRACT(SUBSTITUTE ($T365,F$1&amp;"" CE"",""""), F$1&amp;""[\w &amp;]*, (\d+\.\d+)""),"""")
"),"")</f>
        <v/>
      </c>
      <c r="G365" s="3" t="str">
        <f aca="false">IFERROR(__xludf.dummyfunction("if($T365&lt;&gt;"""",REGEXEXTRACT($T365, G$1&amp;""[\w &amp;]*, (\d+\.\d+)""),"""")
"),"")</f>
        <v/>
      </c>
      <c r="H365" s="3"/>
      <c r="I365" s="3" t="str">
        <f aca="false">IFERROR(__xludf.dummyfunction("if($T365&lt;&gt;"""",REGEXEXTRACT(SUBSTITUTE ($T365,I$1&amp;"" CE"",""""), I$1&amp;""[\w &amp;]*, (\d+\.\d+)""),"""")
"),"")</f>
        <v/>
      </c>
      <c r="J365" s="3" t="str">
        <f aca="false">IFERROR(__xludf.dummyfunction("if($T365&lt;&gt;"""",REGEXEXTRACT($T365, J$1&amp;""[\w &amp;]*, (\d+\.\d+)""),"""")
"),"")</f>
        <v/>
      </c>
      <c r="K365" s="3"/>
      <c r="L365" s="3" t="str">
        <f aca="false">IFERROR(__xludf.dummyfunction("if($T365&lt;&gt;"""",REGEXEXTRACT(SUBSTITUTE ($T365,L$1&amp;"" CE"",""""), L$1&amp;""[\w &amp;]*, (\d+\.\d+)""),"""")
"),"")</f>
        <v/>
      </c>
      <c r="M365" s="3" t="str">
        <f aca="false">IFERROR(__xludf.dummyfunction("if($T365&lt;&gt;"""",REGEXEXTRACT($T365, M$1&amp;""[\w &amp;]*, (\d+\.\d+)""),"""")
"),"")</f>
        <v/>
      </c>
      <c r="N365" s="3" t="str">
        <f aca="false">IFERROR(__xludf.dummyfunction("if($T365&lt;&gt;"""",REGEXEXTRACT(SUBSTITUTE ($T365,N$1&amp;"" CE"",""""), N$1&amp;""[\w &amp;]*, (\d+\.\d+)""),"""")
"),"")</f>
        <v/>
      </c>
      <c r="O365" s="3" t="str">
        <f aca="false">IFERROR(__xludf.dummyfunction("if($T365&lt;&gt;"""",REGEXEXTRACT($T365, O$1&amp;""[\w &amp;]*, (\d+\.\d+)""),"""")
"),"")</f>
        <v/>
      </c>
      <c r="P365" s="2"/>
      <c r="Q365" s="2"/>
      <c r="R365" s="2"/>
      <c r="S365" s="2"/>
      <c r="T365" s="5"/>
    </row>
    <row r="366" customFormat="false" ht="15.75" hidden="false" customHeight="false" outlineLevel="0" collapsed="false">
      <c r="A366" s="4"/>
      <c r="B366" s="2"/>
      <c r="C366" s="2"/>
      <c r="D366" s="2"/>
      <c r="E366" s="2"/>
      <c r="F366" s="3" t="str">
        <f aca="false">IFERROR(__xludf.dummyfunction("if($T366&lt;&gt;"""",REGEXEXTRACT(SUBSTITUTE ($T366,F$1&amp;"" CE"",""""), F$1&amp;""[\w &amp;]*, (\d+\.\d+)""),"""")
"),"")</f>
        <v/>
      </c>
      <c r="G366" s="3" t="str">
        <f aca="false">IFERROR(__xludf.dummyfunction("if($T366&lt;&gt;"""",REGEXEXTRACT($T366, G$1&amp;""[\w &amp;]*, (\d+\.\d+)""),"""")
"),"")</f>
        <v/>
      </c>
      <c r="H366" s="3"/>
      <c r="I366" s="3" t="str">
        <f aca="false">IFERROR(__xludf.dummyfunction("if($T366&lt;&gt;"""",REGEXEXTRACT(SUBSTITUTE ($T366,I$1&amp;"" CE"",""""), I$1&amp;""[\w &amp;]*, (\d+\.\d+)""),"""")
"),"")</f>
        <v/>
      </c>
      <c r="J366" s="3" t="str">
        <f aca="false">IFERROR(__xludf.dummyfunction("if($T366&lt;&gt;"""",REGEXEXTRACT($T366, J$1&amp;""[\w &amp;]*, (\d+\.\d+)""),"""")
"),"")</f>
        <v/>
      </c>
      <c r="K366" s="3"/>
      <c r="L366" s="3" t="str">
        <f aca="false">IFERROR(__xludf.dummyfunction("if($T366&lt;&gt;"""",REGEXEXTRACT(SUBSTITUTE ($T366,L$1&amp;"" CE"",""""), L$1&amp;""[\w &amp;]*, (\d+\.\d+)""),"""")
"),"")</f>
        <v/>
      </c>
      <c r="M366" s="3" t="str">
        <f aca="false">IFERROR(__xludf.dummyfunction("if($T366&lt;&gt;"""",REGEXEXTRACT($T366, M$1&amp;""[\w &amp;]*, (\d+\.\d+)""),"""")
"),"")</f>
        <v/>
      </c>
      <c r="N366" s="3" t="str">
        <f aca="false">IFERROR(__xludf.dummyfunction("if($T366&lt;&gt;"""",REGEXEXTRACT(SUBSTITUTE ($T366,N$1&amp;"" CE"",""""), N$1&amp;""[\w &amp;]*, (\d+\.\d+)""),"""")
"),"")</f>
        <v/>
      </c>
      <c r="O366" s="3" t="str">
        <f aca="false">IFERROR(__xludf.dummyfunction("if($T366&lt;&gt;"""",REGEXEXTRACT($T366, O$1&amp;""[\w &amp;]*, (\d+\.\d+)""),"""")
"),"")</f>
        <v/>
      </c>
      <c r="P366" s="2"/>
      <c r="Q366" s="2"/>
      <c r="R366" s="2"/>
      <c r="S366" s="2"/>
      <c r="T366" s="5"/>
    </row>
    <row r="367" customFormat="false" ht="15.75" hidden="false" customHeight="false" outlineLevel="0" collapsed="false">
      <c r="A367" s="4"/>
      <c r="B367" s="2"/>
      <c r="C367" s="2"/>
      <c r="D367" s="2"/>
      <c r="E367" s="2"/>
      <c r="F367" s="3" t="str">
        <f aca="false">IFERROR(__xludf.dummyfunction("if($T367&lt;&gt;"""",REGEXEXTRACT(SUBSTITUTE ($T367,F$1&amp;"" CE"",""""), F$1&amp;""[\w &amp;]*, (\d+\.\d+)""),"""")
"),"")</f>
        <v/>
      </c>
      <c r="G367" s="3" t="str">
        <f aca="false">IFERROR(__xludf.dummyfunction("if($T367&lt;&gt;"""",REGEXEXTRACT($T367, G$1&amp;""[\w &amp;]*, (\d+\.\d+)""),"""")
"),"")</f>
        <v/>
      </c>
      <c r="H367" s="3"/>
      <c r="I367" s="3" t="str">
        <f aca="false">IFERROR(__xludf.dummyfunction("if($T367&lt;&gt;"""",REGEXEXTRACT(SUBSTITUTE ($T367,I$1&amp;"" CE"",""""), I$1&amp;""[\w &amp;]*, (\d+\.\d+)""),"""")
"),"")</f>
        <v/>
      </c>
      <c r="J367" s="3" t="str">
        <f aca="false">IFERROR(__xludf.dummyfunction("if($T367&lt;&gt;"""",REGEXEXTRACT($T367, J$1&amp;""[\w &amp;]*, (\d+\.\d+)""),"""")
"),"")</f>
        <v/>
      </c>
      <c r="K367" s="3"/>
      <c r="L367" s="3" t="str">
        <f aca="false">IFERROR(__xludf.dummyfunction("if($T367&lt;&gt;"""",REGEXEXTRACT(SUBSTITUTE ($T367,L$1&amp;"" CE"",""""), L$1&amp;""[\w &amp;]*, (\d+\.\d+)""),"""")
"),"")</f>
        <v/>
      </c>
      <c r="M367" s="3" t="str">
        <f aca="false">IFERROR(__xludf.dummyfunction("if($T367&lt;&gt;"""",REGEXEXTRACT($T367, M$1&amp;""[\w &amp;]*, (\d+\.\d+)""),"""")
"),"")</f>
        <v/>
      </c>
      <c r="N367" s="3" t="str">
        <f aca="false">IFERROR(__xludf.dummyfunction("if($T367&lt;&gt;"""",REGEXEXTRACT(SUBSTITUTE ($T367,N$1&amp;"" CE"",""""), N$1&amp;""[\w &amp;]*, (\d+\.\d+)""),"""")
"),"")</f>
        <v/>
      </c>
      <c r="O367" s="3" t="str">
        <f aca="false">IFERROR(__xludf.dummyfunction("if($T367&lt;&gt;"""",REGEXEXTRACT($T367, O$1&amp;""[\w &amp;]*, (\d+\.\d+)""),"""")
"),"")</f>
        <v/>
      </c>
      <c r="P367" s="2"/>
      <c r="Q367" s="2"/>
      <c r="R367" s="2"/>
      <c r="S367" s="2"/>
      <c r="T367" s="5"/>
    </row>
    <row r="368" customFormat="false" ht="15.75" hidden="false" customHeight="false" outlineLevel="0" collapsed="false">
      <c r="A368" s="4"/>
      <c r="B368" s="2"/>
      <c r="C368" s="2"/>
      <c r="D368" s="2"/>
      <c r="E368" s="2"/>
      <c r="F368" s="3" t="str">
        <f aca="false">IFERROR(__xludf.dummyfunction("if($T368&lt;&gt;"""",REGEXEXTRACT(SUBSTITUTE ($T368,F$1&amp;"" CE"",""""), F$1&amp;""[\w &amp;]*, (\d+\.\d+)""),"""")
"),"")</f>
        <v/>
      </c>
      <c r="G368" s="3" t="str">
        <f aca="false">IFERROR(__xludf.dummyfunction("if($T368&lt;&gt;"""",REGEXEXTRACT($T368, G$1&amp;""[\w &amp;]*, (\d+\.\d+)""),"""")
"),"")</f>
        <v/>
      </c>
      <c r="H368" s="3"/>
      <c r="I368" s="3" t="str">
        <f aca="false">IFERROR(__xludf.dummyfunction("if($T368&lt;&gt;"""",REGEXEXTRACT(SUBSTITUTE ($T368,I$1&amp;"" CE"",""""), I$1&amp;""[\w &amp;]*, (\d+\.\d+)""),"""")
"),"")</f>
        <v/>
      </c>
      <c r="J368" s="3" t="str">
        <f aca="false">IFERROR(__xludf.dummyfunction("if($T368&lt;&gt;"""",REGEXEXTRACT($T368, J$1&amp;""[\w &amp;]*, (\d+\.\d+)""),"""")
"),"")</f>
        <v/>
      </c>
      <c r="K368" s="3"/>
      <c r="L368" s="3" t="str">
        <f aca="false">IFERROR(__xludf.dummyfunction("if($T368&lt;&gt;"""",REGEXEXTRACT(SUBSTITUTE ($T368,L$1&amp;"" CE"",""""), L$1&amp;""[\w &amp;]*, (\d+\.\d+)""),"""")
"),"")</f>
        <v/>
      </c>
      <c r="M368" s="3" t="str">
        <f aca="false">IFERROR(__xludf.dummyfunction("if($T368&lt;&gt;"""",REGEXEXTRACT($T368, M$1&amp;""[\w &amp;]*, (\d+\.\d+)""),"""")
"),"")</f>
        <v/>
      </c>
      <c r="N368" s="3" t="str">
        <f aca="false">IFERROR(__xludf.dummyfunction("if($T368&lt;&gt;"""",REGEXEXTRACT(SUBSTITUTE ($T368,N$1&amp;"" CE"",""""), N$1&amp;""[\w &amp;]*, (\d+\.\d+)""),"""")
"),"")</f>
        <v/>
      </c>
      <c r="O368" s="3" t="str">
        <f aca="false">IFERROR(__xludf.dummyfunction("if($T368&lt;&gt;"""",REGEXEXTRACT($T368, O$1&amp;""[\w &amp;]*, (\d+\.\d+)""),"""")
"),"")</f>
        <v/>
      </c>
      <c r="P368" s="2"/>
      <c r="Q368" s="2"/>
      <c r="R368" s="2"/>
      <c r="S368" s="2"/>
      <c r="T368" s="5"/>
    </row>
    <row r="369" customFormat="false" ht="15.75" hidden="false" customHeight="false" outlineLevel="0" collapsed="false">
      <c r="A369" s="4"/>
      <c r="B369" s="2"/>
      <c r="C369" s="2"/>
      <c r="D369" s="2"/>
      <c r="E369" s="2"/>
      <c r="F369" s="3" t="str">
        <f aca="false">IFERROR(__xludf.dummyfunction("if($T369&lt;&gt;"""",REGEXEXTRACT(SUBSTITUTE ($T369,F$1&amp;"" CE"",""""), F$1&amp;""[\w &amp;]*, (\d+\.\d+)""),"""")
"),"")</f>
        <v/>
      </c>
      <c r="G369" s="3" t="str">
        <f aca="false">IFERROR(__xludf.dummyfunction("if($T369&lt;&gt;"""",REGEXEXTRACT($T369, G$1&amp;""[\w &amp;]*, (\d+\.\d+)""),"""")
"),"")</f>
        <v/>
      </c>
      <c r="H369" s="3"/>
      <c r="I369" s="3" t="str">
        <f aca="false">IFERROR(__xludf.dummyfunction("if($T369&lt;&gt;"""",REGEXEXTRACT(SUBSTITUTE ($T369,I$1&amp;"" CE"",""""), I$1&amp;""[\w &amp;]*, (\d+\.\d+)""),"""")
"),"")</f>
        <v/>
      </c>
      <c r="J369" s="3" t="str">
        <f aca="false">IFERROR(__xludf.dummyfunction("if($T369&lt;&gt;"""",REGEXEXTRACT($T369, J$1&amp;""[\w &amp;]*, (\d+\.\d+)""),"""")
"),"")</f>
        <v/>
      </c>
      <c r="K369" s="3"/>
      <c r="L369" s="3" t="str">
        <f aca="false">IFERROR(__xludf.dummyfunction("if($T369&lt;&gt;"""",REGEXEXTRACT(SUBSTITUTE ($T369,L$1&amp;"" CE"",""""), L$1&amp;""[\w &amp;]*, (\d+\.\d+)""),"""")
"),"")</f>
        <v/>
      </c>
      <c r="M369" s="3" t="str">
        <f aca="false">IFERROR(__xludf.dummyfunction("if($T369&lt;&gt;"""",REGEXEXTRACT($T369, M$1&amp;""[\w &amp;]*, (\d+\.\d+)""),"""")
"),"")</f>
        <v/>
      </c>
      <c r="N369" s="3" t="str">
        <f aca="false">IFERROR(__xludf.dummyfunction("if($T369&lt;&gt;"""",REGEXEXTRACT(SUBSTITUTE ($T369,N$1&amp;"" CE"",""""), N$1&amp;""[\w &amp;]*, (\d+\.\d+)""),"""")
"),"")</f>
        <v/>
      </c>
      <c r="O369" s="3" t="str">
        <f aca="false">IFERROR(__xludf.dummyfunction("if($T369&lt;&gt;"""",REGEXEXTRACT($T369, O$1&amp;""[\w &amp;]*, (\d+\.\d+)""),"""")
"),"")</f>
        <v/>
      </c>
      <c r="P369" s="2"/>
      <c r="Q369" s="2"/>
      <c r="R369" s="2"/>
      <c r="S369" s="2"/>
      <c r="T369" s="5"/>
    </row>
    <row r="370" customFormat="false" ht="15.75" hidden="false" customHeight="false" outlineLevel="0" collapsed="false">
      <c r="A370" s="4"/>
      <c r="B370" s="2"/>
      <c r="C370" s="2"/>
      <c r="D370" s="2"/>
      <c r="E370" s="2"/>
      <c r="F370" s="3" t="str">
        <f aca="false">IFERROR(__xludf.dummyfunction("if($T370&lt;&gt;"""",REGEXEXTRACT(SUBSTITUTE ($T370,F$1&amp;"" CE"",""""), F$1&amp;""[\w &amp;]*, (\d+\.\d+)""),"""")
"),"")</f>
        <v/>
      </c>
      <c r="G370" s="3" t="str">
        <f aca="false">IFERROR(__xludf.dummyfunction("if($T370&lt;&gt;"""",REGEXEXTRACT($T370, G$1&amp;""[\w &amp;]*, (\d+\.\d+)""),"""")
"),"")</f>
        <v/>
      </c>
      <c r="H370" s="3"/>
      <c r="I370" s="3" t="str">
        <f aca="false">IFERROR(__xludf.dummyfunction("if($T370&lt;&gt;"""",REGEXEXTRACT(SUBSTITUTE ($T370,I$1&amp;"" CE"",""""), I$1&amp;""[\w &amp;]*, (\d+\.\d+)""),"""")
"),"")</f>
        <v/>
      </c>
      <c r="J370" s="3" t="str">
        <f aca="false">IFERROR(__xludf.dummyfunction("if($T370&lt;&gt;"""",REGEXEXTRACT($T370, J$1&amp;""[\w &amp;]*, (\d+\.\d+)""),"""")
"),"")</f>
        <v/>
      </c>
      <c r="K370" s="3"/>
      <c r="L370" s="3" t="str">
        <f aca="false">IFERROR(__xludf.dummyfunction("if($T370&lt;&gt;"""",REGEXEXTRACT(SUBSTITUTE ($T370,L$1&amp;"" CE"",""""), L$1&amp;""[\w &amp;]*, (\d+\.\d+)""),"""")
"),"")</f>
        <v/>
      </c>
      <c r="M370" s="3" t="str">
        <f aca="false">IFERROR(__xludf.dummyfunction("if($T370&lt;&gt;"""",REGEXEXTRACT($T370, M$1&amp;""[\w &amp;]*, (\d+\.\d+)""),"""")
"),"")</f>
        <v/>
      </c>
      <c r="N370" s="3" t="str">
        <f aca="false">IFERROR(__xludf.dummyfunction("if($T370&lt;&gt;"""",REGEXEXTRACT(SUBSTITUTE ($T370,N$1&amp;"" CE"",""""), N$1&amp;""[\w &amp;]*, (\d+\.\d+)""),"""")
"),"")</f>
        <v/>
      </c>
      <c r="O370" s="3" t="str">
        <f aca="false">IFERROR(__xludf.dummyfunction("if($T370&lt;&gt;"""",REGEXEXTRACT($T370, O$1&amp;""[\w &amp;]*, (\d+\.\d+)""),"""")
"),"")</f>
        <v/>
      </c>
      <c r="P370" s="2"/>
      <c r="Q370" s="2"/>
      <c r="R370" s="2"/>
      <c r="S370" s="2"/>
      <c r="T370" s="5"/>
    </row>
    <row r="371" customFormat="false" ht="15.75" hidden="false" customHeight="false" outlineLevel="0" collapsed="false">
      <c r="A371" s="4"/>
      <c r="B371" s="2"/>
      <c r="C371" s="2"/>
      <c r="D371" s="2"/>
      <c r="E371" s="2"/>
      <c r="F371" s="3" t="str">
        <f aca="false">IFERROR(__xludf.dummyfunction("if($T371&lt;&gt;"""",REGEXEXTRACT(SUBSTITUTE ($T371,F$1&amp;"" CE"",""""), F$1&amp;""[\w &amp;]*, (\d+\.\d+)""),"""")
"),"")</f>
        <v/>
      </c>
      <c r="G371" s="3" t="str">
        <f aca="false">IFERROR(__xludf.dummyfunction("if($T371&lt;&gt;"""",REGEXEXTRACT($T371, G$1&amp;""[\w &amp;]*, (\d+\.\d+)""),"""")
"),"")</f>
        <v/>
      </c>
      <c r="H371" s="3"/>
      <c r="I371" s="3" t="str">
        <f aca="false">IFERROR(__xludf.dummyfunction("if($T371&lt;&gt;"""",REGEXEXTRACT(SUBSTITUTE ($T371,I$1&amp;"" CE"",""""), I$1&amp;""[\w &amp;]*, (\d+\.\d+)""),"""")
"),"")</f>
        <v/>
      </c>
      <c r="J371" s="3" t="str">
        <f aca="false">IFERROR(__xludf.dummyfunction("if($T371&lt;&gt;"""",REGEXEXTRACT($T371, J$1&amp;""[\w &amp;]*, (\d+\.\d+)""),"""")
"),"")</f>
        <v/>
      </c>
      <c r="K371" s="3"/>
      <c r="L371" s="3" t="str">
        <f aca="false">IFERROR(__xludf.dummyfunction("if($T371&lt;&gt;"""",REGEXEXTRACT(SUBSTITUTE ($T371,L$1&amp;"" CE"",""""), L$1&amp;""[\w &amp;]*, (\d+\.\d+)""),"""")
"),"")</f>
        <v/>
      </c>
      <c r="M371" s="3" t="str">
        <f aca="false">IFERROR(__xludf.dummyfunction("if($T371&lt;&gt;"""",REGEXEXTRACT($T371, M$1&amp;""[\w &amp;]*, (\d+\.\d+)""),"""")
"),"")</f>
        <v/>
      </c>
      <c r="N371" s="3" t="str">
        <f aca="false">IFERROR(__xludf.dummyfunction("if($T371&lt;&gt;"""",REGEXEXTRACT(SUBSTITUTE ($T371,N$1&amp;"" CE"",""""), N$1&amp;""[\w &amp;]*, (\d+\.\d+)""),"""")
"),"")</f>
        <v/>
      </c>
      <c r="O371" s="3" t="str">
        <f aca="false">IFERROR(__xludf.dummyfunction("if($T371&lt;&gt;"""",REGEXEXTRACT($T371, O$1&amp;""[\w &amp;]*, (\d+\.\d+)""),"""")
"),"")</f>
        <v/>
      </c>
      <c r="P371" s="2"/>
      <c r="Q371" s="2"/>
      <c r="R371" s="2"/>
      <c r="S371" s="2"/>
      <c r="T371" s="5"/>
    </row>
    <row r="372" customFormat="false" ht="15.75" hidden="false" customHeight="false" outlineLevel="0" collapsed="false">
      <c r="A372" s="4"/>
      <c r="B372" s="2"/>
      <c r="C372" s="2"/>
      <c r="D372" s="2"/>
      <c r="E372" s="2"/>
      <c r="F372" s="3" t="str">
        <f aca="false">IFERROR(__xludf.dummyfunction("if($T372&lt;&gt;"""",REGEXEXTRACT(SUBSTITUTE ($T372,F$1&amp;"" CE"",""""), F$1&amp;""[\w &amp;]*, (\d+\.\d+)""),"""")
"),"")</f>
        <v/>
      </c>
      <c r="G372" s="3" t="str">
        <f aca="false">IFERROR(__xludf.dummyfunction("if($T372&lt;&gt;"""",REGEXEXTRACT($T372, G$1&amp;""[\w &amp;]*, (\d+\.\d+)""),"""")
"),"")</f>
        <v/>
      </c>
      <c r="H372" s="3"/>
      <c r="I372" s="3" t="str">
        <f aca="false">IFERROR(__xludf.dummyfunction("if($T372&lt;&gt;"""",REGEXEXTRACT(SUBSTITUTE ($T372,I$1&amp;"" CE"",""""), I$1&amp;""[\w &amp;]*, (\d+\.\d+)""),"""")
"),"")</f>
        <v/>
      </c>
      <c r="J372" s="3" t="str">
        <f aca="false">IFERROR(__xludf.dummyfunction("if($T372&lt;&gt;"""",REGEXEXTRACT($T372, J$1&amp;""[\w &amp;]*, (\d+\.\d+)""),"""")
"),"")</f>
        <v/>
      </c>
      <c r="K372" s="3"/>
      <c r="L372" s="3" t="str">
        <f aca="false">IFERROR(__xludf.dummyfunction("if($T372&lt;&gt;"""",REGEXEXTRACT(SUBSTITUTE ($T372,L$1&amp;"" CE"",""""), L$1&amp;""[\w &amp;]*, (\d+\.\d+)""),"""")
"),"")</f>
        <v/>
      </c>
      <c r="M372" s="3" t="str">
        <f aca="false">IFERROR(__xludf.dummyfunction("if($T372&lt;&gt;"""",REGEXEXTRACT($T372, M$1&amp;""[\w &amp;]*, (\d+\.\d+)""),"""")
"),"")</f>
        <v/>
      </c>
      <c r="N372" s="3" t="str">
        <f aca="false">IFERROR(__xludf.dummyfunction("if($T372&lt;&gt;"""",REGEXEXTRACT(SUBSTITUTE ($T372,N$1&amp;"" CE"",""""), N$1&amp;""[\w &amp;]*, (\d+\.\d+)""),"""")
"),"")</f>
        <v/>
      </c>
      <c r="O372" s="3" t="str">
        <f aca="false">IFERROR(__xludf.dummyfunction("if($T372&lt;&gt;"""",REGEXEXTRACT($T372, O$1&amp;""[\w &amp;]*, (\d+\.\d+)""),"""")
"),"")</f>
        <v/>
      </c>
      <c r="P372" s="2"/>
      <c r="Q372" s="2"/>
      <c r="R372" s="2"/>
      <c r="S372" s="2"/>
      <c r="T372" s="5"/>
    </row>
    <row r="373" customFormat="false" ht="15.75" hidden="false" customHeight="false" outlineLevel="0" collapsed="false">
      <c r="A373" s="4"/>
      <c r="B373" s="2"/>
      <c r="C373" s="2"/>
      <c r="D373" s="2"/>
      <c r="E373" s="2"/>
      <c r="F373" s="3" t="str">
        <f aca="false">IFERROR(__xludf.dummyfunction("if($T373&lt;&gt;"""",REGEXEXTRACT(SUBSTITUTE ($T373,F$1&amp;"" CE"",""""), F$1&amp;""[\w &amp;]*, (\d+\.\d+)""),"""")
"),"")</f>
        <v/>
      </c>
      <c r="G373" s="3" t="str">
        <f aca="false">IFERROR(__xludf.dummyfunction("if($T373&lt;&gt;"""",REGEXEXTRACT($T373, G$1&amp;""[\w &amp;]*, (\d+\.\d+)""),"""")
"),"")</f>
        <v/>
      </c>
      <c r="H373" s="3"/>
      <c r="I373" s="3" t="str">
        <f aca="false">IFERROR(__xludf.dummyfunction("if($T373&lt;&gt;"""",REGEXEXTRACT(SUBSTITUTE ($T373,I$1&amp;"" CE"",""""), I$1&amp;""[\w &amp;]*, (\d+\.\d+)""),"""")
"),"")</f>
        <v/>
      </c>
      <c r="J373" s="3" t="str">
        <f aca="false">IFERROR(__xludf.dummyfunction("if($T373&lt;&gt;"""",REGEXEXTRACT($T373, J$1&amp;""[\w &amp;]*, (\d+\.\d+)""),"""")
"),"")</f>
        <v/>
      </c>
      <c r="K373" s="3"/>
      <c r="L373" s="3" t="str">
        <f aca="false">IFERROR(__xludf.dummyfunction("if($T373&lt;&gt;"""",REGEXEXTRACT(SUBSTITUTE ($T373,L$1&amp;"" CE"",""""), L$1&amp;""[\w &amp;]*, (\d+\.\d+)""),"""")
"),"")</f>
        <v/>
      </c>
      <c r="M373" s="3" t="str">
        <f aca="false">IFERROR(__xludf.dummyfunction("if($T373&lt;&gt;"""",REGEXEXTRACT($T373, M$1&amp;""[\w &amp;]*, (\d+\.\d+)""),"""")
"),"")</f>
        <v/>
      </c>
      <c r="N373" s="3" t="str">
        <f aca="false">IFERROR(__xludf.dummyfunction("if($T373&lt;&gt;"""",REGEXEXTRACT(SUBSTITUTE ($T373,N$1&amp;"" CE"",""""), N$1&amp;""[\w &amp;]*, (\d+\.\d+)""),"""")
"),"")</f>
        <v/>
      </c>
      <c r="O373" s="3" t="str">
        <f aca="false">IFERROR(__xludf.dummyfunction("if($T373&lt;&gt;"""",REGEXEXTRACT($T373, O$1&amp;""[\w &amp;]*, (\d+\.\d+)""),"""")
"),"")</f>
        <v/>
      </c>
      <c r="P373" s="2"/>
      <c r="Q373" s="2"/>
      <c r="R373" s="2"/>
      <c r="S373" s="2"/>
      <c r="T373" s="5"/>
    </row>
    <row r="374" customFormat="false" ht="15.75" hidden="false" customHeight="false" outlineLevel="0" collapsed="false">
      <c r="A374" s="4"/>
      <c r="B374" s="2"/>
      <c r="C374" s="2"/>
      <c r="D374" s="2"/>
      <c r="E374" s="2"/>
      <c r="F374" s="3" t="str">
        <f aca="false">IFERROR(__xludf.dummyfunction("if($T374&lt;&gt;"""",REGEXEXTRACT(SUBSTITUTE ($T374,F$1&amp;"" CE"",""""), F$1&amp;""[\w &amp;]*, (\d+\.\d+)""),"""")
"),"")</f>
        <v/>
      </c>
      <c r="G374" s="3" t="str">
        <f aca="false">IFERROR(__xludf.dummyfunction("if($T374&lt;&gt;"""",REGEXEXTRACT($T374, G$1&amp;""[\w &amp;]*, (\d+\.\d+)""),"""")
"),"")</f>
        <v/>
      </c>
      <c r="H374" s="3"/>
      <c r="I374" s="3" t="str">
        <f aca="false">IFERROR(__xludf.dummyfunction("if($T374&lt;&gt;"""",REGEXEXTRACT(SUBSTITUTE ($T374,I$1&amp;"" CE"",""""), I$1&amp;""[\w &amp;]*, (\d+\.\d+)""),"""")
"),"")</f>
        <v/>
      </c>
      <c r="J374" s="3" t="str">
        <f aca="false">IFERROR(__xludf.dummyfunction("if($T374&lt;&gt;"""",REGEXEXTRACT($T374, J$1&amp;""[\w &amp;]*, (\d+\.\d+)""),"""")
"),"")</f>
        <v/>
      </c>
      <c r="K374" s="3"/>
      <c r="L374" s="3" t="str">
        <f aca="false">IFERROR(__xludf.dummyfunction("if($T374&lt;&gt;"""",REGEXEXTRACT(SUBSTITUTE ($T374,L$1&amp;"" CE"",""""), L$1&amp;""[\w &amp;]*, (\d+\.\d+)""),"""")
"),"")</f>
        <v/>
      </c>
      <c r="M374" s="3" t="str">
        <f aca="false">IFERROR(__xludf.dummyfunction("if($T374&lt;&gt;"""",REGEXEXTRACT($T374, M$1&amp;""[\w &amp;]*, (\d+\.\d+)""),"""")
"),"")</f>
        <v/>
      </c>
      <c r="N374" s="3" t="str">
        <f aca="false">IFERROR(__xludf.dummyfunction("if($T374&lt;&gt;"""",REGEXEXTRACT(SUBSTITUTE ($T374,N$1&amp;"" CE"",""""), N$1&amp;""[\w &amp;]*, (\d+\.\d+)""),"""")
"),"")</f>
        <v/>
      </c>
      <c r="O374" s="3" t="str">
        <f aca="false">IFERROR(__xludf.dummyfunction("if($T374&lt;&gt;"""",REGEXEXTRACT($T374, O$1&amp;""[\w &amp;]*, (\d+\.\d+)""),"""")
"),"")</f>
        <v/>
      </c>
      <c r="P374" s="2"/>
      <c r="Q374" s="2"/>
      <c r="R374" s="2"/>
      <c r="S374" s="2"/>
      <c r="T374" s="5"/>
    </row>
    <row r="375" customFormat="false" ht="15.75" hidden="false" customHeight="false" outlineLevel="0" collapsed="false">
      <c r="A375" s="4"/>
      <c r="B375" s="2"/>
      <c r="C375" s="2"/>
      <c r="D375" s="2"/>
      <c r="E375" s="2"/>
      <c r="F375" s="3" t="str">
        <f aca="false">IFERROR(__xludf.dummyfunction("if($T375&lt;&gt;"""",REGEXEXTRACT(SUBSTITUTE ($T375,F$1&amp;"" CE"",""""), F$1&amp;""[\w &amp;]*, (\d+\.\d+)""),"""")
"),"")</f>
        <v/>
      </c>
      <c r="G375" s="3" t="str">
        <f aca="false">IFERROR(__xludf.dummyfunction("if($T375&lt;&gt;"""",REGEXEXTRACT($T375, G$1&amp;""[\w &amp;]*, (\d+\.\d+)""),"""")
"),"")</f>
        <v/>
      </c>
      <c r="H375" s="3"/>
      <c r="I375" s="3" t="str">
        <f aca="false">IFERROR(__xludf.dummyfunction("if($T375&lt;&gt;"""",REGEXEXTRACT(SUBSTITUTE ($T375,I$1&amp;"" CE"",""""), I$1&amp;""[\w &amp;]*, (\d+\.\d+)""),"""")
"),"")</f>
        <v/>
      </c>
      <c r="J375" s="3" t="str">
        <f aca="false">IFERROR(__xludf.dummyfunction("if($T375&lt;&gt;"""",REGEXEXTRACT($T375, J$1&amp;""[\w &amp;]*, (\d+\.\d+)""),"""")
"),"")</f>
        <v/>
      </c>
      <c r="K375" s="3"/>
      <c r="L375" s="3" t="str">
        <f aca="false">IFERROR(__xludf.dummyfunction("if($T375&lt;&gt;"""",REGEXEXTRACT(SUBSTITUTE ($T375,L$1&amp;"" CE"",""""), L$1&amp;""[\w &amp;]*, (\d+\.\d+)""),"""")
"),"")</f>
        <v/>
      </c>
      <c r="M375" s="3" t="str">
        <f aca="false">IFERROR(__xludf.dummyfunction("if($T375&lt;&gt;"""",REGEXEXTRACT($T375, M$1&amp;""[\w &amp;]*, (\d+\.\d+)""),"""")
"),"")</f>
        <v/>
      </c>
      <c r="N375" s="3" t="str">
        <f aca="false">IFERROR(__xludf.dummyfunction("if($T375&lt;&gt;"""",REGEXEXTRACT(SUBSTITUTE ($T375,N$1&amp;"" CE"",""""), N$1&amp;""[\w &amp;]*, (\d+\.\d+)""),"""")
"),"")</f>
        <v/>
      </c>
      <c r="O375" s="3" t="str">
        <f aca="false">IFERROR(__xludf.dummyfunction("if($T375&lt;&gt;"""",REGEXEXTRACT($T375, O$1&amp;""[\w &amp;]*, (\d+\.\d+)""),"""")
"),"")</f>
        <v/>
      </c>
      <c r="P375" s="2"/>
      <c r="Q375" s="2"/>
      <c r="R375" s="2"/>
      <c r="S375" s="2"/>
      <c r="T375" s="5"/>
    </row>
    <row r="376" customFormat="false" ht="15.75" hidden="false" customHeight="false" outlineLevel="0" collapsed="false">
      <c r="A376" s="4"/>
      <c r="B376" s="2"/>
      <c r="C376" s="2"/>
      <c r="D376" s="2"/>
      <c r="E376" s="2"/>
      <c r="F376" s="3" t="str">
        <f aca="false">IFERROR(__xludf.dummyfunction("if($T376&lt;&gt;"""",REGEXEXTRACT(SUBSTITUTE ($T376,F$1&amp;"" CE"",""""), F$1&amp;""[\w &amp;]*, (\d+\.\d+)""),"""")
"),"")</f>
        <v/>
      </c>
      <c r="G376" s="3" t="str">
        <f aca="false">IFERROR(__xludf.dummyfunction("if($T376&lt;&gt;"""",REGEXEXTRACT($T376, G$1&amp;""[\w &amp;]*, (\d+\.\d+)""),"""")
"),"")</f>
        <v/>
      </c>
      <c r="H376" s="3"/>
      <c r="I376" s="3" t="str">
        <f aca="false">IFERROR(__xludf.dummyfunction("if($T376&lt;&gt;"""",REGEXEXTRACT(SUBSTITUTE ($T376,I$1&amp;"" CE"",""""), I$1&amp;""[\w &amp;]*, (\d+\.\d+)""),"""")
"),"")</f>
        <v/>
      </c>
      <c r="J376" s="3" t="str">
        <f aca="false">IFERROR(__xludf.dummyfunction("if($T376&lt;&gt;"""",REGEXEXTRACT($T376, J$1&amp;""[\w &amp;]*, (\d+\.\d+)""),"""")
"),"")</f>
        <v/>
      </c>
      <c r="K376" s="3"/>
      <c r="L376" s="3" t="str">
        <f aca="false">IFERROR(__xludf.dummyfunction("if($T376&lt;&gt;"""",REGEXEXTRACT(SUBSTITUTE ($T376,L$1&amp;"" CE"",""""), L$1&amp;""[\w &amp;]*, (\d+\.\d+)""),"""")
"),"")</f>
        <v/>
      </c>
      <c r="M376" s="3" t="str">
        <f aca="false">IFERROR(__xludf.dummyfunction("if($T376&lt;&gt;"""",REGEXEXTRACT($T376, M$1&amp;""[\w &amp;]*, (\d+\.\d+)""),"""")
"),"")</f>
        <v/>
      </c>
      <c r="N376" s="3" t="str">
        <f aca="false">IFERROR(__xludf.dummyfunction("if($T376&lt;&gt;"""",REGEXEXTRACT(SUBSTITUTE ($T376,N$1&amp;"" CE"",""""), N$1&amp;""[\w &amp;]*, (\d+\.\d+)""),"""")
"),"")</f>
        <v/>
      </c>
      <c r="O376" s="3" t="str">
        <f aca="false">IFERROR(__xludf.dummyfunction("if($T376&lt;&gt;"""",REGEXEXTRACT($T376, O$1&amp;""[\w &amp;]*, (\d+\.\d+)""),"""")
"),"")</f>
        <v/>
      </c>
      <c r="P376" s="2"/>
      <c r="Q376" s="2"/>
      <c r="R376" s="2"/>
      <c r="S376" s="2"/>
      <c r="T376" s="5"/>
    </row>
    <row r="377" customFormat="false" ht="15.75" hidden="false" customHeight="false" outlineLevel="0" collapsed="false">
      <c r="A377" s="4"/>
      <c r="B377" s="2"/>
      <c r="C377" s="2"/>
      <c r="D377" s="2"/>
      <c r="E377" s="2"/>
      <c r="F377" s="3" t="str">
        <f aca="false">IFERROR(__xludf.dummyfunction("if($T377&lt;&gt;"""",REGEXEXTRACT(SUBSTITUTE ($T377,F$1&amp;"" CE"",""""), F$1&amp;""[\w &amp;]*, (\d+\.\d+)""),"""")
"),"")</f>
        <v/>
      </c>
      <c r="G377" s="3" t="str">
        <f aca="false">IFERROR(__xludf.dummyfunction("if($T377&lt;&gt;"""",REGEXEXTRACT($T377, G$1&amp;""[\w &amp;]*, (\d+\.\d+)""),"""")
"),"")</f>
        <v/>
      </c>
      <c r="H377" s="3"/>
      <c r="I377" s="3" t="str">
        <f aca="false">IFERROR(__xludf.dummyfunction("if($T377&lt;&gt;"""",REGEXEXTRACT(SUBSTITUTE ($T377,I$1&amp;"" CE"",""""), I$1&amp;""[\w &amp;]*, (\d+\.\d+)""),"""")
"),"")</f>
        <v/>
      </c>
      <c r="J377" s="3" t="str">
        <f aca="false">IFERROR(__xludf.dummyfunction("if($T377&lt;&gt;"""",REGEXEXTRACT($T377, J$1&amp;""[\w &amp;]*, (\d+\.\d+)""),"""")
"),"")</f>
        <v/>
      </c>
      <c r="K377" s="3"/>
      <c r="L377" s="3" t="str">
        <f aca="false">IFERROR(__xludf.dummyfunction("if($T377&lt;&gt;"""",REGEXEXTRACT(SUBSTITUTE ($T377,L$1&amp;"" CE"",""""), L$1&amp;""[\w &amp;]*, (\d+\.\d+)""),"""")
"),"")</f>
        <v/>
      </c>
      <c r="M377" s="3" t="str">
        <f aca="false">IFERROR(__xludf.dummyfunction("if($T377&lt;&gt;"""",REGEXEXTRACT($T377, M$1&amp;""[\w &amp;]*, (\d+\.\d+)""),"""")
"),"")</f>
        <v/>
      </c>
      <c r="N377" s="3" t="str">
        <f aca="false">IFERROR(__xludf.dummyfunction("if($T377&lt;&gt;"""",REGEXEXTRACT(SUBSTITUTE ($T377,N$1&amp;"" CE"",""""), N$1&amp;""[\w &amp;]*, (\d+\.\d+)""),"""")
"),"")</f>
        <v/>
      </c>
      <c r="O377" s="3" t="str">
        <f aca="false">IFERROR(__xludf.dummyfunction("if($T377&lt;&gt;"""",REGEXEXTRACT($T377, O$1&amp;""[\w &amp;]*, (\d+\.\d+)""),"""")
"),"")</f>
        <v/>
      </c>
      <c r="P377" s="2"/>
      <c r="Q377" s="2"/>
      <c r="R377" s="2"/>
      <c r="S377" s="2"/>
      <c r="T377" s="5"/>
    </row>
    <row r="378" customFormat="false" ht="15.75" hidden="false" customHeight="false" outlineLevel="0" collapsed="false">
      <c r="A378" s="4"/>
      <c r="B378" s="2"/>
      <c r="C378" s="2"/>
      <c r="D378" s="2"/>
      <c r="E378" s="2"/>
      <c r="F378" s="3" t="str">
        <f aca="false">IFERROR(__xludf.dummyfunction("if($T378&lt;&gt;"""",REGEXEXTRACT(SUBSTITUTE ($T378,F$1&amp;"" CE"",""""), F$1&amp;""[\w &amp;]*, (\d+\.\d+)""),"""")
"),"")</f>
        <v/>
      </c>
      <c r="G378" s="3" t="str">
        <f aca="false">IFERROR(__xludf.dummyfunction("if($T378&lt;&gt;"""",REGEXEXTRACT($T378, G$1&amp;""[\w &amp;]*, (\d+\.\d+)""),"""")
"),"")</f>
        <v/>
      </c>
      <c r="H378" s="3"/>
      <c r="I378" s="3" t="str">
        <f aca="false">IFERROR(__xludf.dummyfunction("if($T378&lt;&gt;"""",REGEXEXTRACT(SUBSTITUTE ($T378,I$1&amp;"" CE"",""""), I$1&amp;""[\w &amp;]*, (\d+\.\d+)""),"""")
"),"")</f>
        <v/>
      </c>
      <c r="J378" s="3" t="str">
        <f aca="false">IFERROR(__xludf.dummyfunction("if($T378&lt;&gt;"""",REGEXEXTRACT($T378, J$1&amp;""[\w &amp;]*, (\d+\.\d+)""),"""")
"),"")</f>
        <v/>
      </c>
      <c r="K378" s="3"/>
      <c r="L378" s="3" t="str">
        <f aca="false">IFERROR(__xludf.dummyfunction("if($T378&lt;&gt;"""",REGEXEXTRACT(SUBSTITUTE ($T378,L$1&amp;"" CE"",""""), L$1&amp;""[\w &amp;]*, (\d+\.\d+)""),"""")
"),"")</f>
        <v/>
      </c>
      <c r="M378" s="3" t="str">
        <f aca="false">IFERROR(__xludf.dummyfunction("if($T378&lt;&gt;"""",REGEXEXTRACT($T378, M$1&amp;""[\w &amp;]*, (\d+\.\d+)""),"""")
"),"")</f>
        <v/>
      </c>
      <c r="N378" s="3" t="str">
        <f aca="false">IFERROR(__xludf.dummyfunction("if($T378&lt;&gt;"""",REGEXEXTRACT(SUBSTITUTE ($T378,N$1&amp;"" CE"",""""), N$1&amp;""[\w &amp;]*, (\d+\.\d+)""),"""")
"),"")</f>
        <v/>
      </c>
      <c r="O378" s="3" t="str">
        <f aca="false">IFERROR(__xludf.dummyfunction("if($T378&lt;&gt;"""",REGEXEXTRACT($T378, O$1&amp;""[\w &amp;]*, (\d+\.\d+)""),"""")
"),"")</f>
        <v/>
      </c>
      <c r="P378" s="2"/>
      <c r="Q378" s="2"/>
      <c r="R378" s="2"/>
      <c r="S378" s="2"/>
      <c r="T378" s="5"/>
    </row>
    <row r="379" customFormat="false" ht="15.75" hidden="false" customHeight="false" outlineLevel="0" collapsed="false">
      <c r="A379" s="4"/>
      <c r="B379" s="2"/>
      <c r="C379" s="2"/>
      <c r="D379" s="2"/>
      <c r="E379" s="2"/>
      <c r="F379" s="3" t="str">
        <f aca="false">IFERROR(__xludf.dummyfunction("if($T379&lt;&gt;"""",REGEXEXTRACT(SUBSTITUTE ($T379,F$1&amp;"" CE"",""""), F$1&amp;""[\w &amp;]*, (\d+\.\d+)""),"""")
"),"")</f>
        <v/>
      </c>
      <c r="G379" s="3" t="str">
        <f aca="false">IFERROR(__xludf.dummyfunction("if($T379&lt;&gt;"""",REGEXEXTRACT($T379, G$1&amp;""[\w &amp;]*, (\d+\.\d+)""),"""")
"),"")</f>
        <v/>
      </c>
      <c r="H379" s="3"/>
      <c r="I379" s="3" t="str">
        <f aca="false">IFERROR(__xludf.dummyfunction("if($T379&lt;&gt;"""",REGEXEXTRACT(SUBSTITUTE ($T379,I$1&amp;"" CE"",""""), I$1&amp;""[\w &amp;]*, (\d+\.\d+)""),"""")
"),"")</f>
        <v/>
      </c>
      <c r="J379" s="3" t="str">
        <f aca="false">IFERROR(__xludf.dummyfunction("if($T379&lt;&gt;"""",REGEXEXTRACT($T379, J$1&amp;""[\w &amp;]*, (\d+\.\d+)""),"""")
"),"")</f>
        <v/>
      </c>
      <c r="K379" s="3"/>
      <c r="L379" s="3" t="str">
        <f aca="false">IFERROR(__xludf.dummyfunction("if($T379&lt;&gt;"""",REGEXEXTRACT(SUBSTITUTE ($T379,L$1&amp;"" CE"",""""), L$1&amp;""[\w &amp;]*, (\d+\.\d+)""),"""")
"),"")</f>
        <v/>
      </c>
      <c r="M379" s="3" t="str">
        <f aca="false">IFERROR(__xludf.dummyfunction("if($T379&lt;&gt;"""",REGEXEXTRACT($T379, M$1&amp;""[\w &amp;]*, (\d+\.\d+)""),"""")
"),"")</f>
        <v/>
      </c>
      <c r="N379" s="3" t="str">
        <f aca="false">IFERROR(__xludf.dummyfunction("if($T379&lt;&gt;"""",REGEXEXTRACT(SUBSTITUTE ($T379,N$1&amp;"" CE"",""""), N$1&amp;""[\w &amp;]*, (\d+\.\d+)""),"""")
"),"")</f>
        <v/>
      </c>
      <c r="O379" s="3" t="str">
        <f aca="false">IFERROR(__xludf.dummyfunction("if($T379&lt;&gt;"""",REGEXEXTRACT($T379, O$1&amp;""[\w &amp;]*, (\d+\.\d+)""),"""")
"),"")</f>
        <v/>
      </c>
      <c r="P379" s="2"/>
      <c r="Q379" s="2"/>
      <c r="R379" s="2"/>
      <c r="S379" s="2"/>
      <c r="T379" s="5"/>
    </row>
    <row r="380" customFormat="false" ht="15.75" hidden="false" customHeight="false" outlineLevel="0" collapsed="false">
      <c r="A380" s="4"/>
      <c r="B380" s="2"/>
      <c r="C380" s="2"/>
      <c r="D380" s="2"/>
      <c r="E380" s="2"/>
      <c r="F380" s="3" t="str">
        <f aca="false">IFERROR(__xludf.dummyfunction("if($T380&lt;&gt;"""",REGEXEXTRACT(SUBSTITUTE ($T380,F$1&amp;"" CE"",""""), F$1&amp;""[\w &amp;]*, (\d+\.\d+)""),"""")
"),"")</f>
        <v/>
      </c>
      <c r="G380" s="3" t="str">
        <f aca="false">IFERROR(__xludf.dummyfunction("if($T380&lt;&gt;"""",REGEXEXTRACT($T380, G$1&amp;""[\w &amp;]*, (\d+\.\d+)""),"""")
"),"")</f>
        <v/>
      </c>
      <c r="H380" s="3"/>
      <c r="I380" s="3" t="str">
        <f aca="false">IFERROR(__xludf.dummyfunction("if($T380&lt;&gt;"""",REGEXEXTRACT(SUBSTITUTE ($T380,I$1&amp;"" CE"",""""), I$1&amp;""[\w &amp;]*, (\d+\.\d+)""),"""")
"),"")</f>
        <v/>
      </c>
      <c r="J380" s="3" t="str">
        <f aca="false">IFERROR(__xludf.dummyfunction("if($T380&lt;&gt;"""",REGEXEXTRACT($T380, J$1&amp;""[\w &amp;]*, (\d+\.\d+)""),"""")
"),"")</f>
        <v/>
      </c>
      <c r="K380" s="3"/>
      <c r="L380" s="3" t="str">
        <f aca="false">IFERROR(__xludf.dummyfunction("if($T380&lt;&gt;"""",REGEXEXTRACT(SUBSTITUTE ($T380,L$1&amp;"" CE"",""""), L$1&amp;""[\w &amp;]*, (\d+\.\d+)""),"""")
"),"")</f>
        <v/>
      </c>
      <c r="M380" s="3" t="str">
        <f aca="false">IFERROR(__xludf.dummyfunction("if($T380&lt;&gt;"""",REGEXEXTRACT($T380, M$1&amp;""[\w &amp;]*, (\d+\.\d+)""),"""")
"),"")</f>
        <v/>
      </c>
      <c r="N380" s="3" t="str">
        <f aca="false">IFERROR(__xludf.dummyfunction("if($T380&lt;&gt;"""",REGEXEXTRACT(SUBSTITUTE ($T380,N$1&amp;"" CE"",""""), N$1&amp;""[\w &amp;]*, (\d+\.\d+)""),"""")
"),"")</f>
        <v/>
      </c>
      <c r="O380" s="3" t="str">
        <f aca="false">IFERROR(__xludf.dummyfunction("if($T380&lt;&gt;"""",REGEXEXTRACT($T380, O$1&amp;""[\w &amp;]*, (\d+\.\d+)""),"""")
"),"")</f>
        <v/>
      </c>
      <c r="P380" s="2"/>
      <c r="Q380" s="2"/>
      <c r="R380" s="2"/>
      <c r="S380" s="2"/>
      <c r="T380" s="5"/>
    </row>
    <row r="381" customFormat="false" ht="15.75" hidden="false" customHeight="false" outlineLevel="0" collapsed="false">
      <c r="A381" s="4"/>
      <c r="B381" s="2"/>
      <c r="C381" s="2"/>
      <c r="D381" s="2"/>
      <c r="E381" s="2"/>
      <c r="F381" s="3" t="str">
        <f aca="false">IFERROR(__xludf.dummyfunction("if($T381&lt;&gt;"""",REGEXEXTRACT(SUBSTITUTE ($T381,F$1&amp;"" CE"",""""), F$1&amp;""[\w &amp;]*, (\d+\.\d+)""),"""")
"),"")</f>
        <v/>
      </c>
      <c r="G381" s="3" t="str">
        <f aca="false">IFERROR(__xludf.dummyfunction("if($T381&lt;&gt;"""",REGEXEXTRACT($T381, G$1&amp;""[\w &amp;]*, (\d+\.\d+)""),"""")
"),"")</f>
        <v/>
      </c>
      <c r="H381" s="3"/>
      <c r="I381" s="3" t="str">
        <f aca="false">IFERROR(__xludf.dummyfunction("if($T381&lt;&gt;"""",REGEXEXTRACT(SUBSTITUTE ($T381,I$1&amp;"" CE"",""""), I$1&amp;""[\w &amp;]*, (\d+\.\d+)""),"""")
"),"")</f>
        <v/>
      </c>
      <c r="J381" s="3" t="str">
        <f aca="false">IFERROR(__xludf.dummyfunction("if($T381&lt;&gt;"""",REGEXEXTRACT($T381, J$1&amp;""[\w &amp;]*, (\d+\.\d+)""),"""")
"),"")</f>
        <v/>
      </c>
      <c r="K381" s="3"/>
      <c r="L381" s="3" t="str">
        <f aca="false">IFERROR(__xludf.dummyfunction("if($T381&lt;&gt;"""",REGEXEXTRACT(SUBSTITUTE ($T381,L$1&amp;"" CE"",""""), L$1&amp;""[\w &amp;]*, (\d+\.\d+)""),"""")
"),"")</f>
        <v/>
      </c>
      <c r="M381" s="3" t="str">
        <f aca="false">IFERROR(__xludf.dummyfunction("if($T381&lt;&gt;"""",REGEXEXTRACT($T381, M$1&amp;""[\w &amp;]*, (\d+\.\d+)""),"""")
"),"")</f>
        <v/>
      </c>
      <c r="N381" s="3" t="str">
        <f aca="false">IFERROR(__xludf.dummyfunction("if($T381&lt;&gt;"""",REGEXEXTRACT(SUBSTITUTE ($T381,N$1&amp;"" CE"",""""), N$1&amp;""[\w &amp;]*, (\d+\.\d+)""),"""")
"),"")</f>
        <v/>
      </c>
      <c r="O381" s="3" t="str">
        <f aca="false">IFERROR(__xludf.dummyfunction("if($T381&lt;&gt;"""",REGEXEXTRACT($T381, O$1&amp;""[\w &amp;]*, (\d+\.\d+)""),"""")
"),"")</f>
        <v/>
      </c>
      <c r="P381" s="2"/>
      <c r="Q381" s="2"/>
      <c r="R381" s="2"/>
      <c r="S381" s="2"/>
      <c r="T381" s="5"/>
    </row>
    <row r="382" customFormat="false" ht="15.75" hidden="false" customHeight="false" outlineLevel="0" collapsed="false">
      <c r="A382" s="4"/>
      <c r="B382" s="2"/>
      <c r="C382" s="2"/>
      <c r="D382" s="2"/>
      <c r="E382" s="2"/>
      <c r="F382" s="3" t="str">
        <f aca="false">IFERROR(__xludf.dummyfunction("if($T382&lt;&gt;"""",REGEXEXTRACT(SUBSTITUTE ($T382,F$1&amp;"" CE"",""""), F$1&amp;""[\w &amp;]*, (\d+\.\d+)""),"""")
"),"")</f>
        <v/>
      </c>
      <c r="G382" s="3" t="str">
        <f aca="false">IFERROR(__xludf.dummyfunction("if($T382&lt;&gt;"""",REGEXEXTRACT($T382, G$1&amp;""[\w &amp;]*, (\d+\.\d+)""),"""")
"),"")</f>
        <v/>
      </c>
      <c r="H382" s="3"/>
      <c r="I382" s="3" t="str">
        <f aca="false">IFERROR(__xludf.dummyfunction("if($T382&lt;&gt;"""",REGEXEXTRACT(SUBSTITUTE ($T382,I$1&amp;"" CE"",""""), I$1&amp;""[\w &amp;]*, (\d+\.\d+)""),"""")
"),"")</f>
        <v/>
      </c>
      <c r="J382" s="3" t="str">
        <f aca="false">IFERROR(__xludf.dummyfunction("if($T382&lt;&gt;"""",REGEXEXTRACT($T382, J$1&amp;""[\w &amp;]*, (\d+\.\d+)""),"""")
"),"")</f>
        <v/>
      </c>
      <c r="K382" s="3"/>
      <c r="L382" s="3" t="str">
        <f aca="false">IFERROR(__xludf.dummyfunction("if($T382&lt;&gt;"""",REGEXEXTRACT(SUBSTITUTE ($T382,L$1&amp;"" CE"",""""), L$1&amp;""[\w &amp;]*, (\d+\.\d+)""),"""")
"),"")</f>
        <v/>
      </c>
      <c r="M382" s="3" t="str">
        <f aca="false">IFERROR(__xludf.dummyfunction("if($T382&lt;&gt;"""",REGEXEXTRACT($T382, M$1&amp;""[\w &amp;]*, (\d+\.\d+)""),"""")
"),"")</f>
        <v/>
      </c>
      <c r="N382" s="3" t="str">
        <f aca="false">IFERROR(__xludf.dummyfunction("if($T382&lt;&gt;"""",REGEXEXTRACT(SUBSTITUTE ($T382,N$1&amp;"" CE"",""""), N$1&amp;""[\w &amp;]*, (\d+\.\d+)""),"""")
"),"")</f>
        <v/>
      </c>
      <c r="O382" s="3" t="str">
        <f aca="false">IFERROR(__xludf.dummyfunction("if($T382&lt;&gt;"""",REGEXEXTRACT($T382, O$1&amp;""[\w &amp;]*, (\d+\.\d+)""),"""")
"),"")</f>
        <v/>
      </c>
      <c r="P382" s="2"/>
      <c r="Q382" s="2"/>
      <c r="R382" s="2"/>
      <c r="S382" s="2"/>
      <c r="T382" s="5"/>
    </row>
    <row r="383" customFormat="false" ht="15.75" hidden="false" customHeight="false" outlineLevel="0" collapsed="false">
      <c r="A383" s="4"/>
      <c r="B383" s="2"/>
      <c r="C383" s="2"/>
      <c r="D383" s="2"/>
      <c r="E383" s="2"/>
      <c r="F383" s="3" t="str">
        <f aca="false">IFERROR(__xludf.dummyfunction("if($T383&lt;&gt;"""",REGEXEXTRACT(SUBSTITUTE ($T383,F$1&amp;"" CE"",""""), F$1&amp;""[\w &amp;]*, (\d+\.\d+)""),"""")
"),"")</f>
        <v/>
      </c>
      <c r="G383" s="3" t="str">
        <f aca="false">IFERROR(__xludf.dummyfunction("if($T383&lt;&gt;"""",REGEXEXTRACT($T383, G$1&amp;""[\w &amp;]*, (\d+\.\d+)""),"""")
"),"")</f>
        <v/>
      </c>
      <c r="H383" s="3"/>
      <c r="I383" s="3" t="str">
        <f aca="false">IFERROR(__xludf.dummyfunction("if($T383&lt;&gt;"""",REGEXEXTRACT(SUBSTITUTE ($T383,I$1&amp;"" CE"",""""), I$1&amp;""[\w &amp;]*, (\d+\.\d+)""),"""")
"),"")</f>
        <v/>
      </c>
      <c r="J383" s="3" t="str">
        <f aca="false">IFERROR(__xludf.dummyfunction("if($T383&lt;&gt;"""",REGEXEXTRACT($T383, J$1&amp;""[\w &amp;]*, (\d+\.\d+)""),"""")
"),"")</f>
        <v/>
      </c>
      <c r="K383" s="3"/>
      <c r="L383" s="3" t="str">
        <f aca="false">IFERROR(__xludf.dummyfunction("if($T383&lt;&gt;"""",REGEXEXTRACT(SUBSTITUTE ($T383,L$1&amp;"" CE"",""""), L$1&amp;""[\w &amp;]*, (\d+\.\d+)""),"""")
"),"")</f>
        <v/>
      </c>
      <c r="M383" s="3" t="str">
        <f aca="false">IFERROR(__xludf.dummyfunction("if($T383&lt;&gt;"""",REGEXEXTRACT($T383, M$1&amp;""[\w &amp;]*, (\d+\.\d+)""),"""")
"),"")</f>
        <v/>
      </c>
      <c r="N383" s="3" t="str">
        <f aca="false">IFERROR(__xludf.dummyfunction("if($T383&lt;&gt;"""",REGEXEXTRACT(SUBSTITUTE ($T383,N$1&amp;"" CE"",""""), N$1&amp;""[\w &amp;]*, (\d+\.\d+)""),"""")
"),"")</f>
        <v/>
      </c>
      <c r="O383" s="3" t="str">
        <f aca="false">IFERROR(__xludf.dummyfunction("if($T383&lt;&gt;"""",REGEXEXTRACT($T383, O$1&amp;""[\w &amp;]*, (\d+\.\d+)""),"""")
"),"")</f>
        <v/>
      </c>
      <c r="P383" s="2"/>
      <c r="Q383" s="2"/>
      <c r="R383" s="2"/>
      <c r="S383" s="2"/>
      <c r="T383" s="5"/>
    </row>
    <row r="384" customFormat="false" ht="15.75" hidden="false" customHeight="false" outlineLevel="0" collapsed="false">
      <c r="A384" s="4"/>
      <c r="B384" s="2"/>
      <c r="C384" s="2"/>
      <c r="D384" s="2"/>
      <c r="E384" s="2"/>
      <c r="F384" s="3" t="str">
        <f aca="false">IFERROR(__xludf.dummyfunction("if($T384&lt;&gt;"""",REGEXEXTRACT(SUBSTITUTE ($T384,F$1&amp;"" CE"",""""), F$1&amp;""[\w &amp;]*, (\d+\.\d+)""),"""")
"),"")</f>
        <v/>
      </c>
      <c r="G384" s="3" t="str">
        <f aca="false">IFERROR(__xludf.dummyfunction("if($T384&lt;&gt;"""",REGEXEXTRACT($T384, G$1&amp;""[\w &amp;]*, (\d+\.\d+)""),"""")
"),"")</f>
        <v/>
      </c>
      <c r="H384" s="3"/>
      <c r="I384" s="3" t="str">
        <f aca="false">IFERROR(__xludf.dummyfunction("if($T384&lt;&gt;"""",REGEXEXTRACT(SUBSTITUTE ($T384,I$1&amp;"" CE"",""""), I$1&amp;""[\w &amp;]*, (\d+\.\d+)""),"""")
"),"")</f>
        <v/>
      </c>
      <c r="J384" s="3" t="str">
        <f aca="false">IFERROR(__xludf.dummyfunction("if($T384&lt;&gt;"""",REGEXEXTRACT($T384, J$1&amp;""[\w &amp;]*, (\d+\.\d+)""),"""")
"),"")</f>
        <v/>
      </c>
      <c r="K384" s="3"/>
      <c r="L384" s="3" t="str">
        <f aca="false">IFERROR(__xludf.dummyfunction("if($T384&lt;&gt;"""",REGEXEXTRACT(SUBSTITUTE ($T384,L$1&amp;"" CE"",""""), L$1&amp;""[\w &amp;]*, (\d+\.\d+)""),"""")
"),"")</f>
        <v/>
      </c>
      <c r="M384" s="3" t="str">
        <f aca="false">IFERROR(__xludf.dummyfunction("if($T384&lt;&gt;"""",REGEXEXTRACT($T384, M$1&amp;""[\w &amp;]*, (\d+\.\d+)""),"""")
"),"")</f>
        <v/>
      </c>
      <c r="N384" s="3" t="str">
        <f aca="false">IFERROR(__xludf.dummyfunction("if($T384&lt;&gt;"""",REGEXEXTRACT(SUBSTITUTE ($T384,N$1&amp;"" CE"",""""), N$1&amp;""[\w &amp;]*, (\d+\.\d+)""),"""")
"),"")</f>
        <v/>
      </c>
      <c r="O384" s="3" t="str">
        <f aca="false">IFERROR(__xludf.dummyfunction("if($T384&lt;&gt;"""",REGEXEXTRACT($T384, O$1&amp;""[\w &amp;]*, (\d+\.\d+)""),"""")
"),"")</f>
        <v/>
      </c>
      <c r="P384" s="2"/>
      <c r="Q384" s="2"/>
      <c r="R384" s="2"/>
      <c r="S384" s="2"/>
      <c r="T384" s="5"/>
    </row>
    <row r="385" customFormat="false" ht="15.75" hidden="false" customHeight="false" outlineLevel="0" collapsed="false">
      <c r="A385" s="4"/>
      <c r="B385" s="2"/>
      <c r="C385" s="2"/>
      <c r="D385" s="2"/>
      <c r="E385" s="2"/>
      <c r="F385" s="3" t="str">
        <f aca="false">IFERROR(__xludf.dummyfunction("if($T385&lt;&gt;"""",REGEXEXTRACT(SUBSTITUTE ($T385,F$1&amp;"" CE"",""""), F$1&amp;""[\w &amp;]*, (\d+\.\d+)""),"""")
"),"")</f>
        <v/>
      </c>
      <c r="G385" s="3" t="str">
        <f aca="false">IFERROR(__xludf.dummyfunction("if($T385&lt;&gt;"""",REGEXEXTRACT($T385, G$1&amp;""[\w &amp;]*, (\d+\.\d+)""),"""")
"),"")</f>
        <v/>
      </c>
      <c r="H385" s="3"/>
      <c r="I385" s="3" t="str">
        <f aca="false">IFERROR(__xludf.dummyfunction("if($T385&lt;&gt;"""",REGEXEXTRACT(SUBSTITUTE ($T385,I$1&amp;"" CE"",""""), I$1&amp;""[\w &amp;]*, (\d+\.\d+)""),"""")
"),"")</f>
        <v/>
      </c>
      <c r="J385" s="3" t="str">
        <f aca="false">IFERROR(__xludf.dummyfunction("if($T385&lt;&gt;"""",REGEXEXTRACT($T385, J$1&amp;""[\w &amp;]*, (\d+\.\d+)""),"""")
"),"")</f>
        <v/>
      </c>
      <c r="K385" s="3"/>
      <c r="L385" s="3" t="str">
        <f aca="false">IFERROR(__xludf.dummyfunction("if($T385&lt;&gt;"""",REGEXEXTRACT(SUBSTITUTE ($T385,L$1&amp;"" CE"",""""), L$1&amp;""[\w &amp;]*, (\d+\.\d+)""),"""")
"),"")</f>
        <v/>
      </c>
      <c r="M385" s="3" t="str">
        <f aca="false">IFERROR(__xludf.dummyfunction("if($T385&lt;&gt;"""",REGEXEXTRACT($T385, M$1&amp;""[\w &amp;]*, (\d+\.\d+)""),"""")
"),"")</f>
        <v/>
      </c>
      <c r="N385" s="3" t="str">
        <f aca="false">IFERROR(__xludf.dummyfunction("if($T385&lt;&gt;"""",REGEXEXTRACT(SUBSTITUTE ($T385,N$1&amp;"" CE"",""""), N$1&amp;""[\w &amp;]*, (\d+\.\d+)""),"""")
"),"")</f>
        <v/>
      </c>
      <c r="O385" s="3" t="str">
        <f aca="false">IFERROR(__xludf.dummyfunction("if($T385&lt;&gt;"""",REGEXEXTRACT($T385, O$1&amp;""[\w &amp;]*, (\d+\.\d+)""),"""")
"),"")</f>
        <v/>
      </c>
      <c r="P385" s="2"/>
      <c r="Q385" s="2"/>
      <c r="R385" s="2"/>
      <c r="S385" s="2"/>
      <c r="T385" s="5"/>
    </row>
    <row r="386" customFormat="false" ht="15.75" hidden="false" customHeight="false" outlineLevel="0" collapsed="false">
      <c r="A386" s="4"/>
      <c r="B386" s="2"/>
      <c r="C386" s="2"/>
      <c r="D386" s="2"/>
      <c r="E386" s="2"/>
      <c r="F386" s="3" t="str">
        <f aca="false">IFERROR(__xludf.dummyfunction("if($T386&lt;&gt;"""",REGEXEXTRACT(SUBSTITUTE ($T386,F$1&amp;"" CE"",""""), F$1&amp;""[\w &amp;]*, (\d+\.\d+)""),"""")
"),"")</f>
        <v/>
      </c>
      <c r="G386" s="3" t="str">
        <f aca="false">IFERROR(__xludf.dummyfunction("if($T386&lt;&gt;"""",REGEXEXTRACT($T386, G$1&amp;""[\w &amp;]*, (\d+\.\d+)""),"""")
"),"")</f>
        <v/>
      </c>
      <c r="H386" s="3"/>
      <c r="I386" s="3" t="str">
        <f aca="false">IFERROR(__xludf.dummyfunction("if($T386&lt;&gt;"""",REGEXEXTRACT(SUBSTITUTE ($T386,I$1&amp;"" CE"",""""), I$1&amp;""[\w &amp;]*, (\d+\.\d+)""),"""")
"),"")</f>
        <v/>
      </c>
      <c r="J386" s="3" t="str">
        <f aca="false">IFERROR(__xludf.dummyfunction("if($T386&lt;&gt;"""",REGEXEXTRACT($T386, J$1&amp;""[\w &amp;]*, (\d+\.\d+)""),"""")
"),"")</f>
        <v/>
      </c>
      <c r="K386" s="3"/>
      <c r="L386" s="3" t="str">
        <f aca="false">IFERROR(__xludf.dummyfunction("if($T386&lt;&gt;"""",REGEXEXTRACT(SUBSTITUTE ($T386,L$1&amp;"" CE"",""""), L$1&amp;""[\w &amp;]*, (\d+\.\d+)""),"""")
"),"")</f>
        <v/>
      </c>
      <c r="M386" s="3" t="str">
        <f aca="false">IFERROR(__xludf.dummyfunction("if($T386&lt;&gt;"""",REGEXEXTRACT($T386, M$1&amp;""[\w &amp;]*, (\d+\.\d+)""),"""")
"),"")</f>
        <v/>
      </c>
      <c r="N386" s="3" t="str">
        <f aca="false">IFERROR(__xludf.dummyfunction("if($T386&lt;&gt;"""",REGEXEXTRACT(SUBSTITUTE ($T386,N$1&amp;"" CE"",""""), N$1&amp;""[\w &amp;]*, (\d+\.\d+)""),"""")
"),"")</f>
        <v/>
      </c>
      <c r="O386" s="3" t="str">
        <f aca="false">IFERROR(__xludf.dummyfunction("if($T386&lt;&gt;"""",REGEXEXTRACT($T386, O$1&amp;""[\w &amp;]*, (\d+\.\d+)""),"""")
"),"")</f>
        <v/>
      </c>
      <c r="P386" s="2"/>
      <c r="Q386" s="2"/>
      <c r="R386" s="2"/>
      <c r="S386" s="2"/>
      <c r="T386" s="5"/>
    </row>
    <row r="387" customFormat="false" ht="15.75" hidden="false" customHeight="false" outlineLevel="0" collapsed="false">
      <c r="A387" s="4"/>
      <c r="B387" s="2"/>
      <c r="C387" s="2"/>
      <c r="D387" s="2"/>
      <c r="E387" s="2"/>
      <c r="F387" s="3" t="str">
        <f aca="false">IFERROR(__xludf.dummyfunction("if($T387&lt;&gt;"""",REGEXEXTRACT(SUBSTITUTE ($T387,F$1&amp;"" CE"",""""), F$1&amp;""[\w &amp;]*, (\d+\.\d+)""),"""")
"),"")</f>
        <v/>
      </c>
      <c r="G387" s="3" t="str">
        <f aca="false">IFERROR(__xludf.dummyfunction("if($T387&lt;&gt;"""",REGEXEXTRACT($T387, G$1&amp;""[\w &amp;]*, (\d+\.\d+)""),"""")
"),"")</f>
        <v/>
      </c>
      <c r="H387" s="3"/>
      <c r="I387" s="3" t="str">
        <f aca="false">IFERROR(__xludf.dummyfunction("if($T387&lt;&gt;"""",REGEXEXTRACT(SUBSTITUTE ($T387,I$1&amp;"" CE"",""""), I$1&amp;""[\w &amp;]*, (\d+\.\d+)""),"""")
"),"")</f>
        <v/>
      </c>
      <c r="J387" s="3" t="str">
        <f aca="false">IFERROR(__xludf.dummyfunction("if($T387&lt;&gt;"""",REGEXEXTRACT($T387, J$1&amp;""[\w &amp;]*, (\d+\.\d+)""),"""")
"),"")</f>
        <v/>
      </c>
      <c r="K387" s="3"/>
      <c r="L387" s="3" t="str">
        <f aca="false">IFERROR(__xludf.dummyfunction("if($T387&lt;&gt;"""",REGEXEXTRACT(SUBSTITUTE ($T387,L$1&amp;"" CE"",""""), L$1&amp;""[\w &amp;]*, (\d+\.\d+)""),"""")
"),"")</f>
        <v/>
      </c>
      <c r="M387" s="3" t="str">
        <f aca="false">IFERROR(__xludf.dummyfunction("if($T387&lt;&gt;"""",REGEXEXTRACT($T387, M$1&amp;""[\w &amp;]*, (\d+\.\d+)""),"""")
"),"")</f>
        <v/>
      </c>
      <c r="N387" s="3" t="str">
        <f aca="false">IFERROR(__xludf.dummyfunction("if($T387&lt;&gt;"""",REGEXEXTRACT(SUBSTITUTE ($T387,N$1&amp;"" CE"",""""), N$1&amp;""[\w &amp;]*, (\d+\.\d+)""),"""")
"),"")</f>
        <v/>
      </c>
      <c r="O387" s="3" t="str">
        <f aca="false">IFERROR(__xludf.dummyfunction("if($T387&lt;&gt;"""",REGEXEXTRACT($T387, O$1&amp;""[\w &amp;]*, (\d+\.\d+)""),"""")
"),"")</f>
        <v/>
      </c>
      <c r="P387" s="2"/>
      <c r="Q387" s="2"/>
      <c r="R387" s="2"/>
      <c r="S387" s="2"/>
      <c r="T387" s="5"/>
    </row>
    <row r="388" customFormat="false" ht="15.75" hidden="false" customHeight="false" outlineLevel="0" collapsed="false">
      <c r="A388" s="4"/>
      <c r="B388" s="2"/>
      <c r="C388" s="2"/>
      <c r="D388" s="2"/>
      <c r="E388" s="2"/>
      <c r="F388" s="3" t="str">
        <f aca="false">IFERROR(__xludf.dummyfunction("if($T388&lt;&gt;"""",REGEXEXTRACT(SUBSTITUTE ($T388,F$1&amp;"" CE"",""""), F$1&amp;""[\w &amp;]*, (\d+\.\d+)""),"""")
"),"")</f>
        <v/>
      </c>
      <c r="G388" s="3" t="str">
        <f aca="false">IFERROR(__xludf.dummyfunction("if($T388&lt;&gt;"""",REGEXEXTRACT($T388, G$1&amp;""[\w &amp;]*, (\d+\.\d+)""),"""")
"),"")</f>
        <v/>
      </c>
      <c r="H388" s="3"/>
      <c r="I388" s="3" t="str">
        <f aca="false">IFERROR(__xludf.dummyfunction("if($T388&lt;&gt;"""",REGEXEXTRACT(SUBSTITUTE ($T388,I$1&amp;"" CE"",""""), I$1&amp;""[\w &amp;]*, (\d+\.\d+)""),"""")
"),"")</f>
        <v/>
      </c>
      <c r="J388" s="3" t="str">
        <f aca="false">IFERROR(__xludf.dummyfunction("if($T388&lt;&gt;"""",REGEXEXTRACT($T388, J$1&amp;""[\w &amp;]*, (\d+\.\d+)""),"""")
"),"")</f>
        <v/>
      </c>
      <c r="K388" s="3"/>
      <c r="L388" s="3" t="str">
        <f aca="false">IFERROR(__xludf.dummyfunction("if($T388&lt;&gt;"""",REGEXEXTRACT(SUBSTITUTE ($T388,L$1&amp;"" CE"",""""), L$1&amp;""[\w &amp;]*, (\d+\.\d+)""),"""")
"),"")</f>
        <v/>
      </c>
      <c r="M388" s="3" t="str">
        <f aca="false">IFERROR(__xludf.dummyfunction("if($T388&lt;&gt;"""",REGEXEXTRACT($T388, M$1&amp;""[\w &amp;]*, (\d+\.\d+)""),"""")
"),"")</f>
        <v/>
      </c>
      <c r="N388" s="3" t="str">
        <f aca="false">IFERROR(__xludf.dummyfunction("if($T388&lt;&gt;"""",REGEXEXTRACT(SUBSTITUTE ($T388,N$1&amp;"" CE"",""""), N$1&amp;""[\w &amp;]*, (\d+\.\d+)""),"""")
"),"")</f>
        <v/>
      </c>
      <c r="O388" s="3" t="str">
        <f aca="false">IFERROR(__xludf.dummyfunction("if($T388&lt;&gt;"""",REGEXEXTRACT($T388, O$1&amp;""[\w &amp;]*, (\d+\.\d+)""),"""")
"),"")</f>
        <v/>
      </c>
      <c r="P388" s="2"/>
      <c r="Q388" s="2"/>
      <c r="R388" s="2"/>
      <c r="S388" s="2"/>
      <c r="T388" s="5"/>
    </row>
    <row r="389" customFormat="false" ht="15.75" hidden="false" customHeight="false" outlineLevel="0" collapsed="false">
      <c r="A389" s="4"/>
      <c r="B389" s="2"/>
      <c r="C389" s="2"/>
      <c r="D389" s="2"/>
      <c r="E389" s="2"/>
      <c r="F389" s="3" t="str">
        <f aca="false">IFERROR(__xludf.dummyfunction("if($T389&lt;&gt;"""",REGEXEXTRACT(SUBSTITUTE ($T389,F$1&amp;"" CE"",""""), F$1&amp;""[\w &amp;]*, (\d+\.\d+)""),"""")
"),"")</f>
        <v/>
      </c>
      <c r="G389" s="3" t="str">
        <f aca="false">IFERROR(__xludf.dummyfunction("if($T389&lt;&gt;"""",REGEXEXTRACT($T389, G$1&amp;""[\w &amp;]*, (\d+\.\d+)""),"""")
"),"")</f>
        <v/>
      </c>
      <c r="H389" s="3"/>
      <c r="I389" s="3" t="str">
        <f aca="false">IFERROR(__xludf.dummyfunction("if($T389&lt;&gt;"""",REGEXEXTRACT(SUBSTITUTE ($T389,I$1&amp;"" CE"",""""), I$1&amp;""[\w &amp;]*, (\d+\.\d+)""),"""")
"),"")</f>
        <v/>
      </c>
      <c r="J389" s="3" t="str">
        <f aca="false">IFERROR(__xludf.dummyfunction("if($T389&lt;&gt;"""",REGEXEXTRACT($T389, J$1&amp;""[\w &amp;]*, (\d+\.\d+)""),"""")
"),"")</f>
        <v/>
      </c>
      <c r="K389" s="3"/>
      <c r="L389" s="3" t="str">
        <f aca="false">IFERROR(__xludf.dummyfunction("if($T389&lt;&gt;"""",REGEXEXTRACT(SUBSTITUTE ($T389,L$1&amp;"" CE"",""""), L$1&amp;""[\w &amp;]*, (\d+\.\d+)""),"""")
"),"")</f>
        <v/>
      </c>
      <c r="M389" s="3" t="str">
        <f aca="false">IFERROR(__xludf.dummyfunction("if($T389&lt;&gt;"""",REGEXEXTRACT($T389, M$1&amp;""[\w &amp;]*, (\d+\.\d+)""),"""")
"),"")</f>
        <v/>
      </c>
      <c r="N389" s="3" t="str">
        <f aca="false">IFERROR(__xludf.dummyfunction("if($T389&lt;&gt;"""",REGEXEXTRACT(SUBSTITUTE ($T389,N$1&amp;"" CE"",""""), N$1&amp;""[\w &amp;]*, (\d+\.\d+)""),"""")
"),"")</f>
        <v/>
      </c>
      <c r="O389" s="3" t="str">
        <f aca="false">IFERROR(__xludf.dummyfunction("if($T389&lt;&gt;"""",REGEXEXTRACT($T389, O$1&amp;""[\w &amp;]*, (\d+\.\d+)""),"""")
"),"")</f>
        <v/>
      </c>
      <c r="P389" s="2"/>
      <c r="Q389" s="2"/>
      <c r="R389" s="2"/>
      <c r="S389" s="2"/>
      <c r="T389" s="5"/>
    </row>
    <row r="390" customFormat="false" ht="15.75" hidden="false" customHeight="false" outlineLevel="0" collapsed="false">
      <c r="A390" s="4"/>
      <c r="B390" s="2"/>
      <c r="C390" s="2"/>
      <c r="D390" s="2"/>
      <c r="E390" s="2"/>
      <c r="F390" s="3" t="str">
        <f aca="false">IFERROR(__xludf.dummyfunction("if($T390&lt;&gt;"""",REGEXEXTRACT(SUBSTITUTE ($T390,F$1&amp;"" CE"",""""), F$1&amp;""[\w &amp;]*, (\d+\.\d+)""),"""")
"),"")</f>
        <v/>
      </c>
      <c r="G390" s="3" t="str">
        <f aca="false">IFERROR(__xludf.dummyfunction("if($T390&lt;&gt;"""",REGEXEXTRACT($T390, G$1&amp;""[\w &amp;]*, (\d+\.\d+)""),"""")
"),"")</f>
        <v/>
      </c>
      <c r="H390" s="3"/>
      <c r="I390" s="3" t="str">
        <f aca="false">IFERROR(__xludf.dummyfunction("if($T390&lt;&gt;"""",REGEXEXTRACT(SUBSTITUTE ($T390,I$1&amp;"" CE"",""""), I$1&amp;""[\w &amp;]*, (\d+\.\d+)""),"""")
"),"")</f>
        <v/>
      </c>
      <c r="J390" s="3" t="str">
        <f aca="false">IFERROR(__xludf.dummyfunction("if($T390&lt;&gt;"""",REGEXEXTRACT($T390, J$1&amp;""[\w &amp;]*, (\d+\.\d+)""),"""")
"),"")</f>
        <v/>
      </c>
      <c r="K390" s="3"/>
      <c r="L390" s="3" t="str">
        <f aca="false">IFERROR(__xludf.dummyfunction("if($T390&lt;&gt;"""",REGEXEXTRACT(SUBSTITUTE ($T390,L$1&amp;"" CE"",""""), L$1&amp;""[\w &amp;]*, (\d+\.\d+)""),"""")
"),"")</f>
        <v/>
      </c>
      <c r="M390" s="3" t="str">
        <f aca="false">IFERROR(__xludf.dummyfunction("if($T390&lt;&gt;"""",REGEXEXTRACT($T390, M$1&amp;""[\w &amp;]*, (\d+\.\d+)""),"""")
"),"")</f>
        <v/>
      </c>
      <c r="N390" s="3" t="str">
        <f aca="false">IFERROR(__xludf.dummyfunction("if($T390&lt;&gt;"""",REGEXEXTRACT(SUBSTITUTE ($T390,N$1&amp;"" CE"",""""), N$1&amp;""[\w &amp;]*, (\d+\.\d+)""),"""")
"),"")</f>
        <v/>
      </c>
      <c r="O390" s="3" t="str">
        <f aca="false">IFERROR(__xludf.dummyfunction("if($T390&lt;&gt;"""",REGEXEXTRACT($T390, O$1&amp;""[\w &amp;]*, (\d+\.\d+)""),"""")
"),"")</f>
        <v/>
      </c>
      <c r="P390" s="2"/>
      <c r="Q390" s="2"/>
      <c r="R390" s="2"/>
      <c r="S390" s="2"/>
      <c r="T390" s="5"/>
    </row>
    <row r="391" customFormat="false" ht="15.75" hidden="false" customHeight="false" outlineLevel="0" collapsed="false">
      <c r="A391" s="4"/>
      <c r="B391" s="2"/>
      <c r="C391" s="2"/>
      <c r="D391" s="2"/>
      <c r="E391" s="2"/>
      <c r="F391" s="3" t="str">
        <f aca="false">IFERROR(__xludf.dummyfunction("if($T391&lt;&gt;"""",REGEXEXTRACT(SUBSTITUTE ($T391,F$1&amp;"" CE"",""""), F$1&amp;""[\w &amp;]*, (\d+\.\d+)""),"""")
"),"")</f>
        <v/>
      </c>
      <c r="G391" s="3" t="str">
        <f aca="false">IFERROR(__xludf.dummyfunction("if($T391&lt;&gt;"""",REGEXEXTRACT($T391, G$1&amp;""[\w &amp;]*, (\d+\.\d+)""),"""")
"),"")</f>
        <v/>
      </c>
      <c r="H391" s="3"/>
      <c r="I391" s="3" t="str">
        <f aca="false">IFERROR(__xludf.dummyfunction("if($T391&lt;&gt;"""",REGEXEXTRACT(SUBSTITUTE ($T391,I$1&amp;"" CE"",""""), I$1&amp;""[\w &amp;]*, (\d+\.\d+)""),"""")
"),"")</f>
        <v/>
      </c>
      <c r="J391" s="3" t="str">
        <f aca="false">IFERROR(__xludf.dummyfunction("if($T391&lt;&gt;"""",REGEXEXTRACT($T391, J$1&amp;""[\w &amp;]*, (\d+\.\d+)""),"""")
"),"")</f>
        <v/>
      </c>
      <c r="K391" s="3"/>
      <c r="L391" s="3" t="str">
        <f aca="false">IFERROR(__xludf.dummyfunction("if($T391&lt;&gt;"""",REGEXEXTRACT(SUBSTITUTE ($T391,L$1&amp;"" CE"",""""), L$1&amp;""[\w &amp;]*, (\d+\.\d+)""),"""")
"),"")</f>
        <v/>
      </c>
      <c r="M391" s="3" t="str">
        <f aca="false">IFERROR(__xludf.dummyfunction("if($T391&lt;&gt;"""",REGEXEXTRACT($T391, M$1&amp;""[\w &amp;]*, (\d+\.\d+)""),"""")
"),"")</f>
        <v/>
      </c>
      <c r="N391" s="3" t="str">
        <f aca="false">IFERROR(__xludf.dummyfunction("if($T391&lt;&gt;"""",REGEXEXTRACT(SUBSTITUTE ($T391,N$1&amp;"" CE"",""""), N$1&amp;""[\w &amp;]*, (\d+\.\d+)""),"""")
"),"")</f>
        <v/>
      </c>
      <c r="O391" s="3" t="str">
        <f aca="false">IFERROR(__xludf.dummyfunction("if($T391&lt;&gt;"""",REGEXEXTRACT($T391, O$1&amp;""[\w &amp;]*, (\d+\.\d+)""),"""")
"),"")</f>
        <v/>
      </c>
      <c r="P391" s="2"/>
      <c r="Q391" s="2"/>
      <c r="R391" s="2"/>
      <c r="S391" s="2"/>
      <c r="T391" s="5"/>
    </row>
    <row r="392" customFormat="false" ht="15.75" hidden="false" customHeight="false" outlineLevel="0" collapsed="false">
      <c r="A392" s="4"/>
      <c r="B392" s="2"/>
      <c r="C392" s="2"/>
      <c r="D392" s="2"/>
      <c r="E392" s="2"/>
      <c r="F392" s="3" t="str">
        <f aca="false">IFERROR(__xludf.dummyfunction("if($T392&lt;&gt;"""",REGEXEXTRACT(SUBSTITUTE ($T392,F$1&amp;"" CE"",""""), F$1&amp;""[\w &amp;]*, (\d+\.\d+)""),"""")
"),"")</f>
        <v/>
      </c>
      <c r="G392" s="3" t="str">
        <f aca="false">IFERROR(__xludf.dummyfunction("if($T392&lt;&gt;"""",REGEXEXTRACT($T392, G$1&amp;""[\w &amp;]*, (\d+\.\d+)""),"""")
"),"")</f>
        <v/>
      </c>
      <c r="H392" s="3"/>
      <c r="I392" s="3" t="str">
        <f aca="false">IFERROR(__xludf.dummyfunction("if($T392&lt;&gt;"""",REGEXEXTRACT(SUBSTITUTE ($T392,I$1&amp;"" CE"",""""), I$1&amp;""[\w &amp;]*, (\d+\.\d+)""),"""")
"),"")</f>
        <v/>
      </c>
      <c r="J392" s="3" t="str">
        <f aca="false">IFERROR(__xludf.dummyfunction("if($T392&lt;&gt;"""",REGEXEXTRACT($T392, J$1&amp;""[\w &amp;]*, (\d+\.\d+)""),"""")
"),"")</f>
        <v/>
      </c>
      <c r="K392" s="3"/>
      <c r="L392" s="3" t="str">
        <f aca="false">IFERROR(__xludf.dummyfunction("if($T392&lt;&gt;"""",REGEXEXTRACT(SUBSTITUTE ($T392,L$1&amp;"" CE"",""""), L$1&amp;""[\w &amp;]*, (\d+\.\d+)""),"""")
"),"")</f>
        <v/>
      </c>
      <c r="M392" s="3" t="str">
        <f aca="false">IFERROR(__xludf.dummyfunction("if($T392&lt;&gt;"""",REGEXEXTRACT($T392, M$1&amp;""[\w &amp;]*, (\d+\.\d+)""),"""")
"),"")</f>
        <v/>
      </c>
      <c r="N392" s="3" t="str">
        <f aca="false">IFERROR(__xludf.dummyfunction("if($T392&lt;&gt;"""",REGEXEXTRACT(SUBSTITUTE ($T392,N$1&amp;"" CE"",""""), N$1&amp;""[\w &amp;]*, (\d+\.\d+)""),"""")
"),"")</f>
        <v/>
      </c>
      <c r="O392" s="3" t="str">
        <f aca="false">IFERROR(__xludf.dummyfunction("if($T392&lt;&gt;"""",REGEXEXTRACT($T392, O$1&amp;""[\w &amp;]*, (\d+\.\d+)""),"""")
"),"")</f>
        <v/>
      </c>
      <c r="P392" s="2"/>
      <c r="Q392" s="2"/>
      <c r="R392" s="2"/>
      <c r="S392" s="2"/>
      <c r="T392" s="5"/>
    </row>
    <row r="393" customFormat="false" ht="15.75" hidden="false" customHeight="false" outlineLevel="0" collapsed="false">
      <c r="A393" s="4"/>
      <c r="B393" s="2"/>
      <c r="C393" s="2"/>
      <c r="D393" s="2"/>
      <c r="E393" s="2"/>
      <c r="F393" s="3" t="str">
        <f aca="false">IFERROR(__xludf.dummyfunction("if($T393&lt;&gt;"""",REGEXEXTRACT(SUBSTITUTE ($T393,F$1&amp;"" CE"",""""), F$1&amp;""[\w &amp;]*, (\d+\.\d+)""),"""")
"),"")</f>
        <v/>
      </c>
      <c r="G393" s="3" t="str">
        <f aca="false">IFERROR(__xludf.dummyfunction("if($T393&lt;&gt;"""",REGEXEXTRACT($T393, G$1&amp;""[\w &amp;]*, (\d+\.\d+)""),"""")
"),"")</f>
        <v/>
      </c>
      <c r="H393" s="3"/>
      <c r="I393" s="3" t="str">
        <f aca="false">IFERROR(__xludf.dummyfunction("if($T393&lt;&gt;"""",REGEXEXTRACT(SUBSTITUTE ($T393,I$1&amp;"" CE"",""""), I$1&amp;""[\w &amp;]*, (\d+\.\d+)""),"""")
"),"")</f>
        <v/>
      </c>
      <c r="J393" s="3" t="str">
        <f aca="false">IFERROR(__xludf.dummyfunction("if($T393&lt;&gt;"""",REGEXEXTRACT($T393, J$1&amp;""[\w &amp;]*, (\d+\.\d+)""),"""")
"),"")</f>
        <v/>
      </c>
      <c r="K393" s="3"/>
      <c r="L393" s="3" t="str">
        <f aca="false">IFERROR(__xludf.dummyfunction("if($T393&lt;&gt;"""",REGEXEXTRACT(SUBSTITUTE ($T393,L$1&amp;"" CE"",""""), L$1&amp;""[\w &amp;]*, (\d+\.\d+)""),"""")
"),"")</f>
        <v/>
      </c>
      <c r="M393" s="3" t="str">
        <f aca="false">IFERROR(__xludf.dummyfunction("if($T393&lt;&gt;"""",REGEXEXTRACT($T393, M$1&amp;""[\w &amp;]*, (\d+\.\d+)""),"""")
"),"")</f>
        <v/>
      </c>
      <c r="N393" s="3" t="str">
        <f aca="false">IFERROR(__xludf.dummyfunction("if($T393&lt;&gt;"""",REGEXEXTRACT(SUBSTITUTE ($T393,N$1&amp;"" CE"",""""), N$1&amp;""[\w &amp;]*, (\d+\.\d+)""),"""")
"),"")</f>
        <v/>
      </c>
      <c r="O393" s="3" t="str">
        <f aca="false">IFERROR(__xludf.dummyfunction("if($T393&lt;&gt;"""",REGEXEXTRACT($T393, O$1&amp;""[\w &amp;]*, (\d+\.\d+)""),"""")
"),"")</f>
        <v/>
      </c>
      <c r="P393" s="2"/>
      <c r="Q393" s="2"/>
      <c r="R393" s="2"/>
      <c r="S393" s="2"/>
      <c r="T393" s="5"/>
    </row>
    <row r="394" customFormat="false" ht="15.75" hidden="false" customHeight="false" outlineLevel="0" collapsed="false">
      <c r="A394" s="4"/>
      <c r="B394" s="2"/>
      <c r="C394" s="2"/>
      <c r="D394" s="2"/>
      <c r="E394" s="2"/>
      <c r="F394" s="3" t="str">
        <f aca="false">IFERROR(__xludf.dummyfunction("if($T394&lt;&gt;"""",REGEXEXTRACT(SUBSTITUTE ($T394,F$1&amp;"" CE"",""""), F$1&amp;""[\w &amp;]*, (\d+\.\d+)""),"""")
"),"")</f>
        <v/>
      </c>
      <c r="G394" s="3" t="str">
        <f aca="false">IFERROR(__xludf.dummyfunction("if($T394&lt;&gt;"""",REGEXEXTRACT($T394, G$1&amp;""[\w &amp;]*, (\d+\.\d+)""),"""")
"),"")</f>
        <v/>
      </c>
      <c r="H394" s="3"/>
      <c r="I394" s="3" t="str">
        <f aca="false">IFERROR(__xludf.dummyfunction("if($T394&lt;&gt;"""",REGEXEXTRACT(SUBSTITUTE ($T394,I$1&amp;"" CE"",""""), I$1&amp;""[\w &amp;]*, (\d+\.\d+)""),"""")
"),"")</f>
        <v/>
      </c>
      <c r="J394" s="3" t="str">
        <f aca="false">IFERROR(__xludf.dummyfunction("if($T394&lt;&gt;"""",REGEXEXTRACT($T394, J$1&amp;""[\w &amp;]*, (\d+\.\d+)""),"""")
"),"")</f>
        <v/>
      </c>
      <c r="K394" s="3"/>
      <c r="L394" s="3" t="str">
        <f aca="false">IFERROR(__xludf.dummyfunction("if($T394&lt;&gt;"""",REGEXEXTRACT(SUBSTITUTE ($T394,L$1&amp;"" CE"",""""), L$1&amp;""[\w &amp;]*, (\d+\.\d+)""),"""")
"),"")</f>
        <v/>
      </c>
      <c r="M394" s="3" t="str">
        <f aca="false">IFERROR(__xludf.dummyfunction("if($T394&lt;&gt;"""",REGEXEXTRACT($T394, M$1&amp;""[\w &amp;]*, (\d+\.\d+)""),"""")
"),"")</f>
        <v/>
      </c>
      <c r="N394" s="3" t="str">
        <f aca="false">IFERROR(__xludf.dummyfunction("if($T394&lt;&gt;"""",REGEXEXTRACT(SUBSTITUTE ($T394,N$1&amp;"" CE"",""""), N$1&amp;""[\w &amp;]*, (\d+\.\d+)""),"""")
"),"")</f>
        <v/>
      </c>
      <c r="O394" s="3" t="str">
        <f aca="false">IFERROR(__xludf.dummyfunction("if($T394&lt;&gt;"""",REGEXEXTRACT($T394, O$1&amp;""[\w &amp;]*, (\d+\.\d+)""),"""")
"),"")</f>
        <v/>
      </c>
      <c r="P394" s="2"/>
      <c r="Q394" s="2"/>
      <c r="R394" s="2"/>
      <c r="S394" s="2"/>
      <c r="T394" s="5"/>
    </row>
    <row r="395" customFormat="false" ht="15.75" hidden="false" customHeight="false" outlineLevel="0" collapsed="false">
      <c r="A395" s="4"/>
      <c r="B395" s="2"/>
      <c r="C395" s="2"/>
      <c r="D395" s="2"/>
      <c r="E395" s="2"/>
      <c r="F395" s="3" t="str">
        <f aca="false">IFERROR(__xludf.dummyfunction("if($T395&lt;&gt;"""",REGEXEXTRACT(SUBSTITUTE ($T395,F$1&amp;"" CE"",""""), F$1&amp;""[\w &amp;]*, (\d+\.\d+)""),"""")
"),"")</f>
        <v/>
      </c>
      <c r="G395" s="3" t="str">
        <f aca="false">IFERROR(__xludf.dummyfunction("if($T395&lt;&gt;"""",REGEXEXTRACT($T395, G$1&amp;""[\w &amp;]*, (\d+\.\d+)""),"""")
"),"")</f>
        <v/>
      </c>
      <c r="H395" s="3"/>
      <c r="I395" s="3" t="str">
        <f aca="false">IFERROR(__xludf.dummyfunction("if($T395&lt;&gt;"""",REGEXEXTRACT(SUBSTITUTE ($T395,I$1&amp;"" CE"",""""), I$1&amp;""[\w &amp;]*, (\d+\.\d+)""),"""")
"),"")</f>
        <v/>
      </c>
      <c r="J395" s="3" t="str">
        <f aca="false">IFERROR(__xludf.dummyfunction("if($T395&lt;&gt;"""",REGEXEXTRACT($T395, J$1&amp;""[\w &amp;]*, (\d+\.\d+)""),"""")
"),"")</f>
        <v/>
      </c>
      <c r="K395" s="3"/>
      <c r="L395" s="3" t="str">
        <f aca="false">IFERROR(__xludf.dummyfunction("if($T395&lt;&gt;"""",REGEXEXTRACT(SUBSTITUTE ($T395,L$1&amp;"" CE"",""""), L$1&amp;""[\w &amp;]*, (\d+\.\d+)""),"""")
"),"")</f>
        <v/>
      </c>
      <c r="M395" s="3" t="str">
        <f aca="false">IFERROR(__xludf.dummyfunction("if($T395&lt;&gt;"""",REGEXEXTRACT($T395, M$1&amp;""[\w &amp;]*, (\d+\.\d+)""),"""")
"),"")</f>
        <v/>
      </c>
      <c r="N395" s="3" t="str">
        <f aca="false">IFERROR(__xludf.dummyfunction("if($T395&lt;&gt;"""",REGEXEXTRACT(SUBSTITUTE ($T395,N$1&amp;"" CE"",""""), N$1&amp;""[\w &amp;]*, (\d+\.\d+)""),"""")
"),"")</f>
        <v/>
      </c>
      <c r="O395" s="3" t="str">
        <f aca="false">IFERROR(__xludf.dummyfunction("if($T395&lt;&gt;"""",REGEXEXTRACT($T395, O$1&amp;""[\w &amp;]*, (\d+\.\d+)""),"""")
"),"")</f>
        <v/>
      </c>
      <c r="P395" s="2"/>
      <c r="Q395" s="2"/>
      <c r="R395" s="2"/>
      <c r="S395" s="2"/>
      <c r="T395" s="5"/>
    </row>
    <row r="396" customFormat="false" ht="15.75" hidden="false" customHeight="false" outlineLevel="0" collapsed="false">
      <c r="A396" s="4"/>
      <c r="B396" s="2"/>
      <c r="C396" s="2"/>
      <c r="D396" s="2"/>
      <c r="E396" s="2"/>
      <c r="F396" s="3" t="str">
        <f aca="false">IFERROR(__xludf.dummyfunction("if($T396&lt;&gt;"""",REGEXEXTRACT(SUBSTITUTE ($T396,F$1&amp;"" CE"",""""), F$1&amp;""[\w &amp;]*, (\d+\.\d+)""),"""")
"),"")</f>
        <v/>
      </c>
      <c r="G396" s="3" t="str">
        <f aca="false">IFERROR(__xludf.dummyfunction("if($T396&lt;&gt;"""",REGEXEXTRACT($T396, G$1&amp;""[\w &amp;]*, (\d+\.\d+)""),"""")
"),"")</f>
        <v/>
      </c>
      <c r="H396" s="3"/>
      <c r="I396" s="3" t="str">
        <f aca="false">IFERROR(__xludf.dummyfunction("if($T396&lt;&gt;"""",REGEXEXTRACT(SUBSTITUTE ($T396,I$1&amp;"" CE"",""""), I$1&amp;""[\w &amp;]*, (\d+\.\d+)""),"""")
"),"")</f>
        <v/>
      </c>
      <c r="J396" s="3" t="str">
        <f aca="false">IFERROR(__xludf.dummyfunction("if($T396&lt;&gt;"""",REGEXEXTRACT($T396, J$1&amp;""[\w &amp;]*, (\d+\.\d+)""),"""")
"),"")</f>
        <v/>
      </c>
      <c r="K396" s="3"/>
      <c r="L396" s="3" t="str">
        <f aca="false">IFERROR(__xludf.dummyfunction("if($T396&lt;&gt;"""",REGEXEXTRACT(SUBSTITUTE ($T396,L$1&amp;"" CE"",""""), L$1&amp;""[\w &amp;]*, (\d+\.\d+)""),"""")
"),"")</f>
        <v/>
      </c>
      <c r="M396" s="3" t="str">
        <f aca="false">IFERROR(__xludf.dummyfunction("if($T396&lt;&gt;"""",REGEXEXTRACT($T396, M$1&amp;""[\w &amp;]*, (\d+\.\d+)""),"""")
"),"")</f>
        <v/>
      </c>
      <c r="N396" s="3" t="str">
        <f aca="false">IFERROR(__xludf.dummyfunction("if($T396&lt;&gt;"""",REGEXEXTRACT(SUBSTITUTE ($T396,N$1&amp;"" CE"",""""), N$1&amp;""[\w &amp;]*, (\d+\.\d+)""),"""")
"),"")</f>
        <v/>
      </c>
      <c r="O396" s="3" t="str">
        <f aca="false">IFERROR(__xludf.dummyfunction("if($T396&lt;&gt;"""",REGEXEXTRACT($T396, O$1&amp;""[\w &amp;]*, (\d+\.\d+)""),"""")
"),"")</f>
        <v/>
      </c>
      <c r="P396" s="2"/>
      <c r="Q396" s="2"/>
      <c r="R396" s="2"/>
      <c r="S396" s="2"/>
      <c r="T396" s="5"/>
    </row>
    <row r="397" customFormat="false" ht="15.75" hidden="false" customHeight="false" outlineLevel="0" collapsed="false">
      <c r="A397" s="4"/>
      <c r="B397" s="2"/>
      <c r="C397" s="2"/>
      <c r="D397" s="2"/>
      <c r="E397" s="2"/>
      <c r="F397" s="3" t="str">
        <f aca="false">IFERROR(__xludf.dummyfunction("if($T397&lt;&gt;"""",REGEXEXTRACT(SUBSTITUTE ($T397,F$1&amp;"" CE"",""""), F$1&amp;""[\w &amp;]*, (\d+\.\d+)""),"""")
"),"")</f>
        <v/>
      </c>
      <c r="G397" s="3" t="str">
        <f aca="false">IFERROR(__xludf.dummyfunction("if($T397&lt;&gt;"""",REGEXEXTRACT($T397, G$1&amp;""[\w &amp;]*, (\d+\.\d+)""),"""")
"),"")</f>
        <v/>
      </c>
      <c r="H397" s="3"/>
      <c r="I397" s="3" t="str">
        <f aca="false">IFERROR(__xludf.dummyfunction("if($T397&lt;&gt;"""",REGEXEXTRACT(SUBSTITUTE ($T397,I$1&amp;"" CE"",""""), I$1&amp;""[\w &amp;]*, (\d+\.\d+)""),"""")
"),"")</f>
        <v/>
      </c>
      <c r="J397" s="3" t="str">
        <f aca="false">IFERROR(__xludf.dummyfunction("if($T397&lt;&gt;"""",REGEXEXTRACT($T397, J$1&amp;""[\w &amp;]*, (\d+\.\d+)""),"""")
"),"")</f>
        <v/>
      </c>
      <c r="K397" s="3"/>
      <c r="L397" s="3" t="str">
        <f aca="false">IFERROR(__xludf.dummyfunction("if($T397&lt;&gt;"""",REGEXEXTRACT(SUBSTITUTE ($T397,L$1&amp;"" CE"",""""), L$1&amp;""[\w &amp;]*, (\d+\.\d+)""),"""")
"),"")</f>
        <v/>
      </c>
      <c r="M397" s="3" t="str">
        <f aca="false">IFERROR(__xludf.dummyfunction("if($T397&lt;&gt;"""",REGEXEXTRACT($T397, M$1&amp;""[\w &amp;]*, (\d+\.\d+)""),"""")
"),"")</f>
        <v/>
      </c>
      <c r="N397" s="3" t="str">
        <f aca="false">IFERROR(__xludf.dummyfunction("if($T397&lt;&gt;"""",REGEXEXTRACT(SUBSTITUTE ($T397,N$1&amp;"" CE"",""""), N$1&amp;""[\w &amp;]*, (\d+\.\d+)""),"""")
"),"")</f>
        <v/>
      </c>
      <c r="O397" s="3" t="str">
        <f aca="false">IFERROR(__xludf.dummyfunction("if($T397&lt;&gt;"""",REGEXEXTRACT($T397, O$1&amp;""[\w &amp;]*, (\d+\.\d+)""),"""")
"),"")</f>
        <v/>
      </c>
      <c r="P397" s="2"/>
      <c r="Q397" s="2"/>
      <c r="R397" s="2"/>
      <c r="S397" s="2"/>
      <c r="T397" s="5"/>
    </row>
    <row r="398" customFormat="false" ht="15.75" hidden="false" customHeight="false" outlineLevel="0" collapsed="false">
      <c r="A398" s="4"/>
      <c r="B398" s="2"/>
      <c r="C398" s="2"/>
      <c r="D398" s="2"/>
      <c r="E398" s="2"/>
      <c r="F398" s="3" t="str">
        <f aca="false">IFERROR(__xludf.dummyfunction("if($T398&lt;&gt;"""",REGEXEXTRACT(SUBSTITUTE ($T398,F$1&amp;"" CE"",""""), F$1&amp;""[\w &amp;]*, (\d+\.\d+)""),"""")
"),"")</f>
        <v/>
      </c>
      <c r="G398" s="3" t="str">
        <f aca="false">IFERROR(__xludf.dummyfunction("if($T398&lt;&gt;"""",REGEXEXTRACT($T398, G$1&amp;""[\w &amp;]*, (\d+\.\d+)""),"""")
"),"")</f>
        <v/>
      </c>
      <c r="H398" s="3"/>
      <c r="I398" s="3" t="str">
        <f aca="false">IFERROR(__xludf.dummyfunction("if($T398&lt;&gt;"""",REGEXEXTRACT(SUBSTITUTE ($T398,I$1&amp;"" CE"",""""), I$1&amp;""[\w &amp;]*, (\d+\.\d+)""),"""")
"),"")</f>
        <v/>
      </c>
      <c r="J398" s="3" t="str">
        <f aca="false">IFERROR(__xludf.dummyfunction("if($T398&lt;&gt;"""",REGEXEXTRACT($T398, J$1&amp;""[\w &amp;]*, (\d+\.\d+)""),"""")
"),"")</f>
        <v/>
      </c>
      <c r="K398" s="3"/>
      <c r="L398" s="3" t="str">
        <f aca="false">IFERROR(__xludf.dummyfunction("if($T398&lt;&gt;"""",REGEXEXTRACT(SUBSTITUTE ($T398,L$1&amp;"" CE"",""""), L$1&amp;""[\w &amp;]*, (\d+\.\d+)""),"""")
"),"")</f>
        <v/>
      </c>
      <c r="M398" s="3" t="str">
        <f aca="false">IFERROR(__xludf.dummyfunction("if($T398&lt;&gt;"""",REGEXEXTRACT($T398, M$1&amp;""[\w &amp;]*, (\d+\.\d+)""),"""")
"),"")</f>
        <v/>
      </c>
      <c r="N398" s="3" t="str">
        <f aca="false">IFERROR(__xludf.dummyfunction("if($T398&lt;&gt;"""",REGEXEXTRACT(SUBSTITUTE ($T398,N$1&amp;"" CE"",""""), N$1&amp;""[\w &amp;]*, (\d+\.\d+)""),"""")
"),"")</f>
        <v/>
      </c>
      <c r="O398" s="3" t="str">
        <f aca="false">IFERROR(__xludf.dummyfunction("if($T398&lt;&gt;"""",REGEXEXTRACT($T398, O$1&amp;""[\w &amp;]*, (\d+\.\d+)""),"""")
"),"")</f>
        <v/>
      </c>
      <c r="P398" s="2"/>
      <c r="Q398" s="2"/>
      <c r="R398" s="2"/>
      <c r="S398" s="2"/>
      <c r="T398" s="5"/>
    </row>
    <row r="399" customFormat="false" ht="15.75" hidden="false" customHeight="false" outlineLevel="0" collapsed="false">
      <c r="A399" s="4"/>
      <c r="B399" s="2"/>
      <c r="C399" s="2"/>
      <c r="D399" s="2"/>
      <c r="E399" s="2"/>
      <c r="F399" s="3" t="str">
        <f aca="false">IFERROR(__xludf.dummyfunction("if($T399&lt;&gt;"""",REGEXEXTRACT(SUBSTITUTE ($T399,F$1&amp;"" CE"",""""), F$1&amp;""[\w &amp;]*, (\d+\.\d+)""),"""")
"),"")</f>
        <v/>
      </c>
      <c r="G399" s="3" t="str">
        <f aca="false">IFERROR(__xludf.dummyfunction("if($T399&lt;&gt;"""",REGEXEXTRACT($T399, G$1&amp;""[\w &amp;]*, (\d+\.\d+)""),"""")
"),"")</f>
        <v/>
      </c>
      <c r="H399" s="3"/>
      <c r="I399" s="3" t="str">
        <f aca="false">IFERROR(__xludf.dummyfunction("if($T399&lt;&gt;"""",REGEXEXTRACT(SUBSTITUTE ($T399,I$1&amp;"" CE"",""""), I$1&amp;""[\w &amp;]*, (\d+\.\d+)""),"""")
"),"")</f>
        <v/>
      </c>
      <c r="J399" s="3" t="str">
        <f aca="false">IFERROR(__xludf.dummyfunction("if($T399&lt;&gt;"""",REGEXEXTRACT($T399, J$1&amp;""[\w &amp;]*, (\d+\.\d+)""),"""")
"),"")</f>
        <v/>
      </c>
      <c r="K399" s="3"/>
      <c r="L399" s="3" t="str">
        <f aca="false">IFERROR(__xludf.dummyfunction("if($T399&lt;&gt;"""",REGEXEXTRACT(SUBSTITUTE ($T399,L$1&amp;"" CE"",""""), L$1&amp;""[\w &amp;]*, (\d+\.\d+)""),"""")
"),"")</f>
        <v/>
      </c>
      <c r="M399" s="3" t="str">
        <f aca="false">IFERROR(__xludf.dummyfunction("if($T399&lt;&gt;"""",REGEXEXTRACT($T399, M$1&amp;""[\w &amp;]*, (\d+\.\d+)""),"""")
"),"")</f>
        <v/>
      </c>
      <c r="N399" s="3" t="str">
        <f aca="false">IFERROR(__xludf.dummyfunction("if($T399&lt;&gt;"""",REGEXEXTRACT(SUBSTITUTE ($T399,N$1&amp;"" CE"",""""), N$1&amp;""[\w &amp;]*, (\d+\.\d+)""),"""")
"),"")</f>
        <v/>
      </c>
      <c r="O399" s="3" t="str">
        <f aca="false">IFERROR(__xludf.dummyfunction("if($T399&lt;&gt;"""",REGEXEXTRACT($T399, O$1&amp;""[\w &amp;]*, (\d+\.\d+)""),"""")
"),"")</f>
        <v/>
      </c>
      <c r="P399" s="2"/>
      <c r="Q399" s="2"/>
      <c r="R399" s="2"/>
      <c r="S399" s="2"/>
      <c r="T399" s="5"/>
    </row>
    <row r="400" customFormat="false" ht="15.75" hidden="false" customHeight="false" outlineLevel="0" collapsed="false">
      <c r="A400" s="4"/>
      <c r="B400" s="2"/>
      <c r="C400" s="2"/>
      <c r="D400" s="2"/>
      <c r="E400" s="2"/>
      <c r="F400" s="3" t="str">
        <f aca="false">IFERROR(__xludf.dummyfunction("if($T400&lt;&gt;"""",REGEXEXTRACT(SUBSTITUTE ($T400,F$1&amp;"" CE"",""""), F$1&amp;""[\w &amp;]*, (\d+\.\d+)""),"""")
"),"")</f>
        <v/>
      </c>
      <c r="G400" s="3" t="str">
        <f aca="false">IFERROR(__xludf.dummyfunction("if($T400&lt;&gt;"""",REGEXEXTRACT($T400, G$1&amp;""[\w &amp;]*, (\d+\.\d+)""),"""")
"),"")</f>
        <v/>
      </c>
      <c r="H400" s="3"/>
      <c r="I400" s="3" t="str">
        <f aca="false">IFERROR(__xludf.dummyfunction("if($T400&lt;&gt;"""",REGEXEXTRACT(SUBSTITUTE ($T400,I$1&amp;"" CE"",""""), I$1&amp;""[\w &amp;]*, (\d+\.\d+)""),"""")
"),"")</f>
        <v/>
      </c>
      <c r="J400" s="3" t="str">
        <f aca="false">IFERROR(__xludf.dummyfunction("if($T400&lt;&gt;"""",REGEXEXTRACT($T400, J$1&amp;""[\w &amp;]*, (\d+\.\d+)""),"""")
"),"")</f>
        <v/>
      </c>
      <c r="K400" s="3"/>
      <c r="L400" s="3" t="str">
        <f aca="false">IFERROR(__xludf.dummyfunction("if($T400&lt;&gt;"""",REGEXEXTRACT(SUBSTITUTE ($T400,L$1&amp;"" CE"",""""), L$1&amp;""[\w &amp;]*, (\d+\.\d+)""),"""")
"),"")</f>
        <v/>
      </c>
      <c r="M400" s="3" t="str">
        <f aca="false">IFERROR(__xludf.dummyfunction("if($T400&lt;&gt;"""",REGEXEXTRACT($T400, M$1&amp;""[\w &amp;]*, (\d+\.\d+)""),"""")
"),"")</f>
        <v/>
      </c>
      <c r="N400" s="3" t="str">
        <f aca="false">IFERROR(__xludf.dummyfunction("if($T400&lt;&gt;"""",REGEXEXTRACT(SUBSTITUTE ($T400,N$1&amp;"" CE"",""""), N$1&amp;""[\w &amp;]*, (\d+\.\d+)""),"""")
"),"")</f>
        <v/>
      </c>
      <c r="O400" s="3" t="str">
        <f aca="false">IFERROR(__xludf.dummyfunction("if($T400&lt;&gt;"""",REGEXEXTRACT($T400, O$1&amp;""[\w &amp;]*, (\d+\.\d+)""),"""")
"),"")</f>
        <v/>
      </c>
      <c r="P400" s="2"/>
      <c r="Q400" s="2"/>
      <c r="R400" s="2"/>
      <c r="S400" s="2"/>
      <c r="T400" s="5"/>
    </row>
    <row r="401" customFormat="false" ht="15.75" hidden="false" customHeight="false" outlineLevel="0" collapsed="false">
      <c r="A401" s="4"/>
      <c r="B401" s="2"/>
      <c r="C401" s="2"/>
      <c r="D401" s="2"/>
      <c r="E401" s="2"/>
      <c r="F401" s="3" t="str">
        <f aca="false">IFERROR(__xludf.dummyfunction("if($T401&lt;&gt;"""",REGEXEXTRACT(SUBSTITUTE ($T401,F$1&amp;"" CE"",""""), F$1&amp;""[\w &amp;]*, (\d+\.\d+)""),"""")
"),"")</f>
        <v/>
      </c>
      <c r="G401" s="3" t="str">
        <f aca="false">IFERROR(__xludf.dummyfunction("if($T401&lt;&gt;"""",REGEXEXTRACT($T401, G$1&amp;""[\w &amp;]*, (\d+\.\d+)""),"""")
"),"")</f>
        <v/>
      </c>
      <c r="H401" s="3"/>
      <c r="I401" s="3" t="str">
        <f aca="false">IFERROR(__xludf.dummyfunction("if($T401&lt;&gt;"""",REGEXEXTRACT(SUBSTITUTE ($T401,I$1&amp;"" CE"",""""), I$1&amp;""[\w &amp;]*, (\d+\.\d+)""),"""")
"),"")</f>
        <v/>
      </c>
      <c r="J401" s="3" t="str">
        <f aca="false">IFERROR(__xludf.dummyfunction("if($T401&lt;&gt;"""",REGEXEXTRACT($T401, J$1&amp;""[\w &amp;]*, (\d+\.\d+)""),"""")
"),"")</f>
        <v/>
      </c>
      <c r="K401" s="3"/>
      <c r="L401" s="3" t="str">
        <f aca="false">IFERROR(__xludf.dummyfunction("if($T401&lt;&gt;"""",REGEXEXTRACT(SUBSTITUTE ($T401,L$1&amp;"" CE"",""""), L$1&amp;""[\w &amp;]*, (\d+\.\d+)""),"""")
"),"")</f>
        <v/>
      </c>
      <c r="M401" s="3" t="str">
        <f aca="false">IFERROR(__xludf.dummyfunction("if($T401&lt;&gt;"""",REGEXEXTRACT($T401, M$1&amp;""[\w &amp;]*, (\d+\.\d+)""),"""")
"),"")</f>
        <v/>
      </c>
      <c r="N401" s="3" t="str">
        <f aca="false">IFERROR(__xludf.dummyfunction("if($T401&lt;&gt;"""",REGEXEXTRACT(SUBSTITUTE ($T401,N$1&amp;"" CE"",""""), N$1&amp;""[\w &amp;]*, (\d+\.\d+)""),"""")
"),"")</f>
        <v/>
      </c>
      <c r="O401" s="3" t="str">
        <f aca="false">IFERROR(__xludf.dummyfunction("if($T401&lt;&gt;"""",REGEXEXTRACT($T401, O$1&amp;""[\w &amp;]*, (\d+\.\d+)""),"""")
"),"")</f>
        <v/>
      </c>
      <c r="P401" s="2"/>
      <c r="Q401" s="2"/>
      <c r="R401" s="2"/>
      <c r="S401" s="2"/>
      <c r="T401" s="5"/>
    </row>
    <row r="402" customFormat="false" ht="15.75" hidden="false" customHeight="false" outlineLevel="0" collapsed="false">
      <c r="A402" s="4"/>
      <c r="B402" s="2"/>
      <c r="C402" s="2"/>
      <c r="D402" s="2"/>
      <c r="E402" s="2"/>
      <c r="F402" s="3" t="str">
        <f aca="false">IFERROR(__xludf.dummyfunction("if($T402&lt;&gt;"""",REGEXEXTRACT(SUBSTITUTE ($T402,F$1&amp;"" CE"",""""), F$1&amp;""[\w &amp;]*, (\d+\.\d+)""),"""")
"),"")</f>
        <v/>
      </c>
      <c r="G402" s="3" t="str">
        <f aca="false">IFERROR(__xludf.dummyfunction("if($T402&lt;&gt;"""",REGEXEXTRACT($T402, G$1&amp;""[\w &amp;]*, (\d+\.\d+)""),"""")
"),"")</f>
        <v/>
      </c>
      <c r="H402" s="3"/>
      <c r="I402" s="3" t="str">
        <f aca="false">IFERROR(__xludf.dummyfunction("if($T402&lt;&gt;"""",REGEXEXTRACT(SUBSTITUTE ($T402,I$1&amp;"" CE"",""""), I$1&amp;""[\w &amp;]*, (\d+\.\d+)""),"""")
"),"")</f>
        <v/>
      </c>
      <c r="J402" s="3" t="str">
        <f aca="false">IFERROR(__xludf.dummyfunction("if($T402&lt;&gt;"""",REGEXEXTRACT($T402, J$1&amp;""[\w &amp;]*, (\d+\.\d+)""),"""")
"),"")</f>
        <v/>
      </c>
      <c r="K402" s="3"/>
      <c r="L402" s="3" t="str">
        <f aca="false">IFERROR(__xludf.dummyfunction("if($T402&lt;&gt;"""",REGEXEXTRACT(SUBSTITUTE ($T402,L$1&amp;"" CE"",""""), L$1&amp;""[\w &amp;]*, (\d+\.\d+)""),"""")
"),"")</f>
        <v/>
      </c>
      <c r="M402" s="3" t="str">
        <f aca="false">IFERROR(__xludf.dummyfunction("if($T402&lt;&gt;"""",REGEXEXTRACT($T402, M$1&amp;""[\w &amp;]*, (\d+\.\d+)""),"""")
"),"")</f>
        <v/>
      </c>
      <c r="N402" s="3" t="str">
        <f aca="false">IFERROR(__xludf.dummyfunction("if($T402&lt;&gt;"""",REGEXEXTRACT(SUBSTITUTE ($T402,N$1&amp;"" CE"",""""), N$1&amp;""[\w &amp;]*, (\d+\.\d+)""),"""")
"),"")</f>
        <v/>
      </c>
      <c r="O402" s="3" t="str">
        <f aca="false">IFERROR(__xludf.dummyfunction("if($T402&lt;&gt;"""",REGEXEXTRACT($T402, O$1&amp;""[\w &amp;]*, (\d+\.\d+)""),"""")
"),"")</f>
        <v/>
      </c>
      <c r="P402" s="2"/>
      <c r="Q402" s="2"/>
      <c r="R402" s="2"/>
      <c r="S402" s="2"/>
      <c r="T402" s="5"/>
    </row>
    <row r="403" customFormat="false" ht="15.75" hidden="false" customHeight="false" outlineLevel="0" collapsed="false">
      <c r="A403" s="4"/>
      <c r="B403" s="2"/>
      <c r="C403" s="2"/>
      <c r="D403" s="2"/>
      <c r="E403" s="2"/>
      <c r="F403" s="3" t="str">
        <f aca="false">IFERROR(__xludf.dummyfunction("if($T403&lt;&gt;"""",REGEXEXTRACT(SUBSTITUTE ($T403,F$1&amp;"" CE"",""""), F$1&amp;""[\w &amp;]*, (\d+\.\d+)""),"""")
"),"")</f>
        <v/>
      </c>
      <c r="G403" s="3" t="str">
        <f aca="false">IFERROR(__xludf.dummyfunction("if($T403&lt;&gt;"""",REGEXEXTRACT($T403, G$1&amp;""[\w &amp;]*, (\d+\.\d+)""),"""")
"),"")</f>
        <v/>
      </c>
      <c r="H403" s="3"/>
      <c r="I403" s="3" t="str">
        <f aca="false">IFERROR(__xludf.dummyfunction("if($T403&lt;&gt;"""",REGEXEXTRACT(SUBSTITUTE ($T403,I$1&amp;"" CE"",""""), I$1&amp;""[\w &amp;]*, (\d+\.\d+)""),"""")
"),"")</f>
        <v/>
      </c>
      <c r="J403" s="3" t="str">
        <f aca="false">IFERROR(__xludf.dummyfunction("if($T403&lt;&gt;"""",REGEXEXTRACT($T403, J$1&amp;""[\w &amp;]*, (\d+\.\d+)""),"""")
"),"")</f>
        <v/>
      </c>
      <c r="K403" s="3"/>
      <c r="L403" s="3" t="str">
        <f aca="false">IFERROR(__xludf.dummyfunction("if($T403&lt;&gt;"""",REGEXEXTRACT(SUBSTITUTE ($T403,L$1&amp;"" CE"",""""), L$1&amp;""[\w &amp;]*, (\d+\.\d+)""),"""")
"),"")</f>
        <v/>
      </c>
      <c r="M403" s="3" t="str">
        <f aca="false">IFERROR(__xludf.dummyfunction("if($T403&lt;&gt;"""",REGEXEXTRACT($T403, M$1&amp;""[\w &amp;]*, (\d+\.\d+)""),"""")
"),"")</f>
        <v/>
      </c>
      <c r="N403" s="3" t="str">
        <f aca="false">IFERROR(__xludf.dummyfunction("if($T403&lt;&gt;"""",REGEXEXTRACT(SUBSTITUTE ($T403,N$1&amp;"" CE"",""""), N$1&amp;""[\w &amp;]*, (\d+\.\d+)""),"""")
"),"")</f>
        <v/>
      </c>
      <c r="O403" s="3" t="str">
        <f aca="false">IFERROR(__xludf.dummyfunction("if($T403&lt;&gt;"""",REGEXEXTRACT($T403, O$1&amp;""[\w &amp;]*, (\d+\.\d+)""),"""")
"),"")</f>
        <v/>
      </c>
      <c r="P403" s="2"/>
      <c r="Q403" s="2"/>
      <c r="R403" s="2"/>
      <c r="S403" s="2"/>
      <c r="T403" s="5"/>
    </row>
    <row r="404" customFormat="false" ht="15.75" hidden="false" customHeight="false" outlineLevel="0" collapsed="false">
      <c r="A404" s="4"/>
      <c r="B404" s="2"/>
      <c r="C404" s="2"/>
      <c r="D404" s="2"/>
      <c r="E404" s="2"/>
      <c r="F404" s="3" t="str">
        <f aca="false">IFERROR(__xludf.dummyfunction("if($T404&lt;&gt;"""",REGEXEXTRACT(SUBSTITUTE ($T404,F$1&amp;"" CE"",""""), F$1&amp;""[\w &amp;]*, (\d+\.\d+)""),"""")
"),"")</f>
        <v/>
      </c>
      <c r="G404" s="3" t="str">
        <f aca="false">IFERROR(__xludf.dummyfunction("if($T404&lt;&gt;"""",REGEXEXTRACT($T404, G$1&amp;""[\w &amp;]*, (\d+\.\d+)""),"""")
"),"")</f>
        <v/>
      </c>
      <c r="H404" s="3"/>
      <c r="I404" s="3" t="str">
        <f aca="false">IFERROR(__xludf.dummyfunction("if($T404&lt;&gt;"""",REGEXEXTRACT(SUBSTITUTE ($T404,I$1&amp;"" CE"",""""), I$1&amp;""[\w &amp;]*, (\d+\.\d+)""),"""")
"),"")</f>
        <v/>
      </c>
      <c r="J404" s="3" t="str">
        <f aca="false">IFERROR(__xludf.dummyfunction("if($T404&lt;&gt;"""",REGEXEXTRACT($T404, J$1&amp;""[\w &amp;]*, (\d+\.\d+)""),"""")
"),"")</f>
        <v/>
      </c>
      <c r="K404" s="3"/>
      <c r="L404" s="3" t="str">
        <f aca="false">IFERROR(__xludf.dummyfunction("if($T404&lt;&gt;"""",REGEXEXTRACT(SUBSTITUTE ($T404,L$1&amp;"" CE"",""""), L$1&amp;""[\w &amp;]*, (\d+\.\d+)""),"""")
"),"")</f>
        <v/>
      </c>
      <c r="M404" s="3" t="str">
        <f aca="false">IFERROR(__xludf.dummyfunction("if($T404&lt;&gt;"""",REGEXEXTRACT($T404, M$1&amp;""[\w &amp;]*, (\d+\.\d+)""),"""")
"),"")</f>
        <v/>
      </c>
      <c r="N404" s="3" t="str">
        <f aca="false">IFERROR(__xludf.dummyfunction("if($T404&lt;&gt;"""",REGEXEXTRACT(SUBSTITUTE ($T404,N$1&amp;"" CE"",""""), N$1&amp;""[\w &amp;]*, (\d+\.\d+)""),"""")
"),"")</f>
        <v/>
      </c>
      <c r="O404" s="3" t="str">
        <f aca="false">IFERROR(__xludf.dummyfunction("if($T404&lt;&gt;"""",REGEXEXTRACT($T404, O$1&amp;""[\w &amp;]*, (\d+\.\d+)""),"""")
"),"")</f>
        <v/>
      </c>
      <c r="P404" s="2"/>
      <c r="Q404" s="2"/>
      <c r="R404" s="2"/>
      <c r="S404" s="2"/>
      <c r="T404" s="5"/>
    </row>
    <row r="405" customFormat="false" ht="15.75" hidden="false" customHeight="false" outlineLevel="0" collapsed="false">
      <c r="A405" s="4"/>
      <c r="B405" s="2"/>
      <c r="C405" s="2"/>
      <c r="D405" s="2"/>
      <c r="E405" s="2"/>
      <c r="F405" s="3" t="str">
        <f aca="false">IFERROR(__xludf.dummyfunction("if($T405&lt;&gt;"""",REGEXEXTRACT(SUBSTITUTE ($T405,F$1&amp;"" CE"",""""), F$1&amp;""[\w &amp;]*, (\d+\.\d+)""),"""")
"),"")</f>
        <v/>
      </c>
      <c r="G405" s="3" t="str">
        <f aca="false">IFERROR(__xludf.dummyfunction("if($T405&lt;&gt;"""",REGEXEXTRACT($T405, G$1&amp;""[\w &amp;]*, (\d+\.\d+)""),"""")
"),"")</f>
        <v/>
      </c>
      <c r="H405" s="3"/>
      <c r="I405" s="3" t="str">
        <f aca="false">IFERROR(__xludf.dummyfunction("if($T405&lt;&gt;"""",REGEXEXTRACT(SUBSTITUTE ($T405,I$1&amp;"" CE"",""""), I$1&amp;""[\w &amp;]*, (\d+\.\d+)""),"""")
"),"")</f>
        <v/>
      </c>
      <c r="J405" s="3" t="str">
        <f aca="false">IFERROR(__xludf.dummyfunction("if($T405&lt;&gt;"""",REGEXEXTRACT($T405, J$1&amp;""[\w &amp;]*, (\d+\.\d+)""),"""")
"),"")</f>
        <v/>
      </c>
      <c r="K405" s="3"/>
      <c r="L405" s="3" t="str">
        <f aca="false">IFERROR(__xludf.dummyfunction("if($T405&lt;&gt;"""",REGEXEXTRACT(SUBSTITUTE ($T405,L$1&amp;"" CE"",""""), L$1&amp;""[\w &amp;]*, (\d+\.\d+)""),"""")
"),"")</f>
        <v/>
      </c>
      <c r="M405" s="3" t="str">
        <f aca="false">IFERROR(__xludf.dummyfunction("if($T405&lt;&gt;"""",REGEXEXTRACT($T405, M$1&amp;""[\w &amp;]*, (\d+\.\d+)""),"""")
"),"")</f>
        <v/>
      </c>
      <c r="N405" s="3" t="str">
        <f aca="false">IFERROR(__xludf.dummyfunction("if($T405&lt;&gt;"""",REGEXEXTRACT(SUBSTITUTE ($T405,N$1&amp;"" CE"",""""), N$1&amp;""[\w &amp;]*, (\d+\.\d+)""),"""")
"),"")</f>
        <v/>
      </c>
      <c r="O405" s="3" t="str">
        <f aca="false">IFERROR(__xludf.dummyfunction("if($T405&lt;&gt;"""",REGEXEXTRACT($T405, O$1&amp;""[\w &amp;]*, (\d+\.\d+)""),"""")
"),"")</f>
        <v/>
      </c>
      <c r="P405" s="2"/>
      <c r="Q405" s="2"/>
      <c r="R405" s="2"/>
      <c r="S405" s="2"/>
      <c r="T405" s="5"/>
    </row>
    <row r="406" customFormat="false" ht="15.75" hidden="false" customHeight="false" outlineLevel="0" collapsed="false">
      <c r="A406" s="4"/>
      <c r="B406" s="2"/>
      <c r="C406" s="2"/>
      <c r="D406" s="2"/>
      <c r="E406" s="2"/>
      <c r="F406" s="3" t="str">
        <f aca="false">IFERROR(__xludf.dummyfunction("if($T406&lt;&gt;"""",REGEXEXTRACT(SUBSTITUTE ($T406,F$1&amp;"" CE"",""""), F$1&amp;""[\w &amp;]*, (\d+\.\d+)""),"""")
"),"")</f>
        <v/>
      </c>
      <c r="G406" s="3" t="str">
        <f aca="false">IFERROR(__xludf.dummyfunction("if($T406&lt;&gt;"""",REGEXEXTRACT($T406, G$1&amp;""[\w &amp;]*, (\d+\.\d+)""),"""")
"),"")</f>
        <v/>
      </c>
      <c r="H406" s="3"/>
      <c r="I406" s="3" t="str">
        <f aca="false">IFERROR(__xludf.dummyfunction("if($T406&lt;&gt;"""",REGEXEXTRACT(SUBSTITUTE ($T406,I$1&amp;"" CE"",""""), I$1&amp;""[\w &amp;]*, (\d+\.\d+)""),"""")
"),"")</f>
        <v/>
      </c>
      <c r="J406" s="3" t="str">
        <f aca="false">IFERROR(__xludf.dummyfunction("if($T406&lt;&gt;"""",REGEXEXTRACT($T406, J$1&amp;""[\w &amp;]*, (\d+\.\d+)""),"""")
"),"")</f>
        <v/>
      </c>
      <c r="K406" s="3"/>
      <c r="L406" s="3" t="str">
        <f aca="false">IFERROR(__xludf.dummyfunction("if($T406&lt;&gt;"""",REGEXEXTRACT(SUBSTITUTE ($T406,L$1&amp;"" CE"",""""), L$1&amp;""[\w &amp;]*, (\d+\.\d+)""),"""")
"),"")</f>
        <v/>
      </c>
      <c r="M406" s="3" t="str">
        <f aca="false">IFERROR(__xludf.dummyfunction("if($T406&lt;&gt;"""",REGEXEXTRACT($T406, M$1&amp;""[\w &amp;]*, (\d+\.\d+)""),"""")
"),"")</f>
        <v/>
      </c>
      <c r="N406" s="3" t="str">
        <f aca="false">IFERROR(__xludf.dummyfunction("if($T406&lt;&gt;"""",REGEXEXTRACT(SUBSTITUTE ($T406,N$1&amp;"" CE"",""""), N$1&amp;""[\w &amp;]*, (\d+\.\d+)""),"""")
"),"")</f>
        <v/>
      </c>
      <c r="O406" s="3" t="str">
        <f aca="false">IFERROR(__xludf.dummyfunction("if($T406&lt;&gt;"""",REGEXEXTRACT($T406, O$1&amp;""[\w &amp;]*, (\d+\.\d+)""),"""")
"),"")</f>
        <v/>
      </c>
      <c r="P406" s="2"/>
      <c r="Q406" s="2"/>
      <c r="R406" s="2"/>
      <c r="S406" s="2"/>
      <c r="T406" s="5"/>
    </row>
    <row r="407" customFormat="false" ht="15.75" hidden="false" customHeight="false" outlineLevel="0" collapsed="false">
      <c r="A407" s="4"/>
      <c r="B407" s="2"/>
      <c r="C407" s="2"/>
      <c r="D407" s="2"/>
      <c r="E407" s="2"/>
      <c r="F407" s="3" t="str">
        <f aca="false">IFERROR(__xludf.dummyfunction("if($T407&lt;&gt;"""",REGEXEXTRACT(SUBSTITUTE ($T407,F$1&amp;"" CE"",""""), F$1&amp;""[\w &amp;]*, (\d+\.\d+)""),"""")
"),"")</f>
        <v/>
      </c>
      <c r="G407" s="3" t="str">
        <f aca="false">IFERROR(__xludf.dummyfunction("if($T407&lt;&gt;"""",REGEXEXTRACT($T407, G$1&amp;""[\w &amp;]*, (\d+\.\d+)""),"""")
"),"")</f>
        <v/>
      </c>
      <c r="H407" s="3"/>
      <c r="I407" s="3" t="str">
        <f aca="false">IFERROR(__xludf.dummyfunction("if($T407&lt;&gt;"""",REGEXEXTRACT(SUBSTITUTE ($T407,I$1&amp;"" CE"",""""), I$1&amp;""[\w &amp;]*, (\d+\.\d+)""),"""")
"),"")</f>
        <v/>
      </c>
      <c r="J407" s="3" t="str">
        <f aca="false">IFERROR(__xludf.dummyfunction("if($T407&lt;&gt;"""",REGEXEXTRACT($T407, J$1&amp;""[\w &amp;]*, (\d+\.\d+)""),"""")
"),"")</f>
        <v/>
      </c>
      <c r="K407" s="3"/>
      <c r="L407" s="3" t="str">
        <f aca="false">IFERROR(__xludf.dummyfunction("if($T407&lt;&gt;"""",REGEXEXTRACT(SUBSTITUTE ($T407,L$1&amp;"" CE"",""""), L$1&amp;""[\w &amp;]*, (\d+\.\d+)""),"""")
"),"")</f>
        <v/>
      </c>
      <c r="M407" s="3" t="str">
        <f aca="false">IFERROR(__xludf.dummyfunction("if($T407&lt;&gt;"""",REGEXEXTRACT($T407, M$1&amp;""[\w &amp;]*, (\d+\.\d+)""),"""")
"),"")</f>
        <v/>
      </c>
      <c r="N407" s="3" t="str">
        <f aca="false">IFERROR(__xludf.dummyfunction("if($T407&lt;&gt;"""",REGEXEXTRACT(SUBSTITUTE ($T407,N$1&amp;"" CE"",""""), N$1&amp;""[\w &amp;]*, (\d+\.\d+)""),"""")
"),"")</f>
        <v/>
      </c>
      <c r="O407" s="3" t="str">
        <f aca="false">IFERROR(__xludf.dummyfunction("if($T407&lt;&gt;"""",REGEXEXTRACT($T407, O$1&amp;""[\w &amp;]*, (\d+\.\d+)""),"""")
"),"")</f>
        <v/>
      </c>
      <c r="P407" s="2"/>
      <c r="Q407" s="2"/>
      <c r="R407" s="2"/>
      <c r="S407" s="2"/>
      <c r="T407" s="5"/>
    </row>
    <row r="408" customFormat="false" ht="15.75" hidden="false" customHeight="false" outlineLevel="0" collapsed="false">
      <c r="A408" s="4"/>
      <c r="B408" s="2"/>
      <c r="C408" s="2"/>
      <c r="D408" s="2"/>
      <c r="E408" s="2"/>
      <c r="F408" s="3" t="str">
        <f aca="false">IFERROR(__xludf.dummyfunction("if($T408&lt;&gt;"""",REGEXEXTRACT(SUBSTITUTE ($T408,F$1&amp;"" CE"",""""), F$1&amp;""[\w &amp;]*, (\d+\.\d+)""),"""")
"),"")</f>
        <v/>
      </c>
      <c r="G408" s="3" t="str">
        <f aca="false">IFERROR(__xludf.dummyfunction("if($T408&lt;&gt;"""",REGEXEXTRACT($T408, G$1&amp;""[\w &amp;]*, (\d+\.\d+)""),"""")
"),"")</f>
        <v/>
      </c>
      <c r="H408" s="3"/>
      <c r="I408" s="3" t="str">
        <f aca="false">IFERROR(__xludf.dummyfunction("if($T408&lt;&gt;"""",REGEXEXTRACT(SUBSTITUTE ($T408,I$1&amp;"" CE"",""""), I$1&amp;""[\w &amp;]*, (\d+\.\d+)""),"""")
"),"")</f>
        <v/>
      </c>
      <c r="J408" s="3" t="str">
        <f aca="false">IFERROR(__xludf.dummyfunction("if($T408&lt;&gt;"""",REGEXEXTRACT($T408, J$1&amp;""[\w &amp;]*, (\d+\.\d+)""),"""")
"),"")</f>
        <v/>
      </c>
      <c r="K408" s="3"/>
      <c r="L408" s="3" t="str">
        <f aca="false">IFERROR(__xludf.dummyfunction("if($T408&lt;&gt;"""",REGEXEXTRACT(SUBSTITUTE ($T408,L$1&amp;"" CE"",""""), L$1&amp;""[\w &amp;]*, (\d+\.\d+)""),"""")
"),"")</f>
        <v/>
      </c>
      <c r="M408" s="3" t="str">
        <f aca="false">IFERROR(__xludf.dummyfunction("if($T408&lt;&gt;"""",REGEXEXTRACT($T408, M$1&amp;""[\w &amp;]*, (\d+\.\d+)""),"""")
"),"")</f>
        <v/>
      </c>
      <c r="N408" s="3" t="str">
        <f aca="false">IFERROR(__xludf.dummyfunction("if($T408&lt;&gt;"""",REGEXEXTRACT(SUBSTITUTE ($T408,N$1&amp;"" CE"",""""), N$1&amp;""[\w &amp;]*, (\d+\.\d+)""),"""")
"),"")</f>
        <v/>
      </c>
      <c r="O408" s="3" t="str">
        <f aca="false">IFERROR(__xludf.dummyfunction("if($T408&lt;&gt;"""",REGEXEXTRACT($T408, O$1&amp;""[\w &amp;]*, (\d+\.\d+)""),"""")
"),"")</f>
        <v/>
      </c>
      <c r="P408" s="2"/>
      <c r="Q408" s="2"/>
      <c r="R408" s="2"/>
      <c r="S408" s="2"/>
      <c r="T408" s="5"/>
    </row>
    <row r="409" customFormat="false" ht="15.75" hidden="false" customHeight="false" outlineLevel="0" collapsed="false">
      <c r="A409" s="4"/>
      <c r="B409" s="2"/>
      <c r="C409" s="2"/>
      <c r="D409" s="2"/>
      <c r="E409" s="2"/>
      <c r="F409" s="3" t="str">
        <f aca="false">IFERROR(__xludf.dummyfunction("if($T409&lt;&gt;"""",REGEXEXTRACT(SUBSTITUTE ($T409,F$1&amp;"" CE"",""""), F$1&amp;""[\w &amp;]*, (\d+\.\d+)""),"""")
"),"")</f>
        <v/>
      </c>
      <c r="G409" s="3" t="str">
        <f aca="false">IFERROR(__xludf.dummyfunction("if($T409&lt;&gt;"""",REGEXEXTRACT($T409, G$1&amp;""[\w &amp;]*, (\d+\.\d+)""),"""")
"),"")</f>
        <v/>
      </c>
      <c r="H409" s="3"/>
      <c r="I409" s="3" t="str">
        <f aca="false">IFERROR(__xludf.dummyfunction("if($T409&lt;&gt;"""",REGEXEXTRACT(SUBSTITUTE ($T409,I$1&amp;"" CE"",""""), I$1&amp;""[\w &amp;]*, (\d+\.\d+)""),"""")
"),"")</f>
        <v/>
      </c>
      <c r="J409" s="3" t="str">
        <f aca="false">IFERROR(__xludf.dummyfunction("if($T409&lt;&gt;"""",REGEXEXTRACT($T409, J$1&amp;""[\w &amp;]*, (\d+\.\d+)""),"""")
"),"")</f>
        <v/>
      </c>
      <c r="K409" s="3"/>
      <c r="L409" s="3" t="str">
        <f aca="false">IFERROR(__xludf.dummyfunction("if($T409&lt;&gt;"""",REGEXEXTRACT(SUBSTITUTE ($T409,L$1&amp;"" CE"",""""), L$1&amp;""[\w &amp;]*, (\d+\.\d+)""),"""")
"),"")</f>
        <v/>
      </c>
      <c r="M409" s="3" t="str">
        <f aca="false">IFERROR(__xludf.dummyfunction("if($T409&lt;&gt;"""",REGEXEXTRACT($T409, M$1&amp;""[\w &amp;]*, (\d+\.\d+)""),"""")
"),"")</f>
        <v/>
      </c>
      <c r="N409" s="3" t="str">
        <f aca="false">IFERROR(__xludf.dummyfunction("if($T409&lt;&gt;"""",REGEXEXTRACT(SUBSTITUTE ($T409,N$1&amp;"" CE"",""""), N$1&amp;""[\w &amp;]*, (\d+\.\d+)""),"""")
"),"")</f>
        <v/>
      </c>
      <c r="O409" s="3" t="str">
        <f aca="false">IFERROR(__xludf.dummyfunction("if($T409&lt;&gt;"""",REGEXEXTRACT($T409, O$1&amp;""[\w &amp;]*, (\d+\.\d+)""),"""")
"),"")</f>
        <v/>
      </c>
      <c r="P409" s="2"/>
      <c r="Q409" s="2"/>
      <c r="R409" s="2"/>
      <c r="S409" s="2"/>
      <c r="T409" s="5"/>
    </row>
    <row r="410" customFormat="false" ht="15.75" hidden="false" customHeight="false" outlineLevel="0" collapsed="false">
      <c r="A410" s="4"/>
      <c r="B410" s="2"/>
      <c r="C410" s="2"/>
      <c r="D410" s="2"/>
      <c r="E410" s="2"/>
      <c r="F410" s="3" t="str">
        <f aca="false">IFERROR(__xludf.dummyfunction("if($T410&lt;&gt;"""",REGEXEXTRACT(SUBSTITUTE ($T410,F$1&amp;"" CE"",""""), F$1&amp;""[\w &amp;]*, (\d+\.\d+)""),"""")
"),"")</f>
        <v/>
      </c>
      <c r="G410" s="3" t="str">
        <f aca="false">IFERROR(__xludf.dummyfunction("if($T410&lt;&gt;"""",REGEXEXTRACT($T410, G$1&amp;""[\w &amp;]*, (\d+\.\d+)""),"""")
"),"")</f>
        <v/>
      </c>
      <c r="H410" s="3"/>
      <c r="I410" s="3" t="str">
        <f aca="false">IFERROR(__xludf.dummyfunction("if($T410&lt;&gt;"""",REGEXEXTRACT(SUBSTITUTE ($T410,I$1&amp;"" CE"",""""), I$1&amp;""[\w &amp;]*, (\d+\.\d+)""),"""")
"),"")</f>
        <v/>
      </c>
      <c r="J410" s="3" t="str">
        <f aca="false">IFERROR(__xludf.dummyfunction("if($T410&lt;&gt;"""",REGEXEXTRACT($T410, J$1&amp;""[\w &amp;]*, (\d+\.\d+)""),"""")
"),"")</f>
        <v/>
      </c>
      <c r="K410" s="3"/>
      <c r="L410" s="3" t="str">
        <f aca="false">IFERROR(__xludf.dummyfunction("if($T410&lt;&gt;"""",REGEXEXTRACT(SUBSTITUTE ($T410,L$1&amp;"" CE"",""""), L$1&amp;""[\w &amp;]*, (\d+\.\d+)""),"""")
"),"")</f>
        <v/>
      </c>
      <c r="M410" s="3" t="str">
        <f aca="false">IFERROR(__xludf.dummyfunction("if($T410&lt;&gt;"""",REGEXEXTRACT($T410, M$1&amp;""[\w &amp;]*, (\d+\.\d+)""),"""")
"),"")</f>
        <v/>
      </c>
      <c r="N410" s="3" t="str">
        <f aca="false">IFERROR(__xludf.dummyfunction("if($T410&lt;&gt;"""",REGEXEXTRACT(SUBSTITUTE ($T410,N$1&amp;"" CE"",""""), N$1&amp;""[\w &amp;]*, (\d+\.\d+)""),"""")
"),"")</f>
        <v/>
      </c>
      <c r="O410" s="3" t="str">
        <f aca="false">IFERROR(__xludf.dummyfunction("if($T410&lt;&gt;"""",REGEXEXTRACT($T410, O$1&amp;""[\w &amp;]*, (\d+\.\d+)""),"""")
"),"")</f>
        <v/>
      </c>
      <c r="P410" s="2"/>
      <c r="Q410" s="2"/>
      <c r="R410" s="2"/>
      <c r="S410" s="2"/>
      <c r="T410" s="5"/>
    </row>
    <row r="411" customFormat="false" ht="15.75" hidden="false" customHeight="false" outlineLevel="0" collapsed="false">
      <c r="A411" s="4"/>
      <c r="B411" s="2"/>
      <c r="C411" s="2"/>
      <c r="D411" s="2"/>
      <c r="E411" s="2"/>
      <c r="F411" s="3" t="str">
        <f aca="false">IFERROR(__xludf.dummyfunction("if($T411&lt;&gt;"""",REGEXEXTRACT(SUBSTITUTE ($T411,F$1&amp;"" CE"",""""), F$1&amp;""[\w &amp;]*, (\d+\.\d+)""),"""")
"),"")</f>
        <v/>
      </c>
      <c r="G411" s="3" t="str">
        <f aca="false">IFERROR(__xludf.dummyfunction("if($T411&lt;&gt;"""",REGEXEXTRACT($T411, G$1&amp;""[\w &amp;]*, (\d+\.\d+)""),"""")
"),"")</f>
        <v/>
      </c>
      <c r="H411" s="3"/>
      <c r="I411" s="3" t="str">
        <f aca="false">IFERROR(__xludf.dummyfunction("if($T411&lt;&gt;"""",REGEXEXTRACT(SUBSTITUTE ($T411,I$1&amp;"" CE"",""""), I$1&amp;""[\w &amp;]*, (\d+\.\d+)""),"""")
"),"")</f>
        <v/>
      </c>
      <c r="J411" s="3" t="str">
        <f aca="false">IFERROR(__xludf.dummyfunction("if($T411&lt;&gt;"""",REGEXEXTRACT($T411, J$1&amp;""[\w &amp;]*, (\d+\.\d+)""),"""")
"),"")</f>
        <v/>
      </c>
      <c r="K411" s="3"/>
      <c r="L411" s="3" t="str">
        <f aca="false">IFERROR(__xludf.dummyfunction("if($T411&lt;&gt;"""",REGEXEXTRACT(SUBSTITUTE ($T411,L$1&amp;"" CE"",""""), L$1&amp;""[\w &amp;]*, (\d+\.\d+)""),"""")
"),"")</f>
        <v/>
      </c>
      <c r="M411" s="3" t="str">
        <f aca="false">IFERROR(__xludf.dummyfunction("if($T411&lt;&gt;"""",REGEXEXTRACT($T411, M$1&amp;""[\w &amp;]*, (\d+\.\d+)""),"""")
"),"")</f>
        <v/>
      </c>
      <c r="N411" s="3" t="str">
        <f aca="false">IFERROR(__xludf.dummyfunction("if($T411&lt;&gt;"""",REGEXEXTRACT(SUBSTITUTE ($T411,N$1&amp;"" CE"",""""), N$1&amp;""[\w &amp;]*, (\d+\.\d+)""),"""")
"),"")</f>
        <v/>
      </c>
      <c r="O411" s="3" t="str">
        <f aca="false">IFERROR(__xludf.dummyfunction("if($T411&lt;&gt;"""",REGEXEXTRACT($T411, O$1&amp;""[\w &amp;]*, (\d+\.\d+)""),"""")
"),"")</f>
        <v/>
      </c>
      <c r="P411" s="2"/>
      <c r="Q411" s="2"/>
      <c r="R411" s="2"/>
      <c r="S411" s="2"/>
      <c r="T411" s="5"/>
    </row>
    <row r="412" customFormat="false" ht="15.75" hidden="false" customHeight="false" outlineLevel="0" collapsed="false">
      <c r="A412" s="4"/>
      <c r="B412" s="2"/>
      <c r="C412" s="2"/>
      <c r="D412" s="2"/>
      <c r="E412" s="2"/>
      <c r="F412" s="3" t="str">
        <f aca="false">IFERROR(__xludf.dummyfunction("if($T412&lt;&gt;"""",REGEXEXTRACT(SUBSTITUTE ($T412,F$1&amp;"" CE"",""""), F$1&amp;""[\w &amp;]*, (\d+\.\d+)""),"""")
"),"")</f>
        <v/>
      </c>
      <c r="G412" s="3" t="str">
        <f aca="false">IFERROR(__xludf.dummyfunction("if($T412&lt;&gt;"""",REGEXEXTRACT($T412, G$1&amp;""[\w &amp;]*, (\d+\.\d+)""),"""")
"),"")</f>
        <v/>
      </c>
      <c r="H412" s="3"/>
      <c r="I412" s="3" t="str">
        <f aca="false">IFERROR(__xludf.dummyfunction("if($T412&lt;&gt;"""",REGEXEXTRACT(SUBSTITUTE ($T412,I$1&amp;"" CE"",""""), I$1&amp;""[\w &amp;]*, (\d+\.\d+)""),"""")
"),"")</f>
        <v/>
      </c>
      <c r="J412" s="3" t="str">
        <f aca="false">IFERROR(__xludf.dummyfunction("if($T412&lt;&gt;"""",REGEXEXTRACT($T412, J$1&amp;""[\w &amp;]*, (\d+\.\d+)""),"""")
"),"")</f>
        <v/>
      </c>
      <c r="K412" s="3"/>
      <c r="L412" s="3" t="str">
        <f aca="false">IFERROR(__xludf.dummyfunction("if($T412&lt;&gt;"""",REGEXEXTRACT(SUBSTITUTE ($T412,L$1&amp;"" CE"",""""), L$1&amp;""[\w &amp;]*, (\d+\.\d+)""),"""")
"),"")</f>
        <v/>
      </c>
      <c r="M412" s="3" t="str">
        <f aca="false">IFERROR(__xludf.dummyfunction("if($T412&lt;&gt;"""",REGEXEXTRACT($T412, M$1&amp;""[\w &amp;]*, (\d+\.\d+)""),"""")
"),"")</f>
        <v/>
      </c>
      <c r="N412" s="3" t="str">
        <f aca="false">IFERROR(__xludf.dummyfunction("if($T412&lt;&gt;"""",REGEXEXTRACT(SUBSTITUTE ($T412,N$1&amp;"" CE"",""""), N$1&amp;""[\w &amp;]*, (\d+\.\d+)""),"""")
"),"")</f>
        <v/>
      </c>
      <c r="O412" s="3" t="str">
        <f aca="false">IFERROR(__xludf.dummyfunction("if($T412&lt;&gt;"""",REGEXEXTRACT($T412, O$1&amp;""[\w &amp;]*, (\d+\.\d+)""),"""")
"),"")</f>
        <v/>
      </c>
      <c r="P412" s="2"/>
      <c r="Q412" s="2"/>
      <c r="R412" s="2"/>
      <c r="S412" s="2"/>
      <c r="T412" s="5"/>
    </row>
    <row r="413" customFormat="false" ht="15.75" hidden="false" customHeight="false" outlineLevel="0" collapsed="false">
      <c r="A413" s="4"/>
      <c r="B413" s="2"/>
      <c r="C413" s="2"/>
      <c r="D413" s="2"/>
      <c r="E413" s="2"/>
      <c r="F413" s="3" t="str">
        <f aca="false">IFERROR(__xludf.dummyfunction("if($T413&lt;&gt;"""",REGEXEXTRACT(SUBSTITUTE ($T413,F$1&amp;"" CE"",""""), F$1&amp;""[\w &amp;]*, (\d+\.\d+)""),"""")
"),"")</f>
        <v/>
      </c>
      <c r="G413" s="3" t="str">
        <f aca="false">IFERROR(__xludf.dummyfunction("if($T413&lt;&gt;"""",REGEXEXTRACT($T413, G$1&amp;""[\w &amp;]*, (\d+\.\d+)""),"""")
"),"")</f>
        <v/>
      </c>
      <c r="H413" s="3"/>
      <c r="I413" s="3" t="str">
        <f aca="false">IFERROR(__xludf.dummyfunction("if($T413&lt;&gt;"""",REGEXEXTRACT(SUBSTITUTE ($T413,I$1&amp;"" CE"",""""), I$1&amp;""[\w &amp;]*, (\d+\.\d+)""),"""")
"),"")</f>
        <v/>
      </c>
      <c r="J413" s="3" t="str">
        <f aca="false">IFERROR(__xludf.dummyfunction("if($T413&lt;&gt;"""",REGEXEXTRACT($T413, J$1&amp;""[\w &amp;]*, (\d+\.\d+)""),"""")
"),"")</f>
        <v/>
      </c>
      <c r="K413" s="3"/>
      <c r="L413" s="3" t="str">
        <f aca="false">IFERROR(__xludf.dummyfunction("if($T413&lt;&gt;"""",REGEXEXTRACT(SUBSTITUTE ($T413,L$1&amp;"" CE"",""""), L$1&amp;""[\w &amp;]*, (\d+\.\d+)""),"""")
"),"")</f>
        <v/>
      </c>
      <c r="M413" s="3" t="str">
        <f aca="false">IFERROR(__xludf.dummyfunction("if($T413&lt;&gt;"""",REGEXEXTRACT($T413, M$1&amp;""[\w &amp;]*, (\d+\.\d+)""),"""")
"),"")</f>
        <v/>
      </c>
      <c r="N413" s="3" t="str">
        <f aca="false">IFERROR(__xludf.dummyfunction("if($T413&lt;&gt;"""",REGEXEXTRACT(SUBSTITUTE ($T413,N$1&amp;"" CE"",""""), N$1&amp;""[\w &amp;]*, (\d+\.\d+)""),"""")
"),"")</f>
        <v/>
      </c>
      <c r="O413" s="3" t="str">
        <f aca="false">IFERROR(__xludf.dummyfunction("if($T413&lt;&gt;"""",REGEXEXTRACT($T413, O$1&amp;""[\w &amp;]*, (\d+\.\d+)""),"""")
"),"")</f>
        <v/>
      </c>
      <c r="P413" s="2"/>
      <c r="Q413" s="2"/>
      <c r="R413" s="2"/>
      <c r="S413" s="2"/>
      <c r="T413" s="5"/>
    </row>
    <row r="414" customFormat="false" ht="15.75" hidden="false" customHeight="false" outlineLevel="0" collapsed="false">
      <c r="A414" s="4"/>
      <c r="B414" s="2"/>
      <c r="C414" s="2"/>
      <c r="D414" s="2"/>
      <c r="E414" s="2"/>
      <c r="F414" s="3" t="str">
        <f aca="false">IFERROR(__xludf.dummyfunction("if($T414&lt;&gt;"""",REGEXEXTRACT(SUBSTITUTE ($T414,F$1&amp;"" CE"",""""), F$1&amp;""[\w &amp;]*, (\d+\.\d+)""),"""")
"),"")</f>
        <v/>
      </c>
      <c r="G414" s="3" t="str">
        <f aca="false">IFERROR(__xludf.dummyfunction("if($T414&lt;&gt;"""",REGEXEXTRACT($T414, G$1&amp;""[\w &amp;]*, (\d+\.\d+)""),"""")
"),"")</f>
        <v/>
      </c>
      <c r="H414" s="3"/>
      <c r="I414" s="3" t="str">
        <f aca="false">IFERROR(__xludf.dummyfunction("if($T414&lt;&gt;"""",REGEXEXTRACT(SUBSTITUTE ($T414,I$1&amp;"" CE"",""""), I$1&amp;""[\w &amp;]*, (\d+\.\d+)""),"""")
"),"")</f>
        <v/>
      </c>
      <c r="J414" s="3" t="str">
        <f aca="false">IFERROR(__xludf.dummyfunction("if($T414&lt;&gt;"""",REGEXEXTRACT($T414, J$1&amp;""[\w &amp;]*, (\d+\.\d+)""),"""")
"),"")</f>
        <v/>
      </c>
      <c r="K414" s="3"/>
      <c r="L414" s="3" t="str">
        <f aca="false">IFERROR(__xludf.dummyfunction("if($T414&lt;&gt;"""",REGEXEXTRACT(SUBSTITUTE ($T414,L$1&amp;"" CE"",""""), L$1&amp;""[\w &amp;]*, (\d+\.\d+)""),"""")
"),"")</f>
        <v/>
      </c>
      <c r="M414" s="3" t="str">
        <f aca="false">IFERROR(__xludf.dummyfunction("if($T414&lt;&gt;"""",REGEXEXTRACT($T414, M$1&amp;""[\w &amp;]*, (\d+\.\d+)""),"""")
"),"")</f>
        <v/>
      </c>
      <c r="N414" s="3" t="str">
        <f aca="false">IFERROR(__xludf.dummyfunction("if($T414&lt;&gt;"""",REGEXEXTRACT(SUBSTITUTE ($T414,N$1&amp;"" CE"",""""), N$1&amp;""[\w &amp;]*, (\d+\.\d+)""),"""")
"),"")</f>
        <v/>
      </c>
      <c r="O414" s="3" t="str">
        <f aca="false">IFERROR(__xludf.dummyfunction("if($T414&lt;&gt;"""",REGEXEXTRACT($T414, O$1&amp;""[\w &amp;]*, (\d+\.\d+)""),"""")
"),"")</f>
        <v/>
      </c>
      <c r="P414" s="2"/>
      <c r="Q414" s="2"/>
      <c r="R414" s="2"/>
      <c r="S414" s="2"/>
      <c r="T414" s="5"/>
    </row>
    <row r="415" customFormat="false" ht="15.75" hidden="false" customHeight="false" outlineLevel="0" collapsed="false">
      <c r="A415" s="4"/>
      <c r="B415" s="2"/>
      <c r="C415" s="2"/>
      <c r="D415" s="2"/>
      <c r="E415" s="2"/>
      <c r="F415" s="3" t="str">
        <f aca="false">IFERROR(__xludf.dummyfunction("if($T415&lt;&gt;"""",REGEXEXTRACT(SUBSTITUTE ($T415,F$1&amp;"" CE"",""""), F$1&amp;""[\w &amp;]*, (\d+\.\d+)""),"""")
"),"")</f>
        <v/>
      </c>
      <c r="G415" s="3" t="str">
        <f aca="false">IFERROR(__xludf.dummyfunction("if($T415&lt;&gt;"""",REGEXEXTRACT($T415, G$1&amp;""[\w &amp;]*, (\d+\.\d+)""),"""")
"),"")</f>
        <v/>
      </c>
      <c r="H415" s="3"/>
      <c r="I415" s="3" t="str">
        <f aca="false">IFERROR(__xludf.dummyfunction("if($T415&lt;&gt;"""",REGEXEXTRACT(SUBSTITUTE ($T415,I$1&amp;"" CE"",""""), I$1&amp;""[\w &amp;]*, (\d+\.\d+)""),"""")
"),"")</f>
        <v/>
      </c>
      <c r="J415" s="3" t="str">
        <f aca="false">IFERROR(__xludf.dummyfunction("if($T415&lt;&gt;"""",REGEXEXTRACT($T415, J$1&amp;""[\w &amp;]*, (\d+\.\d+)""),"""")
"),"")</f>
        <v/>
      </c>
      <c r="K415" s="3"/>
      <c r="L415" s="3" t="str">
        <f aca="false">IFERROR(__xludf.dummyfunction("if($T415&lt;&gt;"""",REGEXEXTRACT(SUBSTITUTE ($T415,L$1&amp;"" CE"",""""), L$1&amp;""[\w &amp;]*, (\d+\.\d+)""),"""")
"),"")</f>
        <v/>
      </c>
      <c r="M415" s="3" t="str">
        <f aca="false">IFERROR(__xludf.dummyfunction("if($T415&lt;&gt;"""",REGEXEXTRACT($T415, M$1&amp;""[\w &amp;]*, (\d+\.\d+)""),"""")
"),"")</f>
        <v/>
      </c>
      <c r="N415" s="3" t="str">
        <f aca="false">IFERROR(__xludf.dummyfunction("if($T415&lt;&gt;"""",REGEXEXTRACT(SUBSTITUTE ($T415,N$1&amp;"" CE"",""""), N$1&amp;""[\w &amp;]*, (\d+\.\d+)""),"""")
"),"")</f>
        <v/>
      </c>
      <c r="O415" s="3" t="str">
        <f aca="false">IFERROR(__xludf.dummyfunction("if($T415&lt;&gt;"""",REGEXEXTRACT($T415, O$1&amp;""[\w &amp;]*, (\d+\.\d+)""),"""")
"),"")</f>
        <v/>
      </c>
      <c r="P415" s="2"/>
      <c r="Q415" s="2"/>
      <c r="R415" s="2"/>
      <c r="S415" s="2"/>
      <c r="T415" s="5"/>
    </row>
    <row r="416" customFormat="false" ht="15.75" hidden="false" customHeight="false" outlineLevel="0" collapsed="false">
      <c r="A416" s="4"/>
      <c r="B416" s="2"/>
      <c r="C416" s="2"/>
      <c r="D416" s="2"/>
      <c r="E416" s="2"/>
      <c r="F416" s="3" t="str">
        <f aca="false">IFERROR(__xludf.dummyfunction("if($T416&lt;&gt;"""",REGEXEXTRACT(SUBSTITUTE ($T416,F$1&amp;"" CE"",""""), F$1&amp;""[\w &amp;]*, (\d+\.\d+)""),"""")
"),"")</f>
        <v/>
      </c>
      <c r="G416" s="3" t="str">
        <f aca="false">IFERROR(__xludf.dummyfunction("if($T416&lt;&gt;"""",REGEXEXTRACT($T416, G$1&amp;""[\w &amp;]*, (\d+\.\d+)""),"""")
"),"")</f>
        <v/>
      </c>
      <c r="H416" s="3"/>
      <c r="I416" s="3" t="str">
        <f aca="false">IFERROR(__xludf.dummyfunction("if($T416&lt;&gt;"""",REGEXEXTRACT(SUBSTITUTE ($T416,I$1&amp;"" CE"",""""), I$1&amp;""[\w &amp;]*, (\d+\.\d+)""),"""")
"),"")</f>
        <v/>
      </c>
      <c r="J416" s="3" t="str">
        <f aca="false">IFERROR(__xludf.dummyfunction("if($T416&lt;&gt;"""",REGEXEXTRACT($T416, J$1&amp;""[\w &amp;]*, (\d+\.\d+)""),"""")
"),"")</f>
        <v/>
      </c>
      <c r="K416" s="3"/>
      <c r="L416" s="3" t="str">
        <f aca="false">IFERROR(__xludf.dummyfunction("if($T416&lt;&gt;"""",REGEXEXTRACT(SUBSTITUTE ($T416,L$1&amp;"" CE"",""""), L$1&amp;""[\w &amp;]*, (\d+\.\d+)""),"""")
"),"")</f>
        <v/>
      </c>
      <c r="M416" s="3" t="str">
        <f aca="false">IFERROR(__xludf.dummyfunction("if($T416&lt;&gt;"""",REGEXEXTRACT($T416, M$1&amp;""[\w &amp;]*, (\d+\.\d+)""),"""")
"),"")</f>
        <v/>
      </c>
      <c r="N416" s="3" t="str">
        <f aca="false">IFERROR(__xludf.dummyfunction("if($T416&lt;&gt;"""",REGEXEXTRACT(SUBSTITUTE ($T416,N$1&amp;"" CE"",""""), N$1&amp;""[\w &amp;]*, (\d+\.\d+)""),"""")
"),"")</f>
        <v/>
      </c>
      <c r="O416" s="3" t="str">
        <f aca="false">IFERROR(__xludf.dummyfunction("if($T416&lt;&gt;"""",REGEXEXTRACT($T416, O$1&amp;""[\w &amp;]*, (\d+\.\d+)""),"""")
"),"")</f>
        <v/>
      </c>
      <c r="P416" s="2"/>
      <c r="Q416" s="2"/>
      <c r="R416" s="2"/>
      <c r="S416" s="2"/>
      <c r="T416" s="5"/>
    </row>
    <row r="417" customFormat="false" ht="15.75" hidden="false" customHeight="false" outlineLevel="0" collapsed="false">
      <c r="A417" s="4"/>
      <c r="B417" s="2"/>
      <c r="C417" s="2"/>
      <c r="D417" s="2"/>
      <c r="E417" s="2"/>
      <c r="F417" s="3" t="str">
        <f aca="false">IFERROR(__xludf.dummyfunction("if($T417&lt;&gt;"""",REGEXEXTRACT(SUBSTITUTE ($T417,F$1&amp;"" CE"",""""), F$1&amp;""[\w &amp;]*, (\d+\.\d+)""),"""")
"),"")</f>
        <v/>
      </c>
      <c r="G417" s="3" t="str">
        <f aca="false">IFERROR(__xludf.dummyfunction("if($T417&lt;&gt;"""",REGEXEXTRACT($T417, G$1&amp;""[\w &amp;]*, (\d+\.\d+)""),"""")
"),"")</f>
        <v/>
      </c>
      <c r="H417" s="3"/>
      <c r="I417" s="3" t="str">
        <f aca="false">IFERROR(__xludf.dummyfunction("if($T417&lt;&gt;"""",REGEXEXTRACT(SUBSTITUTE ($T417,I$1&amp;"" CE"",""""), I$1&amp;""[\w &amp;]*, (\d+\.\d+)""),"""")
"),"")</f>
        <v/>
      </c>
      <c r="J417" s="3" t="str">
        <f aca="false">IFERROR(__xludf.dummyfunction("if($T417&lt;&gt;"""",REGEXEXTRACT($T417, J$1&amp;""[\w &amp;]*, (\d+\.\d+)""),"""")
"),"")</f>
        <v/>
      </c>
      <c r="K417" s="3"/>
      <c r="L417" s="3" t="str">
        <f aca="false">IFERROR(__xludf.dummyfunction("if($T417&lt;&gt;"""",REGEXEXTRACT(SUBSTITUTE ($T417,L$1&amp;"" CE"",""""), L$1&amp;""[\w &amp;]*, (\d+\.\d+)""),"""")
"),"")</f>
        <v/>
      </c>
      <c r="M417" s="3" t="str">
        <f aca="false">IFERROR(__xludf.dummyfunction("if($T417&lt;&gt;"""",REGEXEXTRACT($T417, M$1&amp;""[\w &amp;]*, (\d+\.\d+)""),"""")
"),"")</f>
        <v/>
      </c>
      <c r="N417" s="3" t="str">
        <f aca="false">IFERROR(__xludf.dummyfunction("if($T417&lt;&gt;"""",REGEXEXTRACT(SUBSTITUTE ($T417,N$1&amp;"" CE"",""""), N$1&amp;""[\w &amp;]*, (\d+\.\d+)""),"""")
"),"")</f>
        <v/>
      </c>
      <c r="O417" s="3" t="str">
        <f aca="false">IFERROR(__xludf.dummyfunction("if($T417&lt;&gt;"""",REGEXEXTRACT($T417, O$1&amp;""[\w &amp;]*, (\d+\.\d+)""),"""")
"),"")</f>
        <v/>
      </c>
      <c r="P417" s="2"/>
      <c r="Q417" s="2"/>
      <c r="R417" s="2"/>
      <c r="S417" s="2"/>
      <c r="T417" s="5"/>
    </row>
    <row r="418" customFormat="false" ht="15.75" hidden="false" customHeight="false" outlineLevel="0" collapsed="false">
      <c r="A418" s="4"/>
      <c r="B418" s="2"/>
      <c r="C418" s="2"/>
      <c r="D418" s="2"/>
      <c r="E418" s="2"/>
      <c r="F418" s="3" t="str">
        <f aca="false">IFERROR(__xludf.dummyfunction("if($T418&lt;&gt;"""",REGEXEXTRACT(SUBSTITUTE ($T418,F$1&amp;"" CE"",""""), F$1&amp;""[\w &amp;]*, (\d+\.\d+)""),"""")
"),"")</f>
        <v/>
      </c>
      <c r="G418" s="3" t="str">
        <f aca="false">IFERROR(__xludf.dummyfunction("if($T418&lt;&gt;"""",REGEXEXTRACT($T418, G$1&amp;""[\w &amp;]*, (\d+\.\d+)""),"""")
"),"")</f>
        <v/>
      </c>
      <c r="H418" s="3"/>
      <c r="I418" s="3" t="str">
        <f aca="false">IFERROR(__xludf.dummyfunction("if($T418&lt;&gt;"""",REGEXEXTRACT(SUBSTITUTE ($T418,I$1&amp;"" CE"",""""), I$1&amp;""[\w &amp;]*, (\d+\.\d+)""),"""")
"),"")</f>
        <v/>
      </c>
      <c r="J418" s="3" t="str">
        <f aca="false">IFERROR(__xludf.dummyfunction("if($T418&lt;&gt;"""",REGEXEXTRACT($T418, J$1&amp;""[\w &amp;]*, (\d+\.\d+)""),"""")
"),"")</f>
        <v/>
      </c>
      <c r="K418" s="3"/>
      <c r="L418" s="3" t="str">
        <f aca="false">IFERROR(__xludf.dummyfunction("if($T418&lt;&gt;"""",REGEXEXTRACT(SUBSTITUTE ($T418,L$1&amp;"" CE"",""""), L$1&amp;""[\w &amp;]*, (\d+\.\d+)""),"""")
"),"")</f>
        <v/>
      </c>
      <c r="M418" s="3" t="str">
        <f aca="false">IFERROR(__xludf.dummyfunction("if($T418&lt;&gt;"""",REGEXEXTRACT($T418, M$1&amp;""[\w &amp;]*, (\d+\.\d+)""),"""")
"),"")</f>
        <v/>
      </c>
      <c r="N418" s="3" t="str">
        <f aca="false">IFERROR(__xludf.dummyfunction("if($T418&lt;&gt;"""",REGEXEXTRACT(SUBSTITUTE ($T418,N$1&amp;"" CE"",""""), N$1&amp;""[\w &amp;]*, (\d+\.\d+)""),"""")
"),"")</f>
        <v/>
      </c>
      <c r="O418" s="3" t="str">
        <f aca="false">IFERROR(__xludf.dummyfunction("if($T418&lt;&gt;"""",REGEXEXTRACT($T418, O$1&amp;""[\w &amp;]*, (\d+\.\d+)""),"""")
"),"")</f>
        <v/>
      </c>
      <c r="P418" s="2"/>
      <c r="Q418" s="2"/>
      <c r="R418" s="2"/>
      <c r="S418" s="2"/>
      <c r="T418" s="5"/>
    </row>
    <row r="419" customFormat="false" ht="15.75" hidden="false" customHeight="false" outlineLevel="0" collapsed="false">
      <c r="A419" s="4"/>
      <c r="B419" s="2"/>
      <c r="C419" s="2"/>
      <c r="D419" s="2"/>
      <c r="E419" s="2"/>
      <c r="F419" s="3" t="str">
        <f aca="false">IFERROR(__xludf.dummyfunction("if($T419&lt;&gt;"""",REGEXEXTRACT(SUBSTITUTE ($T419,F$1&amp;"" CE"",""""), F$1&amp;""[\w &amp;]*, (\d+\.\d+)""),"""")
"),"")</f>
        <v/>
      </c>
      <c r="G419" s="3" t="str">
        <f aca="false">IFERROR(__xludf.dummyfunction("if($T419&lt;&gt;"""",REGEXEXTRACT($T419, G$1&amp;""[\w &amp;]*, (\d+\.\d+)""),"""")
"),"")</f>
        <v/>
      </c>
      <c r="H419" s="3"/>
      <c r="I419" s="3" t="str">
        <f aca="false">IFERROR(__xludf.dummyfunction("if($T419&lt;&gt;"""",REGEXEXTRACT(SUBSTITUTE ($T419,I$1&amp;"" CE"",""""), I$1&amp;""[\w &amp;]*, (\d+\.\d+)""),"""")
"),"")</f>
        <v/>
      </c>
      <c r="J419" s="3" t="str">
        <f aca="false">IFERROR(__xludf.dummyfunction("if($T419&lt;&gt;"""",REGEXEXTRACT($T419, J$1&amp;""[\w &amp;]*, (\d+\.\d+)""),"""")
"),"")</f>
        <v/>
      </c>
      <c r="K419" s="3"/>
      <c r="L419" s="3" t="str">
        <f aca="false">IFERROR(__xludf.dummyfunction("if($T419&lt;&gt;"""",REGEXEXTRACT(SUBSTITUTE ($T419,L$1&amp;"" CE"",""""), L$1&amp;""[\w &amp;]*, (\d+\.\d+)""),"""")
"),"")</f>
        <v/>
      </c>
      <c r="M419" s="3" t="str">
        <f aca="false">IFERROR(__xludf.dummyfunction("if($T419&lt;&gt;"""",REGEXEXTRACT($T419, M$1&amp;""[\w &amp;]*, (\d+\.\d+)""),"""")
"),"")</f>
        <v/>
      </c>
      <c r="N419" s="3" t="str">
        <f aca="false">IFERROR(__xludf.dummyfunction("if($T419&lt;&gt;"""",REGEXEXTRACT(SUBSTITUTE ($T419,N$1&amp;"" CE"",""""), N$1&amp;""[\w &amp;]*, (\d+\.\d+)""),"""")
"),"")</f>
        <v/>
      </c>
      <c r="O419" s="3" t="str">
        <f aca="false">IFERROR(__xludf.dummyfunction("if($T419&lt;&gt;"""",REGEXEXTRACT($T419, O$1&amp;""[\w &amp;]*, (\d+\.\d+)""),"""")
"),"")</f>
        <v/>
      </c>
      <c r="P419" s="2"/>
      <c r="Q419" s="2"/>
      <c r="R419" s="2"/>
      <c r="S419" s="2"/>
      <c r="T419" s="5"/>
    </row>
    <row r="420" customFormat="false" ht="15.75" hidden="false" customHeight="false" outlineLevel="0" collapsed="false">
      <c r="A420" s="4"/>
      <c r="B420" s="2"/>
      <c r="C420" s="2"/>
      <c r="D420" s="2"/>
      <c r="E420" s="2"/>
      <c r="F420" s="3" t="str">
        <f aca="false">IFERROR(__xludf.dummyfunction("if($T420&lt;&gt;"""",REGEXEXTRACT(SUBSTITUTE ($T420,F$1&amp;"" CE"",""""), F$1&amp;""[\w &amp;]*, (\d+\.\d+)""),"""")
"),"")</f>
        <v/>
      </c>
      <c r="G420" s="3" t="str">
        <f aca="false">IFERROR(__xludf.dummyfunction("if($T420&lt;&gt;"""",REGEXEXTRACT($T420, G$1&amp;""[\w &amp;]*, (\d+\.\d+)""),"""")
"),"")</f>
        <v/>
      </c>
      <c r="H420" s="3"/>
      <c r="I420" s="3" t="str">
        <f aca="false">IFERROR(__xludf.dummyfunction("if($T420&lt;&gt;"""",REGEXEXTRACT(SUBSTITUTE ($T420,I$1&amp;"" CE"",""""), I$1&amp;""[\w &amp;]*, (\d+\.\d+)""),"""")
"),"")</f>
        <v/>
      </c>
      <c r="J420" s="3" t="str">
        <f aca="false">IFERROR(__xludf.dummyfunction("if($T420&lt;&gt;"""",REGEXEXTRACT($T420, J$1&amp;""[\w &amp;]*, (\d+\.\d+)""),"""")
"),"")</f>
        <v/>
      </c>
      <c r="K420" s="3"/>
      <c r="L420" s="3" t="str">
        <f aca="false">IFERROR(__xludf.dummyfunction("if($T420&lt;&gt;"""",REGEXEXTRACT(SUBSTITUTE ($T420,L$1&amp;"" CE"",""""), L$1&amp;""[\w &amp;]*, (\d+\.\d+)""),"""")
"),"")</f>
        <v/>
      </c>
      <c r="M420" s="3" t="str">
        <f aca="false">IFERROR(__xludf.dummyfunction("if($T420&lt;&gt;"""",REGEXEXTRACT($T420, M$1&amp;""[\w &amp;]*, (\d+\.\d+)""),"""")
"),"")</f>
        <v/>
      </c>
      <c r="N420" s="3" t="str">
        <f aca="false">IFERROR(__xludf.dummyfunction("if($T420&lt;&gt;"""",REGEXEXTRACT(SUBSTITUTE ($T420,N$1&amp;"" CE"",""""), N$1&amp;""[\w &amp;]*, (\d+\.\d+)""),"""")
"),"")</f>
        <v/>
      </c>
      <c r="O420" s="3" t="str">
        <f aca="false">IFERROR(__xludf.dummyfunction("if($T420&lt;&gt;"""",REGEXEXTRACT($T420, O$1&amp;""[\w &amp;]*, (\d+\.\d+)""),"""")
"),"")</f>
        <v/>
      </c>
      <c r="P420" s="2"/>
      <c r="Q420" s="2"/>
      <c r="R420" s="2"/>
      <c r="S420" s="2"/>
      <c r="T420" s="5"/>
    </row>
    <row r="421" customFormat="false" ht="15.75" hidden="false" customHeight="false" outlineLevel="0" collapsed="false">
      <c r="A421" s="4"/>
      <c r="B421" s="2"/>
      <c r="C421" s="2"/>
      <c r="D421" s="2"/>
      <c r="E421" s="2"/>
      <c r="F421" s="3" t="str">
        <f aca="false">IFERROR(__xludf.dummyfunction("if($T421&lt;&gt;"""",REGEXEXTRACT(SUBSTITUTE ($T421,F$1&amp;"" CE"",""""), F$1&amp;""[\w &amp;]*, (\d+\.\d+)""),"""")
"),"")</f>
        <v/>
      </c>
      <c r="G421" s="3" t="str">
        <f aca="false">IFERROR(__xludf.dummyfunction("if($T421&lt;&gt;"""",REGEXEXTRACT($T421, G$1&amp;""[\w &amp;]*, (\d+\.\d+)""),"""")
"),"")</f>
        <v/>
      </c>
      <c r="H421" s="3"/>
      <c r="I421" s="3" t="str">
        <f aca="false">IFERROR(__xludf.dummyfunction("if($T421&lt;&gt;"""",REGEXEXTRACT(SUBSTITUTE ($T421,I$1&amp;"" CE"",""""), I$1&amp;""[\w &amp;]*, (\d+\.\d+)""),"""")
"),"")</f>
        <v/>
      </c>
      <c r="J421" s="3" t="str">
        <f aca="false">IFERROR(__xludf.dummyfunction("if($T421&lt;&gt;"""",REGEXEXTRACT($T421, J$1&amp;""[\w &amp;]*, (\d+\.\d+)""),"""")
"),"")</f>
        <v/>
      </c>
      <c r="K421" s="3"/>
      <c r="L421" s="3" t="str">
        <f aca="false">IFERROR(__xludf.dummyfunction("if($T421&lt;&gt;"""",REGEXEXTRACT(SUBSTITUTE ($T421,L$1&amp;"" CE"",""""), L$1&amp;""[\w &amp;]*, (\d+\.\d+)""),"""")
"),"")</f>
        <v/>
      </c>
      <c r="M421" s="3" t="str">
        <f aca="false">IFERROR(__xludf.dummyfunction("if($T421&lt;&gt;"""",REGEXEXTRACT($T421, M$1&amp;""[\w &amp;]*, (\d+\.\d+)""),"""")
"),"")</f>
        <v/>
      </c>
      <c r="N421" s="3" t="str">
        <f aca="false">IFERROR(__xludf.dummyfunction("if($T421&lt;&gt;"""",REGEXEXTRACT(SUBSTITUTE ($T421,N$1&amp;"" CE"",""""), N$1&amp;""[\w &amp;]*, (\d+\.\d+)""),"""")
"),"")</f>
        <v/>
      </c>
      <c r="O421" s="3" t="str">
        <f aca="false">IFERROR(__xludf.dummyfunction("if($T421&lt;&gt;"""",REGEXEXTRACT($T421, O$1&amp;""[\w &amp;]*, (\d+\.\d+)""),"""")
"),"")</f>
        <v/>
      </c>
      <c r="P421" s="2"/>
      <c r="Q421" s="2"/>
      <c r="R421" s="2"/>
      <c r="S421" s="2"/>
      <c r="T421" s="5"/>
    </row>
    <row r="422" customFormat="false" ht="15.75" hidden="false" customHeight="false" outlineLevel="0" collapsed="false">
      <c r="A422" s="4"/>
      <c r="B422" s="2"/>
      <c r="C422" s="2"/>
      <c r="D422" s="2"/>
      <c r="E422" s="2"/>
      <c r="F422" s="3" t="str">
        <f aca="false">IFERROR(__xludf.dummyfunction("if($T422&lt;&gt;"""",REGEXEXTRACT(SUBSTITUTE ($T422,F$1&amp;"" CE"",""""), F$1&amp;""[\w &amp;]*, (\d+\.\d+)""),"""")
"),"")</f>
        <v/>
      </c>
      <c r="G422" s="3" t="str">
        <f aca="false">IFERROR(__xludf.dummyfunction("if($T422&lt;&gt;"""",REGEXEXTRACT($T422, G$1&amp;""[\w &amp;]*, (\d+\.\d+)""),"""")
"),"")</f>
        <v/>
      </c>
      <c r="H422" s="3"/>
      <c r="I422" s="3" t="str">
        <f aca="false">IFERROR(__xludf.dummyfunction("if($T422&lt;&gt;"""",REGEXEXTRACT(SUBSTITUTE ($T422,I$1&amp;"" CE"",""""), I$1&amp;""[\w &amp;]*, (\d+\.\d+)""),"""")
"),"")</f>
        <v/>
      </c>
      <c r="J422" s="3" t="str">
        <f aca="false">IFERROR(__xludf.dummyfunction("if($T422&lt;&gt;"""",REGEXEXTRACT($T422, J$1&amp;""[\w &amp;]*, (\d+\.\d+)""),"""")
"),"")</f>
        <v/>
      </c>
      <c r="K422" s="3"/>
      <c r="L422" s="3" t="str">
        <f aca="false">IFERROR(__xludf.dummyfunction("if($T422&lt;&gt;"""",REGEXEXTRACT(SUBSTITUTE ($T422,L$1&amp;"" CE"",""""), L$1&amp;""[\w &amp;]*, (\d+\.\d+)""),"""")
"),"")</f>
        <v/>
      </c>
      <c r="M422" s="3" t="str">
        <f aca="false">IFERROR(__xludf.dummyfunction("if($T422&lt;&gt;"""",REGEXEXTRACT($T422, M$1&amp;""[\w &amp;]*, (\d+\.\d+)""),"""")
"),"")</f>
        <v/>
      </c>
      <c r="N422" s="3" t="str">
        <f aca="false">IFERROR(__xludf.dummyfunction("if($T422&lt;&gt;"""",REGEXEXTRACT(SUBSTITUTE ($T422,N$1&amp;"" CE"",""""), N$1&amp;""[\w &amp;]*, (\d+\.\d+)""),"""")
"),"")</f>
        <v/>
      </c>
      <c r="O422" s="3" t="str">
        <f aca="false">IFERROR(__xludf.dummyfunction("if($T422&lt;&gt;"""",REGEXEXTRACT($T422, O$1&amp;""[\w &amp;]*, (\d+\.\d+)""),"""")
"),"")</f>
        <v/>
      </c>
      <c r="P422" s="2"/>
      <c r="Q422" s="2"/>
      <c r="R422" s="2"/>
      <c r="S422" s="2"/>
      <c r="T422" s="5"/>
    </row>
    <row r="423" customFormat="false" ht="15.75" hidden="false" customHeight="false" outlineLevel="0" collapsed="false">
      <c r="A423" s="4"/>
      <c r="B423" s="2"/>
      <c r="C423" s="2"/>
      <c r="D423" s="2"/>
      <c r="E423" s="2"/>
      <c r="F423" s="3" t="str">
        <f aca="false">IFERROR(__xludf.dummyfunction("if($T423&lt;&gt;"""",REGEXEXTRACT(SUBSTITUTE ($T423,F$1&amp;"" CE"",""""), F$1&amp;""[\w &amp;]*, (\d+\.\d+)""),"""")
"),"")</f>
        <v/>
      </c>
      <c r="G423" s="3" t="str">
        <f aca="false">IFERROR(__xludf.dummyfunction("if($T423&lt;&gt;"""",REGEXEXTRACT($T423, G$1&amp;""[\w &amp;]*, (\d+\.\d+)""),"""")
"),"")</f>
        <v/>
      </c>
      <c r="H423" s="3"/>
      <c r="I423" s="3" t="str">
        <f aca="false">IFERROR(__xludf.dummyfunction("if($T423&lt;&gt;"""",REGEXEXTRACT(SUBSTITUTE ($T423,I$1&amp;"" CE"",""""), I$1&amp;""[\w &amp;]*, (\d+\.\d+)""),"""")
"),"")</f>
        <v/>
      </c>
      <c r="J423" s="3" t="str">
        <f aca="false">IFERROR(__xludf.dummyfunction("if($T423&lt;&gt;"""",REGEXEXTRACT($T423, J$1&amp;""[\w &amp;]*, (\d+\.\d+)""),"""")
"),"")</f>
        <v/>
      </c>
      <c r="K423" s="3"/>
      <c r="L423" s="3" t="str">
        <f aca="false">IFERROR(__xludf.dummyfunction("if($T423&lt;&gt;"""",REGEXEXTRACT(SUBSTITUTE ($T423,L$1&amp;"" CE"",""""), L$1&amp;""[\w &amp;]*, (\d+\.\d+)""),"""")
"),"")</f>
        <v/>
      </c>
      <c r="M423" s="3" t="str">
        <f aca="false">IFERROR(__xludf.dummyfunction("if($T423&lt;&gt;"""",REGEXEXTRACT($T423, M$1&amp;""[\w &amp;]*, (\d+\.\d+)""),"""")
"),"")</f>
        <v/>
      </c>
      <c r="N423" s="3" t="str">
        <f aca="false">IFERROR(__xludf.dummyfunction("if($T423&lt;&gt;"""",REGEXEXTRACT(SUBSTITUTE ($T423,N$1&amp;"" CE"",""""), N$1&amp;""[\w &amp;]*, (\d+\.\d+)""),"""")
"),"")</f>
        <v/>
      </c>
      <c r="O423" s="3" t="str">
        <f aca="false">IFERROR(__xludf.dummyfunction("if($T423&lt;&gt;"""",REGEXEXTRACT($T423, O$1&amp;""[\w &amp;]*, (\d+\.\d+)""),"""")
"),"")</f>
        <v/>
      </c>
      <c r="P423" s="2"/>
      <c r="Q423" s="2"/>
      <c r="R423" s="2"/>
      <c r="S423" s="2"/>
      <c r="T423" s="5"/>
    </row>
    <row r="424" customFormat="false" ht="15.75" hidden="false" customHeight="false" outlineLevel="0" collapsed="false">
      <c r="A424" s="4"/>
      <c r="B424" s="2"/>
      <c r="C424" s="2"/>
      <c r="D424" s="2"/>
      <c r="E424" s="2"/>
      <c r="F424" s="3" t="str">
        <f aca="false">IFERROR(__xludf.dummyfunction("if($T424&lt;&gt;"""",REGEXEXTRACT(SUBSTITUTE ($T424,F$1&amp;"" CE"",""""), F$1&amp;""[\w &amp;]*, (\d+\.\d+)""),"""")
"),"")</f>
        <v/>
      </c>
      <c r="G424" s="3" t="str">
        <f aca="false">IFERROR(__xludf.dummyfunction("if($T424&lt;&gt;"""",REGEXEXTRACT($T424, G$1&amp;""[\w &amp;]*, (\d+\.\d+)""),"""")
"),"")</f>
        <v/>
      </c>
      <c r="H424" s="3"/>
      <c r="I424" s="3" t="str">
        <f aca="false">IFERROR(__xludf.dummyfunction("if($T424&lt;&gt;"""",REGEXEXTRACT(SUBSTITUTE ($T424,I$1&amp;"" CE"",""""), I$1&amp;""[\w &amp;]*, (\d+\.\d+)""),"""")
"),"")</f>
        <v/>
      </c>
      <c r="J424" s="3" t="str">
        <f aca="false">IFERROR(__xludf.dummyfunction("if($T424&lt;&gt;"""",REGEXEXTRACT($T424, J$1&amp;""[\w &amp;]*, (\d+\.\d+)""),"""")
"),"")</f>
        <v/>
      </c>
      <c r="K424" s="3"/>
      <c r="L424" s="3" t="str">
        <f aca="false">IFERROR(__xludf.dummyfunction("if($T424&lt;&gt;"""",REGEXEXTRACT(SUBSTITUTE ($T424,L$1&amp;"" CE"",""""), L$1&amp;""[\w &amp;]*, (\d+\.\d+)""),"""")
"),"")</f>
        <v/>
      </c>
      <c r="M424" s="3" t="str">
        <f aca="false">IFERROR(__xludf.dummyfunction("if($T424&lt;&gt;"""",REGEXEXTRACT($T424, M$1&amp;""[\w &amp;]*, (\d+\.\d+)""),"""")
"),"")</f>
        <v/>
      </c>
      <c r="N424" s="3" t="str">
        <f aca="false">IFERROR(__xludf.dummyfunction("if($T424&lt;&gt;"""",REGEXEXTRACT(SUBSTITUTE ($T424,N$1&amp;"" CE"",""""), N$1&amp;""[\w &amp;]*, (\d+\.\d+)""),"""")
"),"")</f>
        <v/>
      </c>
      <c r="O424" s="3" t="str">
        <f aca="false">IFERROR(__xludf.dummyfunction("if($T424&lt;&gt;"""",REGEXEXTRACT($T424, O$1&amp;""[\w &amp;]*, (\d+\.\d+)""),"""")
"),"")</f>
        <v/>
      </c>
      <c r="P424" s="2"/>
      <c r="Q424" s="2"/>
      <c r="R424" s="2"/>
      <c r="S424" s="2"/>
      <c r="T424" s="5"/>
    </row>
    <row r="425" customFormat="false" ht="15.75" hidden="false" customHeight="false" outlineLevel="0" collapsed="false">
      <c r="A425" s="4"/>
      <c r="B425" s="2"/>
      <c r="C425" s="2"/>
      <c r="D425" s="2"/>
      <c r="E425" s="2"/>
      <c r="F425" s="3" t="str">
        <f aca="false">IFERROR(__xludf.dummyfunction("if($T425&lt;&gt;"""",REGEXEXTRACT(SUBSTITUTE ($T425,F$1&amp;"" CE"",""""), F$1&amp;""[\w &amp;]*, (\d+\.\d+)""),"""")
"),"")</f>
        <v/>
      </c>
      <c r="G425" s="3" t="str">
        <f aca="false">IFERROR(__xludf.dummyfunction("if($T425&lt;&gt;"""",REGEXEXTRACT($T425, G$1&amp;""[\w &amp;]*, (\d+\.\d+)""),"""")
"),"")</f>
        <v/>
      </c>
      <c r="H425" s="3"/>
      <c r="I425" s="3" t="str">
        <f aca="false">IFERROR(__xludf.dummyfunction("if($T425&lt;&gt;"""",REGEXEXTRACT(SUBSTITUTE ($T425,I$1&amp;"" CE"",""""), I$1&amp;""[\w &amp;]*, (\d+\.\d+)""),"""")
"),"")</f>
        <v/>
      </c>
      <c r="J425" s="3" t="str">
        <f aca="false">IFERROR(__xludf.dummyfunction("if($T425&lt;&gt;"""",REGEXEXTRACT($T425, J$1&amp;""[\w &amp;]*, (\d+\.\d+)""),"""")
"),"")</f>
        <v/>
      </c>
      <c r="K425" s="3"/>
      <c r="L425" s="3" t="str">
        <f aca="false">IFERROR(__xludf.dummyfunction("if($T425&lt;&gt;"""",REGEXEXTRACT(SUBSTITUTE ($T425,L$1&amp;"" CE"",""""), L$1&amp;""[\w &amp;]*, (\d+\.\d+)""),"""")
"),"")</f>
        <v/>
      </c>
      <c r="M425" s="3" t="str">
        <f aca="false">IFERROR(__xludf.dummyfunction("if($T425&lt;&gt;"""",REGEXEXTRACT($T425, M$1&amp;""[\w &amp;]*, (\d+\.\d+)""),"""")
"),"")</f>
        <v/>
      </c>
      <c r="N425" s="3" t="str">
        <f aca="false">IFERROR(__xludf.dummyfunction("if($T425&lt;&gt;"""",REGEXEXTRACT(SUBSTITUTE ($T425,N$1&amp;"" CE"",""""), N$1&amp;""[\w &amp;]*, (\d+\.\d+)""),"""")
"),"")</f>
        <v/>
      </c>
      <c r="O425" s="3" t="str">
        <f aca="false">IFERROR(__xludf.dummyfunction("if($T425&lt;&gt;"""",REGEXEXTRACT($T425, O$1&amp;""[\w &amp;]*, (\d+\.\d+)""),"""")
"),"")</f>
        <v/>
      </c>
      <c r="P425" s="2"/>
      <c r="Q425" s="2"/>
      <c r="R425" s="2"/>
      <c r="S425" s="2"/>
      <c r="T425" s="5"/>
    </row>
    <row r="426" customFormat="false" ht="15.75" hidden="false" customHeight="false" outlineLevel="0" collapsed="false">
      <c r="A426" s="4"/>
      <c r="B426" s="2"/>
      <c r="C426" s="2"/>
      <c r="D426" s="2"/>
      <c r="E426" s="2"/>
      <c r="F426" s="3" t="str">
        <f aca="false">IFERROR(__xludf.dummyfunction("if($T426&lt;&gt;"""",REGEXEXTRACT(SUBSTITUTE ($T426,F$1&amp;"" CE"",""""), F$1&amp;""[\w &amp;]*, (\d+\.\d+)""),"""")
"),"")</f>
        <v/>
      </c>
      <c r="G426" s="3" t="str">
        <f aca="false">IFERROR(__xludf.dummyfunction("if($T426&lt;&gt;"""",REGEXEXTRACT($T426, G$1&amp;""[\w &amp;]*, (\d+\.\d+)""),"""")
"),"")</f>
        <v/>
      </c>
      <c r="H426" s="3"/>
      <c r="I426" s="3" t="str">
        <f aca="false">IFERROR(__xludf.dummyfunction("if($T426&lt;&gt;"""",REGEXEXTRACT(SUBSTITUTE ($T426,I$1&amp;"" CE"",""""), I$1&amp;""[\w &amp;]*, (\d+\.\d+)""),"""")
"),"")</f>
        <v/>
      </c>
      <c r="J426" s="3" t="str">
        <f aca="false">IFERROR(__xludf.dummyfunction("if($T426&lt;&gt;"""",REGEXEXTRACT($T426, J$1&amp;""[\w &amp;]*, (\d+\.\d+)""),"""")
"),"")</f>
        <v/>
      </c>
      <c r="K426" s="3"/>
      <c r="L426" s="3" t="str">
        <f aca="false">IFERROR(__xludf.dummyfunction("if($T426&lt;&gt;"""",REGEXEXTRACT(SUBSTITUTE ($T426,L$1&amp;"" CE"",""""), L$1&amp;""[\w &amp;]*, (\d+\.\d+)""),"""")
"),"")</f>
        <v/>
      </c>
      <c r="M426" s="3" t="str">
        <f aca="false">IFERROR(__xludf.dummyfunction("if($T426&lt;&gt;"""",REGEXEXTRACT($T426, M$1&amp;""[\w &amp;]*, (\d+\.\d+)""),"""")
"),"")</f>
        <v/>
      </c>
      <c r="N426" s="3" t="str">
        <f aca="false">IFERROR(__xludf.dummyfunction("if($T426&lt;&gt;"""",REGEXEXTRACT(SUBSTITUTE ($T426,N$1&amp;"" CE"",""""), N$1&amp;""[\w &amp;]*, (\d+\.\d+)""),"""")
"),"")</f>
        <v/>
      </c>
      <c r="O426" s="3" t="str">
        <f aca="false">IFERROR(__xludf.dummyfunction("if($T426&lt;&gt;"""",REGEXEXTRACT($T426, O$1&amp;""[\w &amp;]*, (\d+\.\d+)""),"""")
"),"")</f>
        <v/>
      </c>
      <c r="P426" s="2"/>
      <c r="Q426" s="2"/>
      <c r="R426" s="2"/>
      <c r="S426" s="2"/>
      <c r="T426" s="5"/>
    </row>
    <row r="427" customFormat="false" ht="15.75" hidden="false" customHeight="false" outlineLevel="0" collapsed="false">
      <c r="A427" s="4"/>
      <c r="B427" s="2"/>
      <c r="C427" s="2"/>
      <c r="D427" s="2"/>
      <c r="E427" s="2"/>
      <c r="F427" s="3" t="str">
        <f aca="false">IFERROR(__xludf.dummyfunction("if($T427&lt;&gt;"""",REGEXEXTRACT(SUBSTITUTE ($T427,F$1&amp;"" CE"",""""), F$1&amp;""[\w &amp;]*, (\d+\.\d+)""),"""")
"),"")</f>
        <v/>
      </c>
      <c r="G427" s="3" t="str">
        <f aca="false">IFERROR(__xludf.dummyfunction("if($T427&lt;&gt;"""",REGEXEXTRACT($T427, G$1&amp;""[\w &amp;]*, (\d+\.\d+)""),"""")
"),"")</f>
        <v/>
      </c>
      <c r="H427" s="3"/>
      <c r="I427" s="3" t="str">
        <f aca="false">IFERROR(__xludf.dummyfunction("if($T427&lt;&gt;"""",REGEXEXTRACT(SUBSTITUTE ($T427,I$1&amp;"" CE"",""""), I$1&amp;""[\w &amp;]*, (\d+\.\d+)""),"""")
"),"")</f>
        <v/>
      </c>
      <c r="J427" s="3" t="str">
        <f aca="false">IFERROR(__xludf.dummyfunction("if($T427&lt;&gt;"""",REGEXEXTRACT($T427, J$1&amp;""[\w &amp;]*, (\d+\.\d+)""),"""")
"),"")</f>
        <v/>
      </c>
      <c r="K427" s="3"/>
      <c r="L427" s="3" t="str">
        <f aca="false">IFERROR(__xludf.dummyfunction("if($T427&lt;&gt;"""",REGEXEXTRACT(SUBSTITUTE ($T427,L$1&amp;"" CE"",""""), L$1&amp;""[\w &amp;]*, (\d+\.\d+)""),"""")
"),"")</f>
        <v/>
      </c>
      <c r="M427" s="3" t="str">
        <f aca="false">IFERROR(__xludf.dummyfunction("if($T427&lt;&gt;"""",REGEXEXTRACT($T427, M$1&amp;""[\w &amp;]*, (\d+\.\d+)""),"""")
"),"")</f>
        <v/>
      </c>
      <c r="N427" s="3" t="str">
        <f aca="false">IFERROR(__xludf.dummyfunction("if($T427&lt;&gt;"""",REGEXEXTRACT(SUBSTITUTE ($T427,N$1&amp;"" CE"",""""), N$1&amp;""[\w &amp;]*, (\d+\.\d+)""),"""")
"),"")</f>
        <v/>
      </c>
      <c r="O427" s="3" t="str">
        <f aca="false">IFERROR(__xludf.dummyfunction("if($T427&lt;&gt;"""",REGEXEXTRACT($T427, O$1&amp;""[\w &amp;]*, (\d+\.\d+)""),"""")
"),"")</f>
        <v/>
      </c>
      <c r="P427" s="2"/>
      <c r="Q427" s="2"/>
      <c r="R427" s="2"/>
      <c r="S427" s="2"/>
      <c r="T427" s="5"/>
    </row>
    <row r="428" customFormat="false" ht="15.75" hidden="false" customHeight="false" outlineLevel="0" collapsed="false">
      <c r="A428" s="4"/>
      <c r="B428" s="2"/>
      <c r="C428" s="2"/>
      <c r="D428" s="2"/>
      <c r="E428" s="2"/>
      <c r="F428" s="3" t="str">
        <f aca="false">IFERROR(__xludf.dummyfunction("if($T428&lt;&gt;"""",REGEXEXTRACT(SUBSTITUTE ($T428,F$1&amp;"" CE"",""""), F$1&amp;""[\w &amp;]*, (\d+\.\d+)""),"""")
"),"")</f>
        <v/>
      </c>
      <c r="G428" s="3" t="str">
        <f aca="false">IFERROR(__xludf.dummyfunction("if($T428&lt;&gt;"""",REGEXEXTRACT($T428, G$1&amp;""[\w &amp;]*, (\d+\.\d+)""),"""")
"),"")</f>
        <v/>
      </c>
      <c r="H428" s="3"/>
      <c r="I428" s="3" t="str">
        <f aca="false">IFERROR(__xludf.dummyfunction("if($T428&lt;&gt;"""",REGEXEXTRACT(SUBSTITUTE ($T428,I$1&amp;"" CE"",""""), I$1&amp;""[\w &amp;]*, (\d+\.\d+)""),"""")
"),"")</f>
        <v/>
      </c>
      <c r="J428" s="3" t="str">
        <f aca="false">IFERROR(__xludf.dummyfunction("if($T428&lt;&gt;"""",REGEXEXTRACT($T428, J$1&amp;""[\w &amp;]*, (\d+\.\d+)""),"""")
"),"")</f>
        <v/>
      </c>
      <c r="K428" s="3"/>
      <c r="L428" s="3" t="str">
        <f aca="false">IFERROR(__xludf.dummyfunction("if($T428&lt;&gt;"""",REGEXEXTRACT(SUBSTITUTE ($T428,L$1&amp;"" CE"",""""), L$1&amp;""[\w &amp;]*, (\d+\.\d+)""),"""")
"),"")</f>
        <v/>
      </c>
      <c r="M428" s="3" t="str">
        <f aca="false">IFERROR(__xludf.dummyfunction("if($T428&lt;&gt;"""",REGEXEXTRACT($T428, M$1&amp;""[\w &amp;]*, (\d+\.\d+)""),"""")
"),"")</f>
        <v/>
      </c>
      <c r="N428" s="3" t="str">
        <f aca="false">IFERROR(__xludf.dummyfunction("if($T428&lt;&gt;"""",REGEXEXTRACT(SUBSTITUTE ($T428,N$1&amp;"" CE"",""""), N$1&amp;""[\w &amp;]*, (\d+\.\d+)""),"""")
"),"")</f>
        <v/>
      </c>
      <c r="O428" s="3" t="str">
        <f aca="false">IFERROR(__xludf.dummyfunction("if($T428&lt;&gt;"""",REGEXEXTRACT($T428, O$1&amp;""[\w &amp;]*, (\d+\.\d+)""),"""")
"),"")</f>
        <v/>
      </c>
      <c r="P428" s="2"/>
      <c r="Q428" s="2"/>
      <c r="R428" s="2"/>
      <c r="S428" s="2"/>
      <c r="T428" s="5"/>
    </row>
    <row r="429" customFormat="false" ht="15.75" hidden="false" customHeight="false" outlineLevel="0" collapsed="false">
      <c r="A429" s="4"/>
      <c r="B429" s="2"/>
      <c r="C429" s="2"/>
      <c r="D429" s="2"/>
      <c r="E429" s="2"/>
      <c r="F429" s="3" t="str">
        <f aca="false">IFERROR(__xludf.dummyfunction("if($T429&lt;&gt;"""",REGEXEXTRACT(SUBSTITUTE ($T429,F$1&amp;"" CE"",""""), F$1&amp;""[\w &amp;]*, (\d+\.\d+)""),"""")
"),"")</f>
        <v/>
      </c>
      <c r="G429" s="3" t="str">
        <f aca="false">IFERROR(__xludf.dummyfunction("if($T429&lt;&gt;"""",REGEXEXTRACT($T429, G$1&amp;""[\w &amp;]*, (\d+\.\d+)""),"""")
"),"")</f>
        <v/>
      </c>
      <c r="H429" s="3"/>
      <c r="I429" s="3" t="str">
        <f aca="false">IFERROR(__xludf.dummyfunction("if($T429&lt;&gt;"""",REGEXEXTRACT(SUBSTITUTE ($T429,I$1&amp;"" CE"",""""), I$1&amp;""[\w &amp;]*, (\d+\.\d+)""),"""")
"),"")</f>
        <v/>
      </c>
      <c r="J429" s="3" t="str">
        <f aca="false">IFERROR(__xludf.dummyfunction("if($T429&lt;&gt;"""",REGEXEXTRACT($T429, J$1&amp;""[\w &amp;]*, (\d+\.\d+)""),"""")
"),"")</f>
        <v/>
      </c>
      <c r="K429" s="3"/>
      <c r="L429" s="3" t="str">
        <f aca="false">IFERROR(__xludf.dummyfunction("if($T429&lt;&gt;"""",REGEXEXTRACT(SUBSTITUTE ($T429,L$1&amp;"" CE"",""""), L$1&amp;""[\w &amp;]*, (\d+\.\d+)""),"""")
"),"")</f>
        <v/>
      </c>
      <c r="M429" s="3" t="str">
        <f aca="false">IFERROR(__xludf.dummyfunction("if($T429&lt;&gt;"""",REGEXEXTRACT($T429, M$1&amp;""[\w &amp;]*, (\d+\.\d+)""),"""")
"),"")</f>
        <v/>
      </c>
      <c r="N429" s="3" t="str">
        <f aca="false">IFERROR(__xludf.dummyfunction("if($T429&lt;&gt;"""",REGEXEXTRACT(SUBSTITUTE ($T429,N$1&amp;"" CE"",""""), N$1&amp;""[\w &amp;]*, (\d+\.\d+)""),"""")
"),"")</f>
        <v/>
      </c>
      <c r="O429" s="3" t="str">
        <f aca="false">IFERROR(__xludf.dummyfunction("if($T429&lt;&gt;"""",REGEXEXTRACT($T429, O$1&amp;""[\w &amp;]*, (\d+\.\d+)""),"""")
"),"")</f>
        <v/>
      </c>
      <c r="P429" s="2"/>
      <c r="Q429" s="2"/>
      <c r="R429" s="2"/>
      <c r="S429" s="2"/>
      <c r="T429" s="5"/>
    </row>
    <row r="430" customFormat="false" ht="15.75" hidden="false" customHeight="false" outlineLevel="0" collapsed="false">
      <c r="A430" s="4"/>
      <c r="B430" s="2"/>
      <c r="C430" s="2"/>
      <c r="D430" s="2"/>
      <c r="E430" s="2"/>
      <c r="F430" s="3" t="str">
        <f aca="false">IFERROR(__xludf.dummyfunction("if($T430&lt;&gt;"""",REGEXEXTRACT(SUBSTITUTE ($T430,F$1&amp;"" CE"",""""), F$1&amp;""[\w &amp;]*, (\d+\.\d+)""),"""")
"),"")</f>
        <v/>
      </c>
      <c r="G430" s="3" t="str">
        <f aca="false">IFERROR(__xludf.dummyfunction("if($T430&lt;&gt;"""",REGEXEXTRACT($T430, G$1&amp;""[\w &amp;]*, (\d+\.\d+)""),"""")
"),"")</f>
        <v/>
      </c>
      <c r="H430" s="3"/>
      <c r="I430" s="3" t="str">
        <f aca="false">IFERROR(__xludf.dummyfunction("if($T430&lt;&gt;"""",REGEXEXTRACT(SUBSTITUTE ($T430,I$1&amp;"" CE"",""""), I$1&amp;""[\w &amp;]*, (\d+\.\d+)""),"""")
"),"")</f>
        <v/>
      </c>
      <c r="J430" s="3" t="str">
        <f aca="false">IFERROR(__xludf.dummyfunction("if($T430&lt;&gt;"""",REGEXEXTRACT($T430, J$1&amp;""[\w &amp;]*, (\d+\.\d+)""),"""")
"),"")</f>
        <v/>
      </c>
      <c r="K430" s="3"/>
      <c r="L430" s="3" t="str">
        <f aca="false">IFERROR(__xludf.dummyfunction("if($T430&lt;&gt;"""",REGEXEXTRACT(SUBSTITUTE ($T430,L$1&amp;"" CE"",""""), L$1&amp;""[\w &amp;]*, (\d+\.\d+)""),"""")
"),"")</f>
        <v/>
      </c>
      <c r="M430" s="3" t="str">
        <f aca="false">IFERROR(__xludf.dummyfunction("if($T430&lt;&gt;"""",REGEXEXTRACT($T430, M$1&amp;""[\w &amp;]*, (\d+\.\d+)""),"""")
"),"")</f>
        <v/>
      </c>
      <c r="N430" s="3" t="str">
        <f aca="false">IFERROR(__xludf.dummyfunction("if($T430&lt;&gt;"""",REGEXEXTRACT(SUBSTITUTE ($T430,N$1&amp;"" CE"",""""), N$1&amp;""[\w &amp;]*, (\d+\.\d+)""),"""")
"),"")</f>
        <v/>
      </c>
      <c r="O430" s="3" t="str">
        <f aca="false">IFERROR(__xludf.dummyfunction("if($T430&lt;&gt;"""",REGEXEXTRACT($T430, O$1&amp;""[\w &amp;]*, (\d+\.\d+)""),"""")
"),"")</f>
        <v/>
      </c>
      <c r="P430" s="2"/>
      <c r="Q430" s="2"/>
      <c r="R430" s="2"/>
      <c r="S430" s="2"/>
      <c r="T430" s="5"/>
    </row>
    <row r="431" customFormat="false" ht="15.75" hidden="false" customHeight="false" outlineLevel="0" collapsed="false">
      <c r="A431" s="4"/>
      <c r="B431" s="2"/>
      <c r="C431" s="2"/>
      <c r="D431" s="2"/>
      <c r="E431" s="2"/>
      <c r="F431" s="3" t="str">
        <f aca="false">IFERROR(__xludf.dummyfunction("if($T431&lt;&gt;"""",REGEXEXTRACT(SUBSTITUTE ($T431,F$1&amp;"" CE"",""""), F$1&amp;""[\w &amp;]*, (\d+\.\d+)""),"""")
"),"")</f>
        <v/>
      </c>
      <c r="G431" s="3" t="str">
        <f aca="false">IFERROR(__xludf.dummyfunction("if($T431&lt;&gt;"""",REGEXEXTRACT($T431, G$1&amp;""[\w &amp;]*, (\d+\.\d+)""),"""")
"),"")</f>
        <v/>
      </c>
      <c r="H431" s="3"/>
      <c r="I431" s="3" t="str">
        <f aca="false">IFERROR(__xludf.dummyfunction("if($T431&lt;&gt;"""",REGEXEXTRACT(SUBSTITUTE ($T431,I$1&amp;"" CE"",""""), I$1&amp;""[\w &amp;]*, (\d+\.\d+)""),"""")
"),"")</f>
        <v/>
      </c>
      <c r="J431" s="3" t="str">
        <f aca="false">IFERROR(__xludf.dummyfunction("if($T431&lt;&gt;"""",REGEXEXTRACT($T431, J$1&amp;""[\w &amp;]*, (\d+\.\d+)""),"""")
"),"")</f>
        <v/>
      </c>
      <c r="K431" s="3"/>
      <c r="L431" s="3" t="str">
        <f aca="false">IFERROR(__xludf.dummyfunction("if($T431&lt;&gt;"""",REGEXEXTRACT(SUBSTITUTE ($T431,L$1&amp;"" CE"",""""), L$1&amp;""[\w &amp;]*, (\d+\.\d+)""),"""")
"),"")</f>
        <v/>
      </c>
      <c r="M431" s="3" t="str">
        <f aca="false">IFERROR(__xludf.dummyfunction("if($T431&lt;&gt;"""",REGEXEXTRACT($T431, M$1&amp;""[\w &amp;]*, (\d+\.\d+)""),"""")
"),"")</f>
        <v/>
      </c>
      <c r="N431" s="3" t="str">
        <f aca="false">IFERROR(__xludf.dummyfunction("if($T431&lt;&gt;"""",REGEXEXTRACT(SUBSTITUTE ($T431,N$1&amp;"" CE"",""""), N$1&amp;""[\w &amp;]*, (\d+\.\d+)""),"""")
"),"")</f>
        <v/>
      </c>
      <c r="O431" s="3" t="str">
        <f aca="false">IFERROR(__xludf.dummyfunction("if($T431&lt;&gt;"""",REGEXEXTRACT($T431, O$1&amp;""[\w &amp;]*, (\d+\.\d+)""),"""")
"),"")</f>
        <v/>
      </c>
      <c r="P431" s="2"/>
      <c r="Q431" s="2"/>
      <c r="R431" s="2"/>
      <c r="S431" s="2"/>
      <c r="T431" s="5"/>
    </row>
    <row r="432" customFormat="false" ht="15.75" hidden="false" customHeight="false" outlineLevel="0" collapsed="false">
      <c r="A432" s="4"/>
      <c r="B432" s="2"/>
      <c r="C432" s="2"/>
      <c r="D432" s="2"/>
      <c r="E432" s="2"/>
      <c r="F432" s="3" t="str">
        <f aca="false">IFERROR(__xludf.dummyfunction("if($T432&lt;&gt;"""",REGEXEXTRACT(SUBSTITUTE ($T432,F$1&amp;"" CE"",""""), F$1&amp;""[\w &amp;]*, (\d+\.\d+)""),"""")
"),"")</f>
        <v/>
      </c>
      <c r="G432" s="3" t="str">
        <f aca="false">IFERROR(__xludf.dummyfunction("if($T432&lt;&gt;"""",REGEXEXTRACT($T432, G$1&amp;""[\w &amp;]*, (\d+\.\d+)""),"""")
"),"")</f>
        <v/>
      </c>
      <c r="H432" s="3"/>
      <c r="I432" s="3" t="str">
        <f aca="false">IFERROR(__xludf.dummyfunction("if($T432&lt;&gt;"""",REGEXEXTRACT(SUBSTITUTE ($T432,I$1&amp;"" CE"",""""), I$1&amp;""[\w &amp;]*, (\d+\.\d+)""),"""")
"),"")</f>
        <v/>
      </c>
      <c r="J432" s="3" t="str">
        <f aca="false">IFERROR(__xludf.dummyfunction("if($T432&lt;&gt;"""",REGEXEXTRACT($T432, J$1&amp;""[\w &amp;]*, (\d+\.\d+)""),"""")
"),"")</f>
        <v/>
      </c>
      <c r="K432" s="3"/>
      <c r="L432" s="3" t="str">
        <f aca="false">IFERROR(__xludf.dummyfunction("if($T432&lt;&gt;"""",REGEXEXTRACT(SUBSTITUTE ($T432,L$1&amp;"" CE"",""""), L$1&amp;""[\w &amp;]*, (\d+\.\d+)""),"""")
"),"")</f>
        <v/>
      </c>
      <c r="M432" s="3" t="str">
        <f aca="false">IFERROR(__xludf.dummyfunction("if($T432&lt;&gt;"""",REGEXEXTRACT($T432, M$1&amp;""[\w &amp;]*, (\d+\.\d+)""),"""")
"),"")</f>
        <v/>
      </c>
      <c r="N432" s="3" t="str">
        <f aca="false">IFERROR(__xludf.dummyfunction("if($T432&lt;&gt;"""",REGEXEXTRACT(SUBSTITUTE ($T432,N$1&amp;"" CE"",""""), N$1&amp;""[\w &amp;]*, (\d+\.\d+)""),"""")
"),"")</f>
        <v/>
      </c>
      <c r="O432" s="3" t="str">
        <f aca="false">IFERROR(__xludf.dummyfunction("if($T432&lt;&gt;"""",REGEXEXTRACT($T432, O$1&amp;""[\w &amp;]*, (\d+\.\d+)""),"""")
"),"")</f>
        <v/>
      </c>
      <c r="P432" s="2"/>
      <c r="Q432" s="2"/>
      <c r="R432" s="2"/>
      <c r="S432" s="2"/>
      <c r="T432" s="5"/>
    </row>
    <row r="433" customFormat="false" ht="15.75" hidden="false" customHeight="false" outlineLevel="0" collapsed="false">
      <c r="A433" s="4"/>
      <c r="B433" s="2"/>
      <c r="C433" s="2"/>
      <c r="D433" s="2"/>
      <c r="E433" s="2"/>
      <c r="F433" s="3" t="str">
        <f aca="false">IFERROR(__xludf.dummyfunction("if($T433&lt;&gt;"""",REGEXEXTRACT(SUBSTITUTE ($T433,F$1&amp;"" CE"",""""), F$1&amp;""[\w &amp;]*, (\d+\.\d+)""),"""")
"),"")</f>
        <v/>
      </c>
      <c r="G433" s="3" t="str">
        <f aca="false">IFERROR(__xludf.dummyfunction("if($T433&lt;&gt;"""",REGEXEXTRACT($T433, G$1&amp;""[\w &amp;]*, (\d+\.\d+)""),"""")
"),"")</f>
        <v/>
      </c>
      <c r="H433" s="3"/>
      <c r="I433" s="3" t="str">
        <f aca="false">IFERROR(__xludf.dummyfunction("if($T433&lt;&gt;"""",REGEXEXTRACT(SUBSTITUTE ($T433,I$1&amp;"" CE"",""""), I$1&amp;""[\w &amp;]*, (\d+\.\d+)""),"""")
"),"")</f>
        <v/>
      </c>
      <c r="J433" s="3" t="str">
        <f aca="false">IFERROR(__xludf.dummyfunction("if($T433&lt;&gt;"""",REGEXEXTRACT($T433, J$1&amp;""[\w &amp;]*, (\d+\.\d+)""),"""")
"),"")</f>
        <v/>
      </c>
      <c r="K433" s="3"/>
      <c r="L433" s="3" t="str">
        <f aca="false">IFERROR(__xludf.dummyfunction("if($T433&lt;&gt;"""",REGEXEXTRACT(SUBSTITUTE ($T433,L$1&amp;"" CE"",""""), L$1&amp;""[\w &amp;]*, (\d+\.\d+)""),"""")
"),"")</f>
        <v/>
      </c>
      <c r="M433" s="3" t="str">
        <f aca="false">IFERROR(__xludf.dummyfunction("if($T433&lt;&gt;"""",REGEXEXTRACT($T433, M$1&amp;""[\w &amp;]*, (\d+\.\d+)""),"""")
"),"")</f>
        <v/>
      </c>
      <c r="N433" s="3" t="str">
        <f aca="false">IFERROR(__xludf.dummyfunction("if($T433&lt;&gt;"""",REGEXEXTRACT(SUBSTITUTE ($T433,N$1&amp;"" CE"",""""), N$1&amp;""[\w &amp;]*, (\d+\.\d+)""),"""")
"),"")</f>
        <v/>
      </c>
      <c r="O433" s="3" t="str">
        <f aca="false">IFERROR(__xludf.dummyfunction("if($T433&lt;&gt;"""",REGEXEXTRACT($T433, O$1&amp;""[\w &amp;]*, (\d+\.\d+)""),"""")
"),"")</f>
        <v/>
      </c>
      <c r="P433" s="2"/>
      <c r="Q433" s="2"/>
      <c r="R433" s="2"/>
      <c r="S433" s="2"/>
      <c r="T433" s="5"/>
    </row>
    <row r="434" customFormat="false" ht="15.75" hidden="false" customHeight="false" outlineLevel="0" collapsed="false">
      <c r="A434" s="4"/>
      <c r="B434" s="2"/>
      <c r="C434" s="2"/>
      <c r="D434" s="2"/>
      <c r="E434" s="2"/>
      <c r="F434" s="3" t="str">
        <f aca="false">IFERROR(__xludf.dummyfunction("if($T434&lt;&gt;"""",REGEXEXTRACT(SUBSTITUTE ($T434,F$1&amp;"" CE"",""""), F$1&amp;""[\w &amp;]*, (\d+\.\d+)""),"""")
"),"")</f>
        <v/>
      </c>
      <c r="G434" s="3" t="str">
        <f aca="false">IFERROR(__xludf.dummyfunction("if($T434&lt;&gt;"""",REGEXEXTRACT($T434, G$1&amp;""[\w &amp;]*, (\d+\.\d+)""),"""")
"),"")</f>
        <v/>
      </c>
      <c r="H434" s="3"/>
      <c r="I434" s="3" t="str">
        <f aca="false">IFERROR(__xludf.dummyfunction("if($T434&lt;&gt;"""",REGEXEXTRACT(SUBSTITUTE ($T434,I$1&amp;"" CE"",""""), I$1&amp;""[\w &amp;]*, (\d+\.\d+)""),"""")
"),"")</f>
        <v/>
      </c>
      <c r="J434" s="3" t="str">
        <f aca="false">IFERROR(__xludf.dummyfunction("if($T434&lt;&gt;"""",REGEXEXTRACT($T434, J$1&amp;""[\w &amp;]*, (\d+\.\d+)""),"""")
"),"")</f>
        <v/>
      </c>
      <c r="K434" s="3"/>
      <c r="L434" s="3" t="str">
        <f aca="false">IFERROR(__xludf.dummyfunction("if($T434&lt;&gt;"""",REGEXEXTRACT(SUBSTITUTE ($T434,L$1&amp;"" CE"",""""), L$1&amp;""[\w &amp;]*, (\d+\.\d+)""),"""")
"),"")</f>
        <v/>
      </c>
      <c r="M434" s="3" t="str">
        <f aca="false">IFERROR(__xludf.dummyfunction("if($T434&lt;&gt;"""",REGEXEXTRACT($T434, M$1&amp;""[\w &amp;]*, (\d+\.\d+)""),"""")
"),"")</f>
        <v/>
      </c>
      <c r="N434" s="3" t="str">
        <f aca="false">IFERROR(__xludf.dummyfunction("if($T434&lt;&gt;"""",REGEXEXTRACT(SUBSTITUTE ($T434,N$1&amp;"" CE"",""""), N$1&amp;""[\w &amp;]*, (\d+\.\d+)""),"""")
"),"")</f>
        <v/>
      </c>
      <c r="O434" s="3" t="str">
        <f aca="false">IFERROR(__xludf.dummyfunction("if($T434&lt;&gt;"""",REGEXEXTRACT($T434, O$1&amp;""[\w &amp;]*, (\d+\.\d+)""),"""")
"),"")</f>
        <v/>
      </c>
      <c r="P434" s="2"/>
      <c r="Q434" s="2"/>
      <c r="R434" s="2"/>
      <c r="S434" s="2"/>
      <c r="T434" s="5"/>
    </row>
    <row r="435" customFormat="false" ht="15.75" hidden="false" customHeight="false" outlineLevel="0" collapsed="false">
      <c r="A435" s="4"/>
      <c r="B435" s="2"/>
      <c r="C435" s="2"/>
      <c r="D435" s="2"/>
      <c r="E435" s="2"/>
      <c r="F435" s="3" t="str">
        <f aca="false">IFERROR(__xludf.dummyfunction("if($T435&lt;&gt;"""",REGEXEXTRACT(SUBSTITUTE ($T435,F$1&amp;"" CE"",""""), F$1&amp;""[\w &amp;]*, (\d+\.\d+)""),"""")
"),"")</f>
        <v/>
      </c>
      <c r="G435" s="3" t="str">
        <f aca="false">IFERROR(__xludf.dummyfunction("if($T435&lt;&gt;"""",REGEXEXTRACT($T435, G$1&amp;""[\w &amp;]*, (\d+\.\d+)""),"""")
"),"")</f>
        <v/>
      </c>
      <c r="H435" s="3"/>
      <c r="I435" s="3" t="str">
        <f aca="false">IFERROR(__xludf.dummyfunction("if($T435&lt;&gt;"""",REGEXEXTRACT(SUBSTITUTE ($T435,I$1&amp;"" CE"",""""), I$1&amp;""[\w &amp;]*, (\d+\.\d+)""),"""")
"),"")</f>
        <v/>
      </c>
      <c r="J435" s="3" t="str">
        <f aca="false">IFERROR(__xludf.dummyfunction("if($T435&lt;&gt;"""",REGEXEXTRACT($T435, J$1&amp;""[\w &amp;]*, (\d+\.\d+)""),"""")
"),"")</f>
        <v/>
      </c>
      <c r="K435" s="3"/>
      <c r="L435" s="3" t="str">
        <f aca="false">IFERROR(__xludf.dummyfunction("if($T435&lt;&gt;"""",REGEXEXTRACT(SUBSTITUTE ($T435,L$1&amp;"" CE"",""""), L$1&amp;""[\w &amp;]*, (\d+\.\d+)""),"""")
"),"")</f>
        <v/>
      </c>
      <c r="M435" s="3" t="str">
        <f aca="false">IFERROR(__xludf.dummyfunction("if($T435&lt;&gt;"""",REGEXEXTRACT($T435, M$1&amp;""[\w &amp;]*, (\d+\.\d+)""),"""")
"),"")</f>
        <v/>
      </c>
      <c r="N435" s="3" t="str">
        <f aca="false">IFERROR(__xludf.dummyfunction("if($T435&lt;&gt;"""",REGEXEXTRACT(SUBSTITUTE ($T435,N$1&amp;"" CE"",""""), N$1&amp;""[\w &amp;]*, (\d+\.\d+)""),"""")
"),"")</f>
        <v/>
      </c>
      <c r="O435" s="3" t="str">
        <f aca="false">IFERROR(__xludf.dummyfunction("if($T435&lt;&gt;"""",REGEXEXTRACT($T435, O$1&amp;""[\w &amp;]*, (\d+\.\d+)""),"""")
"),"")</f>
        <v/>
      </c>
      <c r="P435" s="2"/>
      <c r="Q435" s="2"/>
      <c r="R435" s="2"/>
      <c r="S435" s="2"/>
      <c r="T435" s="5"/>
    </row>
    <row r="436" customFormat="false" ht="15.75" hidden="false" customHeight="false" outlineLevel="0" collapsed="false">
      <c r="A436" s="4"/>
      <c r="B436" s="2"/>
      <c r="C436" s="2"/>
      <c r="D436" s="2"/>
      <c r="E436" s="2"/>
      <c r="F436" s="3" t="str">
        <f aca="false">IFERROR(__xludf.dummyfunction("if($T436&lt;&gt;"""",REGEXEXTRACT(SUBSTITUTE ($T436,F$1&amp;"" CE"",""""), F$1&amp;""[\w &amp;]*, (\d+\.\d+)""),"""")
"),"")</f>
        <v/>
      </c>
      <c r="G436" s="3" t="str">
        <f aca="false">IFERROR(__xludf.dummyfunction("if($T436&lt;&gt;"""",REGEXEXTRACT($T436, G$1&amp;""[\w &amp;]*, (\d+\.\d+)""),"""")
"),"")</f>
        <v/>
      </c>
      <c r="H436" s="3"/>
      <c r="I436" s="3" t="str">
        <f aca="false">IFERROR(__xludf.dummyfunction("if($T436&lt;&gt;"""",REGEXEXTRACT(SUBSTITUTE ($T436,I$1&amp;"" CE"",""""), I$1&amp;""[\w &amp;]*, (\d+\.\d+)""),"""")
"),"")</f>
        <v/>
      </c>
      <c r="J436" s="3" t="str">
        <f aca="false">IFERROR(__xludf.dummyfunction("if($T436&lt;&gt;"""",REGEXEXTRACT($T436, J$1&amp;""[\w &amp;]*, (\d+\.\d+)""),"""")
"),"")</f>
        <v/>
      </c>
      <c r="K436" s="3"/>
      <c r="L436" s="3" t="str">
        <f aca="false">IFERROR(__xludf.dummyfunction("if($T436&lt;&gt;"""",REGEXEXTRACT(SUBSTITUTE ($T436,L$1&amp;"" CE"",""""), L$1&amp;""[\w &amp;]*, (\d+\.\d+)""),"""")
"),"")</f>
        <v/>
      </c>
      <c r="M436" s="3" t="str">
        <f aca="false">IFERROR(__xludf.dummyfunction("if($T436&lt;&gt;"""",REGEXEXTRACT($T436, M$1&amp;""[\w &amp;]*, (\d+\.\d+)""),"""")
"),"")</f>
        <v/>
      </c>
      <c r="N436" s="3" t="str">
        <f aca="false">IFERROR(__xludf.dummyfunction("if($T436&lt;&gt;"""",REGEXEXTRACT(SUBSTITUTE ($T436,N$1&amp;"" CE"",""""), N$1&amp;""[\w &amp;]*, (\d+\.\d+)""),"""")
"),"")</f>
        <v/>
      </c>
      <c r="O436" s="3" t="str">
        <f aca="false">IFERROR(__xludf.dummyfunction("if($T436&lt;&gt;"""",REGEXEXTRACT($T436, O$1&amp;""[\w &amp;]*, (\d+\.\d+)""),"""")
"),"")</f>
        <v/>
      </c>
      <c r="P436" s="2"/>
      <c r="Q436" s="2"/>
      <c r="R436" s="2"/>
      <c r="S436" s="2"/>
      <c r="T436" s="5"/>
    </row>
    <row r="437" customFormat="false" ht="15.75" hidden="false" customHeight="false" outlineLevel="0" collapsed="false">
      <c r="A437" s="4"/>
      <c r="B437" s="2"/>
      <c r="C437" s="2"/>
      <c r="D437" s="2"/>
      <c r="E437" s="2"/>
      <c r="F437" s="3" t="str">
        <f aca="false">IFERROR(__xludf.dummyfunction("if($T437&lt;&gt;"""",REGEXEXTRACT(SUBSTITUTE ($T437,F$1&amp;"" CE"",""""), F$1&amp;""[\w &amp;]*, (\d+\.\d+)""),"""")
"),"")</f>
        <v/>
      </c>
      <c r="G437" s="3" t="str">
        <f aca="false">IFERROR(__xludf.dummyfunction("if($T437&lt;&gt;"""",REGEXEXTRACT($T437, G$1&amp;""[\w &amp;]*, (\d+\.\d+)""),"""")
"),"")</f>
        <v/>
      </c>
      <c r="H437" s="3"/>
      <c r="I437" s="3" t="str">
        <f aca="false">IFERROR(__xludf.dummyfunction("if($T437&lt;&gt;"""",REGEXEXTRACT(SUBSTITUTE ($T437,I$1&amp;"" CE"",""""), I$1&amp;""[\w &amp;]*, (\d+\.\d+)""),"""")
"),"")</f>
        <v/>
      </c>
      <c r="J437" s="3" t="str">
        <f aca="false">IFERROR(__xludf.dummyfunction("if($T437&lt;&gt;"""",REGEXEXTRACT($T437, J$1&amp;""[\w &amp;]*, (\d+\.\d+)""),"""")
"),"")</f>
        <v/>
      </c>
      <c r="K437" s="3"/>
      <c r="L437" s="3" t="str">
        <f aca="false">IFERROR(__xludf.dummyfunction("if($T437&lt;&gt;"""",REGEXEXTRACT(SUBSTITUTE ($T437,L$1&amp;"" CE"",""""), L$1&amp;""[\w &amp;]*, (\d+\.\d+)""),"""")
"),"")</f>
        <v/>
      </c>
      <c r="M437" s="3" t="str">
        <f aca="false">IFERROR(__xludf.dummyfunction("if($T437&lt;&gt;"""",REGEXEXTRACT($T437, M$1&amp;""[\w &amp;]*, (\d+\.\d+)""),"""")
"),"")</f>
        <v/>
      </c>
      <c r="N437" s="3" t="str">
        <f aca="false">IFERROR(__xludf.dummyfunction("if($T437&lt;&gt;"""",REGEXEXTRACT(SUBSTITUTE ($T437,N$1&amp;"" CE"",""""), N$1&amp;""[\w &amp;]*, (\d+\.\d+)""),"""")
"),"")</f>
        <v/>
      </c>
      <c r="O437" s="3" t="str">
        <f aca="false">IFERROR(__xludf.dummyfunction("if($T437&lt;&gt;"""",REGEXEXTRACT($T437, O$1&amp;""[\w &amp;]*, (\d+\.\d+)""),"""")
"),"")</f>
        <v/>
      </c>
      <c r="P437" s="2"/>
      <c r="Q437" s="2"/>
      <c r="R437" s="2"/>
      <c r="S437" s="2"/>
      <c r="T437" s="5"/>
    </row>
    <row r="438" customFormat="false" ht="15.75" hidden="false" customHeight="false" outlineLevel="0" collapsed="false">
      <c r="A438" s="4"/>
      <c r="B438" s="2"/>
      <c r="C438" s="2"/>
      <c r="D438" s="2"/>
      <c r="E438" s="2"/>
      <c r="F438" s="3" t="str">
        <f aca="false">IFERROR(__xludf.dummyfunction("if($T438&lt;&gt;"""",REGEXEXTRACT(SUBSTITUTE ($T438,F$1&amp;"" CE"",""""), F$1&amp;""[\w &amp;]*, (\d+\.\d+)""),"""")
"),"")</f>
        <v/>
      </c>
      <c r="G438" s="3" t="str">
        <f aca="false">IFERROR(__xludf.dummyfunction("if($T438&lt;&gt;"""",REGEXEXTRACT($T438, G$1&amp;""[\w &amp;]*, (\d+\.\d+)""),"""")
"),"")</f>
        <v/>
      </c>
      <c r="H438" s="3"/>
      <c r="I438" s="3" t="str">
        <f aca="false">IFERROR(__xludf.dummyfunction("if($T438&lt;&gt;"""",REGEXEXTRACT(SUBSTITUTE ($T438,I$1&amp;"" CE"",""""), I$1&amp;""[\w &amp;]*, (\d+\.\d+)""),"""")
"),"")</f>
        <v/>
      </c>
      <c r="J438" s="3" t="str">
        <f aca="false">IFERROR(__xludf.dummyfunction("if($T438&lt;&gt;"""",REGEXEXTRACT($T438, J$1&amp;""[\w &amp;]*, (\d+\.\d+)""),"""")
"),"")</f>
        <v/>
      </c>
      <c r="K438" s="3"/>
      <c r="L438" s="3" t="str">
        <f aca="false">IFERROR(__xludf.dummyfunction("if($T438&lt;&gt;"""",REGEXEXTRACT(SUBSTITUTE ($T438,L$1&amp;"" CE"",""""), L$1&amp;""[\w &amp;]*, (\d+\.\d+)""),"""")
"),"")</f>
        <v/>
      </c>
      <c r="M438" s="3" t="str">
        <f aca="false">IFERROR(__xludf.dummyfunction("if($T438&lt;&gt;"""",REGEXEXTRACT($T438, M$1&amp;""[\w &amp;]*, (\d+\.\d+)""),"""")
"),"")</f>
        <v/>
      </c>
      <c r="N438" s="3" t="str">
        <f aca="false">IFERROR(__xludf.dummyfunction("if($T438&lt;&gt;"""",REGEXEXTRACT(SUBSTITUTE ($T438,N$1&amp;"" CE"",""""), N$1&amp;""[\w &amp;]*, (\d+\.\d+)""),"""")
"),"")</f>
        <v/>
      </c>
      <c r="O438" s="3" t="str">
        <f aca="false">IFERROR(__xludf.dummyfunction("if($T438&lt;&gt;"""",REGEXEXTRACT($T438, O$1&amp;""[\w &amp;]*, (\d+\.\d+)""),"""")
"),"")</f>
        <v/>
      </c>
      <c r="P438" s="2"/>
      <c r="Q438" s="2"/>
      <c r="R438" s="2"/>
      <c r="S438" s="2"/>
      <c r="T438" s="5"/>
    </row>
    <row r="439" customFormat="false" ht="15.75" hidden="false" customHeight="false" outlineLevel="0" collapsed="false">
      <c r="A439" s="4"/>
      <c r="B439" s="2"/>
      <c r="C439" s="2"/>
      <c r="D439" s="2"/>
      <c r="E439" s="2"/>
      <c r="F439" s="3" t="str">
        <f aca="false">IFERROR(__xludf.dummyfunction("if($T439&lt;&gt;"""",REGEXEXTRACT(SUBSTITUTE ($T439,F$1&amp;"" CE"",""""), F$1&amp;""[\w &amp;]*, (\d+\.\d+)""),"""")
"),"")</f>
        <v/>
      </c>
      <c r="G439" s="3" t="str">
        <f aca="false">IFERROR(__xludf.dummyfunction("if($T439&lt;&gt;"""",REGEXEXTRACT($T439, G$1&amp;""[\w &amp;]*, (\d+\.\d+)""),"""")
"),"")</f>
        <v/>
      </c>
      <c r="H439" s="3"/>
      <c r="I439" s="3" t="str">
        <f aca="false">IFERROR(__xludf.dummyfunction("if($T439&lt;&gt;"""",REGEXEXTRACT(SUBSTITUTE ($T439,I$1&amp;"" CE"",""""), I$1&amp;""[\w &amp;]*, (\d+\.\d+)""),"""")
"),"")</f>
        <v/>
      </c>
      <c r="J439" s="3" t="str">
        <f aca="false">IFERROR(__xludf.dummyfunction("if($T439&lt;&gt;"""",REGEXEXTRACT($T439, J$1&amp;""[\w &amp;]*, (\d+\.\d+)""),"""")
"),"")</f>
        <v/>
      </c>
      <c r="K439" s="3"/>
      <c r="L439" s="3" t="str">
        <f aca="false">IFERROR(__xludf.dummyfunction("if($T439&lt;&gt;"""",REGEXEXTRACT(SUBSTITUTE ($T439,L$1&amp;"" CE"",""""), L$1&amp;""[\w &amp;]*, (\d+\.\d+)""),"""")
"),"")</f>
        <v/>
      </c>
      <c r="M439" s="3" t="str">
        <f aca="false">IFERROR(__xludf.dummyfunction("if($T439&lt;&gt;"""",REGEXEXTRACT($T439, M$1&amp;""[\w &amp;]*, (\d+\.\d+)""),"""")
"),"")</f>
        <v/>
      </c>
      <c r="N439" s="3" t="str">
        <f aca="false">IFERROR(__xludf.dummyfunction("if($T439&lt;&gt;"""",REGEXEXTRACT(SUBSTITUTE ($T439,N$1&amp;"" CE"",""""), N$1&amp;""[\w &amp;]*, (\d+\.\d+)""),"""")
"),"")</f>
        <v/>
      </c>
      <c r="O439" s="3" t="str">
        <f aca="false">IFERROR(__xludf.dummyfunction("if($T439&lt;&gt;"""",REGEXEXTRACT($T439, O$1&amp;""[\w &amp;]*, (\d+\.\d+)""),"""")
"),"")</f>
        <v/>
      </c>
      <c r="P439" s="2"/>
      <c r="Q439" s="2"/>
      <c r="R439" s="2"/>
      <c r="S439" s="2"/>
      <c r="T439" s="5"/>
    </row>
    <row r="440" customFormat="false" ht="15.75" hidden="false" customHeight="false" outlineLevel="0" collapsed="false">
      <c r="A440" s="4"/>
      <c r="B440" s="2"/>
      <c r="C440" s="2"/>
      <c r="D440" s="2"/>
      <c r="E440" s="2"/>
      <c r="F440" s="3" t="str">
        <f aca="false">IFERROR(__xludf.dummyfunction("if($T440&lt;&gt;"""",REGEXEXTRACT(SUBSTITUTE ($T440,F$1&amp;"" CE"",""""), F$1&amp;""[\w &amp;]*, (\d+\.\d+)""),"""")
"),"")</f>
        <v/>
      </c>
      <c r="G440" s="3" t="str">
        <f aca="false">IFERROR(__xludf.dummyfunction("if($T440&lt;&gt;"""",REGEXEXTRACT($T440, G$1&amp;""[\w &amp;]*, (\d+\.\d+)""),"""")
"),"")</f>
        <v/>
      </c>
      <c r="H440" s="3"/>
      <c r="I440" s="3" t="str">
        <f aca="false">IFERROR(__xludf.dummyfunction("if($T440&lt;&gt;"""",REGEXEXTRACT(SUBSTITUTE ($T440,I$1&amp;"" CE"",""""), I$1&amp;""[\w &amp;]*, (\d+\.\d+)""),"""")
"),"")</f>
        <v/>
      </c>
      <c r="J440" s="3" t="str">
        <f aca="false">IFERROR(__xludf.dummyfunction("if($T440&lt;&gt;"""",REGEXEXTRACT($T440, J$1&amp;""[\w &amp;]*, (\d+\.\d+)""),"""")
"),"")</f>
        <v/>
      </c>
      <c r="K440" s="3"/>
      <c r="L440" s="3" t="str">
        <f aca="false">IFERROR(__xludf.dummyfunction("if($T440&lt;&gt;"""",REGEXEXTRACT(SUBSTITUTE ($T440,L$1&amp;"" CE"",""""), L$1&amp;""[\w &amp;]*, (\d+\.\d+)""),"""")
"),"")</f>
        <v/>
      </c>
      <c r="M440" s="3" t="str">
        <f aca="false">IFERROR(__xludf.dummyfunction("if($T440&lt;&gt;"""",REGEXEXTRACT($T440, M$1&amp;""[\w &amp;]*, (\d+\.\d+)""),"""")
"),"")</f>
        <v/>
      </c>
      <c r="N440" s="3" t="str">
        <f aca="false">IFERROR(__xludf.dummyfunction("if($T440&lt;&gt;"""",REGEXEXTRACT(SUBSTITUTE ($T440,N$1&amp;"" CE"",""""), N$1&amp;""[\w &amp;]*, (\d+\.\d+)""),"""")
"),"")</f>
        <v/>
      </c>
      <c r="O440" s="3" t="str">
        <f aca="false">IFERROR(__xludf.dummyfunction("if($T440&lt;&gt;"""",REGEXEXTRACT($T440, O$1&amp;""[\w &amp;]*, (\d+\.\d+)""),"""")
"),"")</f>
        <v/>
      </c>
      <c r="P440" s="2"/>
      <c r="Q440" s="2"/>
      <c r="R440" s="2"/>
      <c r="S440" s="2"/>
      <c r="T440" s="5"/>
    </row>
    <row r="441" customFormat="false" ht="15.75" hidden="false" customHeight="false" outlineLevel="0" collapsed="false">
      <c r="A441" s="4"/>
      <c r="B441" s="2"/>
      <c r="C441" s="2"/>
      <c r="D441" s="2"/>
      <c r="E441" s="2"/>
      <c r="F441" s="3" t="str">
        <f aca="false">IFERROR(__xludf.dummyfunction("if($T441&lt;&gt;"""",REGEXEXTRACT(SUBSTITUTE ($T441,F$1&amp;"" CE"",""""), F$1&amp;""[\w &amp;]*, (\d+\.\d+)""),"""")
"),"")</f>
        <v/>
      </c>
      <c r="G441" s="3" t="str">
        <f aca="false">IFERROR(__xludf.dummyfunction("if($T441&lt;&gt;"""",REGEXEXTRACT($T441, G$1&amp;""[\w &amp;]*, (\d+\.\d+)""),"""")
"),"")</f>
        <v/>
      </c>
      <c r="H441" s="3"/>
      <c r="I441" s="3" t="str">
        <f aca="false">IFERROR(__xludf.dummyfunction("if($T441&lt;&gt;"""",REGEXEXTRACT(SUBSTITUTE ($T441,I$1&amp;"" CE"",""""), I$1&amp;""[\w &amp;]*, (\d+\.\d+)""),"""")
"),"")</f>
        <v/>
      </c>
      <c r="J441" s="3" t="str">
        <f aca="false">IFERROR(__xludf.dummyfunction("if($T441&lt;&gt;"""",REGEXEXTRACT($T441, J$1&amp;""[\w &amp;]*, (\d+\.\d+)""),"""")
"),"")</f>
        <v/>
      </c>
      <c r="K441" s="3"/>
      <c r="L441" s="3" t="str">
        <f aca="false">IFERROR(__xludf.dummyfunction("if($T441&lt;&gt;"""",REGEXEXTRACT(SUBSTITUTE ($T441,L$1&amp;"" CE"",""""), L$1&amp;""[\w &amp;]*, (\d+\.\d+)""),"""")
"),"")</f>
        <v/>
      </c>
      <c r="M441" s="3" t="str">
        <f aca="false">IFERROR(__xludf.dummyfunction("if($T441&lt;&gt;"""",REGEXEXTRACT($T441, M$1&amp;""[\w &amp;]*, (\d+\.\d+)""),"""")
"),"")</f>
        <v/>
      </c>
      <c r="N441" s="3" t="str">
        <f aca="false">IFERROR(__xludf.dummyfunction("if($T441&lt;&gt;"""",REGEXEXTRACT(SUBSTITUTE ($T441,N$1&amp;"" CE"",""""), N$1&amp;""[\w &amp;]*, (\d+\.\d+)""),"""")
"),"")</f>
        <v/>
      </c>
      <c r="O441" s="3" t="str">
        <f aca="false">IFERROR(__xludf.dummyfunction("if($T441&lt;&gt;"""",REGEXEXTRACT($T441, O$1&amp;""[\w &amp;]*, (\d+\.\d+)""),"""")
"),"")</f>
        <v/>
      </c>
      <c r="P441" s="2"/>
      <c r="Q441" s="2"/>
      <c r="R441" s="2"/>
      <c r="S441" s="2"/>
      <c r="T441" s="5"/>
    </row>
    <row r="442" customFormat="false" ht="15.75" hidden="false" customHeight="false" outlineLevel="0" collapsed="false">
      <c r="A442" s="4"/>
      <c r="B442" s="2"/>
      <c r="C442" s="2"/>
      <c r="D442" s="2"/>
      <c r="E442" s="2"/>
      <c r="F442" s="3" t="str">
        <f aca="false">IFERROR(__xludf.dummyfunction("if($T442&lt;&gt;"""",REGEXEXTRACT(SUBSTITUTE ($T442,F$1&amp;"" CE"",""""), F$1&amp;""[\w &amp;]*, (\d+\.\d+)""),"""")
"),"")</f>
        <v/>
      </c>
      <c r="G442" s="3" t="str">
        <f aca="false">IFERROR(__xludf.dummyfunction("if($T442&lt;&gt;"""",REGEXEXTRACT($T442, G$1&amp;""[\w &amp;]*, (\d+\.\d+)""),"""")
"),"")</f>
        <v/>
      </c>
      <c r="H442" s="3"/>
      <c r="I442" s="3" t="str">
        <f aca="false">IFERROR(__xludf.dummyfunction("if($T442&lt;&gt;"""",REGEXEXTRACT(SUBSTITUTE ($T442,I$1&amp;"" CE"",""""), I$1&amp;""[\w &amp;]*, (\d+\.\d+)""),"""")
"),"")</f>
        <v/>
      </c>
      <c r="J442" s="3" t="str">
        <f aca="false">IFERROR(__xludf.dummyfunction("if($T442&lt;&gt;"""",REGEXEXTRACT($T442, J$1&amp;""[\w &amp;]*, (\d+\.\d+)""),"""")
"),"")</f>
        <v/>
      </c>
      <c r="K442" s="3"/>
      <c r="L442" s="3" t="str">
        <f aca="false">IFERROR(__xludf.dummyfunction("if($T442&lt;&gt;"""",REGEXEXTRACT(SUBSTITUTE ($T442,L$1&amp;"" CE"",""""), L$1&amp;""[\w &amp;]*, (\d+\.\d+)""),"""")
"),"")</f>
        <v/>
      </c>
      <c r="M442" s="3" t="str">
        <f aca="false">IFERROR(__xludf.dummyfunction("if($T442&lt;&gt;"""",REGEXEXTRACT($T442, M$1&amp;""[\w &amp;]*, (\d+\.\d+)""),"""")
"),"")</f>
        <v/>
      </c>
      <c r="N442" s="3" t="str">
        <f aca="false">IFERROR(__xludf.dummyfunction("if($T442&lt;&gt;"""",REGEXEXTRACT(SUBSTITUTE ($T442,N$1&amp;"" CE"",""""), N$1&amp;""[\w &amp;]*, (\d+\.\d+)""),"""")
"),"")</f>
        <v/>
      </c>
      <c r="O442" s="3" t="str">
        <f aca="false">IFERROR(__xludf.dummyfunction("if($T442&lt;&gt;"""",REGEXEXTRACT($T442, O$1&amp;""[\w &amp;]*, (\d+\.\d+)""),"""")
"),"")</f>
        <v/>
      </c>
      <c r="P442" s="2"/>
      <c r="Q442" s="2"/>
      <c r="R442" s="2"/>
      <c r="S442" s="2"/>
      <c r="T442" s="5"/>
    </row>
    <row r="443" customFormat="false" ht="15.75" hidden="false" customHeight="false" outlineLevel="0" collapsed="false">
      <c r="A443" s="4"/>
      <c r="B443" s="2"/>
      <c r="C443" s="2"/>
      <c r="D443" s="2"/>
      <c r="E443" s="2"/>
      <c r="F443" s="3" t="str">
        <f aca="false">IFERROR(__xludf.dummyfunction("if($T443&lt;&gt;"""",REGEXEXTRACT(SUBSTITUTE ($T443,F$1&amp;"" CE"",""""), F$1&amp;""[\w &amp;]*, (\d+\.\d+)""),"""")
"),"")</f>
        <v/>
      </c>
      <c r="G443" s="3" t="str">
        <f aca="false">IFERROR(__xludf.dummyfunction("if($T443&lt;&gt;"""",REGEXEXTRACT($T443, G$1&amp;""[\w &amp;]*, (\d+\.\d+)""),"""")
"),"")</f>
        <v/>
      </c>
      <c r="H443" s="3"/>
      <c r="I443" s="3" t="str">
        <f aca="false">IFERROR(__xludf.dummyfunction("if($T443&lt;&gt;"""",REGEXEXTRACT(SUBSTITUTE ($T443,I$1&amp;"" CE"",""""), I$1&amp;""[\w &amp;]*, (\d+\.\d+)""),"""")
"),"")</f>
        <v/>
      </c>
      <c r="J443" s="3" t="str">
        <f aca="false">IFERROR(__xludf.dummyfunction("if($T443&lt;&gt;"""",REGEXEXTRACT($T443, J$1&amp;""[\w &amp;]*, (\d+\.\d+)""),"""")
"),"")</f>
        <v/>
      </c>
      <c r="K443" s="3"/>
      <c r="L443" s="3" t="str">
        <f aca="false">IFERROR(__xludf.dummyfunction("if($T443&lt;&gt;"""",REGEXEXTRACT(SUBSTITUTE ($T443,L$1&amp;"" CE"",""""), L$1&amp;""[\w &amp;]*, (\d+\.\d+)""),"""")
"),"")</f>
        <v/>
      </c>
      <c r="M443" s="3" t="str">
        <f aca="false">IFERROR(__xludf.dummyfunction("if($T443&lt;&gt;"""",REGEXEXTRACT($T443, M$1&amp;""[\w &amp;]*, (\d+\.\d+)""),"""")
"),"")</f>
        <v/>
      </c>
      <c r="N443" s="3" t="str">
        <f aca="false">IFERROR(__xludf.dummyfunction("if($T443&lt;&gt;"""",REGEXEXTRACT(SUBSTITUTE ($T443,N$1&amp;"" CE"",""""), N$1&amp;""[\w &amp;]*, (\d+\.\d+)""),"""")
"),"")</f>
        <v/>
      </c>
      <c r="O443" s="3" t="str">
        <f aca="false">IFERROR(__xludf.dummyfunction("if($T443&lt;&gt;"""",REGEXEXTRACT($T443, O$1&amp;""[\w &amp;]*, (\d+\.\d+)""),"""")
"),"")</f>
        <v/>
      </c>
      <c r="P443" s="2"/>
      <c r="Q443" s="2"/>
      <c r="R443" s="2"/>
      <c r="S443" s="2"/>
      <c r="T443" s="5"/>
    </row>
    <row r="444" customFormat="false" ht="15.75" hidden="false" customHeight="false" outlineLevel="0" collapsed="false">
      <c r="A444" s="4"/>
      <c r="B444" s="2"/>
      <c r="C444" s="2"/>
      <c r="D444" s="2"/>
      <c r="E444" s="2"/>
      <c r="F444" s="3" t="str">
        <f aca="false">IFERROR(__xludf.dummyfunction("if($T444&lt;&gt;"""",REGEXEXTRACT(SUBSTITUTE ($T444,F$1&amp;"" CE"",""""), F$1&amp;""[\w &amp;]*, (\d+\.\d+)""),"""")
"),"")</f>
        <v/>
      </c>
      <c r="G444" s="3" t="str">
        <f aca="false">IFERROR(__xludf.dummyfunction("if($T444&lt;&gt;"""",REGEXEXTRACT($T444, G$1&amp;""[\w &amp;]*, (\d+\.\d+)""),"""")
"),"")</f>
        <v/>
      </c>
      <c r="H444" s="3"/>
      <c r="I444" s="3" t="str">
        <f aca="false">IFERROR(__xludf.dummyfunction("if($T444&lt;&gt;"""",REGEXEXTRACT(SUBSTITUTE ($T444,I$1&amp;"" CE"",""""), I$1&amp;""[\w &amp;]*, (\d+\.\d+)""),"""")
"),"")</f>
        <v/>
      </c>
      <c r="J444" s="3" t="str">
        <f aca="false">IFERROR(__xludf.dummyfunction("if($T444&lt;&gt;"""",REGEXEXTRACT($T444, J$1&amp;""[\w &amp;]*, (\d+\.\d+)""),"""")
"),"")</f>
        <v/>
      </c>
      <c r="K444" s="3"/>
      <c r="L444" s="3" t="str">
        <f aca="false">IFERROR(__xludf.dummyfunction("if($T444&lt;&gt;"""",REGEXEXTRACT(SUBSTITUTE ($T444,L$1&amp;"" CE"",""""), L$1&amp;""[\w &amp;]*, (\d+\.\d+)""),"""")
"),"")</f>
        <v/>
      </c>
      <c r="M444" s="3" t="str">
        <f aca="false">IFERROR(__xludf.dummyfunction("if($T444&lt;&gt;"""",REGEXEXTRACT($T444, M$1&amp;""[\w &amp;]*, (\d+\.\d+)""),"""")
"),"")</f>
        <v/>
      </c>
      <c r="N444" s="3" t="str">
        <f aca="false">IFERROR(__xludf.dummyfunction("if($T444&lt;&gt;"""",REGEXEXTRACT(SUBSTITUTE ($T444,N$1&amp;"" CE"",""""), N$1&amp;""[\w &amp;]*, (\d+\.\d+)""),"""")
"),"")</f>
        <v/>
      </c>
      <c r="O444" s="3" t="str">
        <f aca="false">IFERROR(__xludf.dummyfunction("if($T444&lt;&gt;"""",REGEXEXTRACT($T444, O$1&amp;""[\w &amp;]*, (\d+\.\d+)""),"""")
"),"")</f>
        <v/>
      </c>
      <c r="P444" s="2"/>
      <c r="Q444" s="2"/>
      <c r="R444" s="2"/>
      <c r="S444" s="2"/>
      <c r="T444" s="5"/>
    </row>
    <row r="445" customFormat="false" ht="15.75" hidden="false" customHeight="false" outlineLevel="0" collapsed="false">
      <c r="A445" s="4"/>
      <c r="B445" s="2"/>
      <c r="C445" s="2"/>
      <c r="D445" s="2"/>
      <c r="E445" s="2"/>
      <c r="F445" s="3" t="str">
        <f aca="false">IFERROR(__xludf.dummyfunction("if($T445&lt;&gt;"""",REGEXEXTRACT(SUBSTITUTE ($T445,F$1&amp;"" CE"",""""), F$1&amp;""[\w &amp;]*, (\d+\.\d+)""),"""")
"),"")</f>
        <v/>
      </c>
      <c r="G445" s="3" t="str">
        <f aca="false">IFERROR(__xludf.dummyfunction("if($T445&lt;&gt;"""",REGEXEXTRACT($T445, G$1&amp;""[\w &amp;]*, (\d+\.\d+)""),"""")
"),"")</f>
        <v/>
      </c>
      <c r="H445" s="3"/>
      <c r="I445" s="3" t="str">
        <f aca="false">IFERROR(__xludf.dummyfunction("if($T445&lt;&gt;"""",REGEXEXTRACT(SUBSTITUTE ($T445,I$1&amp;"" CE"",""""), I$1&amp;""[\w &amp;]*, (\d+\.\d+)""),"""")
"),"")</f>
        <v/>
      </c>
      <c r="J445" s="3" t="str">
        <f aca="false">IFERROR(__xludf.dummyfunction("if($T445&lt;&gt;"""",REGEXEXTRACT($T445, J$1&amp;""[\w &amp;]*, (\d+\.\d+)""),"""")
"),"")</f>
        <v/>
      </c>
      <c r="K445" s="3"/>
      <c r="L445" s="3" t="str">
        <f aca="false">IFERROR(__xludf.dummyfunction("if($T445&lt;&gt;"""",REGEXEXTRACT(SUBSTITUTE ($T445,L$1&amp;"" CE"",""""), L$1&amp;""[\w &amp;]*, (\d+\.\d+)""),"""")
"),"")</f>
        <v/>
      </c>
      <c r="M445" s="3" t="str">
        <f aca="false">IFERROR(__xludf.dummyfunction("if($T445&lt;&gt;"""",REGEXEXTRACT($T445, M$1&amp;""[\w &amp;]*, (\d+\.\d+)""),"""")
"),"")</f>
        <v/>
      </c>
      <c r="N445" s="3" t="str">
        <f aca="false">IFERROR(__xludf.dummyfunction("if($T445&lt;&gt;"""",REGEXEXTRACT(SUBSTITUTE ($T445,N$1&amp;"" CE"",""""), N$1&amp;""[\w &amp;]*, (\d+\.\d+)""),"""")
"),"")</f>
        <v/>
      </c>
      <c r="O445" s="3" t="str">
        <f aca="false">IFERROR(__xludf.dummyfunction("if($T445&lt;&gt;"""",REGEXEXTRACT($T445, O$1&amp;""[\w &amp;]*, (\d+\.\d+)""),"""")
"),"")</f>
        <v/>
      </c>
      <c r="P445" s="2"/>
      <c r="Q445" s="2"/>
      <c r="R445" s="2"/>
      <c r="S445" s="2"/>
      <c r="T445" s="5"/>
    </row>
    <row r="446" customFormat="false" ht="15.75" hidden="false" customHeight="false" outlineLevel="0" collapsed="false">
      <c r="A446" s="4"/>
      <c r="B446" s="2"/>
      <c r="C446" s="2"/>
      <c r="D446" s="2"/>
      <c r="E446" s="2"/>
      <c r="F446" s="3" t="str">
        <f aca="false">IFERROR(__xludf.dummyfunction("if($T446&lt;&gt;"""",REGEXEXTRACT(SUBSTITUTE ($T446,F$1&amp;"" CE"",""""), F$1&amp;""[\w &amp;]*, (\d+\.\d+)""),"""")
"),"")</f>
        <v/>
      </c>
      <c r="G446" s="3" t="str">
        <f aca="false">IFERROR(__xludf.dummyfunction("if($T446&lt;&gt;"""",REGEXEXTRACT($T446, G$1&amp;""[\w &amp;]*, (\d+\.\d+)""),"""")
"),"")</f>
        <v/>
      </c>
      <c r="H446" s="3"/>
      <c r="I446" s="3" t="str">
        <f aca="false">IFERROR(__xludf.dummyfunction("if($T446&lt;&gt;"""",REGEXEXTRACT(SUBSTITUTE ($T446,I$1&amp;"" CE"",""""), I$1&amp;""[\w &amp;]*, (\d+\.\d+)""),"""")
"),"")</f>
        <v/>
      </c>
      <c r="J446" s="3" t="str">
        <f aca="false">IFERROR(__xludf.dummyfunction("if($T446&lt;&gt;"""",REGEXEXTRACT($T446, J$1&amp;""[\w &amp;]*, (\d+\.\d+)""),"""")
"),"")</f>
        <v/>
      </c>
      <c r="K446" s="3"/>
      <c r="L446" s="3" t="str">
        <f aca="false">IFERROR(__xludf.dummyfunction("if($T446&lt;&gt;"""",REGEXEXTRACT(SUBSTITUTE ($T446,L$1&amp;"" CE"",""""), L$1&amp;""[\w &amp;]*, (\d+\.\d+)""),"""")
"),"")</f>
        <v/>
      </c>
      <c r="M446" s="3" t="str">
        <f aca="false">IFERROR(__xludf.dummyfunction("if($T446&lt;&gt;"""",REGEXEXTRACT($T446, M$1&amp;""[\w &amp;]*, (\d+\.\d+)""),"""")
"),"")</f>
        <v/>
      </c>
      <c r="N446" s="3" t="str">
        <f aca="false">IFERROR(__xludf.dummyfunction("if($T446&lt;&gt;"""",REGEXEXTRACT(SUBSTITUTE ($T446,N$1&amp;"" CE"",""""), N$1&amp;""[\w &amp;]*, (\d+\.\d+)""),"""")
"),"")</f>
        <v/>
      </c>
      <c r="O446" s="3" t="str">
        <f aca="false">IFERROR(__xludf.dummyfunction("if($T446&lt;&gt;"""",REGEXEXTRACT($T446, O$1&amp;""[\w &amp;]*, (\d+\.\d+)""),"""")
"),"")</f>
        <v/>
      </c>
      <c r="P446" s="2"/>
      <c r="Q446" s="2"/>
      <c r="R446" s="2"/>
      <c r="S446" s="2"/>
      <c r="T446" s="5"/>
    </row>
    <row r="447" customFormat="false" ht="15.75" hidden="false" customHeight="false" outlineLevel="0" collapsed="false">
      <c r="A447" s="4"/>
      <c r="B447" s="2"/>
      <c r="C447" s="2"/>
      <c r="D447" s="2"/>
      <c r="E447" s="2"/>
      <c r="F447" s="3" t="str">
        <f aca="false">IFERROR(__xludf.dummyfunction("if($T447&lt;&gt;"""",REGEXEXTRACT(SUBSTITUTE ($T447,F$1&amp;"" CE"",""""), F$1&amp;""[\w &amp;]*, (\d+\.\d+)""),"""")
"),"")</f>
        <v/>
      </c>
      <c r="G447" s="3" t="str">
        <f aca="false">IFERROR(__xludf.dummyfunction("if($T447&lt;&gt;"""",REGEXEXTRACT($T447, G$1&amp;""[\w &amp;]*, (\d+\.\d+)""),"""")
"),"")</f>
        <v/>
      </c>
      <c r="H447" s="3"/>
      <c r="I447" s="3" t="str">
        <f aca="false">IFERROR(__xludf.dummyfunction("if($T447&lt;&gt;"""",REGEXEXTRACT(SUBSTITUTE ($T447,I$1&amp;"" CE"",""""), I$1&amp;""[\w &amp;]*, (\d+\.\d+)""),"""")
"),"")</f>
        <v/>
      </c>
      <c r="J447" s="3" t="str">
        <f aca="false">IFERROR(__xludf.dummyfunction("if($T447&lt;&gt;"""",REGEXEXTRACT($T447, J$1&amp;""[\w &amp;]*, (\d+\.\d+)""),"""")
"),"")</f>
        <v/>
      </c>
      <c r="K447" s="3"/>
      <c r="L447" s="3" t="str">
        <f aca="false">IFERROR(__xludf.dummyfunction("if($T447&lt;&gt;"""",REGEXEXTRACT(SUBSTITUTE ($T447,L$1&amp;"" CE"",""""), L$1&amp;""[\w &amp;]*, (\d+\.\d+)""),"""")
"),"")</f>
        <v/>
      </c>
      <c r="M447" s="3" t="str">
        <f aca="false">IFERROR(__xludf.dummyfunction("if($T447&lt;&gt;"""",REGEXEXTRACT($T447, M$1&amp;""[\w &amp;]*, (\d+\.\d+)""),"""")
"),"")</f>
        <v/>
      </c>
      <c r="N447" s="3" t="str">
        <f aca="false">IFERROR(__xludf.dummyfunction("if($T447&lt;&gt;"""",REGEXEXTRACT(SUBSTITUTE ($T447,N$1&amp;"" CE"",""""), N$1&amp;""[\w &amp;]*, (\d+\.\d+)""),"""")
"),"")</f>
        <v/>
      </c>
      <c r="O447" s="3" t="str">
        <f aca="false">IFERROR(__xludf.dummyfunction("if($T447&lt;&gt;"""",REGEXEXTRACT($T447, O$1&amp;""[\w &amp;]*, (\d+\.\d+)""),"""")
"),"")</f>
        <v/>
      </c>
      <c r="P447" s="2"/>
      <c r="Q447" s="2"/>
      <c r="R447" s="2"/>
      <c r="S447" s="2"/>
      <c r="T447" s="5"/>
    </row>
    <row r="448" customFormat="false" ht="15.75" hidden="false" customHeight="false" outlineLevel="0" collapsed="false">
      <c r="A448" s="4"/>
      <c r="B448" s="2"/>
      <c r="C448" s="2"/>
      <c r="D448" s="2"/>
      <c r="E448" s="2"/>
      <c r="F448" s="3" t="str">
        <f aca="false">IFERROR(__xludf.dummyfunction("if($T448&lt;&gt;"""",REGEXEXTRACT(SUBSTITUTE ($T448,F$1&amp;"" CE"",""""), F$1&amp;""[\w &amp;]*, (\d+\.\d+)""),"""")
"),"")</f>
        <v/>
      </c>
      <c r="G448" s="3" t="str">
        <f aca="false">IFERROR(__xludf.dummyfunction("if($T448&lt;&gt;"""",REGEXEXTRACT($T448, G$1&amp;""[\w &amp;]*, (\d+\.\d+)""),"""")
"),"")</f>
        <v/>
      </c>
      <c r="H448" s="3"/>
      <c r="I448" s="3" t="str">
        <f aca="false">IFERROR(__xludf.dummyfunction("if($T448&lt;&gt;"""",REGEXEXTRACT(SUBSTITUTE ($T448,I$1&amp;"" CE"",""""), I$1&amp;""[\w &amp;]*, (\d+\.\d+)""),"""")
"),"")</f>
        <v/>
      </c>
      <c r="J448" s="3" t="str">
        <f aca="false">IFERROR(__xludf.dummyfunction("if($T448&lt;&gt;"""",REGEXEXTRACT($T448, J$1&amp;""[\w &amp;]*, (\d+\.\d+)""),"""")
"),"")</f>
        <v/>
      </c>
      <c r="K448" s="3"/>
      <c r="L448" s="3" t="str">
        <f aca="false">IFERROR(__xludf.dummyfunction("if($T448&lt;&gt;"""",REGEXEXTRACT(SUBSTITUTE ($T448,L$1&amp;"" CE"",""""), L$1&amp;""[\w &amp;]*, (\d+\.\d+)""),"""")
"),"")</f>
        <v/>
      </c>
      <c r="M448" s="3" t="str">
        <f aca="false">IFERROR(__xludf.dummyfunction("if($T448&lt;&gt;"""",REGEXEXTRACT($T448, M$1&amp;""[\w &amp;]*, (\d+\.\d+)""),"""")
"),"")</f>
        <v/>
      </c>
      <c r="N448" s="3" t="str">
        <f aca="false">IFERROR(__xludf.dummyfunction("if($T448&lt;&gt;"""",REGEXEXTRACT(SUBSTITUTE ($T448,N$1&amp;"" CE"",""""), N$1&amp;""[\w &amp;]*, (\d+\.\d+)""),"""")
"),"")</f>
        <v/>
      </c>
      <c r="O448" s="3" t="str">
        <f aca="false">IFERROR(__xludf.dummyfunction("if($T448&lt;&gt;"""",REGEXEXTRACT($T448, O$1&amp;""[\w &amp;]*, (\d+\.\d+)""),"""")
"),"")</f>
        <v/>
      </c>
      <c r="P448" s="2"/>
      <c r="Q448" s="2"/>
      <c r="R448" s="2"/>
      <c r="S448" s="2"/>
      <c r="T448" s="5"/>
    </row>
    <row r="449" customFormat="false" ht="15.75" hidden="false" customHeight="false" outlineLevel="0" collapsed="false">
      <c r="A449" s="4"/>
      <c r="B449" s="2"/>
      <c r="C449" s="2"/>
      <c r="D449" s="2"/>
      <c r="E449" s="2"/>
      <c r="F449" s="3" t="str">
        <f aca="false">IFERROR(__xludf.dummyfunction("if($T449&lt;&gt;"""",REGEXEXTRACT(SUBSTITUTE ($T449,F$1&amp;"" CE"",""""), F$1&amp;""[\w &amp;]*, (\d+\.\d+)""),"""")
"),"")</f>
        <v/>
      </c>
      <c r="G449" s="3" t="str">
        <f aca="false">IFERROR(__xludf.dummyfunction("if($T449&lt;&gt;"""",REGEXEXTRACT($T449, G$1&amp;""[\w &amp;]*, (\d+\.\d+)""),"""")
"),"")</f>
        <v/>
      </c>
      <c r="H449" s="3"/>
      <c r="I449" s="3" t="str">
        <f aca="false">IFERROR(__xludf.dummyfunction("if($T449&lt;&gt;"""",REGEXEXTRACT(SUBSTITUTE ($T449,I$1&amp;"" CE"",""""), I$1&amp;""[\w &amp;]*, (\d+\.\d+)""),"""")
"),"")</f>
        <v/>
      </c>
      <c r="J449" s="3" t="str">
        <f aca="false">IFERROR(__xludf.dummyfunction("if($T449&lt;&gt;"""",REGEXEXTRACT($T449, J$1&amp;""[\w &amp;]*, (\d+\.\d+)""),"""")
"),"")</f>
        <v/>
      </c>
      <c r="K449" s="3"/>
      <c r="L449" s="3" t="str">
        <f aca="false">IFERROR(__xludf.dummyfunction("if($T449&lt;&gt;"""",REGEXEXTRACT(SUBSTITUTE ($T449,L$1&amp;"" CE"",""""), L$1&amp;""[\w &amp;]*, (\d+\.\d+)""),"""")
"),"")</f>
        <v/>
      </c>
      <c r="M449" s="3" t="str">
        <f aca="false">IFERROR(__xludf.dummyfunction("if($T449&lt;&gt;"""",REGEXEXTRACT($T449, M$1&amp;""[\w &amp;]*, (\d+\.\d+)""),"""")
"),"")</f>
        <v/>
      </c>
      <c r="N449" s="3" t="str">
        <f aca="false">IFERROR(__xludf.dummyfunction("if($T449&lt;&gt;"""",REGEXEXTRACT(SUBSTITUTE ($T449,N$1&amp;"" CE"",""""), N$1&amp;""[\w &amp;]*, (\d+\.\d+)""),"""")
"),"")</f>
        <v/>
      </c>
      <c r="O449" s="3" t="str">
        <f aca="false">IFERROR(__xludf.dummyfunction("if($T449&lt;&gt;"""",REGEXEXTRACT($T449, O$1&amp;""[\w &amp;]*, (\d+\.\d+)""),"""")
"),"")</f>
        <v/>
      </c>
      <c r="P449" s="2"/>
      <c r="Q449" s="2"/>
      <c r="R449" s="2"/>
      <c r="S449" s="2"/>
      <c r="T449" s="5"/>
    </row>
    <row r="450" customFormat="false" ht="15.75" hidden="false" customHeight="false" outlineLevel="0" collapsed="false">
      <c r="A450" s="4"/>
      <c r="B450" s="2"/>
      <c r="C450" s="2"/>
      <c r="D450" s="2"/>
      <c r="E450" s="2"/>
      <c r="F450" s="3" t="str">
        <f aca="false">IFERROR(__xludf.dummyfunction("if($T450&lt;&gt;"""",REGEXEXTRACT(SUBSTITUTE ($T450,F$1&amp;"" CE"",""""), F$1&amp;""[\w &amp;]*, (\d+\.\d+)""),"""")
"),"")</f>
        <v/>
      </c>
      <c r="G450" s="3" t="str">
        <f aca="false">IFERROR(__xludf.dummyfunction("if($T450&lt;&gt;"""",REGEXEXTRACT($T450, G$1&amp;""[\w &amp;]*, (\d+\.\d+)""),"""")
"),"")</f>
        <v/>
      </c>
      <c r="H450" s="3"/>
      <c r="I450" s="3" t="str">
        <f aca="false">IFERROR(__xludf.dummyfunction("if($T450&lt;&gt;"""",REGEXEXTRACT(SUBSTITUTE ($T450,I$1&amp;"" CE"",""""), I$1&amp;""[\w &amp;]*, (\d+\.\d+)""),"""")
"),"")</f>
        <v/>
      </c>
      <c r="J450" s="3" t="str">
        <f aca="false">IFERROR(__xludf.dummyfunction("if($T450&lt;&gt;"""",REGEXEXTRACT($T450, J$1&amp;""[\w &amp;]*, (\d+\.\d+)""),"""")
"),"")</f>
        <v/>
      </c>
      <c r="K450" s="3"/>
      <c r="L450" s="3" t="str">
        <f aca="false">IFERROR(__xludf.dummyfunction("if($T450&lt;&gt;"""",REGEXEXTRACT(SUBSTITUTE ($T450,L$1&amp;"" CE"",""""), L$1&amp;""[\w &amp;]*, (\d+\.\d+)""),"""")
"),"")</f>
        <v/>
      </c>
      <c r="M450" s="3" t="str">
        <f aca="false">IFERROR(__xludf.dummyfunction("if($T450&lt;&gt;"""",REGEXEXTRACT($T450, M$1&amp;""[\w &amp;]*, (\d+\.\d+)""),"""")
"),"")</f>
        <v/>
      </c>
      <c r="N450" s="3" t="str">
        <f aca="false">IFERROR(__xludf.dummyfunction("if($T450&lt;&gt;"""",REGEXEXTRACT(SUBSTITUTE ($T450,N$1&amp;"" CE"",""""), N$1&amp;""[\w &amp;]*, (\d+\.\d+)""),"""")
"),"")</f>
        <v/>
      </c>
      <c r="O450" s="3" t="str">
        <f aca="false">IFERROR(__xludf.dummyfunction("if($T450&lt;&gt;"""",REGEXEXTRACT($T450, O$1&amp;""[\w &amp;]*, (\d+\.\d+)""),"""")
"),"")</f>
        <v/>
      </c>
      <c r="P450" s="2"/>
      <c r="Q450" s="2"/>
      <c r="R450" s="2"/>
      <c r="S450" s="2"/>
      <c r="T450" s="5"/>
    </row>
    <row r="451" customFormat="false" ht="15.75" hidden="false" customHeight="false" outlineLevel="0" collapsed="false">
      <c r="A451" s="4"/>
      <c r="B451" s="2"/>
      <c r="C451" s="2"/>
      <c r="D451" s="2"/>
      <c r="E451" s="2"/>
      <c r="F451" s="3" t="str">
        <f aca="false">IFERROR(__xludf.dummyfunction("if($T451&lt;&gt;"""",REGEXEXTRACT(SUBSTITUTE ($T451,F$1&amp;"" CE"",""""), F$1&amp;""[\w &amp;]*, (\d+\.\d+)""),"""")
"),"")</f>
        <v/>
      </c>
      <c r="G451" s="3" t="str">
        <f aca="false">IFERROR(__xludf.dummyfunction("if($T451&lt;&gt;"""",REGEXEXTRACT($T451, G$1&amp;""[\w &amp;]*, (\d+\.\d+)""),"""")
"),"")</f>
        <v/>
      </c>
      <c r="H451" s="3"/>
      <c r="I451" s="3" t="str">
        <f aca="false">IFERROR(__xludf.dummyfunction("if($T451&lt;&gt;"""",REGEXEXTRACT(SUBSTITUTE ($T451,I$1&amp;"" CE"",""""), I$1&amp;""[\w &amp;]*, (\d+\.\d+)""),"""")
"),"")</f>
        <v/>
      </c>
      <c r="J451" s="3" t="str">
        <f aca="false">IFERROR(__xludf.dummyfunction("if($T451&lt;&gt;"""",REGEXEXTRACT($T451, J$1&amp;""[\w &amp;]*, (\d+\.\d+)""),"""")
"),"")</f>
        <v/>
      </c>
      <c r="K451" s="3"/>
      <c r="L451" s="3" t="str">
        <f aca="false">IFERROR(__xludf.dummyfunction("if($T451&lt;&gt;"""",REGEXEXTRACT(SUBSTITUTE ($T451,L$1&amp;"" CE"",""""), L$1&amp;""[\w &amp;]*, (\d+\.\d+)""),"""")
"),"")</f>
        <v/>
      </c>
      <c r="M451" s="3" t="str">
        <f aca="false">IFERROR(__xludf.dummyfunction("if($T451&lt;&gt;"""",REGEXEXTRACT($T451, M$1&amp;""[\w &amp;]*, (\d+\.\d+)""),"""")
"),"")</f>
        <v/>
      </c>
      <c r="N451" s="3" t="str">
        <f aca="false">IFERROR(__xludf.dummyfunction("if($T451&lt;&gt;"""",REGEXEXTRACT(SUBSTITUTE ($T451,N$1&amp;"" CE"",""""), N$1&amp;""[\w &amp;]*, (\d+\.\d+)""),"""")
"),"")</f>
        <v/>
      </c>
      <c r="O451" s="3" t="str">
        <f aca="false">IFERROR(__xludf.dummyfunction("if($T451&lt;&gt;"""",REGEXEXTRACT($T451, O$1&amp;""[\w &amp;]*, (\d+\.\d+)""),"""")
"),"")</f>
        <v/>
      </c>
      <c r="P451" s="2"/>
      <c r="Q451" s="2"/>
      <c r="R451" s="2"/>
      <c r="S451" s="2"/>
      <c r="T451" s="5"/>
    </row>
    <row r="452" customFormat="false" ht="15.75" hidden="false" customHeight="false" outlineLevel="0" collapsed="false">
      <c r="A452" s="4"/>
      <c r="B452" s="2"/>
      <c r="C452" s="2"/>
      <c r="D452" s="2"/>
      <c r="E452" s="2"/>
      <c r="F452" s="3" t="str">
        <f aca="false">IFERROR(__xludf.dummyfunction("if($T452&lt;&gt;"""",REGEXEXTRACT(SUBSTITUTE ($T452,F$1&amp;"" CE"",""""), F$1&amp;""[\w &amp;]*, (\d+\.\d+)""),"""")
"),"")</f>
        <v/>
      </c>
      <c r="G452" s="3" t="str">
        <f aca="false">IFERROR(__xludf.dummyfunction("if($T452&lt;&gt;"""",REGEXEXTRACT($T452, G$1&amp;""[\w &amp;]*, (\d+\.\d+)""),"""")
"),"")</f>
        <v/>
      </c>
      <c r="H452" s="3"/>
      <c r="I452" s="3" t="str">
        <f aca="false">IFERROR(__xludf.dummyfunction("if($T452&lt;&gt;"""",REGEXEXTRACT(SUBSTITUTE ($T452,I$1&amp;"" CE"",""""), I$1&amp;""[\w &amp;]*, (\d+\.\d+)""),"""")
"),"")</f>
        <v/>
      </c>
      <c r="J452" s="3" t="str">
        <f aca="false">IFERROR(__xludf.dummyfunction("if($T452&lt;&gt;"""",REGEXEXTRACT($T452, J$1&amp;""[\w &amp;]*, (\d+\.\d+)""),"""")
"),"")</f>
        <v/>
      </c>
      <c r="K452" s="3"/>
      <c r="L452" s="3" t="str">
        <f aca="false">IFERROR(__xludf.dummyfunction("if($T452&lt;&gt;"""",REGEXEXTRACT(SUBSTITUTE ($T452,L$1&amp;"" CE"",""""), L$1&amp;""[\w &amp;]*, (\d+\.\d+)""),"""")
"),"")</f>
        <v/>
      </c>
      <c r="M452" s="3" t="str">
        <f aca="false">IFERROR(__xludf.dummyfunction("if($T452&lt;&gt;"""",REGEXEXTRACT($T452, M$1&amp;""[\w &amp;]*, (\d+\.\d+)""),"""")
"),"")</f>
        <v/>
      </c>
      <c r="N452" s="3" t="str">
        <f aca="false">IFERROR(__xludf.dummyfunction("if($T452&lt;&gt;"""",REGEXEXTRACT(SUBSTITUTE ($T452,N$1&amp;"" CE"",""""), N$1&amp;""[\w &amp;]*, (\d+\.\d+)""),"""")
"),"")</f>
        <v/>
      </c>
      <c r="O452" s="3" t="str">
        <f aca="false">IFERROR(__xludf.dummyfunction("if($T452&lt;&gt;"""",REGEXEXTRACT($T452, O$1&amp;""[\w &amp;]*, (\d+\.\d+)""),"""")
"),"")</f>
        <v/>
      </c>
      <c r="P452" s="2"/>
      <c r="Q452" s="2"/>
      <c r="R452" s="2"/>
      <c r="S452" s="2"/>
      <c r="T452" s="5"/>
    </row>
    <row r="453" customFormat="false" ht="15.75" hidden="false" customHeight="false" outlineLevel="0" collapsed="false">
      <c r="A453" s="4"/>
      <c r="B453" s="2"/>
      <c r="C453" s="2"/>
      <c r="D453" s="2"/>
      <c r="E453" s="2"/>
      <c r="F453" s="3" t="str">
        <f aca="false">IFERROR(__xludf.dummyfunction("if($T453&lt;&gt;"""",REGEXEXTRACT(SUBSTITUTE ($T453,F$1&amp;"" CE"",""""), F$1&amp;""[\w &amp;]*, (\d+\.\d+)""),"""")
"),"")</f>
        <v/>
      </c>
      <c r="G453" s="3" t="str">
        <f aca="false">IFERROR(__xludf.dummyfunction("if($T453&lt;&gt;"""",REGEXEXTRACT($T453, G$1&amp;""[\w &amp;]*, (\d+\.\d+)""),"""")
"),"")</f>
        <v/>
      </c>
      <c r="H453" s="3"/>
      <c r="I453" s="3" t="str">
        <f aca="false">IFERROR(__xludf.dummyfunction("if($T453&lt;&gt;"""",REGEXEXTRACT(SUBSTITUTE ($T453,I$1&amp;"" CE"",""""), I$1&amp;""[\w &amp;]*, (\d+\.\d+)""),"""")
"),"")</f>
        <v/>
      </c>
      <c r="J453" s="3" t="str">
        <f aca="false">IFERROR(__xludf.dummyfunction("if($T453&lt;&gt;"""",REGEXEXTRACT($T453, J$1&amp;""[\w &amp;]*, (\d+\.\d+)""),"""")
"),"")</f>
        <v/>
      </c>
      <c r="K453" s="3"/>
      <c r="L453" s="3" t="str">
        <f aca="false">IFERROR(__xludf.dummyfunction("if($T453&lt;&gt;"""",REGEXEXTRACT(SUBSTITUTE ($T453,L$1&amp;"" CE"",""""), L$1&amp;""[\w &amp;]*, (\d+\.\d+)""),"""")
"),"")</f>
        <v/>
      </c>
      <c r="M453" s="3" t="str">
        <f aca="false">IFERROR(__xludf.dummyfunction("if($T453&lt;&gt;"""",REGEXEXTRACT($T453, M$1&amp;""[\w &amp;]*, (\d+\.\d+)""),"""")
"),"")</f>
        <v/>
      </c>
      <c r="N453" s="3" t="str">
        <f aca="false">IFERROR(__xludf.dummyfunction("if($T453&lt;&gt;"""",REGEXEXTRACT(SUBSTITUTE ($T453,N$1&amp;"" CE"",""""), N$1&amp;""[\w &amp;]*, (\d+\.\d+)""),"""")
"),"")</f>
        <v/>
      </c>
      <c r="O453" s="3" t="str">
        <f aca="false">IFERROR(__xludf.dummyfunction("if($T453&lt;&gt;"""",REGEXEXTRACT($T453, O$1&amp;""[\w &amp;]*, (\d+\.\d+)""),"""")
"),"")</f>
        <v/>
      </c>
      <c r="P453" s="2"/>
      <c r="Q453" s="2"/>
      <c r="R453" s="2"/>
      <c r="S453" s="2"/>
      <c r="T453" s="5"/>
    </row>
    <row r="454" customFormat="false" ht="15.75" hidden="false" customHeight="false" outlineLevel="0" collapsed="false">
      <c r="A454" s="4"/>
      <c r="B454" s="2"/>
      <c r="C454" s="2"/>
      <c r="D454" s="2"/>
      <c r="E454" s="2"/>
      <c r="F454" s="3" t="str">
        <f aca="false">IFERROR(__xludf.dummyfunction("if($T454&lt;&gt;"""",REGEXEXTRACT(SUBSTITUTE ($T454,F$1&amp;"" CE"",""""), F$1&amp;""[\w &amp;]*, (\d+\.\d+)""),"""")
"),"")</f>
        <v/>
      </c>
      <c r="G454" s="3" t="str">
        <f aca="false">IFERROR(__xludf.dummyfunction("if($T454&lt;&gt;"""",REGEXEXTRACT($T454, G$1&amp;""[\w &amp;]*, (\d+\.\d+)""),"""")
"),"")</f>
        <v/>
      </c>
      <c r="H454" s="3"/>
      <c r="I454" s="3" t="str">
        <f aca="false">IFERROR(__xludf.dummyfunction("if($T454&lt;&gt;"""",REGEXEXTRACT(SUBSTITUTE ($T454,I$1&amp;"" CE"",""""), I$1&amp;""[\w &amp;]*, (\d+\.\d+)""),"""")
"),"")</f>
        <v/>
      </c>
      <c r="J454" s="3" t="str">
        <f aca="false">IFERROR(__xludf.dummyfunction("if($T454&lt;&gt;"""",REGEXEXTRACT($T454, J$1&amp;""[\w &amp;]*, (\d+\.\d+)""),"""")
"),"")</f>
        <v/>
      </c>
      <c r="K454" s="3"/>
      <c r="L454" s="3" t="str">
        <f aca="false">IFERROR(__xludf.dummyfunction("if($T454&lt;&gt;"""",REGEXEXTRACT(SUBSTITUTE ($T454,L$1&amp;"" CE"",""""), L$1&amp;""[\w &amp;]*, (\d+\.\d+)""),"""")
"),"")</f>
        <v/>
      </c>
      <c r="M454" s="3" t="str">
        <f aca="false">IFERROR(__xludf.dummyfunction("if($T454&lt;&gt;"""",REGEXEXTRACT($T454, M$1&amp;""[\w &amp;]*, (\d+\.\d+)""),"""")
"),"")</f>
        <v/>
      </c>
      <c r="N454" s="3" t="str">
        <f aca="false">IFERROR(__xludf.dummyfunction("if($T454&lt;&gt;"""",REGEXEXTRACT(SUBSTITUTE ($T454,N$1&amp;"" CE"",""""), N$1&amp;""[\w &amp;]*, (\d+\.\d+)""),"""")
"),"")</f>
        <v/>
      </c>
      <c r="O454" s="3" t="str">
        <f aca="false">IFERROR(__xludf.dummyfunction("if($T454&lt;&gt;"""",REGEXEXTRACT($T454, O$1&amp;""[\w &amp;]*, (\d+\.\d+)""),"""")
"),"")</f>
        <v/>
      </c>
      <c r="P454" s="2"/>
      <c r="Q454" s="2"/>
      <c r="R454" s="2"/>
      <c r="S454" s="2"/>
      <c r="T454" s="5"/>
    </row>
    <row r="455" customFormat="false" ht="15.75" hidden="false" customHeight="false" outlineLevel="0" collapsed="false">
      <c r="A455" s="4"/>
      <c r="B455" s="2"/>
      <c r="C455" s="2"/>
      <c r="D455" s="2"/>
      <c r="E455" s="2"/>
      <c r="F455" s="3" t="str">
        <f aca="false">IFERROR(__xludf.dummyfunction("if($T455&lt;&gt;"""",REGEXEXTRACT(SUBSTITUTE ($T455,F$1&amp;"" CE"",""""), F$1&amp;""[\w &amp;]*, (\d+\.\d+)""),"""")
"),"")</f>
        <v/>
      </c>
      <c r="G455" s="3" t="str">
        <f aca="false">IFERROR(__xludf.dummyfunction("if($T455&lt;&gt;"""",REGEXEXTRACT($T455, G$1&amp;""[\w &amp;]*, (\d+\.\d+)""),"""")
"),"")</f>
        <v/>
      </c>
      <c r="H455" s="3"/>
      <c r="I455" s="3" t="str">
        <f aca="false">IFERROR(__xludf.dummyfunction("if($T455&lt;&gt;"""",REGEXEXTRACT(SUBSTITUTE ($T455,I$1&amp;"" CE"",""""), I$1&amp;""[\w &amp;]*, (\d+\.\d+)""),"""")
"),"")</f>
        <v/>
      </c>
      <c r="J455" s="3" t="str">
        <f aca="false">IFERROR(__xludf.dummyfunction("if($T455&lt;&gt;"""",REGEXEXTRACT($T455, J$1&amp;""[\w &amp;]*, (\d+\.\d+)""),"""")
"),"")</f>
        <v/>
      </c>
      <c r="K455" s="3"/>
      <c r="L455" s="3" t="str">
        <f aca="false">IFERROR(__xludf.dummyfunction("if($T455&lt;&gt;"""",REGEXEXTRACT(SUBSTITUTE ($T455,L$1&amp;"" CE"",""""), L$1&amp;""[\w &amp;]*, (\d+\.\d+)""),"""")
"),"")</f>
        <v/>
      </c>
      <c r="M455" s="3" t="str">
        <f aca="false">IFERROR(__xludf.dummyfunction("if($T455&lt;&gt;"""",REGEXEXTRACT($T455, M$1&amp;""[\w &amp;]*, (\d+\.\d+)""),"""")
"),"")</f>
        <v/>
      </c>
      <c r="N455" s="3" t="str">
        <f aca="false">IFERROR(__xludf.dummyfunction("if($T455&lt;&gt;"""",REGEXEXTRACT(SUBSTITUTE ($T455,N$1&amp;"" CE"",""""), N$1&amp;""[\w &amp;]*, (\d+\.\d+)""),"""")
"),"")</f>
        <v/>
      </c>
      <c r="O455" s="3" t="str">
        <f aca="false">IFERROR(__xludf.dummyfunction("if($T455&lt;&gt;"""",REGEXEXTRACT($T455, O$1&amp;""[\w &amp;]*, (\d+\.\d+)""),"""")
"),"")</f>
        <v/>
      </c>
      <c r="P455" s="2"/>
      <c r="Q455" s="2"/>
      <c r="R455" s="2"/>
      <c r="S455" s="2"/>
      <c r="T455" s="5"/>
    </row>
    <row r="456" customFormat="false" ht="15.75" hidden="false" customHeight="false" outlineLevel="0" collapsed="false">
      <c r="A456" s="4"/>
      <c r="B456" s="2"/>
      <c r="C456" s="2"/>
      <c r="D456" s="2"/>
      <c r="E456" s="2"/>
      <c r="F456" s="3" t="str">
        <f aca="false">IFERROR(__xludf.dummyfunction("if($T456&lt;&gt;"""",REGEXEXTRACT(SUBSTITUTE ($T456,F$1&amp;"" CE"",""""), F$1&amp;""[\w &amp;]*, (\d+\.\d+)""),"""")
"),"")</f>
        <v/>
      </c>
      <c r="G456" s="3" t="str">
        <f aca="false">IFERROR(__xludf.dummyfunction("if($T456&lt;&gt;"""",REGEXEXTRACT($T456, G$1&amp;""[\w &amp;]*, (\d+\.\d+)""),"""")
"),"")</f>
        <v/>
      </c>
      <c r="H456" s="3"/>
      <c r="I456" s="3" t="str">
        <f aca="false">IFERROR(__xludf.dummyfunction("if($T456&lt;&gt;"""",REGEXEXTRACT(SUBSTITUTE ($T456,I$1&amp;"" CE"",""""), I$1&amp;""[\w &amp;]*, (\d+\.\d+)""),"""")
"),"")</f>
        <v/>
      </c>
      <c r="J456" s="3" t="str">
        <f aca="false">IFERROR(__xludf.dummyfunction("if($T456&lt;&gt;"""",REGEXEXTRACT($T456, J$1&amp;""[\w &amp;]*, (\d+\.\d+)""),"""")
"),"")</f>
        <v/>
      </c>
      <c r="K456" s="3"/>
      <c r="L456" s="3" t="str">
        <f aca="false">IFERROR(__xludf.dummyfunction("if($T456&lt;&gt;"""",REGEXEXTRACT(SUBSTITUTE ($T456,L$1&amp;"" CE"",""""), L$1&amp;""[\w &amp;]*, (\d+\.\d+)""),"""")
"),"")</f>
        <v/>
      </c>
      <c r="M456" s="3" t="str">
        <f aca="false">IFERROR(__xludf.dummyfunction("if($T456&lt;&gt;"""",REGEXEXTRACT($T456, M$1&amp;""[\w &amp;]*, (\d+\.\d+)""),"""")
"),"")</f>
        <v/>
      </c>
      <c r="N456" s="3" t="str">
        <f aca="false">IFERROR(__xludf.dummyfunction("if($T456&lt;&gt;"""",REGEXEXTRACT(SUBSTITUTE ($T456,N$1&amp;"" CE"",""""), N$1&amp;""[\w &amp;]*, (\d+\.\d+)""),"""")
"),"")</f>
        <v/>
      </c>
      <c r="O456" s="3" t="str">
        <f aca="false">IFERROR(__xludf.dummyfunction("if($T456&lt;&gt;"""",REGEXEXTRACT($T456, O$1&amp;""[\w &amp;]*, (\d+\.\d+)""),"""")
"),"")</f>
        <v/>
      </c>
      <c r="P456" s="2"/>
      <c r="Q456" s="2"/>
      <c r="R456" s="2"/>
      <c r="S456" s="2"/>
      <c r="T456" s="5"/>
    </row>
    <row r="457" customFormat="false" ht="15.75" hidden="false" customHeight="false" outlineLevel="0" collapsed="false">
      <c r="A457" s="4"/>
      <c r="B457" s="2"/>
      <c r="C457" s="2"/>
      <c r="D457" s="2"/>
      <c r="E457" s="2"/>
      <c r="F457" s="3" t="str">
        <f aca="false">IFERROR(__xludf.dummyfunction("if($T457&lt;&gt;"""",REGEXEXTRACT(SUBSTITUTE ($T457,F$1&amp;"" CE"",""""), F$1&amp;""[\w &amp;]*, (\d+\.\d+)""),"""")
"),"")</f>
        <v/>
      </c>
      <c r="G457" s="3" t="str">
        <f aca="false">IFERROR(__xludf.dummyfunction("if($T457&lt;&gt;"""",REGEXEXTRACT($T457, G$1&amp;""[\w &amp;]*, (\d+\.\d+)""),"""")
"),"")</f>
        <v/>
      </c>
      <c r="H457" s="3"/>
      <c r="I457" s="3" t="str">
        <f aca="false">IFERROR(__xludf.dummyfunction("if($T457&lt;&gt;"""",REGEXEXTRACT(SUBSTITUTE ($T457,I$1&amp;"" CE"",""""), I$1&amp;""[\w &amp;]*, (\d+\.\d+)""),"""")
"),"")</f>
        <v/>
      </c>
      <c r="J457" s="3" t="str">
        <f aca="false">IFERROR(__xludf.dummyfunction("if($T457&lt;&gt;"""",REGEXEXTRACT($T457, J$1&amp;""[\w &amp;]*, (\d+\.\d+)""),"""")
"),"")</f>
        <v/>
      </c>
      <c r="K457" s="3"/>
      <c r="L457" s="3" t="str">
        <f aca="false">IFERROR(__xludf.dummyfunction("if($T457&lt;&gt;"""",REGEXEXTRACT(SUBSTITUTE ($T457,L$1&amp;"" CE"",""""), L$1&amp;""[\w &amp;]*, (\d+\.\d+)""),"""")
"),"")</f>
        <v/>
      </c>
      <c r="M457" s="3" t="str">
        <f aca="false">IFERROR(__xludf.dummyfunction("if($T457&lt;&gt;"""",REGEXEXTRACT($T457, M$1&amp;""[\w &amp;]*, (\d+\.\d+)""),"""")
"),"")</f>
        <v/>
      </c>
      <c r="N457" s="3" t="str">
        <f aca="false">IFERROR(__xludf.dummyfunction("if($T457&lt;&gt;"""",REGEXEXTRACT(SUBSTITUTE ($T457,N$1&amp;"" CE"",""""), N$1&amp;""[\w &amp;]*, (\d+\.\d+)""),"""")
"),"")</f>
        <v/>
      </c>
      <c r="O457" s="3" t="str">
        <f aca="false">IFERROR(__xludf.dummyfunction("if($T457&lt;&gt;"""",REGEXEXTRACT($T457, O$1&amp;""[\w &amp;]*, (\d+\.\d+)""),"""")
"),"")</f>
        <v/>
      </c>
      <c r="P457" s="2"/>
      <c r="Q457" s="2"/>
      <c r="R457" s="2"/>
      <c r="S457" s="2"/>
      <c r="T457" s="5"/>
    </row>
    <row r="458" customFormat="false" ht="15.75" hidden="false" customHeight="false" outlineLevel="0" collapsed="false">
      <c r="A458" s="4"/>
      <c r="B458" s="2"/>
      <c r="C458" s="2"/>
      <c r="D458" s="2"/>
      <c r="E458" s="2"/>
      <c r="F458" s="3" t="str">
        <f aca="false">IFERROR(__xludf.dummyfunction("if($T458&lt;&gt;"""",REGEXEXTRACT(SUBSTITUTE ($T458,F$1&amp;"" CE"",""""), F$1&amp;""[\w &amp;]*, (\d+\.\d+)""),"""")
"),"")</f>
        <v/>
      </c>
      <c r="G458" s="3" t="str">
        <f aca="false">IFERROR(__xludf.dummyfunction("if($T458&lt;&gt;"""",REGEXEXTRACT($T458, G$1&amp;""[\w &amp;]*, (\d+\.\d+)""),"""")
"),"")</f>
        <v/>
      </c>
      <c r="H458" s="3"/>
      <c r="I458" s="3" t="str">
        <f aca="false">IFERROR(__xludf.dummyfunction("if($T458&lt;&gt;"""",REGEXEXTRACT(SUBSTITUTE ($T458,I$1&amp;"" CE"",""""), I$1&amp;""[\w &amp;]*, (\d+\.\d+)""),"""")
"),"")</f>
        <v/>
      </c>
      <c r="J458" s="3" t="str">
        <f aca="false">IFERROR(__xludf.dummyfunction("if($T458&lt;&gt;"""",REGEXEXTRACT($T458, J$1&amp;""[\w &amp;]*, (\d+\.\d+)""),"""")
"),"")</f>
        <v/>
      </c>
      <c r="K458" s="3"/>
      <c r="L458" s="3" t="str">
        <f aca="false">IFERROR(__xludf.dummyfunction("if($T458&lt;&gt;"""",REGEXEXTRACT(SUBSTITUTE ($T458,L$1&amp;"" CE"",""""), L$1&amp;""[\w &amp;]*, (\d+\.\d+)""),"""")
"),"")</f>
        <v/>
      </c>
      <c r="M458" s="3" t="str">
        <f aca="false">IFERROR(__xludf.dummyfunction("if($T458&lt;&gt;"""",REGEXEXTRACT($T458, M$1&amp;""[\w &amp;]*, (\d+\.\d+)""),"""")
"),"")</f>
        <v/>
      </c>
      <c r="N458" s="3" t="str">
        <f aca="false">IFERROR(__xludf.dummyfunction("if($T458&lt;&gt;"""",REGEXEXTRACT(SUBSTITUTE ($T458,N$1&amp;"" CE"",""""), N$1&amp;""[\w &amp;]*, (\d+\.\d+)""),"""")
"),"")</f>
        <v/>
      </c>
      <c r="O458" s="3" t="str">
        <f aca="false">IFERROR(__xludf.dummyfunction("if($T458&lt;&gt;"""",REGEXEXTRACT($T458, O$1&amp;""[\w &amp;]*, (\d+\.\d+)""),"""")
"),"")</f>
        <v/>
      </c>
      <c r="P458" s="2"/>
      <c r="Q458" s="2"/>
      <c r="R458" s="2"/>
      <c r="S458" s="2"/>
      <c r="T458" s="5"/>
    </row>
    <row r="459" customFormat="false" ht="15.75" hidden="false" customHeight="false" outlineLevel="0" collapsed="false">
      <c r="A459" s="4"/>
      <c r="B459" s="2"/>
      <c r="C459" s="2"/>
      <c r="D459" s="2"/>
      <c r="E459" s="2"/>
      <c r="F459" s="3" t="str">
        <f aca="false">IFERROR(__xludf.dummyfunction("if($T459&lt;&gt;"""",REGEXEXTRACT(SUBSTITUTE ($T459,F$1&amp;"" CE"",""""), F$1&amp;""[\w &amp;]*, (\d+\.\d+)""),"""")
"),"")</f>
        <v/>
      </c>
      <c r="G459" s="3" t="str">
        <f aca="false">IFERROR(__xludf.dummyfunction("if($T459&lt;&gt;"""",REGEXEXTRACT($T459, G$1&amp;""[\w &amp;]*, (\d+\.\d+)""),"""")
"),"")</f>
        <v/>
      </c>
      <c r="H459" s="3"/>
      <c r="I459" s="3" t="str">
        <f aca="false">IFERROR(__xludf.dummyfunction("if($T459&lt;&gt;"""",REGEXEXTRACT(SUBSTITUTE ($T459,I$1&amp;"" CE"",""""), I$1&amp;""[\w &amp;]*, (\d+\.\d+)""),"""")
"),"")</f>
        <v/>
      </c>
      <c r="J459" s="3" t="str">
        <f aca="false">IFERROR(__xludf.dummyfunction("if($T459&lt;&gt;"""",REGEXEXTRACT($T459, J$1&amp;""[\w &amp;]*, (\d+\.\d+)""),"""")
"),"")</f>
        <v/>
      </c>
      <c r="K459" s="3"/>
      <c r="L459" s="3" t="str">
        <f aca="false">IFERROR(__xludf.dummyfunction("if($T459&lt;&gt;"""",REGEXEXTRACT(SUBSTITUTE ($T459,L$1&amp;"" CE"",""""), L$1&amp;""[\w &amp;]*, (\d+\.\d+)""),"""")
"),"")</f>
        <v/>
      </c>
      <c r="M459" s="3" t="str">
        <f aca="false">IFERROR(__xludf.dummyfunction("if($T459&lt;&gt;"""",REGEXEXTRACT($T459, M$1&amp;""[\w &amp;]*, (\d+\.\d+)""),"""")
"),"")</f>
        <v/>
      </c>
      <c r="N459" s="3" t="str">
        <f aca="false">IFERROR(__xludf.dummyfunction("if($T459&lt;&gt;"""",REGEXEXTRACT(SUBSTITUTE ($T459,N$1&amp;"" CE"",""""), N$1&amp;""[\w &amp;]*, (\d+\.\d+)""),"""")
"),"")</f>
        <v/>
      </c>
      <c r="O459" s="3" t="str">
        <f aca="false">IFERROR(__xludf.dummyfunction("if($T459&lt;&gt;"""",REGEXEXTRACT($T459, O$1&amp;""[\w &amp;]*, (\d+\.\d+)""),"""")
"),"")</f>
        <v/>
      </c>
      <c r="P459" s="2"/>
      <c r="Q459" s="2"/>
      <c r="R459" s="2"/>
      <c r="S459" s="2"/>
      <c r="T459" s="5"/>
    </row>
    <row r="460" customFormat="false" ht="15.75" hidden="false" customHeight="false" outlineLevel="0" collapsed="false">
      <c r="A460" s="4"/>
      <c r="B460" s="2"/>
      <c r="C460" s="2"/>
      <c r="D460" s="2"/>
      <c r="E460" s="2"/>
      <c r="F460" s="3" t="str">
        <f aca="false">IFERROR(__xludf.dummyfunction("if($T460&lt;&gt;"""",REGEXEXTRACT(SUBSTITUTE ($T460,F$1&amp;"" CE"",""""), F$1&amp;""[\w &amp;]*, (\d+\.\d+)""),"""")
"),"")</f>
        <v/>
      </c>
      <c r="G460" s="3" t="str">
        <f aca="false">IFERROR(__xludf.dummyfunction("if($T460&lt;&gt;"""",REGEXEXTRACT($T460, G$1&amp;""[\w &amp;]*, (\d+\.\d+)""),"""")
"),"")</f>
        <v/>
      </c>
      <c r="H460" s="3"/>
      <c r="I460" s="3" t="str">
        <f aca="false">IFERROR(__xludf.dummyfunction("if($T460&lt;&gt;"""",REGEXEXTRACT(SUBSTITUTE ($T460,I$1&amp;"" CE"",""""), I$1&amp;""[\w &amp;]*, (\d+\.\d+)""),"""")
"),"")</f>
        <v/>
      </c>
      <c r="J460" s="3" t="str">
        <f aca="false">IFERROR(__xludf.dummyfunction("if($T460&lt;&gt;"""",REGEXEXTRACT($T460, J$1&amp;""[\w &amp;]*, (\d+\.\d+)""),"""")
"),"")</f>
        <v/>
      </c>
      <c r="K460" s="3"/>
      <c r="L460" s="3" t="str">
        <f aca="false">IFERROR(__xludf.dummyfunction("if($T460&lt;&gt;"""",REGEXEXTRACT(SUBSTITUTE ($T460,L$1&amp;"" CE"",""""), L$1&amp;""[\w &amp;]*, (\d+\.\d+)""),"""")
"),"")</f>
        <v/>
      </c>
      <c r="M460" s="3" t="str">
        <f aca="false">IFERROR(__xludf.dummyfunction("if($T460&lt;&gt;"""",REGEXEXTRACT($T460, M$1&amp;""[\w &amp;]*, (\d+\.\d+)""),"""")
"),"")</f>
        <v/>
      </c>
      <c r="N460" s="3" t="str">
        <f aca="false">IFERROR(__xludf.dummyfunction("if($T460&lt;&gt;"""",REGEXEXTRACT(SUBSTITUTE ($T460,N$1&amp;"" CE"",""""), N$1&amp;""[\w &amp;]*, (\d+\.\d+)""),"""")
"),"")</f>
        <v/>
      </c>
      <c r="O460" s="3" t="str">
        <f aca="false">IFERROR(__xludf.dummyfunction("if($T460&lt;&gt;"""",REGEXEXTRACT($T460, O$1&amp;""[\w &amp;]*, (\d+\.\d+)""),"""")
"),"")</f>
        <v/>
      </c>
      <c r="P460" s="2"/>
      <c r="Q460" s="2"/>
      <c r="R460" s="2"/>
      <c r="S460" s="2"/>
      <c r="T460" s="5"/>
    </row>
    <row r="461" customFormat="false" ht="15.75" hidden="false" customHeight="false" outlineLevel="0" collapsed="false">
      <c r="A461" s="4"/>
      <c r="B461" s="2"/>
      <c r="C461" s="2"/>
      <c r="D461" s="2"/>
      <c r="E461" s="2"/>
      <c r="F461" s="3" t="str">
        <f aca="false">IFERROR(__xludf.dummyfunction("if($T461&lt;&gt;"""",REGEXEXTRACT(SUBSTITUTE ($T461,F$1&amp;"" CE"",""""), F$1&amp;""[\w &amp;]*, (\d+\.\d+)""),"""")
"),"")</f>
        <v/>
      </c>
      <c r="G461" s="3" t="str">
        <f aca="false">IFERROR(__xludf.dummyfunction("if($T461&lt;&gt;"""",REGEXEXTRACT($T461, G$1&amp;""[\w &amp;]*, (\d+\.\d+)""),"""")
"),"")</f>
        <v/>
      </c>
      <c r="H461" s="3"/>
      <c r="I461" s="3" t="str">
        <f aca="false">IFERROR(__xludf.dummyfunction("if($T461&lt;&gt;"""",REGEXEXTRACT(SUBSTITUTE ($T461,I$1&amp;"" CE"",""""), I$1&amp;""[\w &amp;]*, (\d+\.\d+)""),"""")
"),"")</f>
        <v/>
      </c>
      <c r="J461" s="3" t="str">
        <f aca="false">IFERROR(__xludf.dummyfunction("if($T461&lt;&gt;"""",REGEXEXTRACT($T461, J$1&amp;""[\w &amp;]*, (\d+\.\d+)""),"""")
"),"")</f>
        <v/>
      </c>
      <c r="K461" s="3"/>
      <c r="L461" s="3" t="str">
        <f aca="false">IFERROR(__xludf.dummyfunction("if($T461&lt;&gt;"""",REGEXEXTRACT(SUBSTITUTE ($T461,L$1&amp;"" CE"",""""), L$1&amp;""[\w &amp;]*, (\d+\.\d+)""),"""")
"),"")</f>
        <v/>
      </c>
      <c r="M461" s="3" t="str">
        <f aca="false">IFERROR(__xludf.dummyfunction("if($T461&lt;&gt;"""",REGEXEXTRACT($T461, M$1&amp;""[\w &amp;]*, (\d+\.\d+)""),"""")
"),"")</f>
        <v/>
      </c>
      <c r="N461" s="3" t="str">
        <f aca="false">IFERROR(__xludf.dummyfunction("if($T461&lt;&gt;"""",REGEXEXTRACT(SUBSTITUTE ($T461,N$1&amp;"" CE"",""""), N$1&amp;""[\w &amp;]*, (\d+\.\d+)""),"""")
"),"")</f>
        <v/>
      </c>
      <c r="O461" s="3" t="str">
        <f aca="false">IFERROR(__xludf.dummyfunction("if($T461&lt;&gt;"""",REGEXEXTRACT($T461, O$1&amp;""[\w &amp;]*, (\d+\.\d+)""),"""")
"),"")</f>
        <v/>
      </c>
      <c r="P461" s="2"/>
      <c r="Q461" s="2"/>
      <c r="R461" s="2"/>
      <c r="S461" s="2"/>
      <c r="T461" s="5"/>
    </row>
    <row r="462" customFormat="false" ht="15.75" hidden="false" customHeight="false" outlineLevel="0" collapsed="false">
      <c r="A462" s="4"/>
      <c r="B462" s="2"/>
      <c r="C462" s="2"/>
      <c r="D462" s="2"/>
      <c r="E462" s="2"/>
      <c r="F462" s="3" t="str">
        <f aca="false">IFERROR(__xludf.dummyfunction("if($T462&lt;&gt;"""",REGEXEXTRACT(SUBSTITUTE ($T462,F$1&amp;"" CE"",""""), F$1&amp;""[\w &amp;]*, (\d+\.\d+)""),"""")
"),"")</f>
        <v/>
      </c>
      <c r="G462" s="3" t="str">
        <f aca="false">IFERROR(__xludf.dummyfunction("if($T462&lt;&gt;"""",REGEXEXTRACT($T462, G$1&amp;""[\w &amp;]*, (\d+\.\d+)""),"""")
"),"")</f>
        <v/>
      </c>
      <c r="H462" s="3"/>
      <c r="I462" s="3" t="str">
        <f aca="false">IFERROR(__xludf.dummyfunction("if($T462&lt;&gt;"""",REGEXEXTRACT(SUBSTITUTE ($T462,I$1&amp;"" CE"",""""), I$1&amp;""[\w &amp;]*, (\d+\.\d+)""),"""")
"),"")</f>
        <v/>
      </c>
      <c r="J462" s="3" t="str">
        <f aca="false">IFERROR(__xludf.dummyfunction("if($T462&lt;&gt;"""",REGEXEXTRACT($T462, J$1&amp;""[\w &amp;]*, (\d+\.\d+)""),"""")
"),"")</f>
        <v/>
      </c>
      <c r="K462" s="3"/>
      <c r="L462" s="3" t="str">
        <f aca="false">IFERROR(__xludf.dummyfunction("if($T462&lt;&gt;"""",REGEXEXTRACT(SUBSTITUTE ($T462,L$1&amp;"" CE"",""""), L$1&amp;""[\w &amp;]*, (\d+\.\d+)""),"""")
"),"")</f>
        <v/>
      </c>
      <c r="M462" s="3" t="str">
        <f aca="false">IFERROR(__xludf.dummyfunction("if($T462&lt;&gt;"""",REGEXEXTRACT($T462, M$1&amp;""[\w &amp;]*, (\d+\.\d+)""),"""")
"),"")</f>
        <v/>
      </c>
      <c r="N462" s="3" t="str">
        <f aca="false">IFERROR(__xludf.dummyfunction("if($T462&lt;&gt;"""",REGEXEXTRACT(SUBSTITUTE ($T462,N$1&amp;"" CE"",""""), N$1&amp;""[\w &amp;]*, (\d+\.\d+)""),"""")
"),"")</f>
        <v/>
      </c>
      <c r="O462" s="3" t="str">
        <f aca="false">IFERROR(__xludf.dummyfunction("if($T462&lt;&gt;"""",REGEXEXTRACT($T462, O$1&amp;""[\w &amp;]*, (\d+\.\d+)""),"""")
"),"")</f>
        <v/>
      </c>
      <c r="P462" s="2"/>
      <c r="Q462" s="2"/>
      <c r="R462" s="2"/>
      <c r="S462" s="2"/>
      <c r="T462" s="5"/>
    </row>
    <row r="463" customFormat="false" ht="15.75" hidden="false" customHeight="false" outlineLevel="0" collapsed="false">
      <c r="A463" s="4"/>
      <c r="B463" s="2"/>
      <c r="C463" s="2"/>
      <c r="D463" s="2"/>
      <c r="E463" s="2"/>
      <c r="F463" s="3" t="str">
        <f aca="false">IFERROR(__xludf.dummyfunction("if($T463&lt;&gt;"""",REGEXEXTRACT(SUBSTITUTE ($T463,F$1&amp;"" CE"",""""), F$1&amp;""[\w &amp;]*, (\d+\.\d+)""),"""")
"),"")</f>
        <v/>
      </c>
      <c r="G463" s="3" t="str">
        <f aca="false">IFERROR(__xludf.dummyfunction("if($T463&lt;&gt;"""",REGEXEXTRACT($T463, G$1&amp;""[\w &amp;]*, (\d+\.\d+)""),"""")
"),"")</f>
        <v/>
      </c>
      <c r="H463" s="3"/>
      <c r="I463" s="3" t="str">
        <f aca="false">IFERROR(__xludf.dummyfunction("if($T463&lt;&gt;"""",REGEXEXTRACT(SUBSTITUTE ($T463,I$1&amp;"" CE"",""""), I$1&amp;""[\w &amp;]*, (\d+\.\d+)""),"""")
"),"")</f>
        <v/>
      </c>
      <c r="J463" s="3" t="str">
        <f aca="false">IFERROR(__xludf.dummyfunction("if($T463&lt;&gt;"""",REGEXEXTRACT($T463, J$1&amp;""[\w &amp;]*, (\d+\.\d+)""),"""")
"),"")</f>
        <v/>
      </c>
      <c r="K463" s="3"/>
      <c r="L463" s="3" t="str">
        <f aca="false">IFERROR(__xludf.dummyfunction("if($T463&lt;&gt;"""",REGEXEXTRACT(SUBSTITUTE ($T463,L$1&amp;"" CE"",""""), L$1&amp;""[\w &amp;]*, (\d+\.\d+)""),"""")
"),"")</f>
        <v/>
      </c>
      <c r="M463" s="3" t="str">
        <f aca="false">IFERROR(__xludf.dummyfunction("if($T463&lt;&gt;"""",REGEXEXTRACT($T463, M$1&amp;""[\w &amp;]*, (\d+\.\d+)""),"""")
"),"")</f>
        <v/>
      </c>
      <c r="N463" s="3" t="str">
        <f aca="false">IFERROR(__xludf.dummyfunction("if($T463&lt;&gt;"""",REGEXEXTRACT(SUBSTITUTE ($T463,N$1&amp;"" CE"",""""), N$1&amp;""[\w &amp;]*, (\d+\.\d+)""),"""")
"),"")</f>
        <v/>
      </c>
      <c r="O463" s="3" t="str">
        <f aca="false">IFERROR(__xludf.dummyfunction("if($T463&lt;&gt;"""",REGEXEXTRACT($T463, O$1&amp;""[\w &amp;]*, (\d+\.\d+)""),"""")
"),"")</f>
        <v/>
      </c>
      <c r="P463" s="2"/>
      <c r="Q463" s="2"/>
      <c r="R463" s="2"/>
      <c r="S463" s="2"/>
      <c r="T463" s="5"/>
    </row>
    <row r="464" customFormat="false" ht="15.75" hidden="false" customHeight="false" outlineLevel="0" collapsed="false">
      <c r="A464" s="4"/>
      <c r="B464" s="2"/>
      <c r="C464" s="2"/>
      <c r="D464" s="2"/>
      <c r="E464" s="2"/>
      <c r="F464" s="3" t="str">
        <f aca="false">IFERROR(__xludf.dummyfunction("if($T464&lt;&gt;"""",REGEXEXTRACT(SUBSTITUTE ($T464,F$1&amp;"" CE"",""""), F$1&amp;""[\w &amp;]*, (\d+\.\d+)""),"""")
"),"")</f>
        <v/>
      </c>
      <c r="G464" s="3" t="str">
        <f aca="false">IFERROR(__xludf.dummyfunction("if($T464&lt;&gt;"""",REGEXEXTRACT($T464, G$1&amp;""[\w &amp;]*, (\d+\.\d+)""),"""")
"),"")</f>
        <v/>
      </c>
      <c r="H464" s="3"/>
      <c r="I464" s="3" t="str">
        <f aca="false">IFERROR(__xludf.dummyfunction("if($T464&lt;&gt;"""",REGEXEXTRACT(SUBSTITUTE ($T464,I$1&amp;"" CE"",""""), I$1&amp;""[\w &amp;]*, (\d+\.\d+)""),"""")
"),"")</f>
        <v/>
      </c>
      <c r="J464" s="3" t="str">
        <f aca="false">IFERROR(__xludf.dummyfunction("if($T464&lt;&gt;"""",REGEXEXTRACT($T464, J$1&amp;""[\w &amp;]*, (\d+\.\d+)""),"""")
"),"")</f>
        <v/>
      </c>
      <c r="K464" s="3"/>
      <c r="L464" s="3" t="str">
        <f aca="false">IFERROR(__xludf.dummyfunction("if($T464&lt;&gt;"""",REGEXEXTRACT(SUBSTITUTE ($T464,L$1&amp;"" CE"",""""), L$1&amp;""[\w &amp;]*, (\d+\.\d+)""),"""")
"),"")</f>
        <v/>
      </c>
      <c r="M464" s="3" t="str">
        <f aca="false">IFERROR(__xludf.dummyfunction("if($T464&lt;&gt;"""",REGEXEXTRACT($T464, M$1&amp;""[\w &amp;]*, (\d+\.\d+)""),"""")
"),"")</f>
        <v/>
      </c>
      <c r="N464" s="3" t="str">
        <f aca="false">IFERROR(__xludf.dummyfunction("if($T464&lt;&gt;"""",REGEXEXTRACT(SUBSTITUTE ($T464,N$1&amp;"" CE"",""""), N$1&amp;""[\w &amp;]*, (\d+\.\d+)""),"""")
"),"")</f>
        <v/>
      </c>
      <c r="O464" s="3" t="str">
        <f aca="false">IFERROR(__xludf.dummyfunction("if($T464&lt;&gt;"""",REGEXEXTRACT($T464, O$1&amp;""[\w &amp;]*, (\d+\.\d+)""),"""")
"),"")</f>
        <v/>
      </c>
      <c r="P464" s="2"/>
      <c r="Q464" s="2"/>
      <c r="R464" s="2"/>
      <c r="S464" s="2"/>
      <c r="T464" s="5"/>
    </row>
    <row r="465" customFormat="false" ht="15.75" hidden="false" customHeight="false" outlineLevel="0" collapsed="false">
      <c r="A465" s="4"/>
      <c r="B465" s="2"/>
      <c r="C465" s="2"/>
      <c r="D465" s="2"/>
      <c r="E465" s="2"/>
      <c r="F465" s="3" t="str">
        <f aca="false">IFERROR(__xludf.dummyfunction("if($T465&lt;&gt;"""",REGEXEXTRACT(SUBSTITUTE ($T465,F$1&amp;"" CE"",""""), F$1&amp;""[\w &amp;]*, (\d+\.\d+)""),"""")
"),"")</f>
        <v/>
      </c>
      <c r="G465" s="3" t="str">
        <f aca="false">IFERROR(__xludf.dummyfunction("if($T465&lt;&gt;"""",REGEXEXTRACT($T465, G$1&amp;""[\w &amp;]*, (\d+\.\d+)""),"""")
"),"")</f>
        <v/>
      </c>
      <c r="H465" s="3"/>
      <c r="I465" s="3" t="str">
        <f aca="false">IFERROR(__xludf.dummyfunction("if($T465&lt;&gt;"""",REGEXEXTRACT(SUBSTITUTE ($T465,I$1&amp;"" CE"",""""), I$1&amp;""[\w &amp;]*, (\d+\.\d+)""),"""")
"),"")</f>
        <v/>
      </c>
      <c r="J465" s="3" t="str">
        <f aca="false">IFERROR(__xludf.dummyfunction("if($T465&lt;&gt;"""",REGEXEXTRACT($T465, J$1&amp;""[\w &amp;]*, (\d+\.\d+)""),"""")
"),"")</f>
        <v/>
      </c>
      <c r="K465" s="3"/>
      <c r="L465" s="3" t="str">
        <f aca="false">IFERROR(__xludf.dummyfunction("if($T465&lt;&gt;"""",REGEXEXTRACT(SUBSTITUTE ($T465,L$1&amp;"" CE"",""""), L$1&amp;""[\w &amp;]*, (\d+\.\d+)""),"""")
"),"")</f>
        <v/>
      </c>
      <c r="M465" s="3" t="str">
        <f aca="false">IFERROR(__xludf.dummyfunction("if($T465&lt;&gt;"""",REGEXEXTRACT($T465, M$1&amp;""[\w &amp;]*, (\d+\.\d+)""),"""")
"),"")</f>
        <v/>
      </c>
      <c r="N465" s="3" t="str">
        <f aca="false">IFERROR(__xludf.dummyfunction("if($T465&lt;&gt;"""",REGEXEXTRACT(SUBSTITUTE ($T465,N$1&amp;"" CE"",""""), N$1&amp;""[\w &amp;]*, (\d+\.\d+)""),"""")
"),"")</f>
        <v/>
      </c>
      <c r="O465" s="3" t="str">
        <f aca="false">IFERROR(__xludf.dummyfunction("if($T465&lt;&gt;"""",REGEXEXTRACT($T465, O$1&amp;""[\w &amp;]*, (\d+\.\d+)""),"""")
"),"")</f>
        <v/>
      </c>
      <c r="P465" s="2"/>
      <c r="Q465" s="2"/>
      <c r="R465" s="2"/>
      <c r="S465" s="2"/>
      <c r="T465" s="5"/>
    </row>
    <row r="466" customFormat="false" ht="15.75" hidden="false" customHeight="false" outlineLevel="0" collapsed="false">
      <c r="A466" s="4"/>
      <c r="B466" s="2"/>
      <c r="C466" s="2"/>
      <c r="D466" s="2"/>
      <c r="E466" s="2"/>
      <c r="F466" s="3" t="str">
        <f aca="false">IFERROR(__xludf.dummyfunction("if($T466&lt;&gt;"""",REGEXEXTRACT(SUBSTITUTE ($T466,F$1&amp;"" CE"",""""), F$1&amp;""[\w &amp;]*, (\d+\.\d+)""),"""")
"),"")</f>
        <v/>
      </c>
      <c r="G466" s="3" t="str">
        <f aca="false">IFERROR(__xludf.dummyfunction("if($T466&lt;&gt;"""",REGEXEXTRACT($T466, G$1&amp;""[\w &amp;]*, (\d+\.\d+)""),"""")
"),"")</f>
        <v/>
      </c>
      <c r="H466" s="3"/>
      <c r="I466" s="3" t="str">
        <f aca="false">IFERROR(__xludf.dummyfunction("if($T466&lt;&gt;"""",REGEXEXTRACT(SUBSTITUTE ($T466,I$1&amp;"" CE"",""""), I$1&amp;""[\w &amp;]*, (\d+\.\d+)""),"""")
"),"")</f>
        <v/>
      </c>
      <c r="J466" s="3" t="str">
        <f aca="false">IFERROR(__xludf.dummyfunction("if($T466&lt;&gt;"""",REGEXEXTRACT($T466, J$1&amp;""[\w &amp;]*, (\d+\.\d+)""),"""")
"),"")</f>
        <v/>
      </c>
      <c r="K466" s="3"/>
      <c r="L466" s="3" t="str">
        <f aca="false">IFERROR(__xludf.dummyfunction("if($T466&lt;&gt;"""",REGEXEXTRACT(SUBSTITUTE ($T466,L$1&amp;"" CE"",""""), L$1&amp;""[\w &amp;]*, (\d+\.\d+)""),"""")
"),"")</f>
        <v/>
      </c>
      <c r="M466" s="3" t="str">
        <f aca="false">IFERROR(__xludf.dummyfunction("if($T466&lt;&gt;"""",REGEXEXTRACT($T466, M$1&amp;""[\w &amp;]*, (\d+\.\d+)""),"""")
"),"")</f>
        <v/>
      </c>
      <c r="N466" s="3" t="str">
        <f aca="false">IFERROR(__xludf.dummyfunction("if($T466&lt;&gt;"""",REGEXEXTRACT(SUBSTITUTE ($T466,N$1&amp;"" CE"",""""), N$1&amp;""[\w &amp;]*, (\d+\.\d+)""),"""")
"),"")</f>
        <v/>
      </c>
      <c r="O466" s="3" t="str">
        <f aca="false">IFERROR(__xludf.dummyfunction("if($T466&lt;&gt;"""",REGEXEXTRACT($T466, O$1&amp;""[\w &amp;]*, (\d+\.\d+)""),"""")
"),"")</f>
        <v/>
      </c>
      <c r="P466" s="2"/>
      <c r="Q466" s="2"/>
      <c r="R466" s="2"/>
      <c r="S466" s="2"/>
      <c r="T466" s="5"/>
    </row>
    <row r="467" customFormat="false" ht="15.75" hidden="false" customHeight="false" outlineLevel="0" collapsed="false">
      <c r="A467" s="4"/>
      <c r="B467" s="2"/>
      <c r="C467" s="2"/>
      <c r="D467" s="2"/>
      <c r="E467" s="2"/>
      <c r="F467" s="3" t="str">
        <f aca="false">IFERROR(__xludf.dummyfunction("if($T467&lt;&gt;"""",REGEXEXTRACT(SUBSTITUTE ($T467,F$1&amp;"" CE"",""""), F$1&amp;""[\w &amp;]*, (\d+\.\d+)""),"""")
"),"")</f>
        <v/>
      </c>
      <c r="G467" s="3" t="str">
        <f aca="false">IFERROR(__xludf.dummyfunction("if($T467&lt;&gt;"""",REGEXEXTRACT($T467, G$1&amp;""[\w &amp;]*, (\d+\.\d+)""),"""")
"),"")</f>
        <v/>
      </c>
      <c r="H467" s="3"/>
      <c r="I467" s="3" t="str">
        <f aca="false">IFERROR(__xludf.dummyfunction("if($T467&lt;&gt;"""",REGEXEXTRACT(SUBSTITUTE ($T467,I$1&amp;"" CE"",""""), I$1&amp;""[\w &amp;]*, (\d+\.\d+)""),"""")
"),"")</f>
        <v/>
      </c>
      <c r="J467" s="3" t="str">
        <f aca="false">IFERROR(__xludf.dummyfunction("if($T467&lt;&gt;"""",REGEXEXTRACT($T467, J$1&amp;""[\w &amp;]*, (\d+\.\d+)""),"""")
"),"")</f>
        <v/>
      </c>
      <c r="K467" s="3"/>
      <c r="L467" s="3" t="str">
        <f aca="false">IFERROR(__xludf.dummyfunction("if($T467&lt;&gt;"""",REGEXEXTRACT(SUBSTITUTE ($T467,L$1&amp;"" CE"",""""), L$1&amp;""[\w &amp;]*, (\d+\.\d+)""),"""")
"),"")</f>
        <v/>
      </c>
      <c r="M467" s="3" t="str">
        <f aca="false">IFERROR(__xludf.dummyfunction("if($T467&lt;&gt;"""",REGEXEXTRACT($T467, M$1&amp;""[\w &amp;]*, (\d+\.\d+)""),"""")
"),"")</f>
        <v/>
      </c>
      <c r="N467" s="3" t="str">
        <f aca="false">IFERROR(__xludf.dummyfunction("if($T467&lt;&gt;"""",REGEXEXTRACT(SUBSTITUTE ($T467,N$1&amp;"" CE"",""""), N$1&amp;""[\w &amp;]*, (\d+\.\d+)""),"""")
"),"")</f>
        <v/>
      </c>
      <c r="O467" s="3" t="str">
        <f aca="false">IFERROR(__xludf.dummyfunction("if($T467&lt;&gt;"""",REGEXEXTRACT($T467, O$1&amp;""[\w &amp;]*, (\d+\.\d+)""),"""")
"),"")</f>
        <v/>
      </c>
      <c r="P467" s="2"/>
      <c r="Q467" s="2"/>
      <c r="R467" s="2"/>
      <c r="S467" s="2"/>
      <c r="T467" s="5"/>
    </row>
    <row r="468" customFormat="false" ht="15.75" hidden="false" customHeight="false" outlineLevel="0" collapsed="false">
      <c r="A468" s="4"/>
      <c r="B468" s="2"/>
      <c r="C468" s="2"/>
      <c r="D468" s="2"/>
      <c r="E468" s="2"/>
      <c r="F468" s="3" t="str">
        <f aca="false">IFERROR(__xludf.dummyfunction("if($T468&lt;&gt;"""",REGEXEXTRACT(SUBSTITUTE ($T468,F$1&amp;"" CE"",""""), F$1&amp;""[\w &amp;]*, (\d+\.\d+)""),"""")
"),"")</f>
        <v/>
      </c>
      <c r="G468" s="3" t="str">
        <f aca="false">IFERROR(__xludf.dummyfunction("if($T468&lt;&gt;"""",REGEXEXTRACT($T468, G$1&amp;""[\w &amp;]*, (\d+\.\d+)""),"""")
"),"")</f>
        <v/>
      </c>
      <c r="H468" s="3"/>
      <c r="I468" s="3" t="str">
        <f aca="false">IFERROR(__xludf.dummyfunction("if($T468&lt;&gt;"""",REGEXEXTRACT(SUBSTITUTE ($T468,I$1&amp;"" CE"",""""), I$1&amp;""[\w &amp;]*, (\d+\.\d+)""),"""")
"),"")</f>
        <v/>
      </c>
      <c r="J468" s="3" t="str">
        <f aca="false">IFERROR(__xludf.dummyfunction("if($T468&lt;&gt;"""",REGEXEXTRACT($T468, J$1&amp;""[\w &amp;]*, (\d+\.\d+)""),"""")
"),"")</f>
        <v/>
      </c>
      <c r="K468" s="3"/>
      <c r="L468" s="3" t="str">
        <f aca="false">IFERROR(__xludf.dummyfunction("if($T468&lt;&gt;"""",REGEXEXTRACT(SUBSTITUTE ($T468,L$1&amp;"" CE"",""""), L$1&amp;""[\w &amp;]*, (\d+\.\d+)""),"""")
"),"")</f>
        <v/>
      </c>
      <c r="M468" s="3" t="str">
        <f aca="false">IFERROR(__xludf.dummyfunction("if($T468&lt;&gt;"""",REGEXEXTRACT($T468, M$1&amp;""[\w &amp;]*, (\d+\.\d+)""),"""")
"),"")</f>
        <v/>
      </c>
      <c r="N468" s="3" t="str">
        <f aca="false">IFERROR(__xludf.dummyfunction("if($T468&lt;&gt;"""",REGEXEXTRACT(SUBSTITUTE ($T468,N$1&amp;"" CE"",""""), N$1&amp;""[\w &amp;]*, (\d+\.\d+)""),"""")
"),"")</f>
        <v/>
      </c>
      <c r="O468" s="3" t="str">
        <f aca="false">IFERROR(__xludf.dummyfunction("if($T468&lt;&gt;"""",REGEXEXTRACT($T468, O$1&amp;""[\w &amp;]*, (\d+\.\d+)""),"""")
"),"")</f>
        <v/>
      </c>
      <c r="P468" s="2"/>
      <c r="Q468" s="2"/>
      <c r="R468" s="2"/>
      <c r="S468" s="2"/>
      <c r="T468" s="5"/>
    </row>
    <row r="469" customFormat="false" ht="15.75" hidden="false" customHeight="false" outlineLevel="0" collapsed="false">
      <c r="A469" s="4"/>
      <c r="B469" s="2"/>
      <c r="C469" s="2"/>
      <c r="D469" s="2"/>
      <c r="E469" s="2"/>
      <c r="F469" s="3" t="str">
        <f aca="false">IFERROR(__xludf.dummyfunction("if($T469&lt;&gt;"""",REGEXEXTRACT(SUBSTITUTE ($T469,F$1&amp;"" CE"",""""), F$1&amp;""[\w &amp;]*, (\d+\.\d+)""),"""")
"),"")</f>
        <v/>
      </c>
      <c r="G469" s="3" t="str">
        <f aca="false">IFERROR(__xludf.dummyfunction("if($T469&lt;&gt;"""",REGEXEXTRACT($T469, G$1&amp;""[\w &amp;]*, (\d+\.\d+)""),"""")
"),"")</f>
        <v/>
      </c>
      <c r="H469" s="3"/>
      <c r="I469" s="3" t="str">
        <f aca="false">IFERROR(__xludf.dummyfunction("if($T469&lt;&gt;"""",REGEXEXTRACT(SUBSTITUTE ($T469,I$1&amp;"" CE"",""""), I$1&amp;""[\w &amp;]*, (\d+\.\d+)""),"""")
"),"")</f>
        <v/>
      </c>
      <c r="J469" s="3" t="str">
        <f aca="false">IFERROR(__xludf.dummyfunction("if($T469&lt;&gt;"""",REGEXEXTRACT($T469, J$1&amp;""[\w &amp;]*, (\d+\.\d+)""),"""")
"),"")</f>
        <v/>
      </c>
      <c r="K469" s="3"/>
      <c r="L469" s="3" t="str">
        <f aca="false">IFERROR(__xludf.dummyfunction("if($T469&lt;&gt;"""",REGEXEXTRACT(SUBSTITUTE ($T469,L$1&amp;"" CE"",""""), L$1&amp;""[\w &amp;]*, (\d+\.\d+)""),"""")
"),"")</f>
        <v/>
      </c>
      <c r="M469" s="3" t="str">
        <f aca="false">IFERROR(__xludf.dummyfunction("if($T469&lt;&gt;"""",REGEXEXTRACT($T469, M$1&amp;""[\w &amp;]*, (\d+\.\d+)""),"""")
"),"")</f>
        <v/>
      </c>
      <c r="N469" s="3" t="str">
        <f aca="false">IFERROR(__xludf.dummyfunction("if($T469&lt;&gt;"""",REGEXEXTRACT(SUBSTITUTE ($T469,N$1&amp;"" CE"",""""), N$1&amp;""[\w &amp;]*, (\d+\.\d+)""),"""")
"),"")</f>
        <v/>
      </c>
      <c r="O469" s="3" t="str">
        <f aca="false">IFERROR(__xludf.dummyfunction("if($T469&lt;&gt;"""",REGEXEXTRACT($T469, O$1&amp;""[\w &amp;]*, (\d+\.\d+)""),"""")
"),"")</f>
        <v/>
      </c>
      <c r="P469" s="2"/>
      <c r="Q469" s="2"/>
      <c r="R469" s="2"/>
      <c r="S469" s="2"/>
      <c r="T469" s="5"/>
    </row>
    <row r="470" customFormat="false" ht="15.75" hidden="false" customHeight="false" outlineLevel="0" collapsed="false">
      <c r="A470" s="4"/>
      <c r="B470" s="2"/>
      <c r="C470" s="2"/>
      <c r="D470" s="2"/>
      <c r="E470" s="2"/>
      <c r="F470" s="3" t="str">
        <f aca="false">IFERROR(__xludf.dummyfunction("if($T470&lt;&gt;"""",REGEXEXTRACT(SUBSTITUTE ($T470,F$1&amp;"" CE"",""""), F$1&amp;""[\w &amp;]*, (\d+\.\d+)""),"""")
"),"")</f>
        <v/>
      </c>
      <c r="G470" s="3" t="str">
        <f aca="false">IFERROR(__xludf.dummyfunction("if($T470&lt;&gt;"""",REGEXEXTRACT($T470, G$1&amp;""[\w &amp;]*, (\d+\.\d+)""),"""")
"),"")</f>
        <v/>
      </c>
      <c r="H470" s="3"/>
      <c r="I470" s="3" t="str">
        <f aca="false">IFERROR(__xludf.dummyfunction("if($T470&lt;&gt;"""",REGEXEXTRACT(SUBSTITUTE ($T470,I$1&amp;"" CE"",""""), I$1&amp;""[\w &amp;]*, (\d+\.\d+)""),"""")
"),"")</f>
        <v/>
      </c>
      <c r="J470" s="3" t="str">
        <f aca="false">IFERROR(__xludf.dummyfunction("if($T470&lt;&gt;"""",REGEXEXTRACT($T470, J$1&amp;""[\w &amp;]*, (\d+\.\d+)""),"""")
"),"")</f>
        <v/>
      </c>
      <c r="K470" s="3"/>
      <c r="L470" s="3" t="str">
        <f aca="false">IFERROR(__xludf.dummyfunction("if($T470&lt;&gt;"""",REGEXEXTRACT(SUBSTITUTE ($T470,L$1&amp;"" CE"",""""), L$1&amp;""[\w &amp;]*, (\d+\.\d+)""),"""")
"),"")</f>
        <v/>
      </c>
      <c r="M470" s="3" t="str">
        <f aca="false">IFERROR(__xludf.dummyfunction("if($T470&lt;&gt;"""",REGEXEXTRACT($T470, M$1&amp;""[\w &amp;]*, (\d+\.\d+)""),"""")
"),"")</f>
        <v/>
      </c>
      <c r="N470" s="3" t="str">
        <f aca="false">IFERROR(__xludf.dummyfunction("if($T470&lt;&gt;"""",REGEXEXTRACT(SUBSTITUTE ($T470,N$1&amp;"" CE"",""""), N$1&amp;""[\w &amp;]*, (\d+\.\d+)""),"""")
"),"")</f>
        <v/>
      </c>
      <c r="O470" s="3" t="str">
        <f aca="false">IFERROR(__xludf.dummyfunction("if($T470&lt;&gt;"""",REGEXEXTRACT($T470, O$1&amp;""[\w &amp;]*, (\d+\.\d+)""),"""")
"),"")</f>
        <v/>
      </c>
      <c r="P470" s="2"/>
      <c r="Q470" s="2"/>
      <c r="R470" s="2"/>
      <c r="S470" s="2"/>
      <c r="T470" s="5"/>
    </row>
    <row r="471" customFormat="false" ht="15.75" hidden="false" customHeight="false" outlineLevel="0" collapsed="false">
      <c r="A471" s="4"/>
      <c r="B471" s="2"/>
      <c r="C471" s="2"/>
      <c r="D471" s="2"/>
      <c r="E471" s="2"/>
      <c r="F471" s="3" t="str">
        <f aca="false">IFERROR(__xludf.dummyfunction("if($T471&lt;&gt;"""",REGEXEXTRACT(SUBSTITUTE ($T471,F$1&amp;"" CE"",""""), F$1&amp;""[\w &amp;]*, (\d+\.\d+)""),"""")
"),"")</f>
        <v/>
      </c>
      <c r="G471" s="3" t="str">
        <f aca="false">IFERROR(__xludf.dummyfunction("if($T471&lt;&gt;"""",REGEXEXTRACT($T471, G$1&amp;""[\w &amp;]*, (\d+\.\d+)""),"""")
"),"")</f>
        <v/>
      </c>
      <c r="H471" s="3"/>
      <c r="I471" s="3" t="str">
        <f aca="false">IFERROR(__xludf.dummyfunction("if($T471&lt;&gt;"""",REGEXEXTRACT(SUBSTITUTE ($T471,I$1&amp;"" CE"",""""), I$1&amp;""[\w &amp;]*, (\d+\.\d+)""),"""")
"),"")</f>
        <v/>
      </c>
      <c r="J471" s="3" t="str">
        <f aca="false">IFERROR(__xludf.dummyfunction("if($T471&lt;&gt;"""",REGEXEXTRACT($T471, J$1&amp;""[\w &amp;]*, (\d+\.\d+)""),"""")
"),"")</f>
        <v/>
      </c>
      <c r="K471" s="3"/>
      <c r="L471" s="3" t="str">
        <f aca="false">IFERROR(__xludf.dummyfunction("if($T471&lt;&gt;"""",REGEXEXTRACT(SUBSTITUTE ($T471,L$1&amp;"" CE"",""""), L$1&amp;""[\w &amp;]*, (\d+\.\d+)""),"""")
"),"")</f>
        <v/>
      </c>
      <c r="M471" s="3" t="str">
        <f aca="false">IFERROR(__xludf.dummyfunction("if($T471&lt;&gt;"""",REGEXEXTRACT($T471, M$1&amp;""[\w &amp;]*, (\d+\.\d+)""),"""")
"),"")</f>
        <v/>
      </c>
      <c r="N471" s="3" t="str">
        <f aca="false">IFERROR(__xludf.dummyfunction("if($T471&lt;&gt;"""",REGEXEXTRACT(SUBSTITUTE ($T471,N$1&amp;"" CE"",""""), N$1&amp;""[\w &amp;]*, (\d+\.\d+)""),"""")
"),"")</f>
        <v/>
      </c>
      <c r="O471" s="3" t="str">
        <f aca="false">IFERROR(__xludf.dummyfunction("if($T471&lt;&gt;"""",REGEXEXTRACT($T471, O$1&amp;""[\w &amp;]*, (\d+\.\d+)""),"""")
"),"")</f>
        <v/>
      </c>
      <c r="P471" s="2"/>
      <c r="Q471" s="2"/>
      <c r="R471" s="2"/>
      <c r="S471" s="2"/>
      <c r="T471" s="5"/>
    </row>
    <row r="472" customFormat="false" ht="15.75" hidden="false" customHeight="false" outlineLevel="0" collapsed="false">
      <c r="A472" s="4"/>
      <c r="B472" s="2"/>
      <c r="C472" s="2"/>
      <c r="D472" s="2"/>
      <c r="E472" s="2"/>
      <c r="F472" s="3" t="str">
        <f aca="false">IFERROR(__xludf.dummyfunction("if($T472&lt;&gt;"""",REGEXEXTRACT(SUBSTITUTE ($T472,F$1&amp;"" CE"",""""), F$1&amp;""[\w &amp;]*, (\d+\.\d+)""),"""")
"),"")</f>
        <v/>
      </c>
      <c r="G472" s="3" t="str">
        <f aca="false">IFERROR(__xludf.dummyfunction("if($T472&lt;&gt;"""",REGEXEXTRACT($T472, G$1&amp;""[\w &amp;]*, (\d+\.\d+)""),"""")
"),"")</f>
        <v/>
      </c>
      <c r="H472" s="3"/>
      <c r="I472" s="3" t="str">
        <f aca="false">IFERROR(__xludf.dummyfunction("if($T472&lt;&gt;"""",REGEXEXTRACT(SUBSTITUTE ($T472,I$1&amp;"" CE"",""""), I$1&amp;""[\w &amp;]*, (\d+\.\d+)""),"""")
"),"")</f>
        <v/>
      </c>
      <c r="J472" s="3" t="str">
        <f aca="false">IFERROR(__xludf.dummyfunction("if($T472&lt;&gt;"""",REGEXEXTRACT($T472, J$1&amp;""[\w &amp;]*, (\d+\.\d+)""),"""")
"),"")</f>
        <v/>
      </c>
      <c r="K472" s="3"/>
      <c r="L472" s="3" t="str">
        <f aca="false">IFERROR(__xludf.dummyfunction("if($T472&lt;&gt;"""",REGEXEXTRACT(SUBSTITUTE ($T472,L$1&amp;"" CE"",""""), L$1&amp;""[\w &amp;]*, (\d+\.\d+)""),"""")
"),"")</f>
        <v/>
      </c>
      <c r="M472" s="3" t="str">
        <f aca="false">IFERROR(__xludf.dummyfunction("if($T472&lt;&gt;"""",REGEXEXTRACT($T472, M$1&amp;""[\w &amp;]*, (\d+\.\d+)""),"""")
"),"")</f>
        <v/>
      </c>
      <c r="N472" s="3" t="str">
        <f aca="false">IFERROR(__xludf.dummyfunction("if($T472&lt;&gt;"""",REGEXEXTRACT(SUBSTITUTE ($T472,N$1&amp;"" CE"",""""), N$1&amp;""[\w &amp;]*, (\d+\.\d+)""),"""")
"),"")</f>
        <v/>
      </c>
      <c r="O472" s="3" t="str">
        <f aca="false">IFERROR(__xludf.dummyfunction("if($T472&lt;&gt;"""",REGEXEXTRACT($T472, O$1&amp;""[\w &amp;]*, (\d+\.\d+)""),"""")
"),"")</f>
        <v/>
      </c>
      <c r="P472" s="2"/>
      <c r="Q472" s="2"/>
      <c r="R472" s="2"/>
      <c r="S472" s="2"/>
      <c r="T472" s="5"/>
    </row>
    <row r="473" customFormat="false" ht="15.75" hidden="false" customHeight="false" outlineLevel="0" collapsed="false">
      <c r="A473" s="4"/>
      <c r="B473" s="2"/>
      <c r="C473" s="2"/>
      <c r="D473" s="2"/>
      <c r="E473" s="2"/>
      <c r="F473" s="3" t="str">
        <f aca="false">IFERROR(__xludf.dummyfunction("if($T473&lt;&gt;"""",REGEXEXTRACT(SUBSTITUTE ($T473,F$1&amp;"" CE"",""""), F$1&amp;""[\w &amp;]*, (\d+\.\d+)""),"""")
"),"")</f>
        <v/>
      </c>
      <c r="G473" s="3" t="str">
        <f aca="false">IFERROR(__xludf.dummyfunction("if($T473&lt;&gt;"""",REGEXEXTRACT($T473, G$1&amp;""[\w &amp;]*, (\d+\.\d+)""),"""")
"),"")</f>
        <v/>
      </c>
      <c r="H473" s="3"/>
      <c r="I473" s="3" t="str">
        <f aca="false">IFERROR(__xludf.dummyfunction("if($T473&lt;&gt;"""",REGEXEXTRACT(SUBSTITUTE ($T473,I$1&amp;"" CE"",""""), I$1&amp;""[\w &amp;]*, (\d+\.\d+)""),"""")
"),"")</f>
        <v/>
      </c>
      <c r="J473" s="3" t="str">
        <f aca="false">IFERROR(__xludf.dummyfunction("if($T473&lt;&gt;"""",REGEXEXTRACT($T473, J$1&amp;""[\w &amp;]*, (\d+\.\d+)""),"""")
"),"")</f>
        <v/>
      </c>
      <c r="K473" s="3"/>
      <c r="L473" s="3" t="str">
        <f aca="false">IFERROR(__xludf.dummyfunction("if($T473&lt;&gt;"""",REGEXEXTRACT(SUBSTITUTE ($T473,L$1&amp;"" CE"",""""), L$1&amp;""[\w &amp;]*, (\d+\.\d+)""),"""")
"),"")</f>
        <v/>
      </c>
      <c r="M473" s="3" t="str">
        <f aca="false">IFERROR(__xludf.dummyfunction("if($T473&lt;&gt;"""",REGEXEXTRACT($T473, M$1&amp;""[\w &amp;]*, (\d+\.\d+)""),"""")
"),"")</f>
        <v/>
      </c>
      <c r="N473" s="3" t="str">
        <f aca="false">IFERROR(__xludf.dummyfunction("if($T473&lt;&gt;"""",REGEXEXTRACT(SUBSTITUTE ($T473,N$1&amp;"" CE"",""""), N$1&amp;""[\w &amp;]*, (\d+\.\d+)""),"""")
"),"")</f>
        <v/>
      </c>
      <c r="O473" s="3" t="str">
        <f aca="false">IFERROR(__xludf.dummyfunction("if($T473&lt;&gt;"""",REGEXEXTRACT($T473, O$1&amp;""[\w &amp;]*, (\d+\.\d+)""),"""")
"),"")</f>
        <v/>
      </c>
      <c r="P473" s="2"/>
      <c r="Q473" s="2"/>
      <c r="R473" s="2"/>
      <c r="S473" s="2"/>
      <c r="T473" s="5"/>
    </row>
    <row r="474" customFormat="false" ht="15.75" hidden="false" customHeight="false" outlineLevel="0" collapsed="false">
      <c r="A474" s="4"/>
      <c r="B474" s="2"/>
      <c r="C474" s="2"/>
      <c r="D474" s="2"/>
      <c r="E474" s="2"/>
      <c r="F474" s="3" t="str">
        <f aca="false">IFERROR(__xludf.dummyfunction("if($T474&lt;&gt;"""",REGEXEXTRACT(SUBSTITUTE ($T474,F$1&amp;"" CE"",""""), F$1&amp;""[\w &amp;]*, (\d+\.\d+)""),"""")
"),"")</f>
        <v/>
      </c>
      <c r="G474" s="3" t="str">
        <f aca="false">IFERROR(__xludf.dummyfunction("if($T474&lt;&gt;"""",REGEXEXTRACT($T474, G$1&amp;""[\w &amp;]*, (\d+\.\d+)""),"""")
"),"")</f>
        <v/>
      </c>
      <c r="H474" s="3"/>
      <c r="I474" s="3" t="str">
        <f aca="false">IFERROR(__xludf.dummyfunction("if($T474&lt;&gt;"""",REGEXEXTRACT(SUBSTITUTE ($T474,I$1&amp;"" CE"",""""), I$1&amp;""[\w &amp;]*, (\d+\.\d+)""),"""")
"),"")</f>
        <v/>
      </c>
      <c r="J474" s="3" t="str">
        <f aca="false">IFERROR(__xludf.dummyfunction("if($T474&lt;&gt;"""",REGEXEXTRACT($T474, J$1&amp;""[\w &amp;]*, (\d+\.\d+)""),"""")
"),"")</f>
        <v/>
      </c>
      <c r="K474" s="3"/>
      <c r="L474" s="3" t="str">
        <f aca="false">IFERROR(__xludf.dummyfunction("if($T474&lt;&gt;"""",REGEXEXTRACT(SUBSTITUTE ($T474,L$1&amp;"" CE"",""""), L$1&amp;""[\w &amp;]*, (\d+\.\d+)""),"""")
"),"")</f>
        <v/>
      </c>
      <c r="M474" s="3" t="str">
        <f aca="false">IFERROR(__xludf.dummyfunction("if($T474&lt;&gt;"""",REGEXEXTRACT($T474, M$1&amp;""[\w &amp;]*, (\d+\.\d+)""),"""")
"),"")</f>
        <v/>
      </c>
      <c r="N474" s="3" t="str">
        <f aca="false">IFERROR(__xludf.dummyfunction("if($T474&lt;&gt;"""",REGEXEXTRACT(SUBSTITUTE ($T474,N$1&amp;"" CE"",""""), N$1&amp;""[\w &amp;]*, (\d+\.\d+)""),"""")
"),"")</f>
        <v/>
      </c>
      <c r="O474" s="3" t="str">
        <f aca="false">IFERROR(__xludf.dummyfunction("if($T474&lt;&gt;"""",REGEXEXTRACT($T474, O$1&amp;""[\w &amp;]*, (\d+\.\d+)""),"""")
"),"")</f>
        <v/>
      </c>
      <c r="P474" s="2"/>
      <c r="Q474" s="2"/>
      <c r="R474" s="2"/>
      <c r="S474" s="2"/>
      <c r="T474" s="5"/>
    </row>
    <row r="475" customFormat="false" ht="15.75" hidden="false" customHeight="false" outlineLevel="0" collapsed="false">
      <c r="A475" s="4"/>
      <c r="B475" s="2"/>
      <c r="C475" s="2"/>
      <c r="D475" s="2"/>
      <c r="E475" s="2"/>
      <c r="F475" s="3" t="str">
        <f aca="false">IFERROR(__xludf.dummyfunction("if($T475&lt;&gt;"""",REGEXEXTRACT(SUBSTITUTE ($T475,F$1&amp;"" CE"",""""), F$1&amp;""[\w &amp;]*, (\d+\.\d+)""),"""")
"),"")</f>
        <v/>
      </c>
      <c r="G475" s="3" t="str">
        <f aca="false">IFERROR(__xludf.dummyfunction("if($T475&lt;&gt;"""",REGEXEXTRACT($T475, G$1&amp;""[\w &amp;]*, (\d+\.\d+)""),"""")
"),"")</f>
        <v/>
      </c>
      <c r="H475" s="3"/>
      <c r="I475" s="3" t="str">
        <f aca="false">IFERROR(__xludf.dummyfunction("if($T475&lt;&gt;"""",REGEXEXTRACT(SUBSTITUTE ($T475,I$1&amp;"" CE"",""""), I$1&amp;""[\w &amp;]*, (\d+\.\d+)""),"""")
"),"")</f>
        <v/>
      </c>
      <c r="J475" s="3" t="str">
        <f aca="false">IFERROR(__xludf.dummyfunction("if($T475&lt;&gt;"""",REGEXEXTRACT($T475, J$1&amp;""[\w &amp;]*, (\d+\.\d+)""),"""")
"),"")</f>
        <v/>
      </c>
      <c r="K475" s="3"/>
      <c r="L475" s="3" t="str">
        <f aca="false">IFERROR(__xludf.dummyfunction("if($T475&lt;&gt;"""",REGEXEXTRACT(SUBSTITUTE ($T475,L$1&amp;"" CE"",""""), L$1&amp;""[\w &amp;]*, (\d+\.\d+)""),"""")
"),"")</f>
        <v/>
      </c>
      <c r="M475" s="3" t="str">
        <f aca="false">IFERROR(__xludf.dummyfunction("if($T475&lt;&gt;"""",REGEXEXTRACT($T475, M$1&amp;""[\w &amp;]*, (\d+\.\d+)""),"""")
"),"")</f>
        <v/>
      </c>
      <c r="N475" s="3" t="str">
        <f aca="false">IFERROR(__xludf.dummyfunction("if($T475&lt;&gt;"""",REGEXEXTRACT(SUBSTITUTE ($T475,N$1&amp;"" CE"",""""), N$1&amp;""[\w &amp;]*, (\d+\.\d+)""),"""")
"),"")</f>
        <v/>
      </c>
      <c r="O475" s="3" t="str">
        <f aca="false">IFERROR(__xludf.dummyfunction("if($T475&lt;&gt;"""",REGEXEXTRACT($T475, O$1&amp;""[\w &amp;]*, (\d+\.\d+)""),"""")
"),"")</f>
        <v/>
      </c>
      <c r="P475" s="2"/>
      <c r="Q475" s="2"/>
      <c r="R475" s="2"/>
      <c r="S475" s="2"/>
      <c r="T475" s="5"/>
    </row>
    <row r="476" customFormat="false" ht="15.75" hidden="false" customHeight="false" outlineLevel="0" collapsed="false">
      <c r="A476" s="4"/>
      <c r="B476" s="2"/>
      <c r="C476" s="2"/>
      <c r="D476" s="2"/>
      <c r="E476" s="2"/>
      <c r="F476" s="3" t="str">
        <f aca="false">IFERROR(__xludf.dummyfunction("if($T476&lt;&gt;"""",REGEXEXTRACT(SUBSTITUTE ($T476,F$1&amp;"" CE"",""""), F$1&amp;""[\w &amp;]*, (\d+\.\d+)""),"""")
"),"")</f>
        <v/>
      </c>
      <c r="G476" s="3" t="str">
        <f aca="false">IFERROR(__xludf.dummyfunction("if($T476&lt;&gt;"""",REGEXEXTRACT($T476, G$1&amp;""[\w &amp;]*, (\d+\.\d+)""),"""")
"),"")</f>
        <v/>
      </c>
      <c r="H476" s="3"/>
      <c r="I476" s="3" t="str">
        <f aca="false">IFERROR(__xludf.dummyfunction("if($T476&lt;&gt;"""",REGEXEXTRACT(SUBSTITUTE ($T476,I$1&amp;"" CE"",""""), I$1&amp;""[\w &amp;]*, (\d+\.\d+)""),"""")
"),"")</f>
        <v/>
      </c>
      <c r="J476" s="3" t="str">
        <f aca="false">IFERROR(__xludf.dummyfunction("if($T476&lt;&gt;"""",REGEXEXTRACT($T476, J$1&amp;""[\w &amp;]*, (\d+\.\d+)""),"""")
"),"")</f>
        <v/>
      </c>
      <c r="K476" s="3"/>
      <c r="L476" s="3" t="str">
        <f aca="false">IFERROR(__xludf.dummyfunction("if($T476&lt;&gt;"""",REGEXEXTRACT(SUBSTITUTE ($T476,L$1&amp;"" CE"",""""), L$1&amp;""[\w &amp;]*, (\d+\.\d+)""),"""")
"),"")</f>
        <v/>
      </c>
      <c r="M476" s="3" t="str">
        <f aca="false">IFERROR(__xludf.dummyfunction("if($T476&lt;&gt;"""",REGEXEXTRACT($T476, M$1&amp;""[\w &amp;]*, (\d+\.\d+)""),"""")
"),"")</f>
        <v/>
      </c>
      <c r="N476" s="3" t="str">
        <f aca="false">IFERROR(__xludf.dummyfunction("if($T476&lt;&gt;"""",REGEXEXTRACT(SUBSTITUTE ($T476,N$1&amp;"" CE"",""""), N$1&amp;""[\w &amp;]*, (\d+\.\d+)""),"""")
"),"")</f>
        <v/>
      </c>
      <c r="O476" s="3" t="str">
        <f aca="false">IFERROR(__xludf.dummyfunction("if($T476&lt;&gt;"""",REGEXEXTRACT($T476, O$1&amp;""[\w &amp;]*, (\d+\.\d+)""),"""")
"),"")</f>
        <v/>
      </c>
      <c r="P476" s="2"/>
      <c r="Q476" s="2"/>
      <c r="R476" s="2"/>
      <c r="S476" s="2"/>
      <c r="T476" s="5"/>
    </row>
    <row r="477" customFormat="false" ht="15.75" hidden="false" customHeight="false" outlineLevel="0" collapsed="false">
      <c r="A477" s="4"/>
      <c r="B477" s="2"/>
      <c r="C477" s="2"/>
      <c r="D477" s="2"/>
      <c r="E477" s="2"/>
      <c r="F477" s="3" t="str">
        <f aca="false">IFERROR(__xludf.dummyfunction("if($T477&lt;&gt;"""",REGEXEXTRACT(SUBSTITUTE ($T477,F$1&amp;"" CE"",""""), F$1&amp;""[\w &amp;]*, (\d+\.\d+)""),"""")
"),"")</f>
        <v/>
      </c>
      <c r="G477" s="3" t="str">
        <f aca="false">IFERROR(__xludf.dummyfunction("if($T477&lt;&gt;"""",REGEXEXTRACT($T477, G$1&amp;""[\w &amp;]*, (\d+\.\d+)""),"""")
"),"")</f>
        <v/>
      </c>
      <c r="H477" s="3"/>
      <c r="I477" s="3" t="str">
        <f aca="false">IFERROR(__xludf.dummyfunction("if($T477&lt;&gt;"""",REGEXEXTRACT(SUBSTITUTE ($T477,I$1&amp;"" CE"",""""), I$1&amp;""[\w &amp;]*, (\d+\.\d+)""),"""")
"),"")</f>
        <v/>
      </c>
      <c r="J477" s="3" t="str">
        <f aca="false">IFERROR(__xludf.dummyfunction("if($T477&lt;&gt;"""",REGEXEXTRACT($T477, J$1&amp;""[\w &amp;]*, (\d+\.\d+)""),"""")
"),"")</f>
        <v/>
      </c>
      <c r="K477" s="3"/>
      <c r="L477" s="3" t="str">
        <f aca="false">IFERROR(__xludf.dummyfunction("if($T477&lt;&gt;"""",REGEXEXTRACT(SUBSTITUTE ($T477,L$1&amp;"" CE"",""""), L$1&amp;""[\w &amp;]*, (\d+\.\d+)""),"""")
"),"")</f>
        <v/>
      </c>
      <c r="M477" s="3" t="str">
        <f aca="false">IFERROR(__xludf.dummyfunction("if($T477&lt;&gt;"""",REGEXEXTRACT($T477, M$1&amp;""[\w &amp;]*, (\d+\.\d+)""),"""")
"),"")</f>
        <v/>
      </c>
      <c r="N477" s="3" t="str">
        <f aca="false">IFERROR(__xludf.dummyfunction("if($T477&lt;&gt;"""",REGEXEXTRACT(SUBSTITUTE ($T477,N$1&amp;"" CE"",""""), N$1&amp;""[\w &amp;]*, (\d+\.\d+)""),"""")
"),"")</f>
        <v/>
      </c>
      <c r="O477" s="3" t="str">
        <f aca="false">IFERROR(__xludf.dummyfunction("if($T477&lt;&gt;"""",REGEXEXTRACT($T477, O$1&amp;""[\w &amp;]*, (\d+\.\d+)""),"""")
"),"")</f>
        <v/>
      </c>
      <c r="P477" s="2"/>
      <c r="Q477" s="2"/>
      <c r="R477" s="2"/>
      <c r="S477" s="2"/>
      <c r="T477" s="5"/>
    </row>
    <row r="478" customFormat="false" ht="15.75" hidden="false" customHeight="false" outlineLevel="0" collapsed="false">
      <c r="A478" s="4"/>
      <c r="B478" s="2"/>
      <c r="C478" s="2"/>
      <c r="D478" s="2"/>
      <c r="E478" s="2"/>
      <c r="F478" s="3" t="str">
        <f aca="false">IFERROR(__xludf.dummyfunction("if($T478&lt;&gt;"""",REGEXEXTRACT(SUBSTITUTE ($T478,F$1&amp;"" CE"",""""), F$1&amp;""[\w &amp;]*, (\d+\.\d+)""),"""")
"),"")</f>
        <v/>
      </c>
      <c r="G478" s="3" t="str">
        <f aca="false">IFERROR(__xludf.dummyfunction("if($T478&lt;&gt;"""",REGEXEXTRACT($T478, G$1&amp;""[\w &amp;]*, (\d+\.\d+)""),"""")
"),"")</f>
        <v/>
      </c>
      <c r="H478" s="3"/>
      <c r="I478" s="3" t="str">
        <f aca="false">IFERROR(__xludf.dummyfunction("if($T478&lt;&gt;"""",REGEXEXTRACT(SUBSTITUTE ($T478,I$1&amp;"" CE"",""""), I$1&amp;""[\w &amp;]*, (\d+\.\d+)""),"""")
"),"")</f>
        <v/>
      </c>
      <c r="J478" s="3" t="str">
        <f aca="false">IFERROR(__xludf.dummyfunction("if($T478&lt;&gt;"""",REGEXEXTRACT($T478, J$1&amp;""[\w &amp;]*, (\d+\.\d+)""),"""")
"),"")</f>
        <v/>
      </c>
      <c r="K478" s="3"/>
      <c r="L478" s="3" t="str">
        <f aca="false">IFERROR(__xludf.dummyfunction("if($T478&lt;&gt;"""",REGEXEXTRACT(SUBSTITUTE ($T478,L$1&amp;"" CE"",""""), L$1&amp;""[\w &amp;]*, (\d+\.\d+)""),"""")
"),"")</f>
        <v/>
      </c>
      <c r="M478" s="3" t="str">
        <f aca="false">IFERROR(__xludf.dummyfunction("if($T478&lt;&gt;"""",REGEXEXTRACT($T478, M$1&amp;""[\w &amp;]*, (\d+\.\d+)""),"""")
"),"")</f>
        <v/>
      </c>
      <c r="N478" s="3" t="str">
        <f aca="false">IFERROR(__xludf.dummyfunction("if($T478&lt;&gt;"""",REGEXEXTRACT(SUBSTITUTE ($T478,N$1&amp;"" CE"",""""), N$1&amp;""[\w &amp;]*, (\d+\.\d+)""),"""")
"),"")</f>
        <v/>
      </c>
      <c r="O478" s="3" t="str">
        <f aca="false">IFERROR(__xludf.dummyfunction("if($T478&lt;&gt;"""",REGEXEXTRACT($T478, O$1&amp;""[\w &amp;]*, (\d+\.\d+)""),"""")
"),"")</f>
        <v/>
      </c>
      <c r="P478" s="2"/>
      <c r="Q478" s="2"/>
      <c r="R478" s="2"/>
      <c r="S478" s="2"/>
      <c r="T478" s="5"/>
    </row>
    <row r="479" customFormat="false" ht="15.75" hidden="false" customHeight="false" outlineLevel="0" collapsed="false">
      <c r="A479" s="4"/>
      <c r="B479" s="2"/>
      <c r="C479" s="2"/>
      <c r="D479" s="2"/>
      <c r="E479" s="2"/>
      <c r="F479" s="3" t="str">
        <f aca="false">IFERROR(__xludf.dummyfunction("if($T479&lt;&gt;"""",REGEXEXTRACT(SUBSTITUTE ($T479,F$1&amp;"" CE"",""""), F$1&amp;""[\w &amp;]*, (\d+\.\d+)""),"""")
"),"")</f>
        <v/>
      </c>
      <c r="G479" s="3" t="str">
        <f aca="false">IFERROR(__xludf.dummyfunction("if($T479&lt;&gt;"""",REGEXEXTRACT($T479, G$1&amp;""[\w &amp;]*, (\d+\.\d+)""),"""")
"),"")</f>
        <v/>
      </c>
      <c r="H479" s="3"/>
      <c r="I479" s="3" t="str">
        <f aca="false">IFERROR(__xludf.dummyfunction("if($T479&lt;&gt;"""",REGEXEXTRACT(SUBSTITUTE ($T479,I$1&amp;"" CE"",""""), I$1&amp;""[\w &amp;]*, (\d+\.\d+)""),"""")
"),"")</f>
        <v/>
      </c>
      <c r="J479" s="3" t="str">
        <f aca="false">IFERROR(__xludf.dummyfunction("if($T479&lt;&gt;"""",REGEXEXTRACT($T479, J$1&amp;""[\w &amp;]*, (\d+\.\d+)""),"""")
"),"")</f>
        <v/>
      </c>
      <c r="K479" s="3"/>
      <c r="L479" s="3" t="str">
        <f aca="false">IFERROR(__xludf.dummyfunction("if($T479&lt;&gt;"""",REGEXEXTRACT(SUBSTITUTE ($T479,L$1&amp;"" CE"",""""), L$1&amp;""[\w &amp;]*, (\d+\.\d+)""),"""")
"),"")</f>
        <v/>
      </c>
      <c r="M479" s="3" t="str">
        <f aca="false">IFERROR(__xludf.dummyfunction("if($T479&lt;&gt;"""",REGEXEXTRACT($T479, M$1&amp;""[\w &amp;]*, (\d+\.\d+)""),"""")
"),"")</f>
        <v/>
      </c>
      <c r="N479" s="3" t="str">
        <f aca="false">IFERROR(__xludf.dummyfunction("if($T479&lt;&gt;"""",REGEXEXTRACT(SUBSTITUTE ($T479,N$1&amp;"" CE"",""""), N$1&amp;""[\w &amp;]*, (\d+\.\d+)""),"""")
"),"")</f>
        <v/>
      </c>
      <c r="O479" s="3" t="str">
        <f aca="false">IFERROR(__xludf.dummyfunction("if($T479&lt;&gt;"""",REGEXEXTRACT($T479, O$1&amp;""[\w &amp;]*, (\d+\.\d+)""),"""")
"),"")</f>
        <v/>
      </c>
      <c r="P479" s="2"/>
      <c r="Q479" s="2"/>
      <c r="R479" s="2"/>
      <c r="S479" s="2"/>
      <c r="T479" s="5"/>
    </row>
    <row r="480" customFormat="false" ht="15.75" hidden="false" customHeight="false" outlineLevel="0" collapsed="false">
      <c r="A480" s="4"/>
      <c r="B480" s="2"/>
      <c r="C480" s="2"/>
      <c r="D480" s="2"/>
      <c r="E480" s="2"/>
      <c r="F480" s="3" t="str">
        <f aca="false">IFERROR(__xludf.dummyfunction("if($T480&lt;&gt;"""",REGEXEXTRACT(SUBSTITUTE ($T480,F$1&amp;"" CE"",""""), F$1&amp;""[\w &amp;]*, (\d+\.\d+)""),"""")
"),"")</f>
        <v/>
      </c>
      <c r="G480" s="3" t="str">
        <f aca="false">IFERROR(__xludf.dummyfunction("if($T480&lt;&gt;"""",REGEXEXTRACT($T480, G$1&amp;""[\w &amp;]*, (\d+\.\d+)""),"""")
"),"")</f>
        <v/>
      </c>
      <c r="H480" s="3"/>
      <c r="I480" s="3" t="str">
        <f aca="false">IFERROR(__xludf.dummyfunction("if($T480&lt;&gt;"""",REGEXEXTRACT(SUBSTITUTE ($T480,I$1&amp;"" CE"",""""), I$1&amp;""[\w &amp;]*, (\d+\.\d+)""),"""")
"),"")</f>
        <v/>
      </c>
      <c r="J480" s="3" t="str">
        <f aca="false">IFERROR(__xludf.dummyfunction("if($T480&lt;&gt;"""",REGEXEXTRACT($T480, J$1&amp;""[\w &amp;]*, (\d+\.\d+)""),"""")
"),"")</f>
        <v/>
      </c>
      <c r="K480" s="3"/>
      <c r="L480" s="3" t="str">
        <f aca="false">IFERROR(__xludf.dummyfunction("if($T480&lt;&gt;"""",REGEXEXTRACT(SUBSTITUTE ($T480,L$1&amp;"" CE"",""""), L$1&amp;""[\w &amp;]*, (\d+\.\d+)""),"""")
"),"")</f>
        <v/>
      </c>
      <c r="M480" s="3" t="str">
        <f aca="false">IFERROR(__xludf.dummyfunction("if($T480&lt;&gt;"""",REGEXEXTRACT($T480, M$1&amp;""[\w &amp;]*, (\d+\.\d+)""),"""")
"),"")</f>
        <v/>
      </c>
      <c r="N480" s="3" t="str">
        <f aca="false">IFERROR(__xludf.dummyfunction("if($T480&lt;&gt;"""",REGEXEXTRACT(SUBSTITUTE ($T480,N$1&amp;"" CE"",""""), N$1&amp;""[\w &amp;]*, (\d+\.\d+)""),"""")
"),"")</f>
        <v/>
      </c>
      <c r="O480" s="3" t="str">
        <f aca="false">IFERROR(__xludf.dummyfunction("if($T480&lt;&gt;"""",REGEXEXTRACT($T480, O$1&amp;""[\w &amp;]*, (\d+\.\d+)""),"""")
"),"")</f>
        <v/>
      </c>
      <c r="P480" s="2"/>
      <c r="Q480" s="2"/>
      <c r="R480" s="2"/>
      <c r="S480" s="2"/>
      <c r="T480" s="5"/>
    </row>
    <row r="481" customFormat="false" ht="15.75" hidden="false" customHeight="false" outlineLevel="0" collapsed="false">
      <c r="A481" s="4"/>
      <c r="B481" s="2"/>
      <c r="C481" s="2"/>
      <c r="D481" s="2"/>
      <c r="E481" s="2"/>
      <c r="F481" s="3" t="str">
        <f aca="false">IFERROR(__xludf.dummyfunction("if($T481&lt;&gt;"""",REGEXEXTRACT(SUBSTITUTE ($T481,F$1&amp;"" CE"",""""), F$1&amp;""[\w &amp;]*, (\d+\.\d+)""),"""")
"),"")</f>
        <v/>
      </c>
      <c r="G481" s="3" t="str">
        <f aca="false">IFERROR(__xludf.dummyfunction("if($T481&lt;&gt;"""",REGEXEXTRACT($T481, G$1&amp;""[\w &amp;]*, (\d+\.\d+)""),"""")
"),"")</f>
        <v/>
      </c>
      <c r="H481" s="3"/>
      <c r="I481" s="3" t="str">
        <f aca="false">IFERROR(__xludf.dummyfunction("if($T481&lt;&gt;"""",REGEXEXTRACT(SUBSTITUTE ($T481,I$1&amp;"" CE"",""""), I$1&amp;""[\w &amp;]*, (\d+\.\d+)""),"""")
"),"")</f>
        <v/>
      </c>
      <c r="J481" s="3" t="str">
        <f aca="false">IFERROR(__xludf.dummyfunction("if($T481&lt;&gt;"""",REGEXEXTRACT($T481, J$1&amp;""[\w &amp;]*, (\d+\.\d+)""),"""")
"),"")</f>
        <v/>
      </c>
      <c r="K481" s="3"/>
      <c r="L481" s="3" t="str">
        <f aca="false">IFERROR(__xludf.dummyfunction("if($T481&lt;&gt;"""",REGEXEXTRACT(SUBSTITUTE ($T481,L$1&amp;"" CE"",""""), L$1&amp;""[\w &amp;]*, (\d+\.\d+)""),"""")
"),"")</f>
        <v/>
      </c>
      <c r="M481" s="3" t="str">
        <f aca="false">IFERROR(__xludf.dummyfunction("if($T481&lt;&gt;"""",REGEXEXTRACT($T481, M$1&amp;""[\w &amp;]*, (\d+\.\d+)""),"""")
"),"")</f>
        <v/>
      </c>
      <c r="N481" s="3" t="str">
        <f aca="false">IFERROR(__xludf.dummyfunction("if($T481&lt;&gt;"""",REGEXEXTRACT(SUBSTITUTE ($T481,N$1&amp;"" CE"",""""), N$1&amp;""[\w &amp;]*, (\d+\.\d+)""),"""")
"),"")</f>
        <v/>
      </c>
      <c r="O481" s="3" t="str">
        <f aca="false">IFERROR(__xludf.dummyfunction("if($T481&lt;&gt;"""",REGEXEXTRACT($T481, O$1&amp;""[\w &amp;]*, (\d+\.\d+)""),"""")
"),"")</f>
        <v/>
      </c>
      <c r="P481" s="2"/>
      <c r="Q481" s="2"/>
      <c r="R481" s="2"/>
      <c r="S481" s="2"/>
      <c r="T481" s="5"/>
    </row>
    <row r="482" customFormat="false" ht="15.75" hidden="false" customHeight="false" outlineLevel="0" collapsed="false">
      <c r="A482" s="4"/>
      <c r="B482" s="2"/>
      <c r="C482" s="2"/>
      <c r="D482" s="2"/>
      <c r="E482" s="2"/>
      <c r="F482" s="3" t="str">
        <f aca="false">IFERROR(__xludf.dummyfunction("if($T482&lt;&gt;"""",REGEXEXTRACT(SUBSTITUTE ($T482,F$1&amp;"" CE"",""""), F$1&amp;""[\w &amp;]*, (\d+\.\d+)""),"""")
"),"")</f>
        <v/>
      </c>
      <c r="G482" s="3" t="str">
        <f aca="false">IFERROR(__xludf.dummyfunction("if($T482&lt;&gt;"""",REGEXEXTRACT($T482, G$1&amp;""[\w &amp;]*, (\d+\.\d+)""),"""")
"),"")</f>
        <v/>
      </c>
      <c r="H482" s="3"/>
      <c r="I482" s="3" t="str">
        <f aca="false">IFERROR(__xludf.dummyfunction("if($T482&lt;&gt;"""",REGEXEXTRACT(SUBSTITUTE ($T482,I$1&amp;"" CE"",""""), I$1&amp;""[\w &amp;]*, (\d+\.\d+)""),"""")
"),"")</f>
        <v/>
      </c>
      <c r="J482" s="3" t="str">
        <f aca="false">IFERROR(__xludf.dummyfunction("if($T482&lt;&gt;"""",REGEXEXTRACT($T482, J$1&amp;""[\w &amp;]*, (\d+\.\d+)""),"""")
"),"")</f>
        <v/>
      </c>
      <c r="K482" s="3"/>
      <c r="L482" s="3" t="str">
        <f aca="false">IFERROR(__xludf.dummyfunction("if($T482&lt;&gt;"""",REGEXEXTRACT(SUBSTITUTE ($T482,L$1&amp;"" CE"",""""), L$1&amp;""[\w &amp;]*, (\d+\.\d+)""),"""")
"),"")</f>
        <v/>
      </c>
      <c r="M482" s="3" t="str">
        <f aca="false">IFERROR(__xludf.dummyfunction("if($T482&lt;&gt;"""",REGEXEXTRACT($T482, M$1&amp;""[\w &amp;]*, (\d+\.\d+)""),"""")
"),"")</f>
        <v/>
      </c>
      <c r="N482" s="3" t="str">
        <f aca="false">IFERROR(__xludf.dummyfunction("if($T482&lt;&gt;"""",REGEXEXTRACT(SUBSTITUTE ($T482,N$1&amp;"" CE"",""""), N$1&amp;""[\w &amp;]*, (\d+\.\d+)""),"""")
"),"")</f>
        <v/>
      </c>
      <c r="O482" s="3" t="str">
        <f aca="false">IFERROR(__xludf.dummyfunction("if($T482&lt;&gt;"""",REGEXEXTRACT($T482, O$1&amp;""[\w &amp;]*, (\d+\.\d+)""),"""")
"),"")</f>
        <v/>
      </c>
      <c r="P482" s="2"/>
      <c r="Q482" s="2"/>
      <c r="R482" s="2"/>
      <c r="S482" s="2"/>
      <c r="T482" s="5"/>
    </row>
    <row r="483" customFormat="false" ht="15.75" hidden="false" customHeight="false" outlineLevel="0" collapsed="false">
      <c r="A483" s="4"/>
      <c r="B483" s="2"/>
      <c r="C483" s="2"/>
      <c r="D483" s="2"/>
      <c r="E483" s="2"/>
      <c r="F483" s="3" t="str">
        <f aca="false">IFERROR(__xludf.dummyfunction("if($T483&lt;&gt;"""",REGEXEXTRACT(SUBSTITUTE ($T483,F$1&amp;"" CE"",""""), F$1&amp;""[\w &amp;]*, (\d+\.\d+)""),"""")
"),"")</f>
        <v/>
      </c>
      <c r="G483" s="3" t="str">
        <f aca="false">IFERROR(__xludf.dummyfunction("if($T483&lt;&gt;"""",REGEXEXTRACT($T483, G$1&amp;""[\w &amp;]*, (\d+\.\d+)""),"""")
"),"")</f>
        <v/>
      </c>
      <c r="H483" s="3"/>
      <c r="I483" s="3" t="str">
        <f aca="false">IFERROR(__xludf.dummyfunction("if($T483&lt;&gt;"""",REGEXEXTRACT(SUBSTITUTE ($T483,I$1&amp;"" CE"",""""), I$1&amp;""[\w &amp;]*, (\d+\.\d+)""),"""")
"),"")</f>
        <v/>
      </c>
      <c r="J483" s="3" t="str">
        <f aca="false">IFERROR(__xludf.dummyfunction("if($T483&lt;&gt;"""",REGEXEXTRACT($T483, J$1&amp;""[\w &amp;]*, (\d+\.\d+)""),"""")
"),"")</f>
        <v/>
      </c>
      <c r="K483" s="3"/>
      <c r="L483" s="3" t="str">
        <f aca="false">IFERROR(__xludf.dummyfunction("if($T483&lt;&gt;"""",REGEXEXTRACT(SUBSTITUTE ($T483,L$1&amp;"" CE"",""""), L$1&amp;""[\w &amp;]*, (\d+\.\d+)""),"""")
"),"")</f>
        <v/>
      </c>
      <c r="M483" s="3" t="str">
        <f aca="false">IFERROR(__xludf.dummyfunction("if($T483&lt;&gt;"""",REGEXEXTRACT($T483, M$1&amp;""[\w &amp;]*, (\d+\.\d+)""),"""")
"),"")</f>
        <v/>
      </c>
      <c r="N483" s="3" t="str">
        <f aca="false">IFERROR(__xludf.dummyfunction("if($T483&lt;&gt;"""",REGEXEXTRACT(SUBSTITUTE ($T483,N$1&amp;"" CE"",""""), N$1&amp;""[\w &amp;]*, (\d+\.\d+)""),"""")
"),"")</f>
        <v/>
      </c>
      <c r="O483" s="3" t="str">
        <f aca="false">IFERROR(__xludf.dummyfunction("if($T483&lt;&gt;"""",REGEXEXTRACT($T483, O$1&amp;""[\w &amp;]*, (\d+\.\d+)""),"""")
"),"")</f>
        <v/>
      </c>
      <c r="P483" s="2"/>
      <c r="Q483" s="2"/>
      <c r="R483" s="2"/>
      <c r="S483" s="2"/>
      <c r="T483" s="5"/>
    </row>
    <row r="484" customFormat="false" ht="15.75" hidden="false" customHeight="false" outlineLevel="0" collapsed="false">
      <c r="A484" s="4"/>
      <c r="B484" s="2"/>
      <c r="C484" s="2"/>
      <c r="D484" s="2"/>
      <c r="E484" s="2"/>
      <c r="F484" s="3" t="str">
        <f aca="false">IFERROR(__xludf.dummyfunction("if($T484&lt;&gt;"""",REGEXEXTRACT(SUBSTITUTE ($T484,F$1&amp;"" CE"",""""), F$1&amp;""[\w &amp;]*, (\d+\.\d+)""),"""")
"),"")</f>
        <v/>
      </c>
      <c r="G484" s="3" t="str">
        <f aca="false">IFERROR(__xludf.dummyfunction("if($T484&lt;&gt;"""",REGEXEXTRACT($T484, G$1&amp;""[\w &amp;]*, (\d+\.\d+)""),"""")
"),"")</f>
        <v/>
      </c>
      <c r="H484" s="3"/>
      <c r="I484" s="3" t="str">
        <f aca="false">IFERROR(__xludf.dummyfunction("if($T484&lt;&gt;"""",REGEXEXTRACT(SUBSTITUTE ($T484,I$1&amp;"" CE"",""""), I$1&amp;""[\w &amp;]*, (\d+\.\d+)""),"""")
"),"")</f>
        <v/>
      </c>
      <c r="J484" s="3" t="str">
        <f aca="false">IFERROR(__xludf.dummyfunction("if($T484&lt;&gt;"""",REGEXEXTRACT($T484, J$1&amp;""[\w &amp;]*, (\d+\.\d+)""),"""")
"),"")</f>
        <v/>
      </c>
      <c r="K484" s="3"/>
      <c r="L484" s="3" t="str">
        <f aca="false">IFERROR(__xludf.dummyfunction("if($T484&lt;&gt;"""",REGEXEXTRACT(SUBSTITUTE ($T484,L$1&amp;"" CE"",""""), L$1&amp;""[\w &amp;]*, (\d+\.\d+)""),"""")
"),"")</f>
        <v/>
      </c>
      <c r="M484" s="3" t="str">
        <f aca="false">IFERROR(__xludf.dummyfunction("if($T484&lt;&gt;"""",REGEXEXTRACT($T484, M$1&amp;""[\w &amp;]*, (\d+\.\d+)""),"""")
"),"")</f>
        <v/>
      </c>
      <c r="N484" s="3" t="str">
        <f aca="false">IFERROR(__xludf.dummyfunction("if($T484&lt;&gt;"""",REGEXEXTRACT(SUBSTITUTE ($T484,N$1&amp;"" CE"",""""), N$1&amp;""[\w &amp;]*, (\d+\.\d+)""),"""")
"),"")</f>
        <v/>
      </c>
      <c r="O484" s="3" t="str">
        <f aca="false">IFERROR(__xludf.dummyfunction("if($T484&lt;&gt;"""",REGEXEXTRACT($T484, O$1&amp;""[\w &amp;]*, (\d+\.\d+)""),"""")
"),"")</f>
        <v/>
      </c>
      <c r="P484" s="2"/>
      <c r="Q484" s="2"/>
      <c r="R484" s="2"/>
      <c r="S484" s="2"/>
      <c r="T484" s="5"/>
    </row>
    <row r="485" customFormat="false" ht="15.75" hidden="false" customHeight="false" outlineLevel="0" collapsed="false">
      <c r="A485" s="4"/>
      <c r="B485" s="2"/>
      <c r="C485" s="2"/>
      <c r="D485" s="2"/>
      <c r="E485" s="2"/>
      <c r="F485" s="3" t="str">
        <f aca="false">IFERROR(__xludf.dummyfunction("if($T485&lt;&gt;"""",REGEXEXTRACT(SUBSTITUTE ($T485,F$1&amp;"" CE"",""""), F$1&amp;""[\w &amp;]*, (\d+\.\d+)""),"""")
"),"")</f>
        <v/>
      </c>
      <c r="G485" s="3" t="str">
        <f aca="false">IFERROR(__xludf.dummyfunction("if($T485&lt;&gt;"""",REGEXEXTRACT($T485, G$1&amp;""[\w &amp;]*, (\d+\.\d+)""),"""")
"),"")</f>
        <v/>
      </c>
      <c r="H485" s="3"/>
      <c r="I485" s="3" t="str">
        <f aca="false">IFERROR(__xludf.dummyfunction("if($T485&lt;&gt;"""",REGEXEXTRACT(SUBSTITUTE ($T485,I$1&amp;"" CE"",""""), I$1&amp;""[\w &amp;]*, (\d+\.\d+)""),"""")
"),"")</f>
        <v/>
      </c>
      <c r="J485" s="3" t="str">
        <f aca="false">IFERROR(__xludf.dummyfunction("if($T485&lt;&gt;"""",REGEXEXTRACT($T485, J$1&amp;""[\w &amp;]*, (\d+\.\d+)""),"""")
"),"")</f>
        <v/>
      </c>
      <c r="K485" s="3"/>
      <c r="L485" s="3" t="str">
        <f aca="false">IFERROR(__xludf.dummyfunction("if($T485&lt;&gt;"""",REGEXEXTRACT(SUBSTITUTE ($T485,L$1&amp;"" CE"",""""), L$1&amp;""[\w &amp;]*, (\d+\.\d+)""),"""")
"),"")</f>
        <v/>
      </c>
      <c r="M485" s="3" t="str">
        <f aca="false">IFERROR(__xludf.dummyfunction("if($T485&lt;&gt;"""",REGEXEXTRACT($T485, M$1&amp;""[\w &amp;]*, (\d+\.\d+)""),"""")
"),"")</f>
        <v/>
      </c>
      <c r="N485" s="3" t="str">
        <f aca="false">IFERROR(__xludf.dummyfunction("if($T485&lt;&gt;"""",REGEXEXTRACT(SUBSTITUTE ($T485,N$1&amp;"" CE"",""""), N$1&amp;""[\w &amp;]*, (\d+\.\d+)""),"""")
"),"")</f>
        <v/>
      </c>
      <c r="O485" s="3" t="str">
        <f aca="false">IFERROR(__xludf.dummyfunction("if($T485&lt;&gt;"""",REGEXEXTRACT($T485, O$1&amp;""[\w &amp;]*, (\d+\.\d+)""),"""")
"),"")</f>
        <v/>
      </c>
      <c r="P485" s="2"/>
      <c r="Q485" s="2"/>
      <c r="R485" s="2"/>
      <c r="S485" s="2"/>
      <c r="T485" s="5"/>
    </row>
    <row r="486" customFormat="false" ht="15.75" hidden="false" customHeight="false" outlineLevel="0" collapsed="false">
      <c r="A486" s="4"/>
      <c r="B486" s="2"/>
      <c r="C486" s="2"/>
      <c r="D486" s="2"/>
      <c r="E486" s="2"/>
      <c r="F486" s="3" t="str">
        <f aca="false">IFERROR(__xludf.dummyfunction("if($T486&lt;&gt;"""",REGEXEXTRACT(SUBSTITUTE ($T486,F$1&amp;"" CE"",""""), F$1&amp;""[\w &amp;]*, (\d+\.\d+)""),"""")
"),"")</f>
        <v/>
      </c>
      <c r="G486" s="3" t="str">
        <f aca="false">IFERROR(__xludf.dummyfunction("if($T486&lt;&gt;"""",REGEXEXTRACT($T486, G$1&amp;""[\w &amp;]*, (\d+\.\d+)""),"""")
"),"")</f>
        <v/>
      </c>
      <c r="H486" s="3"/>
      <c r="I486" s="3" t="str">
        <f aca="false">IFERROR(__xludf.dummyfunction("if($T486&lt;&gt;"""",REGEXEXTRACT(SUBSTITUTE ($T486,I$1&amp;"" CE"",""""), I$1&amp;""[\w &amp;]*, (\d+\.\d+)""),"""")
"),"")</f>
        <v/>
      </c>
      <c r="J486" s="3" t="str">
        <f aca="false">IFERROR(__xludf.dummyfunction("if($T486&lt;&gt;"""",REGEXEXTRACT($T486, J$1&amp;""[\w &amp;]*, (\d+\.\d+)""),"""")
"),"")</f>
        <v/>
      </c>
      <c r="K486" s="3"/>
      <c r="L486" s="3" t="str">
        <f aca="false">IFERROR(__xludf.dummyfunction("if($T486&lt;&gt;"""",REGEXEXTRACT(SUBSTITUTE ($T486,L$1&amp;"" CE"",""""), L$1&amp;""[\w &amp;]*, (\d+\.\d+)""),"""")
"),"")</f>
        <v/>
      </c>
      <c r="M486" s="3" t="str">
        <f aca="false">IFERROR(__xludf.dummyfunction("if($T486&lt;&gt;"""",REGEXEXTRACT($T486, M$1&amp;""[\w &amp;]*, (\d+\.\d+)""),"""")
"),"")</f>
        <v/>
      </c>
      <c r="N486" s="3" t="str">
        <f aca="false">IFERROR(__xludf.dummyfunction("if($T486&lt;&gt;"""",REGEXEXTRACT(SUBSTITUTE ($T486,N$1&amp;"" CE"",""""), N$1&amp;""[\w &amp;]*, (\d+\.\d+)""),"""")
"),"")</f>
        <v/>
      </c>
      <c r="O486" s="3" t="str">
        <f aca="false">IFERROR(__xludf.dummyfunction("if($T486&lt;&gt;"""",REGEXEXTRACT($T486, O$1&amp;""[\w &amp;]*, (\d+\.\d+)""),"""")
"),"")</f>
        <v/>
      </c>
      <c r="P486" s="2"/>
      <c r="Q486" s="2"/>
      <c r="R486" s="2"/>
      <c r="S486" s="2"/>
      <c r="T486" s="5"/>
    </row>
    <row r="487" customFormat="false" ht="15.75" hidden="false" customHeight="false" outlineLevel="0" collapsed="false">
      <c r="A487" s="4"/>
      <c r="B487" s="2"/>
      <c r="C487" s="2"/>
      <c r="D487" s="2"/>
      <c r="E487" s="2"/>
      <c r="F487" s="3" t="str">
        <f aca="false">IFERROR(__xludf.dummyfunction("if($T487&lt;&gt;"""",REGEXEXTRACT(SUBSTITUTE ($T487,F$1&amp;"" CE"",""""), F$1&amp;""[\w &amp;]*, (\d+\.\d+)""),"""")
"),"")</f>
        <v/>
      </c>
      <c r="G487" s="3" t="str">
        <f aca="false">IFERROR(__xludf.dummyfunction("if($T487&lt;&gt;"""",REGEXEXTRACT($T487, G$1&amp;""[\w &amp;]*, (\d+\.\d+)""),"""")
"),"")</f>
        <v/>
      </c>
      <c r="H487" s="3"/>
      <c r="I487" s="3" t="str">
        <f aca="false">IFERROR(__xludf.dummyfunction("if($T487&lt;&gt;"""",REGEXEXTRACT(SUBSTITUTE ($T487,I$1&amp;"" CE"",""""), I$1&amp;""[\w &amp;]*, (\d+\.\d+)""),"""")
"),"")</f>
        <v/>
      </c>
      <c r="J487" s="3" t="str">
        <f aca="false">IFERROR(__xludf.dummyfunction("if($T487&lt;&gt;"""",REGEXEXTRACT($T487, J$1&amp;""[\w &amp;]*, (\d+\.\d+)""),"""")
"),"")</f>
        <v/>
      </c>
      <c r="K487" s="3"/>
      <c r="L487" s="3" t="str">
        <f aca="false">IFERROR(__xludf.dummyfunction("if($T487&lt;&gt;"""",REGEXEXTRACT(SUBSTITUTE ($T487,L$1&amp;"" CE"",""""), L$1&amp;""[\w &amp;]*, (\d+\.\d+)""),"""")
"),"")</f>
        <v/>
      </c>
      <c r="M487" s="3" t="str">
        <f aca="false">IFERROR(__xludf.dummyfunction("if($T487&lt;&gt;"""",REGEXEXTRACT($T487, M$1&amp;""[\w &amp;]*, (\d+\.\d+)""),"""")
"),"")</f>
        <v/>
      </c>
      <c r="N487" s="3" t="str">
        <f aca="false">IFERROR(__xludf.dummyfunction("if($T487&lt;&gt;"""",REGEXEXTRACT(SUBSTITUTE ($T487,N$1&amp;"" CE"",""""), N$1&amp;""[\w &amp;]*, (\d+\.\d+)""),"""")
"),"")</f>
        <v/>
      </c>
      <c r="O487" s="3" t="str">
        <f aca="false">IFERROR(__xludf.dummyfunction("if($T487&lt;&gt;"""",REGEXEXTRACT($T487, O$1&amp;""[\w &amp;]*, (\d+\.\d+)""),"""")
"),"")</f>
        <v/>
      </c>
      <c r="P487" s="2"/>
      <c r="Q487" s="2"/>
      <c r="R487" s="2"/>
      <c r="S487" s="2"/>
      <c r="T487" s="5"/>
    </row>
    <row r="488" customFormat="false" ht="15.75" hidden="false" customHeight="false" outlineLevel="0" collapsed="false">
      <c r="A488" s="4"/>
      <c r="B488" s="2"/>
      <c r="C488" s="2"/>
      <c r="D488" s="2"/>
      <c r="E488" s="2"/>
      <c r="F488" s="3" t="str">
        <f aca="false">IFERROR(__xludf.dummyfunction("if($T488&lt;&gt;"""",REGEXEXTRACT(SUBSTITUTE ($T488,F$1&amp;"" CE"",""""), F$1&amp;""[\w &amp;]*, (\d+\.\d+)""),"""")
"),"")</f>
        <v/>
      </c>
      <c r="G488" s="3" t="str">
        <f aca="false">IFERROR(__xludf.dummyfunction("if($T488&lt;&gt;"""",REGEXEXTRACT($T488, G$1&amp;""[\w &amp;]*, (\d+\.\d+)""),"""")
"),"")</f>
        <v/>
      </c>
      <c r="H488" s="3"/>
      <c r="I488" s="3" t="str">
        <f aca="false">IFERROR(__xludf.dummyfunction("if($T488&lt;&gt;"""",REGEXEXTRACT(SUBSTITUTE ($T488,I$1&amp;"" CE"",""""), I$1&amp;""[\w &amp;]*, (\d+\.\d+)""),"""")
"),"")</f>
        <v/>
      </c>
      <c r="J488" s="3" t="str">
        <f aca="false">IFERROR(__xludf.dummyfunction("if($T488&lt;&gt;"""",REGEXEXTRACT($T488, J$1&amp;""[\w &amp;]*, (\d+\.\d+)""),"""")
"),"")</f>
        <v/>
      </c>
      <c r="K488" s="3"/>
      <c r="L488" s="3" t="str">
        <f aca="false">IFERROR(__xludf.dummyfunction("if($T488&lt;&gt;"""",REGEXEXTRACT(SUBSTITUTE ($T488,L$1&amp;"" CE"",""""), L$1&amp;""[\w &amp;]*, (\d+\.\d+)""),"""")
"),"")</f>
        <v/>
      </c>
      <c r="M488" s="3" t="str">
        <f aca="false">IFERROR(__xludf.dummyfunction("if($T488&lt;&gt;"""",REGEXEXTRACT($T488, M$1&amp;""[\w &amp;]*, (\d+\.\d+)""),"""")
"),"")</f>
        <v/>
      </c>
      <c r="N488" s="3" t="str">
        <f aca="false">IFERROR(__xludf.dummyfunction("if($T488&lt;&gt;"""",REGEXEXTRACT(SUBSTITUTE ($T488,N$1&amp;"" CE"",""""), N$1&amp;""[\w &amp;]*, (\d+\.\d+)""),"""")
"),"")</f>
        <v/>
      </c>
      <c r="O488" s="3" t="str">
        <f aca="false">IFERROR(__xludf.dummyfunction("if($T488&lt;&gt;"""",REGEXEXTRACT($T488, O$1&amp;""[\w &amp;]*, (\d+\.\d+)""),"""")
"),"")</f>
        <v/>
      </c>
      <c r="P488" s="2"/>
      <c r="Q488" s="2"/>
      <c r="R488" s="2"/>
      <c r="S488" s="2"/>
      <c r="T488" s="5"/>
    </row>
    <row r="489" customFormat="false" ht="15.75" hidden="false" customHeight="false" outlineLevel="0" collapsed="false">
      <c r="A489" s="4"/>
      <c r="B489" s="2"/>
      <c r="C489" s="2"/>
      <c r="D489" s="2"/>
      <c r="E489" s="2"/>
      <c r="F489" s="3" t="str">
        <f aca="false">IFERROR(__xludf.dummyfunction("if($T489&lt;&gt;"""",REGEXEXTRACT(SUBSTITUTE ($T489,F$1&amp;"" CE"",""""), F$1&amp;""[\w &amp;]*, (\d+\.\d+)""),"""")
"),"")</f>
        <v/>
      </c>
      <c r="G489" s="3" t="str">
        <f aca="false">IFERROR(__xludf.dummyfunction("if($T489&lt;&gt;"""",REGEXEXTRACT($T489, G$1&amp;""[\w &amp;]*, (\d+\.\d+)""),"""")
"),"")</f>
        <v/>
      </c>
      <c r="H489" s="3"/>
      <c r="I489" s="3" t="str">
        <f aca="false">IFERROR(__xludf.dummyfunction("if($T489&lt;&gt;"""",REGEXEXTRACT(SUBSTITUTE ($T489,I$1&amp;"" CE"",""""), I$1&amp;""[\w &amp;]*, (\d+\.\d+)""),"""")
"),"")</f>
        <v/>
      </c>
      <c r="J489" s="3" t="str">
        <f aca="false">IFERROR(__xludf.dummyfunction("if($T489&lt;&gt;"""",REGEXEXTRACT($T489, J$1&amp;""[\w &amp;]*, (\d+\.\d+)""),"""")
"),"")</f>
        <v/>
      </c>
      <c r="K489" s="3"/>
      <c r="L489" s="3" t="str">
        <f aca="false">IFERROR(__xludf.dummyfunction("if($T489&lt;&gt;"""",REGEXEXTRACT(SUBSTITUTE ($T489,L$1&amp;"" CE"",""""), L$1&amp;""[\w &amp;]*, (\d+\.\d+)""),"""")
"),"")</f>
        <v/>
      </c>
      <c r="M489" s="3" t="str">
        <f aca="false">IFERROR(__xludf.dummyfunction("if($T489&lt;&gt;"""",REGEXEXTRACT($T489, M$1&amp;""[\w &amp;]*, (\d+\.\d+)""),"""")
"),"")</f>
        <v/>
      </c>
      <c r="N489" s="3" t="str">
        <f aca="false">IFERROR(__xludf.dummyfunction("if($T489&lt;&gt;"""",REGEXEXTRACT(SUBSTITUTE ($T489,N$1&amp;"" CE"",""""), N$1&amp;""[\w &amp;]*, (\d+\.\d+)""),"""")
"),"")</f>
        <v/>
      </c>
      <c r="O489" s="3" t="str">
        <f aca="false">IFERROR(__xludf.dummyfunction("if($T489&lt;&gt;"""",REGEXEXTRACT($T489, O$1&amp;""[\w &amp;]*, (\d+\.\d+)""),"""")
"),"")</f>
        <v/>
      </c>
      <c r="P489" s="2"/>
      <c r="Q489" s="2"/>
      <c r="R489" s="2"/>
      <c r="S489" s="2"/>
      <c r="T489" s="5"/>
    </row>
    <row r="490" customFormat="false" ht="15.75" hidden="false" customHeight="false" outlineLevel="0" collapsed="false">
      <c r="A490" s="4"/>
      <c r="B490" s="2"/>
      <c r="C490" s="2"/>
      <c r="D490" s="2"/>
      <c r="E490" s="2"/>
      <c r="F490" s="3" t="str">
        <f aca="false">IFERROR(__xludf.dummyfunction("if($T490&lt;&gt;"""",REGEXEXTRACT(SUBSTITUTE ($T490,F$1&amp;"" CE"",""""), F$1&amp;""[\w &amp;]*, (\d+\.\d+)""),"""")
"),"")</f>
        <v/>
      </c>
      <c r="G490" s="3" t="str">
        <f aca="false">IFERROR(__xludf.dummyfunction("if($T490&lt;&gt;"""",REGEXEXTRACT($T490, G$1&amp;""[\w &amp;]*, (\d+\.\d+)""),"""")
"),"")</f>
        <v/>
      </c>
      <c r="H490" s="3"/>
      <c r="I490" s="3" t="str">
        <f aca="false">IFERROR(__xludf.dummyfunction("if($T490&lt;&gt;"""",REGEXEXTRACT(SUBSTITUTE ($T490,I$1&amp;"" CE"",""""), I$1&amp;""[\w &amp;]*, (\d+\.\d+)""),"""")
"),"")</f>
        <v/>
      </c>
      <c r="J490" s="3" t="str">
        <f aca="false">IFERROR(__xludf.dummyfunction("if($T490&lt;&gt;"""",REGEXEXTRACT($T490, J$1&amp;""[\w &amp;]*, (\d+\.\d+)""),"""")
"),"")</f>
        <v/>
      </c>
      <c r="K490" s="3"/>
      <c r="L490" s="3" t="str">
        <f aca="false">IFERROR(__xludf.dummyfunction("if($T490&lt;&gt;"""",REGEXEXTRACT(SUBSTITUTE ($T490,L$1&amp;"" CE"",""""), L$1&amp;""[\w &amp;]*, (\d+\.\d+)""),"""")
"),"")</f>
        <v/>
      </c>
      <c r="M490" s="3" t="str">
        <f aca="false">IFERROR(__xludf.dummyfunction("if($T490&lt;&gt;"""",REGEXEXTRACT($T490, M$1&amp;""[\w &amp;]*, (\d+\.\d+)""),"""")
"),"")</f>
        <v/>
      </c>
      <c r="N490" s="3" t="str">
        <f aca="false">IFERROR(__xludf.dummyfunction("if($T490&lt;&gt;"""",REGEXEXTRACT(SUBSTITUTE ($T490,N$1&amp;"" CE"",""""), N$1&amp;""[\w &amp;]*, (\d+\.\d+)""),"""")
"),"")</f>
        <v/>
      </c>
      <c r="O490" s="3" t="str">
        <f aca="false">IFERROR(__xludf.dummyfunction("if($T490&lt;&gt;"""",REGEXEXTRACT($T490, O$1&amp;""[\w &amp;]*, (\d+\.\d+)""),"""")
"),"")</f>
        <v/>
      </c>
      <c r="P490" s="2"/>
      <c r="Q490" s="2"/>
      <c r="R490" s="2"/>
      <c r="S490" s="2"/>
      <c r="T490" s="5"/>
    </row>
    <row r="491" customFormat="false" ht="15.75" hidden="false" customHeight="false" outlineLevel="0" collapsed="false">
      <c r="A491" s="4"/>
      <c r="B491" s="2"/>
      <c r="C491" s="2"/>
      <c r="D491" s="2"/>
      <c r="E491" s="2"/>
      <c r="F491" s="3" t="str">
        <f aca="false">IFERROR(__xludf.dummyfunction("if($T491&lt;&gt;"""",REGEXEXTRACT(SUBSTITUTE ($T491,F$1&amp;"" CE"",""""), F$1&amp;""[\w &amp;]*, (\d+\.\d+)""),"""")
"),"")</f>
        <v/>
      </c>
      <c r="G491" s="3" t="str">
        <f aca="false">IFERROR(__xludf.dummyfunction("if($T491&lt;&gt;"""",REGEXEXTRACT($T491, G$1&amp;""[\w &amp;]*, (\d+\.\d+)""),"""")
"),"")</f>
        <v/>
      </c>
      <c r="H491" s="3"/>
      <c r="I491" s="3" t="str">
        <f aca="false">IFERROR(__xludf.dummyfunction("if($T491&lt;&gt;"""",REGEXEXTRACT(SUBSTITUTE ($T491,I$1&amp;"" CE"",""""), I$1&amp;""[\w &amp;]*, (\d+\.\d+)""),"""")
"),"")</f>
        <v/>
      </c>
      <c r="J491" s="3" t="str">
        <f aca="false">IFERROR(__xludf.dummyfunction("if($T491&lt;&gt;"""",REGEXEXTRACT($T491, J$1&amp;""[\w &amp;]*, (\d+\.\d+)""),"""")
"),"")</f>
        <v/>
      </c>
      <c r="K491" s="3"/>
      <c r="L491" s="3" t="str">
        <f aca="false">IFERROR(__xludf.dummyfunction("if($T491&lt;&gt;"""",REGEXEXTRACT(SUBSTITUTE ($T491,L$1&amp;"" CE"",""""), L$1&amp;""[\w &amp;]*, (\d+\.\d+)""),"""")
"),"")</f>
        <v/>
      </c>
      <c r="M491" s="3" t="str">
        <f aca="false">IFERROR(__xludf.dummyfunction("if($T491&lt;&gt;"""",REGEXEXTRACT($T491, M$1&amp;""[\w &amp;]*, (\d+\.\d+)""),"""")
"),"")</f>
        <v/>
      </c>
      <c r="N491" s="3" t="str">
        <f aca="false">IFERROR(__xludf.dummyfunction("if($T491&lt;&gt;"""",REGEXEXTRACT(SUBSTITUTE ($T491,N$1&amp;"" CE"",""""), N$1&amp;""[\w &amp;]*, (\d+\.\d+)""),"""")
"),"")</f>
        <v/>
      </c>
      <c r="O491" s="3" t="str">
        <f aca="false">IFERROR(__xludf.dummyfunction("if($T491&lt;&gt;"""",REGEXEXTRACT($T491, O$1&amp;""[\w &amp;]*, (\d+\.\d+)""),"""")
"),"")</f>
        <v/>
      </c>
      <c r="P491" s="2"/>
      <c r="Q491" s="2"/>
      <c r="R491" s="2"/>
      <c r="S491" s="2"/>
      <c r="T491" s="5"/>
    </row>
    <row r="492" customFormat="false" ht="15.75" hidden="false" customHeight="false" outlineLevel="0" collapsed="false">
      <c r="A492" s="4"/>
      <c r="B492" s="2"/>
      <c r="C492" s="2"/>
      <c r="D492" s="2"/>
      <c r="E492" s="2"/>
      <c r="F492" s="3" t="str">
        <f aca="false">IFERROR(__xludf.dummyfunction("if($T492&lt;&gt;"""",REGEXEXTRACT(SUBSTITUTE ($T492,F$1&amp;"" CE"",""""), F$1&amp;""[\w &amp;]*, (\d+\.\d+)""),"""")
"),"")</f>
        <v/>
      </c>
      <c r="G492" s="3" t="str">
        <f aca="false">IFERROR(__xludf.dummyfunction("if($T492&lt;&gt;"""",REGEXEXTRACT($T492, G$1&amp;""[\w &amp;]*, (\d+\.\d+)""),"""")
"),"")</f>
        <v/>
      </c>
      <c r="H492" s="3"/>
      <c r="I492" s="3" t="str">
        <f aca="false">IFERROR(__xludf.dummyfunction("if($T492&lt;&gt;"""",REGEXEXTRACT(SUBSTITUTE ($T492,I$1&amp;"" CE"",""""), I$1&amp;""[\w &amp;]*, (\d+\.\d+)""),"""")
"),"")</f>
        <v/>
      </c>
      <c r="J492" s="3" t="str">
        <f aca="false">IFERROR(__xludf.dummyfunction("if($T492&lt;&gt;"""",REGEXEXTRACT($T492, J$1&amp;""[\w &amp;]*, (\d+\.\d+)""),"""")
"),"")</f>
        <v/>
      </c>
      <c r="K492" s="3"/>
      <c r="L492" s="3" t="str">
        <f aca="false">IFERROR(__xludf.dummyfunction("if($T492&lt;&gt;"""",REGEXEXTRACT(SUBSTITUTE ($T492,L$1&amp;"" CE"",""""), L$1&amp;""[\w &amp;]*, (\d+\.\d+)""),"""")
"),"")</f>
        <v/>
      </c>
      <c r="M492" s="3" t="str">
        <f aca="false">IFERROR(__xludf.dummyfunction("if($T492&lt;&gt;"""",REGEXEXTRACT($T492, M$1&amp;""[\w &amp;]*, (\d+\.\d+)""),"""")
"),"")</f>
        <v/>
      </c>
      <c r="N492" s="3" t="str">
        <f aca="false">IFERROR(__xludf.dummyfunction("if($T492&lt;&gt;"""",REGEXEXTRACT(SUBSTITUTE ($T492,N$1&amp;"" CE"",""""), N$1&amp;""[\w &amp;]*, (\d+\.\d+)""),"""")
"),"")</f>
        <v/>
      </c>
      <c r="O492" s="3" t="str">
        <f aca="false">IFERROR(__xludf.dummyfunction("if($T492&lt;&gt;"""",REGEXEXTRACT($T492, O$1&amp;""[\w &amp;]*, (\d+\.\d+)""),"""")
"),"")</f>
        <v/>
      </c>
      <c r="P492" s="2"/>
      <c r="Q492" s="2"/>
      <c r="R492" s="2"/>
      <c r="S492" s="2"/>
      <c r="T492" s="5"/>
    </row>
    <row r="493" customFormat="false" ht="15.75" hidden="false" customHeight="false" outlineLevel="0" collapsed="false">
      <c r="A493" s="4"/>
      <c r="B493" s="2"/>
      <c r="C493" s="2"/>
      <c r="D493" s="2"/>
      <c r="E493" s="2"/>
      <c r="F493" s="3" t="str">
        <f aca="false">IFERROR(__xludf.dummyfunction("if($T493&lt;&gt;"""",REGEXEXTRACT(SUBSTITUTE ($T493,F$1&amp;"" CE"",""""), F$1&amp;""[\w &amp;]*, (\d+\.\d+)""),"""")
"),"")</f>
        <v/>
      </c>
      <c r="G493" s="3" t="str">
        <f aca="false">IFERROR(__xludf.dummyfunction("if($T493&lt;&gt;"""",REGEXEXTRACT($T493, G$1&amp;""[\w &amp;]*, (\d+\.\d+)""),"""")
"),"")</f>
        <v/>
      </c>
      <c r="H493" s="3"/>
      <c r="I493" s="3" t="str">
        <f aca="false">IFERROR(__xludf.dummyfunction("if($T493&lt;&gt;"""",REGEXEXTRACT(SUBSTITUTE ($T493,I$1&amp;"" CE"",""""), I$1&amp;""[\w &amp;]*, (\d+\.\d+)""),"""")
"),"")</f>
        <v/>
      </c>
      <c r="J493" s="3" t="str">
        <f aca="false">IFERROR(__xludf.dummyfunction("if($T493&lt;&gt;"""",REGEXEXTRACT($T493, J$1&amp;""[\w &amp;]*, (\d+\.\d+)""),"""")
"),"")</f>
        <v/>
      </c>
      <c r="K493" s="3"/>
      <c r="L493" s="3" t="str">
        <f aca="false">IFERROR(__xludf.dummyfunction("if($T493&lt;&gt;"""",REGEXEXTRACT(SUBSTITUTE ($T493,L$1&amp;"" CE"",""""), L$1&amp;""[\w &amp;]*, (\d+\.\d+)""),"""")
"),"")</f>
        <v/>
      </c>
      <c r="M493" s="3" t="str">
        <f aca="false">IFERROR(__xludf.dummyfunction("if($T493&lt;&gt;"""",REGEXEXTRACT($T493, M$1&amp;""[\w &amp;]*, (\d+\.\d+)""),"""")
"),"")</f>
        <v/>
      </c>
      <c r="N493" s="3" t="str">
        <f aca="false">IFERROR(__xludf.dummyfunction("if($T493&lt;&gt;"""",REGEXEXTRACT(SUBSTITUTE ($T493,N$1&amp;"" CE"",""""), N$1&amp;""[\w &amp;]*, (\d+\.\d+)""),"""")
"),"")</f>
        <v/>
      </c>
      <c r="O493" s="3" t="str">
        <f aca="false">IFERROR(__xludf.dummyfunction("if($T493&lt;&gt;"""",REGEXEXTRACT($T493, O$1&amp;""[\w &amp;]*, (\d+\.\d+)""),"""")
"),"")</f>
        <v/>
      </c>
      <c r="P493" s="2"/>
      <c r="Q493" s="2"/>
      <c r="R493" s="2"/>
      <c r="S493" s="2"/>
      <c r="T493" s="5"/>
    </row>
    <row r="494" customFormat="false" ht="15.75" hidden="false" customHeight="false" outlineLevel="0" collapsed="false">
      <c r="A494" s="4"/>
      <c r="B494" s="2"/>
      <c r="C494" s="2"/>
      <c r="D494" s="2"/>
      <c r="E494" s="2"/>
      <c r="F494" s="3" t="str">
        <f aca="false">IFERROR(__xludf.dummyfunction("if($T494&lt;&gt;"""",REGEXEXTRACT(SUBSTITUTE ($T494,F$1&amp;"" CE"",""""), F$1&amp;""[\w &amp;]*, (\d+\.\d+)""),"""")
"),"")</f>
        <v/>
      </c>
      <c r="G494" s="3" t="str">
        <f aca="false">IFERROR(__xludf.dummyfunction("if($T494&lt;&gt;"""",REGEXEXTRACT($T494, G$1&amp;""[\w &amp;]*, (\d+\.\d+)""),"""")
"),"")</f>
        <v/>
      </c>
      <c r="H494" s="3"/>
      <c r="I494" s="3" t="str">
        <f aca="false">IFERROR(__xludf.dummyfunction("if($T494&lt;&gt;"""",REGEXEXTRACT(SUBSTITUTE ($T494,I$1&amp;"" CE"",""""), I$1&amp;""[\w &amp;]*, (\d+\.\d+)""),"""")
"),"")</f>
        <v/>
      </c>
      <c r="J494" s="3" t="str">
        <f aca="false">IFERROR(__xludf.dummyfunction("if($T494&lt;&gt;"""",REGEXEXTRACT($T494, J$1&amp;""[\w &amp;]*, (\d+\.\d+)""),"""")
"),"")</f>
        <v/>
      </c>
      <c r="K494" s="3"/>
      <c r="L494" s="3" t="str">
        <f aca="false">IFERROR(__xludf.dummyfunction("if($T494&lt;&gt;"""",REGEXEXTRACT(SUBSTITUTE ($T494,L$1&amp;"" CE"",""""), L$1&amp;""[\w &amp;]*, (\d+\.\d+)""),"""")
"),"")</f>
        <v/>
      </c>
      <c r="M494" s="3" t="str">
        <f aca="false">IFERROR(__xludf.dummyfunction("if($T494&lt;&gt;"""",REGEXEXTRACT($T494, M$1&amp;""[\w &amp;]*, (\d+\.\d+)""),"""")
"),"")</f>
        <v/>
      </c>
      <c r="N494" s="3" t="str">
        <f aca="false">IFERROR(__xludf.dummyfunction("if($T494&lt;&gt;"""",REGEXEXTRACT(SUBSTITUTE ($T494,N$1&amp;"" CE"",""""), N$1&amp;""[\w &amp;]*, (\d+\.\d+)""),"""")
"),"")</f>
        <v/>
      </c>
      <c r="O494" s="3" t="str">
        <f aca="false">IFERROR(__xludf.dummyfunction("if($T494&lt;&gt;"""",REGEXEXTRACT($T494, O$1&amp;""[\w &amp;]*, (\d+\.\d+)""),"""")
"),"")</f>
        <v/>
      </c>
      <c r="P494" s="2"/>
      <c r="Q494" s="2"/>
      <c r="R494" s="2"/>
      <c r="S494" s="2"/>
      <c r="T494" s="5"/>
    </row>
    <row r="495" customFormat="false" ht="15.75" hidden="false" customHeight="false" outlineLevel="0" collapsed="false">
      <c r="A495" s="4"/>
      <c r="B495" s="2"/>
      <c r="C495" s="2"/>
      <c r="D495" s="2"/>
      <c r="E495" s="2"/>
      <c r="F495" s="3" t="str">
        <f aca="false">IFERROR(__xludf.dummyfunction("if($T495&lt;&gt;"""",REGEXEXTRACT(SUBSTITUTE ($T495,F$1&amp;"" CE"",""""), F$1&amp;""[\w &amp;]*, (\d+\.\d+)""),"""")
"),"")</f>
        <v/>
      </c>
      <c r="G495" s="3" t="str">
        <f aca="false">IFERROR(__xludf.dummyfunction("if($T495&lt;&gt;"""",REGEXEXTRACT($T495, G$1&amp;""[\w &amp;]*, (\d+\.\d+)""),"""")
"),"")</f>
        <v/>
      </c>
      <c r="H495" s="3"/>
      <c r="I495" s="3" t="str">
        <f aca="false">IFERROR(__xludf.dummyfunction("if($T495&lt;&gt;"""",REGEXEXTRACT(SUBSTITUTE ($T495,I$1&amp;"" CE"",""""), I$1&amp;""[\w &amp;]*, (\d+\.\d+)""),"""")
"),"")</f>
        <v/>
      </c>
      <c r="J495" s="3" t="str">
        <f aca="false">IFERROR(__xludf.dummyfunction("if($T495&lt;&gt;"""",REGEXEXTRACT($T495, J$1&amp;""[\w &amp;]*, (\d+\.\d+)""),"""")
"),"")</f>
        <v/>
      </c>
      <c r="K495" s="3"/>
      <c r="L495" s="3" t="str">
        <f aca="false">IFERROR(__xludf.dummyfunction("if($T495&lt;&gt;"""",REGEXEXTRACT(SUBSTITUTE ($T495,L$1&amp;"" CE"",""""), L$1&amp;""[\w &amp;]*, (\d+\.\d+)""),"""")
"),"")</f>
        <v/>
      </c>
      <c r="M495" s="3" t="str">
        <f aca="false">IFERROR(__xludf.dummyfunction("if($T495&lt;&gt;"""",REGEXEXTRACT($T495, M$1&amp;""[\w &amp;]*, (\d+\.\d+)""),"""")
"),"")</f>
        <v/>
      </c>
      <c r="N495" s="3" t="str">
        <f aca="false">IFERROR(__xludf.dummyfunction("if($T495&lt;&gt;"""",REGEXEXTRACT(SUBSTITUTE ($T495,N$1&amp;"" CE"",""""), N$1&amp;""[\w &amp;]*, (\d+\.\d+)""),"""")
"),"")</f>
        <v/>
      </c>
      <c r="O495" s="3" t="str">
        <f aca="false">IFERROR(__xludf.dummyfunction("if($T495&lt;&gt;"""",REGEXEXTRACT($T495, O$1&amp;""[\w &amp;]*, (\d+\.\d+)""),"""")
"),"")</f>
        <v/>
      </c>
      <c r="P495" s="2"/>
      <c r="Q495" s="2"/>
      <c r="R495" s="2"/>
      <c r="S495" s="2"/>
      <c r="T495" s="5"/>
    </row>
    <row r="496" customFormat="false" ht="15.75" hidden="false" customHeight="false" outlineLevel="0" collapsed="false">
      <c r="A496" s="4"/>
      <c r="B496" s="2"/>
      <c r="C496" s="2"/>
      <c r="D496" s="2"/>
      <c r="E496" s="2"/>
      <c r="F496" s="3" t="str">
        <f aca="false">IFERROR(__xludf.dummyfunction("if($T496&lt;&gt;"""",REGEXEXTRACT(SUBSTITUTE ($T496,F$1&amp;"" CE"",""""), F$1&amp;""[\w &amp;]*, (\d+\.\d+)""),"""")
"),"")</f>
        <v/>
      </c>
      <c r="G496" s="3" t="str">
        <f aca="false">IFERROR(__xludf.dummyfunction("if($T496&lt;&gt;"""",REGEXEXTRACT($T496, G$1&amp;""[\w &amp;]*, (\d+\.\d+)""),"""")
"),"")</f>
        <v/>
      </c>
      <c r="H496" s="3"/>
      <c r="I496" s="3" t="str">
        <f aca="false">IFERROR(__xludf.dummyfunction("if($T496&lt;&gt;"""",REGEXEXTRACT(SUBSTITUTE ($T496,I$1&amp;"" CE"",""""), I$1&amp;""[\w &amp;]*, (\d+\.\d+)""),"""")
"),"")</f>
        <v/>
      </c>
      <c r="J496" s="3" t="str">
        <f aca="false">IFERROR(__xludf.dummyfunction("if($T496&lt;&gt;"""",REGEXEXTRACT($T496, J$1&amp;""[\w &amp;]*, (\d+\.\d+)""),"""")
"),"")</f>
        <v/>
      </c>
      <c r="K496" s="3"/>
      <c r="L496" s="3" t="str">
        <f aca="false">IFERROR(__xludf.dummyfunction("if($T496&lt;&gt;"""",REGEXEXTRACT(SUBSTITUTE ($T496,L$1&amp;"" CE"",""""), L$1&amp;""[\w &amp;]*, (\d+\.\d+)""),"""")
"),"")</f>
        <v/>
      </c>
      <c r="M496" s="3" t="str">
        <f aca="false">IFERROR(__xludf.dummyfunction("if($T496&lt;&gt;"""",REGEXEXTRACT($T496, M$1&amp;""[\w &amp;]*, (\d+\.\d+)""),"""")
"),"")</f>
        <v/>
      </c>
      <c r="N496" s="3" t="str">
        <f aca="false">IFERROR(__xludf.dummyfunction("if($T496&lt;&gt;"""",REGEXEXTRACT(SUBSTITUTE ($T496,N$1&amp;"" CE"",""""), N$1&amp;""[\w &amp;]*, (\d+\.\d+)""),"""")
"),"")</f>
        <v/>
      </c>
      <c r="O496" s="3" t="str">
        <f aca="false">IFERROR(__xludf.dummyfunction("if($T496&lt;&gt;"""",REGEXEXTRACT($T496, O$1&amp;""[\w &amp;]*, (\d+\.\d+)""),"""")
"),"")</f>
        <v/>
      </c>
      <c r="P496" s="2"/>
      <c r="Q496" s="2"/>
      <c r="R496" s="2"/>
      <c r="S496" s="2"/>
      <c r="T496" s="5"/>
    </row>
    <row r="497" customFormat="false" ht="15.75" hidden="false" customHeight="false" outlineLevel="0" collapsed="false">
      <c r="A497" s="4"/>
      <c r="B497" s="2"/>
      <c r="C497" s="2"/>
      <c r="D497" s="2"/>
      <c r="E497" s="2"/>
      <c r="F497" s="3" t="str">
        <f aca="false">IFERROR(__xludf.dummyfunction("if($T497&lt;&gt;"""",REGEXEXTRACT(SUBSTITUTE ($T497,F$1&amp;"" CE"",""""), F$1&amp;""[\w &amp;]*, (\d+\.\d+)""),"""")
"),"")</f>
        <v/>
      </c>
      <c r="G497" s="3" t="str">
        <f aca="false">IFERROR(__xludf.dummyfunction("if($T497&lt;&gt;"""",REGEXEXTRACT($T497, G$1&amp;""[\w &amp;]*, (\d+\.\d+)""),"""")
"),"")</f>
        <v/>
      </c>
      <c r="H497" s="3"/>
      <c r="I497" s="3" t="str">
        <f aca="false">IFERROR(__xludf.dummyfunction("if($T497&lt;&gt;"""",REGEXEXTRACT(SUBSTITUTE ($T497,I$1&amp;"" CE"",""""), I$1&amp;""[\w &amp;]*, (\d+\.\d+)""),"""")
"),"")</f>
        <v/>
      </c>
      <c r="J497" s="3" t="str">
        <f aca="false">IFERROR(__xludf.dummyfunction("if($T497&lt;&gt;"""",REGEXEXTRACT($T497, J$1&amp;""[\w &amp;]*, (\d+\.\d+)""),"""")
"),"")</f>
        <v/>
      </c>
      <c r="K497" s="3"/>
      <c r="L497" s="3" t="str">
        <f aca="false">IFERROR(__xludf.dummyfunction("if($T497&lt;&gt;"""",REGEXEXTRACT(SUBSTITUTE ($T497,L$1&amp;"" CE"",""""), L$1&amp;""[\w &amp;]*, (\d+\.\d+)""),"""")
"),"")</f>
        <v/>
      </c>
      <c r="M497" s="3" t="str">
        <f aca="false">IFERROR(__xludf.dummyfunction("if($T497&lt;&gt;"""",REGEXEXTRACT($T497, M$1&amp;""[\w &amp;]*, (\d+\.\d+)""),"""")
"),"")</f>
        <v/>
      </c>
      <c r="N497" s="3" t="str">
        <f aca="false">IFERROR(__xludf.dummyfunction("if($T497&lt;&gt;"""",REGEXEXTRACT(SUBSTITUTE ($T497,N$1&amp;"" CE"",""""), N$1&amp;""[\w &amp;]*, (\d+\.\d+)""),"""")
"),"")</f>
        <v/>
      </c>
      <c r="O497" s="3" t="str">
        <f aca="false">IFERROR(__xludf.dummyfunction("if($T497&lt;&gt;"""",REGEXEXTRACT($T497, O$1&amp;""[\w &amp;]*, (\d+\.\d+)""),"""")
"),"")</f>
        <v/>
      </c>
      <c r="P497" s="2"/>
      <c r="Q497" s="2"/>
      <c r="R497" s="2"/>
      <c r="S497" s="2"/>
      <c r="T497" s="5"/>
    </row>
    <row r="498" customFormat="false" ht="15.75" hidden="false" customHeight="false" outlineLevel="0" collapsed="false">
      <c r="A498" s="4"/>
      <c r="B498" s="2"/>
      <c r="C498" s="2"/>
      <c r="D498" s="2"/>
      <c r="E498" s="2"/>
      <c r="F498" s="3" t="str">
        <f aca="false">IFERROR(__xludf.dummyfunction("if($T498&lt;&gt;"""",REGEXEXTRACT(SUBSTITUTE ($T498,F$1&amp;"" CE"",""""), F$1&amp;""[\w &amp;]*, (\d+\.\d+)""),"""")
"),"")</f>
        <v/>
      </c>
      <c r="G498" s="3" t="str">
        <f aca="false">IFERROR(__xludf.dummyfunction("if($T498&lt;&gt;"""",REGEXEXTRACT($T498, G$1&amp;""[\w &amp;]*, (\d+\.\d+)""),"""")
"),"")</f>
        <v/>
      </c>
      <c r="H498" s="3"/>
      <c r="I498" s="3" t="str">
        <f aca="false">IFERROR(__xludf.dummyfunction("if($T498&lt;&gt;"""",REGEXEXTRACT(SUBSTITUTE ($T498,I$1&amp;"" CE"",""""), I$1&amp;""[\w &amp;]*, (\d+\.\d+)""),"""")
"),"")</f>
        <v/>
      </c>
      <c r="J498" s="3" t="str">
        <f aca="false">IFERROR(__xludf.dummyfunction("if($T498&lt;&gt;"""",REGEXEXTRACT($T498, J$1&amp;""[\w &amp;]*, (\d+\.\d+)""),"""")
"),"")</f>
        <v/>
      </c>
      <c r="K498" s="3"/>
      <c r="L498" s="3" t="str">
        <f aca="false">IFERROR(__xludf.dummyfunction("if($T498&lt;&gt;"""",REGEXEXTRACT(SUBSTITUTE ($T498,L$1&amp;"" CE"",""""), L$1&amp;""[\w &amp;]*, (\d+\.\d+)""),"""")
"),"")</f>
        <v/>
      </c>
      <c r="M498" s="3" t="str">
        <f aca="false">IFERROR(__xludf.dummyfunction("if($T498&lt;&gt;"""",REGEXEXTRACT($T498, M$1&amp;""[\w &amp;]*, (\d+\.\d+)""),"""")
"),"")</f>
        <v/>
      </c>
      <c r="N498" s="3" t="str">
        <f aca="false">IFERROR(__xludf.dummyfunction("if($T498&lt;&gt;"""",REGEXEXTRACT(SUBSTITUTE ($T498,N$1&amp;"" CE"",""""), N$1&amp;""[\w &amp;]*, (\d+\.\d+)""),"""")
"),"")</f>
        <v/>
      </c>
      <c r="O498" s="3" t="str">
        <f aca="false">IFERROR(__xludf.dummyfunction("if($T498&lt;&gt;"""",REGEXEXTRACT($T498, O$1&amp;""[\w &amp;]*, (\d+\.\d+)""),"""")
"),"")</f>
        <v/>
      </c>
      <c r="P498" s="2"/>
      <c r="Q498" s="2"/>
      <c r="R498" s="2"/>
      <c r="S498" s="2"/>
      <c r="T498" s="5"/>
    </row>
    <row r="499" customFormat="false" ht="15.75" hidden="false" customHeight="false" outlineLevel="0" collapsed="false">
      <c r="A499" s="4"/>
      <c r="B499" s="2"/>
      <c r="C499" s="2"/>
      <c r="D499" s="2"/>
      <c r="E499" s="2"/>
      <c r="F499" s="3" t="str">
        <f aca="false">IFERROR(__xludf.dummyfunction("if($T499&lt;&gt;"""",REGEXEXTRACT(SUBSTITUTE ($T499,F$1&amp;"" CE"",""""), F$1&amp;""[\w &amp;]*, (\d+\.\d+)""),"""")
"),"")</f>
        <v/>
      </c>
      <c r="G499" s="3" t="str">
        <f aca="false">IFERROR(__xludf.dummyfunction("if($T499&lt;&gt;"""",REGEXEXTRACT($T499, G$1&amp;""[\w &amp;]*, (\d+\.\d+)""),"""")
"),"")</f>
        <v/>
      </c>
      <c r="H499" s="3"/>
      <c r="I499" s="3" t="str">
        <f aca="false">IFERROR(__xludf.dummyfunction("if($T499&lt;&gt;"""",REGEXEXTRACT(SUBSTITUTE ($T499,I$1&amp;"" CE"",""""), I$1&amp;""[\w &amp;]*, (\d+\.\d+)""),"""")
"),"")</f>
        <v/>
      </c>
      <c r="J499" s="3" t="str">
        <f aca="false">IFERROR(__xludf.dummyfunction("if($T499&lt;&gt;"""",REGEXEXTRACT($T499, J$1&amp;""[\w &amp;]*, (\d+\.\d+)""),"""")
"),"")</f>
        <v/>
      </c>
      <c r="K499" s="3"/>
      <c r="L499" s="3" t="str">
        <f aca="false">IFERROR(__xludf.dummyfunction("if($T499&lt;&gt;"""",REGEXEXTRACT(SUBSTITUTE ($T499,L$1&amp;"" CE"",""""), L$1&amp;""[\w &amp;]*, (\d+\.\d+)""),"""")
"),"")</f>
        <v/>
      </c>
      <c r="M499" s="3" t="str">
        <f aca="false">IFERROR(__xludf.dummyfunction("if($T499&lt;&gt;"""",REGEXEXTRACT($T499, M$1&amp;""[\w &amp;]*, (\d+\.\d+)""),"""")
"),"")</f>
        <v/>
      </c>
      <c r="N499" s="3" t="str">
        <f aca="false">IFERROR(__xludf.dummyfunction("if($T499&lt;&gt;"""",REGEXEXTRACT(SUBSTITUTE ($T499,N$1&amp;"" CE"",""""), N$1&amp;""[\w &amp;]*, (\d+\.\d+)""),"""")
"),"")</f>
        <v/>
      </c>
      <c r="O499" s="3" t="str">
        <f aca="false">IFERROR(__xludf.dummyfunction("if($T499&lt;&gt;"""",REGEXEXTRACT($T499, O$1&amp;""[\w &amp;]*, (\d+\.\d+)""),"""")
"),"")</f>
        <v/>
      </c>
      <c r="P499" s="2"/>
      <c r="Q499" s="2"/>
      <c r="R499" s="2"/>
      <c r="S499" s="2"/>
      <c r="T499" s="5"/>
    </row>
    <row r="500" customFormat="false" ht="15.75" hidden="false" customHeight="false" outlineLevel="0" collapsed="false">
      <c r="A500" s="4"/>
      <c r="B500" s="2"/>
      <c r="C500" s="2"/>
      <c r="D500" s="2"/>
      <c r="E500" s="2"/>
      <c r="F500" s="3" t="str">
        <f aca="false">IFERROR(__xludf.dummyfunction("if($T500&lt;&gt;"""",REGEXEXTRACT(SUBSTITUTE ($T500,F$1&amp;"" CE"",""""), F$1&amp;""[\w &amp;]*, (\d+\.\d+)""),"""")
"),"")</f>
        <v/>
      </c>
      <c r="G500" s="3" t="str">
        <f aca="false">IFERROR(__xludf.dummyfunction("if($T500&lt;&gt;"""",REGEXEXTRACT($T500, G$1&amp;""[\w &amp;]*, (\d+\.\d+)""),"""")
"),"")</f>
        <v/>
      </c>
      <c r="H500" s="3"/>
      <c r="I500" s="3" t="str">
        <f aca="false">IFERROR(__xludf.dummyfunction("if($T500&lt;&gt;"""",REGEXEXTRACT(SUBSTITUTE ($T500,I$1&amp;"" CE"",""""), I$1&amp;""[\w &amp;]*, (\d+\.\d+)""),"""")
"),"")</f>
        <v/>
      </c>
      <c r="J500" s="3" t="str">
        <f aca="false">IFERROR(__xludf.dummyfunction("if($T500&lt;&gt;"""",REGEXEXTRACT($T500, J$1&amp;""[\w &amp;]*, (\d+\.\d+)""),"""")
"),"")</f>
        <v/>
      </c>
      <c r="K500" s="3"/>
      <c r="L500" s="3" t="str">
        <f aca="false">IFERROR(__xludf.dummyfunction("if($T500&lt;&gt;"""",REGEXEXTRACT(SUBSTITUTE ($T500,L$1&amp;"" CE"",""""), L$1&amp;""[\w &amp;]*, (\d+\.\d+)""),"""")
"),"")</f>
        <v/>
      </c>
      <c r="M500" s="3" t="str">
        <f aca="false">IFERROR(__xludf.dummyfunction("if($T500&lt;&gt;"""",REGEXEXTRACT($T500, M$1&amp;""[\w &amp;]*, (\d+\.\d+)""),"""")
"),"")</f>
        <v/>
      </c>
      <c r="N500" s="3" t="str">
        <f aca="false">IFERROR(__xludf.dummyfunction("if($T500&lt;&gt;"""",REGEXEXTRACT(SUBSTITUTE ($T500,N$1&amp;"" CE"",""""), N$1&amp;""[\w &amp;]*, (\d+\.\d+)""),"""")
"),"")</f>
        <v/>
      </c>
      <c r="O500" s="3" t="str">
        <f aca="false">IFERROR(__xludf.dummyfunction("if($T500&lt;&gt;"""",REGEXEXTRACT($T500, O$1&amp;""[\w &amp;]*, (\d+\.\d+)""),"""")
"),"")</f>
        <v/>
      </c>
      <c r="P500" s="2"/>
      <c r="Q500" s="2"/>
      <c r="R500" s="2"/>
      <c r="S500" s="2"/>
      <c r="T500" s="5"/>
    </row>
    <row r="501" customFormat="false" ht="15.75" hidden="false" customHeight="false" outlineLevel="0" collapsed="false">
      <c r="A501" s="4"/>
      <c r="B501" s="2"/>
      <c r="C501" s="2"/>
      <c r="D501" s="2"/>
      <c r="E501" s="2"/>
      <c r="F501" s="3" t="str">
        <f aca="false">IFERROR(__xludf.dummyfunction("if($T501&lt;&gt;"""",REGEXEXTRACT(SUBSTITUTE ($T501,F$1&amp;"" CE"",""""), F$1&amp;""[\w &amp;]*, (\d+\.\d+)""),"""")
"),"")</f>
        <v/>
      </c>
      <c r="G501" s="3" t="str">
        <f aca="false">IFERROR(__xludf.dummyfunction("if($T501&lt;&gt;"""",REGEXEXTRACT($T501, G$1&amp;""[\w &amp;]*, (\d+\.\d+)""),"""")
"),"")</f>
        <v/>
      </c>
      <c r="H501" s="3"/>
      <c r="I501" s="3" t="str">
        <f aca="false">IFERROR(__xludf.dummyfunction("if($T501&lt;&gt;"""",REGEXEXTRACT(SUBSTITUTE ($T501,I$1&amp;"" CE"",""""), I$1&amp;""[\w &amp;]*, (\d+\.\d+)""),"""")
"),"")</f>
        <v/>
      </c>
      <c r="J501" s="3" t="str">
        <f aca="false">IFERROR(__xludf.dummyfunction("if($T501&lt;&gt;"""",REGEXEXTRACT($T501, J$1&amp;""[\w &amp;]*, (\d+\.\d+)""),"""")
"),"")</f>
        <v/>
      </c>
      <c r="K501" s="3"/>
      <c r="L501" s="3" t="str">
        <f aca="false">IFERROR(__xludf.dummyfunction("if($T501&lt;&gt;"""",REGEXEXTRACT(SUBSTITUTE ($T501,L$1&amp;"" CE"",""""), L$1&amp;""[\w &amp;]*, (\d+\.\d+)""),"""")
"),"")</f>
        <v/>
      </c>
      <c r="M501" s="3" t="str">
        <f aca="false">IFERROR(__xludf.dummyfunction("if($T501&lt;&gt;"""",REGEXEXTRACT($T501, M$1&amp;""[\w &amp;]*, (\d+\.\d+)""),"""")
"),"")</f>
        <v/>
      </c>
      <c r="N501" s="3" t="str">
        <f aca="false">IFERROR(__xludf.dummyfunction("if($T501&lt;&gt;"""",REGEXEXTRACT(SUBSTITUTE ($T501,N$1&amp;"" CE"",""""), N$1&amp;""[\w &amp;]*, (\d+\.\d+)""),"""")
"),"")</f>
        <v/>
      </c>
      <c r="O501" s="3" t="str">
        <f aca="false">IFERROR(__xludf.dummyfunction("if($T501&lt;&gt;"""",REGEXEXTRACT($T501, O$1&amp;""[\w &amp;]*, (\d+\.\d+)""),"""")
"),"")</f>
        <v/>
      </c>
      <c r="P501" s="2"/>
      <c r="Q501" s="2"/>
      <c r="R501" s="2"/>
      <c r="S501" s="2"/>
      <c r="T501" s="5"/>
    </row>
    <row r="502" customFormat="false" ht="15.75" hidden="false" customHeight="false" outlineLevel="0" collapsed="false">
      <c r="A502" s="4"/>
      <c r="B502" s="2"/>
      <c r="C502" s="2"/>
      <c r="D502" s="2"/>
      <c r="E502" s="2"/>
      <c r="F502" s="3" t="str">
        <f aca="false">IFERROR(__xludf.dummyfunction("if($T502&lt;&gt;"""",REGEXEXTRACT(SUBSTITUTE ($T502,F$1&amp;"" CE"",""""), F$1&amp;""[\w &amp;]*, (\d+\.\d+)""),"""")
"),"")</f>
        <v/>
      </c>
      <c r="G502" s="3" t="str">
        <f aca="false">IFERROR(__xludf.dummyfunction("if($T502&lt;&gt;"""",REGEXEXTRACT($T502, G$1&amp;""[\w &amp;]*, (\d+\.\d+)""),"""")
"),"")</f>
        <v/>
      </c>
      <c r="H502" s="3"/>
      <c r="I502" s="3" t="str">
        <f aca="false">IFERROR(__xludf.dummyfunction("if($T502&lt;&gt;"""",REGEXEXTRACT(SUBSTITUTE ($T502,I$1&amp;"" CE"",""""), I$1&amp;""[\w &amp;]*, (\d+\.\d+)""),"""")
"),"")</f>
        <v/>
      </c>
      <c r="J502" s="3" t="str">
        <f aca="false">IFERROR(__xludf.dummyfunction("if($T502&lt;&gt;"""",REGEXEXTRACT($T502, J$1&amp;""[\w &amp;]*, (\d+\.\d+)""),"""")
"),"")</f>
        <v/>
      </c>
      <c r="K502" s="3"/>
      <c r="L502" s="3" t="str">
        <f aca="false">IFERROR(__xludf.dummyfunction("if($T502&lt;&gt;"""",REGEXEXTRACT(SUBSTITUTE ($T502,L$1&amp;"" CE"",""""), L$1&amp;""[\w &amp;]*, (\d+\.\d+)""),"""")
"),"")</f>
        <v/>
      </c>
      <c r="M502" s="3" t="str">
        <f aca="false">IFERROR(__xludf.dummyfunction("if($T502&lt;&gt;"""",REGEXEXTRACT($T502, M$1&amp;""[\w &amp;]*, (\d+\.\d+)""),"""")
"),"")</f>
        <v/>
      </c>
      <c r="N502" s="3" t="str">
        <f aca="false">IFERROR(__xludf.dummyfunction("if($T502&lt;&gt;"""",REGEXEXTRACT(SUBSTITUTE ($T502,N$1&amp;"" CE"",""""), N$1&amp;""[\w &amp;]*, (\d+\.\d+)""),"""")
"),"")</f>
        <v/>
      </c>
      <c r="O502" s="3" t="str">
        <f aca="false">IFERROR(__xludf.dummyfunction("if($T502&lt;&gt;"""",REGEXEXTRACT($T502, O$1&amp;""[\w &amp;]*, (\d+\.\d+)""),"""")
"),"")</f>
        <v/>
      </c>
      <c r="P502" s="2"/>
      <c r="Q502" s="2"/>
      <c r="R502" s="2"/>
      <c r="S502" s="2"/>
      <c r="T502" s="5"/>
    </row>
    <row r="503" customFormat="false" ht="15.75" hidden="false" customHeight="false" outlineLevel="0" collapsed="false">
      <c r="A503" s="4"/>
      <c r="B503" s="2"/>
      <c r="C503" s="2"/>
      <c r="D503" s="2"/>
      <c r="E503" s="2"/>
      <c r="F503" s="3" t="str">
        <f aca="false">IFERROR(__xludf.dummyfunction("if($T503&lt;&gt;"""",REGEXEXTRACT(SUBSTITUTE ($T503,F$1&amp;"" CE"",""""), F$1&amp;""[\w &amp;]*, (\d+\.\d+)""),"""")
"),"")</f>
        <v/>
      </c>
      <c r="G503" s="3" t="str">
        <f aca="false">IFERROR(__xludf.dummyfunction("if($T503&lt;&gt;"""",REGEXEXTRACT($T503, G$1&amp;""[\w &amp;]*, (\d+\.\d+)""),"""")
"),"")</f>
        <v/>
      </c>
      <c r="H503" s="3"/>
      <c r="I503" s="3" t="str">
        <f aca="false">IFERROR(__xludf.dummyfunction("if($T503&lt;&gt;"""",REGEXEXTRACT(SUBSTITUTE ($T503,I$1&amp;"" CE"",""""), I$1&amp;""[\w &amp;]*, (\d+\.\d+)""),"""")
"),"")</f>
        <v/>
      </c>
      <c r="J503" s="3" t="str">
        <f aca="false">IFERROR(__xludf.dummyfunction("if($T503&lt;&gt;"""",REGEXEXTRACT($T503, J$1&amp;""[\w &amp;]*, (\d+\.\d+)""),"""")
"),"")</f>
        <v/>
      </c>
      <c r="K503" s="3"/>
      <c r="L503" s="3" t="str">
        <f aca="false">IFERROR(__xludf.dummyfunction("if($T503&lt;&gt;"""",REGEXEXTRACT(SUBSTITUTE ($T503,L$1&amp;"" CE"",""""), L$1&amp;""[\w &amp;]*, (\d+\.\d+)""),"""")
"),"")</f>
        <v/>
      </c>
      <c r="M503" s="3" t="str">
        <f aca="false">IFERROR(__xludf.dummyfunction("if($T503&lt;&gt;"""",REGEXEXTRACT($T503, M$1&amp;""[\w &amp;]*, (\d+\.\d+)""),"""")
"),"")</f>
        <v/>
      </c>
      <c r="N503" s="3" t="str">
        <f aca="false">IFERROR(__xludf.dummyfunction("if($T503&lt;&gt;"""",REGEXEXTRACT(SUBSTITUTE ($T503,N$1&amp;"" CE"",""""), N$1&amp;""[\w &amp;]*, (\d+\.\d+)""),"""")
"),"")</f>
        <v/>
      </c>
      <c r="O503" s="3" t="str">
        <f aca="false">IFERROR(__xludf.dummyfunction("if($T503&lt;&gt;"""",REGEXEXTRACT($T503, O$1&amp;""[\w &amp;]*, (\d+\.\d+)""),"""")
"),"")</f>
        <v/>
      </c>
      <c r="P503" s="2"/>
      <c r="Q503" s="2"/>
      <c r="R503" s="2"/>
      <c r="S503" s="2"/>
      <c r="T503" s="5"/>
    </row>
    <row r="504" customFormat="false" ht="15.75" hidden="false" customHeight="false" outlineLevel="0" collapsed="false">
      <c r="A504" s="4"/>
      <c r="B504" s="2"/>
      <c r="C504" s="2"/>
      <c r="D504" s="2"/>
      <c r="E504" s="2"/>
      <c r="F504" s="3" t="str">
        <f aca="false">IFERROR(__xludf.dummyfunction("if($T504&lt;&gt;"""",REGEXEXTRACT(SUBSTITUTE ($T504,F$1&amp;"" CE"",""""), F$1&amp;""[\w &amp;]*, (\d+\.\d+)""),"""")
"),"")</f>
        <v/>
      </c>
      <c r="G504" s="3" t="str">
        <f aca="false">IFERROR(__xludf.dummyfunction("if($T504&lt;&gt;"""",REGEXEXTRACT($T504, G$1&amp;""[\w &amp;]*, (\d+\.\d+)""),"""")
"),"")</f>
        <v/>
      </c>
      <c r="H504" s="3"/>
      <c r="I504" s="3" t="str">
        <f aca="false">IFERROR(__xludf.dummyfunction("if($T504&lt;&gt;"""",REGEXEXTRACT(SUBSTITUTE ($T504,I$1&amp;"" CE"",""""), I$1&amp;""[\w &amp;]*, (\d+\.\d+)""),"""")
"),"")</f>
        <v/>
      </c>
      <c r="J504" s="3" t="str">
        <f aca="false">IFERROR(__xludf.dummyfunction("if($T504&lt;&gt;"""",REGEXEXTRACT($T504, J$1&amp;""[\w &amp;]*, (\d+\.\d+)""),"""")
"),"")</f>
        <v/>
      </c>
      <c r="K504" s="3"/>
      <c r="L504" s="3" t="str">
        <f aca="false">IFERROR(__xludf.dummyfunction("if($T504&lt;&gt;"""",REGEXEXTRACT(SUBSTITUTE ($T504,L$1&amp;"" CE"",""""), L$1&amp;""[\w &amp;]*, (\d+\.\d+)""),"""")
"),"")</f>
        <v/>
      </c>
      <c r="M504" s="3" t="str">
        <f aca="false">IFERROR(__xludf.dummyfunction("if($T504&lt;&gt;"""",REGEXEXTRACT($T504, M$1&amp;""[\w &amp;]*, (\d+\.\d+)""),"""")
"),"")</f>
        <v/>
      </c>
      <c r="N504" s="3" t="str">
        <f aca="false">IFERROR(__xludf.dummyfunction("if($T504&lt;&gt;"""",REGEXEXTRACT(SUBSTITUTE ($T504,N$1&amp;"" CE"",""""), N$1&amp;""[\w &amp;]*, (\d+\.\d+)""),"""")
"),"")</f>
        <v/>
      </c>
      <c r="O504" s="3" t="str">
        <f aca="false">IFERROR(__xludf.dummyfunction("if($T504&lt;&gt;"""",REGEXEXTRACT($T504, O$1&amp;""[\w &amp;]*, (\d+\.\d+)""),"""")
"),"")</f>
        <v/>
      </c>
      <c r="P504" s="2"/>
      <c r="Q504" s="2"/>
      <c r="R504" s="2"/>
      <c r="S504" s="2"/>
      <c r="T504" s="5"/>
    </row>
    <row r="505" customFormat="false" ht="15.75" hidden="false" customHeight="false" outlineLevel="0" collapsed="false">
      <c r="A505" s="4"/>
      <c r="B505" s="2"/>
      <c r="C505" s="2"/>
      <c r="D505" s="2"/>
      <c r="E505" s="2"/>
      <c r="F505" s="3" t="str">
        <f aca="false">IFERROR(__xludf.dummyfunction("if($T505&lt;&gt;"""",REGEXEXTRACT(SUBSTITUTE ($T505,F$1&amp;"" CE"",""""), F$1&amp;""[\w &amp;]*, (\d+\.\d+)""),"""")
"),"")</f>
        <v/>
      </c>
      <c r="G505" s="3" t="str">
        <f aca="false">IFERROR(__xludf.dummyfunction("if($T505&lt;&gt;"""",REGEXEXTRACT($T505, G$1&amp;""[\w &amp;]*, (\d+\.\d+)""),"""")
"),"")</f>
        <v/>
      </c>
      <c r="H505" s="3"/>
      <c r="I505" s="3" t="str">
        <f aca="false">IFERROR(__xludf.dummyfunction("if($T505&lt;&gt;"""",REGEXEXTRACT(SUBSTITUTE ($T505,I$1&amp;"" CE"",""""), I$1&amp;""[\w &amp;]*, (\d+\.\d+)""),"""")
"),"")</f>
        <v/>
      </c>
      <c r="J505" s="3" t="str">
        <f aca="false">IFERROR(__xludf.dummyfunction("if($T505&lt;&gt;"""",REGEXEXTRACT($T505, J$1&amp;""[\w &amp;]*, (\d+\.\d+)""),"""")
"),"")</f>
        <v/>
      </c>
      <c r="K505" s="3"/>
      <c r="L505" s="3" t="str">
        <f aca="false">IFERROR(__xludf.dummyfunction("if($T505&lt;&gt;"""",REGEXEXTRACT(SUBSTITUTE ($T505,L$1&amp;"" CE"",""""), L$1&amp;""[\w &amp;]*, (\d+\.\d+)""),"""")
"),"")</f>
        <v/>
      </c>
      <c r="M505" s="3" t="str">
        <f aca="false">IFERROR(__xludf.dummyfunction("if($T505&lt;&gt;"""",REGEXEXTRACT($T505, M$1&amp;""[\w &amp;]*, (\d+\.\d+)""),"""")
"),"")</f>
        <v/>
      </c>
      <c r="N505" s="3" t="str">
        <f aca="false">IFERROR(__xludf.dummyfunction("if($T505&lt;&gt;"""",REGEXEXTRACT(SUBSTITUTE ($T505,N$1&amp;"" CE"",""""), N$1&amp;""[\w &amp;]*, (\d+\.\d+)""),"""")
"),"")</f>
        <v/>
      </c>
      <c r="O505" s="3" t="str">
        <f aca="false">IFERROR(__xludf.dummyfunction("if($T505&lt;&gt;"""",REGEXEXTRACT($T505, O$1&amp;""[\w &amp;]*, (\d+\.\d+)""),"""")
"),"")</f>
        <v/>
      </c>
      <c r="P505" s="2"/>
      <c r="Q505" s="2"/>
      <c r="R505" s="2"/>
      <c r="S505" s="2"/>
      <c r="T505" s="5"/>
    </row>
    <row r="506" customFormat="false" ht="15.75" hidden="false" customHeight="false" outlineLevel="0" collapsed="false">
      <c r="A506" s="4"/>
      <c r="B506" s="2"/>
      <c r="C506" s="2"/>
      <c r="D506" s="2"/>
      <c r="E506" s="2"/>
      <c r="F506" s="3" t="str">
        <f aca="false">IFERROR(__xludf.dummyfunction("if($T506&lt;&gt;"""",REGEXEXTRACT(SUBSTITUTE ($T506,F$1&amp;"" CE"",""""), F$1&amp;""[\w &amp;]*, (\d+\.\d+)""),"""")
"),"")</f>
        <v/>
      </c>
      <c r="G506" s="3" t="str">
        <f aca="false">IFERROR(__xludf.dummyfunction("if($T506&lt;&gt;"""",REGEXEXTRACT($T506, G$1&amp;""[\w &amp;]*, (\d+\.\d+)""),"""")
"),"")</f>
        <v/>
      </c>
      <c r="H506" s="3"/>
      <c r="I506" s="3" t="str">
        <f aca="false">IFERROR(__xludf.dummyfunction("if($T506&lt;&gt;"""",REGEXEXTRACT(SUBSTITUTE ($T506,I$1&amp;"" CE"",""""), I$1&amp;""[\w &amp;]*, (\d+\.\d+)""),"""")
"),"")</f>
        <v/>
      </c>
      <c r="J506" s="3" t="str">
        <f aca="false">IFERROR(__xludf.dummyfunction("if($T506&lt;&gt;"""",REGEXEXTRACT($T506, J$1&amp;""[\w &amp;]*, (\d+\.\d+)""),"""")
"),"")</f>
        <v/>
      </c>
      <c r="K506" s="3"/>
      <c r="L506" s="3" t="str">
        <f aca="false">IFERROR(__xludf.dummyfunction("if($T506&lt;&gt;"""",REGEXEXTRACT(SUBSTITUTE ($T506,L$1&amp;"" CE"",""""), L$1&amp;""[\w &amp;]*, (\d+\.\d+)""),"""")
"),"")</f>
        <v/>
      </c>
      <c r="M506" s="3" t="str">
        <f aca="false">IFERROR(__xludf.dummyfunction("if($T506&lt;&gt;"""",REGEXEXTRACT($T506, M$1&amp;""[\w &amp;]*, (\d+\.\d+)""),"""")
"),"")</f>
        <v/>
      </c>
      <c r="N506" s="3" t="str">
        <f aca="false">IFERROR(__xludf.dummyfunction("if($T506&lt;&gt;"""",REGEXEXTRACT(SUBSTITUTE ($T506,N$1&amp;"" CE"",""""), N$1&amp;""[\w &amp;]*, (\d+\.\d+)""),"""")
"),"")</f>
        <v/>
      </c>
      <c r="O506" s="3" t="str">
        <f aca="false">IFERROR(__xludf.dummyfunction("if($T506&lt;&gt;"""",REGEXEXTRACT($T506, O$1&amp;""[\w &amp;]*, (\d+\.\d+)""),"""")
"),"")</f>
        <v/>
      </c>
      <c r="P506" s="2"/>
      <c r="Q506" s="2"/>
      <c r="R506" s="2"/>
      <c r="S506" s="2"/>
      <c r="T506" s="5"/>
    </row>
    <row r="507" customFormat="false" ht="15.75" hidden="false" customHeight="false" outlineLevel="0" collapsed="false">
      <c r="A507" s="4"/>
      <c r="B507" s="2"/>
      <c r="C507" s="2"/>
      <c r="D507" s="2"/>
      <c r="E507" s="2"/>
      <c r="F507" s="3" t="str">
        <f aca="false">IFERROR(__xludf.dummyfunction("if($T507&lt;&gt;"""",REGEXEXTRACT(SUBSTITUTE ($T507,F$1&amp;"" CE"",""""), F$1&amp;""[\w &amp;]*, (\d+\.\d+)""),"""")
"),"")</f>
        <v/>
      </c>
      <c r="G507" s="3" t="str">
        <f aca="false">IFERROR(__xludf.dummyfunction("if($T507&lt;&gt;"""",REGEXEXTRACT($T507, G$1&amp;""[\w &amp;]*, (\d+\.\d+)""),"""")
"),"")</f>
        <v/>
      </c>
      <c r="H507" s="3"/>
      <c r="I507" s="3" t="str">
        <f aca="false">IFERROR(__xludf.dummyfunction("if($T507&lt;&gt;"""",REGEXEXTRACT(SUBSTITUTE ($T507,I$1&amp;"" CE"",""""), I$1&amp;""[\w &amp;]*, (\d+\.\d+)""),"""")
"),"")</f>
        <v/>
      </c>
      <c r="J507" s="3" t="str">
        <f aca="false">IFERROR(__xludf.dummyfunction("if($T507&lt;&gt;"""",REGEXEXTRACT($T507, J$1&amp;""[\w &amp;]*, (\d+\.\d+)""),"""")
"),"")</f>
        <v/>
      </c>
      <c r="K507" s="3"/>
      <c r="L507" s="3" t="str">
        <f aca="false">IFERROR(__xludf.dummyfunction("if($T507&lt;&gt;"""",REGEXEXTRACT(SUBSTITUTE ($T507,L$1&amp;"" CE"",""""), L$1&amp;""[\w &amp;]*, (\d+\.\d+)""),"""")
"),"")</f>
        <v/>
      </c>
      <c r="M507" s="3" t="str">
        <f aca="false">IFERROR(__xludf.dummyfunction("if($T507&lt;&gt;"""",REGEXEXTRACT($T507, M$1&amp;""[\w &amp;]*, (\d+\.\d+)""),"""")
"),"")</f>
        <v/>
      </c>
      <c r="N507" s="3" t="str">
        <f aca="false">IFERROR(__xludf.dummyfunction("if($T507&lt;&gt;"""",REGEXEXTRACT(SUBSTITUTE ($T507,N$1&amp;"" CE"",""""), N$1&amp;""[\w &amp;]*, (\d+\.\d+)""),"""")
"),"")</f>
        <v/>
      </c>
      <c r="O507" s="3" t="str">
        <f aca="false">IFERROR(__xludf.dummyfunction("if($T507&lt;&gt;"""",REGEXEXTRACT($T507, O$1&amp;""[\w &amp;]*, (\d+\.\d+)""),"""")
"),"")</f>
        <v/>
      </c>
      <c r="P507" s="2"/>
      <c r="Q507" s="2"/>
      <c r="R507" s="2"/>
      <c r="S507" s="2"/>
      <c r="T507" s="5"/>
    </row>
    <row r="508" customFormat="false" ht="15.75" hidden="false" customHeight="false" outlineLevel="0" collapsed="false">
      <c r="A508" s="4"/>
      <c r="B508" s="2"/>
      <c r="C508" s="2"/>
      <c r="D508" s="2"/>
      <c r="E508" s="2"/>
      <c r="F508" s="3" t="str">
        <f aca="false">IFERROR(__xludf.dummyfunction("if($T508&lt;&gt;"""",REGEXEXTRACT(SUBSTITUTE ($T508,F$1&amp;"" CE"",""""), F$1&amp;""[\w &amp;]*, (\d+\.\d+)""),"""")
"),"")</f>
        <v/>
      </c>
      <c r="G508" s="3" t="str">
        <f aca="false">IFERROR(__xludf.dummyfunction("if($T508&lt;&gt;"""",REGEXEXTRACT($T508, G$1&amp;""[\w &amp;]*, (\d+\.\d+)""),"""")
"),"")</f>
        <v/>
      </c>
      <c r="H508" s="3"/>
      <c r="I508" s="3" t="str">
        <f aca="false">IFERROR(__xludf.dummyfunction("if($T508&lt;&gt;"""",REGEXEXTRACT(SUBSTITUTE ($T508,I$1&amp;"" CE"",""""), I$1&amp;""[\w &amp;]*, (\d+\.\d+)""),"""")
"),"")</f>
        <v/>
      </c>
      <c r="J508" s="3" t="str">
        <f aca="false">IFERROR(__xludf.dummyfunction("if($T508&lt;&gt;"""",REGEXEXTRACT($T508, J$1&amp;""[\w &amp;]*, (\d+\.\d+)""),"""")
"),"")</f>
        <v/>
      </c>
      <c r="K508" s="3"/>
      <c r="L508" s="3" t="str">
        <f aca="false">IFERROR(__xludf.dummyfunction("if($T508&lt;&gt;"""",REGEXEXTRACT(SUBSTITUTE ($T508,L$1&amp;"" CE"",""""), L$1&amp;""[\w &amp;]*, (\d+\.\d+)""),"""")
"),"")</f>
        <v/>
      </c>
      <c r="M508" s="3" t="str">
        <f aca="false">IFERROR(__xludf.dummyfunction("if($T508&lt;&gt;"""",REGEXEXTRACT($T508, M$1&amp;""[\w &amp;]*, (\d+\.\d+)""),"""")
"),"")</f>
        <v/>
      </c>
      <c r="N508" s="3" t="str">
        <f aca="false">IFERROR(__xludf.dummyfunction("if($T508&lt;&gt;"""",REGEXEXTRACT(SUBSTITUTE ($T508,N$1&amp;"" CE"",""""), N$1&amp;""[\w &amp;]*, (\d+\.\d+)""),"""")
"),"")</f>
        <v/>
      </c>
      <c r="O508" s="3" t="str">
        <f aca="false">IFERROR(__xludf.dummyfunction("if($T508&lt;&gt;"""",REGEXEXTRACT($T508, O$1&amp;""[\w &amp;]*, (\d+\.\d+)""),"""")
"),"")</f>
        <v/>
      </c>
      <c r="P508" s="2"/>
      <c r="Q508" s="2"/>
      <c r="R508" s="2"/>
      <c r="S508" s="2"/>
      <c r="T508" s="5"/>
    </row>
    <row r="509" customFormat="false" ht="15.75" hidden="false" customHeight="false" outlineLevel="0" collapsed="false">
      <c r="A509" s="4"/>
      <c r="B509" s="2"/>
      <c r="C509" s="2"/>
      <c r="D509" s="2"/>
      <c r="E509" s="2"/>
      <c r="F509" s="3" t="str">
        <f aca="false">IFERROR(__xludf.dummyfunction("if($T509&lt;&gt;"""",REGEXEXTRACT(SUBSTITUTE ($T509,F$1&amp;"" CE"",""""), F$1&amp;""[\w &amp;]*, (\d+\.\d+)""),"""")
"),"")</f>
        <v/>
      </c>
      <c r="G509" s="3" t="str">
        <f aca="false">IFERROR(__xludf.dummyfunction("if($T509&lt;&gt;"""",REGEXEXTRACT($T509, G$1&amp;""[\w &amp;]*, (\d+\.\d+)""),"""")
"),"")</f>
        <v/>
      </c>
      <c r="H509" s="3"/>
      <c r="I509" s="3" t="str">
        <f aca="false">IFERROR(__xludf.dummyfunction("if($T509&lt;&gt;"""",REGEXEXTRACT(SUBSTITUTE ($T509,I$1&amp;"" CE"",""""), I$1&amp;""[\w &amp;]*, (\d+\.\d+)""),"""")
"),"")</f>
        <v/>
      </c>
      <c r="J509" s="3" t="str">
        <f aca="false">IFERROR(__xludf.dummyfunction("if($T509&lt;&gt;"""",REGEXEXTRACT($T509, J$1&amp;""[\w &amp;]*, (\d+\.\d+)""),"""")
"),"")</f>
        <v/>
      </c>
      <c r="K509" s="3"/>
      <c r="L509" s="3" t="str">
        <f aca="false">IFERROR(__xludf.dummyfunction("if($T509&lt;&gt;"""",REGEXEXTRACT(SUBSTITUTE ($T509,L$1&amp;"" CE"",""""), L$1&amp;""[\w &amp;]*, (\d+\.\d+)""),"""")
"),"")</f>
        <v/>
      </c>
      <c r="M509" s="3" t="str">
        <f aca="false">IFERROR(__xludf.dummyfunction("if($T509&lt;&gt;"""",REGEXEXTRACT($T509, M$1&amp;""[\w &amp;]*, (\d+\.\d+)""),"""")
"),"")</f>
        <v/>
      </c>
      <c r="N509" s="3" t="str">
        <f aca="false">IFERROR(__xludf.dummyfunction("if($T509&lt;&gt;"""",REGEXEXTRACT(SUBSTITUTE ($T509,N$1&amp;"" CE"",""""), N$1&amp;""[\w &amp;]*, (\d+\.\d+)""),"""")
"),"")</f>
        <v/>
      </c>
      <c r="O509" s="3" t="str">
        <f aca="false">IFERROR(__xludf.dummyfunction("if($T509&lt;&gt;"""",REGEXEXTRACT($T509, O$1&amp;""[\w &amp;]*, (\d+\.\d+)""),"""")
"),"")</f>
        <v/>
      </c>
      <c r="P509" s="2"/>
      <c r="Q509" s="2"/>
      <c r="R509" s="2"/>
      <c r="S509" s="2"/>
      <c r="T509" s="5"/>
    </row>
    <row r="510" customFormat="false" ht="15.75" hidden="false" customHeight="false" outlineLevel="0" collapsed="false">
      <c r="A510" s="4"/>
      <c r="B510" s="2"/>
      <c r="C510" s="2"/>
      <c r="D510" s="2"/>
      <c r="E510" s="2"/>
      <c r="F510" s="3" t="str">
        <f aca="false">IFERROR(__xludf.dummyfunction("if($T510&lt;&gt;"""",REGEXEXTRACT(SUBSTITUTE ($T510,F$1&amp;"" CE"",""""), F$1&amp;""[\w &amp;]*, (\d+\.\d+)""),"""")
"),"")</f>
        <v/>
      </c>
      <c r="G510" s="3" t="str">
        <f aca="false">IFERROR(__xludf.dummyfunction("if($T510&lt;&gt;"""",REGEXEXTRACT($T510, G$1&amp;""[\w &amp;]*, (\d+\.\d+)""),"""")
"),"")</f>
        <v/>
      </c>
      <c r="H510" s="3"/>
      <c r="I510" s="3" t="str">
        <f aca="false">IFERROR(__xludf.dummyfunction("if($T510&lt;&gt;"""",REGEXEXTRACT(SUBSTITUTE ($T510,I$1&amp;"" CE"",""""), I$1&amp;""[\w &amp;]*, (\d+\.\d+)""),"""")
"),"")</f>
        <v/>
      </c>
      <c r="J510" s="3" t="str">
        <f aca="false">IFERROR(__xludf.dummyfunction("if($T510&lt;&gt;"""",REGEXEXTRACT($T510, J$1&amp;""[\w &amp;]*, (\d+\.\d+)""),"""")
"),"")</f>
        <v/>
      </c>
      <c r="K510" s="3"/>
      <c r="L510" s="3" t="str">
        <f aca="false">IFERROR(__xludf.dummyfunction("if($T510&lt;&gt;"""",REGEXEXTRACT(SUBSTITUTE ($T510,L$1&amp;"" CE"",""""), L$1&amp;""[\w &amp;]*, (\d+\.\d+)""),"""")
"),"")</f>
        <v/>
      </c>
      <c r="M510" s="3" t="str">
        <f aca="false">IFERROR(__xludf.dummyfunction("if($T510&lt;&gt;"""",REGEXEXTRACT($T510, M$1&amp;""[\w &amp;]*, (\d+\.\d+)""),"""")
"),"")</f>
        <v/>
      </c>
      <c r="N510" s="3" t="str">
        <f aca="false">IFERROR(__xludf.dummyfunction("if($T510&lt;&gt;"""",REGEXEXTRACT(SUBSTITUTE ($T510,N$1&amp;"" CE"",""""), N$1&amp;""[\w &amp;]*, (\d+\.\d+)""),"""")
"),"")</f>
        <v/>
      </c>
      <c r="O510" s="3" t="str">
        <f aca="false">IFERROR(__xludf.dummyfunction("if($T510&lt;&gt;"""",REGEXEXTRACT($T510, O$1&amp;""[\w &amp;]*, (\d+\.\d+)""),"""")
"),"")</f>
        <v/>
      </c>
      <c r="P510" s="2"/>
      <c r="Q510" s="2"/>
      <c r="R510" s="2"/>
      <c r="S510" s="2"/>
      <c r="T510" s="5"/>
    </row>
    <row r="511" customFormat="false" ht="15.75" hidden="false" customHeight="false" outlineLevel="0" collapsed="false">
      <c r="A511" s="4"/>
      <c r="B511" s="2"/>
      <c r="C511" s="2"/>
      <c r="D511" s="2"/>
      <c r="E511" s="2"/>
      <c r="F511" s="3" t="str">
        <f aca="false">IFERROR(__xludf.dummyfunction("if($T511&lt;&gt;"""",REGEXEXTRACT(SUBSTITUTE ($T511,F$1&amp;"" CE"",""""), F$1&amp;""[\w &amp;]*, (\d+\.\d+)""),"""")
"),"")</f>
        <v/>
      </c>
      <c r="G511" s="3" t="str">
        <f aca="false">IFERROR(__xludf.dummyfunction("if($T511&lt;&gt;"""",REGEXEXTRACT($T511, G$1&amp;""[\w &amp;]*, (\d+\.\d+)""),"""")
"),"")</f>
        <v/>
      </c>
      <c r="H511" s="3"/>
      <c r="I511" s="3" t="str">
        <f aca="false">IFERROR(__xludf.dummyfunction("if($T511&lt;&gt;"""",REGEXEXTRACT(SUBSTITUTE ($T511,I$1&amp;"" CE"",""""), I$1&amp;""[\w &amp;]*, (\d+\.\d+)""),"""")
"),"")</f>
        <v/>
      </c>
      <c r="J511" s="3" t="str">
        <f aca="false">IFERROR(__xludf.dummyfunction("if($T511&lt;&gt;"""",REGEXEXTRACT($T511, J$1&amp;""[\w &amp;]*, (\d+\.\d+)""),"""")
"),"")</f>
        <v/>
      </c>
      <c r="K511" s="3"/>
      <c r="L511" s="3" t="str">
        <f aca="false">IFERROR(__xludf.dummyfunction("if($T511&lt;&gt;"""",REGEXEXTRACT(SUBSTITUTE ($T511,L$1&amp;"" CE"",""""), L$1&amp;""[\w &amp;]*, (\d+\.\d+)""),"""")
"),"")</f>
        <v/>
      </c>
      <c r="M511" s="3" t="str">
        <f aca="false">IFERROR(__xludf.dummyfunction("if($T511&lt;&gt;"""",REGEXEXTRACT($T511, M$1&amp;""[\w &amp;]*, (\d+\.\d+)""),"""")
"),"")</f>
        <v/>
      </c>
      <c r="N511" s="3" t="str">
        <f aca="false">IFERROR(__xludf.dummyfunction("if($T511&lt;&gt;"""",REGEXEXTRACT(SUBSTITUTE ($T511,N$1&amp;"" CE"",""""), N$1&amp;""[\w &amp;]*, (\d+\.\d+)""),"""")
"),"")</f>
        <v/>
      </c>
      <c r="O511" s="3" t="str">
        <f aca="false">IFERROR(__xludf.dummyfunction("if($T511&lt;&gt;"""",REGEXEXTRACT($T511, O$1&amp;""[\w &amp;]*, (\d+\.\d+)""),"""")
"),"")</f>
        <v/>
      </c>
      <c r="P511" s="2"/>
      <c r="Q511" s="2"/>
      <c r="R511" s="2"/>
      <c r="S511" s="2"/>
      <c r="T511" s="5"/>
    </row>
    <row r="512" customFormat="false" ht="15.75" hidden="false" customHeight="false" outlineLevel="0" collapsed="false">
      <c r="A512" s="4"/>
      <c r="B512" s="2"/>
      <c r="C512" s="2"/>
      <c r="D512" s="2"/>
      <c r="E512" s="2"/>
      <c r="F512" s="3" t="str">
        <f aca="false">IFERROR(__xludf.dummyfunction("if($T512&lt;&gt;"""",REGEXEXTRACT(SUBSTITUTE ($T512,F$1&amp;"" CE"",""""), F$1&amp;""[\w &amp;]*, (\d+\.\d+)""),"""")
"),"")</f>
        <v/>
      </c>
      <c r="G512" s="3" t="str">
        <f aca="false">IFERROR(__xludf.dummyfunction("if($T512&lt;&gt;"""",REGEXEXTRACT($T512, G$1&amp;""[\w &amp;]*, (\d+\.\d+)""),"""")
"),"")</f>
        <v/>
      </c>
      <c r="H512" s="3"/>
      <c r="I512" s="3" t="str">
        <f aca="false">IFERROR(__xludf.dummyfunction("if($T512&lt;&gt;"""",REGEXEXTRACT(SUBSTITUTE ($T512,I$1&amp;"" CE"",""""), I$1&amp;""[\w &amp;]*, (\d+\.\d+)""),"""")
"),"")</f>
        <v/>
      </c>
      <c r="J512" s="3" t="str">
        <f aca="false">IFERROR(__xludf.dummyfunction("if($T512&lt;&gt;"""",REGEXEXTRACT($T512, J$1&amp;""[\w &amp;]*, (\d+\.\d+)""),"""")
"),"")</f>
        <v/>
      </c>
      <c r="K512" s="3"/>
      <c r="L512" s="3" t="str">
        <f aca="false">IFERROR(__xludf.dummyfunction("if($T512&lt;&gt;"""",REGEXEXTRACT(SUBSTITUTE ($T512,L$1&amp;"" CE"",""""), L$1&amp;""[\w &amp;]*, (\d+\.\d+)""),"""")
"),"")</f>
        <v/>
      </c>
      <c r="M512" s="3" t="str">
        <f aca="false">IFERROR(__xludf.dummyfunction("if($T512&lt;&gt;"""",REGEXEXTRACT($T512, M$1&amp;""[\w &amp;]*, (\d+\.\d+)""),"""")
"),"")</f>
        <v/>
      </c>
      <c r="N512" s="3" t="str">
        <f aca="false">IFERROR(__xludf.dummyfunction("if($T512&lt;&gt;"""",REGEXEXTRACT(SUBSTITUTE ($T512,N$1&amp;"" CE"",""""), N$1&amp;""[\w &amp;]*, (\d+\.\d+)""),"""")
"),"")</f>
        <v/>
      </c>
      <c r="O512" s="3" t="str">
        <f aca="false">IFERROR(__xludf.dummyfunction("if($T512&lt;&gt;"""",REGEXEXTRACT($T512, O$1&amp;""[\w &amp;]*, (\d+\.\d+)""),"""")
"),"")</f>
        <v/>
      </c>
      <c r="P512" s="2"/>
      <c r="Q512" s="2"/>
      <c r="R512" s="2"/>
      <c r="S512" s="2"/>
      <c r="T512" s="5"/>
    </row>
    <row r="513" customFormat="false" ht="15.75" hidden="false" customHeight="false" outlineLevel="0" collapsed="false">
      <c r="A513" s="4"/>
      <c r="B513" s="2"/>
      <c r="C513" s="2"/>
      <c r="D513" s="2"/>
      <c r="E513" s="2"/>
      <c r="F513" s="3" t="str">
        <f aca="false">IFERROR(__xludf.dummyfunction("if($T513&lt;&gt;"""",REGEXEXTRACT(SUBSTITUTE ($T513,F$1&amp;"" CE"",""""), F$1&amp;""[\w &amp;]*, (\d+\.\d+)""),"""")
"),"")</f>
        <v/>
      </c>
      <c r="G513" s="3" t="str">
        <f aca="false">IFERROR(__xludf.dummyfunction("if($T513&lt;&gt;"""",REGEXEXTRACT($T513, G$1&amp;""[\w &amp;]*, (\d+\.\d+)""),"""")
"),"")</f>
        <v/>
      </c>
      <c r="H513" s="3"/>
      <c r="I513" s="3" t="str">
        <f aca="false">IFERROR(__xludf.dummyfunction("if($T513&lt;&gt;"""",REGEXEXTRACT(SUBSTITUTE ($T513,I$1&amp;"" CE"",""""), I$1&amp;""[\w &amp;]*, (\d+\.\d+)""),"""")
"),"")</f>
        <v/>
      </c>
      <c r="J513" s="3" t="str">
        <f aca="false">IFERROR(__xludf.dummyfunction("if($T513&lt;&gt;"""",REGEXEXTRACT($T513, J$1&amp;""[\w &amp;]*, (\d+\.\d+)""),"""")
"),"")</f>
        <v/>
      </c>
      <c r="K513" s="3"/>
      <c r="L513" s="3" t="str">
        <f aca="false">IFERROR(__xludf.dummyfunction("if($T513&lt;&gt;"""",REGEXEXTRACT(SUBSTITUTE ($T513,L$1&amp;"" CE"",""""), L$1&amp;""[\w &amp;]*, (\d+\.\d+)""),"""")
"),"")</f>
        <v/>
      </c>
      <c r="M513" s="3" t="str">
        <f aca="false">IFERROR(__xludf.dummyfunction("if($T513&lt;&gt;"""",REGEXEXTRACT($T513, M$1&amp;""[\w &amp;]*, (\d+\.\d+)""),"""")
"),"")</f>
        <v/>
      </c>
      <c r="N513" s="3" t="str">
        <f aca="false">IFERROR(__xludf.dummyfunction("if($T513&lt;&gt;"""",REGEXEXTRACT(SUBSTITUTE ($T513,N$1&amp;"" CE"",""""), N$1&amp;""[\w &amp;]*, (\d+\.\d+)""),"""")
"),"")</f>
        <v/>
      </c>
      <c r="O513" s="3" t="str">
        <f aca="false">IFERROR(__xludf.dummyfunction("if($T513&lt;&gt;"""",REGEXEXTRACT($T513, O$1&amp;""[\w &amp;]*, (\d+\.\d+)""),"""")
"),"")</f>
        <v/>
      </c>
      <c r="P513" s="2"/>
      <c r="Q513" s="2"/>
      <c r="R513" s="2"/>
      <c r="S513" s="2"/>
      <c r="T513" s="5"/>
    </row>
    <row r="514" customFormat="false" ht="15.75" hidden="false" customHeight="false" outlineLevel="0" collapsed="false">
      <c r="A514" s="4"/>
      <c r="B514" s="2"/>
      <c r="C514" s="2"/>
      <c r="D514" s="2"/>
      <c r="E514" s="2"/>
      <c r="F514" s="3" t="str">
        <f aca="false">IFERROR(__xludf.dummyfunction("if($T514&lt;&gt;"""",REGEXEXTRACT(SUBSTITUTE ($T514,F$1&amp;"" CE"",""""), F$1&amp;""[\w &amp;]*, (\d+\.\d+)""),"""")
"),"")</f>
        <v/>
      </c>
      <c r="G514" s="3" t="str">
        <f aca="false">IFERROR(__xludf.dummyfunction("if($T514&lt;&gt;"""",REGEXEXTRACT($T514, G$1&amp;""[\w &amp;]*, (\d+\.\d+)""),"""")
"),"")</f>
        <v/>
      </c>
      <c r="H514" s="3"/>
      <c r="I514" s="3" t="str">
        <f aca="false">IFERROR(__xludf.dummyfunction("if($T514&lt;&gt;"""",REGEXEXTRACT(SUBSTITUTE ($T514,I$1&amp;"" CE"",""""), I$1&amp;""[\w &amp;]*, (\d+\.\d+)""),"""")
"),"")</f>
        <v/>
      </c>
      <c r="J514" s="3" t="str">
        <f aca="false">IFERROR(__xludf.dummyfunction("if($T514&lt;&gt;"""",REGEXEXTRACT($T514, J$1&amp;""[\w &amp;]*, (\d+\.\d+)""),"""")
"),"")</f>
        <v/>
      </c>
      <c r="K514" s="3"/>
      <c r="L514" s="3" t="str">
        <f aca="false">IFERROR(__xludf.dummyfunction("if($T514&lt;&gt;"""",REGEXEXTRACT(SUBSTITUTE ($T514,L$1&amp;"" CE"",""""), L$1&amp;""[\w &amp;]*, (\d+\.\d+)""),"""")
"),"")</f>
        <v/>
      </c>
      <c r="M514" s="3" t="str">
        <f aca="false">IFERROR(__xludf.dummyfunction("if($T514&lt;&gt;"""",REGEXEXTRACT($T514, M$1&amp;""[\w &amp;]*, (\d+\.\d+)""),"""")
"),"")</f>
        <v/>
      </c>
      <c r="N514" s="3" t="str">
        <f aca="false">IFERROR(__xludf.dummyfunction("if($T514&lt;&gt;"""",REGEXEXTRACT(SUBSTITUTE ($T514,N$1&amp;"" CE"",""""), N$1&amp;""[\w &amp;]*, (\d+\.\d+)""),"""")
"),"")</f>
        <v/>
      </c>
      <c r="O514" s="3" t="str">
        <f aca="false">IFERROR(__xludf.dummyfunction("if($T514&lt;&gt;"""",REGEXEXTRACT($T514, O$1&amp;""[\w &amp;]*, (\d+\.\d+)""),"""")
"),"")</f>
        <v/>
      </c>
      <c r="P514" s="2"/>
      <c r="Q514" s="2"/>
      <c r="R514" s="2"/>
      <c r="S514" s="2"/>
      <c r="T514" s="5"/>
    </row>
    <row r="515" customFormat="false" ht="15.75" hidden="false" customHeight="false" outlineLevel="0" collapsed="false">
      <c r="A515" s="4"/>
      <c r="B515" s="2"/>
      <c r="C515" s="2"/>
      <c r="D515" s="2"/>
      <c r="E515" s="2"/>
      <c r="F515" s="3" t="str">
        <f aca="false">IFERROR(__xludf.dummyfunction("if($T515&lt;&gt;"""",REGEXEXTRACT(SUBSTITUTE ($T515,F$1&amp;"" CE"",""""), F$1&amp;""[\w &amp;]*, (\d+\.\d+)""),"""")
"),"")</f>
        <v/>
      </c>
      <c r="G515" s="3" t="str">
        <f aca="false">IFERROR(__xludf.dummyfunction("if($T515&lt;&gt;"""",REGEXEXTRACT($T515, G$1&amp;""[\w &amp;]*, (\d+\.\d+)""),"""")
"),"")</f>
        <v/>
      </c>
      <c r="H515" s="3"/>
      <c r="I515" s="3" t="str">
        <f aca="false">IFERROR(__xludf.dummyfunction("if($T515&lt;&gt;"""",REGEXEXTRACT(SUBSTITUTE ($T515,I$1&amp;"" CE"",""""), I$1&amp;""[\w &amp;]*, (\d+\.\d+)""),"""")
"),"")</f>
        <v/>
      </c>
      <c r="J515" s="3" t="str">
        <f aca="false">IFERROR(__xludf.dummyfunction("if($T515&lt;&gt;"""",REGEXEXTRACT($T515, J$1&amp;""[\w &amp;]*, (\d+\.\d+)""),"""")
"),"")</f>
        <v/>
      </c>
      <c r="K515" s="3"/>
      <c r="L515" s="3" t="str">
        <f aca="false">IFERROR(__xludf.dummyfunction("if($T515&lt;&gt;"""",REGEXEXTRACT(SUBSTITUTE ($T515,L$1&amp;"" CE"",""""), L$1&amp;""[\w &amp;]*, (\d+\.\d+)""),"""")
"),"")</f>
        <v/>
      </c>
      <c r="M515" s="3" t="str">
        <f aca="false">IFERROR(__xludf.dummyfunction("if($T515&lt;&gt;"""",REGEXEXTRACT($T515, M$1&amp;""[\w &amp;]*, (\d+\.\d+)""),"""")
"),"")</f>
        <v/>
      </c>
      <c r="N515" s="3" t="str">
        <f aca="false">IFERROR(__xludf.dummyfunction("if($T515&lt;&gt;"""",REGEXEXTRACT(SUBSTITUTE ($T515,N$1&amp;"" CE"",""""), N$1&amp;""[\w &amp;]*, (\d+\.\d+)""),"""")
"),"")</f>
        <v/>
      </c>
      <c r="O515" s="3" t="str">
        <f aca="false">IFERROR(__xludf.dummyfunction("if($T515&lt;&gt;"""",REGEXEXTRACT($T515, O$1&amp;""[\w &amp;]*, (\d+\.\d+)""),"""")
"),"")</f>
        <v/>
      </c>
      <c r="P515" s="2"/>
      <c r="Q515" s="2"/>
      <c r="R515" s="2"/>
      <c r="S515" s="2"/>
      <c r="T515" s="5"/>
    </row>
    <row r="516" customFormat="false" ht="15.75" hidden="false" customHeight="false" outlineLevel="0" collapsed="false">
      <c r="A516" s="4"/>
      <c r="B516" s="2"/>
      <c r="C516" s="2"/>
      <c r="D516" s="2"/>
      <c r="E516" s="2"/>
      <c r="F516" s="3" t="str">
        <f aca="false">IFERROR(__xludf.dummyfunction("if($T516&lt;&gt;"""",REGEXEXTRACT(SUBSTITUTE ($T516,F$1&amp;"" CE"",""""), F$1&amp;""[\w &amp;]*, (\d+\.\d+)""),"""")
"),"")</f>
        <v/>
      </c>
      <c r="G516" s="3" t="str">
        <f aca="false">IFERROR(__xludf.dummyfunction("if($T516&lt;&gt;"""",REGEXEXTRACT($T516, G$1&amp;""[\w &amp;]*, (\d+\.\d+)""),"""")
"),"")</f>
        <v/>
      </c>
      <c r="H516" s="3"/>
      <c r="I516" s="3" t="str">
        <f aca="false">IFERROR(__xludf.dummyfunction("if($T516&lt;&gt;"""",REGEXEXTRACT(SUBSTITUTE ($T516,I$1&amp;"" CE"",""""), I$1&amp;""[\w &amp;]*, (\d+\.\d+)""),"""")
"),"")</f>
        <v/>
      </c>
      <c r="J516" s="3" t="str">
        <f aca="false">IFERROR(__xludf.dummyfunction("if($T516&lt;&gt;"""",REGEXEXTRACT($T516, J$1&amp;""[\w &amp;]*, (\d+\.\d+)""),"""")
"),"")</f>
        <v/>
      </c>
      <c r="K516" s="3"/>
      <c r="L516" s="3" t="str">
        <f aca="false">IFERROR(__xludf.dummyfunction("if($T516&lt;&gt;"""",REGEXEXTRACT(SUBSTITUTE ($T516,L$1&amp;"" CE"",""""), L$1&amp;""[\w &amp;]*, (\d+\.\d+)""),"""")
"),"")</f>
        <v/>
      </c>
      <c r="M516" s="3" t="str">
        <f aca="false">IFERROR(__xludf.dummyfunction("if($T516&lt;&gt;"""",REGEXEXTRACT($T516, M$1&amp;""[\w &amp;]*, (\d+\.\d+)""),"""")
"),"")</f>
        <v/>
      </c>
      <c r="N516" s="3" t="str">
        <f aca="false">IFERROR(__xludf.dummyfunction("if($T516&lt;&gt;"""",REGEXEXTRACT(SUBSTITUTE ($T516,N$1&amp;"" CE"",""""), N$1&amp;""[\w &amp;]*, (\d+\.\d+)""),"""")
"),"")</f>
        <v/>
      </c>
      <c r="O516" s="3" t="str">
        <f aca="false">IFERROR(__xludf.dummyfunction("if($T516&lt;&gt;"""",REGEXEXTRACT($T516, O$1&amp;""[\w &amp;]*, (\d+\.\d+)""),"""")
"),"")</f>
        <v/>
      </c>
      <c r="P516" s="2"/>
      <c r="Q516" s="2"/>
      <c r="R516" s="2"/>
      <c r="S516" s="2"/>
      <c r="T516" s="5"/>
    </row>
    <row r="517" customFormat="false" ht="15.75" hidden="false" customHeight="false" outlineLevel="0" collapsed="false">
      <c r="A517" s="4"/>
      <c r="B517" s="2"/>
      <c r="C517" s="2"/>
      <c r="D517" s="2"/>
      <c r="E517" s="2"/>
      <c r="F517" s="3" t="str">
        <f aca="false">IFERROR(__xludf.dummyfunction("if($T517&lt;&gt;"""",REGEXEXTRACT(SUBSTITUTE ($T517,F$1&amp;"" CE"",""""), F$1&amp;""[\w &amp;]*, (\d+\.\d+)""),"""")
"),"")</f>
        <v/>
      </c>
      <c r="G517" s="3" t="str">
        <f aca="false">IFERROR(__xludf.dummyfunction("if($T517&lt;&gt;"""",REGEXEXTRACT($T517, G$1&amp;""[\w &amp;]*, (\d+\.\d+)""),"""")
"),"")</f>
        <v/>
      </c>
      <c r="H517" s="3"/>
      <c r="I517" s="3" t="str">
        <f aca="false">IFERROR(__xludf.dummyfunction("if($T517&lt;&gt;"""",REGEXEXTRACT(SUBSTITUTE ($T517,I$1&amp;"" CE"",""""), I$1&amp;""[\w &amp;]*, (\d+\.\d+)""),"""")
"),"")</f>
        <v/>
      </c>
      <c r="J517" s="3" t="str">
        <f aca="false">IFERROR(__xludf.dummyfunction("if($T517&lt;&gt;"""",REGEXEXTRACT($T517, J$1&amp;""[\w &amp;]*, (\d+\.\d+)""),"""")
"),"")</f>
        <v/>
      </c>
      <c r="K517" s="3"/>
      <c r="L517" s="3" t="str">
        <f aca="false">IFERROR(__xludf.dummyfunction("if($T517&lt;&gt;"""",REGEXEXTRACT(SUBSTITUTE ($T517,L$1&amp;"" CE"",""""), L$1&amp;""[\w &amp;]*, (\d+\.\d+)""),"""")
"),"")</f>
        <v/>
      </c>
      <c r="M517" s="3" t="str">
        <f aca="false">IFERROR(__xludf.dummyfunction("if($T517&lt;&gt;"""",REGEXEXTRACT($T517, M$1&amp;""[\w &amp;]*, (\d+\.\d+)""),"""")
"),"")</f>
        <v/>
      </c>
      <c r="N517" s="3" t="str">
        <f aca="false">IFERROR(__xludf.dummyfunction("if($T517&lt;&gt;"""",REGEXEXTRACT(SUBSTITUTE ($T517,N$1&amp;"" CE"",""""), N$1&amp;""[\w &amp;]*, (\d+\.\d+)""),"""")
"),"")</f>
        <v/>
      </c>
      <c r="O517" s="3" t="str">
        <f aca="false">IFERROR(__xludf.dummyfunction("if($T517&lt;&gt;"""",REGEXEXTRACT($T517, O$1&amp;""[\w &amp;]*, (\d+\.\d+)""),"""")
"),"")</f>
        <v/>
      </c>
      <c r="P517" s="2"/>
      <c r="Q517" s="2"/>
      <c r="R517" s="2"/>
      <c r="S517" s="2"/>
      <c r="T517" s="5"/>
    </row>
    <row r="518" customFormat="false" ht="15.75" hidden="false" customHeight="false" outlineLevel="0" collapsed="false">
      <c r="A518" s="4"/>
      <c r="B518" s="2"/>
      <c r="C518" s="2"/>
      <c r="D518" s="2"/>
      <c r="E518" s="2"/>
      <c r="F518" s="3" t="str">
        <f aca="false">IFERROR(__xludf.dummyfunction("if($T518&lt;&gt;"""",REGEXEXTRACT(SUBSTITUTE ($T518,F$1&amp;"" CE"",""""), F$1&amp;""[\w &amp;]*, (\d+\.\d+)""),"""")
"),"")</f>
        <v/>
      </c>
      <c r="G518" s="3" t="str">
        <f aca="false">IFERROR(__xludf.dummyfunction("if($T518&lt;&gt;"""",REGEXEXTRACT($T518, G$1&amp;""[\w &amp;]*, (\d+\.\d+)""),"""")
"),"")</f>
        <v/>
      </c>
      <c r="H518" s="3"/>
      <c r="I518" s="3" t="str">
        <f aca="false">IFERROR(__xludf.dummyfunction("if($T518&lt;&gt;"""",REGEXEXTRACT(SUBSTITUTE ($T518,I$1&amp;"" CE"",""""), I$1&amp;""[\w &amp;]*, (\d+\.\d+)""),"""")
"),"")</f>
        <v/>
      </c>
      <c r="J518" s="3" t="str">
        <f aca="false">IFERROR(__xludf.dummyfunction("if($T518&lt;&gt;"""",REGEXEXTRACT($T518, J$1&amp;""[\w &amp;]*, (\d+\.\d+)""),"""")
"),"")</f>
        <v/>
      </c>
      <c r="K518" s="3"/>
      <c r="L518" s="3" t="str">
        <f aca="false">IFERROR(__xludf.dummyfunction("if($T518&lt;&gt;"""",REGEXEXTRACT(SUBSTITUTE ($T518,L$1&amp;"" CE"",""""), L$1&amp;""[\w &amp;]*, (\d+\.\d+)""),"""")
"),"")</f>
        <v/>
      </c>
      <c r="M518" s="3" t="str">
        <f aca="false">IFERROR(__xludf.dummyfunction("if($T518&lt;&gt;"""",REGEXEXTRACT($T518, M$1&amp;""[\w &amp;]*, (\d+\.\d+)""),"""")
"),"")</f>
        <v/>
      </c>
      <c r="N518" s="3" t="str">
        <f aca="false">IFERROR(__xludf.dummyfunction("if($T518&lt;&gt;"""",REGEXEXTRACT(SUBSTITUTE ($T518,N$1&amp;"" CE"",""""), N$1&amp;""[\w &amp;]*, (\d+\.\d+)""),"""")
"),"")</f>
        <v/>
      </c>
      <c r="O518" s="3" t="str">
        <f aca="false">IFERROR(__xludf.dummyfunction("if($T518&lt;&gt;"""",REGEXEXTRACT($T518, O$1&amp;""[\w &amp;]*, (\d+\.\d+)""),"""")
"),"")</f>
        <v/>
      </c>
      <c r="P518" s="2"/>
      <c r="Q518" s="2"/>
      <c r="R518" s="2"/>
      <c r="S518" s="2"/>
      <c r="T518" s="5"/>
    </row>
    <row r="519" customFormat="false" ht="15.75" hidden="false" customHeight="false" outlineLevel="0" collapsed="false">
      <c r="A519" s="4"/>
      <c r="B519" s="2"/>
      <c r="C519" s="2"/>
      <c r="D519" s="2"/>
      <c r="E519" s="2"/>
      <c r="F519" s="3" t="str">
        <f aca="false">IFERROR(__xludf.dummyfunction("if($T519&lt;&gt;"""",REGEXEXTRACT(SUBSTITUTE ($T519,F$1&amp;"" CE"",""""), F$1&amp;""[\w &amp;]*, (\d+\.\d+)""),"""")
"),"")</f>
        <v/>
      </c>
      <c r="G519" s="3" t="str">
        <f aca="false">IFERROR(__xludf.dummyfunction("if($T519&lt;&gt;"""",REGEXEXTRACT($T519, G$1&amp;""[\w &amp;]*, (\d+\.\d+)""),"""")
"),"")</f>
        <v/>
      </c>
      <c r="H519" s="3"/>
      <c r="I519" s="3" t="str">
        <f aca="false">IFERROR(__xludf.dummyfunction("if($T519&lt;&gt;"""",REGEXEXTRACT(SUBSTITUTE ($T519,I$1&amp;"" CE"",""""), I$1&amp;""[\w &amp;]*, (\d+\.\d+)""),"""")
"),"")</f>
        <v/>
      </c>
      <c r="J519" s="3" t="str">
        <f aca="false">IFERROR(__xludf.dummyfunction("if($T519&lt;&gt;"""",REGEXEXTRACT($T519, J$1&amp;""[\w &amp;]*, (\d+\.\d+)""),"""")
"),"")</f>
        <v/>
      </c>
      <c r="K519" s="3"/>
      <c r="L519" s="3" t="str">
        <f aca="false">IFERROR(__xludf.dummyfunction("if($T519&lt;&gt;"""",REGEXEXTRACT(SUBSTITUTE ($T519,L$1&amp;"" CE"",""""), L$1&amp;""[\w &amp;]*, (\d+\.\d+)""),"""")
"),"")</f>
        <v/>
      </c>
      <c r="M519" s="3" t="str">
        <f aca="false">IFERROR(__xludf.dummyfunction("if($T519&lt;&gt;"""",REGEXEXTRACT($T519, M$1&amp;""[\w &amp;]*, (\d+\.\d+)""),"""")
"),"")</f>
        <v/>
      </c>
      <c r="N519" s="3" t="str">
        <f aca="false">IFERROR(__xludf.dummyfunction("if($T519&lt;&gt;"""",REGEXEXTRACT(SUBSTITUTE ($T519,N$1&amp;"" CE"",""""), N$1&amp;""[\w &amp;]*, (\d+\.\d+)""),"""")
"),"")</f>
        <v/>
      </c>
      <c r="O519" s="3" t="str">
        <f aca="false">IFERROR(__xludf.dummyfunction("if($T519&lt;&gt;"""",REGEXEXTRACT($T519, O$1&amp;""[\w &amp;]*, (\d+\.\d+)""),"""")
"),"")</f>
        <v/>
      </c>
      <c r="P519" s="2"/>
      <c r="Q519" s="2"/>
      <c r="R519" s="2"/>
      <c r="S519" s="2"/>
      <c r="T519" s="5"/>
    </row>
    <row r="520" customFormat="false" ht="15.75" hidden="false" customHeight="false" outlineLevel="0" collapsed="false">
      <c r="A520" s="4"/>
      <c r="B520" s="2"/>
      <c r="C520" s="2"/>
      <c r="D520" s="2"/>
      <c r="E520" s="2"/>
      <c r="F520" s="3" t="str">
        <f aca="false">IFERROR(__xludf.dummyfunction("if($T520&lt;&gt;"""",REGEXEXTRACT(SUBSTITUTE ($T520,F$1&amp;"" CE"",""""), F$1&amp;""[\w &amp;]*, (\d+\.\d+)""),"""")
"),"")</f>
        <v/>
      </c>
      <c r="G520" s="3" t="str">
        <f aca="false">IFERROR(__xludf.dummyfunction("if($T520&lt;&gt;"""",REGEXEXTRACT($T520, G$1&amp;""[\w &amp;]*, (\d+\.\d+)""),"""")
"),"")</f>
        <v/>
      </c>
      <c r="H520" s="3"/>
      <c r="I520" s="3" t="str">
        <f aca="false">IFERROR(__xludf.dummyfunction("if($T520&lt;&gt;"""",REGEXEXTRACT(SUBSTITUTE ($T520,I$1&amp;"" CE"",""""), I$1&amp;""[\w &amp;]*, (\d+\.\d+)""),"""")
"),"")</f>
        <v/>
      </c>
      <c r="J520" s="3" t="str">
        <f aca="false">IFERROR(__xludf.dummyfunction("if($T520&lt;&gt;"""",REGEXEXTRACT($T520, J$1&amp;""[\w &amp;]*, (\d+\.\d+)""),"""")
"),"")</f>
        <v/>
      </c>
      <c r="K520" s="3"/>
      <c r="L520" s="3" t="str">
        <f aca="false">IFERROR(__xludf.dummyfunction("if($T520&lt;&gt;"""",REGEXEXTRACT(SUBSTITUTE ($T520,L$1&amp;"" CE"",""""), L$1&amp;""[\w &amp;]*, (\d+\.\d+)""),"""")
"),"")</f>
        <v/>
      </c>
      <c r="M520" s="3" t="str">
        <f aca="false">IFERROR(__xludf.dummyfunction("if($T520&lt;&gt;"""",REGEXEXTRACT($T520, M$1&amp;""[\w &amp;]*, (\d+\.\d+)""),"""")
"),"")</f>
        <v/>
      </c>
      <c r="N520" s="3" t="str">
        <f aca="false">IFERROR(__xludf.dummyfunction("if($T520&lt;&gt;"""",REGEXEXTRACT(SUBSTITUTE ($T520,N$1&amp;"" CE"",""""), N$1&amp;""[\w &amp;]*, (\d+\.\d+)""),"""")
"),"")</f>
        <v/>
      </c>
      <c r="O520" s="3" t="str">
        <f aca="false">IFERROR(__xludf.dummyfunction("if($T520&lt;&gt;"""",REGEXEXTRACT($T520, O$1&amp;""[\w &amp;]*, (\d+\.\d+)""),"""")
"),"")</f>
        <v/>
      </c>
      <c r="P520" s="2"/>
      <c r="Q520" s="2"/>
      <c r="R520" s="2"/>
      <c r="S520" s="2"/>
      <c r="T520" s="5"/>
    </row>
    <row r="521" customFormat="false" ht="15.75" hidden="false" customHeight="false" outlineLevel="0" collapsed="false">
      <c r="A521" s="4"/>
      <c r="B521" s="2"/>
      <c r="C521" s="2"/>
      <c r="D521" s="2"/>
      <c r="E521" s="2"/>
      <c r="F521" s="3" t="str">
        <f aca="false">IFERROR(__xludf.dummyfunction("if($T521&lt;&gt;"""",REGEXEXTRACT(SUBSTITUTE ($T521,F$1&amp;"" CE"",""""), F$1&amp;""[\w &amp;]*, (\d+\.\d+)""),"""")
"),"")</f>
        <v/>
      </c>
      <c r="G521" s="3" t="str">
        <f aca="false">IFERROR(__xludf.dummyfunction("if($T521&lt;&gt;"""",REGEXEXTRACT($T521, G$1&amp;""[\w &amp;]*, (\d+\.\d+)""),"""")
"),"")</f>
        <v/>
      </c>
      <c r="H521" s="3"/>
      <c r="I521" s="3" t="str">
        <f aca="false">IFERROR(__xludf.dummyfunction("if($T521&lt;&gt;"""",REGEXEXTRACT(SUBSTITUTE ($T521,I$1&amp;"" CE"",""""), I$1&amp;""[\w &amp;]*, (\d+\.\d+)""),"""")
"),"")</f>
        <v/>
      </c>
      <c r="J521" s="3" t="str">
        <f aca="false">IFERROR(__xludf.dummyfunction("if($T521&lt;&gt;"""",REGEXEXTRACT($T521, J$1&amp;""[\w &amp;]*, (\d+\.\d+)""),"""")
"),"")</f>
        <v/>
      </c>
      <c r="K521" s="3"/>
      <c r="L521" s="3" t="str">
        <f aca="false">IFERROR(__xludf.dummyfunction("if($T521&lt;&gt;"""",REGEXEXTRACT(SUBSTITUTE ($T521,L$1&amp;"" CE"",""""), L$1&amp;""[\w &amp;]*, (\d+\.\d+)""),"""")
"),"")</f>
        <v/>
      </c>
      <c r="M521" s="3" t="str">
        <f aca="false">IFERROR(__xludf.dummyfunction("if($T521&lt;&gt;"""",REGEXEXTRACT($T521, M$1&amp;""[\w &amp;]*, (\d+\.\d+)""),"""")
"),"")</f>
        <v/>
      </c>
      <c r="N521" s="3" t="str">
        <f aca="false">IFERROR(__xludf.dummyfunction("if($T521&lt;&gt;"""",REGEXEXTRACT(SUBSTITUTE ($T521,N$1&amp;"" CE"",""""), N$1&amp;""[\w &amp;]*, (\d+\.\d+)""),"""")
"),"")</f>
        <v/>
      </c>
      <c r="O521" s="3" t="str">
        <f aca="false">IFERROR(__xludf.dummyfunction("if($T521&lt;&gt;"""",REGEXEXTRACT($T521, O$1&amp;""[\w &amp;]*, (\d+\.\d+)""),"""")
"),"")</f>
        <v/>
      </c>
      <c r="P521" s="2"/>
      <c r="Q521" s="2"/>
      <c r="R521" s="2"/>
      <c r="S521" s="2"/>
      <c r="T521" s="5"/>
    </row>
    <row r="522" customFormat="false" ht="15.75" hidden="false" customHeight="false" outlineLevel="0" collapsed="false">
      <c r="A522" s="4"/>
      <c r="B522" s="2"/>
      <c r="C522" s="2"/>
      <c r="D522" s="2"/>
      <c r="E522" s="2"/>
      <c r="F522" s="3" t="str">
        <f aca="false">IFERROR(__xludf.dummyfunction("if($T522&lt;&gt;"""",REGEXEXTRACT(SUBSTITUTE ($T522,F$1&amp;"" CE"",""""), F$1&amp;""[\w &amp;]*, (\d+\.\d+)""),"""")
"),"")</f>
        <v/>
      </c>
      <c r="G522" s="3" t="str">
        <f aca="false">IFERROR(__xludf.dummyfunction("if($T522&lt;&gt;"""",REGEXEXTRACT($T522, G$1&amp;""[\w &amp;]*, (\d+\.\d+)""),"""")
"),"")</f>
        <v/>
      </c>
      <c r="H522" s="3"/>
      <c r="I522" s="3" t="str">
        <f aca="false">IFERROR(__xludf.dummyfunction("if($T522&lt;&gt;"""",REGEXEXTRACT(SUBSTITUTE ($T522,I$1&amp;"" CE"",""""), I$1&amp;""[\w &amp;]*, (\d+\.\d+)""),"""")
"),"")</f>
        <v/>
      </c>
      <c r="J522" s="3" t="str">
        <f aca="false">IFERROR(__xludf.dummyfunction("if($T522&lt;&gt;"""",REGEXEXTRACT($T522, J$1&amp;""[\w &amp;]*, (\d+\.\d+)""),"""")
"),"")</f>
        <v/>
      </c>
      <c r="K522" s="3"/>
      <c r="L522" s="3" t="str">
        <f aca="false">IFERROR(__xludf.dummyfunction("if($T522&lt;&gt;"""",REGEXEXTRACT(SUBSTITUTE ($T522,L$1&amp;"" CE"",""""), L$1&amp;""[\w &amp;]*, (\d+\.\d+)""),"""")
"),"")</f>
        <v/>
      </c>
      <c r="M522" s="3" t="str">
        <f aca="false">IFERROR(__xludf.dummyfunction("if($T522&lt;&gt;"""",REGEXEXTRACT($T522, M$1&amp;""[\w &amp;]*, (\d+\.\d+)""),"""")
"),"")</f>
        <v/>
      </c>
      <c r="N522" s="3" t="str">
        <f aca="false">IFERROR(__xludf.dummyfunction("if($T522&lt;&gt;"""",REGEXEXTRACT(SUBSTITUTE ($T522,N$1&amp;"" CE"",""""), N$1&amp;""[\w &amp;]*, (\d+\.\d+)""),"""")
"),"")</f>
        <v/>
      </c>
      <c r="O522" s="3" t="str">
        <f aca="false">IFERROR(__xludf.dummyfunction("if($T522&lt;&gt;"""",REGEXEXTRACT($T522, O$1&amp;""[\w &amp;]*, (\d+\.\d+)""),"""")
"),"")</f>
        <v/>
      </c>
      <c r="P522" s="2"/>
      <c r="Q522" s="2"/>
      <c r="R522" s="2"/>
      <c r="S522" s="2"/>
      <c r="T522" s="5"/>
    </row>
    <row r="523" customFormat="false" ht="15.75" hidden="false" customHeight="false" outlineLevel="0" collapsed="false">
      <c r="A523" s="4"/>
      <c r="B523" s="2"/>
      <c r="C523" s="2"/>
      <c r="D523" s="2"/>
      <c r="E523" s="2"/>
      <c r="F523" s="3" t="str">
        <f aca="false">IFERROR(__xludf.dummyfunction("if($T523&lt;&gt;"""",REGEXEXTRACT(SUBSTITUTE ($T523,F$1&amp;"" CE"",""""), F$1&amp;""[\w &amp;]*, (\d+\.\d+)""),"""")
"),"")</f>
        <v/>
      </c>
      <c r="G523" s="3" t="str">
        <f aca="false">IFERROR(__xludf.dummyfunction("if($T523&lt;&gt;"""",REGEXEXTRACT($T523, G$1&amp;""[\w &amp;]*, (\d+\.\d+)""),"""")
"),"")</f>
        <v/>
      </c>
      <c r="H523" s="3"/>
      <c r="I523" s="3" t="str">
        <f aca="false">IFERROR(__xludf.dummyfunction("if($T523&lt;&gt;"""",REGEXEXTRACT(SUBSTITUTE ($T523,I$1&amp;"" CE"",""""), I$1&amp;""[\w &amp;]*, (\d+\.\d+)""),"""")
"),"")</f>
        <v/>
      </c>
      <c r="J523" s="3" t="str">
        <f aca="false">IFERROR(__xludf.dummyfunction("if($T523&lt;&gt;"""",REGEXEXTRACT($T523, J$1&amp;""[\w &amp;]*, (\d+\.\d+)""),"""")
"),"")</f>
        <v/>
      </c>
      <c r="K523" s="3"/>
      <c r="L523" s="3" t="str">
        <f aca="false">IFERROR(__xludf.dummyfunction("if($T523&lt;&gt;"""",REGEXEXTRACT(SUBSTITUTE ($T523,L$1&amp;"" CE"",""""), L$1&amp;""[\w &amp;]*, (\d+\.\d+)""),"""")
"),"")</f>
        <v/>
      </c>
      <c r="M523" s="3" t="str">
        <f aca="false">IFERROR(__xludf.dummyfunction("if($T523&lt;&gt;"""",REGEXEXTRACT($T523, M$1&amp;""[\w &amp;]*, (\d+\.\d+)""),"""")
"),"")</f>
        <v/>
      </c>
      <c r="N523" s="3" t="str">
        <f aca="false">IFERROR(__xludf.dummyfunction("if($T523&lt;&gt;"""",REGEXEXTRACT(SUBSTITUTE ($T523,N$1&amp;"" CE"",""""), N$1&amp;""[\w &amp;]*, (\d+\.\d+)""),"""")
"),"")</f>
        <v/>
      </c>
      <c r="O523" s="3" t="str">
        <f aca="false">IFERROR(__xludf.dummyfunction("if($T523&lt;&gt;"""",REGEXEXTRACT($T523, O$1&amp;""[\w &amp;]*, (\d+\.\d+)""),"""")
"),"")</f>
        <v/>
      </c>
      <c r="P523" s="2"/>
      <c r="Q523" s="2"/>
      <c r="R523" s="2"/>
      <c r="S523" s="2"/>
      <c r="T523" s="5"/>
    </row>
    <row r="524" customFormat="false" ht="15.75" hidden="false" customHeight="false" outlineLevel="0" collapsed="false">
      <c r="A524" s="4"/>
      <c r="B524" s="2"/>
      <c r="C524" s="2"/>
      <c r="D524" s="2"/>
      <c r="E524" s="2"/>
      <c r="F524" s="3" t="str">
        <f aca="false">IFERROR(__xludf.dummyfunction("if($T524&lt;&gt;"""",REGEXEXTRACT(SUBSTITUTE ($T524,F$1&amp;"" CE"",""""), F$1&amp;""[\w &amp;]*, (\d+\.\d+)""),"""")
"),"")</f>
        <v/>
      </c>
      <c r="G524" s="3" t="str">
        <f aca="false">IFERROR(__xludf.dummyfunction("if($T524&lt;&gt;"""",REGEXEXTRACT($T524, G$1&amp;""[\w &amp;]*, (\d+\.\d+)""),"""")
"),"")</f>
        <v/>
      </c>
      <c r="H524" s="3"/>
      <c r="I524" s="3" t="str">
        <f aca="false">IFERROR(__xludf.dummyfunction("if($T524&lt;&gt;"""",REGEXEXTRACT(SUBSTITUTE ($T524,I$1&amp;"" CE"",""""), I$1&amp;""[\w &amp;]*, (\d+\.\d+)""),"""")
"),"")</f>
        <v/>
      </c>
      <c r="J524" s="3" t="str">
        <f aca="false">IFERROR(__xludf.dummyfunction("if($T524&lt;&gt;"""",REGEXEXTRACT($T524, J$1&amp;""[\w &amp;]*, (\d+\.\d+)""),"""")
"),"")</f>
        <v/>
      </c>
      <c r="K524" s="3"/>
      <c r="L524" s="3" t="str">
        <f aca="false">IFERROR(__xludf.dummyfunction("if($T524&lt;&gt;"""",REGEXEXTRACT(SUBSTITUTE ($T524,L$1&amp;"" CE"",""""), L$1&amp;""[\w &amp;]*, (\d+\.\d+)""),"""")
"),"")</f>
        <v/>
      </c>
      <c r="M524" s="3" t="str">
        <f aca="false">IFERROR(__xludf.dummyfunction("if($T524&lt;&gt;"""",REGEXEXTRACT($T524, M$1&amp;""[\w &amp;]*, (\d+\.\d+)""),"""")
"),"")</f>
        <v/>
      </c>
      <c r="N524" s="3" t="str">
        <f aca="false">IFERROR(__xludf.dummyfunction("if($T524&lt;&gt;"""",REGEXEXTRACT(SUBSTITUTE ($T524,N$1&amp;"" CE"",""""), N$1&amp;""[\w &amp;]*, (\d+\.\d+)""),"""")
"),"")</f>
        <v/>
      </c>
      <c r="O524" s="3" t="str">
        <f aca="false">IFERROR(__xludf.dummyfunction("if($T524&lt;&gt;"""",REGEXEXTRACT($T524, O$1&amp;""[\w &amp;]*, (\d+\.\d+)""),"""")
"),"")</f>
        <v/>
      </c>
      <c r="P524" s="2"/>
      <c r="Q524" s="2"/>
      <c r="R524" s="2"/>
      <c r="S524" s="2"/>
      <c r="T524" s="5"/>
    </row>
    <row r="525" customFormat="false" ht="15.75" hidden="false" customHeight="false" outlineLevel="0" collapsed="false">
      <c r="A525" s="4"/>
      <c r="B525" s="2"/>
      <c r="C525" s="2"/>
      <c r="D525" s="2"/>
      <c r="E525" s="2"/>
      <c r="F525" s="3" t="str">
        <f aca="false">IFERROR(__xludf.dummyfunction("if($T525&lt;&gt;"""",REGEXEXTRACT(SUBSTITUTE ($T525,F$1&amp;"" CE"",""""), F$1&amp;""[\w &amp;]*, (\d+\.\d+)""),"""")
"),"")</f>
        <v/>
      </c>
      <c r="G525" s="3" t="str">
        <f aca="false">IFERROR(__xludf.dummyfunction("if($T525&lt;&gt;"""",REGEXEXTRACT($T525, G$1&amp;""[\w &amp;]*, (\d+\.\d+)""),"""")
"),"")</f>
        <v/>
      </c>
      <c r="H525" s="3"/>
      <c r="I525" s="3" t="str">
        <f aca="false">IFERROR(__xludf.dummyfunction("if($T525&lt;&gt;"""",REGEXEXTRACT(SUBSTITUTE ($T525,I$1&amp;"" CE"",""""), I$1&amp;""[\w &amp;]*, (\d+\.\d+)""),"""")
"),"")</f>
        <v/>
      </c>
      <c r="J525" s="3" t="str">
        <f aca="false">IFERROR(__xludf.dummyfunction("if($T525&lt;&gt;"""",REGEXEXTRACT($T525, J$1&amp;""[\w &amp;]*, (\d+\.\d+)""),"""")
"),"")</f>
        <v/>
      </c>
      <c r="K525" s="3"/>
      <c r="L525" s="3" t="str">
        <f aca="false">IFERROR(__xludf.dummyfunction("if($T525&lt;&gt;"""",REGEXEXTRACT(SUBSTITUTE ($T525,L$1&amp;"" CE"",""""), L$1&amp;""[\w &amp;]*, (\d+\.\d+)""),"""")
"),"")</f>
        <v/>
      </c>
      <c r="M525" s="3" t="str">
        <f aca="false">IFERROR(__xludf.dummyfunction("if($T525&lt;&gt;"""",REGEXEXTRACT($T525, M$1&amp;""[\w &amp;]*, (\d+\.\d+)""),"""")
"),"")</f>
        <v/>
      </c>
      <c r="N525" s="3" t="str">
        <f aca="false">IFERROR(__xludf.dummyfunction("if($T525&lt;&gt;"""",REGEXEXTRACT(SUBSTITUTE ($T525,N$1&amp;"" CE"",""""), N$1&amp;""[\w &amp;]*, (\d+\.\d+)""),"""")
"),"")</f>
        <v/>
      </c>
      <c r="O525" s="3" t="str">
        <f aca="false">IFERROR(__xludf.dummyfunction("if($T525&lt;&gt;"""",REGEXEXTRACT($T525, O$1&amp;""[\w &amp;]*, (\d+\.\d+)""),"""")
"),"")</f>
        <v/>
      </c>
      <c r="P525" s="2"/>
      <c r="Q525" s="2"/>
      <c r="R525" s="2"/>
      <c r="S525" s="2"/>
      <c r="T525" s="5"/>
    </row>
    <row r="526" customFormat="false" ht="15.75" hidden="false" customHeight="false" outlineLevel="0" collapsed="false">
      <c r="A526" s="4"/>
      <c r="B526" s="2"/>
      <c r="C526" s="2"/>
      <c r="D526" s="2"/>
      <c r="E526" s="2"/>
      <c r="F526" s="3" t="str">
        <f aca="false">IFERROR(__xludf.dummyfunction("if($T526&lt;&gt;"""",REGEXEXTRACT(SUBSTITUTE ($T526,F$1&amp;"" CE"",""""), F$1&amp;""[\w &amp;]*, (\d+\.\d+)""),"""")
"),"")</f>
        <v/>
      </c>
      <c r="G526" s="3" t="str">
        <f aca="false">IFERROR(__xludf.dummyfunction("if($T526&lt;&gt;"""",REGEXEXTRACT($T526, G$1&amp;""[\w &amp;]*, (\d+\.\d+)""),"""")
"),"")</f>
        <v/>
      </c>
      <c r="H526" s="3"/>
      <c r="I526" s="3" t="str">
        <f aca="false">IFERROR(__xludf.dummyfunction("if($T526&lt;&gt;"""",REGEXEXTRACT(SUBSTITUTE ($T526,I$1&amp;"" CE"",""""), I$1&amp;""[\w &amp;]*, (\d+\.\d+)""),"""")
"),"")</f>
        <v/>
      </c>
      <c r="J526" s="3" t="str">
        <f aca="false">IFERROR(__xludf.dummyfunction("if($T526&lt;&gt;"""",REGEXEXTRACT($T526, J$1&amp;""[\w &amp;]*, (\d+\.\d+)""),"""")
"),"")</f>
        <v/>
      </c>
      <c r="K526" s="3"/>
      <c r="L526" s="3" t="str">
        <f aca="false">IFERROR(__xludf.dummyfunction("if($T526&lt;&gt;"""",REGEXEXTRACT(SUBSTITUTE ($T526,L$1&amp;"" CE"",""""), L$1&amp;""[\w &amp;]*, (\d+\.\d+)""),"""")
"),"")</f>
        <v/>
      </c>
      <c r="M526" s="3" t="str">
        <f aca="false">IFERROR(__xludf.dummyfunction("if($T526&lt;&gt;"""",REGEXEXTRACT($T526, M$1&amp;""[\w &amp;]*, (\d+\.\d+)""),"""")
"),"")</f>
        <v/>
      </c>
      <c r="N526" s="3" t="str">
        <f aca="false">IFERROR(__xludf.dummyfunction("if($T526&lt;&gt;"""",REGEXEXTRACT(SUBSTITUTE ($T526,N$1&amp;"" CE"",""""), N$1&amp;""[\w &amp;]*, (\d+\.\d+)""),"""")
"),"")</f>
        <v/>
      </c>
      <c r="O526" s="3" t="str">
        <f aca="false">IFERROR(__xludf.dummyfunction("if($T526&lt;&gt;"""",REGEXEXTRACT($T526, O$1&amp;""[\w &amp;]*, (\d+\.\d+)""),"""")
"),"")</f>
        <v/>
      </c>
      <c r="P526" s="2"/>
      <c r="Q526" s="2"/>
      <c r="R526" s="2"/>
      <c r="S526" s="2"/>
      <c r="T526" s="5"/>
    </row>
    <row r="527" customFormat="false" ht="15.75" hidden="false" customHeight="false" outlineLevel="0" collapsed="false">
      <c r="A527" s="4"/>
      <c r="B527" s="2"/>
      <c r="C527" s="2"/>
      <c r="D527" s="2"/>
      <c r="E527" s="2"/>
      <c r="F527" s="3" t="str">
        <f aca="false">IFERROR(__xludf.dummyfunction("if($T527&lt;&gt;"""",REGEXEXTRACT(SUBSTITUTE ($T527,F$1&amp;"" CE"",""""), F$1&amp;""[\w &amp;]*, (\d+\.\d+)""),"""")
"),"")</f>
        <v/>
      </c>
      <c r="G527" s="3" t="str">
        <f aca="false">IFERROR(__xludf.dummyfunction("if($T527&lt;&gt;"""",REGEXEXTRACT($T527, G$1&amp;""[\w &amp;]*, (\d+\.\d+)""),"""")
"),"")</f>
        <v/>
      </c>
      <c r="H527" s="3"/>
      <c r="I527" s="3" t="str">
        <f aca="false">IFERROR(__xludf.dummyfunction("if($T527&lt;&gt;"""",REGEXEXTRACT(SUBSTITUTE ($T527,I$1&amp;"" CE"",""""), I$1&amp;""[\w &amp;]*, (\d+\.\d+)""),"""")
"),"")</f>
        <v/>
      </c>
      <c r="J527" s="3" t="str">
        <f aca="false">IFERROR(__xludf.dummyfunction("if($T527&lt;&gt;"""",REGEXEXTRACT($T527, J$1&amp;""[\w &amp;]*, (\d+\.\d+)""),"""")
"),"")</f>
        <v/>
      </c>
      <c r="K527" s="3"/>
      <c r="L527" s="3" t="str">
        <f aca="false">IFERROR(__xludf.dummyfunction("if($T527&lt;&gt;"""",REGEXEXTRACT(SUBSTITUTE ($T527,L$1&amp;"" CE"",""""), L$1&amp;""[\w &amp;]*, (\d+\.\d+)""),"""")
"),"")</f>
        <v/>
      </c>
      <c r="M527" s="3" t="str">
        <f aca="false">IFERROR(__xludf.dummyfunction("if($T527&lt;&gt;"""",REGEXEXTRACT($T527, M$1&amp;""[\w &amp;]*, (\d+\.\d+)""),"""")
"),"")</f>
        <v/>
      </c>
      <c r="N527" s="3" t="str">
        <f aca="false">IFERROR(__xludf.dummyfunction("if($T527&lt;&gt;"""",REGEXEXTRACT(SUBSTITUTE ($T527,N$1&amp;"" CE"",""""), N$1&amp;""[\w &amp;]*, (\d+\.\d+)""),"""")
"),"")</f>
        <v/>
      </c>
      <c r="O527" s="3" t="str">
        <f aca="false">IFERROR(__xludf.dummyfunction("if($T527&lt;&gt;"""",REGEXEXTRACT($T527, O$1&amp;""[\w &amp;]*, (\d+\.\d+)""),"""")
"),"")</f>
        <v/>
      </c>
      <c r="P527" s="2"/>
      <c r="Q527" s="2"/>
      <c r="R527" s="2"/>
      <c r="S527" s="2"/>
      <c r="T527" s="5"/>
    </row>
    <row r="528" customFormat="false" ht="15.75" hidden="false" customHeight="false" outlineLevel="0" collapsed="false">
      <c r="A528" s="4"/>
      <c r="B528" s="2"/>
      <c r="C528" s="2"/>
      <c r="D528" s="2"/>
      <c r="E528" s="2"/>
      <c r="F528" s="3" t="str">
        <f aca="false">IFERROR(__xludf.dummyfunction("if($T528&lt;&gt;"""",REGEXEXTRACT(SUBSTITUTE ($T528,F$1&amp;"" CE"",""""), F$1&amp;""[\w &amp;]*, (\d+\.\d+)""),"""")
"),"")</f>
        <v/>
      </c>
      <c r="G528" s="3" t="str">
        <f aca="false">IFERROR(__xludf.dummyfunction("if($T528&lt;&gt;"""",REGEXEXTRACT($T528, G$1&amp;""[\w &amp;]*, (\d+\.\d+)""),"""")
"),"")</f>
        <v/>
      </c>
      <c r="H528" s="3"/>
      <c r="I528" s="3" t="str">
        <f aca="false">IFERROR(__xludf.dummyfunction("if($T528&lt;&gt;"""",REGEXEXTRACT(SUBSTITUTE ($T528,I$1&amp;"" CE"",""""), I$1&amp;""[\w &amp;]*, (\d+\.\d+)""),"""")
"),"")</f>
        <v/>
      </c>
      <c r="J528" s="3" t="str">
        <f aca="false">IFERROR(__xludf.dummyfunction("if($T528&lt;&gt;"""",REGEXEXTRACT($T528, J$1&amp;""[\w &amp;]*, (\d+\.\d+)""),"""")
"),"")</f>
        <v/>
      </c>
      <c r="K528" s="3"/>
      <c r="L528" s="3" t="str">
        <f aca="false">IFERROR(__xludf.dummyfunction("if($T528&lt;&gt;"""",REGEXEXTRACT(SUBSTITUTE ($T528,L$1&amp;"" CE"",""""), L$1&amp;""[\w &amp;]*, (\d+\.\d+)""),"""")
"),"")</f>
        <v/>
      </c>
      <c r="M528" s="3" t="str">
        <f aca="false">IFERROR(__xludf.dummyfunction("if($T528&lt;&gt;"""",REGEXEXTRACT($T528, M$1&amp;""[\w &amp;]*, (\d+\.\d+)""),"""")
"),"")</f>
        <v/>
      </c>
      <c r="N528" s="3" t="str">
        <f aca="false">IFERROR(__xludf.dummyfunction("if($T528&lt;&gt;"""",REGEXEXTRACT(SUBSTITUTE ($T528,N$1&amp;"" CE"",""""), N$1&amp;""[\w &amp;]*, (\d+\.\d+)""),"""")
"),"")</f>
        <v/>
      </c>
      <c r="O528" s="3" t="str">
        <f aca="false">IFERROR(__xludf.dummyfunction("if($T528&lt;&gt;"""",REGEXEXTRACT($T528, O$1&amp;""[\w &amp;]*, (\d+\.\d+)""),"""")
"),"")</f>
        <v/>
      </c>
      <c r="P528" s="2"/>
      <c r="Q528" s="2"/>
      <c r="R528" s="2"/>
      <c r="S528" s="2"/>
      <c r="T528" s="5"/>
    </row>
    <row r="529" customFormat="false" ht="15.75" hidden="false" customHeight="false" outlineLevel="0" collapsed="false">
      <c r="A529" s="4"/>
      <c r="B529" s="2"/>
      <c r="C529" s="2"/>
      <c r="D529" s="2"/>
      <c r="E529" s="2"/>
      <c r="F529" s="3" t="str">
        <f aca="false">IFERROR(__xludf.dummyfunction("if($T529&lt;&gt;"""",REGEXEXTRACT(SUBSTITUTE ($T529,F$1&amp;"" CE"",""""), F$1&amp;""[\w &amp;]*, (\d+\.\d+)""),"""")
"),"")</f>
        <v/>
      </c>
      <c r="G529" s="3" t="str">
        <f aca="false">IFERROR(__xludf.dummyfunction("if($T529&lt;&gt;"""",REGEXEXTRACT($T529, G$1&amp;""[\w &amp;]*, (\d+\.\d+)""),"""")
"),"")</f>
        <v/>
      </c>
      <c r="H529" s="3"/>
      <c r="I529" s="3" t="str">
        <f aca="false">IFERROR(__xludf.dummyfunction("if($T529&lt;&gt;"""",REGEXEXTRACT(SUBSTITUTE ($T529,I$1&amp;"" CE"",""""), I$1&amp;""[\w &amp;]*, (\d+\.\d+)""),"""")
"),"")</f>
        <v/>
      </c>
      <c r="J529" s="3" t="str">
        <f aca="false">IFERROR(__xludf.dummyfunction("if($T529&lt;&gt;"""",REGEXEXTRACT($T529, J$1&amp;""[\w &amp;]*, (\d+\.\d+)""),"""")
"),"")</f>
        <v/>
      </c>
      <c r="K529" s="3"/>
      <c r="L529" s="3" t="str">
        <f aca="false">IFERROR(__xludf.dummyfunction("if($T529&lt;&gt;"""",REGEXEXTRACT(SUBSTITUTE ($T529,L$1&amp;"" CE"",""""), L$1&amp;""[\w &amp;]*, (\d+\.\d+)""),"""")
"),"")</f>
        <v/>
      </c>
      <c r="M529" s="3" t="str">
        <f aca="false">IFERROR(__xludf.dummyfunction("if($T529&lt;&gt;"""",REGEXEXTRACT($T529, M$1&amp;""[\w &amp;]*, (\d+\.\d+)""),"""")
"),"")</f>
        <v/>
      </c>
      <c r="N529" s="3" t="str">
        <f aca="false">IFERROR(__xludf.dummyfunction("if($T529&lt;&gt;"""",REGEXEXTRACT(SUBSTITUTE ($T529,N$1&amp;"" CE"",""""), N$1&amp;""[\w &amp;]*, (\d+\.\d+)""),"""")
"),"")</f>
        <v/>
      </c>
      <c r="O529" s="3" t="str">
        <f aca="false">IFERROR(__xludf.dummyfunction("if($T529&lt;&gt;"""",REGEXEXTRACT($T529, O$1&amp;""[\w &amp;]*, (\d+\.\d+)""),"""")
"),"")</f>
        <v/>
      </c>
      <c r="P529" s="2"/>
      <c r="Q529" s="2"/>
      <c r="R529" s="2"/>
      <c r="S529" s="2"/>
      <c r="T529" s="5"/>
    </row>
    <row r="530" customFormat="false" ht="15.75" hidden="false" customHeight="false" outlineLevel="0" collapsed="false">
      <c r="A530" s="4"/>
      <c r="B530" s="2"/>
      <c r="C530" s="2"/>
      <c r="D530" s="2"/>
      <c r="E530" s="2"/>
      <c r="F530" s="3" t="str">
        <f aca="false">IFERROR(__xludf.dummyfunction("if($T530&lt;&gt;"""",REGEXEXTRACT(SUBSTITUTE ($T530,F$1&amp;"" CE"",""""), F$1&amp;""[\w &amp;]*, (\d+\.\d+)""),"""")
"),"")</f>
        <v/>
      </c>
      <c r="G530" s="3" t="str">
        <f aca="false">IFERROR(__xludf.dummyfunction("if($T530&lt;&gt;"""",REGEXEXTRACT($T530, G$1&amp;""[\w &amp;]*, (\d+\.\d+)""),"""")
"),"")</f>
        <v/>
      </c>
      <c r="H530" s="3"/>
      <c r="I530" s="3" t="str">
        <f aca="false">IFERROR(__xludf.dummyfunction("if($T530&lt;&gt;"""",REGEXEXTRACT(SUBSTITUTE ($T530,I$1&amp;"" CE"",""""), I$1&amp;""[\w &amp;]*, (\d+\.\d+)""),"""")
"),"")</f>
        <v/>
      </c>
      <c r="J530" s="3" t="str">
        <f aca="false">IFERROR(__xludf.dummyfunction("if($T530&lt;&gt;"""",REGEXEXTRACT($T530, J$1&amp;""[\w &amp;]*, (\d+\.\d+)""),"""")
"),"")</f>
        <v/>
      </c>
      <c r="K530" s="3"/>
      <c r="L530" s="3" t="str">
        <f aca="false">IFERROR(__xludf.dummyfunction("if($T530&lt;&gt;"""",REGEXEXTRACT(SUBSTITUTE ($T530,L$1&amp;"" CE"",""""), L$1&amp;""[\w &amp;]*, (\d+\.\d+)""),"""")
"),"")</f>
        <v/>
      </c>
      <c r="M530" s="3" t="str">
        <f aca="false">IFERROR(__xludf.dummyfunction("if($T530&lt;&gt;"""",REGEXEXTRACT($T530, M$1&amp;""[\w &amp;]*, (\d+\.\d+)""),"""")
"),"")</f>
        <v/>
      </c>
      <c r="N530" s="3" t="str">
        <f aca="false">IFERROR(__xludf.dummyfunction("if($T530&lt;&gt;"""",REGEXEXTRACT(SUBSTITUTE ($T530,N$1&amp;"" CE"",""""), N$1&amp;""[\w &amp;]*, (\d+\.\d+)""),"""")
"),"")</f>
        <v/>
      </c>
      <c r="O530" s="3" t="str">
        <f aca="false">IFERROR(__xludf.dummyfunction("if($T530&lt;&gt;"""",REGEXEXTRACT($T530, O$1&amp;""[\w &amp;]*, (\d+\.\d+)""),"""")
"),"")</f>
        <v/>
      </c>
      <c r="P530" s="2"/>
      <c r="Q530" s="2"/>
      <c r="R530" s="2"/>
      <c r="S530" s="2"/>
      <c r="T530" s="5"/>
    </row>
    <row r="531" customFormat="false" ht="15.75" hidden="false" customHeight="false" outlineLevel="0" collapsed="false">
      <c r="A531" s="4"/>
      <c r="B531" s="2"/>
      <c r="C531" s="2"/>
      <c r="D531" s="2"/>
      <c r="E531" s="2"/>
      <c r="F531" s="3" t="str">
        <f aca="false">IFERROR(__xludf.dummyfunction("if($T531&lt;&gt;"""",REGEXEXTRACT(SUBSTITUTE ($T531,F$1&amp;"" CE"",""""), F$1&amp;""[\w &amp;]*, (\d+\.\d+)""),"""")
"),"")</f>
        <v/>
      </c>
      <c r="G531" s="3" t="str">
        <f aca="false">IFERROR(__xludf.dummyfunction("if($T531&lt;&gt;"""",REGEXEXTRACT($T531, G$1&amp;""[\w &amp;]*, (\d+\.\d+)""),"""")
"),"")</f>
        <v/>
      </c>
      <c r="H531" s="3"/>
      <c r="I531" s="3" t="str">
        <f aca="false">IFERROR(__xludf.dummyfunction("if($T531&lt;&gt;"""",REGEXEXTRACT(SUBSTITUTE ($T531,I$1&amp;"" CE"",""""), I$1&amp;""[\w &amp;]*, (\d+\.\d+)""),"""")
"),"")</f>
        <v/>
      </c>
      <c r="J531" s="3" t="str">
        <f aca="false">IFERROR(__xludf.dummyfunction("if($T531&lt;&gt;"""",REGEXEXTRACT($T531, J$1&amp;""[\w &amp;]*, (\d+\.\d+)""),"""")
"),"")</f>
        <v/>
      </c>
      <c r="K531" s="3"/>
      <c r="L531" s="3" t="str">
        <f aca="false">IFERROR(__xludf.dummyfunction("if($T531&lt;&gt;"""",REGEXEXTRACT(SUBSTITUTE ($T531,L$1&amp;"" CE"",""""), L$1&amp;""[\w &amp;]*, (\d+\.\d+)""),"""")
"),"")</f>
        <v/>
      </c>
      <c r="M531" s="3" t="str">
        <f aca="false">IFERROR(__xludf.dummyfunction("if($T531&lt;&gt;"""",REGEXEXTRACT($T531, M$1&amp;""[\w &amp;]*, (\d+\.\d+)""),"""")
"),"")</f>
        <v/>
      </c>
      <c r="N531" s="3" t="str">
        <f aca="false">IFERROR(__xludf.dummyfunction("if($T531&lt;&gt;"""",REGEXEXTRACT(SUBSTITUTE ($T531,N$1&amp;"" CE"",""""), N$1&amp;""[\w &amp;]*, (\d+\.\d+)""),"""")
"),"")</f>
        <v/>
      </c>
      <c r="O531" s="3" t="str">
        <f aca="false">IFERROR(__xludf.dummyfunction("if($T531&lt;&gt;"""",REGEXEXTRACT($T531, O$1&amp;""[\w &amp;]*, (\d+\.\d+)""),"""")
"),"")</f>
        <v/>
      </c>
      <c r="P531" s="2"/>
      <c r="Q531" s="2"/>
      <c r="R531" s="2"/>
      <c r="S531" s="2"/>
      <c r="T531" s="5"/>
    </row>
    <row r="532" customFormat="false" ht="15.75" hidden="false" customHeight="false" outlineLevel="0" collapsed="false">
      <c r="A532" s="4"/>
      <c r="B532" s="2"/>
      <c r="C532" s="2"/>
      <c r="D532" s="2"/>
      <c r="E532" s="2"/>
      <c r="F532" s="3" t="str">
        <f aca="false">IFERROR(__xludf.dummyfunction("if($T532&lt;&gt;"""",REGEXEXTRACT(SUBSTITUTE ($T532,F$1&amp;"" CE"",""""), F$1&amp;""[\w &amp;]*, (\d+\.\d+)""),"""")
"),"")</f>
        <v/>
      </c>
      <c r="G532" s="3" t="str">
        <f aca="false">IFERROR(__xludf.dummyfunction("if($T532&lt;&gt;"""",REGEXEXTRACT($T532, G$1&amp;""[\w &amp;]*, (\d+\.\d+)""),"""")
"),"")</f>
        <v/>
      </c>
      <c r="H532" s="3"/>
      <c r="I532" s="3" t="str">
        <f aca="false">IFERROR(__xludf.dummyfunction("if($T532&lt;&gt;"""",REGEXEXTRACT(SUBSTITUTE ($T532,I$1&amp;"" CE"",""""), I$1&amp;""[\w &amp;]*, (\d+\.\d+)""),"""")
"),"")</f>
        <v/>
      </c>
      <c r="J532" s="3" t="str">
        <f aca="false">IFERROR(__xludf.dummyfunction("if($T532&lt;&gt;"""",REGEXEXTRACT($T532, J$1&amp;""[\w &amp;]*, (\d+\.\d+)""),"""")
"),"")</f>
        <v/>
      </c>
      <c r="K532" s="3"/>
      <c r="L532" s="3" t="str">
        <f aca="false">IFERROR(__xludf.dummyfunction("if($T532&lt;&gt;"""",REGEXEXTRACT(SUBSTITUTE ($T532,L$1&amp;"" CE"",""""), L$1&amp;""[\w &amp;]*, (\d+\.\d+)""),"""")
"),"")</f>
        <v/>
      </c>
      <c r="M532" s="3" t="str">
        <f aca="false">IFERROR(__xludf.dummyfunction("if($T532&lt;&gt;"""",REGEXEXTRACT($T532, M$1&amp;""[\w &amp;]*, (\d+\.\d+)""),"""")
"),"")</f>
        <v/>
      </c>
      <c r="N532" s="3" t="str">
        <f aca="false">IFERROR(__xludf.dummyfunction("if($T532&lt;&gt;"""",REGEXEXTRACT(SUBSTITUTE ($T532,N$1&amp;"" CE"",""""), N$1&amp;""[\w &amp;]*, (\d+\.\d+)""),"""")
"),"")</f>
        <v/>
      </c>
      <c r="O532" s="3" t="str">
        <f aca="false">IFERROR(__xludf.dummyfunction("if($T532&lt;&gt;"""",REGEXEXTRACT($T532, O$1&amp;""[\w &amp;]*, (\d+\.\d+)""),"""")
"),"")</f>
        <v/>
      </c>
      <c r="P532" s="2"/>
      <c r="Q532" s="2"/>
      <c r="R532" s="2"/>
      <c r="S532" s="2"/>
      <c r="T532" s="5"/>
    </row>
    <row r="533" customFormat="false" ht="15.75" hidden="false" customHeight="false" outlineLevel="0" collapsed="false">
      <c r="A533" s="4"/>
      <c r="B533" s="2"/>
      <c r="C533" s="2"/>
      <c r="D533" s="2"/>
      <c r="E533" s="2"/>
      <c r="F533" s="3" t="str">
        <f aca="false">IFERROR(__xludf.dummyfunction("if($T533&lt;&gt;"""",REGEXEXTRACT(SUBSTITUTE ($T533,F$1&amp;"" CE"",""""), F$1&amp;""[\w &amp;]*, (\d+\.\d+)""),"""")
"),"")</f>
        <v/>
      </c>
      <c r="G533" s="3" t="str">
        <f aca="false">IFERROR(__xludf.dummyfunction("if($T533&lt;&gt;"""",REGEXEXTRACT($T533, G$1&amp;""[\w &amp;]*, (\d+\.\d+)""),"""")
"),"")</f>
        <v/>
      </c>
      <c r="H533" s="3"/>
      <c r="I533" s="3" t="str">
        <f aca="false">IFERROR(__xludf.dummyfunction("if($T533&lt;&gt;"""",REGEXEXTRACT(SUBSTITUTE ($T533,I$1&amp;"" CE"",""""), I$1&amp;""[\w &amp;]*, (\d+\.\d+)""),"""")
"),"")</f>
        <v/>
      </c>
      <c r="J533" s="3" t="str">
        <f aca="false">IFERROR(__xludf.dummyfunction("if($T533&lt;&gt;"""",REGEXEXTRACT($T533, J$1&amp;""[\w &amp;]*, (\d+\.\d+)""),"""")
"),"")</f>
        <v/>
      </c>
      <c r="K533" s="3"/>
      <c r="L533" s="3" t="str">
        <f aca="false">IFERROR(__xludf.dummyfunction("if($T533&lt;&gt;"""",REGEXEXTRACT(SUBSTITUTE ($T533,L$1&amp;"" CE"",""""), L$1&amp;""[\w &amp;]*, (\d+\.\d+)""),"""")
"),"")</f>
        <v/>
      </c>
      <c r="M533" s="3" t="str">
        <f aca="false">IFERROR(__xludf.dummyfunction("if($T533&lt;&gt;"""",REGEXEXTRACT($T533, M$1&amp;""[\w &amp;]*, (\d+\.\d+)""),"""")
"),"")</f>
        <v/>
      </c>
      <c r="N533" s="3" t="str">
        <f aca="false">IFERROR(__xludf.dummyfunction("if($T533&lt;&gt;"""",REGEXEXTRACT(SUBSTITUTE ($T533,N$1&amp;"" CE"",""""), N$1&amp;""[\w &amp;]*, (\d+\.\d+)""),"""")
"),"")</f>
        <v/>
      </c>
      <c r="O533" s="3" t="str">
        <f aca="false">IFERROR(__xludf.dummyfunction("if($T533&lt;&gt;"""",REGEXEXTRACT($T533, O$1&amp;""[\w &amp;]*, (\d+\.\d+)""),"""")
"),"")</f>
        <v/>
      </c>
      <c r="P533" s="2"/>
      <c r="Q533" s="2"/>
      <c r="R533" s="2"/>
      <c r="S533" s="2"/>
      <c r="T533" s="5"/>
    </row>
    <row r="534" customFormat="false" ht="15.75" hidden="false" customHeight="false" outlineLevel="0" collapsed="false">
      <c r="A534" s="4"/>
      <c r="B534" s="2"/>
      <c r="C534" s="2"/>
      <c r="D534" s="2"/>
      <c r="E534" s="2"/>
      <c r="F534" s="3" t="str">
        <f aca="false">IFERROR(__xludf.dummyfunction("if($T534&lt;&gt;"""",REGEXEXTRACT(SUBSTITUTE ($T534,F$1&amp;"" CE"",""""), F$1&amp;""[\w &amp;]*, (\d+\.\d+)""),"""")
"),"")</f>
        <v/>
      </c>
      <c r="G534" s="3" t="str">
        <f aca="false">IFERROR(__xludf.dummyfunction("if($T534&lt;&gt;"""",REGEXEXTRACT($T534, G$1&amp;""[\w &amp;]*, (\d+\.\d+)""),"""")
"),"")</f>
        <v/>
      </c>
      <c r="H534" s="3"/>
      <c r="I534" s="3" t="str">
        <f aca="false">IFERROR(__xludf.dummyfunction("if($T534&lt;&gt;"""",REGEXEXTRACT(SUBSTITUTE ($T534,I$1&amp;"" CE"",""""), I$1&amp;""[\w &amp;]*, (\d+\.\d+)""),"""")
"),"")</f>
        <v/>
      </c>
      <c r="J534" s="3" t="str">
        <f aca="false">IFERROR(__xludf.dummyfunction("if($T534&lt;&gt;"""",REGEXEXTRACT($T534, J$1&amp;""[\w &amp;]*, (\d+\.\d+)""),"""")
"),"")</f>
        <v/>
      </c>
      <c r="K534" s="3"/>
      <c r="L534" s="3" t="str">
        <f aca="false">IFERROR(__xludf.dummyfunction("if($T534&lt;&gt;"""",REGEXEXTRACT(SUBSTITUTE ($T534,L$1&amp;"" CE"",""""), L$1&amp;""[\w &amp;]*, (\d+\.\d+)""),"""")
"),"")</f>
        <v/>
      </c>
      <c r="M534" s="3" t="str">
        <f aca="false">IFERROR(__xludf.dummyfunction("if($T534&lt;&gt;"""",REGEXEXTRACT($T534, M$1&amp;""[\w &amp;]*, (\d+\.\d+)""),"""")
"),"")</f>
        <v/>
      </c>
      <c r="N534" s="3" t="str">
        <f aca="false">IFERROR(__xludf.dummyfunction("if($T534&lt;&gt;"""",REGEXEXTRACT(SUBSTITUTE ($T534,N$1&amp;"" CE"",""""), N$1&amp;""[\w &amp;]*, (\d+\.\d+)""),"""")
"),"")</f>
        <v/>
      </c>
      <c r="O534" s="3" t="str">
        <f aca="false">IFERROR(__xludf.dummyfunction("if($T534&lt;&gt;"""",REGEXEXTRACT($T534, O$1&amp;""[\w &amp;]*, (\d+\.\d+)""),"""")
"),"")</f>
        <v/>
      </c>
      <c r="P534" s="2"/>
      <c r="Q534" s="2"/>
      <c r="R534" s="2"/>
      <c r="S534" s="2"/>
      <c r="T534" s="5"/>
    </row>
    <row r="535" customFormat="false" ht="15.75" hidden="false" customHeight="false" outlineLevel="0" collapsed="false">
      <c r="A535" s="4"/>
      <c r="B535" s="2"/>
      <c r="C535" s="2"/>
      <c r="D535" s="2"/>
      <c r="E535" s="2"/>
      <c r="F535" s="3" t="str">
        <f aca="false">IFERROR(__xludf.dummyfunction("if($T535&lt;&gt;"""",REGEXEXTRACT(SUBSTITUTE ($T535,F$1&amp;"" CE"",""""), F$1&amp;""[\w &amp;]*, (\d+\.\d+)""),"""")
"),"")</f>
        <v/>
      </c>
      <c r="G535" s="3" t="str">
        <f aca="false">IFERROR(__xludf.dummyfunction("if($T535&lt;&gt;"""",REGEXEXTRACT($T535, G$1&amp;""[\w &amp;]*, (\d+\.\d+)""),"""")
"),"")</f>
        <v/>
      </c>
      <c r="H535" s="3"/>
      <c r="I535" s="3" t="str">
        <f aca="false">IFERROR(__xludf.dummyfunction("if($T535&lt;&gt;"""",REGEXEXTRACT(SUBSTITUTE ($T535,I$1&amp;"" CE"",""""), I$1&amp;""[\w &amp;]*, (\d+\.\d+)""),"""")
"),"")</f>
        <v/>
      </c>
      <c r="J535" s="3" t="str">
        <f aca="false">IFERROR(__xludf.dummyfunction("if($T535&lt;&gt;"""",REGEXEXTRACT($T535, J$1&amp;""[\w &amp;]*, (\d+\.\d+)""),"""")
"),"")</f>
        <v/>
      </c>
      <c r="K535" s="3"/>
      <c r="L535" s="3" t="str">
        <f aca="false">IFERROR(__xludf.dummyfunction("if($T535&lt;&gt;"""",REGEXEXTRACT(SUBSTITUTE ($T535,L$1&amp;"" CE"",""""), L$1&amp;""[\w &amp;]*, (\d+\.\d+)""),"""")
"),"")</f>
        <v/>
      </c>
      <c r="M535" s="3" t="str">
        <f aca="false">IFERROR(__xludf.dummyfunction("if($T535&lt;&gt;"""",REGEXEXTRACT($T535, M$1&amp;""[\w &amp;]*, (\d+\.\d+)""),"""")
"),"")</f>
        <v/>
      </c>
      <c r="N535" s="3" t="str">
        <f aca="false">IFERROR(__xludf.dummyfunction("if($T535&lt;&gt;"""",REGEXEXTRACT(SUBSTITUTE ($T535,N$1&amp;"" CE"",""""), N$1&amp;""[\w &amp;]*, (\d+\.\d+)""),"""")
"),"")</f>
        <v/>
      </c>
      <c r="O535" s="3" t="str">
        <f aca="false">IFERROR(__xludf.dummyfunction("if($T535&lt;&gt;"""",REGEXEXTRACT($T535, O$1&amp;""[\w &amp;]*, (\d+\.\d+)""),"""")
"),"")</f>
        <v/>
      </c>
      <c r="P535" s="2"/>
      <c r="Q535" s="2"/>
      <c r="R535" s="2"/>
      <c r="S535" s="2"/>
      <c r="T535" s="5"/>
    </row>
    <row r="536" customFormat="false" ht="15.75" hidden="false" customHeight="false" outlineLevel="0" collapsed="false">
      <c r="A536" s="4"/>
      <c r="B536" s="2"/>
      <c r="C536" s="2"/>
      <c r="D536" s="2"/>
      <c r="E536" s="2"/>
      <c r="F536" s="3" t="str">
        <f aca="false">IFERROR(__xludf.dummyfunction("if($T536&lt;&gt;"""",REGEXEXTRACT(SUBSTITUTE ($T536,F$1&amp;"" CE"",""""), F$1&amp;""[\w &amp;]*, (\d+\.\d+)""),"""")
"),"")</f>
        <v/>
      </c>
      <c r="G536" s="3" t="str">
        <f aca="false">IFERROR(__xludf.dummyfunction("if($T536&lt;&gt;"""",REGEXEXTRACT($T536, G$1&amp;""[\w &amp;]*, (\d+\.\d+)""),"""")
"),"")</f>
        <v/>
      </c>
      <c r="H536" s="3"/>
      <c r="I536" s="3" t="str">
        <f aca="false">IFERROR(__xludf.dummyfunction("if($T536&lt;&gt;"""",REGEXEXTRACT(SUBSTITUTE ($T536,I$1&amp;"" CE"",""""), I$1&amp;""[\w &amp;]*, (\d+\.\d+)""),"""")
"),"")</f>
        <v/>
      </c>
      <c r="J536" s="3" t="str">
        <f aca="false">IFERROR(__xludf.dummyfunction("if($T536&lt;&gt;"""",REGEXEXTRACT($T536, J$1&amp;""[\w &amp;]*, (\d+\.\d+)""),"""")
"),"")</f>
        <v/>
      </c>
      <c r="K536" s="3"/>
      <c r="L536" s="3" t="str">
        <f aca="false">IFERROR(__xludf.dummyfunction("if($T536&lt;&gt;"""",REGEXEXTRACT(SUBSTITUTE ($T536,L$1&amp;"" CE"",""""), L$1&amp;""[\w &amp;]*, (\d+\.\d+)""),"""")
"),"")</f>
        <v/>
      </c>
      <c r="M536" s="3" t="str">
        <f aca="false">IFERROR(__xludf.dummyfunction("if($T536&lt;&gt;"""",REGEXEXTRACT($T536, M$1&amp;""[\w &amp;]*, (\d+\.\d+)""),"""")
"),"")</f>
        <v/>
      </c>
      <c r="N536" s="3" t="str">
        <f aca="false">IFERROR(__xludf.dummyfunction("if($T536&lt;&gt;"""",REGEXEXTRACT(SUBSTITUTE ($T536,N$1&amp;"" CE"",""""), N$1&amp;""[\w &amp;]*, (\d+\.\d+)""),"""")
"),"")</f>
        <v/>
      </c>
      <c r="O536" s="3" t="str">
        <f aca="false">IFERROR(__xludf.dummyfunction("if($T536&lt;&gt;"""",REGEXEXTRACT($T536, O$1&amp;""[\w &amp;]*, (\d+\.\d+)""),"""")
"),"")</f>
        <v/>
      </c>
      <c r="P536" s="2"/>
      <c r="Q536" s="2"/>
      <c r="R536" s="2"/>
      <c r="S536" s="2"/>
      <c r="T536" s="5"/>
    </row>
    <row r="537" customFormat="false" ht="15.75" hidden="false" customHeight="false" outlineLevel="0" collapsed="false">
      <c r="A537" s="4"/>
      <c r="B537" s="2"/>
      <c r="C537" s="2"/>
      <c r="D537" s="2"/>
      <c r="E537" s="2"/>
      <c r="F537" s="3" t="str">
        <f aca="false">IFERROR(__xludf.dummyfunction("if($T537&lt;&gt;"""",REGEXEXTRACT(SUBSTITUTE ($T537,F$1&amp;"" CE"",""""), F$1&amp;""[\w &amp;]*, (\d+\.\d+)""),"""")
"),"")</f>
        <v/>
      </c>
      <c r="G537" s="3" t="str">
        <f aca="false">IFERROR(__xludf.dummyfunction("if($T537&lt;&gt;"""",REGEXEXTRACT($T537, G$1&amp;""[\w &amp;]*, (\d+\.\d+)""),"""")
"),"")</f>
        <v/>
      </c>
      <c r="H537" s="3"/>
      <c r="I537" s="3" t="str">
        <f aca="false">IFERROR(__xludf.dummyfunction("if($T537&lt;&gt;"""",REGEXEXTRACT(SUBSTITUTE ($T537,I$1&amp;"" CE"",""""), I$1&amp;""[\w &amp;]*, (\d+\.\d+)""),"""")
"),"")</f>
        <v/>
      </c>
      <c r="J537" s="3" t="str">
        <f aca="false">IFERROR(__xludf.dummyfunction("if($T537&lt;&gt;"""",REGEXEXTRACT($T537, J$1&amp;""[\w &amp;]*, (\d+\.\d+)""),"""")
"),"")</f>
        <v/>
      </c>
      <c r="K537" s="3"/>
      <c r="L537" s="3" t="str">
        <f aca="false">IFERROR(__xludf.dummyfunction("if($T537&lt;&gt;"""",REGEXEXTRACT(SUBSTITUTE ($T537,L$1&amp;"" CE"",""""), L$1&amp;""[\w &amp;]*, (\d+\.\d+)""),"""")
"),"")</f>
        <v/>
      </c>
      <c r="M537" s="3" t="str">
        <f aca="false">IFERROR(__xludf.dummyfunction("if($T537&lt;&gt;"""",REGEXEXTRACT($T537, M$1&amp;""[\w &amp;]*, (\d+\.\d+)""),"""")
"),"")</f>
        <v/>
      </c>
      <c r="N537" s="3" t="str">
        <f aca="false">IFERROR(__xludf.dummyfunction("if($T537&lt;&gt;"""",REGEXEXTRACT(SUBSTITUTE ($T537,N$1&amp;"" CE"",""""), N$1&amp;""[\w &amp;]*, (\d+\.\d+)""),"""")
"),"")</f>
        <v/>
      </c>
      <c r="O537" s="3" t="str">
        <f aca="false">IFERROR(__xludf.dummyfunction("if($T537&lt;&gt;"""",REGEXEXTRACT($T537, O$1&amp;""[\w &amp;]*, (\d+\.\d+)""),"""")
"),"")</f>
        <v/>
      </c>
      <c r="P537" s="2"/>
      <c r="Q537" s="2"/>
      <c r="R537" s="2"/>
      <c r="S537" s="2"/>
      <c r="T537" s="5"/>
    </row>
    <row r="538" customFormat="false" ht="15.75" hidden="false" customHeight="false" outlineLevel="0" collapsed="false">
      <c r="A538" s="4"/>
      <c r="B538" s="2"/>
      <c r="C538" s="2"/>
      <c r="D538" s="2"/>
      <c r="E538" s="2"/>
      <c r="F538" s="3" t="str">
        <f aca="false">IFERROR(__xludf.dummyfunction("if($T538&lt;&gt;"""",REGEXEXTRACT(SUBSTITUTE ($T538,F$1&amp;"" CE"",""""), F$1&amp;""[\w &amp;]*, (\d+\.\d+)""),"""")
"),"")</f>
        <v/>
      </c>
      <c r="G538" s="3" t="str">
        <f aca="false">IFERROR(__xludf.dummyfunction("if($T538&lt;&gt;"""",REGEXEXTRACT($T538, G$1&amp;""[\w &amp;]*, (\d+\.\d+)""),"""")
"),"")</f>
        <v/>
      </c>
      <c r="H538" s="3"/>
      <c r="I538" s="3" t="str">
        <f aca="false">IFERROR(__xludf.dummyfunction("if($T538&lt;&gt;"""",REGEXEXTRACT(SUBSTITUTE ($T538,I$1&amp;"" CE"",""""), I$1&amp;""[\w &amp;]*, (\d+\.\d+)""),"""")
"),"")</f>
        <v/>
      </c>
      <c r="J538" s="3" t="str">
        <f aca="false">IFERROR(__xludf.dummyfunction("if($T538&lt;&gt;"""",REGEXEXTRACT($T538, J$1&amp;""[\w &amp;]*, (\d+\.\d+)""),"""")
"),"")</f>
        <v/>
      </c>
      <c r="K538" s="3"/>
      <c r="L538" s="3" t="str">
        <f aca="false">IFERROR(__xludf.dummyfunction("if($T538&lt;&gt;"""",REGEXEXTRACT(SUBSTITUTE ($T538,L$1&amp;"" CE"",""""), L$1&amp;""[\w &amp;]*, (\d+\.\d+)""),"""")
"),"")</f>
        <v/>
      </c>
      <c r="M538" s="3" t="str">
        <f aca="false">IFERROR(__xludf.dummyfunction("if($T538&lt;&gt;"""",REGEXEXTRACT($T538, M$1&amp;""[\w &amp;]*, (\d+\.\d+)""),"""")
"),"")</f>
        <v/>
      </c>
      <c r="N538" s="3" t="str">
        <f aca="false">IFERROR(__xludf.dummyfunction("if($T538&lt;&gt;"""",REGEXEXTRACT(SUBSTITUTE ($T538,N$1&amp;"" CE"",""""), N$1&amp;""[\w &amp;]*, (\d+\.\d+)""),"""")
"),"")</f>
        <v/>
      </c>
      <c r="O538" s="3" t="str">
        <f aca="false">IFERROR(__xludf.dummyfunction("if($T538&lt;&gt;"""",REGEXEXTRACT($T538, O$1&amp;""[\w &amp;]*, (\d+\.\d+)""),"""")
"),"")</f>
        <v/>
      </c>
      <c r="P538" s="2"/>
      <c r="Q538" s="2"/>
      <c r="R538" s="2"/>
      <c r="S538" s="2"/>
      <c r="T538" s="5"/>
    </row>
    <row r="539" customFormat="false" ht="15.75" hidden="false" customHeight="false" outlineLevel="0" collapsed="false">
      <c r="A539" s="4"/>
      <c r="B539" s="2"/>
      <c r="C539" s="2"/>
      <c r="D539" s="2"/>
      <c r="E539" s="2"/>
      <c r="F539" s="3" t="str">
        <f aca="false">IFERROR(__xludf.dummyfunction("if($T539&lt;&gt;"""",REGEXEXTRACT(SUBSTITUTE ($T539,F$1&amp;"" CE"",""""), F$1&amp;""[\w &amp;]*, (\d+\.\d+)""),"""")
"),"")</f>
        <v/>
      </c>
      <c r="G539" s="3" t="str">
        <f aca="false">IFERROR(__xludf.dummyfunction("if($T539&lt;&gt;"""",REGEXEXTRACT($T539, G$1&amp;""[\w &amp;]*, (\d+\.\d+)""),"""")
"),"")</f>
        <v/>
      </c>
      <c r="H539" s="3"/>
      <c r="I539" s="3" t="str">
        <f aca="false">IFERROR(__xludf.dummyfunction("if($T539&lt;&gt;"""",REGEXEXTRACT(SUBSTITUTE ($T539,I$1&amp;"" CE"",""""), I$1&amp;""[\w &amp;]*, (\d+\.\d+)""),"""")
"),"")</f>
        <v/>
      </c>
      <c r="J539" s="3" t="str">
        <f aca="false">IFERROR(__xludf.dummyfunction("if($T539&lt;&gt;"""",REGEXEXTRACT($T539, J$1&amp;""[\w &amp;]*, (\d+\.\d+)""),"""")
"),"")</f>
        <v/>
      </c>
      <c r="K539" s="3"/>
      <c r="L539" s="3" t="str">
        <f aca="false">IFERROR(__xludf.dummyfunction("if($T539&lt;&gt;"""",REGEXEXTRACT(SUBSTITUTE ($T539,L$1&amp;"" CE"",""""), L$1&amp;""[\w &amp;]*, (\d+\.\d+)""),"""")
"),"")</f>
        <v/>
      </c>
      <c r="M539" s="3" t="str">
        <f aca="false">IFERROR(__xludf.dummyfunction("if($T539&lt;&gt;"""",REGEXEXTRACT($T539, M$1&amp;""[\w &amp;]*, (\d+\.\d+)""),"""")
"),"")</f>
        <v/>
      </c>
      <c r="N539" s="3" t="str">
        <f aca="false">IFERROR(__xludf.dummyfunction("if($T539&lt;&gt;"""",REGEXEXTRACT(SUBSTITUTE ($T539,N$1&amp;"" CE"",""""), N$1&amp;""[\w &amp;]*, (\d+\.\d+)""),"""")
"),"")</f>
        <v/>
      </c>
      <c r="O539" s="3" t="str">
        <f aca="false">IFERROR(__xludf.dummyfunction("if($T539&lt;&gt;"""",REGEXEXTRACT($T539, O$1&amp;""[\w &amp;]*, (\d+\.\d+)""),"""")
"),"")</f>
        <v/>
      </c>
      <c r="P539" s="2"/>
      <c r="Q539" s="2"/>
      <c r="R539" s="2"/>
      <c r="S539" s="2"/>
      <c r="T539" s="5"/>
    </row>
    <row r="540" customFormat="false" ht="15.75" hidden="false" customHeight="false" outlineLevel="0" collapsed="false">
      <c r="A540" s="4"/>
      <c r="B540" s="2"/>
      <c r="C540" s="2"/>
      <c r="D540" s="2"/>
      <c r="E540" s="2"/>
      <c r="F540" s="3" t="str">
        <f aca="false">IFERROR(__xludf.dummyfunction("if($T540&lt;&gt;"""",REGEXEXTRACT(SUBSTITUTE ($T540,F$1&amp;"" CE"",""""), F$1&amp;""[\w &amp;]*, (\d+\.\d+)""),"""")
"),"")</f>
        <v/>
      </c>
      <c r="G540" s="3" t="str">
        <f aca="false">IFERROR(__xludf.dummyfunction("if($T540&lt;&gt;"""",REGEXEXTRACT($T540, G$1&amp;""[\w &amp;]*, (\d+\.\d+)""),"""")
"),"")</f>
        <v/>
      </c>
      <c r="H540" s="3"/>
      <c r="I540" s="3" t="str">
        <f aca="false">IFERROR(__xludf.dummyfunction("if($T540&lt;&gt;"""",REGEXEXTRACT(SUBSTITUTE ($T540,I$1&amp;"" CE"",""""), I$1&amp;""[\w &amp;]*, (\d+\.\d+)""),"""")
"),"")</f>
        <v/>
      </c>
      <c r="J540" s="3" t="str">
        <f aca="false">IFERROR(__xludf.dummyfunction("if($T540&lt;&gt;"""",REGEXEXTRACT($T540, J$1&amp;""[\w &amp;]*, (\d+\.\d+)""),"""")
"),"")</f>
        <v/>
      </c>
      <c r="K540" s="3"/>
      <c r="L540" s="3" t="str">
        <f aca="false">IFERROR(__xludf.dummyfunction("if($T540&lt;&gt;"""",REGEXEXTRACT(SUBSTITUTE ($T540,L$1&amp;"" CE"",""""), L$1&amp;""[\w &amp;]*, (\d+\.\d+)""),"""")
"),"")</f>
        <v/>
      </c>
      <c r="M540" s="3" t="str">
        <f aca="false">IFERROR(__xludf.dummyfunction("if($T540&lt;&gt;"""",REGEXEXTRACT($T540, M$1&amp;""[\w &amp;]*, (\d+\.\d+)""),"""")
"),"")</f>
        <v/>
      </c>
      <c r="N540" s="3" t="str">
        <f aca="false">IFERROR(__xludf.dummyfunction("if($T540&lt;&gt;"""",REGEXEXTRACT(SUBSTITUTE ($T540,N$1&amp;"" CE"",""""), N$1&amp;""[\w &amp;]*, (\d+\.\d+)""),"""")
"),"")</f>
        <v/>
      </c>
      <c r="O540" s="3" t="str">
        <f aca="false">IFERROR(__xludf.dummyfunction("if($T540&lt;&gt;"""",REGEXEXTRACT($T540, O$1&amp;""[\w &amp;]*, (\d+\.\d+)""),"""")
"),"")</f>
        <v/>
      </c>
      <c r="P540" s="2"/>
      <c r="Q540" s="2"/>
      <c r="R540" s="2"/>
      <c r="S540" s="2"/>
      <c r="T540" s="5"/>
    </row>
    <row r="541" customFormat="false" ht="15.75" hidden="false" customHeight="false" outlineLevel="0" collapsed="false">
      <c r="A541" s="4"/>
      <c r="B541" s="2"/>
      <c r="C541" s="2"/>
      <c r="D541" s="2"/>
      <c r="E541" s="2"/>
      <c r="F541" s="3" t="str">
        <f aca="false">IFERROR(__xludf.dummyfunction("if($T541&lt;&gt;"""",REGEXEXTRACT(SUBSTITUTE ($T541,F$1&amp;"" CE"",""""), F$1&amp;""[\w &amp;]*, (\d+\.\d+)""),"""")
"),"")</f>
        <v/>
      </c>
      <c r="G541" s="3" t="str">
        <f aca="false">IFERROR(__xludf.dummyfunction("if($T541&lt;&gt;"""",REGEXEXTRACT($T541, G$1&amp;""[\w &amp;]*, (\d+\.\d+)""),"""")
"),"")</f>
        <v/>
      </c>
      <c r="H541" s="3"/>
      <c r="I541" s="3" t="str">
        <f aca="false">IFERROR(__xludf.dummyfunction("if($T541&lt;&gt;"""",REGEXEXTRACT(SUBSTITUTE ($T541,I$1&amp;"" CE"",""""), I$1&amp;""[\w &amp;]*, (\d+\.\d+)""),"""")
"),"")</f>
        <v/>
      </c>
      <c r="J541" s="3" t="str">
        <f aca="false">IFERROR(__xludf.dummyfunction("if($T541&lt;&gt;"""",REGEXEXTRACT($T541, J$1&amp;""[\w &amp;]*, (\d+\.\d+)""),"""")
"),"")</f>
        <v/>
      </c>
      <c r="K541" s="3"/>
      <c r="L541" s="3" t="str">
        <f aca="false">IFERROR(__xludf.dummyfunction("if($T541&lt;&gt;"""",REGEXEXTRACT(SUBSTITUTE ($T541,L$1&amp;"" CE"",""""), L$1&amp;""[\w &amp;]*, (\d+\.\d+)""),"""")
"),"")</f>
        <v/>
      </c>
      <c r="M541" s="3" t="str">
        <f aca="false">IFERROR(__xludf.dummyfunction("if($T541&lt;&gt;"""",REGEXEXTRACT($T541, M$1&amp;""[\w &amp;]*, (\d+\.\d+)""),"""")
"),"")</f>
        <v/>
      </c>
      <c r="N541" s="3" t="str">
        <f aca="false">IFERROR(__xludf.dummyfunction("if($T541&lt;&gt;"""",REGEXEXTRACT(SUBSTITUTE ($T541,N$1&amp;"" CE"",""""), N$1&amp;""[\w &amp;]*, (\d+\.\d+)""),"""")
"),"")</f>
        <v/>
      </c>
      <c r="O541" s="3" t="str">
        <f aca="false">IFERROR(__xludf.dummyfunction("if($T541&lt;&gt;"""",REGEXEXTRACT($T541, O$1&amp;""[\w &amp;]*, (\d+\.\d+)""),"""")
"),"")</f>
        <v/>
      </c>
      <c r="P541" s="2"/>
      <c r="Q541" s="2"/>
      <c r="R541" s="2"/>
      <c r="S541" s="2"/>
      <c r="T541" s="5"/>
    </row>
    <row r="542" customFormat="false" ht="15.75" hidden="false" customHeight="false" outlineLevel="0" collapsed="false">
      <c r="A542" s="4"/>
      <c r="B542" s="2"/>
      <c r="C542" s="2"/>
      <c r="D542" s="2"/>
      <c r="E542" s="2"/>
      <c r="F542" s="3" t="str">
        <f aca="false">IFERROR(__xludf.dummyfunction("if($T542&lt;&gt;"""",REGEXEXTRACT(SUBSTITUTE ($T542,F$1&amp;"" CE"",""""), F$1&amp;""[\w &amp;]*, (\d+\.\d+)""),"""")
"),"")</f>
        <v/>
      </c>
      <c r="G542" s="3" t="str">
        <f aca="false">IFERROR(__xludf.dummyfunction("if($T542&lt;&gt;"""",REGEXEXTRACT($T542, G$1&amp;""[\w &amp;]*, (\d+\.\d+)""),"""")
"),"")</f>
        <v/>
      </c>
      <c r="H542" s="3"/>
      <c r="I542" s="3" t="str">
        <f aca="false">IFERROR(__xludf.dummyfunction("if($T542&lt;&gt;"""",REGEXEXTRACT(SUBSTITUTE ($T542,I$1&amp;"" CE"",""""), I$1&amp;""[\w &amp;]*, (\d+\.\d+)""),"""")
"),"")</f>
        <v/>
      </c>
      <c r="J542" s="3" t="str">
        <f aca="false">IFERROR(__xludf.dummyfunction("if($T542&lt;&gt;"""",REGEXEXTRACT($T542, J$1&amp;""[\w &amp;]*, (\d+\.\d+)""),"""")
"),"")</f>
        <v/>
      </c>
      <c r="K542" s="3"/>
      <c r="L542" s="3" t="str">
        <f aca="false">IFERROR(__xludf.dummyfunction("if($T542&lt;&gt;"""",REGEXEXTRACT(SUBSTITUTE ($T542,L$1&amp;"" CE"",""""), L$1&amp;""[\w &amp;]*, (\d+\.\d+)""),"""")
"),"")</f>
        <v/>
      </c>
      <c r="M542" s="3" t="str">
        <f aca="false">IFERROR(__xludf.dummyfunction("if($T542&lt;&gt;"""",REGEXEXTRACT($T542, M$1&amp;""[\w &amp;]*, (\d+\.\d+)""),"""")
"),"")</f>
        <v/>
      </c>
      <c r="N542" s="3" t="str">
        <f aca="false">IFERROR(__xludf.dummyfunction("if($T542&lt;&gt;"""",REGEXEXTRACT(SUBSTITUTE ($T542,N$1&amp;"" CE"",""""), N$1&amp;""[\w &amp;]*, (\d+\.\d+)""),"""")
"),"")</f>
        <v/>
      </c>
      <c r="O542" s="3" t="str">
        <f aca="false">IFERROR(__xludf.dummyfunction("if($T542&lt;&gt;"""",REGEXEXTRACT($T542, O$1&amp;""[\w &amp;]*, (\d+\.\d+)""),"""")
"),"")</f>
        <v/>
      </c>
      <c r="P542" s="2"/>
      <c r="Q542" s="2"/>
      <c r="R542" s="2"/>
      <c r="S542" s="2"/>
      <c r="T542" s="5"/>
    </row>
    <row r="543" customFormat="false" ht="15.75" hidden="false" customHeight="false" outlineLevel="0" collapsed="false">
      <c r="A543" s="4"/>
      <c r="B543" s="2"/>
      <c r="C543" s="2"/>
      <c r="D543" s="2"/>
      <c r="E543" s="2"/>
      <c r="F543" s="3" t="str">
        <f aca="false">IFERROR(__xludf.dummyfunction("if($T543&lt;&gt;"""",REGEXEXTRACT(SUBSTITUTE ($T543,F$1&amp;"" CE"",""""), F$1&amp;""[\w &amp;]*, (\d+\.\d+)""),"""")
"),"")</f>
        <v/>
      </c>
      <c r="G543" s="3" t="str">
        <f aca="false">IFERROR(__xludf.dummyfunction("if($T543&lt;&gt;"""",REGEXEXTRACT($T543, G$1&amp;""[\w &amp;]*, (\d+\.\d+)""),"""")
"),"")</f>
        <v/>
      </c>
      <c r="H543" s="3"/>
      <c r="I543" s="3" t="str">
        <f aca="false">IFERROR(__xludf.dummyfunction("if($T543&lt;&gt;"""",REGEXEXTRACT(SUBSTITUTE ($T543,I$1&amp;"" CE"",""""), I$1&amp;""[\w &amp;]*, (\d+\.\d+)""),"""")
"),"")</f>
        <v/>
      </c>
      <c r="J543" s="3" t="str">
        <f aca="false">IFERROR(__xludf.dummyfunction("if($T543&lt;&gt;"""",REGEXEXTRACT($T543, J$1&amp;""[\w &amp;]*, (\d+\.\d+)""),"""")
"),"")</f>
        <v/>
      </c>
      <c r="K543" s="3"/>
      <c r="L543" s="3" t="str">
        <f aca="false">IFERROR(__xludf.dummyfunction("if($T543&lt;&gt;"""",REGEXEXTRACT(SUBSTITUTE ($T543,L$1&amp;"" CE"",""""), L$1&amp;""[\w &amp;]*, (\d+\.\d+)""),"""")
"),"")</f>
        <v/>
      </c>
      <c r="M543" s="3" t="str">
        <f aca="false">IFERROR(__xludf.dummyfunction("if($T543&lt;&gt;"""",REGEXEXTRACT($T543, M$1&amp;""[\w &amp;]*, (\d+\.\d+)""),"""")
"),"")</f>
        <v/>
      </c>
      <c r="N543" s="3" t="str">
        <f aca="false">IFERROR(__xludf.dummyfunction("if($T543&lt;&gt;"""",REGEXEXTRACT(SUBSTITUTE ($T543,N$1&amp;"" CE"",""""), N$1&amp;""[\w &amp;]*, (\d+\.\d+)""),"""")
"),"")</f>
        <v/>
      </c>
      <c r="O543" s="3" t="str">
        <f aca="false">IFERROR(__xludf.dummyfunction("if($T543&lt;&gt;"""",REGEXEXTRACT($T543, O$1&amp;""[\w &amp;]*, (\d+\.\d+)""),"""")
"),"")</f>
        <v/>
      </c>
      <c r="P543" s="2"/>
      <c r="Q543" s="2"/>
      <c r="R543" s="2"/>
      <c r="S543" s="2"/>
      <c r="T543" s="5"/>
    </row>
    <row r="544" customFormat="false" ht="15.75" hidden="false" customHeight="false" outlineLevel="0" collapsed="false">
      <c r="A544" s="4"/>
      <c r="B544" s="2"/>
      <c r="C544" s="2"/>
      <c r="D544" s="2"/>
      <c r="E544" s="2"/>
      <c r="F544" s="3" t="str">
        <f aca="false">IFERROR(__xludf.dummyfunction("if($T544&lt;&gt;"""",REGEXEXTRACT(SUBSTITUTE ($T544,F$1&amp;"" CE"",""""), F$1&amp;""[\w &amp;]*, (\d+\.\d+)""),"""")
"),"")</f>
        <v/>
      </c>
      <c r="G544" s="3" t="str">
        <f aca="false">IFERROR(__xludf.dummyfunction("if($T544&lt;&gt;"""",REGEXEXTRACT($T544, G$1&amp;""[\w &amp;]*, (\d+\.\d+)""),"""")
"),"")</f>
        <v/>
      </c>
      <c r="H544" s="3"/>
      <c r="I544" s="3" t="str">
        <f aca="false">IFERROR(__xludf.dummyfunction("if($T544&lt;&gt;"""",REGEXEXTRACT(SUBSTITUTE ($T544,I$1&amp;"" CE"",""""), I$1&amp;""[\w &amp;]*, (\d+\.\d+)""),"""")
"),"")</f>
        <v/>
      </c>
      <c r="J544" s="3" t="str">
        <f aca="false">IFERROR(__xludf.dummyfunction("if($T544&lt;&gt;"""",REGEXEXTRACT($T544, J$1&amp;""[\w &amp;]*, (\d+\.\d+)""),"""")
"),"")</f>
        <v/>
      </c>
      <c r="K544" s="3"/>
      <c r="L544" s="3" t="str">
        <f aca="false">IFERROR(__xludf.dummyfunction("if($T544&lt;&gt;"""",REGEXEXTRACT(SUBSTITUTE ($T544,L$1&amp;"" CE"",""""), L$1&amp;""[\w &amp;]*, (\d+\.\d+)""),"""")
"),"")</f>
        <v/>
      </c>
      <c r="M544" s="3" t="str">
        <f aca="false">IFERROR(__xludf.dummyfunction("if($T544&lt;&gt;"""",REGEXEXTRACT($T544, M$1&amp;""[\w &amp;]*, (\d+\.\d+)""),"""")
"),"")</f>
        <v/>
      </c>
      <c r="N544" s="3" t="str">
        <f aca="false">IFERROR(__xludf.dummyfunction("if($T544&lt;&gt;"""",REGEXEXTRACT(SUBSTITUTE ($T544,N$1&amp;"" CE"",""""), N$1&amp;""[\w &amp;]*, (\d+\.\d+)""),"""")
"),"")</f>
        <v/>
      </c>
      <c r="O544" s="3" t="str">
        <f aca="false">IFERROR(__xludf.dummyfunction("if($T544&lt;&gt;"""",REGEXEXTRACT($T544, O$1&amp;""[\w &amp;]*, (\d+\.\d+)""),"""")
"),"")</f>
        <v/>
      </c>
      <c r="P544" s="2"/>
      <c r="Q544" s="2"/>
      <c r="R544" s="2"/>
      <c r="S544" s="2"/>
      <c r="T544" s="5"/>
    </row>
    <row r="545" customFormat="false" ht="15.75" hidden="false" customHeight="false" outlineLevel="0" collapsed="false">
      <c r="A545" s="4"/>
      <c r="B545" s="2"/>
      <c r="C545" s="2"/>
      <c r="D545" s="2"/>
      <c r="E545" s="2"/>
      <c r="F545" s="3" t="str">
        <f aca="false">IFERROR(__xludf.dummyfunction("if($T545&lt;&gt;"""",REGEXEXTRACT(SUBSTITUTE ($T545,F$1&amp;"" CE"",""""), F$1&amp;""[\w &amp;]*, (\d+\.\d+)""),"""")
"),"")</f>
        <v/>
      </c>
      <c r="G545" s="3" t="str">
        <f aca="false">IFERROR(__xludf.dummyfunction("if($T545&lt;&gt;"""",REGEXEXTRACT($T545, G$1&amp;""[\w &amp;]*, (\d+\.\d+)""),"""")
"),"")</f>
        <v/>
      </c>
      <c r="H545" s="3"/>
      <c r="I545" s="3" t="str">
        <f aca="false">IFERROR(__xludf.dummyfunction("if($T545&lt;&gt;"""",REGEXEXTRACT(SUBSTITUTE ($T545,I$1&amp;"" CE"",""""), I$1&amp;""[\w &amp;]*, (\d+\.\d+)""),"""")
"),"")</f>
        <v/>
      </c>
      <c r="J545" s="3" t="str">
        <f aca="false">IFERROR(__xludf.dummyfunction("if($T545&lt;&gt;"""",REGEXEXTRACT($T545, J$1&amp;""[\w &amp;]*, (\d+\.\d+)""),"""")
"),"")</f>
        <v/>
      </c>
      <c r="K545" s="3"/>
      <c r="L545" s="3" t="str">
        <f aca="false">IFERROR(__xludf.dummyfunction("if($T545&lt;&gt;"""",REGEXEXTRACT(SUBSTITUTE ($T545,L$1&amp;"" CE"",""""), L$1&amp;""[\w &amp;]*, (\d+\.\d+)""),"""")
"),"")</f>
        <v/>
      </c>
      <c r="M545" s="3" t="str">
        <f aca="false">IFERROR(__xludf.dummyfunction("if($T545&lt;&gt;"""",REGEXEXTRACT($T545, M$1&amp;""[\w &amp;]*, (\d+\.\d+)""),"""")
"),"")</f>
        <v/>
      </c>
      <c r="N545" s="3" t="str">
        <f aca="false">IFERROR(__xludf.dummyfunction("if($T545&lt;&gt;"""",REGEXEXTRACT(SUBSTITUTE ($T545,N$1&amp;"" CE"",""""), N$1&amp;""[\w &amp;]*, (\d+\.\d+)""),"""")
"),"")</f>
        <v/>
      </c>
      <c r="O545" s="3" t="str">
        <f aca="false">IFERROR(__xludf.dummyfunction("if($T545&lt;&gt;"""",REGEXEXTRACT($T545, O$1&amp;""[\w &amp;]*, (\d+\.\d+)""),"""")
"),"")</f>
        <v/>
      </c>
      <c r="P545" s="2"/>
      <c r="Q545" s="2"/>
      <c r="R545" s="2"/>
      <c r="S545" s="2"/>
      <c r="T545" s="5"/>
    </row>
    <row r="546" customFormat="false" ht="15.75" hidden="false" customHeight="false" outlineLevel="0" collapsed="false">
      <c r="A546" s="4"/>
      <c r="B546" s="2"/>
      <c r="C546" s="2"/>
      <c r="D546" s="2"/>
      <c r="E546" s="2"/>
      <c r="F546" s="3" t="str">
        <f aca="false">IFERROR(__xludf.dummyfunction("if($T546&lt;&gt;"""",REGEXEXTRACT(SUBSTITUTE ($T546,F$1&amp;"" CE"",""""), F$1&amp;""[\w &amp;]*, (\d+\.\d+)""),"""")
"),"")</f>
        <v/>
      </c>
      <c r="G546" s="3" t="str">
        <f aca="false">IFERROR(__xludf.dummyfunction("if($T546&lt;&gt;"""",REGEXEXTRACT($T546, G$1&amp;""[\w &amp;]*, (\d+\.\d+)""),"""")
"),"")</f>
        <v/>
      </c>
      <c r="H546" s="3"/>
      <c r="I546" s="3" t="str">
        <f aca="false">IFERROR(__xludf.dummyfunction("if($T546&lt;&gt;"""",REGEXEXTRACT(SUBSTITUTE ($T546,I$1&amp;"" CE"",""""), I$1&amp;""[\w &amp;]*, (\d+\.\d+)""),"""")
"),"")</f>
        <v/>
      </c>
      <c r="J546" s="3" t="str">
        <f aca="false">IFERROR(__xludf.dummyfunction("if($T546&lt;&gt;"""",REGEXEXTRACT($T546, J$1&amp;""[\w &amp;]*, (\d+\.\d+)""),"""")
"),"")</f>
        <v/>
      </c>
      <c r="K546" s="3"/>
      <c r="L546" s="3" t="str">
        <f aca="false">IFERROR(__xludf.dummyfunction("if($T546&lt;&gt;"""",REGEXEXTRACT(SUBSTITUTE ($T546,L$1&amp;"" CE"",""""), L$1&amp;""[\w &amp;]*, (\d+\.\d+)""),"""")
"),"")</f>
        <v/>
      </c>
      <c r="M546" s="3" t="str">
        <f aca="false">IFERROR(__xludf.dummyfunction("if($T546&lt;&gt;"""",REGEXEXTRACT($T546, M$1&amp;""[\w &amp;]*, (\d+\.\d+)""),"""")
"),"")</f>
        <v/>
      </c>
      <c r="N546" s="3" t="str">
        <f aca="false">IFERROR(__xludf.dummyfunction("if($T546&lt;&gt;"""",REGEXEXTRACT(SUBSTITUTE ($T546,N$1&amp;"" CE"",""""), N$1&amp;""[\w &amp;]*, (\d+\.\d+)""),"""")
"),"")</f>
        <v/>
      </c>
      <c r="O546" s="3" t="str">
        <f aca="false">IFERROR(__xludf.dummyfunction("if($T546&lt;&gt;"""",REGEXEXTRACT($T546, O$1&amp;""[\w &amp;]*, (\d+\.\d+)""),"""")
"),"")</f>
        <v/>
      </c>
      <c r="P546" s="2"/>
      <c r="Q546" s="2"/>
      <c r="R546" s="2"/>
      <c r="S546" s="2"/>
      <c r="T546" s="5"/>
    </row>
    <row r="547" customFormat="false" ht="15.75" hidden="false" customHeight="false" outlineLevel="0" collapsed="false">
      <c r="A547" s="4"/>
      <c r="B547" s="2"/>
      <c r="C547" s="2"/>
      <c r="D547" s="2"/>
      <c r="E547" s="2"/>
      <c r="F547" s="3" t="str">
        <f aca="false">IFERROR(__xludf.dummyfunction("if($T547&lt;&gt;"""",REGEXEXTRACT(SUBSTITUTE ($T547,F$1&amp;"" CE"",""""), F$1&amp;""[\w &amp;]*, (\d+\.\d+)""),"""")
"),"")</f>
        <v/>
      </c>
      <c r="G547" s="3" t="str">
        <f aca="false">IFERROR(__xludf.dummyfunction("if($T547&lt;&gt;"""",REGEXEXTRACT($T547, G$1&amp;""[\w &amp;]*, (\d+\.\d+)""),"""")
"),"")</f>
        <v/>
      </c>
      <c r="H547" s="3"/>
      <c r="I547" s="3" t="str">
        <f aca="false">IFERROR(__xludf.dummyfunction("if($T547&lt;&gt;"""",REGEXEXTRACT(SUBSTITUTE ($T547,I$1&amp;"" CE"",""""), I$1&amp;""[\w &amp;]*, (\d+\.\d+)""),"""")
"),"")</f>
        <v/>
      </c>
      <c r="J547" s="3" t="str">
        <f aca="false">IFERROR(__xludf.dummyfunction("if($T547&lt;&gt;"""",REGEXEXTRACT($T547, J$1&amp;""[\w &amp;]*, (\d+\.\d+)""),"""")
"),"")</f>
        <v/>
      </c>
      <c r="K547" s="3"/>
      <c r="L547" s="3" t="str">
        <f aca="false">IFERROR(__xludf.dummyfunction("if($T547&lt;&gt;"""",REGEXEXTRACT(SUBSTITUTE ($T547,L$1&amp;"" CE"",""""), L$1&amp;""[\w &amp;]*, (\d+\.\d+)""),"""")
"),"")</f>
        <v/>
      </c>
      <c r="M547" s="3" t="str">
        <f aca="false">IFERROR(__xludf.dummyfunction("if($T547&lt;&gt;"""",REGEXEXTRACT($T547, M$1&amp;""[\w &amp;]*, (\d+\.\d+)""),"""")
"),"")</f>
        <v/>
      </c>
      <c r="N547" s="3" t="str">
        <f aca="false">IFERROR(__xludf.dummyfunction("if($T547&lt;&gt;"""",REGEXEXTRACT(SUBSTITUTE ($T547,N$1&amp;"" CE"",""""), N$1&amp;""[\w &amp;]*, (\d+\.\d+)""),"""")
"),"")</f>
        <v/>
      </c>
      <c r="O547" s="3" t="str">
        <f aca="false">IFERROR(__xludf.dummyfunction("if($T547&lt;&gt;"""",REGEXEXTRACT($T547, O$1&amp;""[\w &amp;]*, (\d+\.\d+)""),"""")
"),"")</f>
        <v/>
      </c>
      <c r="P547" s="2"/>
      <c r="Q547" s="2"/>
      <c r="R547" s="2"/>
      <c r="S547" s="2"/>
      <c r="T547" s="5"/>
    </row>
    <row r="548" customFormat="false" ht="15.75" hidden="false" customHeight="false" outlineLevel="0" collapsed="false">
      <c r="A548" s="4"/>
      <c r="B548" s="2"/>
      <c r="C548" s="2"/>
      <c r="D548" s="2"/>
      <c r="E548" s="2"/>
      <c r="F548" s="3" t="str">
        <f aca="false">IFERROR(__xludf.dummyfunction("if($T548&lt;&gt;"""",REGEXEXTRACT(SUBSTITUTE ($T548,F$1&amp;"" CE"",""""), F$1&amp;""[\w &amp;]*, (\d+\.\d+)""),"""")
"),"")</f>
        <v/>
      </c>
      <c r="G548" s="3" t="str">
        <f aca="false">IFERROR(__xludf.dummyfunction("if($T548&lt;&gt;"""",REGEXEXTRACT($T548, G$1&amp;""[\w &amp;]*, (\d+\.\d+)""),"""")
"),"")</f>
        <v/>
      </c>
      <c r="H548" s="3"/>
      <c r="I548" s="3" t="str">
        <f aca="false">IFERROR(__xludf.dummyfunction("if($T548&lt;&gt;"""",REGEXEXTRACT(SUBSTITUTE ($T548,I$1&amp;"" CE"",""""), I$1&amp;""[\w &amp;]*, (\d+\.\d+)""),"""")
"),"")</f>
        <v/>
      </c>
      <c r="J548" s="3" t="str">
        <f aca="false">IFERROR(__xludf.dummyfunction("if($T548&lt;&gt;"""",REGEXEXTRACT($T548, J$1&amp;""[\w &amp;]*, (\d+\.\d+)""),"""")
"),"")</f>
        <v/>
      </c>
      <c r="K548" s="3"/>
      <c r="L548" s="3" t="str">
        <f aca="false">IFERROR(__xludf.dummyfunction("if($T548&lt;&gt;"""",REGEXEXTRACT(SUBSTITUTE ($T548,L$1&amp;"" CE"",""""), L$1&amp;""[\w &amp;]*, (\d+\.\d+)""),"""")
"),"")</f>
        <v/>
      </c>
      <c r="M548" s="3" t="str">
        <f aca="false">IFERROR(__xludf.dummyfunction("if($T548&lt;&gt;"""",REGEXEXTRACT($T548, M$1&amp;""[\w &amp;]*, (\d+\.\d+)""),"""")
"),"")</f>
        <v/>
      </c>
      <c r="N548" s="3" t="str">
        <f aca="false">IFERROR(__xludf.dummyfunction("if($T548&lt;&gt;"""",REGEXEXTRACT(SUBSTITUTE ($T548,N$1&amp;"" CE"",""""), N$1&amp;""[\w &amp;]*, (\d+\.\d+)""),"""")
"),"")</f>
        <v/>
      </c>
      <c r="O548" s="3" t="str">
        <f aca="false">IFERROR(__xludf.dummyfunction("if($T548&lt;&gt;"""",REGEXEXTRACT($T548, O$1&amp;""[\w &amp;]*, (\d+\.\d+)""),"""")
"),"")</f>
        <v/>
      </c>
      <c r="P548" s="2"/>
      <c r="Q548" s="2"/>
      <c r="R548" s="2"/>
      <c r="S548" s="2"/>
      <c r="T548" s="5"/>
    </row>
    <row r="549" customFormat="false" ht="15.75" hidden="false" customHeight="false" outlineLevel="0" collapsed="false">
      <c r="A549" s="4"/>
      <c r="B549" s="2"/>
      <c r="C549" s="2"/>
      <c r="D549" s="2"/>
      <c r="E549" s="2"/>
      <c r="F549" s="3" t="str">
        <f aca="false">IFERROR(__xludf.dummyfunction("if($T549&lt;&gt;"""",REGEXEXTRACT(SUBSTITUTE ($T549,F$1&amp;"" CE"",""""), F$1&amp;""[\w &amp;]*, (\d+\.\d+)""),"""")
"),"")</f>
        <v/>
      </c>
      <c r="G549" s="3" t="str">
        <f aca="false">IFERROR(__xludf.dummyfunction("if($T549&lt;&gt;"""",REGEXEXTRACT($T549, G$1&amp;""[\w &amp;]*, (\d+\.\d+)""),"""")
"),"")</f>
        <v/>
      </c>
      <c r="H549" s="3"/>
      <c r="I549" s="3" t="str">
        <f aca="false">IFERROR(__xludf.dummyfunction("if($T549&lt;&gt;"""",REGEXEXTRACT(SUBSTITUTE ($T549,I$1&amp;"" CE"",""""), I$1&amp;""[\w &amp;]*, (\d+\.\d+)""),"""")
"),"")</f>
        <v/>
      </c>
      <c r="J549" s="3" t="str">
        <f aca="false">IFERROR(__xludf.dummyfunction("if($T549&lt;&gt;"""",REGEXEXTRACT($T549, J$1&amp;""[\w &amp;]*, (\d+\.\d+)""),"""")
"),"")</f>
        <v/>
      </c>
      <c r="K549" s="3"/>
      <c r="L549" s="3" t="str">
        <f aca="false">IFERROR(__xludf.dummyfunction("if($T549&lt;&gt;"""",REGEXEXTRACT(SUBSTITUTE ($T549,L$1&amp;"" CE"",""""), L$1&amp;""[\w &amp;]*, (\d+\.\d+)""),"""")
"),"")</f>
        <v/>
      </c>
      <c r="M549" s="3" t="str">
        <f aca="false">IFERROR(__xludf.dummyfunction("if($T549&lt;&gt;"""",REGEXEXTRACT($T549, M$1&amp;""[\w &amp;]*, (\d+\.\d+)""),"""")
"),"")</f>
        <v/>
      </c>
      <c r="N549" s="3" t="str">
        <f aca="false">IFERROR(__xludf.dummyfunction("if($T549&lt;&gt;"""",REGEXEXTRACT(SUBSTITUTE ($T549,N$1&amp;"" CE"",""""), N$1&amp;""[\w &amp;]*, (\d+\.\d+)""),"""")
"),"")</f>
        <v/>
      </c>
      <c r="O549" s="3" t="str">
        <f aca="false">IFERROR(__xludf.dummyfunction("if($T549&lt;&gt;"""",REGEXEXTRACT($T549, O$1&amp;""[\w &amp;]*, (\d+\.\d+)""),"""")
"),"")</f>
        <v/>
      </c>
      <c r="P549" s="2"/>
      <c r="Q549" s="2"/>
      <c r="R549" s="2"/>
      <c r="S549" s="2"/>
      <c r="T549" s="5"/>
    </row>
    <row r="550" customFormat="false" ht="15.75" hidden="false" customHeight="false" outlineLevel="0" collapsed="false">
      <c r="A550" s="4"/>
      <c r="B550" s="2"/>
      <c r="C550" s="2"/>
      <c r="D550" s="2"/>
      <c r="E550" s="2"/>
      <c r="F550" s="3" t="str">
        <f aca="false">IFERROR(__xludf.dummyfunction("if($T550&lt;&gt;"""",REGEXEXTRACT(SUBSTITUTE ($T550,F$1&amp;"" CE"",""""), F$1&amp;""[\w &amp;]*, (\d+\.\d+)""),"""")
"),"")</f>
        <v/>
      </c>
      <c r="G550" s="3" t="str">
        <f aca="false">IFERROR(__xludf.dummyfunction("if($T550&lt;&gt;"""",REGEXEXTRACT($T550, G$1&amp;""[\w &amp;]*, (\d+\.\d+)""),"""")
"),"")</f>
        <v/>
      </c>
      <c r="H550" s="3"/>
      <c r="I550" s="3" t="str">
        <f aca="false">IFERROR(__xludf.dummyfunction("if($T550&lt;&gt;"""",REGEXEXTRACT(SUBSTITUTE ($T550,I$1&amp;"" CE"",""""), I$1&amp;""[\w &amp;]*, (\d+\.\d+)""),"""")
"),"")</f>
        <v/>
      </c>
      <c r="J550" s="3" t="str">
        <f aca="false">IFERROR(__xludf.dummyfunction("if($T550&lt;&gt;"""",REGEXEXTRACT($T550, J$1&amp;""[\w &amp;]*, (\d+\.\d+)""),"""")
"),"")</f>
        <v/>
      </c>
      <c r="K550" s="3"/>
      <c r="L550" s="3" t="str">
        <f aca="false">IFERROR(__xludf.dummyfunction("if($T550&lt;&gt;"""",REGEXEXTRACT(SUBSTITUTE ($T550,L$1&amp;"" CE"",""""), L$1&amp;""[\w &amp;]*, (\d+\.\d+)""),"""")
"),"")</f>
        <v/>
      </c>
      <c r="M550" s="3" t="str">
        <f aca="false">IFERROR(__xludf.dummyfunction("if($T550&lt;&gt;"""",REGEXEXTRACT($T550, M$1&amp;""[\w &amp;]*, (\d+\.\d+)""),"""")
"),"")</f>
        <v/>
      </c>
      <c r="N550" s="3" t="str">
        <f aca="false">IFERROR(__xludf.dummyfunction("if($T550&lt;&gt;"""",REGEXEXTRACT(SUBSTITUTE ($T550,N$1&amp;"" CE"",""""), N$1&amp;""[\w &amp;]*, (\d+\.\d+)""),"""")
"),"")</f>
        <v/>
      </c>
      <c r="O550" s="3" t="str">
        <f aca="false">IFERROR(__xludf.dummyfunction("if($T550&lt;&gt;"""",REGEXEXTRACT($T550, O$1&amp;""[\w &amp;]*, (\d+\.\d+)""),"""")
"),"")</f>
        <v/>
      </c>
      <c r="P550" s="2"/>
      <c r="Q550" s="2"/>
      <c r="R550" s="2"/>
      <c r="S550" s="2"/>
      <c r="T550" s="5"/>
    </row>
    <row r="551" customFormat="false" ht="15.75" hidden="false" customHeight="false" outlineLevel="0" collapsed="false">
      <c r="A551" s="4"/>
      <c r="B551" s="2"/>
      <c r="C551" s="2"/>
      <c r="D551" s="2"/>
      <c r="E551" s="2"/>
      <c r="F551" s="3" t="str">
        <f aca="false">IFERROR(__xludf.dummyfunction("if($T551&lt;&gt;"""",REGEXEXTRACT(SUBSTITUTE ($T551,F$1&amp;"" CE"",""""), F$1&amp;""[\w &amp;]*, (\d+\.\d+)""),"""")
"),"")</f>
        <v/>
      </c>
      <c r="G551" s="3" t="str">
        <f aca="false">IFERROR(__xludf.dummyfunction("if($T551&lt;&gt;"""",REGEXEXTRACT($T551, G$1&amp;""[\w &amp;]*, (\d+\.\d+)""),"""")
"),"")</f>
        <v/>
      </c>
      <c r="H551" s="3"/>
      <c r="I551" s="3" t="str">
        <f aca="false">IFERROR(__xludf.dummyfunction("if($T551&lt;&gt;"""",REGEXEXTRACT(SUBSTITUTE ($T551,I$1&amp;"" CE"",""""), I$1&amp;""[\w &amp;]*, (\d+\.\d+)""),"""")
"),"")</f>
        <v/>
      </c>
      <c r="J551" s="3" t="str">
        <f aca="false">IFERROR(__xludf.dummyfunction("if($T551&lt;&gt;"""",REGEXEXTRACT($T551, J$1&amp;""[\w &amp;]*, (\d+\.\d+)""),"""")
"),"")</f>
        <v/>
      </c>
      <c r="K551" s="3"/>
      <c r="L551" s="3" t="str">
        <f aca="false">IFERROR(__xludf.dummyfunction("if($T551&lt;&gt;"""",REGEXEXTRACT(SUBSTITUTE ($T551,L$1&amp;"" CE"",""""), L$1&amp;""[\w &amp;]*, (\d+\.\d+)""),"""")
"),"")</f>
        <v/>
      </c>
      <c r="M551" s="3" t="str">
        <f aca="false">IFERROR(__xludf.dummyfunction("if($T551&lt;&gt;"""",REGEXEXTRACT($T551, M$1&amp;""[\w &amp;]*, (\d+\.\d+)""),"""")
"),"")</f>
        <v/>
      </c>
      <c r="N551" s="3" t="str">
        <f aca="false">IFERROR(__xludf.dummyfunction("if($T551&lt;&gt;"""",REGEXEXTRACT(SUBSTITUTE ($T551,N$1&amp;"" CE"",""""), N$1&amp;""[\w &amp;]*, (\d+\.\d+)""),"""")
"),"")</f>
        <v/>
      </c>
      <c r="O551" s="3" t="str">
        <f aca="false">IFERROR(__xludf.dummyfunction("if($T551&lt;&gt;"""",REGEXEXTRACT($T551, O$1&amp;""[\w &amp;]*, (\d+\.\d+)""),"""")
"),"")</f>
        <v/>
      </c>
      <c r="P551" s="2"/>
      <c r="Q551" s="2"/>
      <c r="R551" s="2"/>
      <c r="S551" s="2"/>
      <c r="T551" s="5"/>
    </row>
    <row r="552" customFormat="false" ht="15.75" hidden="false" customHeight="false" outlineLevel="0" collapsed="false">
      <c r="A552" s="4"/>
      <c r="B552" s="2"/>
      <c r="C552" s="2"/>
      <c r="D552" s="2"/>
      <c r="E552" s="2"/>
      <c r="F552" s="3" t="str">
        <f aca="false">IFERROR(__xludf.dummyfunction("if($T552&lt;&gt;"""",REGEXEXTRACT(SUBSTITUTE ($T552,F$1&amp;"" CE"",""""), F$1&amp;""[\w &amp;]*, (\d+\.\d+)""),"""")
"),"")</f>
        <v/>
      </c>
      <c r="G552" s="3" t="str">
        <f aca="false">IFERROR(__xludf.dummyfunction("if($T552&lt;&gt;"""",REGEXEXTRACT($T552, G$1&amp;""[\w &amp;]*, (\d+\.\d+)""),"""")
"),"")</f>
        <v/>
      </c>
      <c r="H552" s="3"/>
      <c r="I552" s="3" t="str">
        <f aca="false">IFERROR(__xludf.dummyfunction("if($T552&lt;&gt;"""",REGEXEXTRACT(SUBSTITUTE ($T552,I$1&amp;"" CE"",""""), I$1&amp;""[\w &amp;]*, (\d+\.\d+)""),"""")
"),"")</f>
        <v/>
      </c>
      <c r="J552" s="3" t="str">
        <f aca="false">IFERROR(__xludf.dummyfunction("if($T552&lt;&gt;"""",REGEXEXTRACT($T552, J$1&amp;""[\w &amp;]*, (\d+\.\d+)""),"""")
"),"")</f>
        <v/>
      </c>
      <c r="K552" s="3"/>
      <c r="L552" s="3" t="str">
        <f aca="false">IFERROR(__xludf.dummyfunction("if($T552&lt;&gt;"""",REGEXEXTRACT(SUBSTITUTE ($T552,L$1&amp;"" CE"",""""), L$1&amp;""[\w &amp;]*, (\d+\.\d+)""),"""")
"),"")</f>
        <v/>
      </c>
      <c r="M552" s="3" t="str">
        <f aca="false">IFERROR(__xludf.dummyfunction("if($T552&lt;&gt;"""",REGEXEXTRACT($T552, M$1&amp;""[\w &amp;]*, (\d+\.\d+)""),"""")
"),"")</f>
        <v/>
      </c>
      <c r="N552" s="3" t="str">
        <f aca="false">IFERROR(__xludf.dummyfunction("if($T552&lt;&gt;"""",REGEXEXTRACT(SUBSTITUTE ($T552,N$1&amp;"" CE"",""""), N$1&amp;""[\w &amp;]*, (\d+\.\d+)""),"""")
"),"")</f>
        <v/>
      </c>
      <c r="O552" s="3" t="str">
        <f aca="false">IFERROR(__xludf.dummyfunction("if($T552&lt;&gt;"""",REGEXEXTRACT($T552, O$1&amp;""[\w &amp;]*, (\d+\.\d+)""),"""")
"),"")</f>
        <v/>
      </c>
      <c r="P552" s="2"/>
      <c r="Q552" s="2"/>
      <c r="R552" s="2"/>
      <c r="S552" s="2"/>
      <c r="T552" s="5"/>
    </row>
    <row r="553" customFormat="false" ht="15.75" hidden="false" customHeight="false" outlineLevel="0" collapsed="false">
      <c r="A553" s="4"/>
      <c r="B553" s="2"/>
      <c r="C553" s="2"/>
      <c r="D553" s="2"/>
      <c r="E553" s="2"/>
      <c r="F553" s="3" t="str">
        <f aca="false">IFERROR(__xludf.dummyfunction("if($T553&lt;&gt;"""",REGEXEXTRACT(SUBSTITUTE ($T553,F$1&amp;"" CE"",""""), F$1&amp;""[\w &amp;]*, (\d+\.\d+)""),"""")
"),"")</f>
        <v/>
      </c>
      <c r="G553" s="3" t="str">
        <f aca="false">IFERROR(__xludf.dummyfunction("if($T553&lt;&gt;"""",REGEXEXTRACT($T553, G$1&amp;""[\w &amp;]*, (\d+\.\d+)""),"""")
"),"")</f>
        <v/>
      </c>
      <c r="H553" s="3"/>
      <c r="I553" s="3" t="str">
        <f aca="false">IFERROR(__xludf.dummyfunction("if($T553&lt;&gt;"""",REGEXEXTRACT(SUBSTITUTE ($T553,I$1&amp;"" CE"",""""), I$1&amp;""[\w &amp;]*, (\d+\.\d+)""),"""")
"),"")</f>
        <v/>
      </c>
      <c r="J553" s="3" t="str">
        <f aca="false">IFERROR(__xludf.dummyfunction("if($T553&lt;&gt;"""",REGEXEXTRACT($T553, J$1&amp;""[\w &amp;]*, (\d+\.\d+)""),"""")
"),"")</f>
        <v/>
      </c>
      <c r="K553" s="3"/>
      <c r="L553" s="3" t="str">
        <f aca="false">IFERROR(__xludf.dummyfunction("if($T553&lt;&gt;"""",REGEXEXTRACT(SUBSTITUTE ($T553,L$1&amp;"" CE"",""""), L$1&amp;""[\w &amp;]*, (\d+\.\d+)""),"""")
"),"")</f>
        <v/>
      </c>
      <c r="M553" s="3" t="str">
        <f aca="false">IFERROR(__xludf.dummyfunction("if($T553&lt;&gt;"""",REGEXEXTRACT($T553, M$1&amp;""[\w &amp;]*, (\d+\.\d+)""),"""")
"),"")</f>
        <v/>
      </c>
      <c r="N553" s="3" t="str">
        <f aca="false">IFERROR(__xludf.dummyfunction("if($T553&lt;&gt;"""",REGEXEXTRACT(SUBSTITUTE ($T553,N$1&amp;"" CE"",""""), N$1&amp;""[\w &amp;]*, (\d+\.\d+)""),"""")
"),"")</f>
        <v/>
      </c>
      <c r="O553" s="3" t="str">
        <f aca="false">IFERROR(__xludf.dummyfunction("if($T553&lt;&gt;"""",REGEXEXTRACT($T553, O$1&amp;""[\w &amp;]*, (\d+\.\d+)""),"""")
"),"")</f>
        <v/>
      </c>
      <c r="P553" s="2"/>
      <c r="Q553" s="2"/>
      <c r="R553" s="2"/>
      <c r="S553" s="2"/>
      <c r="T553" s="5"/>
    </row>
    <row r="554" customFormat="false" ht="15.75" hidden="false" customHeight="false" outlineLevel="0" collapsed="false">
      <c r="A554" s="4"/>
      <c r="B554" s="2"/>
      <c r="C554" s="2"/>
      <c r="D554" s="2"/>
      <c r="E554" s="2"/>
      <c r="F554" s="3" t="str">
        <f aca="false">IFERROR(__xludf.dummyfunction("if($T554&lt;&gt;"""",REGEXEXTRACT(SUBSTITUTE ($T554,F$1&amp;"" CE"",""""), F$1&amp;""[\w &amp;]*, (\d+\.\d+)""),"""")
"),"")</f>
        <v/>
      </c>
      <c r="G554" s="3" t="str">
        <f aca="false">IFERROR(__xludf.dummyfunction("if($T554&lt;&gt;"""",REGEXEXTRACT($T554, G$1&amp;""[\w &amp;]*, (\d+\.\d+)""),"""")
"),"")</f>
        <v/>
      </c>
      <c r="H554" s="3"/>
      <c r="I554" s="3" t="str">
        <f aca="false">IFERROR(__xludf.dummyfunction("if($T554&lt;&gt;"""",REGEXEXTRACT(SUBSTITUTE ($T554,I$1&amp;"" CE"",""""), I$1&amp;""[\w &amp;]*, (\d+\.\d+)""),"""")
"),"")</f>
        <v/>
      </c>
      <c r="J554" s="3" t="str">
        <f aca="false">IFERROR(__xludf.dummyfunction("if($T554&lt;&gt;"""",REGEXEXTRACT($T554, J$1&amp;""[\w &amp;]*, (\d+\.\d+)""),"""")
"),"")</f>
        <v/>
      </c>
      <c r="K554" s="3"/>
      <c r="L554" s="3" t="str">
        <f aca="false">IFERROR(__xludf.dummyfunction("if($T554&lt;&gt;"""",REGEXEXTRACT(SUBSTITUTE ($T554,L$1&amp;"" CE"",""""), L$1&amp;""[\w &amp;]*, (\d+\.\d+)""),"""")
"),"")</f>
        <v/>
      </c>
      <c r="M554" s="3" t="str">
        <f aca="false">IFERROR(__xludf.dummyfunction("if($T554&lt;&gt;"""",REGEXEXTRACT($T554, M$1&amp;""[\w &amp;]*, (\d+\.\d+)""),"""")
"),"")</f>
        <v/>
      </c>
      <c r="N554" s="3" t="str">
        <f aca="false">IFERROR(__xludf.dummyfunction("if($T554&lt;&gt;"""",REGEXEXTRACT(SUBSTITUTE ($T554,N$1&amp;"" CE"",""""), N$1&amp;""[\w &amp;]*, (\d+\.\d+)""),"""")
"),"")</f>
        <v/>
      </c>
      <c r="O554" s="3" t="str">
        <f aca="false">IFERROR(__xludf.dummyfunction("if($T554&lt;&gt;"""",REGEXEXTRACT($T554, O$1&amp;""[\w &amp;]*, (\d+\.\d+)""),"""")
"),"")</f>
        <v/>
      </c>
      <c r="P554" s="2"/>
      <c r="Q554" s="2"/>
      <c r="R554" s="2"/>
      <c r="S554" s="2"/>
      <c r="T554" s="5"/>
    </row>
    <row r="555" customFormat="false" ht="15.75" hidden="false" customHeight="false" outlineLevel="0" collapsed="false">
      <c r="A555" s="4"/>
      <c r="B555" s="2"/>
      <c r="C555" s="2"/>
      <c r="D555" s="2"/>
      <c r="E555" s="2"/>
      <c r="F555" s="3" t="str">
        <f aca="false">IFERROR(__xludf.dummyfunction("if($T555&lt;&gt;"""",REGEXEXTRACT(SUBSTITUTE ($T555,F$1&amp;"" CE"",""""), F$1&amp;""[\w &amp;]*, (\d+\.\d+)""),"""")
"),"")</f>
        <v/>
      </c>
      <c r="G555" s="3" t="str">
        <f aca="false">IFERROR(__xludf.dummyfunction("if($T555&lt;&gt;"""",REGEXEXTRACT($T555, G$1&amp;""[\w &amp;]*, (\d+\.\d+)""),"""")
"),"")</f>
        <v/>
      </c>
      <c r="H555" s="3"/>
      <c r="I555" s="3" t="str">
        <f aca="false">IFERROR(__xludf.dummyfunction("if($T555&lt;&gt;"""",REGEXEXTRACT(SUBSTITUTE ($T555,I$1&amp;"" CE"",""""), I$1&amp;""[\w &amp;]*, (\d+\.\d+)""),"""")
"),"")</f>
        <v/>
      </c>
      <c r="J555" s="3" t="str">
        <f aca="false">IFERROR(__xludf.dummyfunction("if($T555&lt;&gt;"""",REGEXEXTRACT($T555, J$1&amp;""[\w &amp;]*, (\d+\.\d+)""),"""")
"),"")</f>
        <v/>
      </c>
      <c r="K555" s="3"/>
      <c r="L555" s="3" t="str">
        <f aca="false">IFERROR(__xludf.dummyfunction("if($T555&lt;&gt;"""",REGEXEXTRACT(SUBSTITUTE ($T555,L$1&amp;"" CE"",""""), L$1&amp;""[\w &amp;]*, (\d+\.\d+)""),"""")
"),"")</f>
        <v/>
      </c>
      <c r="M555" s="3" t="str">
        <f aca="false">IFERROR(__xludf.dummyfunction("if($T555&lt;&gt;"""",REGEXEXTRACT($T555, M$1&amp;""[\w &amp;]*, (\d+\.\d+)""),"""")
"),"")</f>
        <v/>
      </c>
      <c r="N555" s="3" t="str">
        <f aca="false">IFERROR(__xludf.dummyfunction("if($T555&lt;&gt;"""",REGEXEXTRACT(SUBSTITUTE ($T555,N$1&amp;"" CE"",""""), N$1&amp;""[\w &amp;]*, (\d+\.\d+)""),"""")
"),"")</f>
        <v/>
      </c>
      <c r="O555" s="3" t="str">
        <f aca="false">IFERROR(__xludf.dummyfunction("if($T555&lt;&gt;"""",REGEXEXTRACT($T555, O$1&amp;""[\w &amp;]*, (\d+\.\d+)""),"""")
"),"")</f>
        <v/>
      </c>
      <c r="P555" s="2"/>
      <c r="Q555" s="2"/>
      <c r="R555" s="2"/>
      <c r="S555" s="2"/>
      <c r="T555" s="5"/>
    </row>
    <row r="556" customFormat="false" ht="15.75" hidden="false" customHeight="false" outlineLevel="0" collapsed="false">
      <c r="A556" s="4"/>
      <c r="B556" s="2"/>
      <c r="C556" s="2"/>
      <c r="D556" s="2"/>
      <c r="E556" s="2"/>
      <c r="F556" s="3" t="str">
        <f aca="false">IFERROR(__xludf.dummyfunction("if($T556&lt;&gt;"""",REGEXEXTRACT(SUBSTITUTE ($T556,F$1&amp;"" CE"",""""), F$1&amp;""[\w &amp;]*, (\d+\.\d+)""),"""")
"),"")</f>
        <v/>
      </c>
      <c r="G556" s="3" t="str">
        <f aca="false">IFERROR(__xludf.dummyfunction("if($T556&lt;&gt;"""",REGEXEXTRACT($T556, G$1&amp;""[\w &amp;]*, (\d+\.\d+)""),"""")
"),"")</f>
        <v/>
      </c>
      <c r="H556" s="3"/>
      <c r="I556" s="3" t="str">
        <f aca="false">IFERROR(__xludf.dummyfunction("if($T556&lt;&gt;"""",REGEXEXTRACT(SUBSTITUTE ($T556,I$1&amp;"" CE"",""""), I$1&amp;""[\w &amp;]*, (\d+\.\d+)""),"""")
"),"")</f>
        <v/>
      </c>
      <c r="J556" s="3" t="str">
        <f aca="false">IFERROR(__xludf.dummyfunction("if($T556&lt;&gt;"""",REGEXEXTRACT($T556, J$1&amp;""[\w &amp;]*, (\d+\.\d+)""),"""")
"),"")</f>
        <v/>
      </c>
      <c r="K556" s="3"/>
      <c r="L556" s="3" t="str">
        <f aca="false">IFERROR(__xludf.dummyfunction("if($T556&lt;&gt;"""",REGEXEXTRACT(SUBSTITUTE ($T556,L$1&amp;"" CE"",""""), L$1&amp;""[\w &amp;]*, (\d+\.\d+)""),"""")
"),"")</f>
        <v/>
      </c>
      <c r="M556" s="3" t="str">
        <f aca="false">IFERROR(__xludf.dummyfunction("if($T556&lt;&gt;"""",REGEXEXTRACT($T556, M$1&amp;""[\w &amp;]*, (\d+\.\d+)""),"""")
"),"")</f>
        <v/>
      </c>
      <c r="N556" s="3" t="str">
        <f aca="false">IFERROR(__xludf.dummyfunction("if($T556&lt;&gt;"""",REGEXEXTRACT(SUBSTITUTE ($T556,N$1&amp;"" CE"",""""), N$1&amp;""[\w &amp;]*, (\d+\.\d+)""),"""")
"),"")</f>
        <v/>
      </c>
      <c r="O556" s="3" t="str">
        <f aca="false">IFERROR(__xludf.dummyfunction("if($T556&lt;&gt;"""",REGEXEXTRACT($T556, O$1&amp;""[\w &amp;]*, (\d+\.\d+)""),"""")
"),"")</f>
        <v/>
      </c>
      <c r="P556" s="2"/>
      <c r="Q556" s="2"/>
      <c r="R556" s="2"/>
      <c r="S556" s="2"/>
      <c r="T556" s="5"/>
    </row>
    <row r="557" customFormat="false" ht="15.75" hidden="false" customHeight="false" outlineLevel="0" collapsed="false">
      <c r="A557" s="4"/>
      <c r="B557" s="2"/>
      <c r="C557" s="2"/>
      <c r="D557" s="2"/>
      <c r="E557" s="2"/>
      <c r="F557" s="3" t="str">
        <f aca="false">IFERROR(__xludf.dummyfunction("if($T557&lt;&gt;"""",REGEXEXTRACT(SUBSTITUTE ($T557,F$1&amp;"" CE"",""""), F$1&amp;""[\w &amp;]*, (\d+\.\d+)""),"""")
"),"")</f>
        <v/>
      </c>
      <c r="G557" s="3" t="str">
        <f aca="false">IFERROR(__xludf.dummyfunction("if($T557&lt;&gt;"""",REGEXEXTRACT($T557, G$1&amp;""[\w &amp;]*, (\d+\.\d+)""),"""")
"),"")</f>
        <v/>
      </c>
      <c r="H557" s="3"/>
      <c r="I557" s="3" t="str">
        <f aca="false">IFERROR(__xludf.dummyfunction("if($T557&lt;&gt;"""",REGEXEXTRACT(SUBSTITUTE ($T557,I$1&amp;"" CE"",""""), I$1&amp;""[\w &amp;]*, (\d+\.\d+)""),"""")
"),"")</f>
        <v/>
      </c>
      <c r="J557" s="3" t="str">
        <f aca="false">IFERROR(__xludf.dummyfunction("if($T557&lt;&gt;"""",REGEXEXTRACT($T557, J$1&amp;""[\w &amp;]*, (\d+\.\d+)""),"""")
"),"")</f>
        <v/>
      </c>
      <c r="K557" s="3"/>
      <c r="L557" s="3" t="str">
        <f aca="false">IFERROR(__xludf.dummyfunction("if($T557&lt;&gt;"""",REGEXEXTRACT(SUBSTITUTE ($T557,L$1&amp;"" CE"",""""), L$1&amp;""[\w &amp;]*, (\d+\.\d+)""),"""")
"),"")</f>
        <v/>
      </c>
      <c r="M557" s="3" t="str">
        <f aca="false">IFERROR(__xludf.dummyfunction("if($T557&lt;&gt;"""",REGEXEXTRACT($T557, M$1&amp;""[\w &amp;]*, (\d+\.\d+)""),"""")
"),"")</f>
        <v/>
      </c>
      <c r="N557" s="3" t="str">
        <f aca="false">IFERROR(__xludf.dummyfunction("if($T557&lt;&gt;"""",REGEXEXTRACT(SUBSTITUTE ($T557,N$1&amp;"" CE"",""""), N$1&amp;""[\w &amp;]*, (\d+\.\d+)""),"""")
"),"")</f>
        <v/>
      </c>
      <c r="O557" s="3" t="str">
        <f aca="false">IFERROR(__xludf.dummyfunction("if($T557&lt;&gt;"""",REGEXEXTRACT($T557, O$1&amp;""[\w &amp;]*, (\d+\.\d+)""),"""")
"),"")</f>
        <v/>
      </c>
      <c r="P557" s="2"/>
      <c r="Q557" s="2"/>
      <c r="R557" s="2"/>
      <c r="S557" s="2"/>
      <c r="T557" s="5"/>
    </row>
    <row r="558" customFormat="false" ht="15.75" hidden="false" customHeight="false" outlineLevel="0" collapsed="false">
      <c r="A558" s="4"/>
      <c r="B558" s="2"/>
      <c r="C558" s="2"/>
      <c r="D558" s="2"/>
      <c r="E558" s="2"/>
      <c r="F558" s="3" t="str">
        <f aca="false">IFERROR(__xludf.dummyfunction("if($T558&lt;&gt;"""",REGEXEXTRACT(SUBSTITUTE ($T558,F$1&amp;"" CE"",""""), F$1&amp;""[\w &amp;]*, (\d+\.\d+)""),"""")
"),"")</f>
        <v/>
      </c>
      <c r="G558" s="3" t="str">
        <f aca="false">IFERROR(__xludf.dummyfunction("if($T558&lt;&gt;"""",REGEXEXTRACT($T558, G$1&amp;""[\w &amp;]*, (\d+\.\d+)""),"""")
"),"")</f>
        <v/>
      </c>
      <c r="H558" s="3"/>
      <c r="I558" s="3" t="str">
        <f aca="false">IFERROR(__xludf.dummyfunction("if($T558&lt;&gt;"""",REGEXEXTRACT(SUBSTITUTE ($T558,I$1&amp;"" CE"",""""), I$1&amp;""[\w &amp;]*, (\d+\.\d+)""),"""")
"),"")</f>
        <v/>
      </c>
      <c r="J558" s="3" t="str">
        <f aca="false">IFERROR(__xludf.dummyfunction("if($T558&lt;&gt;"""",REGEXEXTRACT($T558, J$1&amp;""[\w &amp;]*, (\d+\.\d+)""),"""")
"),"")</f>
        <v/>
      </c>
      <c r="K558" s="3"/>
      <c r="L558" s="3" t="str">
        <f aca="false">IFERROR(__xludf.dummyfunction("if($T558&lt;&gt;"""",REGEXEXTRACT(SUBSTITUTE ($T558,L$1&amp;"" CE"",""""), L$1&amp;""[\w &amp;]*, (\d+\.\d+)""),"""")
"),"")</f>
        <v/>
      </c>
      <c r="M558" s="3" t="str">
        <f aca="false">IFERROR(__xludf.dummyfunction("if($T558&lt;&gt;"""",REGEXEXTRACT($T558, M$1&amp;""[\w &amp;]*, (\d+\.\d+)""),"""")
"),"")</f>
        <v/>
      </c>
      <c r="N558" s="3" t="str">
        <f aca="false">IFERROR(__xludf.dummyfunction("if($T558&lt;&gt;"""",REGEXEXTRACT(SUBSTITUTE ($T558,N$1&amp;"" CE"",""""), N$1&amp;""[\w &amp;]*, (\d+\.\d+)""),"""")
"),"")</f>
        <v/>
      </c>
      <c r="O558" s="3" t="str">
        <f aca="false">IFERROR(__xludf.dummyfunction("if($T558&lt;&gt;"""",REGEXEXTRACT($T558, O$1&amp;""[\w &amp;]*, (\d+\.\d+)""),"""")
"),"")</f>
        <v/>
      </c>
      <c r="P558" s="2"/>
      <c r="Q558" s="2"/>
      <c r="R558" s="2"/>
      <c r="S558" s="2"/>
      <c r="T558" s="5"/>
    </row>
    <row r="559" customFormat="false" ht="15.75" hidden="false" customHeight="false" outlineLevel="0" collapsed="false">
      <c r="A559" s="4"/>
      <c r="B559" s="2"/>
      <c r="C559" s="2"/>
      <c r="D559" s="2"/>
      <c r="E559" s="2"/>
      <c r="F559" s="3" t="str">
        <f aca="false">IFERROR(__xludf.dummyfunction("if($T559&lt;&gt;"""",REGEXEXTRACT(SUBSTITUTE ($T559,F$1&amp;"" CE"",""""), F$1&amp;""[\w &amp;]*, (\d+\.\d+)""),"""")
"),"")</f>
        <v/>
      </c>
      <c r="G559" s="3" t="str">
        <f aca="false">IFERROR(__xludf.dummyfunction("if($T559&lt;&gt;"""",REGEXEXTRACT($T559, G$1&amp;""[\w &amp;]*, (\d+\.\d+)""),"""")
"),"")</f>
        <v/>
      </c>
      <c r="H559" s="3"/>
      <c r="I559" s="3" t="str">
        <f aca="false">IFERROR(__xludf.dummyfunction("if($T559&lt;&gt;"""",REGEXEXTRACT(SUBSTITUTE ($T559,I$1&amp;"" CE"",""""), I$1&amp;""[\w &amp;]*, (\d+\.\d+)""),"""")
"),"")</f>
        <v/>
      </c>
      <c r="J559" s="3" t="str">
        <f aca="false">IFERROR(__xludf.dummyfunction("if($T559&lt;&gt;"""",REGEXEXTRACT($T559, J$1&amp;""[\w &amp;]*, (\d+\.\d+)""),"""")
"),"")</f>
        <v/>
      </c>
      <c r="K559" s="3"/>
      <c r="L559" s="3" t="str">
        <f aca="false">IFERROR(__xludf.dummyfunction("if($T559&lt;&gt;"""",REGEXEXTRACT(SUBSTITUTE ($T559,L$1&amp;"" CE"",""""), L$1&amp;""[\w &amp;]*, (\d+\.\d+)""),"""")
"),"")</f>
        <v/>
      </c>
      <c r="M559" s="3" t="str">
        <f aca="false">IFERROR(__xludf.dummyfunction("if($T559&lt;&gt;"""",REGEXEXTRACT($T559, M$1&amp;""[\w &amp;]*, (\d+\.\d+)""),"""")
"),"")</f>
        <v/>
      </c>
      <c r="N559" s="3" t="str">
        <f aca="false">IFERROR(__xludf.dummyfunction("if($T559&lt;&gt;"""",REGEXEXTRACT(SUBSTITUTE ($T559,N$1&amp;"" CE"",""""), N$1&amp;""[\w &amp;]*, (\d+\.\d+)""),"""")
"),"")</f>
        <v/>
      </c>
      <c r="O559" s="3" t="str">
        <f aca="false">IFERROR(__xludf.dummyfunction("if($T559&lt;&gt;"""",REGEXEXTRACT($T559, O$1&amp;""[\w &amp;]*, (\d+\.\d+)""),"""")
"),"")</f>
        <v/>
      </c>
      <c r="P559" s="2"/>
      <c r="Q559" s="2"/>
      <c r="R559" s="2"/>
      <c r="S559" s="2"/>
      <c r="T559" s="5"/>
    </row>
    <row r="560" customFormat="false" ht="15.75" hidden="false" customHeight="false" outlineLevel="0" collapsed="false">
      <c r="A560" s="4"/>
      <c r="B560" s="2"/>
      <c r="C560" s="2"/>
      <c r="D560" s="2"/>
      <c r="E560" s="2"/>
      <c r="F560" s="3" t="str">
        <f aca="false">IFERROR(__xludf.dummyfunction("if($T560&lt;&gt;"""",REGEXEXTRACT(SUBSTITUTE ($T560,F$1&amp;"" CE"",""""), F$1&amp;""[\w &amp;]*, (\d+\.\d+)""),"""")
"),"")</f>
        <v/>
      </c>
      <c r="G560" s="3" t="str">
        <f aca="false">IFERROR(__xludf.dummyfunction("if($T560&lt;&gt;"""",REGEXEXTRACT($T560, G$1&amp;""[\w &amp;]*, (\d+\.\d+)""),"""")
"),"")</f>
        <v/>
      </c>
      <c r="H560" s="3"/>
      <c r="I560" s="3" t="str">
        <f aca="false">IFERROR(__xludf.dummyfunction("if($T560&lt;&gt;"""",REGEXEXTRACT(SUBSTITUTE ($T560,I$1&amp;"" CE"",""""), I$1&amp;""[\w &amp;]*, (\d+\.\d+)""),"""")
"),"")</f>
        <v/>
      </c>
      <c r="J560" s="3" t="str">
        <f aca="false">IFERROR(__xludf.dummyfunction("if($T560&lt;&gt;"""",REGEXEXTRACT($T560, J$1&amp;""[\w &amp;]*, (\d+\.\d+)""),"""")
"),"")</f>
        <v/>
      </c>
      <c r="K560" s="3"/>
      <c r="L560" s="3" t="str">
        <f aca="false">IFERROR(__xludf.dummyfunction("if($T560&lt;&gt;"""",REGEXEXTRACT(SUBSTITUTE ($T560,L$1&amp;"" CE"",""""), L$1&amp;""[\w &amp;]*, (\d+\.\d+)""),"""")
"),"")</f>
        <v/>
      </c>
      <c r="M560" s="3" t="str">
        <f aca="false">IFERROR(__xludf.dummyfunction("if($T560&lt;&gt;"""",REGEXEXTRACT($T560, M$1&amp;""[\w &amp;]*, (\d+\.\d+)""),"""")
"),"")</f>
        <v/>
      </c>
      <c r="N560" s="3" t="str">
        <f aca="false">IFERROR(__xludf.dummyfunction("if($T560&lt;&gt;"""",REGEXEXTRACT(SUBSTITUTE ($T560,N$1&amp;"" CE"",""""), N$1&amp;""[\w &amp;]*, (\d+\.\d+)""),"""")
"),"")</f>
        <v/>
      </c>
      <c r="O560" s="3" t="str">
        <f aca="false">IFERROR(__xludf.dummyfunction("if($T560&lt;&gt;"""",REGEXEXTRACT($T560, O$1&amp;""[\w &amp;]*, (\d+\.\d+)""),"""")
"),"")</f>
        <v/>
      </c>
      <c r="P560" s="2"/>
      <c r="Q560" s="2"/>
      <c r="R560" s="2"/>
      <c r="S560" s="2"/>
      <c r="T560" s="5"/>
    </row>
    <row r="561" customFormat="false" ht="15.75" hidden="false" customHeight="false" outlineLevel="0" collapsed="false">
      <c r="A561" s="4"/>
      <c r="B561" s="2"/>
      <c r="C561" s="2"/>
      <c r="D561" s="2"/>
      <c r="E561" s="2"/>
      <c r="F561" s="3" t="str">
        <f aca="false">IFERROR(__xludf.dummyfunction("if($T561&lt;&gt;"""",REGEXEXTRACT(SUBSTITUTE ($T561,F$1&amp;"" CE"",""""), F$1&amp;""[\w &amp;]*, (\d+\.\d+)""),"""")
"),"")</f>
        <v/>
      </c>
      <c r="G561" s="3" t="str">
        <f aca="false">IFERROR(__xludf.dummyfunction("if($T561&lt;&gt;"""",REGEXEXTRACT($T561, G$1&amp;""[\w &amp;]*, (\d+\.\d+)""),"""")
"),"")</f>
        <v/>
      </c>
      <c r="H561" s="3"/>
      <c r="I561" s="3" t="str">
        <f aca="false">IFERROR(__xludf.dummyfunction("if($T561&lt;&gt;"""",REGEXEXTRACT(SUBSTITUTE ($T561,I$1&amp;"" CE"",""""), I$1&amp;""[\w &amp;]*, (\d+\.\d+)""),"""")
"),"")</f>
        <v/>
      </c>
      <c r="J561" s="3" t="str">
        <f aca="false">IFERROR(__xludf.dummyfunction("if($T561&lt;&gt;"""",REGEXEXTRACT($T561, J$1&amp;""[\w &amp;]*, (\d+\.\d+)""),"""")
"),"")</f>
        <v/>
      </c>
      <c r="K561" s="3"/>
      <c r="L561" s="3" t="str">
        <f aca="false">IFERROR(__xludf.dummyfunction("if($T561&lt;&gt;"""",REGEXEXTRACT(SUBSTITUTE ($T561,L$1&amp;"" CE"",""""), L$1&amp;""[\w &amp;]*, (\d+\.\d+)""),"""")
"),"")</f>
        <v/>
      </c>
      <c r="M561" s="3" t="str">
        <f aca="false">IFERROR(__xludf.dummyfunction("if($T561&lt;&gt;"""",REGEXEXTRACT($T561, M$1&amp;""[\w &amp;]*, (\d+\.\d+)""),"""")
"),"")</f>
        <v/>
      </c>
      <c r="N561" s="3" t="str">
        <f aca="false">IFERROR(__xludf.dummyfunction("if($T561&lt;&gt;"""",REGEXEXTRACT(SUBSTITUTE ($T561,N$1&amp;"" CE"",""""), N$1&amp;""[\w &amp;]*, (\d+\.\d+)""),"""")
"),"")</f>
        <v/>
      </c>
      <c r="O561" s="3" t="str">
        <f aca="false">IFERROR(__xludf.dummyfunction("if($T561&lt;&gt;"""",REGEXEXTRACT($T561, O$1&amp;""[\w &amp;]*, (\d+\.\d+)""),"""")
"),"")</f>
        <v/>
      </c>
      <c r="P561" s="2"/>
      <c r="Q561" s="2"/>
      <c r="R561" s="2"/>
      <c r="S561" s="2"/>
      <c r="T561" s="5"/>
    </row>
    <row r="562" customFormat="false" ht="15.75" hidden="false" customHeight="false" outlineLevel="0" collapsed="false">
      <c r="A562" s="4"/>
      <c r="B562" s="2"/>
      <c r="C562" s="2"/>
      <c r="D562" s="2"/>
      <c r="E562" s="2"/>
      <c r="F562" s="3" t="str">
        <f aca="false">IFERROR(__xludf.dummyfunction("if($T562&lt;&gt;"""",REGEXEXTRACT(SUBSTITUTE ($T562,F$1&amp;"" CE"",""""), F$1&amp;""[\w &amp;]*, (\d+\.\d+)""),"""")
"),"")</f>
        <v/>
      </c>
      <c r="G562" s="3" t="str">
        <f aca="false">IFERROR(__xludf.dummyfunction("if($T562&lt;&gt;"""",REGEXEXTRACT($T562, G$1&amp;""[\w &amp;]*, (\d+\.\d+)""),"""")
"),"")</f>
        <v/>
      </c>
      <c r="H562" s="3"/>
      <c r="I562" s="3" t="str">
        <f aca="false">IFERROR(__xludf.dummyfunction("if($T562&lt;&gt;"""",REGEXEXTRACT(SUBSTITUTE ($T562,I$1&amp;"" CE"",""""), I$1&amp;""[\w &amp;]*, (\d+\.\d+)""),"""")
"),"")</f>
        <v/>
      </c>
      <c r="J562" s="3" t="str">
        <f aca="false">IFERROR(__xludf.dummyfunction("if($T562&lt;&gt;"""",REGEXEXTRACT($T562, J$1&amp;""[\w &amp;]*, (\d+\.\d+)""),"""")
"),"")</f>
        <v/>
      </c>
      <c r="K562" s="3"/>
      <c r="L562" s="3" t="str">
        <f aca="false">IFERROR(__xludf.dummyfunction("if($T562&lt;&gt;"""",REGEXEXTRACT(SUBSTITUTE ($T562,L$1&amp;"" CE"",""""), L$1&amp;""[\w &amp;]*, (\d+\.\d+)""),"""")
"),"")</f>
        <v/>
      </c>
      <c r="M562" s="3" t="str">
        <f aca="false">IFERROR(__xludf.dummyfunction("if($T562&lt;&gt;"""",REGEXEXTRACT($T562, M$1&amp;""[\w &amp;]*, (\d+\.\d+)""),"""")
"),"")</f>
        <v/>
      </c>
      <c r="N562" s="3" t="str">
        <f aca="false">IFERROR(__xludf.dummyfunction("if($T562&lt;&gt;"""",REGEXEXTRACT(SUBSTITUTE ($T562,N$1&amp;"" CE"",""""), N$1&amp;""[\w &amp;]*, (\d+\.\d+)""),"""")
"),"")</f>
        <v/>
      </c>
      <c r="O562" s="3" t="str">
        <f aca="false">IFERROR(__xludf.dummyfunction("if($T562&lt;&gt;"""",REGEXEXTRACT($T562, O$1&amp;""[\w &amp;]*, (\d+\.\d+)""),"""")
"),"")</f>
        <v/>
      </c>
      <c r="P562" s="2"/>
      <c r="Q562" s="2"/>
      <c r="R562" s="2"/>
      <c r="S562" s="2"/>
      <c r="T562" s="5"/>
    </row>
    <row r="563" customFormat="false" ht="15.75" hidden="false" customHeight="false" outlineLevel="0" collapsed="false">
      <c r="A563" s="4"/>
      <c r="B563" s="2"/>
      <c r="C563" s="2"/>
      <c r="D563" s="2"/>
      <c r="E563" s="2"/>
      <c r="F563" s="3" t="str">
        <f aca="false">IFERROR(__xludf.dummyfunction("if($T563&lt;&gt;"""",REGEXEXTRACT(SUBSTITUTE ($T563,F$1&amp;"" CE"",""""), F$1&amp;""[\w &amp;]*, (\d+\.\d+)""),"""")
"),"")</f>
        <v/>
      </c>
      <c r="G563" s="3" t="str">
        <f aca="false">IFERROR(__xludf.dummyfunction("if($T563&lt;&gt;"""",REGEXEXTRACT($T563, G$1&amp;""[\w &amp;]*, (\d+\.\d+)""),"""")
"),"")</f>
        <v/>
      </c>
      <c r="H563" s="3"/>
      <c r="I563" s="3" t="str">
        <f aca="false">IFERROR(__xludf.dummyfunction("if($T563&lt;&gt;"""",REGEXEXTRACT(SUBSTITUTE ($T563,I$1&amp;"" CE"",""""), I$1&amp;""[\w &amp;]*, (\d+\.\d+)""),"""")
"),"")</f>
        <v/>
      </c>
      <c r="J563" s="3" t="str">
        <f aca="false">IFERROR(__xludf.dummyfunction("if($T563&lt;&gt;"""",REGEXEXTRACT($T563, J$1&amp;""[\w &amp;]*, (\d+\.\d+)""),"""")
"),"")</f>
        <v/>
      </c>
      <c r="K563" s="3"/>
      <c r="L563" s="3" t="str">
        <f aca="false">IFERROR(__xludf.dummyfunction("if($T563&lt;&gt;"""",REGEXEXTRACT(SUBSTITUTE ($T563,L$1&amp;"" CE"",""""), L$1&amp;""[\w &amp;]*, (\d+\.\d+)""),"""")
"),"")</f>
        <v/>
      </c>
      <c r="M563" s="3" t="str">
        <f aca="false">IFERROR(__xludf.dummyfunction("if($T563&lt;&gt;"""",REGEXEXTRACT($T563, M$1&amp;""[\w &amp;]*, (\d+\.\d+)""),"""")
"),"")</f>
        <v/>
      </c>
      <c r="N563" s="3" t="str">
        <f aca="false">IFERROR(__xludf.dummyfunction("if($T563&lt;&gt;"""",REGEXEXTRACT(SUBSTITUTE ($T563,N$1&amp;"" CE"",""""), N$1&amp;""[\w &amp;]*, (\d+\.\d+)""),"""")
"),"")</f>
        <v/>
      </c>
      <c r="O563" s="3" t="str">
        <f aca="false">IFERROR(__xludf.dummyfunction("if($T563&lt;&gt;"""",REGEXEXTRACT($T563, O$1&amp;""[\w &amp;]*, (\d+\.\d+)""),"""")
"),"")</f>
        <v/>
      </c>
      <c r="P563" s="2"/>
      <c r="Q563" s="2"/>
      <c r="R563" s="2"/>
      <c r="S563" s="2"/>
      <c r="T563" s="5"/>
    </row>
    <row r="564" customFormat="false" ht="15.75" hidden="false" customHeight="false" outlineLevel="0" collapsed="false">
      <c r="A564" s="4"/>
      <c r="B564" s="2"/>
      <c r="C564" s="2"/>
      <c r="D564" s="2"/>
      <c r="E564" s="2"/>
      <c r="F564" s="3" t="str">
        <f aca="false">IFERROR(__xludf.dummyfunction("if($T564&lt;&gt;"""",REGEXEXTRACT(SUBSTITUTE ($T564,F$1&amp;"" CE"",""""), F$1&amp;""[\w &amp;]*, (\d+\.\d+)""),"""")
"),"")</f>
        <v/>
      </c>
      <c r="G564" s="3" t="str">
        <f aca="false">IFERROR(__xludf.dummyfunction("if($T564&lt;&gt;"""",REGEXEXTRACT($T564, G$1&amp;""[\w &amp;]*, (\d+\.\d+)""),"""")
"),"")</f>
        <v/>
      </c>
      <c r="H564" s="3"/>
      <c r="I564" s="3" t="str">
        <f aca="false">IFERROR(__xludf.dummyfunction("if($T564&lt;&gt;"""",REGEXEXTRACT(SUBSTITUTE ($T564,I$1&amp;"" CE"",""""), I$1&amp;""[\w &amp;]*, (\d+\.\d+)""),"""")
"),"")</f>
        <v/>
      </c>
      <c r="J564" s="3" t="str">
        <f aca="false">IFERROR(__xludf.dummyfunction("if($T564&lt;&gt;"""",REGEXEXTRACT($T564, J$1&amp;""[\w &amp;]*, (\d+\.\d+)""),"""")
"),"")</f>
        <v/>
      </c>
      <c r="K564" s="3"/>
      <c r="L564" s="3" t="str">
        <f aca="false">IFERROR(__xludf.dummyfunction("if($T564&lt;&gt;"""",REGEXEXTRACT(SUBSTITUTE ($T564,L$1&amp;"" CE"",""""), L$1&amp;""[\w &amp;]*, (\d+\.\d+)""),"""")
"),"")</f>
        <v/>
      </c>
      <c r="M564" s="3" t="str">
        <f aca="false">IFERROR(__xludf.dummyfunction("if($T564&lt;&gt;"""",REGEXEXTRACT($T564, M$1&amp;""[\w &amp;]*, (\d+\.\d+)""),"""")
"),"")</f>
        <v/>
      </c>
      <c r="N564" s="3" t="str">
        <f aca="false">IFERROR(__xludf.dummyfunction("if($T564&lt;&gt;"""",REGEXEXTRACT(SUBSTITUTE ($T564,N$1&amp;"" CE"",""""), N$1&amp;""[\w &amp;]*, (\d+\.\d+)""),"""")
"),"")</f>
        <v/>
      </c>
      <c r="O564" s="3" t="str">
        <f aca="false">IFERROR(__xludf.dummyfunction("if($T564&lt;&gt;"""",REGEXEXTRACT($T564, O$1&amp;""[\w &amp;]*, (\d+\.\d+)""),"""")
"),"")</f>
        <v/>
      </c>
      <c r="P564" s="2"/>
      <c r="Q564" s="2"/>
      <c r="R564" s="2"/>
      <c r="S564" s="2"/>
      <c r="T564" s="5"/>
    </row>
    <row r="565" customFormat="false" ht="15.75" hidden="false" customHeight="false" outlineLevel="0" collapsed="false">
      <c r="A565" s="4"/>
      <c r="B565" s="2"/>
      <c r="C565" s="2"/>
      <c r="D565" s="2"/>
      <c r="E565" s="2"/>
      <c r="F565" s="3" t="str">
        <f aca="false">IFERROR(__xludf.dummyfunction("if($T565&lt;&gt;"""",REGEXEXTRACT(SUBSTITUTE ($T565,F$1&amp;"" CE"",""""), F$1&amp;""[\w &amp;]*, (\d+\.\d+)""),"""")
"),"")</f>
        <v/>
      </c>
      <c r="G565" s="3" t="str">
        <f aca="false">IFERROR(__xludf.dummyfunction("if($T565&lt;&gt;"""",REGEXEXTRACT($T565, G$1&amp;""[\w &amp;]*, (\d+\.\d+)""),"""")
"),"")</f>
        <v/>
      </c>
      <c r="H565" s="3"/>
      <c r="I565" s="3" t="str">
        <f aca="false">IFERROR(__xludf.dummyfunction("if($T565&lt;&gt;"""",REGEXEXTRACT(SUBSTITUTE ($T565,I$1&amp;"" CE"",""""), I$1&amp;""[\w &amp;]*, (\d+\.\d+)""),"""")
"),"")</f>
        <v/>
      </c>
      <c r="J565" s="3" t="str">
        <f aca="false">IFERROR(__xludf.dummyfunction("if($T565&lt;&gt;"""",REGEXEXTRACT($T565, J$1&amp;""[\w &amp;]*, (\d+\.\d+)""),"""")
"),"")</f>
        <v/>
      </c>
      <c r="K565" s="3"/>
      <c r="L565" s="3" t="str">
        <f aca="false">IFERROR(__xludf.dummyfunction("if($T565&lt;&gt;"""",REGEXEXTRACT(SUBSTITUTE ($T565,L$1&amp;"" CE"",""""), L$1&amp;""[\w &amp;]*, (\d+\.\d+)""),"""")
"),"")</f>
        <v/>
      </c>
      <c r="M565" s="3" t="str">
        <f aca="false">IFERROR(__xludf.dummyfunction("if($T565&lt;&gt;"""",REGEXEXTRACT($T565, M$1&amp;""[\w &amp;]*, (\d+\.\d+)""),"""")
"),"")</f>
        <v/>
      </c>
      <c r="N565" s="3" t="str">
        <f aca="false">IFERROR(__xludf.dummyfunction("if($T565&lt;&gt;"""",REGEXEXTRACT(SUBSTITUTE ($T565,N$1&amp;"" CE"",""""), N$1&amp;""[\w &amp;]*, (\d+\.\d+)""),"""")
"),"")</f>
        <v/>
      </c>
      <c r="O565" s="3" t="str">
        <f aca="false">IFERROR(__xludf.dummyfunction("if($T565&lt;&gt;"""",REGEXEXTRACT($T565, O$1&amp;""[\w &amp;]*, (\d+\.\d+)""),"""")
"),"")</f>
        <v/>
      </c>
      <c r="P565" s="2"/>
      <c r="Q565" s="2"/>
      <c r="R565" s="2"/>
      <c r="S565" s="2"/>
      <c r="T565" s="5"/>
    </row>
    <row r="566" customFormat="false" ht="15.75" hidden="false" customHeight="false" outlineLevel="0" collapsed="false">
      <c r="A566" s="4"/>
      <c r="B566" s="2"/>
      <c r="C566" s="2"/>
      <c r="D566" s="2"/>
      <c r="E566" s="2"/>
      <c r="F566" s="3" t="str">
        <f aca="false">IFERROR(__xludf.dummyfunction("if($T566&lt;&gt;"""",REGEXEXTRACT(SUBSTITUTE ($T566,F$1&amp;"" CE"",""""), F$1&amp;""[\w &amp;]*, (\d+\.\d+)""),"""")
"),"")</f>
        <v/>
      </c>
      <c r="G566" s="3" t="str">
        <f aca="false">IFERROR(__xludf.dummyfunction("if($T566&lt;&gt;"""",REGEXEXTRACT($T566, G$1&amp;""[\w &amp;]*, (\d+\.\d+)""),"""")
"),"")</f>
        <v/>
      </c>
      <c r="H566" s="3"/>
      <c r="I566" s="3" t="str">
        <f aca="false">IFERROR(__xludf.dummyfunction("if($T566&lt;&gt;"""",REGEXEXTRACT(SUBSTITUTE ($T566,I$1&amp;"" CE"",""""), I$1&amp;""[\w &amp;]*, (\d+\.\d+)""),"""")
"),"")</f>
        <v/>
      </c>
      <c r="J566" s="3" t="str">
        <f aca="false">IFERROR(__xludf.dummyfunction("if($T566&lt;&gt;"""",REGEXEXTRACT($T566, J$1&amp;""[\w &amp;]*, (\d+\.\d+)""),"""")
"),"")</f>
        <v/>
      </c>
      <c r="K566" s="3"/>
      <c r="L566" s="3" t="str">
        <f aca="false">IFERROR(__xludf.dummyfunction("if($T566&lt;&gt;"""",REGEXEXTRACT(SUBSTITUTE ($T566,L$1&amp;"" CE"",""""), L$1&amp;""[\w &amp;]*, (\d+\.\d+)""),"""")
"),"")</f>
        <v/>
      </c>
      <c r="M566" s="3" t="str">
        <f aca="false">IFERROR(__xludf.dummyfunction("if($T566&lt;&gt;"""",REGEXEXTRACT($T566, M$1&amp;""[\w &amp;]*, (\d+\.\d+)""),"""")
"),"")</f>
        <v/>
      </c>
      <c r="N566" s="3" t="str">
        <f aca="false">IFERROR(__xludf.dummyfunction("if($T566&lt;&gt;"""",REGEXEXTRACT(SUBSTITUTE ($T566,N$1&amp;"" CE"",""""), N$1&amp;""[\w &amp;]*, (\d+\.\d+)""),"""")
"),"")</f>
        <v/>
      </c>
      <c r="O566" s="3" t="str">
        <f aca="false">IFERROR(__xludf.dummyfunction("if($T566&lt;&gt;"""",REGEXEXTRACT($T566, O$1&amp;""[\w &amp;]*, (\d+\.\d+)""),"""")
"),"")</f>
        <v/>
      </c>
      <c r="P566" s="2"/>
      <c r="Q566" s="2"/>
      <c r="R566" s="2"/>
      <c r="S566" s="2"/>
      <c r="T566" s="5"/>
    </row>
    <row r="567" customFormat="false" ht="15.75" hidden="false" customHeight="false" outlineLevel="0" collapsed="false">
      <c r="A567" s="4"/>
      <c r="B567" s="2"/>
      <c r="C567" s="2"/>
      <c r="D567" s="2"/>
      <c r="E567" s="2"/>
      <c r="F567" s="3" t="str">
        <f aca="false">IFERROR(__xludf.dummyfunction("if($T567&lt;&gt;"""",REGEXEXTRACT(SUBSTITUTE ($T567,F$1&amp;"" CE"",""""), F$1&amp;""[\w &amp;]*, (\d+\.\d+)""),"""")
"),"")</f>
        <v/>
      </c>
      <c r="G567" s="3" t="str">
        <f aca="false">IFERROR(__xludf.dummyfunction("if($T567&lt;&gt;"""",REGEXEXTRACT($T567, G$1&amp;""[\w &amp;]*, (\d+\.\d+)""),"""")
"),"")</f>
        <v/>
      </c>
      <c r="H567" s="3"/>
      <c r="I567" s="3" t="str">
        <f aca="false">IFERROR(__xludf.dummyfunction("if($T567&lt;&gt;"""",REGEXEXTRACT(SUBSTITUTE ($T567,I$1&amp;"" CE"",""""), I$1&amp;""[\w &amp;]*, (\d+\.\d+)""),"""")
"),"")</f>
        <v/>
      </c>
      <c r="J567" s="3" t="str">
        <f aca="false">IFERROR(__xludf.dummyfunction("if($T567&lt;&gt;"""",REGEXEXTRACT($T567, J$1&amp;""[\w &amp;]*, (\d+\.\d+)""),"""")
"),"")</f>
        <v/>
      </c>
      <c r="K567" s="3"/>
      <c r="L567" s="3" t="str">
        <f aca="false">IFERROR(__xludf.dummyfunction("if($T567&lt;&gt;"""",REGEXEXTRACT(SUBSTITUTE ($T567,L$1&amp;"" CE"",""""), L$1&amp;""[\w &amp;]*, (\d+\.\d+)""),"""")
"),"")</f>
        <v/>
      </c>
      <c r="M567" s="3" t="str">
        <f aca="false">IFERROR(__xludf.dummyfunction("if($T567&lt;&gt;"""",REGEXEXTRACT($T567, M$1&amp;""[\w &amp;]*, (\d+\.\d+)""),"""")
"),"")</f>
        <v/>
      </c>
      <c r="N567" s="3" t="str">
        <f aca="false">IFERROR(__xludf.dummyfunction("if($T567&lt;&gt;"""",REGEXEXTRACT(SUBSTITUTE ($T567,N$1&amp;"" CE"",""""), N$1&amp;""[\w &amp;]*, (\d+\.\d+)""),"""")
"),"")</f>
        <v/>
      </c>
      <c r="O567" s="3" t="str">
        <f aca="false">IFERROR(__xludf.dummyfunction("if($T567&lt;&gt;"""",REGEXEXTRACT($T567, O$1&amp;""[\w &amp;]*, (\d+\.\d+)""),"""")
"),"")</f>
        <v/>
      </c>
      <c r="P567" s="2"/>
      <c r="Q567" s="2"/>
      <c r="R567" s="2"/>
      <c r="S567" s="2"/>
      <c r="T567" s="5"/>
    </row>
    <row r="568" customFormat="false" ht="15.75" hidden="false" customHeight="false" outlineLevel="0" collapsed="false">
      <c r="A568" s="4"/>
      <c r="B568" s="2"/>
      <c r="C568" s="2"/>
      <c r="D568" s="2"/>
      <c r="E568" s="2"/>
      <c r="F568" s="3" t="str">
        <f aca="false">IFERROR(__xludf.dummyfunction("if($T568&lt;&gt;"""",REGEXEXTRACT(SUBSTITUTE ($T568,F$1&amp;"" CE"",""""), F$1&amp;""[\w &amp;]*, (\d+\.\d+)""),"""")
"),"")</f>
        <v/>
      </c>
      <c r="G568" s="3" t="str">
        <f aca="false">IFERROR(__xludf.dummyfunction("if($T568&lt;&gt;"""",REGEXEXTRACT($T568, G$1&amp;""[\w &amp;]*, (\d+\.\d+)""),"""")
"),"")</f>
        <v/>
      </c>
      <c r="H568" s="3"/>
      <c r="I568" s="3" t="str">
        <f aca="false">IFERROR(__xludf.dummyfunction("if($T568&lt;&gt;"""",REGEXEXTRACT(SUBSTITUTE ($T568,I$1&amp;"" CE"",""""), I$1&amp;""[\w &amp;]*, (\d+\.\d+)""),"""")
"),"")</f>
        <v/>
      </c>
      <c r="J568" s="3" t="str">
        <f aca="false">IFERROR(__xludf.dummyfunction("if($T568&lt;&gt;"""",REGEXEXTRACT($T568, J$1&amp;""[\w &amp;]*, (\d+\.\d+)""),"""")
"),"")</f>
        <v/>
      </c>
      <c r="K568" s="3"/>
      <c r="L568" s="3" t="str">
        <f aca="false">IFERROR(__xludf.dummyfunction("if($T568&lt;&gt;"""",REGEXEXTRACT(SUBSTITUTE ($T568,L$1&amp;"" CE"",""""), L$1&amp;""[\w &amp;]*, (\d+\.\d+)""),"""")
"),"")</f>
        <v/>
      </c>
      <c r="M568" s="3" t="str">
        <f aca="false">IFERROR(__xludf.dummyfunction("if($T568&lt;&gt;"""",REGEXEXTRACT($T568, M$1&amp;""[\w &amp;]*, (\d+\.\d+)""),"""")
"),"")</f>
        <v/>
      </c>
      <c r="N568" s="3" t="str">
        <f aca="false">IFERROR(__xludf.dummyfunction("if($T568&lt;&gt;"""",REGEXEXTRACT(SUBSTITUTE ($T568,N$1&amp;"" CE"",""""), N$1&amp;""[\w &amp;]*, (\d+\.\d+)""),"""")
"),"")</f>
        <v/>
      </c>
      <c r="O568" s="3" t="str">
        <f aca="false">IFERROR(__xludf.dummyfunction("if($T568&lt;&gt;"""",REGEXEXTRACT($T568, O$1&amp;""[\w &amp;]*, (\d+\.\d+)""),"""")
"),"")</f>
        <v/>
      </c>
      <c r="P568" s="2"/>
      <c r="Q568" s="2"/>
      <c r="R568" s="2"/>
      <c r="S568" s="2"/>
      <c r="T568" s="5"/>
    </row>
    <row r="569" customFormat="false" ht="15.75" hidden="false" customHeight="false" outlineLevel="0" collapsed="false">
      <c r="A569" s="4"/>
      <c r="B569" s="2"/>
      <c r="C569" s="2"/>
      <c r="D569" s="2"/>
      <c r="E569" s="2"/>
      <c r="F569" s="3" t="str">
        <f aca="false">IFERROR(__xludf.dummyfunction("if($T569&lt;&gt;"""",REGEXEXTRACT(SUBSTITUTE ($T569,F$1&amp;"" CE"",""""), F$1&amp;""[\w &amp;]*, (\d+\.\d+)""),"""")
"),"")</f>
        <v/>
      </c>
      <c r="G569" s="3" t="str">
        <f aca="false">IFERROR(__xludf.dummyfunction("if($T569&lt;&gt;"""",REGEXEXTRACT($T569, G$1&amp;""[\w &amp;]*, (\d+\.\d+)""),"""")
"),"")</f>
        <v/>
      </c>
      <c r="H569" s="3"/>
      <c r="I569" s="3" t="str">
        <f aca="false">IFERROR(__xludf.dummyfunction("if($T569&lt;&gt;"""",REGEXEXTRACT(SUBSTITUTE ($T569,I$1&amp;"" CE"",""""), I$1&amp;""[\w &amp;]*, (\d+\.\d+)""),"""")
"),"")</f>
        <v/>
      </c>
      <c r="J569" s="3" t="str">
        <f aca="false">IFERROR(__xludf.dummyfunction("if($T569&lt;&gt;"""",REGEXEXTRACT($T569, J$1&amp;""[\w &amp;]*, (\d+\.\d+)""),"""")
"),"")</f>
        <v/>
      </c>
      <c r="K569" s="3"/>
      <c r="L569" s="3" t="str">
        <f aca="false">IFERROR(__xludf.dummyfunction("if($T569&lt;&gt;"""",REGEXEXTRACT(SUBSTITUTE ($T569,L$1&amp;"" CE"",""""), L$1&amp;""[\w &amp;]*, (\d+\.\d+)""),"""")
"),"")</f>
        <v/>
      </c>
      <c r="M569" s="3" t="str">
        <f aca="false">IFERROR(__xludf.dummyfunction("if($T569&lt;&gt;"""",REGEXEXTRACT($T569, M$1&amp;""[\w &amp;]*, (\d+\.\d+)""),"""")
"),"")</f>
        <v/>
      </c>
      <c r="N569" s="3" t="str">
        <f aca="false">IFERROR(__xludf.dummyfunction("if($T569&lt;&gt;"""",REGEXEXTRACT(SUBSTITUTE ($T569,N$1&amp;"" CE"",""""), N$1&amp;""[\w &amp;]*, (\d+\.\d+)""),"""")
"),"")</f>
        <v/>
      </c>
      <c r="O569" s="3" t="str">
        <f aca="false">IFERROR(__xludf.dummyfunction("if($T569&lt;&gt;"""",REGEXEXTRACT($T569, O$1&amp;""[\w &amp;]*, (\d+\.\d+)""),"""")
"),"")</f>
        <v/>
      </c>
      <c r="P569" s="2"/>
      <c r="Q569" s="2"/>
      <c r="R569" s="2"/>
      <c r="S569" s="2"/>
      <c r="T569" s="5"/>
    </row>
    <row r="570" customFormat="false" ht="15.75" hidden="false" customHeight="false" outlineLevel="0" collapsed="false">
      <c r="A570" s="4"/>
      <c r="B570" s="2"/>
      <c r="C570" s="2"/>
      <c r="D570" s="2"/>
      <c r="E570" s="2"/>
      <c r="F570" s="3" t="str">
        <f aca="false">IFERROR(__xludf.dummyfunction("if($T570&lt;&gt;"""",REGEXEXTRACT(SUBSTITUTE ($T570,F$1&amp;"" CE"",""""), F$1&amp;""[\w &amp;]*, (\d+\.\d+)""),"""")
"),"")</f>
        <v/>
      </c>
      <c r="G570" s="3" t="str">
        <f aca="false">IFERROR(__xludf.dummyfunction("if($T570&lt;&gt;"""",REGEXEXTRACT($T570, G$1&amp;""[\w &amp;]*, (\d+\.\d+)""),"""")
"),"")</f>
        <v/>
      </c>
      <c r="H570" s="3"/>
      <c r="I570" s="3" t="str">
        <f aca="false">IFERROR(__xludf.dummyfunction("if($T570&lt;&gt;"""",REGEXEXTRACT(SUBSTITUTE ($T570,I$1&amp;"" CE"",""""), I$1&amp;""[\w &amp;]*, (\d+\.\d+)""),"""")
"),"")</f>
        <v/>
      </c>
      <c r="J570" s="3" t="str">
        <f aca="false">IFERROR(__xludf.dummyfunction("if($T570&lt;&gt;"""",REGEXEXTRACT($T570, J$1&amp;""[\w &amp;]*, (\d+\.\d+)""),"""")
"),"")</f>
        <v/>
      </c>
      <c r="K570" s="3"/>
      <c r="L570" s="3" t="str">
        <f aca="false">IFERROR(__xludf.dummyfunction("if($T570&lt;&gt;"""",REGEXEXTRACT(SUBSTITUTE ($T570,L$1&amp;"" CE"",""""), L$1&amp;""[\w &amp;]*, (\d+\.\d+)""),"""")
"),"")</f>
        <v/>
      </c>
      <c r="M570" s="3" t="str">
        <f aca="false">IFERROR(__xludf.dummyfunction("if($T570&lt;&gt;"""",REGEXEXTRACT($T570, M$1&amp;""[\w &amp;]*, (\d+\.\d+)""),"""")
"),"")</f>
        <v/>
      </c>
      <c r="N570" s="3" t="str">
        <f aca="false">IFERROR(__xludf.dummyfunction("if($T570&lt;&gt;"""",REGEXEXTRACT(SUBSTITUTE ($T570,N$1&amp;"" CE"",""""), N$1&amp;""[\w &amp;]*, (\d+\.\d+)""),"""")
"),"")</f>
        <v/>
      </c>
      <c r="O570" s="3" t="str">
        <f aca="false">IFERROR(__xludf.dummyfunction("if($T570&lt;&gt;"""",REGEXEXTRACT($T570, O$1&amp;""[\w &amp;]*, (\d+\.\d+)""),"""")
"),"")</f>
        <v/>
      </c>
      <c r="P570" s="2"/>
      <c r="Q570" s="2"/>
      <c r="R570" s="2"/>
      <c r="S570" s="2"/>
      <c r="T570" s="5"/>
    </row>
    <row r="571" customFormat="false" ht="15.75" hidden="false" customHeight="false" outlineLevel="0" collapsed="false">
      <c r="A571" s="4"/>
      <c r="B571" s="2"/>
      <c r="C571" s="2"/>
      <c r="D571" s="2"/>
      <c r="E571" s="2"/>
      <c r="F571" s="3" t="str">
        <f aca="false">IFERROR(__xludf.dummyfunction("if($T571&lt;&gt;"""",REGEXEXTRACT(SUBSTITUTE ($T571,F$1&amp;"" CE"",""""), F$1&amp;""[\w &amp;]*, (\d+\.\d+)""),"""")
"),"")</f>
        <v/>
      </c>
      <c r="G571" s="3" t="str">
        <f aca="false">IFERROR(__xludf.dummyfunction("if($T571&lt;&gt;"""",REGEXEXTRACT($T571, G$1&amp;""[\w &amp;]*, (\d+\.\d+)""),"""")
"),"")</f>
        <v/>
      </c>
      <c r="H571" s="3"/>
      <c r="I571" s="3" t="str">
        <f aca="false">IFERROR(__xludf.dummyfunction("if($T571&lt;&gt;"""",REGEXEXTRACT(SUBSTITUTE ($T571,I$1&amp;"" CE"",""""), I$1&amp;""[\w &amp;]*, (\d+\.\d+)""),"""")
"),"")</f>
        <v/>
      </c>
      <c r="J571" s="3" t="str">
        <f aca="false">IFERROR(__xludf.dummyfunction("if($T571&lt;&gt;"""",REGEXEXTRACT($T571, J$1&amp;""[\w &amp;]*, (\d+\.\d+)""),"""")
"),"")</f>
        <v/>
      </c>
      <c r="K571" s="3"/>
      <c r="L571" s="3" t="str">
        <f aca="false">IFERROR(__xludf.dummyfunction("if($T571&lt;&gt;"""",REGEXEXTRACT(SUBSTITUTE ($T571,L$1&amp;"" CE"",""""), L$1&amp;""[\w &amp;]*, (\d+\.\d+)""),"""")
"),"")</f>
        <v/>
      </c>
      <c r="M571" s="3" t="str">
        <f aca="false">IFERROR(__xludf.dummyfunction("if($T571&lt;&gt;"""",REGEXEXTRACT($T571, M$1&amp;""[\w &amp;]*, (\d+\.\d+)""),"""")
"),"")</f>
        <v/>
      </c>
      <c r="N571" s="3" t="str">
        <f aca="false">IFERROR(__xludf.dummyfunction("if($T571&lt;&gt;"""",REGEXEXTRACT(SUBSTITUTE ($T571,N$1&amp;"" CE"",""""), N$1&amp;""[\w &amp;]*, (\d+\.\d+)""),"""")
"),"")</f>
        <v/>
      </c>
      <c r="O571" s="3" t="str">
        <f aca="false">IFERROR(__xludf.dummyfunction("if($T571&lt;&gt;"""",REGEXEXTRACT($T571, O$1&amp;""[\w &amp;]*, (\d+\.\d+)""),"""")
"),"")</f>
        <v/>
      </c>
      <c r="P571" s="2"/>
      <c r="Q571" s="2"/>
      <c r="R571" s="2"/>
      <c r="S571" s="2"/>
      <c r="T571" s="5"/>
    </row>
    <row r="572" customFormat="false" ht="15.75" hidden="false" customHeight="false" outlineLevel="0" collapsed="false">
      <c r="A572" s="4"/>
      <c r="B572" s="2"/>
      <c r="C572" s="2"/>
      <c r="D572" s="2"/>
      <c r="E572" s="2"/>
      <c r="F572" s="3" t="str">
        <f aca="false">IFERROR(__xludf.dummyfunction("if($T572&lt;&gt;"""",REGEXEXTRACT(SUBSTITUTE ($T572,F$1&amp;"" CE"",""""), F$1&amp;""[\w &amp;]*, (\d+\.\d+)""),"""")
"),"")</f>
        <v/>
      </c>
      <c r="G572" s="3" t="str">
        <f aca="false">IFERROR(__xludf.dummyfunction("if($T572&lt;&gt;"""",REGEXEXTRACT($T572, G$1&amp;""[\w &amp;]*, (\d+\.\d+)""),"""")
"),"")</f>
        <v/>
      </c>
      <c r="H572" s="3"/>
      <c r="I572" s="3" t="str">
        <f aca="false">IFERROR(__xludf.dummyfunction("if($T572&lt;&gt;"""",REGEXEXTRACT(SUBSTITUTE ($T572,I$1&amp;"" CE"",""""), I$1&amp;""[\w &amp;]*, (\d+\.\d+)""),"""")
"),"")</f>
        <v/>
      </c>
      <c r="J572" s="3" t="str">
        <f aca="false">IFERROR(__xludf.dummyfunction("if($T572&lt;&gt;"""",REGEXEXTRACT($T572, J$1&amp;""[\w &amp;]*, (\d+\.\d+)""),"""")
"),"")</f>
        <v/>
      </c>
      <c r="K572" s="3"/>
      <c r="L572" s="3" t="str">
        <f aca="false">IFERROR(__xludf.dummyfunction("if($T572&lt;&gt;"""",REGEXEXTRACT(SUBSTITUTE ($T572,L$1&amp;"" CE"",""""), L$1&amp;""[\w &amp;]*, (\d+\.\d+)""),"""")
"),"")</f>
        <v/>
      </c>
      <c r="M572" s="3" t="str">
        <f aca="false">IFERROR(__xludf.dummyfunction("if($T572&lt;&gt;"""",REGEXEXTRACT($T572, M$1&amp;""[\w &amp;]*, (\d+\.\d+)""),"""")
"),"")</f>
        <v/>
      </c>
      <c r="N572" s="3" t="str">
        <f aca="false">IFERROR(__xludf.dummyfunction("if($T572&lt;&gt;"""",REGEXEXTRACT(SUBSTITUTE ($T572,N$1&amp;"" CE"",""""), N$1&amp;""[\w &amp;]*, (\d+\.\d+)""),"""")
"),"")</f>
        <v/>
      </c>
      <c r="O572" s="3" t="str">
        <f aca="false">IFERROR(__xludf.dummyfunction("if($T572&lt;&gt;"""",REGEXEXTRACT($T572, O$1&amp;""[\w &amp;]*, (\d+\.\d+)""),"""")
"),"")</f>
        <v/>
      </c>
      <c r="P572" s="2"/>
      <c r="Q572" s="2"/>
      <c r="R572" s="2"/>
      <c r="S572" s="2"/>
      <c r="T572" s="5"/>
    </row>
    <row r="573" customFormat="false" ht="15.75" hidden="false" customHeight="false" outlineLevel="0" collapsed="false">
      <c r="A573" s="4"/>
      <c r="B573" s="2"/>
      <c r="C573" s="2"/>
      <c r="D573" s="2"/>
      <c r="E573" s="2"/>
      <c r="F573" s="3" t="str">
        <f aca="false">IFERROR(__xludf.dummyfunction("if($T573&lt;&gt;"""",REGEXEXTRACT(SUBSTITUTE ($T573,F$1&amp;"" CE"",""""), F$1&amp;""[\w &amp;]*, (\d+\.\d+)""),"""")
"),"")</f>
        <v/>
      </c>
      <c r="G573" s="3" t="str">
        <f aca="false">IFERROR(__xludf.dummyfunction("if($T573&lt;&gt;"""",REGEXEXTRACT($T573, G$1&amp;""[\w &amp;]*, (\d+\.\d+)""),"""")
"),"")</f>
        <v/>
      </c>
      <c r="H573" s="3"/>
      <c r="I573" s="3" t="str">
        <f aca="false">IFERROR(__xludf.dummyfunction("if($T573&lt;&gt;"""",REGEXEXTRACT(SUBSTITUTE ($T573,I$1&amp;"" CE"",""""), I$1&amp;""[\w &amp;]*, (\d+\.\d+)""),"""")
"),"")</f>
        <v/>
      </c>
      <c r="J573" s="3" t="str">
        <f aca="false">IFERROR(__xludf.dummyfunction("if($T573&lt;&gt;"""",REGEXEXTRACT($T573, J$1&amp;""[\w &amp;]*, (\d+\.\d+)""),"""")
"),"")</f>
        <v/>
      </c>
      <c r="K573" s="3"/>
      <c r="L573" s="3" t="str">
        <f aca="false">IFERROR(__xludf.dummyfunction("if($T573&lt;&gt;"""",REGEXEXTRACT(SUBSTITUTE ($T573,L$1&amp;"" CE"",""""), L$1&amp;""[\w &amp;]*, (\d+\.\d+)""),"""")
"),"")</f>
        <v/>
      </c>
      <c r="M573" s="3" t="str">
        <f aca="false">IFERROR(__xludf.dummyfunction("if($T573&lt;&gt;"""",REGEXEXTRACT($T573, M$1&amp;""[\w &amp;]*, (\d+\.\d+)""),"""")
"),"")</f>
        <v/>
      </c>
      <c r="N573" s="3" t="str">
        <f aca="false">IFERROR(__xludf.dummyfunction("if($T573&lt;&gt;"""",REGEXEXTRACT(SUBSTITUTE ($T573,N$1&amp;"" CE"",""""), N$1&amp;""[\w &amp;]*, (\d+\.\d+)""),"""")
"),"")</f>
        <v/>
      </c>
      <c r="O573" s="3" t="str">
        <f aca="false">IFERROR(__xludf.dummyfunction("if($T573&lt;&gt;"""",REGEXEXTRACT($T573, O$1&amp;""[\w &amp;]*, (\d+\.\d+)""),"""")
"),"")</f>
        <v/>
      </c>
      <c r="P573" s="2"/>
      <c r="Q573" s="2"/>
      <c r="R573" s="2"/>
      <c r="S573" s="2"/>
      <c r="T573" s="5"/>
    </row>
    <row r="574" customFormat="false" ht="15.75" hidden="false" customHeight="false" outlineLevel="0" collapsed="false">
      <c r="A574" s="4"/>
      <c r="B574" s="2"/>
      <c r="C574" s="2"/>
      <c r="D574" s="2"/>
      <c r="E574" s="2"/>
      <c r="F574" s="3" t="str">
        <f aca="false">IFERROR(__xludf.dummyfunction("if($T574&lt;&gt;"""",REGEXEXTRACT(SUBSTITUTE ($T574,F$1&amp;"" CE"",""""), F$1&amp;""[\w &amp;]*, (\d+\.\d+)""),"""")
"),"")</f>
        <v/>
      </c>
      <c r="G574" s="3" t="str">
        <f aca="false">IFERROR(__xludf.dummyfunction("if($T574&lt;&gt;"""",REGEXEXTRACT($T574, G$1&amp;""[\w &amp;]*, (\d+\.\d+)""),"""")
"),"")</f>
        <v/>
      </c>
      <c r="H574" s="3"/>
      <c r="I574" s="3" t="str">
        <f aca="false">IFERROR(__xludf.dummyfunction("if($T574&lt;&gt;"""",REGEXEXTRACT(SUBSTITUTE ($T574,I$1&amp;"" CE"",""""), I$1&amp;""[\w &amp;]*, (\d+\.\d+)""),"""")
"),"")</f>
        <v/>
      </c>
      <c r="J574" s="3" t="str">
        <f aca="false">IFERROR(__xludf.dummyfunction("if($T574&lt;&gt;"""",REGEXEXTRACT($T574, J$1&amp;""[\w &amp;]*, (\d+\.\d+)""),"""")
"),"")</f>
        <v/>
      </c>
      <c r="K574" s="3"/>
      <c r="L574" s="3" t="str">
        <f aca="false">IFERROR(__xludf.dummyfunction("if($T574&lt;&gt;"""",REGEXEXTRACT(SUBSTITUTE ($T574,L$1&amp;"" CE"",""""), L$1&amp;""[\w &amp;]*, (\d+\.\d+)""),"""")
"),"")</f>
        <v/>
      </c>
      <c r="M574" s="3" t="str">
        <f aca="false">IFERROR(__xludf.dummyfunction("if($T574&lt;&gt;"""",REGEXEXTRACT($T574, M$1&amp;""[\w &amp;]*, (\d+\.\d+)""),"""")
"),"")</f>
        <v/>
      </c>
      <c r="N574" s="3" t="str">
        <f aca="false">IFERROR(__xludf.dummyfunction("if($T574&lt;&gt;"""",REGEXEXTRACT(SUBSTITUTE ($T574,N$1&amp;"" CE"",""""), N$1&amp;""[\w &amp;]*, (\d+\.\d+)""),"""")
"),"")</f>
        <v/>
      </c>
      <c r="O574" s="3" t="str">
        <f aca="false">IFERROR(__xludf.dummyfunction("if($T574&lt;&gt;"""",REGEXEXTRACT($T574, O$1&amp;""[\w &amp;]*, (\d+\.\d+)""),"""")
"),"")</f>
        <v/>
      </c>
      <c r="P574" s="2"/>
      <c r="Q574" s="2"/>
      <c r="R574" s="2"/>
      <c r="S574" s="2"/>
      <c r="T574" s="5"/>
    </row>
    <row r="575" customFormat="false" ht="15.75" hidden="false" customHeight="false" outlineLevel="0" collapsed="false">
      <c r="A575" s="4"/>
      <c r="B575" s="2"/>
      <c r="C575" s="2"/>
      <c r="D575" s="2"/>
      <c r="E575" s="2"/>
      <c r="F575" s="3" t="str">
        <f aca="false">IFERROR(__xludf.dummyfunction("if($T575&lt;&gt;"""",REGEXEXTRACT(SUBSTITUTE ($T575,F$1&amp;"" CE"",""""), F$1&amp;""[\w &amp;]*, (\d+\.\d+)""),"""")
"),"")</f>
        <v/>
      </c>
      <c r="G575" s="3" t="str">
        <f aca="false">IFERROR(__xludf.dummyfunction("if($T575&lt;&gt;"""",REGEXEXTRACT($T575, G$1&amp;""[\w &amp;]*, (\d+\.\d+)""),"""")
"),"")</f>
        <v/>
      </c>
      <c r="H575" s="3"/>
      <c r="I575" s="3" t="str">
        <f aca="false">IFERROR(__xludf.dummyfunction("if($T575&lt;&gt;"""",REGEXEXTRACT(SUBSTITUTE ($T575,I$1&amp;"" CE"",""""), I$1&amp;""[\w &amp;]*, (\d+\.\d+)""),"""")
"),"")</f>
        <v/>
      </c>
      <c r="J575" s="3" t="str">
        <f aca="false">IFERROR(__xludf.dummyfunction("if($T575&lt;&gt;"""",REGEXEXTRACT($T575, J$1&amp;""[\w &amp;]*, (\d+\.\d+)""),"""")
"),"")</f>
        <v/>
      </c>
      <c r="K575" s="3"/>
      <c r="L575" s="3" t="str">
        <f aca="false">IFERROR(__xludf.dummyfunction("if($T575&lt;&gt;"""",REGEXEXTRACT(SUBSTITUTE ($T575,L$1&amp;"" CE"",""""), L$1&amp;""[\w &amp;]*, (\d+\.\d+)""),"""")
"),"")</f>
        <v/>
      </c>
      <c r="M575" s="3" t="str">
        <f aca="false">IFERROR(__xludf.dummyfunction("if($T575&lt;&gt;"""",REGEXEXTRACT($T575, M$1&amp;""[\w &amp;]*, (\d+\.\d+)""),"""")
"),"")</f>
        <v/>
      </c>
      <c r="N575" s="3" t="str">
        <f aca="false">IFERROR(__xludf.dummyfunction("if($T575&lt;&gt;"""",REGEXEXTRACT(SUBSTITUTE ($T575,N$1&amp;"" CE"",""""), N$1&amp;""[\w &amp;]*, (\d+\.\d+)""),"""")
"),"")</f>
        <v/>
      </c>
      <c r="O575" s="3" t="str">
        <f aca="false">IFERROR(__xludf.dummyfunction("if($T575&lt;&gt;"""",REGEXEXTRACT($T575, O$1&amp;""[\w &amp;]*, (\d+\.\d+)""),"""")
"),"")</f>
        <v/>
      </c>
      <c r="P575" s="2"/>
      <c r="Q575" s="2"/>
      <c r="R575" s="2"/>
      <c r="S575" s="2"/>
      <c r="T575" s="5"/>
    </row>
    <row r="576" customFormat="false" ht="15.75" hidden="false" customHeight="false" outlineLevel="0" collapsed="false">
      <c r="A576" s="4"/>
      <c r="B576" s="2"/>
      <c r="C576" s="2"/>
      <c r="D576" s="2"/>
      <c r="E576" s="2"/>
      <c r="F576" s="3" t="str">
        <f aca="false">IFERROR(__xludf.dummyfunction("if($T576&lt;&gt;"""",REGEXEXTRACT(SUBSTITUTE ($T576,F$1&amp;"" CE"",""""), F$1&amp;""[\w &amp;]*, (\d+\.\d+)""),"""")
"),"")</f>
        <v/>
      </c>
      <c r="G576" s="3" t="str">
        <f aca="false">IFERROR(__xludf.dummyfunction("if($T576&lt;&gt;"""",REGEXEXTRACT($T576, G$1&amp;""[\w &amp;]*, (\d+\.\d+)""),"""")
"),"")</f>
        <v/>
      </c>
      <c r="H576" s="3"/>
      <c r="I576" s="3" t="str">
        <f aca="false">IFERROR(__xludf.dummyfunction("if($T576&lt;&gt;"""",REGEXEXTRACT(SUBSTITUTE ($T576,I$1&amp;"" CE"",""""), I$1&amp;""[\w &amp;]*, (\d+\.\d+)""),"""")
"),"")</f>
        <v/>
      </c>
      <c r="J576" s="3" t="str">
        <f aca="false">IFERROR(__xludf.dummyfunction("if($T576&lt;&gt;"""",REGEXEXTRACT($T576, J$1&amp;""[\w &amp;]*, (\d+\.\d+)""),"""")
"),"")</f>
        <v/>
      </c>
      <c r="K576" s="3"/>
      <c r="L576" s="3" t="str">
        <f aca="false">IFERROR(__xludf.dummyfunction("if($T576&lt;&gt;"""",REGEXEXTRACT(SUBSTITUTE ($T576,L$1&amp;"" CE"",""""), L$1&amp;""[\w &amp;]*, (\d+\.\d+)""),"""")
"),"")</f>
        <v/>
      </c>
      <c r="M576" s="3" t="str">
        <f aca="false">IFERROR(__xludf.dummyfunction("if($T576&lt;&gt;"""",REGEXEXTRACT($T576, M$1&amp;""[\w &amp;]*, (\d+\.\d+)""),"""")
"),"")</f>
        <v/>
      </c>
      <c r="N576" s="3" t="str">
        <f aca="false">IFERROR(__xludf.dummyfunction("if($T576&lt;&gt;"""",REGEXEXTRACT(SUBSTITUTE ($T576,N$1&amp;"" CE"",""""), N$1&amp;""[\w &amp;]*, (\d+\.\d+)""),"""")
"),"")</f>
        <v/>
      </c>
      <c r="O576" s="3" t="str">
        <f aca="false">IFERROR(__xludf.dummyfunction("if($T576&lt;&gt;"""",REGEXEXTRACT($T576, O$1&amp;""[\w &amp;]*, (\d+\.\d+)""),"""")
"),"")</f>
        <v/>
      </c>
      <c r="P576" s="2"/>
      <c r="Q576" s="2"/>
      <c r="R576" s="2"/>
      <c r="S576" s="2"/>
      <c r="T576" s="5"/>
    </row>
    <row r="577" customFormat="false" ht="15.75" hidden="false" customHeight="false" outlineLevel="0" collapsed="false">
      <c r="A577" s="4"/>
      <c r="B577" s="2"/>
      <c r="C577" s="2"/>
      <c r="D577" s="2"/>
      <c r="E577" s="2"/>
      <c r="F577" s="3" t="str">
        <f aca="false">IFERROR(__xludf.dummyfunction("if($T577&lt;&gt;"""",REGEXEXTRACT(SUBSTITUTE ($T577,F$1&amp;"" CE"",""""), F$1&amp;""[\w &amp;]*, (\d+\.\d+)""),"""")
"),"")</f>
        <v/>
      </c>
      <c r="G577" s="3" t="str">
        <f aca="false">IFERROR(__xludf.dummyfunction("if($T577&lt;&gt;"""",REGEXEXTRACT($T577, G$1&amp;""[\w &amp;]*, (\d+\.\d+)""),"""")
"),"")</f>
        <v/>
      </c>
      <c r="H577" s="3"/>
      <c r="I577" s="3" t="str">
        <f aca="false">IFERROR(__xludf.dummyfunction("if($T577&lt;&gt;"""",REGEXEXTRACT(SUBSTITUTE ($T577,I$1&amp;"" CE"",""""), I$1&amp;""[\w &amp;]*, (\d+\.\d+)""),"""")
"),"")</f>
        <v/>
      </c>
      <c r="J577" s="3" t="str">
        <f aca="false">IFERROR(__xludf.dummyfunction("if($T577&lt;&gt;"""",REGEXEXTRACT($T577, J$1&amp;""[\w &amp;]*, (\d+\.\d+)""),"""")
"),"")</f>
        <v/>
      </c>
      <c r="K577" s="3"/>
      <c r="L577" s="3" t="str">
        <f aca="false">IFERROR(__xludf.dummyfunction("if($T577&lt;&gt;"""",REGEXEXTRACT(SUBSTITUTE ($T577,L$1&amp;"" CE"",""""), L$1&amp;""[\w &amp;]*, (\d+\.\d+)""),"""")
"),"")</f>
        <v/>
      </c>
      <c r="M577" s="3" t="str">
        <f aca="false">IFERROR(__xludf.dummyfunction("if($T577&lt;&gt;"""",REGEXEXTRACT($T577, M$1&amp;""[\w &amp;]*, (\d+\.\d+)""),"""")
"),"")</f>
        <v/>
      </c>
      <c r="N577" s="3" t="str">
        <f aca="false">IFERROR(__xludf.dummyfunction("if($T577&lt;&gt;"""",REGEXEXTRACT(SUBSTITUTE ($T577,N$1&amp;"" CE"",""""), N$1&amp;""[\w &amp;]*, (\d+\.\d+)""),"""")
"),"")</f>
        <v/>
      </c>
      <c r="O577" s="3" t="str">
        <f aca="false">IFERROR(__xludf.dummyfunction("if($T577&lt;&gt;"""",REGEXEXTRACT($T577, O$1&amp;""[\w &amp;]*, (\d+\.\d+)""),"""")
"),"")</f>
        <v/>
      </c>
      <c r="P577" s="2"/>
      <c r="Q577" s="2"/>
      <c r="R577" s="2"/>
      <c r="S577" s="2"/>
      <c r="T577" s="5"/>
    </row>
    <row r="578" customFormat="false" ht="15.75" hidden="false" customHeight="false" outlineLevel="0" collapsed="false">
      <c r="A578" s="4"/>
      <c r="B578" s="2"/>
      <c r="C578" s="2"/>
      <c r="D578" s="2"/>
      <c r="E578" s="2"/>
      <c r="F578" s="3" t="str">
        <f aca="false">IFERROR(__xludf.dummyfunction("if($T578&lt;&gt;"""",REGEXEXTRACT(SUBSTITUTE ($T578,F$1&amp;"" CE"",""""), F$1&amp;""[\w &amp;]*, (\d+\.\d+)""),"""")
"),"")</f>
        <v/>
      </c>
      <c r="G578" s="3" t="str">
        <f aca="false">IFERROR(__xludf.dummyfunction("if($T578&lt;&gt;"""",REGEXEXTRACT($T578, G$1&amp;""[\w &amp;]*, (\d+\.\d+)""),"""")
"),"")</f>
        <v/>
      </c>
      <c r="H578" s="3"/>
      <c r="I578" s="3" t="str">
        <f aca="false">IFERROR(__xludf.dummyfunction("if($T578&lt;&gt;"""",REGEXEXTRACT(SUBSTITUTE ($T578,I$1&amp;"" CE"",""""), I$1&amp;""[\w &amp;]*, (\d+\.\d+)""),"""")
"),"")</f>
        <v/>
      </c>
      <c r="J578" s="3" t="str">
        <f aca="false">IFERROR(__xludf.dummyfunction("if($T578&lt;&gt;"""",REGEXEXTRACT($T578, J$1&amp;""[\w &amp;]*, (\d+\.\d+)""),"""")
"),"")</f>
        <v/>
      </c>
      <c r="K578" s="3"/>
      <c r="L578" s="3" t="str">
        <f aca="false">IFERROR(__xludf.dummyfunction("if($T578&lt;&gt;"""",REGEXEXTRACT(SUBSTITUTE ($T578,L$1&amp;"" CE"",""""), L$1&amp;""[\w &amp;]*, (\d+\.\d+)""),"""")
"),"")</f>
        <v/>
      </c>
      <c r="M578" s="3" t="str">
        <f aca="false">IFERROR(__xludf.dummyfunction("if($T578&lt;&gt;"""",REGEXEXTRACT($T578, M$1&amp;""[\w &amp;]*, (\d+\.\d+)""),"""")
"),"")</f>
        <v/>
      </c>
      <c r="N578" s="3" t="str">
        <f aca="false">IFERROR(__xludf.dummyfunction("if($T578&lt;&gt;"""",REGEXEXTRACT(SUBSTITUTE ($T578,N$1&amp;"" CE"",""""), N$1&amp;""[\w &amp;]*, (\d+\.\d+)""),"""")
"),"")</f>
        <v/>
      </c>
      <c r="O578" s="3" t="str">
        <f aca="false">IFERROR(__xludf.dummyfunction("if($T578&lt;&gt;"""",REGEXEXTRACT($T578, O$1&amp;""[\w &amp;]*, (\d+\.\d+)""),"""")
"),"")</f>
        <v/>
      </c>
      <c r="P578" s="2"/>
      <c r="Q578" s="2"/>
      <c r="R578" s="2"/>
      <c r="S578" s="2"/>
      <c r="T578" s="5"/>
    </row>
    <row r="579" customFormat="false" ht="15.75" hidden="false" customHeight="false" outlineLevel="0" collapsed="false">
      <c r="A579" s="4"/>
      <c r="B579" s="2"/>
      <c r="C579" s="2"/>
      <c r="D579" s="2"/>
      <c r="E579" s="2"/>
      <c r="F579" s="3" t="str">
        <f aca="false">IFERROR(__xludf.dummyfunction("if($T579&lt;&gt;"""",REGEXEXTRACT(SUBSTITUTE ($T579,F$1&amp;"" CE"",""""), F$1&amp;""[\w &amp;]*, (\d+\.\d+)""),"""")
"),"")</f>
        <v/>
      </c>
      <c r="G579" s="3" t="str">
        <f aca="false">IFERROR(__xludf.dummyfunction("if($T579&lt;&gt;"""",REGEXEXTRACT($T579, G$1&amp;""[\w &amp;]*, (\d+\.\d+)""),"""")
"),"")</f>
        <v/>
      </c>
      <c r="H579" s="3"/>
      <c r="I579" s="3" t="str">
        <f aca="false">IFERROR(__xludf.dummyfunction("if($T579&lt;&gt;"""",REGEXEXTRACT(SUBSTITUTE ($T579,I$1&amp;"" CE"",""""), I$1&amp;""[\w &amp;]*, (\d+\.\d+)""),"""")
"),"")</f>
        <v/>
      </c>
      <c r="J579" s="3" t="str">
        <f aca="false">IFERROR(__xludf.dummyfunction("if($T579&lt;&gt;"""",REGEXEXTRACT($T579, J$1&amp;""[\w &amp;]*, (\d+\.\d+)""),"""")
"),"")</f>
        <v/>
      </c>
      <c r="K579" s="3"/>
      <c r="L579" s="3" t="str">
        <f aca="false">IFERROR(__xludf.dummyfunction("if($T579&lt;&gt;"""",REGEXEXTRACT(SUBSTITUTE ($T579,L$1&amp;"" CE"",""""), L$1&amp;""[\w &amp;]*, (\d+\.\d+)""),"""")
"),"")</f>
        <v/>
      </c>
      <c r="M579" s="3" t="str">
        <f aca="false">IFERROR(__xludf.dummyfunction("if($T579&lt;&gt;"""",REGEXEXTRACT($T579, M$1&amp;""[\w &amp;]*, (\d+\.\d+)""),"""")
"),"")</f>
        <v/>
      </c>
      <c r="N579" s="3" t="str">
        <f aca="false">IFERROR(__xludf.dummyfunction("if($T579&lt;&gt;"""",REGEXEXTRACT(SUBSTITUTE ($T579,N$1&amp;"" CE"",""""), N$1&amp;""[\w &amp;]*, (\d+\.\d+)""),"""")
"),"")</f>
        <v/>
      </c>
      <c r="O579" s="3" t="str">
        <f aca="false">IFERROR(__xludf.dummyfunction("if($T579&lt;&gt;"""",REGEXEXTRACT($T579, O$1&amp;""[\w &amp;]*, (\d+\.\d+)""),"""")
"),"")</f>
        <v/>
      </c>
      <c r="P579" s="2"/>
      <c r="Q579" s="2"/>
      <c r="R579" s="2"/>
      <c r="S579" s="2"/>
      <c r="T579" s="5"/>
    </row>
    <row r="580" customFormat="false" ht="15.75" hidden="false" customHeight="false" outlineLevel="0" collapsed="false">
      <c r="A580" s="4"/>
      <c r="B580" s="2"/>
      <c r="C580" s="2"/>
      <c r="D580" s="2"/>
      <c r="E580" s="2"/>
      <c r="F580" s="3" t="str">
        <f aca="false">IFERROR(__xludf.dummyfunction("if($T580&lt;&gt;"""",REGEXEXTRACT(SUBSTITUTE ($T580,F$1&amp;"" CE"",""""), F$1&amp;""[\w &amp;]*, (\d+\.\d+)""),"""")
"),"")</f>
        <v/>
      </c>
      <c r="G580" s="3" t="str">
        <f aca="false">IFERROR(__xludf.dummyfunction("if($T580&lt;&gt;"""",REGEXEXTRACT($T580, G$1&amp;""[\w &amp;]*, (\d+\.\d+)""),"""")
"),"")</f>
        <v/>
      </c>
      <c r="H580" s="3"/>
      <c r="I580" s="3" t="str">
        <f aca="false">IFERROR(__xludf.dummyfunction("if($T580&lt;&gt;"""",REGEXEXTRACT(SUBSTITUTE ($T580,I$1&amp;"" CE"",""""), I$1&amp;""[\w &amp;]*, (\d+\.\d+)""),"""")
"),"")</f>
        <v/>
      </c>
      <c r="J580" s="3" t="str">
        <f aca="false">IFERROR(__xludf.dummyfunction("if($T580&lt;&gt;"""",REGEXEXTRACT($T580, J$1&amp;""[\w &amp;]*, (\d+\.\d+)""),"""")
"),"")</f>
        <v/>
      </c>
      <c r="K580" s="3"/>
      <c r="L580" s="3" t="str">
        <f aca="false">IFERROR(__xludf.dummyfunction("if($T580&lt;&gt;"""",REGEXEXTRACT(SUBSTITUTE ($T580,L$1&amp;"" CE"",""""), L$1&amp;""[\w &amp;]*, (\d+\.\d+)""),"""")
"),"")</f>
        <v/>
      </c>
      <c r="M580" s="3" t="str">
        <f aca="false">IFERROR(__xludf.dummyfunction("if($T580&lt;&gt;"""",REGEXEXTRACT($T580, M$1&amp;""[\w &amp;]*, (\d+\.\d+)""),"""")
"),"")</f>
        <v/>
      </c>
      <c r="N580" s="3" t="str">
        <f aca="false">IFERROR(__xludf.dummyfunction("if($T580&lt;&gt;"""",REGEXEXTRACT(SUBSTITUTE ($T580,N$1&amp;"" CE"",""""), N$1&amp;""[\w &amp;]*, (\d+\.\d+)""),"""")
"),"")</f>
        <v/>
      </c>
      <c r="O580" s="3" t="str">
        <f aca="false">IFERROR(__xludf.dummyfunction("if($T580&lt;&gt;"""",REGEXEXTRACT($T580, O$1&amp;""[\w &amp;]*, (\d+\.\d+)""),"""")
"),"")</f>
        <v/>
      </c>
      <c r="P580" s="2"/>
      <c r="Q580" s="2"/>
      <c r="R580" s="2"/>
      <c r="S580" s="2"/>
      <c r="T580" s="5"/>
    </row>
    <row r="581" customFormat="false" ht="15.75" hidden="false" customHeight="false" outlineLevel="0" collapsed="false">
      <c r="A581" s="4"/>
      <c r="B581" s="2"/>
      <c r="C581" s="2"/>
      <c r="D581" s="2"/>
      <c r="E581" s="2"/>
      <c r="F581" s="3" t="str">
        <f aca="false">IFERROR(__xludf.dummyfunction("if($T581&lt;&gt;"""",REGEXEXTRACT(SUBSTITUTE ($T581,F$1&amp;"" CE"",""""), F$1&amp;""[\w &amp;]*, (\d+\.\d+)""),"""")
"),"")</f>
        <v/>
      </c>
      <c r="G581" s="3" t="str">
        <f aca="false">IFERROR(__xludf.dummyfunction("if($T581&lt;&gt;"""",REGEXEXTRACT($T581, G$1&amp;""[\w &amp;]*, (\d+\.\d+)""),"""")
"),"")</f>
        <v/>
      </c>
      <c r="H581" s="3"/>
      <c r="I581" s="3" t="str">
        <f aca="false">IFERROR(__xludf.dummyfunction("if($T581&lt;&gt;"""",REGEXEXTRACT(SUBSTITUTE ($T581,I$1&amp;"" CE"",""""), I$1&amp;""[\w &amp;]*, (\d+\.\d+)""),"""")
"),"")</f>
        <v/>
      </c>
      <c r="J581" s="3" t="str">
        <f aca="false">IFERROR(__xludf.dummyfunction("if($T581&lt;&gt;"""",REGEXEXTRACT($T581, J$1&amp;""[\w &amp;]*, (\d+\.\d+)""),"""")
"),"")</f>
        <v/>
      </c>
      <c r="K581" s="3"/>
      <c r="L581" s="3" t="str">
        <f aca="false">IFERROR(__xludf.dummyfunction("if($T581&lt;&gt;"""",REGEXEXTRACT(SUBSTITUTE ($T581,L$1&amp;"" CE"",""""), L$1&amp;""[\w &amp;]*, (\d+\.\d+)""),"""")
"),"")</f>
        <v/>
      </c>
      <c r="M581" s="3" t="str">
        <f aca="false">IFERROR(__xludf.dummyfunction("if($T581&lt;&gt;"""",REGEXEXTRACT($T581, M$1&amp;""[\w &amp;]*, (\d+\.\d+)""),"""")
"),"")</f>
        <v/>
      </c>
      <c r="N581" s="3" t="str">
        <f aca="false">IFERROR(__xludf.dummyfunction("if($T581&lt;&gt;"""",REGEXEXTRACT(SUBSTITUTE ($T581,N$1&amp;"" CE"",""""), N$1&amp;""[\w &amp;]*, (\d+\.\d+)""),"""")
"),"")</f>
        <v/>
      </c>
      <c r="O581" s="3" t="str">
        <f aca="false">IFERROR(__xludf.dummyfunction("if($T581&lt;&gt;"""",REGEXEXTRACT($T581, O$1&amp;""[\w &amp;]*, (\d+\.\d+)""),"""")
"),"")</f>
        <v/>
      </c>
      <c r="P581" s="2"/>
      <c r="Q581" s="2"/>
      <c r="R581" s="2"/>
      <c r="S581" s="2"/>
      <c r="T581" s="5"/>
    </row>
    <row r="582" customFormat="false" ht="15.75" hidden="false" customHeight="false" outlineLevel="0" collapsed="false">
      <c r="A582" s="4"/>
      <c r="B582" s="2"/>
      <c r="C582" s="2"/>
      <c r="D582" s="2"/>
      <c r="E582" s="2"/>
      <c r="F582" s="3" t="str">
        <f aca="false">IFERROR(__xludf.dummyfunction("if($T582&lt;&gt;"""",REGEXEXTRACT(SUBSTITUTE ($T582,F$1&amp;"" CE"",""""), F$1&amp;""[\w &amp;]*, (\d+\.\d+)""),"""")
"),"")</f>
        <v/>
      </c>
      <c r="G582" s="3" t="str">
        <f aca="false">IFERROR(__xludf.dummyfunction("if($T582&lt;&gt;"""",REGEXEXTRACT($T582, G$1&amp;""[\w &amp;]*, (\d+\.\d+)""),"""")
"),"")</f>
        <v/>
      </c>
      <c r="H582" s="3"/>
      <c r="I582" s="3" t="str">
        <f aca="false">IFERROR(__xludf.dummyfunction("if($T582&lt;&gt;"""",REGEXEXTRACT(SUBSTITUTE ($T582,I$1&amp;"" CE"",""""), I$1&amp;""[\w &amp;]*, (\d+\.\d+)""),"""")
"),"")</f>
        <v/>
      </c>
      <c r="J582" s="3" t="str">
        <f aca="false">IFERROR(__xludf.dummyfunction("if($T582&lt;&gt;"""",REGEXEXTRACT($T582, J$1&amp;""[\w &amp;]*, (\d+\.\d+)""),"""")
"),"")</f>
        <v/>
      </c>
      <c r="K582" s="3"/>
      <c r="L582" s="3" t="str">
        <f aca="false">IFERROR(__xludf.dummyfunction("if($T582&lt;&gt;"""",REGEXEXTRACT(SUBSTITUTE ($T582,L$1&amp;"" CE"",""""), L$1&amp;""[\w &amp;]*, (\d+\.\d+)""),"""")
"),"")</f>
        <v/>
      </c>
      <c r="M582" s="3" t="str">
        <f aca="false">IFERROR(__xludf.dummyfunction("if($T582&lt;&gt;"""",REGEXEXTRACT($T582, M$1&amp;""[\w &amp;]*, (\d+\.\d+)""),"""")
"),"")</f>
        <v/>
      </c>
      <c r="N582" s="3" t="str">
        <f aca="false">IFERROR(__xludf.dummyfunction("if($T582&lt;&gt;"""",REGEXEXTRACT(SUBSTITUTE ($T582,N$1&amp;"" CE"",""""), N$1&amp;""[\w &amp;]*, (\d+\.\d+)""),"""")
"),"")</f>
        <v/>
      </c>
      <c r="O582" s="3" t="str">
        <f aca="false">IFERROR(__xludf.dummyfunction("if($T582&lt;&gt;"""",REGEXEXTRACT($T582, O$1&amp;""[\w &amp;]*, (\d+\.\d+)""),"""")
"),"")</f>
        <v/>
      </c>
      <c r="P582" s="2"/>
      <c r="Q582" s="2"/>
      <c r="R582" s="2"/>
      <c r="S582" s="2"/>
      <c r="T582" s="5"/>
    </row>
    <row r="583" customFormat="false" ht="15.75" hidden="false" customHeight="false" outlineLevel="0" collapsed="false">
      <c r="A583" s="4"/>
      <c r="B583" s="2"/>
      <c r="C583" s="2"/>
      <c r="D583" s="2"/>
      <c r="E583" s="2"/>
      <c r="F583" s="3" t="str">
        <f aca="false">IFERROR(__xludf.dummyfunction("if($T583&lt;&gt;"""",REGEXEXTRACT(SUBSTITUTE ($T583,F$1&amp;"" CE"",""""), F$1&amp;""[\w &amp;]*, (\d+\.\d+)""),"""")
"),"")</f>
        <v/>
      </c>
      <c r="G583" s="3" t="str">
        <f aca="false">IFERROR(__xludf.dummyfunction("if($T583&lt;&gt;"""",REGEXEXTRACT($T583, G$1&amp;""[\w &amp;]*, (\d+\.\d+)""),"""")
"),"")</f>
        <v/>
      </c>
      <c r="H583" s="3"/>
      <c r="I583" s="3" t="str">
        <f aca="false">IFERROR(__xludf.dummyfunction("if($T583&lt;&gt;"""",REGEXEXTRACT(SUBSTITUTE ($T583,I$1&amp;"" CE"",""""), I$1&amp;""[\w &amp;]*, (\d+\.\d+)""),"""")
"),"")</f>
        <v/>
      </c>
      <c r="J583" s="3" t="str">
        <f aca="false">IFERROR(__xludf.dummyfunction("if($T583&lt;&gt;"""",REGEXEXTRACT($T583, J$1&amp;""[\w &amp;]*, (\d+\.\d+)""),"""")
"),"")</f>
        <v/>
      </c>
      <c r="K583" s="3"/>
      <c r="L583" s="3" t="str">
        <f aca="false">IFERROR(__xludf.dummyfunction("if($T583&lt;&gt;"""",REGEXEXTRACT(SUBSTITUTE ($T583,L$1&amp;"" CE"",""""), L$1&amp;""[\w &amp;]*, (\d+\.\d+)""),"""")
"),"")</f>
        <v/>
      </c>
      <c r="M583" s="3" t="str">
        <f aca="false">IFERROR(__xludf.dummyfunction("if($T583&lt;&gt;"""",REGEXEXTRACT($T583, M$1&amp;""[\w &amp;]*, (\d+\.\d+)""),"""")
"),"")</f>
        <v/>
      </c>
      <c r="N583" s="3" t="str">
        <f aca="false">IFERROR(__xludf.dummyfunction("if($T583&lt;&gt;"""",REGEXEXTRACT(SUBSTITUTE ($T583,N$1&amp;"" CE"",""""), N$1&amp;""[\w &amp;]*, (\d+\.\d+)""),"""")
"),"")</f>
        <v/>
      </c>
      <c r="O583" s="3" t="str">
        <f aca="false">IFERROR(__xludf.dummyfunction("if($T583&lt;&gt;"""",REGEXEXTRACT($T583, O$1&amp;""[\w &amp;]*, (\d+\.\d+)""),"""")
"),"")</f>
        <v/>
      </c>
      <c r="P583" s="2"/>
      <c r="Q583" s="2"/>
      <c r="R583" s="2"/>
      <c r="S583" s="2"/>
      <c r="T583" s="5"/>
    </row>
    <row r="584" customFormat="false" ht="15.75" hidden="false" customHeight="false" outlineLevel="0" collapsed="false">
      <c r="A584" s="4"/>
      <c r="B584" s="2"/>
      <c r="C584" s="2"/>
      <c r="D584" s="2"/>
      <c r="E584" s="2"/>
      <c r="F584" s="3" t="str">
        <f aca="false">IFERROR(__xludf.dummyfunction("if($T584&lt;&gt;"""",REGEXEXTRACT(SUBSTITUTE ($T584,F$1&amp;"" CE"",""""), F$1&amp;""[\w &amp;]*, (\d+\.\d+)""),"""")
"),"")</f>
        <v/>
      </c>
      <c r="G584" s="3" t="str">
        <f aca="false">IFERROR(__xludf.dummyfunction("if($T584&lt;&gt;"""",REGEXEXTRACT($T584, G$1&amp;""[\w &amp;]*, (\d+\.\d+)""),"""")
"),"")</f>
        <v/>
      </c>
      <c r="H584" s="3"/>
      <c r="I584" s="3" t="str">
        <f aca="false">IFERROR(__xludf.dummyfunction("if($T584&lt;&gt;"""",REGEXEXTRACT(SUBSTITUTE ($T584,I$1&amp;"" CE"",""""), I$1&amp;""[\w &amp;]*, (\d+\.\d+)""),"""")
"),"")</f>
        <v/>
      </c>
      <c r="J584" s="3" t="str">
        <f aca="false">IFERROR(__xludf.dummyfunction("if($T584&lt;&gt;"""",REGEXEXTRACT($T584, J$1&amp;""[\w &amp;]*, (\d+\.\d+)""),"""")
"),"")</f>
        <v/>
      </c>
      <c r="K584" s="3"/>
      <c r="L584" s="3" t="str">
        <f aca="false">IFERROR(__xludf.dummyfunction("if($T584&lt;&gt;"""",REGEXEXTRACT(SUBSTITUTE ($T584,L$1&amp;"" CE"",""""), L$1&amp;""[\w &amp;]*, (\d+\.\d+)""),"""")
"),"")</f>
        <v/>
      </c>
      <c r="M584" s="3" t="str">
        <f aca="false">IFERROR(__xludf.dummyfunction("if($T584&lt;&gt;"""",REGEXEXTRACT($T584, M$1&amp;""[\w &amp;]*, (\d+\.\d+)""),"""")
"),"")</f>
        <v/>
      </c>
      <c r="N584" s="3" t="str">
        <f aca="false">IFERROR(__xludf.dummyfunction("if($T584&lt;&gt;"""",REGEXEXTRACT(SUBSTITUTE ($T584,N$1&amp;"" CE"",""""), N$1&amp;""[\w &amp;]*, (\d+\.\d+)""),"""")
"),"")</f>
        <v/>
      </c>
      <c r="O584" s="3" t="str">
        <f aca="false">IFERROR(__xludf.dummyfunction("if($T584&lt;&gt;"""",REGEXEXTRACT($T584, O$1&amp;""[\w &amp;]*, (\d+\.\d+)""),"""")
"),"")</f>
        <v/>
      </c>
      <c r="P584" s="2"/>
      <c r="Q584" s="2"/>
      <c r="R584" s="2"/>
      <c r="S584" s="2"/>
      <c r="T584" s="5"/>
    </row>
    <row r="585" customFormat="false" ht="15.75" hidden="false" customHeight="false" outlineLevel="0" collapsed="false">
      <c r="A585" s="4"/>
      <c r="B585" s="2"/>
      <c r="C585" s="2"/>
      <c r="D585" s="2"/>
      <c r="E585" s="2"/>
      <c r="F585" s="3" t="str">
        <f aca="false">IFERROR(__xludf.dummyfunction("if($T585&lt;&gt;"""",REGEXEXTRACT(SUBSTITUTE ($T585,F$1&amp;"" CE"",""""), F$1&amp;""[\w &amp;]*, (\d+\.\d+)""),"""")
"),"")</f>
        <v/>
      </c>
      <c r="G585" s="3" t="str">
        <f aca="false">IFERROR(__xludf.dummyfunction("if($T585&lt;&gt;"""",REGEXEXTRACT($T585, G$1&amp;""[\w &amp;]*, (\d+\.\d+)""),"""")
"),"")</f>
        <v/>
      </c>
      <c r="H585" s="3"/>
      <c r="I585" s="3" t="str">
        <f aca="false">IFERROR(__xludf.dummyfunction("if($T585&lt;&gt;"""",REGEXEXTRACT(SUBSTITUTE ($T585,I$1&amp;"" CE"",""""), I$1&amp;""[\w &amp;]*, (\d+\.\d+)""),"""")
"),"")</f>
        <v/>
      </c>
      <c r="J585" s="3" t="str">
        <f aca="false">IFERROR(__xludf.dummyfunction("if($T585&lt;&gt;"""",REGEXEXTRACT($T585, J$1&amp;""[\w &amp;]*, (\d+\.\d+)""),"""")
"),"")</f>
        <v/>
      </c>
      <c r="K585" s="3"/>
      <c r="L585" s="3" t="str">
        <f aca="false">IFERROR(__xludf.dummyfunction("if($T585&lt;&gt;"""",REGEXEXTRACT(SUBSTITUTE ($T585,L$1&amp;"" CE"",""""), L$1&amp;""[\w &amp;]*, (\d+\.\d+)""),"""")
"),"")</f>
        <v/>
      </c>
      <c r="M585" s="3" t="str">
        <f aca="false">IFERROR(__xludf.dummyfunction("if($T585&lt;&gt;"""",REGEXEXTRACT($T585, M$1&amp;""[\w &amp;]*, (\d+\.\d+)""),"""")
"),"")</f>
        <v/>
      </c>
      <c r="N585" s="3" t="str">
        <f aca="false">IFERROR(__xludf.dummyfunction("if($T585&lt;&gt;"""",REGEXEXTRACT(SUBSTITUTE ($T585,N$1&amp;"" CE"",""""), N$1&amp;""[\w &amp;]*, (\d+\.\d+)""),"""")
"),"")</f>
        <v/>
      </c>
      <c r="O585" s="3" t="str">
        <f aca="false">IFERROR(__xludf.dummyfunction("if($T585&lt;&gt;"""",REGEXEXTRACT($T585, O$1&amp;""[\w &amp;]*, (\d+\.\d+)""),"""")
"),"")</f>
        <v/>
      </c>
      <c r="P585" s="2"/>
      <c r="Q585" s="2"/>
      <c r="R585" s="2"/>
      <c r="S585" s="2"/>
      <c r="T585" s="5"/>
    </row>
    <row r="586" customFormat="false" ht="15.75" hidden="false" customHeight="false" outlineLevel="0" collapsed="false">
      <c r="A586" s="4"/>
      <c r="B586" s="2"/>
      <c r="C586" s="2"/>
      <c r="D586" s="2"/>
      <c r="E586" s="2"/>
      <c r="F586" s="3" t="str">
        <f aca="false">IFERROR(__xludf.dummyfunction("if($T586&lt;&gt;"""",REGEXEXTRACT(SUBSTITUTE ($T586,F$1&amp;"" CE"",""""), F$1&amp;""[\w &amp;]*, (\d+\.\d+)""),"""")
"),"")</f>
        <v/>
      </c>
      <c r="G586" s="3" t="str">
        <f aca="false">IFERROR(__xludf.dummyfunction("if($T586&lt;&gt;"""",REGEXEXTRACT($T586, G$1&amp;""[\w &amp;]*, (\d+\.\d+)""),"""")
"),"")</f>
        <v/>
      </c>
      <c r="H586" s="3"/>
      <c r="I586" s="3" t="str">
        <f aca="false">IFERROR(__xludf.dummyfunction("if($T586&lt;&gt;"""",REGEXEXTRACT(SUBSTITUTE ($T586,I$1&amp;"" CE"",""""), I$1&amp;""[\w &amp;]*, (\d+\.\d+)""),"""")
"),"")</f>
        <v/>
      </c>
      <c r="J586" s="3" t="str">
        <f aca="false">IFERROR(__xludf.dummyfunction("if($T586&lt;&gt;"""",REGEXEXTRACT($T586, J$1&amp;""[\w &amp;]*, (\d+\.\d+)""),"""")
"),"")</f>
        <v/>
      </c>
      <c r="K586" s="3"/>
      <c r="L586" s="3" t="str">
        <f aca="false">IFERROR(__xludf.dummyfunction("if($T586&lt;&gt;"""",REGEXEXTRACT(SUBSTITUTE ($T586,L$1&amp;"" CE"",""""), L$1&amp;""[\w &amp;]*, (\d+\.\d+)""),"""")
"),"")</f>
        <v/>
      </c>
      <c r="M586" s="3" t="str">
        <f aca="false">IFERROR(__xludf.dummyfunction("if($T586&lt;&gt;"""",REGEXEXTRACT($T586, M$1&amp;""[\w &amp;]*, (\d+\.\d+)""),"""")
"),"")</f>
        <v/>
      </c>
      <c r="N586" s="3" t="str">
        <f aca="false">IFERROR(__xludf.dummyfunction("if($T586&lt;&gt;"""",REGEXEXTRACT(SUBSTITUTE ($T586,N$1&amp;"" CE"",""""), N$1&amp;""[\w &amp;]*, (\d+\.\d+)""),"""")
"),"")</f>
        <v/>
      </c>
      <c r="O586" s="3" t="str">
        <f aca="false">IFERROR(__xludf.dummyfunction("if($T586&lt;&gt;"""",REGEXEXTRACT($T586, O$1&amp;""[\w &amp;]*, (\d+\.\d+)""),"""")
"),"")</f>
        <v/>
      </c>
      <c r="P586" s="2"/>
      <c r="Q586" s="2"/>
      <c r="R586" s="2"/>
      <c r="S586" s="2"/>
      <c r="T586" s="5"/>
    </row>
    <row r="587" customFormat="false" ht="15.75" hidden="false" customHeight="false" outlineLevel="0" collapsed="false">
      <c r="A587" s="4"/>
      <c r="B587" s="2"/>
      <c r="C587" s="2"/>
      <c r="D587" s="2"/>
      <c r="E587" s="2"/>
      <c r="F587" s="3" t="str">
        <f aca="false">IFERROR(__xludf.dummyfunction("if($T587&lt;&gt;"""",REGEXEXTRACT(SUBSTITUTE ($T587,F$1&amp;"" CE"",""""), F$1&amp;""[\w &amp;]*, (\d+\.\d+)""),"""")
"),"")</f>
        <v/>
      </c>
      <c r="G587" s="3" t="str">
        <f aca="false">IFERROR(__xludf.dummyfunction("if($T587&lt;&gt;"""",REGEXEXTRACT($T587, G$1&amp;""[\w &amp;]*, (\d+\.\d+)""),"""")
"),"")</f>
        <v/>
      </c>
      <c r="H587" s="3"/>
      <c r="I587" s="3" t="str">
        <f aca="false">IFERROR(__xludf.dummyfunction("if($T587&lt;&gt;"""",REGEXEXTRACT(SUBSTITUTE ($T587,I$1&amp;"" CE"",""""), I$1&amp;""[\w &amp;]*, (\d+\.\d+)""),"""")
"),"")</f>
        <v/>
      </c>
      <c r="J587" s="3" t="str">
        <f aca="false">IFERROR(__xludf.dummyfunction("if($T587&lt;&gt;"""",REGEXEXTRACT($T587, J$1&amp;""[\w &amp;]*, (\d+\.\d+)""),"""")
"),"")</f>
        <v/>
      </c>
      <c r="K587" s="3"/>
      <c r="L587" s="3" t="str">
        <f aca="false">IFERROR(__xludf.dummyfunction("if($T587&lt;&gt;"""",REGEXEXTRACT(SUBSTITUTE ($T587,L$1&amp;"" CE"",""""), L$1&amp;""[\w &amp;]*, (\d+\.\d+)""),"""")
"),"")</f>
        <v/>
      </c>
      <c r="M587" s="3" t="str">
        <f aca="false">IFERROR(__xludf.dummyfunction("if($T587&lt;&gt;"""",REGEXEXTRACT($T587, M$1&amp;""[\w &amp;]*, (\d+\.\d+)""),"""")
"),"")</f>
        <v/>
      </c>
      <c r="N587" s="3" t="str">
        <f aca="false">IFERROR(__xludf.dummyfunction("if($T587&lt;&gt;"""",REGEXEXTRACT(SUBSTITUTE ($T587,N$1&amp;"" CE"",""""), N$1&amp;""[\w &amp;]*, (\d+\.\d+)""),"""")
"),"")</f>
        <v/>
      </c>
      <c r="O587" s="3" t="str">
        <f aca="false">IFERROR(__xludf.dummyfunction("if($T587&lt;&gt;"""",REGEXEXTRACT($T587, O$1&amp;""[\w &amp;]*, (\d+\.\d+)""),"""")
"),"")</f>
        <v/>
      </c>
      <c r="P587" s="2"/>
      <c r="Q587" s="2"/>
      <c r="R587" s="2"/>
      <c r="S587" s="2"/>
      <c r="T587" s="5"/>
    </row>
    <row r="588" customFormat="false" ht="15.75" hidden="false" customHeight="false" outlineLevel="0" collapsed="false">
      <c r="A588" s="4"/>
      <c r="B588" s="2"/>
      <c r="C588" s="2"/>
      <c r="D588" s="2"/>
      <c r="E588" s="2"/>
      <c r="F588" s="3" t="str">
        <f aca="false">IFERROR(__xludf.dummyfunction("if($T588&lt;&gt;"""",REGEXEXTRACT(SUBSTITUTE ($T588,F$1&amp;"" CE"",""""), F$1&amp;""[\w &amp;]*, (\d+\.\d+)""),"""")
"),"")</f>
        <v/>
      </c>
      <c r="G588" s="3" t="str">
        <f aca="false">IFERROR(__xludf.dummyfunction("if($T588&lt;&gt;"""",REGEXEXTRACT($T588, G$1&amp;""[\w &amp;]*, (\d+\.\d+)""),"""")
"),"")</f>
        <v/>
      </c>
      <c r="H588" s="3"/>
      <c r="I588" s="3" t="str">
        <f aca="false">IFERROR(__xludf.dummyfunction("if($T588&lt;&gt;"""",REGEXEXTRACT(SUBSTITUTE ($T588,I$1&amp;"" CE"",""""), I$1&amp;""[\w &amp;]*, (\d+\.\d+)""),"""")
"),"")</f>
        <v/>
      </c>
      <c r="J588" s="3" t="str">
        <f aca="false">IFERROR(__xludf.dummyfunction("if($T588&lt;&gt;"""",REGEXEXTRACT($T588, J$1&amp;""[\w &amp;]*, (\d+\.\d+)""),"""")
"),"")</f>
        <v/>
      </c>
      <c r="K588" s="3"/>
      <c r="L588" s="3" t="str">
        <f aca="false">IFERROR(__xludf.dummyfunction("if($T588&lt;&gt;"""",REGEXEXTRACT(SUBSTITUTE ($T588,L$1&amp;"" CE"",""""), L$1&amp;""[\w &amp;]*, (\d+\.\d+)""),"""")
"),"")</f>
        <v/>
      </c>
      <c r="M588" s="3" t="str">
        <f aca="false">IFERROR(__xludf.dummyfunction("if($T588&lt;&gt;"""",REGEXEXTRACT($T588, M$1&amp;""[\w &amp;]*, (\d+\.\d+)""),"""")
"),"")</f>
        <v/>
      </c>
      <c r="N588" s="3" t="str">
        <f aca="false">IFERROR(__xludf.dummyfunction("if($T588&lt;&gt;"""",REGEXEXTRACT(SUBSTITUTE ($T588,N$1&amp;"" CE"",""""), N$1&amp;""[\w &amp;]*, (\d+\.\d+)""),"""")
"),"")</f>
        <v/>
      </c>
      <c r="O588" s="3" t="str">
        <f aca="false">IFERROR(__xludf.dummyfunction("if($T588&lt;&gt;"""",REGEXEXTRACT($T588, O$1&amp;""[\w &amp;]*, (\d+\.\d+)""),"""")
"),"")</f>
        <v/>
      </c>
      <c r="P588" s="2"/>
      <c r="Q588" s="2"/>
      <c r="R588" s="2"/>
      <c r="S588" s="2"/>
      <c r="T588" s="5"/>
    </row>
    <row r="589" customFormat="false" ht="15.75" hidden="false" customHeight="false" outlineLevel="0" collapsed="false">
      <c r="A589" s="4"/>
      <c r="B589" s="2"/>
      <c r="C589" s="2"/>
      <c r="D589" s="2"/>
      <c r="E589" s="2"/>
      <c r="F589" s="3" t="str">
        <f aca="false">IFERROR(__xludf.dummyfunction("if($T589&lt;&gt;"""",REGEXEXTRACT(SUBSTITUTE ($T589,F$1&amp;"" CE"",""""), F$1&amp;""[\w &amp;]*, (\d+\.\d+)""),"""")
"),"")</f>
        <v/>
      </c>
      <c r="G589" s="3" t="str">
        <f aca="false">IFERROR(__xludf.dummyfunction("if($T589&lt;&gt;"""",REGEXEXTRACT($T589, G$1&amp;""[\w &amp;]*, (\d+\.\d+)""),"""")
"),"")</f>
        <v/>
      </c>
      <c r="H589" s="3"/>
      <c r="I589" s="3" t="str">
        <f aca="false">IFERROR(__xludf.dummyfunction("if($T589&lt;&gt;"""",REGEXEXTRACT(SUBSTITUTE ($T589,I$1&amp;"" CE"",""""), I$1&amp;""[\w &amp;]*, (\d+\.\d+)""),"""")
"),"")</f>
        <v/>
      </c>
      <c r="J589" s="3" t="str">
        <f aca="false">IFERROR(__xludf.dummyfunction("if($T589&lt;&gt;"""",REGEXEXTRACT($T589, J$1&amp;""[\w &amp;]*, (\d+\.\d+)""),"""")
"),"")</f>
        <v/>
      </c>
      <c r="K589" s="3"/>
      <c r="L589" s="3" t="str">
        <f aca="false">IFERROR(__xludf.dummyfunction("if($T589&lt;&gt;"""",REGEXEXTRACT(SUBSTITUTE ($T589,L$1&amp;"" CE"",""""), L$1&amp;""[\w &amp;]*, (\d+\.\d+)""),"""")
"),"")</f>
        <v/>
      </c>
      <c r="M589" s="3" t="str">
        <f aca="false">IFERROR(__xludf.dummyfunction("if($T589&lt;&gt;"""",REGEXEXTRACT($T589, M$1&amp;""[\w &amp;]*, (\d+\.\d+)""),"""")
"),"")</f>
        <v/>
      </c>
      <c r="N589" s="3" t="str">
        <f aca="false">IFERROR(__xludf.dummyfunction("if($T589&lt;&gt;"""",REGEXEXTRACT(SUBSTITUTE ($T589,N$1&amp;"" CE"",""""), N$1&amp;""[\w &amp;]*, (\d+\.\d+)""),"""")
"),"")</f>
        <v/>
      </c>
      <c r="O589" s="3" t="str">
        <f aca="false">IFERROR(__xludf.dummyfunction("if($T589&lt;&gt;"""",REGEXEXTRACT($T589, O$1&amp;""[\w &amp;]*, (\d+\.\d+)""),"""")
"),"")</f>
        <v/>
      </c>
      <c r="P589" s="2"/>
      <c r="Q589" s="2"/>
      <c r="R589" s="2"/>
      <c r="S589" s="2"/>
      <c r="T589" s="5"/>
    </row>
    <row r="590" customFormat="false" ht="15.75" hidden="false" customHeight="false" outlineLevel="0" collapsed="false">
      <c r="A590" s="4"/>
      <c r="B590" s="2"/>
      <c r="C590" s="2"/>
      <c r="D590" s="2"/>
      <c r="E590" s="2"/>
      <c r="F590" s="3" t="str">
        <f aca="false">IFERROR(__xludf.dummyfunction("if($T590&lt;&gt;"""",REGEXEXTRACT(SUBSTITUTE ($T590,F$1&amp;"" CE"",""""), F$1&amp;""[\w &amp;]*, (\d+\.\d+)""),"""")
"),"")</f>
        <v/>
      </c>
      <c r="G590" s="3" t="str">
        <f aca="false">IFERROR(__xludf.dummyfunction("if($T590&lt;&gt;"""",REGEXEXTRACT($T590, G$1&amp;""[\w &amp;]*, (\d+\.\d+)""),"""")
"),"")</f>
        <v/>
      </c>
      <c r="H590" s="3"/>
      <c r="I590" s="3" t="str">
        <f aca="false">IFERROR(__xludf.dummyfunction("if($T590&lt;&gt;"""",REGEXEXTRACT(SUBSTITUTE ($T590,I$1&amp;"" CE"",""""), I$1&amp;""[\w &amp;]*, (\d+\.\d+)""),"""")
"),"")</f>
        <v/>
      </c>
      <c r="J590" s="3" t="str">
        <f aca="false">IFERROR(__xludf.dummyfunction("if($T590&lt;&gt;"""",REGEXEXTRACT($T590, J$1&amp;""[\w &amp;]*, (\d+\.\d+)""),"""")
"),"")</f>
        <v/>
      </c>
      <c r="K590" s="3"/>
      <c r="L590" s="3" t="str">
        <f aca="false">IFERROR(__xludf.dummyfunction("if($T590&lt;&gt;"""",REGEXEXTRACT(SUBSTITUTE ($T590,L$1&amp;"" CE"",""""), L$1&amp;""[\w &amp;]*, (\d+\.\d+)""),"""")
"),"")</f>
        <v/>
      </c>
      <c r="M590" s="3" t="str">
        <f aca="false">IFERROR(__xludf.dummyfunction("if($T590&lt;&gt;"""",REGEXEXTRACT($T590, M$1&amp;""[\w &amp;]*, (\d+\.\d+)""),"""")
"),"")</f>
        <v/>
      </c>
      <c r="N590" s="3" t="str">
        <f aca="false">IFERROR(__xludf.dummyfunction("if($T590&lt;&gt;"""",REGEXEXTRACT(SUBSTITUTE ($T590,N$1&amp;"" CE"",""""), N$1&amp;""[\w &amp;]*, (\d+\.\d+)""),"""")
"),"")</f>
        <v/>
      </c>
      <c r="O590" s="3" t="str">
        <f aca="false">IFERROR(__xludf.dummyfunction("if($T590&lt;&gt;"""",REGEXEXTRACT($T590, O$1&amp;""[\w &amp;]*, (\d+\.\d+)""),"""")
"),"")</f>
        <v/>
      </c>
      <c r="P590" s="2"/>
      <c r="Q590" s="2"/>
      <c r="R590" s="2"/>
      <c r="S590" s="2"/>
      <c r="T590" s="5"/>
    </row>
    <row r="591" customFormat="false" ht="15.75" hidden="false" customHeight="false" outlineLevel="0" collapsed="false">
      <c r="A591" s="4"/>
      <c r="B591" s="2"/>
      <c r="C591" s="2"/>
      <c r="D591" s="2"/>
      <c r="E591" s="2"/>
      <c r="F591" s="3" t="str">
        <f aca="false">IFERROR(__xludf.dummyfunction("if($T591&lt;&gt;"""",REGEXEXTRACT(SUBSTITUTE ($T591,F$1&amp;"" CE"",""""), F$1&amp;""[\w &amp;]*, (\d+\.\d+)""),"""")
"),"")</f>
        <v/>
      </c>
      <c r="G591" s="3" t="str">
        <f aca="false">IFERROR(__xludf.dummyfunction("if($T591&lt;&gt;"""",REGEXEXTRACT($T591, G$1&amp;""[\w &amp;]*, (\d+\.\d+)""),"""")
"),"")</f>
        <v/>
      </c>
      <c r="H591" s="3"/>
      <c r="I591" s="3" t="str">
        <f aca="false">IFERROR(__xludf.dummyfunction("if($T591&lt;&gt;"""",REGEXEXTRACT(SUBSTITUTE ($T591,I$1&amp;"" CE"",""""), I$1&amp;""[\w &amp;]*, (\d+\.\d+)""),"""")
"),"")</f>
        <v/>
      </c>
      <c r="J591" s="3" t="str">
        <f aca="false">IFERROR(__xludf.dummyfunction("if($T591&lt;&gt;"""",REGEXEXTRACT($T591, J$1&amp;""[\w &amp;]*, (\d+\.\d+)""),"""")
"),"")</f>
        <v/>
      </c>
      <c r="K591" s="3"/>
      <c r="L591" s="3" t="str">
        <f aca="false">IFERROR(__xludf.dummyfunction("if($T591&lt;&gt;"""",REGEXEXTRACT(SUBSTITUTE ($T591,L$1&amp;"" CE"",""""), L$1&amp;""[\w &amp;]*, (\d+\.\d+)""),"""")
"),"")</f>
        <v/>
      </c>
      <c r="M591" s="3" t="str">
        <f aca="false">IFERROR(__xludf.dummyfunction("if($T591&lt;&gt;"""",REGEXEXTRACT($T591, M$1&amp;""[\w &amp;]*, (\d+\.\d+)""),"""")
"),"")</f>
        <v/>
      </c>
      <c r="N591" s="3" t="str">
        <f aca="false">IFERROR(__xludf.dummyfunction("if($T591&lt;&gt;"""",REGEXEXTRACT(SUBSTITUTE ($T591,N$1&amp;"" CE"",""""), N$1&amp;""[\w &amp;]*, (\d+\.\d+)""),"""")
"),"")</f>
        <v/>
      </c>
      <c r="O591" s="3" t="str">
        <f aca="false">IFERROR(__xludf.dummyfunction("if($T591&lt;&gt;"""",REGEXEXTRACT($T591, O$1&amp;""[\w &amp;]*, (\d+\.\d+)""),"""")
"),"")</f>
        <v/>
      </c>
      <c r="P591" s="2"/>
      <c r="Q591" s="2"/>
      <c r="R591" s="2"/>
      <c r="S591" s="2"/>
      <c r="T591" s="5"/>
    </row>
    <row r="592" customFormat="false" ht="15.75" hidden="false" customHeight="false" outlineLevel="0" collapsed="false">
      <c r="A592" s="4"/>
      <c r="B592" s="2"/>
      <c r="C592" s="2"/>
      <c r="D592" s="2"/>
      <c r="E592" s="2"/>
      <c r="F592" s="3" t="str">
        <f aca="false">IFERROR(__xludf.dummyfunction("if($T592&lt;&gt;"""",REGEXEXTRACT(SUBSTITUTE ($T592,F$1&amp;"" CE"",""""), F$1&amp;""[\w &amp;]*, (\d+\.\d+)""),"""")
"),"")</f>
        <v/>
      </c>
      <c r="G592" s="3" t="str">
        <f aca="false">IFERROR(__xludf.dummyfunction("if($T592&lt;&gt;"""",REGEXEXTRACT($T592, G$1&amp;""[\w &amp;]*, (\d+\.\d+)""),"""")
"),"")</f>
        <v/>
      </c>
      <c r="H592" s="3"/>
      <c r="I592" s="3" t="str">
        <f aca="false">IFERROR(__xludf.dummyfunction("if($T592&lt;&gt;"""",REGEXEXTRACT(SUBSTITUTE ($T592,I$1&amp;"" CE"",""""), I$1&amp;""[\w &amp;]*, (\d+\.\d+)""),"""")
"),"")</f>
        <v/>
      </c>
      <c r="J592" s="3" t="str">
        <f aca="false">IFERROR(__xludf.dummyfunction("if($T592&lt;&gt;"""",REGEXEXTRACT($T592, J$1&amp;""[\w &amp;]*, (\d+\.\d+)""),"""")
"),"")</f>
        <v/>
      </c>
      <c r="K592" s="3"/>
      <c r="L592" s="3" t="str">
        <f aca="false">IFERROR(__xludf.dummyfunction("if($T592&lt;&gt;"""",REGEXEXTRACT(SUBSTITUTE ($T592,L$1&amp;"" CE"",""""), L$1&amp;""[\w &amp;]*, (\d+\.\d+)""),"""")
"),"")</f>
        <v/>
      </c>
      <c r="M592" s="3" t="str">
        <f aca="false">IFERROR(__xludf.dummyfunction("if($T592&lt;&gt;"""",REGEXEXTRACT($T592, M$1&amp;""[\w &amp;]*, (\d+\.\d+)""),"""")
"),"")</f>
        <v/>
      </c>
      <c r="N592" s="3" t="str">
        <f aca="false">IFERROR(__xludf.dummyfunction("if($T592&lt;&gt;"""",REGEXEXTRACT(SUBSTITUTE ($T592,N$1&amp;"" CE"",""""), N$1&amp;""[\w &amp;]*, (\d+\.\d+)""),"""")
"),"")</f>
        <v/>
      </c>
      <c r="O592" s="3" t="str">
        <f aca="false">IFERROR(__xludf.dummyfunction("if($T592&lt;&gt;"""",REGEXEXTRACT($T592, O$1&amp;""[\w &amp;]*, (\d+\.\d+)""),"""")
"),"")</f>
        <v/>
      </c>
      <c r="P592" s="2"/>
      <c r="Q592" s="2"/>
      <c r="R592" s="2"/>
      <c r="S592" s="2"/>
      <c r="T592" s="5"/>
    </row>
    <row r="593" customFormat="false" ht="15.75" hidden="false" customHeight="false" outlineLevel="0" collapsed="false">
      <c r="A593" s="4"/>
      <c r="B593" s="2"/>
      <c r="C593" s="2"/>
      <c r="D593" s="2"/>
      <c r="E593" s="2"/>
      <c r="F593" s="3" t="str">
        <f aca="false">IFERROR(__xludf.dummyfunction("if($T593&lt;&gt;"""",REGEXEXTRACT(SUBSTITUTE ($T593,F$1&amp;"" CE"",""""), F$1&amp;""[\w &amp;]*, (\d+\.\d+)""),"""")
"),"")</f>
        <v/>
      </c>
      <c r="G593" s="3" t="str">
        <f aca="false">IFERROR(__xludf.dummyfunction("if($T593&lt;&gt;"""",REGEXEXTRACT($T593, G$1&amp;""[\w &amp;]*, (\d+\.\d+)""),"""")
"),"")</f>
        <v/>
      </c>
      <c r="H593" s="3"/>
      <c r="I593" s="3" t="str">
        <f aca="false">IFERROR(__xludf.dummyfunction("if($T593&lt;&gt;"""",REGEXEXTRACT(SUBSTITUTE ($T593,I$1&amp;"" CE"",""""), I$1&amp;""[\w &amp;]*, (\d+\.\d+)""),"""")
"),"")</f>
        <v/>
      </c>
      <c r="J593" s="3" t="str">
        <f aca="false">IFERROR(__xludf.dummyfunction("if($T593&lt;&gt;"""",REGEXEXTRACT($T593, J$1&amp;""[\w &amp;]*, (\d+\.\d+)""),"""")
"),"")</f>
        <v/>
      </c>
      <c r="K593" s="3"/>
      <c r="L593" s="3" t="str">
        <f aca="false">IFERROR(__xludf.dummyfunction("if($T593&lt;&gt;"""",REGEXEXTRACT(SUBSTITUTE ($T593,L$1&amp;"" CE"",""""), L$1&amp;""[\w &amp;]*, (\d+\.\d+)""),"""")
"),"")</f>
        <v/>
      </c>
      <c r="M593" s="3" t="str">
        <f aca="false">IFERROR(__xludf.dummyfunction("if($T593&lt;&gt;"""",REGEXEXTRACT($T593, M$1&amp;""[\w &amp;]*, (\d+\.\d+)""),"""")
"),"")</f>
        <v/>
      </c>
      <c r="N593" s="3" t="str">
        <f aca="false">IFERROR(__xludf.dummyfunction("if($T593&lt;&gt;"""",REGEXEXTRACT(SUBSTITUTE ($T593,N$1&amp;"" CE"",""""), N$1&amp;""[\w &amp;]*, (\d+\.\d+)""),"""")
"),"")</f>
        <v/>
      </c>
      <c r="O593" s="3" t="str">
        <f aca="false">IFERROR(__xludf.dummyfunction("if($T593&lt;&gt;"""",REGEXEXTRACT($T593, O$1&amp;""[\w &amp;]*, (\d+\.\d+)""),"""")
"),"")</f>
        <v/>
      </c>
      <c r="P593" s="2"/>
      <c r="Q593" s="2"/>
      <c r="R593" s="2"/>
      <c r="S593" s="2"/>
      <c r="T593" s="5"/>
    </row>
    <row r="594" customFormat="false" ht="15.75" hidden="false" customHeight="false" outlineLevel="0" collapsed="false">
      <c r="A594" s="4"/>
      <c r="B594" s="2"/>
      <c r="C594" s="2"/>
      <c r="D594" s="2"/>
      <c r="E594" s="2"/>
      <c r="F594" s="3" t="str">
        <f aca="false">IFERROR(__xludf.dummyfunction("if($T594&lt;&gt;"""",REGEXEXTRACT(SUBSTITUTE ($T594,F$1&amp;"" CE"",""""), F$1&amp;""[\w &amp;]*, (\d+\.\d+)""),"""")
"),"")</f>
        <v/>
      </c>
      <c r="G594" s="3" t="str">
        <f aca="false">IFERROR(__xludf.dummyfunction("if($T594&lt;&gt;"""",REGEXEXTRACT($T594, G$1&amp;""[\w &amp;]*, (\d+\.\d+)""),"""")
"),"")</f>
        <v/>
      </c>
      <c r="H594" s="3"/>
      <c r="I594" s="3" t="str">
        <f aca="false">IFERROR(__xludf.dummyfunction("if($T594&lt;&gt;"""",REGEXEXTRACT(SUBSTITUTE ($T594,I$1&amp;"" CE"",""""), I$1&amp;""[\w &amp;]*, (\d+\.\d+)""),"""")
"),"")</f>
        <v/>
      </c>
      <c r="J594" s="3" t="str">
        <f aca="false">IFERROR(__xludf.dummyfunction("if($T594&lt;&gt;"""",REGEXEXTRACT($T594, J$1&amp;""[\w &amp;]*, (\d+\.\d+)""),"""")
"),"")</f>
        <v/>
      </c>
      <c r="K594" s="3"/>
      <c r="L594" s="3" t="str">
        <f aca="false">IFERROR(__xludf.dummyfunction("if($T594&lt;&gt;"""",REGEXEXTRACT(SUBSTITUTE ($T594,L$1&amp;"" CE"",""""), L$1&amp;""[\w &amp;]*, (\d+\.\d+)""),"""")
"),"")</f>
        <v/>
      </c>
      <c r="M594" s="3" t="str">
        <f aca="false">IFERROR(__xludf.dummyfunction("if($T594&lt;&gt;"""",REGEXEXTRACT($T594, M$1&amp;""[\w &amp;]*, (\d+\.\d+)""),"""")
"),"")</f>
        <v/>
      </c>
      <c r="N594" s="3" t="str">
        <f aca="false">IFERROR(__xludf.dummyfunction("if($T594&lt;&gt;"""",REGEXEXTRACT(SUBSTITUTE ($T594,N$1&amp;"" CE"",""""), N$1&amp;""[\w &amp;]*, (\d+\.\d+)""),"""")
"),"")</f>
        <v/>
      </c>
      <c r="O594" s="3" t="str">
        <f aca="false">IFERROR(__xludf.dummyfunction("if($T594&lt;&gt;"""",REGEXEXTRACT($T594, O$1&amp;""[\w &amp;]*, (\d+\.\d+)""),"""")
"),"")</f>
        <v/>
      </c>
      <c r="P594" s="2"/>
      <c r="Q594" s="2"/>
      <c r="R594" s="2"/>
      <c r="S594" s="2"/>
      <c r="T594" s="5"/>
    </row>
    <row r="595" customFormat="false" ht="15.75" hidden="false" customHeight="false" outlineLevel="0" collapsed="false">
      <c r="A595" s="4"/>
      <c r="B595" s="2"/>
      <c r="C595" s="2"/>
      <c r="D595" s="2"/>
      <c r="E595" s="2"/>
      <c r="F595" s="3" t="str">
        <f aca="false">IFERROR(__xludf.dummyfunction("if($T595&lt;&gt;"""",REGEXEXTRACT(SUBSTITUTE ($T595,F$1&amp;"" CE"",""""), F$1&amp;""[\w &amp;]*, (\d+\.\d+)""),"""")
"),"")</f>
        <v/>
      </c>
      <c r="G595" s="3" t="str">
        <f aca="false">IFERROR(__xludf.dummyfunction("if($T595&lt;&gt;"""",REGEXEXTRACT($T595, G$1&amp;""[\w &amp;]*, (\d+\.\d+)""),"""")
"),"")</f>
        <v/>
      </c>
      <c r="H595" s="3"/>
      <c r="I595" s="3" t="str">
        <f aca="false">IFERROR(__xludf.dummyfunction("if($T595&lt;&gt;"""",REGEXEXTRACT(SUBSTITUTE ($T595,I$1&amp;"" CE"",""""), I$1&amp;""[\w &amp;]*, (\d+\.\d+)""),"""")
"),"")</f>
        <v/>
      </c>
      <c r="J595" s="3" t="str">
        <f aca="false">IFERROR(__xludf.dummyfunction("if($T595&lt;&gt;"""",REGEXEXTRACT($T595, J$1&amp;""[\w &amp;]*, (\d+\.\d+)""),"""")
"),"")</f>
        <v/>
      </c>
      <c r="K595" s="3"/>
      <c r="L595" s="3" t="str">
        <f aca="false">IFERROR(__xludf.dummyfunction("if($T595&lt;&gt;"""",REGEXEXTRACT(SUBSTITUTE ($T595,L$1&amp;"" CE"",""""), L$1&amp;""[\w &amp;]*, (\d+\.\d+)""),"""")
"),"")</f>
        <v/>
      </c>
      <c r="M595" s="3" t="str">
        <f aca="false">IFERROR(__xludf.dummyfunction("if($T595&lt;&gt;"""",REGEXEXTRACT($T595, M$1&amp;""[\w &amp;]*, (\d+\.\d+)""),"""")
"),"")</f>
        <v/>
      </c>
      <c r="N595" s="3" t="str">
        <f aca="false">IFERROR(__xludf.dummyfunction("if($T595&lt;&gt;"""",REGEXEXTRACT(SUBSTITUTE ($T595,N$1&amp;"" CE"",""""), N$1&amp;""[\w &amp;]*, (\d+\.\d+)""),"""")
"),"")</f>
        <v/>
      </c>
      <c r="O595" s="3" t="str">
        <f aca="false">IFERROR(__xludf.dummyfunction("if($T595&lt;&gt;"""",REGEXEXTRACT($T595, O$1&amp;""[\w &amp;]*, (\d+\.\d+)""),"""")
"),"")</f>
        <v/>
      </c>
      <c r="P595" s="2"/>
      <c r="Q595" s="2"/>
      <c r="R595" s="2"/>
      <c r="S595" s="2"/>
      <c r="T595" s="5"/>
    </row>
    <row r="596" customFormat="false" ht="15.75" hidden="false" customHeight="false" outlineLevel="0" collapsed="false">
      <c r="A596" s="4"/>
      <c r="B596" s="2"/>
      <c r="C596" s="2"/>
      <c r="D596" s="2"/>
      <c r="E596" s="2"/>
      <c r="F596" s="3" t="str">
        <f aca="false">IFERROR(__xludf.dummyfunction("if($T596&lt;&gt;"""",REGEXEXTRACT(SUBSTITUTE ($T596,F$1&amp;"" CE"",""""), F$1&amp;""[\w &amp;]*, (\d+\.\d+)""),"""")
"),"")</f>
        <v/>
      </c>
      <c r="G596" s="3" t="str">
        <f aca="false">IFERROR(__xludf.dummyfunction("if($T596&lt;&gt;"""",REGEXEXTRACT($T596, G$1&amp;""[\w &amp;]*, (\d+\.\d+)""),"""")
"),"")</f>
        <v/>
      </c>
      <c r="H596" s="3"/>
      <c r="I596" s="3" t="str">
        <f aca="false">IFERROR(__xludf.dummyfunction("if($T596&lt;&gt;"""",REGEXEXTRACT(SUBSTITUTE ($T596,I$1&amp;"" CE"",""""), I$1&amp;""[\w &amp;]*, (\d+\.\d+)""),"""")
"),"")</f>
        <v/>
      </c>
      <c r="J596" s="3" t="str">
        <f aca="false">IFERROR(__xludf.dummyfunction("if($T596&lt;&gt;"""",REGEXEXTRACT($T596, J$1&amp;""[\w &amp;]*, (\d+\.\d+)""),"""")
"),"")</f>
        <v/>
      </c>
      <c r="K596" s="3"/>
      <c r="L596" s="3" t="str">
        <f aca="false">IFERROR(__xludf.dummyfunction("if($T596&lt;&gt;"""",REGEXEXTRACT(SUBSTITUTE ($T596,L$1&amp;"" CE"",""""), L$1&amp;""[\w &amp;]*, (\d+\.\d+)""),"""")
"),"")</f>
        <v/>
      </c>
      <c r="M596" s="3" t="str">
        <f aca="false">IFERROR(__xludf.dummyfunction("if($T596&lt;&gt;"""",REGEXEXTRACT($T596, M$1&amp;""[\w &amp;]*, (\d+\.\d+)""),"""")
"),"")</f>
        <v/>
      </c>
      <c r="N596" s="3" t="str">
        <f aca="false">IFERROR(__xludf.dummyfunction("if($T596&lt;&gt;"""",REGEXEXTRACT(SUBSTITUTE ($T596,N$1&amp;"" CE"",""""), N$1&amp;""[\w &amp;]*, (\d+\.\d+)""),"""")
"),"")</f>
        <v/>
      </c>
      <c r="O596" s="3" t="str">
        <f aca="false">IFERROR(__xludf.dummyfunction("if($T596&lt;&gt;"""",REGEXEXTRACT($T596, O$1&amp;""[\w &amp;]*, (\d+\.\d+)""),"""")
"),"")</f>
        <v/>
      </c>
      <c r="P596" s="2"/>
      <c r="Q596" s="2"/>
      <c r="R596" s="2"/>
      <c r="S596" s="2"/>
      <c r="T596" s="5"/>
    </row>
    <row r="597" customFormat="false" ht="15.75" hidden="false" customHeight="false" outlineLevel="0" collapsed="false">
      <c r="A597" s="4"/>
      <c r="B597" s="2"/>
      <c r="C597" s="2"/>
      <c r="D597" s="2"/>
      <c r="E597" s="2"/>
      <c r="F597" s="3" t="str">
        <f aca="false">IFERROR(__xludf.dummyfunction("if($T597&lt;&gt;"""",REGEXEXTRACT(SUBSTITUTE ($T597,F$1&amp;"" CE"",""""), F$1&amp;""[\w &amp;]*, (\d+\.\d+)""),"""")
"),"")</f>
        <v/>
      </c>
      <c r="G597" s="3" t="str">
        <f aca="false">IFERROR(__xludf.dummyfunction("if($T597&lt;&gt;"""",REGEXEXTRACT($T597, G$1&amp;""[\w &amp;]*, (\d+\.\d+)""),"""")
"),"")</f>
        <v/>
      </c>
      <c r="H597" s="3"/>
      <c r="I597" s="3" t="str">
        <f aca="false">IFERROR(__xludf.dummyfunction("if($T597&lt;&gt;"""",REGEXEXTRACT(SUBSTITUTE ($T597,I$1&amp;"" CE"",""""), I$1&amp;""[\w &amp;]*, (\d+\.\d+)""),"""")
"),"")</f>
        <v/>
      </c>
      <c r="J597" s="3" t="str">
        <f aca="false">IFERROR(__xludf.dummyfunction("if($T597&lt;&gt;"""",REGEXEXTRACT($T597, J$1&amp;""[\w &amp;]*, (\d+\.\d+)""),"""")
"),"")</f>
        <v/>
      </c>
      <c r="K597" s="3"/>
      <c r="L597" s="3" t="str">
        <f aca="false">IFERROR(__xludf.dummyfunction("if($T597&lt;&gt;"""",REGEXEXTRACT(SUBSTITUTE ($T597,L$1&amp;"" CE"",""""), L$1&amp;""[\w &amp;]*, (\d+\.\d+)""),"""")
"),"")</f>
        <v/>
      </c>
      <c r="M597" s="3" t="str">
        <f aca="false">IFERROR(__xludf.dummyfunction("if($T597&lt;&gt;"""",REGEXEXTRACT($T597, M$1&amp;""[\w &amp;]*, (\d+\.\d+)""),"""")
"),"")</f>
        <v/>
      </c>
      <c r="N597" s="3" t="str">
        <f aca="false">IFERROR(__xludf.dummyfunction("if($T597&lt;&gt;"""",REGEXEXTRACT(SUBSTITUTE ($T597,N$1&amp;"" CE"",""""), N$1&amp;""[\w &amp;]*, (\d+\.\d+)""),"""")
"),"")</f>
        <v/>
      </c>
      <c r="O597" s="3" t="str">
        <f aca="false">IFERROR(__xludf.dummyfunction("if($T597&lt;&gt;"""",REGEXEXTRACT($T597, O$1&amp;""[\w &amp;]*, (\d+\.\d+)""),"""")
"),"")</f>
        <v/>
      </c>
      <c r="P597" s="2"/>
      <c r="Q597" s="2"/>
      <c r="R597" s="2"/>
      <c r="S597" s="2"/>
      <c r="T597" s="5"/>
    </row>
    <row r="598" customFormat="false" ht="15.75" hidden="false" customHeight="false" outlineLevel="0" collapsed="false">
      <c r="A598" s="4"/>
      <c r="B598" s="2"/>
      <c r="C598" s="2"/>
      <c r="D598" s="2"/>
      <c r="E598" s="2"/>
      <c r="F598" s="3" t="str">
        <f aca="false">IFERROR(__xludf.dummyfunction("if($T598&lt;&gt;"""",REGEXEXTRACT(SUBSTITUTE ($T598,F$1&amp;"" CE"",""""), F$1&amp;""[\w &amp;]*, (\d+\.\d+)""),"""")
"),"")</f>
        <v/>
      </c>
      <c r="G598" s="3" t="str">
        <f aca="false">IFERROR(__xludf.dummyfunction("if($T598&lt;&gt;"""",REGEXEXTRACT($T598, G$1&amp;""[\w &amp;]*, (\d+\.\d+)""),"""")
"),"")</f>
        <v/>
      </c>
      <c r="H598" s="3"/>
      <c r="I598" s="3" t="str">
        <f aca="false">IFERROR(__xludf.dummyfunction("if($T598&lt;&gt;"""",REGEXEXTRACT(SUBSTITUTE ($T598,I$1&amp;"" CE"",""""), I$1&amp;""[\w &amp;]*, (\d+\.\d+)""),"""")
"),"")</f>
        <v/>
      </c>
      <c r="J598" s="3" t="str">
        <f aca="false">IFERROR(__xludf.dummyfunction("if($T598&lt;&gt;"""",REGEXEXTRACT($T598, J$1&amp;""[\w &amp;]*, (\d+\.\d+)""),"""")
"),"")</f>
        <v/>
      </c>
      <c r="K598" s="3"/>
      <c r="L598" s="3" t="str">
        <f aca="false">IFERROR(__xludf.dummyfunction("if($T598&lt;&gt;"""",REGEXEXTRACT(SUBSTITUTE ($T598,L$1&amp;"" CE"",""""), L$1&amp;""[\w &amp;]*, (\d+\.\d+)""),"""")
"),"")</f>
        <v/>
      </c>
      <c r="M598" s="3" t="str">
        <f aca="false">IFERROR(__xludf.dummyfunction("if($T598&lt;&gt;"""",REGEXEXTRACT($T598, M$1&amp;""[\w &amp;]*, (\d+\.\d+)""),"""")
"),"")</f>
        <v/>
      </c>
      <c r="N598" s="3" t="str">
        <f aca="false">IFERROR(__xludf.dummyfunction("if($T598&lt;&gt;"""",REGEXEXTRACT(SUBSTITUTE ($T598,N$1&amp;"" CE"",""""), N$1&amp;""[\w &amp;]*, (\d+\.\d+)""),"""")
"),"")</f>
        <v/>
      </c>
      <c r="O598" s="3" t="str">
        <f aca="false">IFERROR(__xludf.dummyfunction("if($T598&lt;&gt;"""",REGEXEXTRACT($T598, O$1&amp;""[\w &amp;]*, (\d+\.\d+)""),"""")
"),"")</f>
        <v/>
      </c>
      <c r="P598" s="2"/>
      <c r="Q598" s="2"/>
      <c r="R598" s="2"/>
      <c r="S598" s="2"/>
      <c r="T598" s="5"/>
    </row>
    <row r="599" customFormat="false" ht="15.75" hidden="false" customHeight="false" outlineLevel="0" collapsed="false">
      <c r="A599" s="4"/>
      <c r="B599" s="2"/>
      <c r="C599" s="2"/>
      <c r="D599" s="2"/>
      <c r="E599" s="2"/>
      <c r="F599" s="3" t="str">
        <f aca="false">IFERROR(__xludf.dummyfunction("if($T599&lt;&gt;"""",REGEXEXTRACT(SUBSTITUTE ($T599,F$1&amp;"" CE"",""""), F$1&amp;""[\w &amp;]*, (\d+\.\d+)""),"""")
"),"")</f>
        <v/>
      </c>
      <c r="G599" s="3" t="str">
        <f aca="false">IFERROR(__xludf.dummyfunction("if($T599&lt;&gt;"""",REGEXEXTRACT($T599, G$1&amp;""[\w &amp;]*, (\d+\.\d+)""),"""")
"),"")</f>
        <v/>
      </c>
      <c r="H599" s="3"/>
      <c r="I599" s="3" t="str">
        <f aca="false">IFERROR(__xludf.dummyfunction("if($T599&lt;&gt;"""",REGEXEXTRACT(SUBSTITUTE ($T599,I$1&amp;"" CE"",""""), I$1&amp;""[\w &amp;]*, (\d+\.\d+)""),"""")
"),"")</f>
        <v/>
      </c>
      <c r="J599" s="3" t="str">
        <f aca="false">IFERROR(__xludf.dummyfunction("if($T599&lt;&gt;"""",REGEXEXTRACT($T599, J$1&amp;""[\w &amp;]*, (\d+\.\d+)""),"""")
"),"")</f>
        <v/>
      </c>
      <c r="K599" s="3"/>
      <c r="L599" s="3" t="str">
        <f aca="false">IFERROR(__xludf.dummyfunction("if($T599&lt;&gt;"""",REGEXEXTRACT(SUBSTITUTE ($T599,L$1&amp;"" CE"",""""), L$1&amp;""[\w &amp;]*, (\d+\.\d+)""),"""")
"),"")</f>
        <v/>
      </c>
      <c r="M599" s="3" t="str">
        <f aca="false">IFERROR(__xludf.dummyfunction("if($T599&lt;&gt;"""",REGEXEXTRACT($T599, M$1&amp;""[\w &amp;]*, (\d+\.\d+)""),"""")
"),"")</f>
        <v/>
      </c>
      <c r="N599" s="3" t="str">
        <f aca="false">IFERROR(__xludf.dummyfunction("if($T599&lt;&gt;"""",REGEXEXTRACT(SUBSTITUTE ($T599,N$1&amp;"" CE"",""""), N$1&amp;""[\w &amp;]*, (\d+\.\d+)""),"""")
"),"")</f>
        <v/>
      </c>
      <c r="O599" s="3" t="str">
        <f aca="false">IFERROR(__xludf.dummyfunction("if($T599&lt;&gt;"""",REGEXEXTRACT($T599, O$1&amp;""[\w &amp;]*, (\d+\.\d+)""),"""")
"),"")</f>
        <v/>
      </c>
      <c r="P599" s="2"/>
      <c r="Q599" s="2"/>
      <c r="R599" s="2"/>
      <c r="S599" s="2"/>
      <c r="T599" s="5"/>
    </row>
    <row r="600" customFormat="false" ht="15.75" hidden="false" customHeight="false" outlineLevel="0" collapsed="false">
      <c r="A600" s="4"/>
      <c r="B600" s="2"/>
      <c r="C600" s="2"/>
      <c r="D600" s="2"/>
      <c r="E600" s="2"/>
      <c r="F600" s="3" t="str">
        <f aca="false">IFERROR(__xludf.dummyfunction("if($T600&lt;&gt;"""",REGEXEXTRACT(SUBSTITUTE ($T600,F$1&amp;"" CE"",""""), F$1&amp;""[\w &amp;]*, (\d+\.\d+)""),"""")
"),"")</f>
        <v/>
      </c>
      <c r="G600" s="3" t="str">
        <f aca="false">IFERROR(__xludf.dummyfunction("if($T600&lt;&gt;"""",REGEXEXTRACT($T600, G$1&amp;""[\w &amp;]*, (\d+\.\d+)""),"""")
"),"")</f>
        <v/>
      </c>
      <c r="H600" s="3"/>
      <c r="I600" s="3" t="str">
        <f aca="false">IFERROR(__xludf.dummyfunction("if($T600&lt;&gt;"""",REGEXEXTRACT(SUBSTITUTE ($T600,I$1&amp;"" CE"",""""), I$1&amp;""[\w &amp;]*, (\d+\.\d+)""),"""")
"),"")</f>
        <v/>
      </c>
      <c r="J600" s="3" t="str">
        <f aca="false">IFERROR(__xludf.dummyfunction("if($T600&lt;&gt;"""",REGEXEXTRACT($T600, J$1&amp;""[\w &amp;]*, (\d+\.\d+)""),"""")
"),"")</f>
        <v/>
      </c>
      <c r="K600" s="3"/>
      <c r="L600" s="3" t="str">
        <f aca="false">IFERROR(__xludf.dummyfunction("if($T600&lt;&gt;"""",REGEXEXTRACT(SUBSTITUTE ($T600,L$1&amp;"" CE"",""""), L$1&amp;""[\w &amp;]*, (\d+\.\d+)""),"""")
"),"")</f>
        <v/>
      </c>
      <c r="M600" s="3" t="str">
        <f aca="false">IFERROR(__xludf.dummyfunction("if($T600&lt;&gt;"""",REGEXEXTRACT($T600, M$1&amp;""[\w &amp;]*, (\d+\.\d+)""),"""")
"),"")</f>
        <v/>
      </c>
      <c r="N600" s="3" t="str">
        <f aca="false">IFERROR(__xludf.dummyfunction("if($T600&lt;&gt;"""",REGEXEXTRACT(SUBSTITUTE ($T600,N$1&amp;"" CE"",""""), N$1&amp;""[\w &amp;]*, (\d+\.\d+)""),"""")
"),"")</f>
        <v/>
      </c>
      <c r="O600" s="3" t="str">
        <f aca="false">IFERROR(__xludf.dummyfunction("if($T600&lt;&gt;"""",REGEXEXTRACT($T600, O$1&amp;""[\w &amp;]*, (\d+\.\d+)""),"""")
"),"")</f>
        <v/>
      </c>
      <c r="P600" s="2"/>
      <c r="Q600" s="2"/>
      <c r="R600" s="2"/>
      <c r="S600" s="2"/>
      <c r="T600" s="5"/>
    </row>
    <row r="601" customFormat="false" ht="15.75" hidden="false" customHeight="false" outlineLevel="0" collapsed="false">
      <c r="A601" s="4"/>
      <c r="B601" s="2"/>
      <c r="C601" s="2"/>
      <c r="D601" s="2"/>
      <c r="E601" s="2"/>
      <c r="F601" s="3" t="str">
        <f aca="false">IFERROR(__xludf.dummyfunction("if($T601&lt;&gt;"""",REGEXEXTRACT(SUBSTITUTE ($T601,F$1&amp;"" CE"",""""), F$1&amp;""[\w &amp;]*, (\d+\.\d+)""),"""")
"),"")</f>
        <v/>
      </c>
      <c r="G601" s="3" t="str">
        <f aca="false">IFERROR(__xludf.dummyfunction("if($T601&lt;&gt;"""",REGEXEXTRACT($T601, G$1&amp;""[\w &amp;]*, (\d+\.\d+)""),"""")
"),"")</f>
        <v/>
      </c>
      <c r="H601" s="3"/>
      <c r="I601" s="3" t="str">
        <f aca="false">IFERROR(__xludf.dummyfunction("if($T601&lt;&gt;"""",REGEXEXTRACT(SUBSTITUTE ($T601,I$1&amp;"" CE"",""""), I$1&amp;""[\w &amp;]*, (\d+\.\d+)""),"""")
"),"")</f>
        <v/>
      </c>
      <c r="J601" s="3" t="str">
        <f aca="false">IFERROR(__xludf.dummyfunction("if($T601&lt;&gt;"""",REGEXEXTRACT($T601, J$1&amp;""[\w &amp;]*, (\d+\.\d+)""),"""")
"),"")</f>
        <v/>
      </c>
      <c r="K601" s="3"/>
      <c r="L601" s="3" t="str">
        <f aca="false">IFERROR(__xludf.dummyfunction("if($T601&lt;&gt;"""",REGEXEXTRACT(SUBSTITUTE ($T601,L$1&amp;"" CE"",""""), L$1&amp;""[\w &amp;]*, (\d+\.\d+)""),"""")
"),"")</f>
        <v/>
      </c>
      <c r="M601" s="3" t="str">
        <f aca="false">IFERROR(__xludf.dummyfunction("if($T601&lt;&gt;"""",REGEXEXTRACT($T601, M$1&amp;""[\w &amp;]*, (\d+\.\d+)""),"""")
"),"")</f>
        <v/>
      </c>
      <c r="N601" s="3" t="str">
        <f aca="false">IFERROR(__xludf.dummyfunction("if($T601&lt;&gt;"""",REGEXEXTRACT(SUBSTITUTE ($T601,N$1&amp;"" CE"",""""), N$1&amp;""[\w &amp;]*, (\d+\.\d+)""),"""")
"),"")</f>
        <v/>
      </c>
      <c r="O601" s="3" t="str">
        <f aca="false">IFERROR(__xludf.dummyfunction("if($T601&lt;&gt;"""",REGEXEXTRACT($T601, O$1&amp;""[\w &amp;]*, (\d+\.\d+)""),"""")
"),"")</f>
        <v/>
      </c>
      <c r="P601" s="2"/>
      <c r="Q601" s="2"/>
      <c r="R601" s="2"/>
      <c r="S601" s="2"/>
      <c r="T601" s="5"/>
    </row>
    <row r="602" customFormat="false" ht="15.75" hidden="false" customHeight="false" outlineLevel="0" collapsed="false">
      <c r="A602" s="4"/>
      <c r="B602" s="2"/>
      <c r="C602" s="2"/>
      <c r="D602" s="2"/>
      <c r="E602" s="2"/>
      <c r="F602" s="3" t="str">
        <f aca="false">IFERROR(__xludf.dummyfunction("if($T602&lt;&gt;"""",REGEXEXTRACT(SUBSTITUTE ($T602,F$1&amp;"" CE"",""""), F$1&amp;""[\w &amp;]*, (\d+\.\d+)""),"""")
"),"")</f>
        <v/>
      </c>
      <c r="G602" s="3" t="str">
        <f aca="false">IFERROR(__xludf.dummyfunction("if($T602&lt;&gt;"""",REGEXEXTRACT($T602, G$1&amp;""[\w &amp;]*, (\d+\.\d+)""),"""")
"),"")</f>
        <v/>
      </c>
      <c r="H602" s="3"/>
      <c r="I602" s="3" t="str">
        <f aca="false">IFERROR(__xludf.dummyfunction("if($T602&lt;&gt;"""",REGEXEXTRACT(SUBSTITUTE ($T602,I$1&amp;"" CE"",""""), I$1&amp;""[\w &amp;]*, (\d+\.\d+)""),"""")
"),"")</f>
        <v/>
      </c>
      <c r="J602" s="3" t="str">
        <f aca="false">IFERROR(__xludf.dummyfunction("if($T602&lt;&gt;"""",REGEXEXTRACT($T602, J$1&amp;""[\w &amp;]*, (\d+\.\d+)""),"""")
"),"")</f>
        <v/>
      </c>
      <c r="K602" s="3"/>
      <c r="L602" s="3" t="str">
        <f aca="false">IFERROR(__xludf.dummyfunction("if($T602&lt;&gt;"""",REGEXEXTRACT(SUBSTITUTE ($T602,L$1&amp;"" CE"",""""), L$1&amp;""[\w &amp;]*, (\d+\.\d+)""),"""")
"),"")</f>
        <v/>
      </c>
      <c r="M602" s="3" t="str">
        <f aca="false">IFERROR(__xludf.dummyfunction("if($T602&lt;&gt;"""",REGEXEXTRACT($T602, M$1&amp;""[\w &amp;]*, (\d+\.\d+)""),"""")
"),"")</f>
        <v/>
      </c>
      <c r="N602" s="3" t="str">
        <f aca="false">IFERROR(__xludf.dummyfunction("if($T602&lt;&gt;"""",REGEXEXTRACT(SUBSTITUTE ($T602,N$1&amp;"" CE"",""""), N$1&amp;""[\w &amp;]*, (\d+\.\d+)""),"""")
"),"")</f>
        <v/>
      </c>
      <c r="O602" s="3" t="str">
        <f aca="false">IFERROR(__xludf.dummyfunction("if($T602&lt;&gt;"""",REGEXEXTRACT($T602, O$1&amp;""[\w &amp;]*, (\d+\.\d+)""),"""")
"),"")</f>
        <v/>
      </c>
      <c r="P602" s="2"/>
      <c r="Q602" s="2"/>
      <c r="R602" s="2"/>
      <c r="S602" s="2"/>
      <c r="T602" s="5"/>
    </row>
    <row r="603" customFormat="false" ht="15.75" hidden="false" customHeight="false" outlineLevel="0" collapsed="false">
      <c r="A603" s="4"/>
      <c r="B603" s="2"/>
      <c r="C603" s="2"/>
      <c r="D603" s="2"/>
      <c r="E603" s="2"/>
      <c r="F603" s="3" t="str">
        <f aca="false">IFERROR(__xludf.dummyfunction("if($T603&lt;&gt;"""",REGEXEXTRACT(SUBSTITUTE ($T603,F$1&amp;"" CE"",""""), F$1&amp;""[\w &amp;]*, (\d+\.\d+)""),"""")
"),"")</f>
        <v/>
      </c>
      <c r="G603" s="3" t="str">
        <f aca="false">IFERROR(__xludf.dummyfunction("if($T603&lt;&gt;"""",REGEXEXTRACT($T603, G$1&amp;""[\w &amp;]*, (\d+\.\d+)""),"""")
"),"")</f>
        <v/>
      </c>
      <c r="H603" s="3"/>
      <c r="I603" s="3" t="str">
        <f aca="false">IFERROR(__xludf.dummyfunction("if($T603&lt;&gt;"""",REGEXEXTRACT(SUBSTITUTE ($T603,I$1&amp;"" CE"",""""), I$1&amp;""[\w &amp;]*, (\d+\.\d+)""),"""")
"),"")</f>
        <v/>
      </c>
      <c r="J603" s="3" t="str">
        <f aca="false">IFERROR(__xludf.dummyfunction("if($T603&lt;&gt;"""",REGEXEXTRACT($T603, J$1&amp;""[\w &amp;]*, (\d+\.\d+)""),"""")
"),"")</f>
        <v/>
      </c>
      <c r="K603" s="3"/>
      <c r="L603" s="3" t="str">
        <f aca="false">IFERROR(__xludf.dummyfunction("if($T603&lt;&gt;"""",REGEXEXTRACT(SUBSTITUTE ($T603,L$1&amp;"" CE"",""""), L$1&amp;""[\w &amp;]*, (\d+\.\d+)""),"""")
"),"")</f>
        <v/>
      </c>
      <c r="M603" s="3" t="str">
        <f aca="false">IFERROR(__xludf.dummyfunction("if($T603&lt;&gt;"""",REGEXEXTRACT($T603, M$1&amp;""[\w &amp;]*, (\d+\.\d+)""),"""")
"),"")</f>
        <v/>
      </c>
      <c r="N603" s="3" t="str">
        <f aca="false">IFERROR(__xludf.dummyfunction("if($T603&lt;&gt;"""",REGEXEXTRACT(SUBSTITUTE ($T603,N$1&amp;"" CE"",""""), N$1&amp;""[\w &amp;]*, (\d+\.\d+)""),"""")
"),"")</f>
        <v/>
      </c>
      <c r="O603" s="3" t="str">
        <f aca="false">IFERROR(__xludf.dummyfunction("if($T603&lt;&gt;"""",REGEXEXTRACT($T603, O$1&amp;""[\w &amp;]*, (\d+\.\d+)""),"""")
"),"")</f>
        <v/>
      </c>
      <c r="P603" s="2"/>
      <c r="Q603" s="2"/>
      <c r="R603" s="2"/>
      <c r="S603" s="2"/>
      <c r="T603" s="5"/>
    </row>
    <row r="604" customFormat="false" ht="15.75" hidden="false" customHeight="false" outlineLevel="0" collapsed="false">
      <c r="A604" s="4"/>
      <c r="B604" s="2"/>
      <c r="C604" s="2"/>
      <c r="D604" s="2"/>
      <c r="E604" s="2"/>
      <c r="F604" s="3" t="str">
        <f aca="false">IFERROR(__xludf.dummyfunction("if($T604&lt;&gt;"""",REGEXEXTRACT(SUBSTITUTE ($T604,F$1&amp;"" CE"",""""), F$1&amp;""[\w &amp;]*, (\d+\.\d+)""),"""")
"),"")</f>
        <v/>
      </c>
      <c r="G604" s="3" t="str">
        <f aca="false">IFERROR(__xludf.dummyfunction("if($T604&lt;&gt;"""",REGEXEXTRACT($T604, G$1&amp;""[\w &amp;]*, (\d+\.\d+)""),"""")
"),"")</f>
        <v/>
      </c>
      <c r="H604" s="3"/>
      <c r="I604" s="3" t="str">
        <f aca="false">IFERROR(__xludf.dummyfunction("if($T604&lt;&gt;"""",REGEXEXTRACT(SUBSTITUTE ($T604,I$1&amp;"" CE"",""""), I$1&amp;""[\w &amp;]*, (\d+\.\d+)""),"""")
"),"")</f>
        <v/>
      </c>
      <c r="J604" s="3" t="str">
        <f aca="false">IFERROR(__xludf.dummyfunction("if($T604&lt;&gt;"""",REGEXEXTRACT($T604, J$1&amp;""[\w &amp;]*, (\d+\.\d+)""),"""")
"),"")</f>
        <v/>
      </c>
      <c r="K604" s="3"/>
      <c r="L604" s="3" t="str">
        <f aca="false">IFERROR(__xludf.dummyfunction("if($T604&lt;&gt;"""",REGEXEXTRACT(SUBSTITUTE ($T604,L$1&amp;"" CE"",""""), L$1&amp;""[\w &amp;]*, (\d+\.\d+)""),"""")
"),"")</f>
        <v/>
      </c>
      <c r="M604" s="3" t="str">
        <f aca="false">IFERROR(__xludf.dummyfunction("if($T604&lt;&gt;"""",REGEXEXTRACT($T604, M$1&amp;""[\w &amp;]*, (\d+\.\d+)""),"""")
"),"")</f>
        <v/>
      </c>
      <c r="N604" s="3" t="str">
        <f aca="false">IFERROR(__xludf.dummyfunction("if($T604&lt;&gt;"""",REGEXEXTRACT(SUBSTITUTE ($T604,N$1&amp;"" CE"",""""), N$1&amp;""[\w &amp;]*, (\d+\.\d+)""),"""")
"),"")</f>
        <v/>
      </c>
      <c r="O604" s="3" t="str">
        <f aca="false">IFERROR(__xludf.dummyfunction("if($T604&lt;&gt;"""",REGEXEXTRACT($T604, O$1&amp;""[\w &amp;]*, (\d+\.\d+)""),"""")
"),"")</f>
        <v/>
      </c>
      <c r="P604" s="2"/>
      <c r="Q604" s="2"/>
      <c r="R604" s="2"/>
      <c r="S604" s="2"/>
      <c r="T604" s="5"/>
    </row>
    <row r="605" customFormat="false" ht="15.75" hidden="false" customHeight="false" outlineLevel="0" collapsed="false">
      <c r="A605" s="4"/>
      <c r="B605" s="2"/>
      <c r="C605" s="2"/>
      <c r="D605" s="2"/>
      <c r="E605" s="2"/>
      <c r="F605" s="3" t="str">
        <f aca="false">IFERROR(__xludf.dummyfunction("if($T605&lt;&gt;"""",REGEXEXTRACT(SUBSTITUTE ($T605,F$1&amp;"" CE"",""""), F$1&amp;""[\w &amp;]*, (\d+\.\d+)""),"""")
"),"")</f>
        <v/>
      </c>
      <c r="G605" s="3" t="str">
        <f aca="false">IFERROR(__xludf.dummyfunction("if($T605&lt;&gt;"""",REGEXEXTRACT($T605, G$1&amp;""[\w &amp;]*, (\d+\.\d+)""),"""")
"),"")</f>
        <v/>
      </c>
      <c r="H605" s="3"/>
      <c r="I605" s="3" t="str">
        <f aca="false">IFERROR(__xludf.dummyfunction("if($T605&lt;&gt;"""",REGEXEXTRACT(SUBSTITUTE ($T605,I$1&amp;"" CE"",""""), I$1&amp;""[\w &amp;]*, (\d+\.\d+)""),"""")
"),"")</f>
        <v/>
      </c>
      <c r="J605" s="3" t="str">
        <f aca="false">IFERROR(__xludf.dummyfunction("if($T605&lt;&gt;"""",REGEXEXTRACT($T605, J$1&amp;""[\w &amp;]*, (\d+\.\d+)""),"""")
"),"")</f>
        <v/>
      </c>
      <c r="K605" s="3"/>
      <c r="L605" s="3" t="str">
        <f aca="false">IFERROR(__xludf.dummyfunction("if($T605&lt;&gt;"""",REGEXEXTRACT(SUBSTITUTE ($T605,L$1&amp;"" CE"",""""), L$1&amp;""[\w &amp;]*, (\d+\.\d+)""),"""")
"),"")</f>
        <v/>
      </c>
      <c r="M605" s="3" t="str">
        <f aca="false">IFERROR(__xludf.dummyfunction("if($T605&lt;&gt;"""",REGEXEXTRACT($T605, M$1&amp;""[\w &amp;]*, (\d+\.\d+)""),"""")
"),"")</f>
        <v/>
      </c>
      <c r="N605" s="3" t="str">
        <f aca="false">IFERROR(__xludf.dummyfunction("if($T605&lt;&gt;"""",REGEXEXTRACT(SUBSTITUTE ($T605,N$1&amp;"" CE"",""""), N$1&amp;""[\w &amp;]*, (\d+\.\d+)""),"""")
"),"")</f>
        <v/>
      </c>
      <c r="O605" s="3" t="str">
        <f aca="false">IFERROR(__xludf.dummyfunction("if($T605&lt;&gt;"""",REGEXEXTRACT($T605, O$1&amp;""[\w &amp;]*, (\d+\.\d+)""),"""")
"),"")</f>
        <v/>
      </c>
      <c r="P605" s="2"/>
      <c r="Q605" s="2"/>
      <c r="R605" s="2"/>
      <c r="S605" s="2"/>
      <c r="T605" s="5"/>
    </row>
    <row r="606" customFormat="false" ht="15.75" hidden="false" customHeight="false" outlineLevel="0" collapsed="false">
      <c r="A606" s="4"/>
      <c r="B606" s="2"/>
      <c r="C606" s="2"/>
      <c r="D606" s="2"/>
      <c r="E606" s="2"/>
      <c r="F606" s="3" t="str">
        <f aca="false">IFERROR(__xludf.dummyfunction("if($T606&lt;&gt;"""",REGEXEXTRACT(SUBSTITUTE ($T606,F$1&amp;"" CE"",""""), F$1&amp;""[\w &amp;]*, (\d+\.\d+)""),"""")
"),"")</f>
        <v/>
      </c>
      <c r="G606" s="3" t="str">
        <f aca="false">IFERROR(__xludf.dummyfunction("if($T606&lt;&gt;"""",REGEXEXTRACT($T606, G$1&amp;""[\w &amp;]*, (\d+\.\d+)""),"""")
"),"")</f>
        <v/>
      </c>
      <c r="H606" s="3"/>
      <c r="I606" s="3" t="str">
        <f aca="false">IFERROR(__xludf.dummyfunction("if($T606&lt;&gt;"""",REGEXEXTRACT(SUBSTITUTE ($T606,I$1&amp;"" CE"",""""), I$1&amp;""[\w &amp;]*, (\d+\.\d+)""),"""")
"),"")</f>
        <v/>
      </c>
      <c r="J606" s="3" t="str">
        <f aca="false">IFERROR(__xludf.dummyfunction("if($T606&lt;&gt;"""",REGEXEXTRACT($T606, J$1&amp;""[\w &amp;]*, (\d+\.\d+)""),"""")
"),"")</f>
        <v/>
      </c>
      <c r="K606" s="3"/>
      <c r="L606" s="3" t="str">
        <f aca="false">IFERROR(__xludf.dummyfunction("if($T606&lt;&gt;"""",REGEXEXTRACT(SUBSTITUTE ($T606,L$1&amp;"" CE"",""""), L$1&amp;""[\w &amp;]*, (\d+\.\d+)""),"""")
"),"")</f>
        <v/>
      </c>
      <c r="M606" s="3" t="str">
        <f aca="false">IFERROR(__xludf.dummyfunction("if($T606&lt;&gt;"""",REGEXEXTRACT($T606, M$1&amp;""[\w &amp;]*, (\d+\.\d+)""),"""")
"),"")</f>
        <v/>
      </c>
      <c r="N606" s="3" t="str">
        <f aca="false">IFERROR(__xludf.dummyfunction("if($T606&lt;&gt;"""",REGEXEXTRACT(SUBSTITUTE ($T606,N$1&amp;"" CE"",""""), N$1&amp;""[\w &amp;]*, (\d+\.\d+)""),"""")
"),"")</f>
        <v/>
      </c>
      <c r="O606" s="3" t="str">
        <f aca="false">IFERROR(__xludf.dummyfunction("if($T606&lt;&gt;"""",REGEXEXTRACT($T606, O$1&amp;""[\w &amp;]*, (\d+\.\d+)""),"""")
"),"")</f>
        <v/>
      </c>
      <c r="P606" s="2"/>
      <c r="Q606" s="2"/>
      <c r="R606" s="2"/>
      <c r="S606" s="2"/>
      <c r="T606" s="5"/>
    </row>
    <row r="607" customFormat="false" ht="15.75" hidden="false" customHeight="false" outlineLevel="0" collapsed="false">
      <c r="A607" s="4"/>
      <c r="B607" s="2"/>
      <c r="C607" s="2"/>
      <c r="D607" s="2"/>
      <c r="E607" s="2"/>
      <c r="F607" s="3" t="str">
        <f aca="false">IFERROR(__xludf.dummyfunction("if($T607&lt;&gt;"""",REGEXEXTRACT(SUBSTITUTE ($T607,F$1&amp;"" CE"",""""), F$1&amp;""[\w &amp;]*, (\d+\.\d+)""),"""")
"),"")</f>
        <v/>
      </c>
      <c r="G607" s="3" t="str">
        <f aca="false">IFERROR(__xludf.dummyfunction("if($T607&lt;&gt;"""",REGEXEXTRACT($T607, G$1&amp;""[\w &amp;]*, (\d+\.\d+)""),"""")
"),"")</f>
        <v/>
      </c>
      <c r="H607" s="3"/>
      <c r="I607" s="3" t="str">
        <f aca="false">IFERROR(__xludf.dummyfunction("if($T607&lt;&gt;"""",REGEXEXTRACT(SUBSTITUTE ($T607,I$1&amp;"" CE"",""""), I$1&amp;""[\w &amp;]*, (\d+\.\d+)""),"""")
"),"")</f>
        <v/>
      </c>
      <c r="J607" s="3" t="str">
        <f aca="false">IFERROR(__xludf.dummyfunction("if($T607&lt;&gt;"""",REGEXEXTRACT($T607, J$1&amp;""[\w &amp;]*, (\d+\.\d+)""),"""")
"),"")</f>
        <v/>
      </c>
      <c r="K607" s="3"/>
      <c r="L607" s="3" t="str">
        <f aca="false">IFERROR(__xludf.dummyfunction("if($T607&lt;&gt;"""",REGEXEXTRACT(SUBSTITUTE ($T607,L$1&amp;"" CE"",""""), L$1&amp;""[\w &amp;]*, (\d+\.\d+)""),"""")
"),"")</f>
        <v/>
      </c>
      <c r="M607" s="3" t="str">
        <f aca="false">IFERROR(__xludf.dummyfunction("if($T607&lt;&gt;"""",REGEXEXTRACT($T607, M$1&amp;""[\w &amp;]*, (\d+\.\d+)""),"""")
"),"")</f>
        <v/>
      </c>
      <c r="N607" s="3" t="str">
        <f aca="false">IFERROR(__xludf.dummyfunction("if($T607&lt;&gt;"""",REGEXEXTRACT(SUBSTITUTE ($T607,N$1&amp;"" CE"",""""), N$1&amp;""[\w &amp;]*, (\d+\.\d+)""),"""")
"),"")</f>
        <v/>
      </c>
      <c r="O607" s="3" t="str">
        <f aca="false">IFERROR(__xludf.dummyfunction("if($T607&lt;&gt;"""",REGEXEXTRACT($T607, O$1&amp;""[\w &amp;]*, (\d+\.\d+)""),"""")
"),"")</f>
        <v/>
      </c>
      <c r="P607" s="2"/>
      <c r="Q607" s="2"/>
      <c r="R607" s="2"/>
      <c r="S607" s="2"/>
      <c r="T607" s="5"/>
    </row>
    <row r="608" customFormat="false" ht="15.75" hidden="false" customHeight="false" outlineLevel="0" collapsed="false">
      <c r="A608" s="4"/>
      <c r="B608" s="2"/>
      <c r="C608" s="2"/>
      <c r="D608" s="2"/>
      <c r="E608" s="2"/>
      <c r="F608" s="3" t="str">
        <f aca="false">IFERROR(__xludf.dummyfunction("if($T608&lt;&gt;"""",REGEXEXTRACT(SUBSTITUTE ($T608,F$1&amp;"" CE"",""""), F$1&amp;""[\w &amp;]*, (\d+\.\d+)""),"""")
"),"")</f>
        <v/>
      </c>
      <c r="G608" s="3" t="str">
        <f aca="false">IFERROR(__xludf.dummyfunction("if($T608&lt;&gt;"""",REGEXEXTRACT($T608, G$1&amp;""[\w &amp;]*, (\d+\.\d+)""),"""")
"),"")</f>
        <v/>
      </c>
      <c r="H608" s="3"/>
      <c r="I608" s="3" t="str">
        <f aca="false">IFERROR(__xludf.dummyfunction("if($T608&lt;&gt;"""",REGEXEXTRACT(SUBSTITUTE ($T608,I$1&amp;"" CE"",""""), I$1&amp;""[\w &amp;]*, (\d+\.\d+)""),"""")
"),"")</f>
        <v/>
      </c>
      <c r="J608" s="3" t="str">
        <f aca="false">IFERROR(__xludf.dummyfunction("if($T608&lt;&gt;"""",REGEXEXTRACT($T608, J$1&amp;""[\w &amp;]*, (\d+\.\d+)""),"""")
"),"")</f>
        <v/>
      </c>
      <c r="K608" s="3"/>
      <c r="L608" s="3" t="str">
        <f aca="false">IFERROR(__xludf.dummyfunction("if($T608&lt;&gt;"""",REGEXEXTRACT(SUBSTITUTE ($T608,L$1&amp;"" CE"",""""), L$1&amp;""[\w &amp;]*, (\d+\.\d+)""),"""")
"),"")</f>
        <v/>
      </c>
      <c r="M608" s="3" t="str">
        <f aca="false">IFERROR(__xludf.dummyfunction("if($T608&lt;&gt;"""",REGEXEXTRACT($T608, M$1&amp;""[\w &amp;]*, (\d+\.\d+)""),"""")
"),"")</f>
        <v/>
      </c>
      <c r="N608" s="3" t="str">
        <f aca="false">IFERROR(__xludf.dummyfunction("if($T608&lt;&gt;"""",REGEXEXTRACT(SUBSTITUTE ($T608,N$1&amp;"" CE"",""""), N$1&amp;""[\w &amp;]*, (\d+\.\d+)""),"""")
"),"")</f>
        <v/>
      </c>
      <c r="O608" s="3" t="str">
        <f aca="false">IFERROR(__xludf.dummyfunction("if($T608&lt;&gt;"""",REGEXEXTRACT($T608, O$1&amp;""[\w &amp;]*, (\d+\.\d+)""),"""")
"),"")</f>
        <v/>
      </c>
      <c r="P608" s="2"/>
      <c r="Q608" s="2"/>
      <c r="R608" s="2"/>
      <c r="S608" s="2"/>
      <c r="T608" s="5"/>
    </row>
    <row r="609" customFormat="false" ht="15.75" hidden="false" customHeight="false" outlineLevel="0" collapsed="false">
      <c r="A609" s="4"/>
      <c r="B609" s="2"/>
      <c r="C609" s="2"/>
      <c r="D609" s="2"/>
      <c r="E609" s="2"/>
      <c r="F609" s="3" t="str">
        <f aca="false">IFERROR(__xludf.dummyfunction("if($T609&lt;&gt;"""",REGEXEXTRACT(SUBSTITUTE ($T609,F$1&amp;"" CE"",""""), F$1&amp;""[\w &amp;]*, (\d+\.\d+)""),"""")
"),"")</f>
        <v/>
      </c>
      <c r="G609" s="3" t="str">
        <f aca="false">IFERROR(__xludf.dummyfunction("if($T609&lt;&gt;"""",REGEXEXTRACT($T609, G$1&amp;""[\w &amp;]*, (\d+\.\d+)""),"""")
"),"")</f>
        <v/>
      </c>
      <c r="H609" s="3"/>
      <c r="I609" s="3" t="str">
        <f aca="false">IFERROR(__xludf.dummyfunction("if($T609&lt;&gt;"""",REGEXEXTRACT(SUBSTITUTE ($T609,I$1&amp;"" CE"",""""), I$1&amp;""[\w &amp;]*, (\d+\.\d+)""),"""")
"),"")</f>
        <v/>
      </c>
      <c r="J609" s="3" t="str">
        <f aca="false">IFERROR(__xludf.dummyfunction("if($T609&lt;&gt;"""",REGEXEXTRACT($T609, J$1&amp;""[\w &amp;]*, (\d+\.\d+)""),"""")
"),"")</f>
        <v/>
      </c>
      <c r="K609" s="3"/>
      <c r="L609" s="3" t="str">
        <f aca="false">IFERROR(__xludf.dummyfunction("if($T609&lt;&gt;"""",REGEXEXTRACT(SUBSTITUTE ($T609,L$1&amp;"" CE"",""""), L$1&amp;""[\w &amp;]*, (\d+\.\d+)""),"""")
"),"")</f>
        <v/>
      </c>
      <c r="M609" s="3" t="str">
        <f aca="false">IFERROR(__xludf.dummyfunction("if($T609&lt;&gt;"""",REGEXEXTRACT($T609, M$1&amp;""[\w &amp;]*, (\d+\.\d+)""),"""")
"),"")</f>
        <v/>
      </c>
      <c r="N609" s="3" t="str">
        <f aca="false">IFERROR(__xludf.dummyfunction("if($T609&lt;&gt;"""",REGEXEXTRACT(SUBSTITUTE ($T609,N$1&amp;"" CE"",""""), N$1&amp;""[\w &amp;]*, (\d+\.\d+)""),"""")
"),"")</f>
        <v/>
      </c>
      <c r="O609" s="3" t="str">
        <f aca="false">IFERROR(__xludf.dummyfunction("if($T609&lt;&gt;"""",REGEXEXTRACT($T609, O$1&amp;""[\w &amp;]*, (\d+\.\d+)""),"""")
"),"")</f>
        <v/>
      </c>
      <c r="P609" s="2"/>
      <c r="Q609" s="2"/>
      <c r="R609" s="2"/>
      <c r="S609" s="2"/>
      <c r="T609" s="5"/>
    </row>
    <row r="610" customFormat="false" ht="15.75" hidden="false" customHeight="false" outlineLevel="0" collapsed="false">
      <c r="A610" s="4"/>
      <c r="B610" s="2"/>
      <c r="C610" s="2"/>
      <c r="D610" s="2"/>
      <c r="E610" s="2"/>
      <c r="F610" s="3" t="str">
        <f aca="false">IFERROR(__xludf.dummyfunction("if($T610&lt;&gt;"""",REGEXEXTRACT(SUBSTITUTE ($T610,F$1&amp;"" CE"",""""), F$1&amp;""[\w &amp;]*, (\d+\.\d+)""),"""")
"),"")</f>
        <v/>
      </c>
      <c r="G610" s="3" t="str">
        <f aca="false">IFERROR(__xludf.dummyfunction("if($T610&lt;&gt;"""",REGEXEXTRACT($T610, G$1&amp;""[\w &amp;]*, (\d+\.\d+)""),"""")
"),"")</f>
        <v/>
      </c>
      <c r="H610" s="3"/>
      <c r="I610" s="3" t="str">
        <f aca="false">IFERROR(__xludf.dummyfunction("if($T610&lt;&gt;"""",REGEXEXTRACT(SUBSTITUTE ($T610,I$1&amp;"" CE"",""""), I$1&amp;""[\w &amp;]*, (\d+\.\d+)""),"""")
"),"")</f>
        <v/>
      </c>
      <c r="J610" s="3" t="str">
        <f aca="false">IFERROR(__xludf.dummyfunction("if($T610&lt;&gt;"""",REGEXEXTRACT($T610, J$1&amp;""[\w &amp;]*, (\d+\.\d+)""),"""")
"),"")</f>
        <v/>
      </c>
      <c r="K610" s="3"/>
      <c r="L610" s="3" t="str">
        <f aca="false">IFERROR(__xludf.dummyfunction("if($T610&lt;&gt;"""",REGEXEXTRACT(SUBSTITUTE ($T610,L$1&amp;"" CE"",""""), L$1&amp;""[\w &amp;]*, (\d+\.\d+)""),"""")
"),"")</f>
        <v/>
      </c>
      <c r="M610" s="3" t="str">
        <f aca="false">IFERROR(__xludf.dummyfunction("if($T610&lt;&gt;"""",REGEXEXTRACT($T610, M$1&amp;""[\w &amp;]*, (\d+\.\d+)""),"""")
"),"")</f>
        <v/>
      </c>
      <c r="N610" s="3" t="str">
        <f aca="false">IFERROR(__xludf.dummyfunction("if($T610&lt;&gt;"""",REGEXEXTRACT(SUBSTITUTE ($T610,N$1&amp;"" CE"",""""), N$1&amp;""[\w &amp;]*, (\d+\.\d+)""),"""")
"),"")</f>
        <v/>
      </c>
      <c r="O610" s="3" t="str">
        <f aca="false">IFERROR(__xludf.dummyfunction("if($T610&lt;&gt;"""",REGEXEXTRACT($T610, O$1&amp;""[\w &amp;]*, (\d+\.\d+)""),"""")
"),"")</f>
        <v/>
      </c>
      <c r="P610" s="2"/>
      <c r="Q610" s="2"/>
      <c r="R610" s="2"/>
      <c r="S610" s="2"/>
      <c r="T610" s="5"/>
    </row>
    <row r="611" customFormat="false" ht="15.75" hidden="false" customHeight="false" outlineLevel="0" collapsed="false">
      <c r="A611" s="4"/>
      <c r="B611" s="2"/>
      <c r="C611" s="2"/>
      <c r="D611" s="2"/>
      <c r="E611" s="2"/>
      <c r="F611" s="3" t="str">
        <f aca="false">IFERROR(__xludf.dummyfunction("if($T611&lt;&gt;"""",REGEXEXTRACT(SUBSTITUTE ($T611,F$1&amp;"" CE"",""""), F$1&amp;""[\w &amp;]*, (\d+\.\d+)""),"""")
"),"")</f>
        <v/>
      </c>
      <c r="G611" s="3" t="str">
        <f aca="false">IFERROR(__xludf.dummyfunction("if($T611&lt;&gt;"""",REGEXEXTRACT($T611, G$1&amp;""[\w &amp;]*, (\d+\.\d+)""),"""")
"),"")</f>
        <v/>
      </c>
      <c r="H611" s="3"/>
      <c r="I611" s="3" t="str">
        <f aca="false">IFERROR(__xludf.dummyfunction("if($T611&lt;&gt;"""",REGEXEXTRACT(SUBSTITUTE ($T611,I$1&amp;"" CE"",""""), I$1&amp;""[\w &amp;]*, (\d+\.\d+)""),"""")
"),"")</f>
        <v/>
      </c>
      <c r="J611" s="3" t="str">
        <f aca="false">IFERROR(__xludf.dummyfunction("if($T611&lt;&gt;"""",REGEXEXTRACT($T611, J$1&amp;""[\w &amp;]*, (\d+\.\d+)""),"""")
"),"")</f>
        <v/>
      </c>
      <c r="K611" s="3"/>
      <c r="L611" s="3" t="str">
        <f aca="false">IFERROR(__xludf.dummyfunction("if($T611&lt;&gt;"""",REGEXEXTRACT(SUBSTITUTE ($T611,L$1&amp;"" CE"",""""), L$1&amp;""[\w &amp;]*, (\d+\.\d+)""),"""")
"),"")</f>
        <v/>
      </c>
      <c r="M611" s="3" t="str">
        <f aca="false">IFERROR(__xludf.dummyfunction("if($T611&lt;&gt;"""",REGEXEXTRACT($T611, M$1&amp;""[\w &amp;]*, (\d+\.\d+)""),"""")
"),"")</f>
        <v/>
      </c>
      <c r="N611" s="3" t="str">
        <f aca="false">IFERROR(__xludf.dummyfunction("if($T611&lt;&gt;"""",REGEXEXTRACT(SUBSTITUTE ($T611,N$1&amp;"" CE"",""""), N$1&amp;""[\w &amp;]*, (\d+\.\d+)""),"""")
"),"")</f>
        <v/>
      </c>
      <c r="O611" s="3" t="str">
        <f aca="false">IFERROR(__xludf.dummyfunction("if($T611&lt;&gt;"""",REGEXEXTRACT($T611, O$1&amp;""[\w &amp;]*, (\d+\.\d+)""),"""")
"),"")</f>
        <v/>
      </c>
      <c r="P611" s="2"/>
      <c r="Q611" s="2"/>
      <c r="R611" s="2"/>
      <c r="S611" s="2"/>
      <c r="T611" s="5"/>
    </row>
    <row r="612" customFormat="false" ht="15.75" hidden="false" customHeight="false" outlineLevel="0" collapsed="false">
      <c r="A612" s="4"/>
      <c r="B612" s="2"/>
      <c r="C612" s="2"/>
      <c r="D612" s="2"/>
      <c r="E612" s="2"/>
      <c r="F612" s="3" t="str">
        <f aca="false">IFERROR(__xludf.dummyfunction("if($T612&lt;&gt;"""",REGEXEXTRACT(SUBSTITUTE ($T612,F$1&amp;"" CE"",""""), F$1&amp;""[\w &amp;]*, (\d+\.\d+)""),"""")
"),"")</f>
        <v/>
      </c>
      <c r="G612" s="3" t="str">
        <f aca="false">IFERROR(__xludf.dummyfunction("if($T612&lt;&gt;"""",REGEXEXTRACT($T612, G$1&amp;""[\w &amp;]*, (\d+\.\d+)""),"""")
"),"")</f>
        <v/>
      </c>
      <c r="H612" s="3"/>
      <c r="I612" s="3" t="str">
        <f aca="false">IFERROR(__xludf.dummyfunction("if($T612&lt;&gt;"""",REGEXEXTRACT(SUBSTITUTE ($T612,I$1&amp;"" CE"",""""), I$1&amp;""[\w &amp;]*, (\d+\.\d+)""),"""")
"),"")</f>
        <v/>
      </c>
      <c r="J612" s="3" t="str">
        <f aca="false">IFERROR(__xludf.dummyfunction("if($T612&lt;&gt;"""",REGEXEXTRACT($T612, J$1&amp;""[\w &amp;]*, (\d+\.\d+)""),"""")
"),"")</f>
        <v/>
      </c>
      <c r="K612" s="3"/>
      <c r="L612" s="3" t="str">
        <f aca="false">IFERROR(__xludf.dummyfunction("if($T612&lt;&gt;"""",REGEXEXTRACT(SUBSTITUTE ($T612,L$1&amp;"" CE"",""""), L$1&amp;""[\w &amp;]*, (\d+\.\d+)""),"""")
"),"")</f>
        <v/>
      </c>
      <c r="M612" s="3" t="str">
        <f aca="false">IFERROR(__xludf.dummyfunction("if($T612&lt;&gt;"""",REGEXEXTRACT($T612, M$1&amp;""[\w &amp;]*, (\d+\.\d+)""),"""")
"),"")</f>
        <v/>
      </c>
      <c r="N612" s="3" t="str">
        <f aca="false">IFERROR(__xludf.dummyfunction("if($T612&lt;&gt;"""",REGEXEXTRACT(SUBSTITUTE ($T612,N$1&amp;"" CE"",""""), N$1&amp;""[\w &amp;]*, (\d+\.\d+)""),"""")
"),"")</f>
        <v/>
      </c>
      <c r="O612" s="3" t="str">
        <f aca="false">IFERROR(__xludf.dummyfunction("if($T612&lt;&gt;"""",REGEXEXTRACT($T612, O$1&amp;""[\w &amp;]*, (\d+\.\d+)""),"""")
"),"")</f>
        <v/>
      </c>
      <c r="P612" s="2"/>
      <c r="Q612" s="2"/>
      <c r="R612" s="2"/>
      <c r="S612" s="2"/>
      <c r="T612" s="5"/>
    </row>
    <row r="613" customFormat="false" ht="15.75" hidden="false" customHeight="false" outlineLevel="0" collapsed="false">
      <c r="A613" s="4"/>
      <c r="B613" s="2"/>
      <c r="C613" s="2"/>
      <c r="D613" s="2"/>
      <c r="E613" s="2"/>
      <c r="F613" s="3" t="str">
        <f aca="false">IFERROR(__xludf.dummyfunction("if($T613&lt;&gt;"""",REGEXEXTRACT(SUBSTITUTE ($T613,F$1&amp;"" CE"",""""), F$1&amp;""[\w &amp;]*, (\d+\.\d+)""),"""")
"),"")</f>
        <v/>
      </c>
      <c r="G613" s="3" t="str">
        <f aca="false">IFERROR(__xludf.dummyfunction("if($T613&lt;&gt;"""",REGEXEXTRACT($T613, G$1&amp;""[\w &amp;]*, (\d+\.\d+)""),"""")
"),"")</f>
        <v/>
      </c>
      <c r="H613" s="3"/>
      <c r="I613" s="3" t="str">
        <f aca="false">IFERROR(__xludf.dummyfunction("if($T613&lt;&gt;"""",REGEXEXTRACT(SUBSTITUTE ($T613,I$1&amp;"" CE"",""""), I$1&amp;""[\w &amp;]*, (\d+\.\d+)""),"""")
"),"")</f>
        <v/>
      </c>
      <c r="J613" s="3" t="str">
        <f aca="false">IFERROR(__xludf.dummyfunction("if($T613&lt;&gt;"""",REGEXEXTRACT($T613, J$1&amp;""[\w &amp;]*, (\d+\.\d+)""),"""")
"),"")</f>
        <v/>
      </c>
      <c r="K613" s="3"/>
      <c r="L613" s="3" t="str">
        <f aca="false">IFERROR(__xludf.dummyfunction("if($T613&lt;&gt;"""",REGEXEXTRACT(SUBSTITUTE ($T613,L$1&amp;"" CE"",""""), L$1&amp;""[\w &amp;]*, (\d+\.\d+)""),"""")
"),"")</f>
        <v/>
      </c>
      <c r="M613" s="3" t="str">
        <f aca="false">IFERROR(__xludf.dummyfunction("if($T613&lt;&gt;"""",REGEXEXTRACT($T613, M$1&amp;""[\w &amp;]*, (\d+\.\d+)""),"""")
"),"")</f>
        <v/>
      </c>
      <c r="N613" s="3" t="str">
        <f aca="false">IFERROR(__xludf.dummyfunction("if($T613&lt;&gt;"""",REGEXEXTRACT(SUBSTITUTE ($T613,N$1&amp;"" CE"",""""), N$1&amp;""[\w &amp;]*, (\d+\.\d+)""),"""")
"),"")</f>
        <v/>
      </c>
      <c r="O613" s="3" t="str">
        <f aca="false">IFERROR(__xludf.dummyfunction("if($T613&lt;&gt;"""",REGEXEXTRACT($T613, O$1&amp;""[\w &amp;]*, (\d+\.\d+)""),"""")
"),"")</f>
        <v/>
      </c>
      <c r="P613" s="2"/>
      <c r="Q613" s="2"/>
      <c r="R613" s="2"/>
      <c r="S613" s="2"/>
      <c r="T613" s="5"/>
    </row>
    <row r="614" customFormat="false" ht="15.75" hidden="false" customHeight="false" outlineLevel="0" collapsed="false">
      <c r="A614" s="4"/>
      <c r="B614" s="2"/>
      <c r="C614" s="2"/>
      <c r="D614" s="2"/>
      <c r="E614" s="2"/>
      <c r="F614" s="3" t="str">
        <f aca="false">IFERROR(__xludf.dummyfunction("if($T614&lt;&gt;"""",REGEXEXTRACT(SUBSTITUTE ($T614,F$1&amp;"" CE"",""""), F$1&amp;""[\w &amp;]*, (\d+\.\d+)""),"""")
"),"")</f>
        <v/>
      </c>
      <c r="G614" s="3" t="str">
        <f aca="false">IFERROR(__xludf.dummyfunction("if($T614&lt;&gt;"""",REGEXEXTRACT($T614, G$1&amp;""[\w &amp;]*, (\d+\.\d+)""),"""")
"),"")</f>
        <v/>
      </c>
      <c r="H614" s="3"/>
      <c r="I614" s="3" t="str">
        <f aca="false">IFERROR(__xludf.dummyfunction("if($T614&lt;&gt;"""",REGEXEXTRACT(SUBSTITUTE ($T614,I$1&amp;"" CE"",""""), I$1&amp;""[\w &amp;]*, (\d+\.\d+)""),"""")
"),"")</f>
        <v/>
      </c>
      <c r="J614" s="3" t="str">
        <f aca="false">IFERROR(__xludf.dummyfunction("if($T614&lt;&gt;"""",REGEXEXTRACT($T614, J$1&amp;""[\w &amp;]*, (\d+\.\d+)""),"""")
"),"")</f>
        <v/>
      </c>
      <c r="K614" s="3"/>
      <c r="L614" s="3" t="str">
        <f aca="false">IFERROR(__xludf.dummyfunction("if($T614&lt;&gt;"""",REGEXEXTRACT(SUBSTITUTE ($T614,L$1&amp;"" CE"",""""), L$1&amp;""[\w &amp;]*, (\d+\.\d+)""),"""")
"),"")</f>
        <v/>
      </c>
      <c r="M614" s="3" t="str">
        <f aca="false">IFERROR(__xludf.dummyfunction("if($T614&lt;&gt;"""",REGEXEXTRACT($T614, M$1&amp;""[\w &amp;]*, (\d+\.\d+)""),"""")
"),"")</f>
        <v/>
      </c>
      <c r="N614" s="3" t="str">
        <f aca="false">IFERROR(__xludf.dummyfunction("if($T614&lt;&gt;"""",REGEXEXTRACT(SUBSTITUTE ($T614,N$1&amp;"" CE"",""""), N$1&amp;""[\w &amp;]*, (\d+\.\d+)""),"""")
"),"")</f>
        <v/>
      </c>
      <c r="O614" s="3" t="str">
        <f aca="false">IFERROR(__xludf.dummyfunction("if($T614&lt;&gt;"""",REGEXEXTRACT($T614, O$1&amp;""[\w &amp;]*, (\d+\.\d+)""),"""")
"),"")</f>
        <v/>
      </c>
      <c r="P614" s="2"/>
      <c r="Q614" s="2"/>
      <c r="R614" s="2"/>
      <c r="S614" s="2"/>
      <c r="T614" s="5"/>
    </row>
    <row r="615" customFormat="false" ht="15.75" hidden="false" customHeight="false" outlineLevel="0" collapsed="false">
      <c r="A615" s="4"/>
      <c r="B615" s="2"/>
      <c r="C615" s="2"/>
      <c r="D615" s="2"/>
      <c r="E615" s="2"/>
      <c r="F615" s="3" t="str">
        <f aca="false">IFERROR(__xludf.dummyfunction("if($T615&lt;&gt;"""",REGEXEXTRACT(SUBSTITUTE ($T615,F$1&amp;"" CE"",""""), F$1&amp;""[\w &amp;]*, (\d+\.\d+)""),"""")
"),"")</f>
        <v/>
      </c>
      <c r="G615" s="3" t="str">
        <f aca="false">IFERROR(__xludf.dummyfunction("if($T615&lt;&gt;"""",REGEXEXTRACT($T615, G$1&amp;""[\w &amp;]*, (\d+\.\d+)""),"""")
"),"")</f>
        <v/>
      </c>
      <c r="H615" s="3"/>
      <c r="I615" s="3" t="str">
        <f aca="false">IFERROR(__xludf.dummyfunction("if($T615&lt;&gt;"""",REGEXEXTRACT(SUBSTITUTE ($T615,I$1&amp;"" CE"",""""), I$1&amp;""[\w &amp;]*, (\d+\.\d+)""),"""")
"),"")</f>
        <v/>
      </c>
      <c r="J615" s="3" t="str">
        <f aca="false">IFERROR(__xludf.dummyfunction("if($T615&lt;&gt;"""",REGEXEXTRACT($T615, J$1&amp;""[\w &amp;]*, (\d+\.\d+)""),"""")
"),"")</f>
        <v/>
      </c>
      <c r="K615" s="3"/>
      <c r="L615" s="3" t="str">
        <f aca="false">IFERROR(__xludf.dummyfunction("if($T615&lt;&gt;"""",REGEXEXTRACT(SUBSTITUTE ($T615,L$1&amp;"" CE"",""""), L$1&amp;""[\w &amp;]*, (\d+\.\d+)""),"""")
"),"")</f>
        <v/>
      </c>
      <c r="M615" s="3" t="str">
        <f aca="false">IFERROR(__xludf.dummyfunction("if($T615&lt;&gt;"""",REGEXEXTRACT($T615, M$1&amp;""[\w &amp;]*, (\d+\.\d+)""),"""")
"),"")</f>
        <v/>
      </c>
      <c r="N615" s="3" t="str">
        <f aca="false">IFERROR(__xludf.dummyfunction("if($T615&lt;&gt;"""",REGEXEXTRACT(SUBSTITUTE ($T615,N$1&amp;"" CE"",""""), N$1&amp;""[\w &amp;]*, (\d+\.\d+)""),"""")
"),"")</f>
        <v/>
      </c>
      <c r="O615" s="3" t="str">
        <f aca="false">IFERROR(__xludf.dummyfunction("if($T615&lt;&gt;"""",REGEXEXTRACT($T615, O$1&amp;""[\w &amp;]*, (\d+\.\d+)""),"""")
"),"")</f>
        <v/>
      </c>
      <c r="P615" s="2"/>
      <c r="Q615" s="2"/>
      <c r="R615" s="2"/>
      <c r="S615" s="2"/>
      <c r="T615" s="5"/>
    </row>
    <row r="616" customFormat="false" ht="15.75" hidden="false" customHeight="false" outlineLevel="0" collapsed="false">
      <c r="A616" s="4"/>
      <c r="B616" s="2"/>
      <c r="C616" s="2"/>
      <c r="D616" s="2"/>
      <c r="E616" s="2"/>
      <c r="F616" s="3" t="str">
        <f aca="false">IFERROR(__xludf.dummyfunction("if($T616&lt;&gt;"""",REGEXEXTRACT(SUBSTITUTE ($T616,F$1&amp;"" CE"",""""), F$1&amp;""[\w &amp;]*, (\d+\.\d+)""),"""")
"),"")</f>
        <v/>
      </c>
      <c r="G616" s="3" t="str">
        <f aca="false">IFERROR(__xludf.dummyfunction("if($T616&lt;&gt;"""",REGEXEXTRACT($T616, G$1&amp;""[\w &amp;]*, (\d+\.\d+)""),"""")
"),"")</f>
        <v/>
      </c>
      <c r="H616" s="3"/>
      <c r="I616" s="3" t="str">
        <f aca="false">IFERROR(__xludf.dummyfunction("if($T616&lt;&gt;"""",REGEXEXTRACT(SUBSTITUTE ($T616,I$1&amp;"" CE"",""""), I$1&amp;""[\w &amp;]*, (\d+\.\d+)""),"""")
"),"")</f>
        <v/>
      </c>
      <c r="J616" s="3" t="str">
        <f aca="false">IFERROR(__xludf.dummyfunction("if($T616&lt;&gt;"""",REGEXEXTRACT($T616, J$1&amp;""[\w &amp;]*, (\d+\.\d+)""),"""")
"),"")</f>
        <v/>
      </c>
      <c r="K616" s="3"/>
      <c r="L616" s="3" t="str">
        <f aca="false">IFERROR(__xludf.dummyfunction("if($T616&lt;&gt;"""",REGEXEXTRACT(SUBSTITUTE ($T616,L$1&amp;"" CE"",""""), L$1&amp;""[\w &amp;]*, (\d+\.\d+)""),"""")
"),"")</f>
        <v/>
      </c>
      <c r="M616" s="3" t="str">
        <f aca="false">IFERROR(__xludf.dummyfunction("if($T616&lt;&gt;"""",REGEXEXTRACT($T616, M$1&amp;""[\w &amp;]*, (\d+\.\d+)""),"""")
"),"")</f>
        <v/>
      </c>
      <c r="N616" s="3" t="str">
        <f aca="false">IFERROR(__xludf.dummyfunction("if($T616&lt;&gt;"""",REGEXEXTRACT(SUBSTITUTE ($T616,N$1&amp;"" CE"",""""), N$1&amp;""[\w &amp;]*, (\d+\.\d+)""),"""")
"),"")</f>
        <v/>
      </c>
      <c r="O616" s="3" t="str">
        <f aca="false">IFERROR(__xludf.dummyfunction("if($T616&lt;&gt;"""",REGEXEXTRACT($T616, O$1&amp;""[\w &amp;]*, (\d+\.\d+)""),"""")
"),"")</f>
        <v/>
      </c>
      <c r="P616" s="2"/>
      <c r="Q616" s="2"/>
      <c r="R616" s="2"/>
      <c r="S616" s="2"/>
      <c r="T616" s="5"/>
    </row>
    <row r="617" customFormat="false" ht="15.75" hidden="false" customHeight="false" outlineLevel="0" collapsed="false">
      <c r="A617" s="4"/>
      <c r="B617" s="2"/>
      <c r="C617" s="2"/>
      <c r="D617" s="2"/>
      <c r="E617" s="2"/>
      <c r="F617" s="3" t="str">
        <f aca="false">IFERROR(__xludf.dummyfunction("if($T617&lt;&gt;"""",REGEXEXTRACT(SUBSTITUTE ($T617,F$1&amp;"" CE"",""""), F$1&amp;""[\w &amp;]*, (\d+\.\d+)""),"""")
"),"")</f>
        <v/>
      </c>
      <c r="G617" s="3" t="str">
        <f aca="false">IFERROR(__xludf.dummyfunction("if($T617&lt;&gt;"""",REGEXEXTRACT($T617, G$1&amp;""[\w &amp;]*, (\d+\.\d+)""),"""")
"),"")</f>
        <v/>
      </c>
      <c r="H617" s="3"/>
      <c r="I617" s="3" t="str">
        <f aca="false">IFERROR(__xludf.dummyfunction("if($T617&lt;&gt;"""",REGEXEXTRACT(SUBSTITUTE ($T617,I$1&amp;"" CE"",""""), I$1&amp;""[\w &amp;]*, (\d+\.\d+)""),"""")
"),"")</f>
        <v/>
      </c>
      <c r="J617" s="3" t="str">
        <f aca="false">IFERROR(__xludf.dummyfunction("if($T617&lt;&gt;"""",REGEXEXTRACT($T617, J$1&amp;""[\w &amp;]*, (\d+\.\d+)""),"""")
"),"")</f>
        <v/>
      </c>
      <c r="K617" s="3"/>
      <c r="L617" s="3" t="str">
        <f aca="false">IFERROR(__xludf.dummyfunction("if($T617&lt;&gt;"""",REGEXEXTRACT(SUBSTITUTE ($T617,L$1&amp;"" CE"",""""), L$1&amp;""[\w &amp;]*, (\d+\.\d+)""),"""")
"),"")</f>
        <v/>
      </c>
      <c r="M617" s="3" t="str">
        <f aca="false">IFERROR(__xludf.dummyfunction("if($T617&lt;&gt;"""",REGEXEXTRACT($T617, M$1&amp;""[\w &amp;]*, (\d+\.\d+)""),"""")
"),"")</f>
        <v/>
      </c>
      <c r="N617" s="3" t="str">
        <f aca="false">IFERROR(__xludf.dummyfunction("if($T617&lt;&gt;"""",REGEXEXTRACT(SUBSTITUTE ($T617,N$1&amp;"" CE"",""""), N$1&amp;""[\w &amp;]*, (\d+\.\d+)""),"""")
"),"")</f>
        <v/>
      </c>
      <c r="O617" s="3" t="str">
        <f aca="false">IFERROR(__xludf.dummyfunction("if($T617&lt;&gt;"""",REGEXEXTRACT($T617, O$1&amp;""[\w &amp;]*, (\d+\.\d+)""),"""")
"),"")</f>
        <v/>
      </c>
      <c r="P617" s="2"/>
      <c r="Q617" s="2"/>
      <c r="R617" s="2"/>
      <c r="S617" s="2"/>
      <c r="T617" s="5"/>
    </row>
    <row r="618" customFormat="false" ht="15.75" hidden="false" customHeight="false" outlineLevel="0" collapsed="false">
      <c r="A618" s="4"/>
      <c r="B618" s="2"/>
      <c r="C618" s="2"/>
      <c r="D618" s="2"/>
      <c r="E618" s="2"/>
      <c r="F618" s="3" t="str">
        <f aca="false">IFERROR(__xludf.dummyfunction("if($T618&lt;&gt;"""",REGEXEXTRACT(SUBSTITUTE ($T618,F$1&amp;"" CE"",""""), F$1&amp;""[\w &amp;]*, (\d+\.\d+)""),"""")
"),"")</f>
        <v/>
      </c>
      <c r="G618" s="3" t="str">
        <f aca="false">IFERROR(__xludf.dummyfunction("if($T618&lt;&gt;"""",REGEXEXTRACT($T618, G$1&amp;""[\w &amp;]*, (\d+\.\d+)""),"""")
"),"")</f>
        <v/>
      </c>
      <c r="H618" s="3"/>
      <c r="I618" s="3" t="str">
        <f aca="false">IFERROR(__xludf.dummyfunction("if($T618&lt;&gt;"""",REGEXEXTRACT(SUBSTITUTE ($T618,I$1&amp;"" CE"",""""), I$1&amp;""[\w &amp;]*, (\d+\.\d+)""),"""")
"),"")</f>
        <v/>
      </c>
      <c r="J618" s="3" t="str">
        <f aca="false">IFERROR(__xludf.dummyfunction("if($T618&lt;&gt;"""",REGEXEXTRACT($T618, J$1&amp;""[\w &amp;]*, (\d+\.\d+)""),"""")
"),"")</f>
        <v/>
      </c>
      <c r="K618" s="3"/>
      <c r="L618" s="3" t="str">
        <f aca="false">IFERROR(__xludf.dummyfunction("if($T618&lt;&gt;"""",REGEXEXTRACT(SUBSTITUTE ($T618,L$1&amp;"" CE"",""""), L$1&amp;""[\w &amp;]*, (\d+\.\d+)""),"""")
"),"")</f>
        <v/>
      </c>
      <c r="M618" s="3" t="str">
        <f aca="false">IFERROR(__xludf.dummyfunction("if($T618&lt;&gt;"""",REGEXEXTRACT($T618, M$1&amp;""[\w &amp;]*, (\d+\.\d+)""),"""")
"),"")</f>
        <v/>
      </c>
      <c r="N618" s="3" t="str">
        <f aca="false">IFERROR(__xludf.dummyfunction("if($T618&lt;&gt;"""",REGEXEXTRACT(SUBSTITUTE ($T618,N$1&amp;"" CE"",""""), N$1&amp;""[\w &amp;]*, (\d+\.\d+)""),"""")
"),"")</f>
        <v/>
      </c>
      <c r="O618" s="3" t="str">
        <f aca="false">IFERROR(__xludf.dummyfunction("if($T618&lt;&gt;"""",REGEXEXTRACT($T618, O$1&amp;""[\w &amp;]*, (\d+\.\d+)""),"""")
"),"")</f>
        <v/>
      </c>
      <c r="P618" s="2"/>
      <c r="Q618" s="2"/>
      <c r="R618" s="2"/>
      <c r="S618" s="2"/>
      <c r="T618" s="5"/>
    </row>
    <row r="619" customFormat="false" ht="15.75" hidden="false" customHeight="false" outlineLevel="0" collapsed="false">
      <c r="A619" s="4"/>
      <c r="B619" s="2"/>
      <c r="C619" s="2"/>
      <c r="D619" s="2"/>
      <c r="E619" s="2"/>
      <c r="F619" s="3" t="str">
        <f aca="false">IFERROR(__xludf.dummyfunction("if($T619&lt;&gt;"""",REGEXEXTRACT(SUBSTITUTE ($T619,F$1&amp;"" CE"",""""), F$1&amp;""[\w &amp;]*, (\d+\.\d+)""),"""")
"),"")</f>
        <v/>
      </c>
      <c r="G619" s="3" t="str">
        <f aca="false">IFERROR(__xludf.dummyfunction("if($T619&lt;&gt;"""",REGEXEXTRACT($T619, G$1&amp;""[\w &amp;]*, (\d+\.\d+)""),"""")
"),"")</f>
        <v/>
      </c>
      <c r="H619" s="3"/>
      <c r="I619" s="3" t="str">
        <f aca="false">IFERROR(__xludf.dummyfunction("if($T619&lt;&gt;"""",REGEXEXTRACT(SUBSTITUTE ($T619,I$1&amp;"" CE"",""""), I$1&amp;""[\w &amp;]*, (\d+\.\d+)""),"""")
"),"")</f>
        <v/>
      </c>
      <c r="J619" s="3" t="str">
        <f aca="false">IFERROR(__xludf.dummyfunction("if($T619&lt;&gt;"""",REGEXEXTRACT($T619, J$1&amp;""[\w &amp;]*, (\d+\.\d+)""),"""")
"),"")</f>
        <v/>
      </c>
      <c r="K619" s="3"/>
      <c r="L619" s="3" t="str">
        <f aca="false">IFERROR(__xludf.dummyfunction("if($T619&lt;&gt;"""",REGEXEXTRACT(SUBSTITUTE ($T619,L$1&amp;"" CE"",""""), L$1&amp;""[\w &amp;]*, (\d+\.\d+)""),"""")
"),"")</f>
        <v/>
      </c>
      <c r="M619" s="3" t="str">
        <f aca="false">IFERROR(__xludf.dummyfunction("if($T619&lt;&gt;"""",REGEXEXTRACT($T619, M$1&amp;""[\w &amp;]*, (\d+\.\d+)""),"""")
"),"")</f>
        <v/>
      </c>
      <c r="N619" s="3" t="str">
        <f aca="false">IFERROR(__xludf.dummyfunction("if($T619&lt;&gt;"""",REGEXEXTRACT(SUBSTITUTE ($T619,N$1&amp;"" CE"",""""), N$1&amp;""[\w &amp;]*, (\d+\.\d+)""),"""")
"),"")</f>
        <v/>
      </c>
      <c r="O619" s="3" t="str">
        <f aca="false">IFERROR(__xludf.dummyfunction("if($T619&lt;&gt;"""",REGEXEXTRACT($T619, O$1&amp;""[\w &amp;]*, (\d+\.\d+)""),"""")
"),"")</f>
        <v/>
      </c>
      <c r="P619" s="2"/>
      <c r="Q619" s="2"/>
      <c r="R619" s="2"/>
      <c r="S619" s="2"/>
      <c r="T619" s="5"/>
    </row>
    <row r="620" customFormat="false" ht="15.75" hidden="false" customHeight="false" outlineLevel="0" collapsed="false">
      <c r="A620" s="4"/>
      <c r="B620" s="2"/>
      <c r="C620" s="2"/>
      <c r="D620" s="2"/>
      <c r="E620" s="2"/>
      <c r="F620" s="3" t="str">
        <f aca="false">IFERROR(__xludf.dummyfunction("if($T620&lt;&gt;"""",REGEXEXTRACT(SUBSTITUTE ($T620,F$1&amp;"" CE"",""""), F$1&amp;""[\w &amp;]*, (\d+\.\d+)""),"""")
"),"")</f>
        <v/>
      </c>
      <c r="G620" s="3" t="str">
        <f aca="false">IFERROR(__xludf.dummyfunction("if($T620&lt;&gt;"""",REGEXEXTRACT($T620, G$1&amp;""[\w &amp;]*, (\d+\.\d+)""),"""")
"),"")</f>
        <v/>
      </c>
      <c r="H620" s="3"/>
      <c r="I620" s="3" t="str">
        <f aca="false">IFERROR(__xludf.dummyfunction("if($T620&lt;&gt;"""",REGEXEXTRACT(SUBSTITUTE ($T620,I$1&amp;"" CE"",""""), I$1&amp;""[\w &amp;]*, (\d+\.\d+)""),"""")
"),"")</f>
        <v/>
      </c>
      <c r="J620" s="3" t="str">
        <f aca="false">IFERROR(__xludf.dummyfunction("if($T620&lt;&gt;"""",REGEXEXTRACT($T620, J$1&amp;""[\w &amp;]*, (\d+\.\d+)""),"""")
"),"")</f>
        <v/>
      </c>
      <c r="K620" s="3"/>
      <c r="L620" s="3" t="str">
        <f aca="false">IFERROR(__xludf.dummyfunction("if($T620&lt;&gt;"""",REGEXEXTRACT(SUBSTITUTE ($T620,L$1&amp;"" CE"",""""), L$1&amp;""[\w &amp;]*, (\d+\.\d+)""),"""")
"),"")</f>
        <v/>
      </c>
      <c r="M620" s="3" t="str">
        <f aca="false">IFERROR(__xludf.dummyfunction("if($T620&lt;&gt;"""",REGEXEXTRACT($T620, M$1&amp;""[\w &amp;]*, (\d+\.\d+)""),"""")
"),"")</f>
        <v/>
      </c>
      <c r="N620" s="3" t="str">
        <f aca="false">IFERROR(__xludf.dummyfunction("if($T620&lt;&gt;"""",REGEXEXTRACT(SUBSTITUTE ($T620,N$1&amp;"" CE"",""""), N$1&amp;""[\w &amp;]*, (\d+\.\d+)""),"""")
"),"")</f>
        <v/>
      </c>
      <c r="O620" s="3" t="str">
        <f aca="false">IFERROR(__xludf.dummyfunction("if($T620&lt;&gt;"""",REGEXEXTRACT($T620, O$1&amp;""[\w &amp;]*, (\d+\.\d+)""),"""")
"),"")</f>
        <v/>
      </c>
      <c r="P620" s="2"/>
      <c r="Q620" s="2"/>
      <c r="R620" s="2"/>
      <c r="S620" s="2"/>
      <c r="T620" s="5"/>
    </row>
    <row r="621" customFormat="false" ht="15.75" hidden="false" customHeight="false" outlineLevel="0" collapsed="false">
      <c r="A621" s="4"/>
      <c r="B621" s="2"/>
      <c r="C621" s="2"/>
      <c r="D621" s="2"/>
      <c r="E621" s="2"/>
      <c r="F621" s="3" t="str">
        <f aca="false">IFERROR(__xludf.dummyfunction("if($T621&lt;&gt;"""",REGEXEXTRACT(SUBSTITUTE ($T621,F$1&amp;"" CE"",""""), F$1&amp;""[\w &amp;]*, (\d+\.\d+)""),"""")
"),"")</f>
        <v/>
      </c>
      <c r="G621" s="3" t="str">
        <f aca="false">IFERROR(__xludf.dummyfunction("if($T621&lt;&gt;"""",REGEXEXTRACT($T621, G$1&amp;""[\w &amp;]*, (\d+\.\d+)""),"""")
"),"")</f>
        <v/>
      </c>
      <c r="H621" s="3"/>
      <c r="I621" s="3" t="str">
        <f aca="false">IFERROR(__xludf.dummyfunction("if($T621&lt;&gt;"""",REGEXEXTRACT(SUBSTITUTE ($T621,I$1&amp;"" CE"",""""), I$1&amp;""[\w &amp;]*, (\d+\.\d+)""),"""")
"),"")</f>
        <v/>
      </c>
      <c r="J621" s="3" t="str">
        <f aca="false">IFERROR(__xludf.dummyfunction("if($T621&lt;&gt;"""",REGEXEXTRACT($T621, J$1&amp;""[\w &amp;]*, (\d+\.\d+)""),"""")
"),"")</f>
        <v/>
      </c>
      <c r="K621" s="3"/>
      <c r="L621" s="3" t="str">
        <f aca="false">IFERROR(__xludf.dummyfunction("if($T621&lt;&gt;"""",REGEXEXTRACT(SUBSTITUTE ($T621,L$1&amp;"" CE"",""""), L$1&amp;""[\w &amp;]*, (\d+\.\d+)""),"""")
"),"")</f>
        <v/>
      </c>
      <c r="M621" s="3" t="str">
        <f aca="false">IFERROR(__xludf.dummyfunction("if($T621&lt;&gt;"""",REGEXEXTRACT($T621, M$1&amp;""[\w &amp;]*, (\d+\.\d+)""),"""")
"),"")</f>
        <v/>
      </c>
      <c r="N621" s="3" t="str">
        <f aca="false">IFERROR(__xludf.dummyfunction("if($T621&lt;&gt;"""",REGEXEXTRACT(SUBSTITUTE ($T621,N$1&amp;"" CE"",""""), N$1&amp;""[\w &amp;]*, (\d+\.\d+)""),"""")
"),"")</f>
        <v/>
      </c>
      <c r="O621" s="3" t="str">
        <f aca="false">IFERROR(__xludf.dummyfunction("if($T621&lt;&gt;"""",REGEXEXTRACT($T621, O$1&amp;""[\w &amp;]*, (\d+\.\d+)""),"""")
"),"")</f>
        <v/>
      </c>
      <c r="P621" s="2"/>
      <c r="Q621" s="2"/>
      <c r="R621" s="2"/>
      <c r="S621" s="2"/>
      <c r="T621" s="5"/>
    </row>
    <row r="622" customFormat="false" ht="15.75" hidden="false" customHeight="false" outlineLevel="0" collapsed="false">
      <c r="A622" s="4"/>
      <c r="B622" s="2"/>
      <c r="C622" s="2"/>
      <c r="D622" s="2"/>
      <c r="E622" s="2"/>
      <c r="F622" s="3" t="str">
        <f aca="false">IFERROR(__xludf.dummyfunction("if($T622&lt;&gt;"""",REGEXEXTRACT(SUBSTITUTE ($T622,F$1&amp;"" CE"",""""), F$1&amp;""[\w &amp;]*, (\d+\.\d+)""),"""")
"),"")</f>
        <v/>
      </c>
      <c r="G622" s="3" t="str">
        <f aca="false">IFERROR(__xludf.dummyfunction("if($T622&lt;&gt;"""",REGEXEXTRACT($T622, G$1&amp;""[\w &amp;]*, (\d+\.\d+)""),"""")
"),"")</f>
        <v/>
      </c>
      <c r="H622" s="3"/>
      <c r="I622" s="3" t="str">
        <f aca="false">IFERROR(__xludf.dummyfunction("if($T622&lt;&gt;"""",REGEXEXTRACT(SUBSTITUTE ($T622,I$1&amp;"" CE"",""""), I$1&amp;""[\w &amp;]*, (\d+\.\d+)""),"""")
"),"")</f>
        <v/>
      </c>
      <c r="J622" s="3" t="str">
        <f aca="false">IFERROR(__xludf.dummyfunction("if($T622&lt;&gt;"""",REGEXEXTRACT($T622, J$1&amp;""[\w &amp;]*, (\d+\.\d+)""),"""")
"),"")</f>
        <v/>
      </c>
      <c r="K622" s="3"/>
      <c r="L622" s="3" t="str">
        <f aca="false">IFERROR(__xludf.dummyfunction("if($T622&lt;&gt;"""",REGEXEXTRACT(SUBSTITUTE ($T622,L$1&amp;"" CE"",""""), L$1&amp;""[\w &amp;]*, (\d+\.\d+)""),"""")
"),"")</f>
        <v/>
      </c>
      <c r="M622" s="3" t="str">
        <f aca="false">IFERROR(__xludf.dummyfunction("if($T622&lt;&gt;"""",REGEXEXTRACT($T622, M$1&amp;""[\w &amp;]*, (\d+\.\d+)""),"""")
"),"")</f>
        <v/>
      </c>
      <c r="N622" s="3" t="str">
        <f aca="false">IFERROR(__xludf.dummyfunction("if($T622&lt;&gt;"""",REGEXEXTRACT(SUBSTITUTE ($T622,N$1&amp;"" CE"",""""), N$1&amp;""[\w &amp;]*, (\d+\.\d+)""),"""")
"),"")</f>
        <v/>
      </c>
      <c r="O622" s="3" t="str">
        <f aca="false">IFERROR(__xludf.dummyfunction("if($T622&lt;&gt;"""",REGEXEXTRACT($T622, O$1&amp;""[\w &amp;]*, (\d+\.\d+)""),"""")
"),"")</f>
        <v/>
      </c>
      <c r="P622" s="2"/>
      <c r="Q622" s="2"/>
      <c r="R622" s="2"/>
      <c r="S622" s="2"/>
      <c r="T622" s="5"/>
    </row>
    <row r="623" customFormat="false" ht="15.75" hidden="false" customHeight="false" outlineLevel="0" collapsed="false">
      <c r="A623" s="4"/>
      <c r="B623" s="2"/>
      <c r="C623" s="2"/>
      <c r="D623" s="2"/>
      <c r="E623" s="2"/>
      <c r="F623" s="3" t="str">
        <f aca="false">IFERROR(__xludf.dummyfunction("if($T623&lt;&gt;"""",REGEXEXTRACT(SUBSTITUTE ($T623,F$1&amp;"" CE"",""""), F$1&amp;""[\w &amp;]*, (\d+\.\d+)""),"""")
"),"")</f>
        <v/>
      </c>
      <c r="G623" s="3" t="str">
        <f aca="false">IFERROR(__xludf.dummyfunction("if($T623&lt;&gt;"""",REGEXEXTRACT($T623, G$1&amp;""[\w &amp;]*, (\d+\.\d+)""),"""")
"),"")</f>
        <v/>
      </c>
      <c r="H623" s="3"/>
      <c r="I623" s="3" t="str">
        <f aca="false">IFERROR(__xludf.dummyfunction("if($T623&lt;&gt;"""",REGEXEXTRACT(SUBSTITUTE ($T623,I$1&amp;"" CE"",""""), I$1&amp;""[\w &amp;]*, (\d+\.\d+)""),"""")
"),"")</f>
        <v/>
      </c>
      <c r="J623" s="3" t="str">
        <f aca="false">IFERROR(__xludf.dummyfunction("if($T623&lt;&gt;"""",REGEXEXTRACT($T623, J$1&amp;""[\w &amp;]*, (\d+\.\d+)""),"""")
"),"")</f>
        <v/>
      </c>
      <c r="K623" s="3"/>
      <c r="L623" s="3" t="str">
        <f aca="false">IFERROR(__xludf.dummyfunction("if($T623&lt;&gt;"""",REGEXEXTRACT(SUBSTITUTE ($T623,L$1&amp;"" CE"",""""), L$1&amp;""[\w &amp;]*, (\d+\.\d+)""),"""")
"),"")</f>
        <v/>
      </c>
      <c r="M623" s="3" t="str">
        <f aca="false">IFERROR(__xludf.dummyfunction("if($T623&lt;&gt;"""",REGEXEXTRACT($T623, M$1&amp;""[\w &amp;]*, (\d+\.\d+)""),"""")
"),"")</f>
        <v/>
      </c>
      <c r="N623" s="3" t="str">
        <f aca="false">IFERROR(__xludf.dummyfunction("if($T623&lt;&gt;"""",REGEXEXTRACT(SUBSTITUTE ($T623,N$1&amp;"" CE"",""""), N$1&amp;""[\w &amp;]*, (\d+\.\d+)""),"""")
"),"")</f>
        <v/>
      </c>
      <c r="O623" s="3" t="str">
        <f aca="false">IFERROR(__xludf.dummyfunction("if($T623&lt;&gt;"""",REGEXEXTRACT($T623, O$1&amp;""[\w &amp;]*, (\d+\.\d+)""),"""")
"),"")</f>
        <v/>
      </c>
      <c r="P623" s="2"/>
      <c r="Q623" s="2"/>
      <c r="R623" s="2"/>
      <c r="S623" s="2"/>
      <c r="T623" s="5"/>
    </row>
    <row r="624" customFormat="false" ht="15.75" hidden="false" customHeight="false" outlineLevel="0" collapsed="false">
      <c r="A624" s="4"/>
      <c r="B624" s="2"/>
      <c r="C624" s="2"/>
      <c r="D624" s="2"/>
      <c r="E624" s="2"/>
      <c r="F624" s="3" t="str">
        <f aca="false">IFERROR(__xludf.dummyfunction("if($T624&lt;&gt;"""",REGEXEXTRACT(SUBSTITUTE ($T624,F$1&amp;"" CE"",""""), F$1&amp;""[\w &amp;]*, (\d+\.\d+)""),"""")
"),"")</f>
        <v/>
      </c>
      <c r="G624" s="3" t="str">
        <f aca="false">IFERROR(__xludf.dummyfunction("if($T624&lt;&gt;"""",REGEXEXTRACT($T624, G$1&amp;""[\w &amp;]*, (\d+\.\d+)""),"""")
"),"")</f>
        <v/>
      </c>
      <c r="H624" s="3"/>
      <c r="I624" s="3" t="str">
        <f aca="false">IFERROR(__xludf.dummyfunction("if($T624&lt;&gt;"""",REGEXEXTRACT(SUBSTITUTE ($T624,I$1&amp;"" CE"",""""), I$1&amp;""[\w &amp;]*, (\d+\.\d+)""),"""")
"),"")</f>
        <v/>
      </c>
      <c r="J624" s="3" t="str">
        <f aca="false">IFERROR(__xludf.dummyfunction("if($T624&lt;&gt;"""",REGEXEXTRACT($T624, J$1&amp;""[\w &amp;]*, (\d+\.\d+)""),"""")
"),"")</f>
        <v/>
      </c>
      <c r="K624" s="3"/>
      <c r="L624" s="3" t="str">
        <f aca="false">IFERROR(__xludf.dummyfunction("if($T624&lt;&gt;"""",REGEXEXTRACT(SUBSTITUTE ($T624,L$1&amp;"" CE"",""""), L$1&amp;""[\w &amp;]*, (\d+\.\d+)""),"""")
"),"")</f>
        <v/>
      </c>
      <c r="M624" s="3" t="str">
        <f aca="false">IFERROR(__xludf.dummyfunction("if($T624&lt;&gt;"""",REGEXEXTRACT($T624, M$1&amp;""[\w &amp;]*, (\d+\.\d+)""),"""")
"),"")</f>
        <v/>
      </c>
      <c r="N624" s="3" t="str">
        <f aca="false">IFERROR(__xludf.dummyfunction("if($T624&lt;&gt;"""",REGEXEXTRACT(SUBSTITUTE ($T624,N$1&amp;"" CE"",""""), N$1&amp;""[\w &amp;]*, (\d+\.\d+)""),"""")
"),"")</f>
        <v/>
      </c>
      <c r="O624" s="3" t="str">
        <f aca="false">IFERROR(__xludf.dummyfunction("if($T624&lt;&gt;"""",REGEXEXTRACT($T624, O$1&amp;""[\w &amp;]*, (\d+\.\d+)""),"""")
"),"")</f>
        <v/>
      </c>
      <c r="P624" s="2"/>
      <c r="Q624" s="2"/>
      <c r="R624" s="2"/>
      <c r="S624" s="2"/>
      <c r="T624" s="5"/>
    </row>
    <row r="625" customFormat="false" ht="15.75" hidden="false" customHeight="false" outlineLevel="0" collapsed="false">
      <c r="A625" s="4"/>
      <c r="B625" s="2"/>
      <c r="C625" s="2"/>
      <c r="D625" s="2"/>
      <c r="E625" s="2"/>
      <c r="F625" s="3" t="str">
        <f aca="false">IFERROR(__xludf.dummyfunction("if($T625&lt;&gt;"""",REGEXEXTRACT(SUBSTITUTE ($T625,F$1&amp;"" CE"",""""), F$1&amp;""[\w &amp;]*, (\d+\.\d+)""),"""")
"),"")</f>
        <v/>
      </c>
      <c r="G625" s="3" t="str">
        <f aca="false">IFERROR(__xludf.dummyfunction("if($T625&lt;&gt;"""",REGEXEXTRACT($T625, G$1&amp;""[\w &amp;]*, (\d+\.\d+)""),"""")
"),"")</f>
        <v/>
      </c>
      <c r="H625" s="3"/>
      <c r="I625" s="3" t="str">
        <f aca="false">IFERROR(__xludf.dummyfunction("if($T625&lt;&gt;"""",REGEXEXTRACT(SUBSTITUTE ($T625,I$1&amp;"" CE"",""""), I$1&amp;""[\w &amp;]*, (\d+\.\d+)""),"""")
"),"")</f>
        <v/>
      </c>
      <c r="J625" s="3" t="str">
        <f aca="false">IFERROR(__xludf.dummyfunction("if($T625&lt;&gt;"""",REGEXEXTRACT($T625, J$1&amp;""[\w &amp;]*, (\d+\.\d+)""),"""")
"),"")</f>
        <v/>
      </c>
      <c r="K625" s="3"/>
      <c r="L625" s="3" t="str">
        <f aca="false">IFERROR(__xludf.dummyfunction("if($T625&lt;&gt;"""",REGEXEXTRACT(SUBSTITUTE ($T625,L$1&amp;"" CE"",""""), L$1&amp;""[\w &amp;]*, (\d+\.\d+)""),"""")
"),"")</f>
        <v/>
      </c>
      <c r="M625" s="3" t="str">
        <f aca="false">IFERROR(__xludf.dummyfunction("if($T625&lt;&gt;"""",REGEXEXTRACT($T625, M$1&amp;""[\w &amp;]*, (\d+\.\d+)""),"""")
"),"")</f>
        <v/>
      </c>
      <c r="N625" s="3" t="str">
        <f aca="false">IFERROR(__xludf.dummyfunction("if($T625&lt;&gt;"""",REGEXEXTRACT(SUBSTITUTE ($T625,N$1&amp;"" CE"",""""), N$1&amp;""[\w &amp;]*, (\d+\.\d+)""),"""")
"),"")</f>
        <v/>
      </c>
      <c r="O625" s="3" t="str">
        <f aca="false">IFERROR(__xludf.dummyfunction("if($T625&lt;&gt;"""",REGEXEXTRACT($T625, O$1&amp;""[\w &amp;]*, (\d+\.\d+)""),"""")
"),"")</f>
        <v/>
      </c>
      <c r="P625" s="2"/>
      <c r="Q625" s="2"/>
      <c r="R625" s="2"/>
      <c r="S625" s="2"/>
      <c r="T625" s="5"/>
    </row>
    <row r="626" customFormat="false" ht="15.75" hidden="false" customHeight="false" outlineLevel="0" collapsed="false">
      <c r="A626" s="4"/>
      <c r="B626" s="2"/>
      <c r="C626" s="2"/>
      <c r="D626" s="2"/>
      <c r="E626" s="2"/>
      <c r="F626" s="3" t="str">
        <f aca="false">IFERROR(__xludf.dummyfunction("if($T626&lt;&gt;"""",REGEXEXTRACT(SUBSTITUTE ($T626,F$1&amp;"" CE"",""""), F$1&amp;""[\w &amp;]*, (\d+\.\d+)""),"""")
"),"")</f>
        <v/>
      </c>
      <c r="G626" s="3" t="str">
        <f aca="false">IFERROR(__xludf.dummyfunction("if($T626&lt;&gt;"""",REGEXEXTRACT($T626, G$1&amp;""[\w &amp;]*, (\d+\.\d+)""),"""")
"),"")</f>
        <v/>
      </c>
      <c r="H626" s="3"/>
      <c r="I626" s="3" t="str">
        <f aca="false">IFERROR(__xludf.dummyfunction("if($T626&lt;&gt;"""",REGEXEXTRACT(SUBSTITUTE ($T626,I$1&amp;"" CE"",""""), I$1&amp;""[\w &amp;]*, (\d+\.\d+)""),"""")
"),"")</f>
        <v/>
      </c>
      <c r="J626" s="3" t="str">
        <f aca="false">IFERROR(__xludf.dummyfunction("if($T626&lt;&gt;"""",REGEXEXTRACT($T626, J$1&amp;""[\w &amp;]*, (\d+\.\d+)""),"""")
"),"")</f>
        <v/>
      </c>
      <c r="K626" s="3"/>
      <c r="L626" s="3" t="str">
        <f aca="false">IFERROR(__xludf.dummyfunction("if($T626&lt;&gt;"""",REGEXEXTRACT(SUBSTITUTE ($T626,L$1&amp;"" CE"",""""), L$1&amp;""[\w &amp;]*, (\d+\.\d+)""),"""")
"),"")</f>
        <v/>
      </c>
      <c r="M626" s="3" t="str">
        <f aca="false">IFERROR(__xludf.dummyfunction("if($T626&lt;&gt;"""",REGEXEXTRACT($T626, M$1&amp;""[\w &amp;]*, (\d+\.\d+)""),"""")
"),"")</f>
        <v/>
      </c>
      <c r="N626" s="3" t="str">
        <f aca="false">IFERROR(__xludf.dummyfunction("if($T626&lt;&gt;"""",REGEXEXTRACT(SUBSTITUTE ($T626,N$1&amp;"" CE"",""""), N$1&amp;""[\w &amp;]*, (\d+\.\d+)""),"""")
"),"")</f>
        <v/>
      </c>
      <c r="O626" s="3" t="str">
        <f aca="false">IFERROR(__xludf.dummyfunction("if($T626&lt;&gt;"""",REGEXEXTRACT($T626, O$1&amp;""[\w &amp;]*, (\d+\.\d+)""),"""")
"),"")</f>
        <v/>
      </c>
      <c r="P626" s="2"/>
      <c r="Q626" s="2"/>
      <c r="R626" s="2"/>
      <c r="S626" s="2"/>
      <c r="T626" s="5"/>
    </row>
    <row r="627" customFormat="false" ht="15.75" hidden="false" customHeight="false" outlineLevel="0" collapsed="false">
      <c r="A627" s="4"/>
      <c r="B627" s="2"/>
      <c r="C627" s="2"/>
      <c r="D627" s="2"/>
      <c r="E627" s="2"/>
      <c r="F627" s="3" t="str">
        <f aca="false">IFERROR(__xludf.dummyfunction("if($T627&lt;&gt;"""",REGEXEXTRACT(SUBSTITUTE ($T627,F$1&amp;"" CE"",""""), F$1&amp;""[\w &amp;]*, (\d+\.\d+)""),"""")
"),"")</f>
        <v/>
      </c>
      <c r="G627" s="3" t="str">
        <f aca="false">IFERROR(__xludf.dummyfunction("if($T627&lt;&gt;"""",REGEXEXTRACT($T627, G$1&amp;""[\w &amp;]*, (\d+\.\d+)""),"""")
"),"")</f>
        <v/>
      </c>
      <c r="H627" s="3"/>
      <c r="I627" s="3" t="str">
        <f aca="false">IFERROR(__xludf.dummyfunction("if($T627&lt;&gt;"""",REGEXEXTRACT(SUBSTITUTE ($T627,I$1&amp;"" CE"",""""), I$1&amp;""[\w &amp;]*, (\d+\.\d+)""),"""")
"),"")</f>
        <v/>
      </c>
      <c r="J627" s="3" t="str">
        <f aca="false">IFERROR(__xludf.dummyfunction("if($T627&lt;&gt;"""",REGEXEXTRACT($T627, J$1&amp;""[\w &amp;]*, (\d+\.\d+)""),"""")
"),"")</f>
        <v/>
      </c>
      <c r="K627" s="3"/>
      <c r="L627" s="3" t="str">
        <f aca="false">IFERROR(__xludf.dummyfunction("if($T627&lt;&gt;"""",REGEXEXTRACT(SUBSTITUTE ($T627,L$1&amp;"" CE"",""""), L$1&amp;""[\w &amp;]*, (\d+\.\d+)""),"""")
"),"")</f>
        <v/>
      </c>
      <c r="M627" s="3" t="str">
        <f aca="false">IFERROR(__xludf.dummyfunction("if($T627&lt;&gt;"""",REGEXEXTRACT($T627, M$1&amp;""[\w &amp;]*, (\d+\.\d+)""),"""")
"),"")</f>
        <v/>
      </c>
      <c r="N627" s="3" t="str">
        <f aca="false">IFERROR(__xludf.dummyfunction("if($T627&lt;&gt;"""",REGEXEXTRACT(SUBSTITUTE ($T627,N$1&amp;"" CE"",""""), N$1&amp;""[\w &amp;]*, (\d+\.\d+)""),"""")
"),"")</f>
        <v/>
      </c>
      <c r="O627" s="3" t="str">
        <f aca="false">IFERROR(__xludf.dummyfunction("if($T627&lt;&gt;"""",REGEXEXTRACT($T627, O$1&amp;""[\w &amp;]*, (\d+\.\d+)""),"""")
"),"")</f>
        <v/>
      </c>
      <c r="P627" s="2"/>
      <c r="Q627" s="2"/>
      <c r="R627" s="2"/>
      <c r="S627" s="2"/>
      <c r="T627" s="5"/>
    </row>
    <row r="628" customFormat="false" ht="15.75" hidden="false" customHeight="false" outlineLevel="0" collapsed="false">
      <c r="A628" s="4"/>
      <c r="B628" s="2"/>
      <c r="C628" s="2"/>
      <c r="D628" s="2"/>
      <c r="E628" s="2"/>
      <c r="F628" s="3" t="str">
        <f aca="false">IFERROR(__xludf.dummyfunction("if($T628&lt;&gt;"""",REGEXEXTRACT(SUBSTITUTE ($T628,F$1&amp;"" CE"",""""), F$1&amp;""[\w &amp;]*, (\d+\.\d+)""),"""")
"),"")</f>
        <v/>
      </c>
      <c r="G628" s="3" t="str">
        <f aca="false">IFERROR(__xludf.dummyfunction("if($T628&lt;&gt;"""",REGEXEXTRACT($T628, G$1&amp;""[\w &amp;]*, (\d+\.\d+)""),"""")
"),"")</f>
        <v/>
      </c>
      <c r="H628" s="3"/>
      <c r="I628" s="3" t="str">
        <f aca="false">IFERROR(__xludf.dummyfunction("if($T628&lt;&gt;"""",REGEXEXTRACT(SUBSTITUTE ($T628,I$1&amp;"" CE"",""""), I$1&amp;""[\w &amp;]*, (\d+\.\d+)""),"""")
"),"")</f>
        <v/>
      </c>
      <c r="J628" s="3" t="str">
        <f aca="false">IFERROR(__xludf.dummyfunction("if($T628&lt;&gt;"""",REGEXEXTRACT($T628, J$1&amp;""[\w &amp;]*, (\d+\.\d+)""),"""")
"),"")</f>
        <v/>
      </c>
      <c r="K628" s="3"/>
      <c r="L628" s="3" t="str">
        <f aca="false">IFERROR(__xludf.dummyfunction("if($T628&lt;&gt;"""",REGEXEXTRACT(SUBSTITUTE ($T628,L$1&amp;"" CE"",""""), L$1&amp;""[\w &amp;]*, (\d+\.\d+)""),"""")
"),"")</f>
        <v/>
      </c>
      <c r="M628" s="3" t="str">
        <f aca="false">IFERROR(__xludf.dummyfunction("if($T628&lt;&gt;"""",REGEXEXTRACT($T628, M$1&amp;""[\w &amp;]*, (\d+\.\d+)""),"""")
"),"")</f>
        <v/>
      </c>
      <c r="N628" s="3" t="str">
        <f aca="false">IFERROR(__xludf.dummyfunction("if($T628&lt;&gt;"""",REGEXEXTRACT(SUBSTITUTE ($T628,N$1&amp;"" CE"",""""), N$1&amp;""[\w &amp;]*, (\d+\.\d+)""),"""")
"),"")</f>
        <v/>
      </c>
      <c r="O628" s="3" t="str">
        <f aca="false">IFERROR(__xludf.dummyfunction("if($T628&lt;&gt;"""",REGEXEXTRACT($T628, O$1&amp;""[\w &amp;]*, (\d+\.\d+)""),"""")
"),"")</f>
        <v/>
      </c>
      <c r="P628" s="2"/>
      <c r="Q628" s="2"/>
      <c r="R628" s="2"/>
      <c r="S628" s="2"/>
      <c r="T628" s="5"/>
    </row>
    <row r="629" customFormat="false" ht="15.75" hidden="false" customHeight="false" outlineLevel="0" collapsed="false">
      <c r="A629" s="4"/>
      <c r="B629" s="2"/>
      <c r="C629" s="2"/>
      <c r="D629" s="2"/>
      <c r="E629" s="2"/>
      <c r="F629" s="3" t="str">
        <f aca="false">IFERROR(__xludf.dummyfunction("if($T629&lt;&gt;"""",REGEXEXTRACT(SUBSTITUTE ($T629,F$1&amp;"" CE"",""""), F$1&amp;""[\w &amp;]*, (\d+\.\d+)""),"""")
"),"")</f>
        <v/>
      </c>
      <c r="G629" s="3" t="str">
        <f aca="false">IFERROR(__xludf.dummyfunction("if($T629&lt;&gt;"""",REGEXEXTRACT($T629, G$1&amp;""[\w &amp;]*, (\d+\.\d+)""),"""")
"),"")</f>
        <v/>
      </c>
      <c r="H629" s="3"/>
      <c r="I629" s="3" t="str">
        <f aca="false">IFERROR(__xludf.dummyfunction("if($T629&lt;&gt;"""",REGEXEXTRACT(SUBSTITUTE ($T629,I$1&amp;"" CE"",""""), I$1&amp;""[\w &amp;]*, (\d+\.\d+)""),"""")
"),"")</f>
        <v/>
      </c>
      <c r="J629" s="3" t="str">
        <f aca="false">IFERROR(__xludf.dummyfunction("if($T629&lt;&gt;"""",REGEXEXTRACT($T629, J$1&amp;""[\w &amp;]*, (\d+\.\d+)""),"""")
"),"")</f>
        <v/>
      </c>
      <c r="K629" s="3"/>
      <c r="L629" s="3" t="str">
        <f aca="false">IFERROR(__xludf.dummyfunction("if($T629&lt;&gt;"""",REGEXEXTRACT(SUBSTITUTE ($T629,L$1&amp;"" CE"",""""), L$1&amp;""[\w &amp;]*, (\d+\.\d+)""),"""")
"),"")</f>
        <v/>
      </c>
      <c r="M629" s="3" t="str">
        <f aca="false">IFERROR(__xludf.dummyfunction("if($T629&lt;&gt;"""",REGEXEXTRACT($T629, M$1&amp;""[\w &amp;]*, (\d+\.\d+)""),"""")
"),"")</f>
        <v/>
      </c>
      <c r="N629" s="3" t="str">
        <f aca="false">IFERROR(__xludf.dummyfunction("if($T629&lt;&gt;"""",REGEXEXTRACT(SUBSTITUTE ($T629,N$1&amp;"" CE"",""""), N$1&amp;""[\w &amp;]*, (\d+\.\d+)""),"""")
"),"")</f>
        <v/>
      </c>
      <c r="O629" s="3" t="str">
        <f aca="false">IFERROR(__xludf.dummyfunction("if($T629&lt;&gt;"""",REGEXEXTRACT($T629, O$1&amp;""[\w &amp;]*, (\d+\.\d+)""),"""")
"),"")</f>
        <v/>
      </c>
      <c r="P629" s="2"/>
      <c r="Q629" s="2"/>
      <c r="R629" s="2"/>
      <c r="S629" s="2"/>
      <c r="T629" s="5"/>
    </row>
    <row r="630" customFormat="false" ht="15.75" hidden="false" customHeight="false" outlineLevel="0" collapsed="false">
      <c r="A630" s="4"/>
      <c r="B630" s="2"/>
      <c r="C630" s="2"/>
      <c r="D630" s="2"/>
      <c r="E630" s="2"/>
      <c r="F630" s="3" t="str">
        <f aca="false">IFERROR(__xludf.dummyfunction("if($T630&lt;&gt;"""",REGEXEXTRACT(SUBSTITUTE ($T630,F$1&amp;"" CE"",""""), F$1&amp;""[\w &amp;]*, (\d+\.\d+)""),"""")
"),"")</f>
        <v/>
      </c>
      <c r="G630" s="3" t="str">
        <f aca="false">IFERROR(__xludf.dummyfunction("if($T630&lt;&gt;"""",REGEXEXTRACT($T630, G$1&amp;""[\w &amp;]*, (\d+\.\d+)""),"""")
"),"")</f>
        <v/>
      </c>
      <c r="H630" s="3"/>
      <c r="I630" s="3" t="str">
        <f aca="false">IFERROR(__xludf.dummyfunction("if($T630&lt;&gt;"""",REGEXEXTRACT(SUBSTITUTE ($T630,I$1&amp;"" CE"",""""), I$1&amp;""[\w &amp;]*, (\d+\.\d+)""),"""")
"),"")</f>
        <v/>
      </c>
      <c r="J630" s="3" t="str">
        <f aca="false">IFERROR(__xludf.dummyfunction("if($T630&lt;&gt;"""",REGEXEXTRACT($T630, J$1&amp;""[\w &amp;]*, (\d+\.\d+)""),"""")
"),"")</f>
        <v/>
      </c>
      <c r="K630" s="3"/>
      <c r="L630" s="3" t="str">
        <f aca="false">IFERROR(__xludf.dummyfunction("if($T630&lt;&gt;"""",REGEXEXTRACT(SUBSTITUTE ($T630,L$1&amp;"" CE"",""""), L$1&amp;""[\w &amp;]*, (\d+\.\d+)""),"""")
"),"")</f>
        <v/>
      </c>
      <c r="M630" s="3" t="str">
        <f aca="false">IFERROR(__xludf.dummyfunction("if($T630&lt;&gt;"""",REGEXEXTRACT($T630, M$1&amp;""[\w &amp;]*, (\d+\.\d+)""),"""")
"),"")</f>
        <v/>
      </c>
      <c r="N630" s="3" t="str">
        <f aca="false">IFERROR(__xludf.dummyfunction("if($T630&lt;&gt;"""",REGEXEXTRACT(SUBSTITUTE ($T630,N$1&amp;"" CE"",""""), N$1&amp;""[\w &amp;]*, (\d+\.\d+)""),"""")
"),"")</f>
        <v/>
      </c>
      <c r="O630" s="3" t="str">
        <f aca="false">IFERROR(__xludf.dummyfunction("if($T630&lt;&gt;"""",REGEXEXTRACT($T630, O$1&amp;""[\w &amp;]*, (\d+\.\d+)""),"""")
"),"")</f>
        <v/>
      </c>
      <c r="P630" s="2"/>
      <c r="Q630" s="2"/>
      <c r="R630" s="2"/>
      <c r="S630" s="2"/>
      <c r="T630" s="5"/>
    </row>
    <row r="631" customFormat="false" ht="15.75" hidden="false" customHeight="false" outlineLevel="0" collapsed="false">
      <c r="A631" s="4"/>
      <c r="B631" s="2"/>
      <c r="C631" s="2"/>
      <c r="D631" s="2"/>
      <c r="E631" s="2"/>
      <c r="F631" s="3" t="str">
        <f aca="false">IFERROR(__xludf.dummyfunction("if($T631&lt;&gt;"""",REGEXEXTRACT(SUBSTITUTE ($T631,F$1&amp;"" CE"",""""), F$1&amp;""[\w &amp;]*, (\d+\.\d+)""),"""")
"),"")</f>
        <v/>
      </c>
      <c r="G631" s="3" t="str">
        <f aca="false">IFERROR(__xludf.dummyfunction("if($T631&lt;&gt;"""",REGEXEXTRACT($T631, G$1&amp;""[\w &amp;]*, (\d+\.\d+)""),"""")
"),"")</f>
        <v/>
      </c>
      <c r="H631" s="3"/>
      <c r="I631" s="3" t="str">
        <f aca="false">IFERROR(__xludf.dummyfunction("if($T631&lt;&gt;"""",REGEXEXTRACT(SUBSTITUTE ($T631,I$1&amp;"" CE"",""""), I$1&amp;""[\w &amp;]*, (\d+\.\d+)""),"""")
"),"")</f>
        <v/>
      </c>
      <c r="J631" s="3" t="str">
        <f aca="false">IFERROR(__xludf.dummyfunction("if($T631&lt;&gt;"""",REGEXEXTRACT($T631, J$1&amp;""[\w &amp;]*, (\d+\.\d+)""),"""")
"),"")</f>
        <v/>
      </c>
      <c r="K631" s="3"/>
      <c r="L631" s="3" t="str">
        <f aca="false">IFERROR(__xludf.dummyfunction("if($T631&lt;&gt;"""",REGEXEXTRACT(SUBSTITUTE ($T631,L$1&amp;"" CE"",""""), L$1&amp;""[\w &amp;]*, (\d+\.\d+)""),"""")
"),"")</f>
        <v/>
      </c>
      <c r="M631" s="3" t="str">
        <f aca="false">IFERROR(__xludf.dummyfunction("if($T631&lt;&gt;"""",REGEXEXTRACT($T631, M$1&amp;""[\w &amp;]*, (\d+\.\d+)""),"""")
"),"")</f>
        <v/>
      </c>
      <c r="N631" s="3" t="str">
        <f aca="false">IFERROR(__xludf.dummyfunction("if($T631&lt;&gt;"""",REGEXEXTRACT(SUBSTITUTE ($T631,N$1&amp;"" CE"",""""), N$1&amp;""[\w &amp;]*, (\d+\.\d+)""),"""")
"),"")</f>
        <v/>
      </c>
      <c r="O631" s="3" t="str">
        <f aca="false">IFERROR(__xludf.dummyfunction("if($T631&lt;&gt;"""",REGEXEXTRACT($T631, O$1&amp;""[\w &amp;]*, (\d+\.\d+)""),"""")
"),"")</f>
        <v/>
      </c>
      <c r="P631" s="2"/>
      <c r="Q631" s="2"/>
      <c r="R631" s="2"/>
      <c r="S631" s="2"/>
      <c r="T631" s="5"/>
    </row>
    <row r="632" customFormat="false" ht="15.75" hidden="false" customHeight="false" outlineLevel="0" collapsed="false">
      <c r="A632" s="4"/>
      <c r="B632" s="2"/>
      <c r="C632" s="2"/>
      <c r="D632" s="2"/>
      <c r="E632" s="2"/>
      <c r="F632" s="3" t="str">
        <f aca="false">IFERROR(__xludf.dummyfunction("if($T632&lt;&gt;"""",REGEXEXTRACT(SUBSTITUTE ($T632,F$1&amp;"" CE"",""""), F$1&amp;""[\w &amp;]*, (\d+\.\d+)""),"""")
"),"")</f>
        <v/>
      </c>
      <c r="G632" s="3" t="str">
        <f aca="false">IFERROR(__xludf.dummyfunction("if($T632&lt;&gt;"""",REGEXEXTRACT($T632, G$1&amp;""[\w &amp;]*, (\d+\.\d+)""),"""")
"),"")</f>
        <v/>
      </c>
      <c r="H632" s="3"/>
      <c r="I632" s="3" t="str">
        <f aca="false">IFERROR(__xludf.dummyfunction("if($T632&lt;&gt;"""",REGEXEXTRACT(SUBSTITUTE ($T632,I$1&amp;"" CE"",""""), I$1&amp;""[\w &amp;]*, (\d+\.\d+)""),"""")
"),"")</f>
        <v/>
      </c>
      <c r="J632" s="3" t="str">
        <f aca="false">IFERROR(__xludf.dummyfunction("if($T632&lt;&gt;"""",REGEXEXTRACT($T632, J$1&amp;""[\w &amp;]*, (\d+\.\d+)""),"""")
"),"")</f>
        <v/>
      </c>
      <c r="K632" s="3"/>
      <c r="L632" s="3" t="str">
        <f aca="false">IFERROR(__xludf.dummyfunction("if($T632&lt;&gt;"""",REGEXEXTRACT(SUBSTITUTE ($T632,L$1&amp;"" CE"",""""), L$1&amp;""[\w &amp;]*, (\d+\.\d+)""),"""")
"),"")</f>
        <v/>
      </c>
      <c r="M632" s="3" t="str">
        <f aca="false">IFERROR(__xludf.dummyfunction("if($T632&lt;&gt;"""",REGEXEXTRACT($T632, M$1&amp;""[\w &amp;]*, (\d+\.\d+)""),"""")
"),"")</f>
        <v/>
      </c>
      <c r="N632" s="3" t="str">
        <f aca="false">IFERROR(__xludf.dummyfunction("if($T632&lt;&gt;"""",REGEXEXTRACT(SUBSTITUTE ($T632,N$1&amp;"" CE"",""""), N$1&amp;""[\w &amp;]*, (\d+\.\d+)""),"""")
"),"")</f>
        <v/>
      </c>
      <c r="O632" s="3" t="str">
        <f aca="false">IFERROR(__xludf.dummyfunction("if($T632&lt;&gt;"""",REGEXEXTRACT($T632, O$1&amp;""[\w &amp;]*, (\d+\.\d+)""),"""")
"),"")</f>
        <v/>
      </c>
      <c r="P632" s="2"/>
      <c r="Q632" s="2"/>
      <c r="R632" s="2"/>
      <c r="S632" s="2"/>
      <c r="T632" s="5"/>
    </row>
    <row r="633" customFormat="false" ht="15.75" hidden="false" customHeight="false" outlineLevel="0" collapsed="false">
      <c r="A633" s="4"/>
      <c r="B633" s="2"/>
      <c r="C633" s="2"/>
      <c r="D633" s="2"/>
      <c r="E633" s="2"/>
      <c r="F633" s="3" t="str">
        <f aca="false">IFERROR(__xludf.dummyfunction("if($T633&lt;&gt;"""",REGEXEXTRACT(SUBSTITUTE ($T633,F$1&amp;"" CE"",""""), F$1&amp;""[\w &amp;]*, (\d+\.\d+)""),"""")
"),"")</f>
        <v/>
      </c>
      <c r="G633" s="3" t="str">
        <f aca="false">IFERROR(__xludf.dummyfunction("if($T633&lt;&gt;"""",REGEXEXTRACT($T633, G$1&amp;""[\w &amp;]*, (\d+\.\d+)""),"""")
"),"")</f>
        <v/>
      </c>
      <c r="H633" s="3"/>
      <c r="I633" s="3" t="str">
        <f aca="false">IFERROR(__xludf.dummyfunction("if($T633&lt;&gt;"""",REGEXEXTRACT(SUBSTITUTE ($T633,I$1&amp;"" CE"",""""), I$1&amp;""[\w &amp;]*, (\d+\.\d+)""),"""")
"),"")</f>
        <v/>
      </c>
      <c r="J633" s="3" t="str">
        <f aca="false">IFERROR(__xludf.dummyfunction("if($T633&lt;&gt;"""",REGEXEXTRACT($T633, J$1&amp;""[\w &amp;]*, (\d+\.\d+)""),"""")
"),"")</f>
        <v/>
      </c>
      <c r="K633" s="3"/>
      <c r="L633" s="3" t="str">
        <f aca="false">IFERROR(__xludf.dummyfunction("if($T633&lt;&gt;"""",REGEXEXTRACT(SUBSTITUTE ($T633,L$1&amp;"" CE"",""""), L$1&amp;""[\w &amp;]*, (\d+\.\d+)""),"""")
"),"")</f>
        <v/>
      </c>
      <c r="M633" s="3" t="str">
        <f aca="false">IFERROR(__xludf.dummyfunction("if($T633&lt;&gt;"""",REGEXEXTRACT($T633, M$1&amp;""[\w &amp;]*, (\d+\.\d+)""),"""")
"),"")</f>
        <v/>
      </c>
      <c r="N633" s="3" t="str">
        <f aca="false">IFERROR(__xludf.dummyfunction("if($T633&lt;&gt;"""",REGEXEXTRACT(SUBSTITUTE ($T633,N$1&amp;"" CE"",""""), N$1&amp;""[\w &amp;]*, (\d+\.\d+)""),"""")
"),"")</f>
        <v/>
      </c>
      <c r="O633" s="3" t="str">
        <f aca="false">IFERROR(__xludf.dummyfunction("if($T633&lt;&gt;"""",REGEXEXTRACT($T633, O$1&amp;""[\w &amp;]*, (\d+\.\d+)""),"""")
"),"")</f>
        <v/>
      </c>
      <c r="P633" s="2"/>
      <c r="Q633" s="2"/>
      <c r="R633" s="2"/>
      <c r="S633" s="2"/>
      <c r="T633" s="5"/>
    </row>
    <row r="634" customFormat="false" ht="15.75" hidden="false" customHeight="false" outlineLevel="0" collapsed="false">
      <c r="A634" s="4"/>
      <c r="B634" s="2"/>
      <c r="C634" s="2"/>
      <c r="D634" s="2"/>
      <c r="E634" s="2"/>
      <c r="F634" s="3" t="str">
        <f aca="false">IFERROR(__xludf.dummyfunction("if($T634&lt;&gt;"""",REGEXEXTRACT(SUBSTITUTE ($T634,F$1&amp;"" CE"",""""), F$1&amp;""[\w &amp;]*, (\d+\.\d+)""),"""")
"),"")</f>
        <v/>
      </c>
      <c r="G634" s="3" t="str">
        <f aca="false">IFERROR(__xludf.dummyfunction("if($T634&lt;&gt;"""",REGEXEXTRACT($T634, G$1&amp;""[\w &amp;]*, (\d+\.\d+)""),"""")
"),"")</f>
        <v/>
      </c>
      <c r="H634" s="3"/>
      <c r="I634" s="3" t="str">
        <f aca="false">IFERROR(__xludf.dummyfunction("if($T634&lt;&gt;"""",REGEXEXTRACT(SUBSTITUTE ($T634,I$1&amp;"" CE"",""""), I$1&amp;""[\w &amp;]*, (\d+\.\d+)""),"""")
"),"")</f>
        <v/>
      </c>
      <c r="J634" s="3" t="str">
        <f aca="false">IFERROR(__xludf.dummyfunction("if($T634&lt;&gt;"""",REGEXEXTRACT($T634, J$1&amp;""[\w &amp;]*, (\d+\.\d+)""),"""")
"),"")</f>
        <v/>
      </c>
      <c r="K634" s="3"/>
      <c r="L634" s="3" t="str">
        <f aca="false">IFERROR(__xludf.dummyfunction("if($T634&lt;&gt;"""",REGEXEXTRACT(SUBSTITUTE ($T634,L$1&amp;"" CE"",""""), L$1&amp;""[\w &amp;]*, (\d+\.\d+)""),"""")
"),"")</f>
        <v/>
      </c>
      <c r="M634" s="3" t="str">
        <f aca="false">IFERROR(__xludf.dummyfunction("if($T634&lt;&gt;"""",REGEXEXTRACT($T634, M$1&amp;""[\w &amp;]*, (\d+\.\d+)""),"""")
"),"")</f>
        <v/>
      </c>
      <c r="N634" s="3" t="str">
        <f aca="false">IFERROR(__xludf.dummyfunction("if($T634&lt;&gt;"""",REGEXEXTRACT(SUBSTITUTE ($T634,N$1&amp;"" CE"",""""), N$1&amp;""[\w &amp;]*, (\d+\.\d+)""),"""")
"),"")</f>
        <v/>
      </c>
      <c r="O634" s="3" t="str">
        <f aca="false">IFERROR(__xludf.dummyfunction("if($T634&lt;&gt;"""",REGEXEXTRACT($T634, O$1&amp;""[\w &amp;]*, (\d+\.\d+)""),"""")
"),"")</f>
        <v/>
      </c>
      <c r="P634" s="2"/>
      <c r="Q634" s="2"/>
      <c r="R634" s="2"/>
      <c r="S634" s="2"/>
      <c r="T634" s="5"/>
    </row>
    <row r="635" customFormat="false" ht="15.75" hidden="false" customHeight="false" outlineLevel="0" collapsed="false">
      <c r="A635" s="4"/>
      <c r="B635" s="2"/>
      <c r="C635" s="2"/>
      <c r="D635" s="2"/>
      <c r="E635" s="2"/>
      <c r="F635" s="3" t="str">
        <f aca="false">IFERROR(__xludf.dummyfunction("if($T635&lt;&gt;"""",REGEXEXTRACT(SUBSTITUTE ($T635,F$1&amp;"" CE"",""""), F$1&amp;""[\w &amp;]*, (\d+\.\d+)""),"""")
"),"")</f>
        <v/>
      </c>
      <c r="G635" s="3" t="str">
        <f aca="false">IFERROR(__xludf.dummyfunction("if($T635&lt;&gt;"""",REGEXEXTRACT($T635, G$1&amp;""[\w &amp;]*, (\d+\.\d+)""),"""")
"),"")</f>
        <v/>
      </c>
      <c r="H635" s="3"/>
      <c r="I635" s="3" t="str">
        <f aca="false">IFERROR(__xludf.dummyfunction("if($T635&lt;&gt;"""",REGEXEXTRACT(SUBSTITUTE ($T635,I$1&amp;"" CE"",""""), I$1&amp;""[\w &amp;]*, (\d+\.\d+)""),"""")
"),"")</f>
        <v/>
      </c>
      <c r="J635" s="3" t="str">
        <f aca="false">IFERROR(__xludf.dummyfunction("if($T635&lt;&gt;"""",REGEXEXTRACT($T635, J$1&amp;""[\w &amp;]*, (\d+\.\d+)""),"""")
"),"")</f>
        <v/>
      </c>
      <c r="K635" s="3"/>
      <c r="L635" s="3" t="str">
        <f aca="false">IFERROR(__xludf.dummyfunction("if($T635&lt;&gt;"""",REGEXEXTRACT(SUBSTITUTE ($T635,L$1&amp;"" CE"",""""), L$1&amp;""[\w &amp;]*, (\d+\.\d+)""),"""")
"),"")</f>
        <v/>
      </c>
      <c r="M635" s="3" t="str">
        <f aca="false">IFERROR(__xludf.dummyfunction("if($T635&lt;&gt;"""",REGEXEXTRACT($T635, M$1&amp;""[\w &amp;]*, (\d+\.\d+)""),"""")
"),"")</f>
        <v/>
      </c>
      <c r="N635" s="3" t="str">
        <f aca="false">IFERROR(__xludf.dummyfunction("if($T635&lt;&gt;"""",REGEXEXTRACT(SUBSTITUTE ($T635,N$1&amp;"" CE"",""""), N$1&amp;""[\w &amp;]*, (\d+\.\d+)""),"""")
"),"")</f>
        <v/>
      </c>
      <c r="O635" s="3" t="str">
        <f aca="false">IFERROR(__xludf.dummyfunction("if($T635&lt;&gt;"""",REGEXEXTRACT($T635, O$1&amp;""[\w &amp;]*, (\d+\.\d+)""),"""")
"),"")</f>
        <v/>
      </c>
      <c r="P635" s="2"/>
      <c r="Q635" s="2"/>
      <c r="R635" s="2"/>
      <c r="S635" s="2"/>
      <c r="T635" s="5"/>
    </row>
    <row r="636" customFormat="false" ht="15.75" hidden="false" customHeight="false" outlineLevel="0" collapsed="false">
      <c r="A636" s="4"/>
      <c r="B636" s="2"/>
      <c r="C636" s="2"/>
      <c r="D636" s="2"/>
      <c r="E636" s="2"/>
      <c r="F636" s="3" t="str">
        <f aca="false">IFERROR(__xludf.dummyfunction("if($T636&lt;&gt;"""",REGEXEXTRACT(SUBSTITUTE ($T636,F$1&amp;"" CE"",""""), F$1&amp;""[\w &amp;]*, (\d+\.\d+)""),"""")
"),"")</f>
        <v/>
      </c>
      <c r="G636" s="3" t="str">
        <f aca="false">IFERROR(__xludf.dummyfunction("if($T636&lt;&gt;"""",REGEXEXTRACT($T636, G$1&amp;""[\w &amp;]*, (\d+\.\d+)""),"""")
"),"")</f>
        <v/>
      </c>
      <c r="H636" s="3"/>
      <c r="I636" s="3" t="str">
        <f aca="false">IFERROR(__xludf.dummyfunction("if($T636&lt;&gt;"""",REGEXEXTRACT(SUBSTITUTE ($T636,I$1&amp;"" CE"",""""), I$1&amp;""[\w &amp;]*, (\d+\.\d+)""),"""")
"),"")</f>
        <v/>
      </c>
      <c r="J636" s="3" t="str">
        <f aca="false">IFERROR(__xludf.dummyfunction("if($T636&lt;&gt;"""",REGEXEXTRACT($T636, J$1&amp;""[\w &amp;]*, (\d+\.\d+)""),"""")
"),"")</f>
        <v/>
      </c>
      <c r="K636" s="3"/>
      <c r="L636" s="3" t="str">
        <f aca="false">IFERROR(__xludf.dummyfunction("if($T636&lt;&gt;"""",REGEXEXTRACT(SUBSTITUTE ($T636,L$1&amp;"" CE"",""""), L$1&amp;""[\w &amp;]*, (\d+\.\d+)""),"""")
"),"")</f>
        <v/>
      </c>
      <c r="M636" s="3" t="str">
        <f aca="false">IFERROR(__xludf.dummyfunction("if($T636&lt;&gt;"""",REGEXEXTRACT($T636, M$1&amp;""[\w &amp;]*, (\d+\.\d+)""),"""")
"),"")</f>
        <v/>
      </c>
      <c r="N636" s="3" t="str">
        <f aca="false">IFERROR(__xludf.dummyfunction("if($T636&lt;&gt;"""",REGEXEXTRACT(SUBSTITUTE ($T636,N$1&amp;"" CE"",""""), N$1&amp;""[\w &amp;]*, (\d+\.\d+)""),"""")
"),"")</f>
        <v/>
      </c>
      <c r="O636" s="3" t="str">
        <f aca="false">IFERROR(__xludf.dummyfunction("if($T636&lt;&gt;"""",REGEXEXTRACT($T636, O$1&amp;""[\w &amp;]*, (\d+\.\d+)""),"""")
"),"")</f>
        <v/>
      </c>
      <c r="P636" s="2"/>
      <c r="Q636" s="2"/>
      <c r="R636" s="2"/>
      <c r="S636" s="2"/>
      <c r="T636" s="5"/>
    </row>
    <row r="637" customFormat="false" ht="15.75" hidden="false" customHeight="false" outlineLevel="0" collapsed="false">
      <c r="A637" s="4"/>
      <c r="B637" s="2"/>
      <c r="C637" s="2"/>
      <c r="D637" s="2"/>
      <c r="E637" s="2"/>
      <c r="F637" s="3" t="str">
        <f aca="false">IFERROR(__xludf.dummyfunction("if($T637&lt;&gt;"""",REGEXEXTRACT(SUBSTITUTE ($T637,F$1&amp;"" CE"",""""), F$1&amp;""[\w &amp;]*, (\d+\.\d+)""),"""")
"),"")</f>
        <v/>
      </c>
      <c r="G637" s="3" t="str">
        <f aca="false">IFERROR(__xludf.dummyfunction("if($T637&lt;&gt;"""",REGEXEXTRACT($T637, G$1&amp;""[\w &amp;]*, (\d+\.\d+)""),"""")
"),"")</f>
        <v/>
      </c>
      <c r="H637" s="3"/>
      <c r="I637" s="3" t="str">
        <f aca="false">IFERROR(__xludf.dummyfunction("if($T637&lt;&gt;"""",REGEXEXTRACT(SUBSTITUTE ($T637,I$1&amp;"" CE"",""""), I$1&amp;""[\w &amp;]*, (\d+\.\d+)""),"""")
"),"")</f>
        <v/>
      </c>
      <c r="J637" s="3" t="str">
        <f aca="false">IFERROR(__xludf.dummyfunction("if($T637&lt;&gt;"""",REGEXEXTRACT($T637, J$1&amp;""[\w &amp;]*, (\d+\.\d+)""),"""")
"),"")</f>
        <v/>
      </c>
      <c r="K637" s="3"/>
      <c r="L637" s="3" t="str">
        <f aca="false">IFERROR(__xludf.dummyfunction("if($T637&lt;&gt;"""",REGEXEXTRACT(SUBSTITUTE ($T637,L$1&amp;"" CE"",""""), L$1&amp;""[\w &amp;]*, (\d+\.\d+)""),"""")
"),"")</f>
        <v/>
      </c>
      <c r="M637" s="3" t="str">
        <f aca="false">IFERROR(__xludf.dummyfunction("if($T637&lt;&gt;"""",REGEXEXTRACT($T637, M$1&amp;""[\w &amp;]*, (\d+\.\d+)""),"""")
"),"")</f>
        <v/>
      </c>
      <c r="N637" s="3" t="str">
        <f aca="false">IFERROR(__xludf.dummyfunction("if($T637&lt;&gt;"""",REGEXEXTRACT(SUBSTITUTE ($T637,N$1&amp;"" CE"",""""), N$1&amp;""[\w &amp;]*, (\d+\.\d+)""),"""")
"),"")</f>
        <v/>
      </c>
      <c r="O637" s="3" t="str">
        <f aca="false">IFERROR(__xludf.dummyfunction("if($T637&lt;&gt;"""",REGEXEXTRACT($T637, O$1&amp;""[\w &amp;]*, (\d+\.\d+)""),"""")
"),"")</f>
        <v/>
      </c>
      <c r="P637" s="2"/>
      <c r="Q637" s="2"/>
      <c r="R637" s="2"/>
      <c r="S637" s="2"/>
      <c r="T637" s="5"/>
    </row>
    <row r="638" customFormat="false" ht="15.75" hidden="false" customHeight="false" outlineLevel="0" collapsed="false">
      <c r="A638" s="4"/>
      <c r="B638" s="2"/>
      <c r="C638" s="2"/>
      <c r="D638" s="2"/>
      <c r="E638" s="2"/>
      <c r="F638" s="3" t="str">
        <f aca="false">IFERROR(__xludf.dummyfunction("if($T638&lt;&gt;"""",REGEXEXTRACT(SUBSTITUTE ($T638,F$1&amp;"" CE"",""""), F$1&amp;""[\w &amp;]*, (\d+\.\d+)""),"""")
"),"")</f>
        <v/>
      </c>
      <c r="G638" s="3" t="str">
        <f aca="false">IFERROR(__xludf.dummyfunction("if($T638&lt;&gt;"""",REGEXEXTRACT($T638, G$1&amp;""[\w &amp;]*, (\d+\.\d+)""),"""")
"),"")</f>
        <v/>
      </c>
      <c r="H638" s="3"/>
      <c r="I638" s="3" t="str">
        <f aca="false">IFERROR(__xludf.dummyfunction("if($T638&lt;&gt;"""",REGEXEXTRACT(SUBSTITUTE ($T638,I$1&amp;"" CE"",""""), I$1&amp;""[\w &amp;]*, (\d+\.\d+)""),"""")
"),"")</f>
        <v/>
      </c>
      <c r="J638" s="3" t="str">
        <f aca="false">IFERROR(__xludf.dummyfunction("if($T638&lt;&gt;"""",REGEXEXTRACT($T638, J$1&amp;""[\w &amp;]*, (\d+\.\d+)""),"""")
"),"")</f>
        <v/>
      </c>
      <c r="K638" s="3"/>
      <c r="L638" s="3" t="str">
        <f aca="false">IFERROR(__xludf.dummyfunction("if($T638&lt;&gt;"""",REGEXEXTRACT(SUBSTITUTE ($T638,L$1&amp;"" CE"",""""), L$1&amp;""[\w &amp;]*, (\d+\.\d+)""),"""")
"),"")</f>
        <v/>
      </c>
      <c r="M638" s="3" t="str">
        <f aca="false">IFERROR(__xludf.dummyfunction("if($T638&lt;&gt;"""",REGEXEXTRACT($T638, M$1&amp;""[\w &amp;]*, (\d+\.\d+)""),"""")
"),"")</f>
        <v/>
      </c>
      <c r="N638" s="3" t="str">
        <f aca="false">IFERROR(__xludf.dummyfunction("if($T638&lt;&gt;"""",REGEXEXTRACT(SUBSTITUTE ($T638,N$1&amp;"" CE"",""""), N$1&amp;""[\w &amp;]*, (\d+\.\d+)""),"""")
"),"")</f>
        <v/>
      </c>
      <c r="O638" s="3" t="str">
        <f aca="false">IFERROR(__xludf.dummyfunction("if($T638&lt;&gt;"""",REGEXEXTRACT($T638, O$1&amp;""[\w &amp;]*, (\d+\.\d+)""),"""")
"),"")</f>
        <v/>
      </c>
      <c r="P638" s="2"/>
      <c r="Q638" s="2"/>
      <c r="R638" s="2"/>
      <c r="S638" s="2"/>
      <c r="T638" s="5"/>
    </row>
    <row r="639" customFormat="false" ht="15.75" hidden="false" customHeight="false" outlineLevel="0" collapsed="false">
      <c r="A639" s="4"/>
      <c r="B639" s="2"/>
      <c r="C639" s="2"/>
      <c r="D639" s="2"/>
      <c r="E639" s="2"/>
      <c r="F639" s="3" t="str">
        <f aca="false">IFERROR(__xludf.dummyfunction("if($T639&lt;&gt;"""",REGEXEXTRACT(SUBSTITUTE ($T639,F$1&amp;"" CE"",""""), F$1&amp;""[\w &amp;]*, (\d+\.\d+)""),"""")
"),"")</f>
        <v/>
      </c>
      <c r="G639" s="3" t="str">
        <f aca="false">IFERROR(__xludf.dummyfunction("if($T639&lt;&gt;"""",REGEXEXTRACT($T639, G$1&amp;""[\w &amp;]*, (\d+\.\d+)""),"""")
"),"")</f>
        <v/>
      </c>
      <c r="H639" s="3"/>
      <c r="I639" s="3" t="str">
        <f aca="false">IFERROR(__xludf.dummyfunction("if($T639&lt;&gt;"""",REGEXEXTRACT(SUBSTITUTE ($T639,I$1&amp;"" CE"",""""), I$1&amp;""[\w &amp;]*, (\d+\.\d+)""),"""")
"),"")</f>
        <v/>
      </c>
      <c r="J639" s="3" t="str">
        <f aca="false">IFERROR(__xludf.dummyfunction("if($T639&lt;&gt;"""",REGEXEXTRACT($T639, J$1&amp;""[\w &amp;]*, (\d+\.\d+)""),"""")
"),"")</f>
        <v/>
      </c>
      <c r="K639" s="3"/>
      <c r="L639" s="3" t="str">
        <f aca="false">IFERROR(__xludf.dummyfunction("if($T639&lt;&gt;"""",REGEXEXTRACT(SUBSTITUTE ($T639,L$1&amp;"" CE"",""""), L$1&amp;""[\w &amp;]*, (\d+\.\d+)""),"""")
"),"")</f>
        <v/>
      </c>
      <c r="M639" s="3" t="str">
        <f aca="false">IFERROR(__xludf.dummyfunction("if($T639&lt;&gt;"""",REGEXEXTRACT($T639, M$1&amp;""[\w &amp;]*, (\d+\.\d+)""),"""")
"),"")</f>
        <v/>
      </c>
      <c r="N639" s="3" t="str">
        <f aca="false">IFERROR(__xludf.dummyfunction("if($T639&lt;&gt;"""",REGEXEXTRACT(SUBSTITUTE ($T639,N$1&amp;"" CE"",""""), N$1&amp;""[\w &amp;]*, (\d+\.\d+)""),"""")
"),"")</f>
        <v/>
      </c>
      <c r="O639" s="3" t="str">
        <f aca="false">IFERROR(__xludf.dummyfunction("if($T639&lt;&gt;"""",REGEXEXTRACT($T639, O$1&amp;""[\w &amp;]*, (\d+\.\d+)""),"""")
"),"")</f>
        <v/>
      </c>
      <c r="P639" s="2"/>
      <c r="Q639" s="2"/>
      <c r="R639" s="2"/>
      <c r="S639" s="2"/>
      <c r="T639" s="5"/>
    </row>
    <row r="640" customFormat="false" ht="15.75" hidden="false" customHeight="false" outlineLevel="0" collapsed="false">
      <c r="A640" s="4"/>
      <c r="B640" s="2"/>
      <c r="C640" s="2"/>
      <c r="D640" s="2"/>
      <c r="E640" s="2"/>
      <c r="F640" s="3" t="str">
        <f aca="false">IFERROR(__xludf.dummyfunction("if($T640&lt;&gt;"""",REGEXEXTRACT(SUBSTITUTE ($T640,F$1&amp;"" CE"",""""), F$1&amp;""[\w &amp;]*, (\d+\.\d+)""),"""")
"),"")</f>
        <v/>
      </c>
      <c r="G640" s="3" t="str">
        <f aca="false">IFERROR(__xludf.dummyfunction("if($T640&lt;&gt;"""",REGEXEXTRACT($T640, G$1&amp;""[\w &amp;]*, (\d+\.\d+)""),"""")
"),"")</f>
        <v/>
      </c>
      <c r="H640" s="3"/>
      <c r="I640" s="3" t="str">
        <f aca="false">IFERROR(__xludf.dummyfunction("if($T640&lt;&gt;"""",REGEXEXTRACT(SUBSTITUTE ($T640,I$1&amp;"" CE"",""""), I$1&amp;""[\w &amp;]*, (\d+\.\d+)""),"""")
"),"")</f>
        <v/>
      </c>
      <c r="J640" s="3" t="str">
        <f aca="false">IFERROR(__xludf.dummyfunction("if($T640&lt;&gt;"""",REGEXEXTRACT($T640, J$1&amp;""[\w &amp;]*, (\d+\.\d+)""),"""")
"),"")</f>
        <v/>
      </c>
      <c r="K640" s="3"/>
      <c r="L640" s="3" t="str">
        <f aca="false">IFERROR(__xludf.dummyfunction("if($T640&lt;&gt;"""",REGEXEXTRACT(SUBSTITUTE ($T640,L$1&amp;"" CE"",""""), L$1&amp;""[\w &amp;]*, (\d+\.\d+)""),"""")
"),"")</f>
        <v/>
      </c>
      <c r="M640" s="3" t="str">
        <f aca="false">IFERROR(__xludf.dummyfunction("if($T640&lt;&gt;"""",REGEXEXTRACT($T640, M$1&amp;""[\w &amp;]*, (\d+\.\d+)""),"""")
"),"")</f>
        <v/>
      </c>
      <c r="N640" s="3" t="str">
        <f aca="false">IFERROR(__xludf.dummyfunction("if($T640&lt;&gt;"""",REGEXEXTRACT(SUBSTITUTE ($T640,N$1&amp;"" CE"",""""), N$1&amp;""[\w &amp;]*, (\d+\.\d+)""),"""")
"),"")</f>
        <v/>
      </c>
      <c r="O640" s="3" t="str">
        <f aca="false">IFERROR(__xludf.dummyfunction("if($T640&lt;&gt;"""",REGEXEXTRACT($T640, O$1&amp;""[\w &amp;]*, (\d+\.\d+)""),"""")
"),"")</f>
        <v/>
      </c>
      <c r="P640" s="2"/>
      <c r="Q640" s="2"/>
      <c r="R640" s="2"/>
      <c r="S640" s="2"/>
      <c r="T640" s="5"/>
    </row>
    <row r="641" customFormat="false" ht="15.75" hidden="false" customHeight="false" outlineLevel="0" collapsed="false">
      <c r="A641" s="4"/>
      <c r="B641" s="2"/>
      <c r="C641" s="2"/>
      <c r="D641" s="2"/>
      <c r="E641" s="2"/>
      <c r="F641" s="3" t="str">
        <f aca="false">IFERROR(__xludf.dummyfunction("if($T641&lt;&gt;"""",REGEXEXTRACT(SUBSTITUTE ($T641,F$1&amp;"" CE"",""""), F$1&amp;""[\w &amp;]*, (\d+\.\d+)""),"""")
"),"")</f>
        <v/>
      </c>
      <c r="G641" s="3" t="str">
        <f aca="false">IFERROR(__xludf.dummyfunction("if($T641&lt;&gt;"""",REGEXEXTRACT($T641, G$1&amp;""[\w &amp;]*, (\d+\.\d+)""),"""")
"),"")</f>
        <v/>
      </c>
      <c r="H641" s="3"/>
      <c r="I641" s="3" t="str">
        <f aca="false">IFERROR(__xludf.dummyfunction("if($T641&lt;&gt;"""",REGEXEXTRACT(SUBSTITUTE ($T641,I$1&amp;"" CE"",""""), I$1&amp;""[\w &amp;]*, (\d+\.\d+)""),"""")
"),"")</f>
        <v/>
      </c>
      <c r="J641" s="3" t="str">
        <f aca="false">IFERROR(__xludf.dummyfunction("if($T641&lt;&gt;"""",REGEXEXTRACT($T641, J$1&amp;""[\w &amp;]*, (\d+\.\d+)""),"""")
"),"")</f>
        <v/>
      </c>
      <c r="K641" s="3"/>
      <c r="L641" s="3" t="str">
        <f aca="false">IFERROR(__xludf.dummyfunction("if($T641&lt;&gt;"""",REGEXEXTRACT(SUBSTITUTE ($T641,L$1&amp;"" CE"",""""), L$1&amp;""[\w &amp;]*, (\d+\.\d+)""),"""")
"),"")</f>
        <v/>
      </c>
      <c r="M641" s="3" t="str">
        <f aca="false">IFERROR(__xludf.dummyfunction("if($T641&lt;&gt;"""",REGEXEXTRACT($T641, M$1&amp;""[\w &amp;]*, (\d+\.\d+)""),"""")
"),"")</f>
        <v/>
      </c>
      <c r="N641" s="3" t="str">
        <f aca="false">IFERROR(__xludf.dummyfunction("if($T641&lt;&gt;"""",REGEXEXTRACT(SUBSTITUTE ($T641,N$1&amp;"" CE"",""""), N$1&amp;""[\w &amp;]*, (\d+\.\d+)""),"""")
"),"")</f>
        <v/>
      </c>
      <c r="O641" s="3" t="str">
        <f aca="false">IFERROR(__xludf.dummyfunction("if($T641&lt;&gt;"""",REGEXEXTRACT($T641, O$1&amp;""[\w &amp;]*, (\d+\.\d+)""),"""")
"),"")</f>
        <v/>
      </c>
      <c r="P641" s="2"/>
      <c r="Q641" s="2"/>
      <c r="R641" s="2"/>
      <c r="S641" s="2"/>
      <c r="T641" s="5"/>
    </row>
    <row r="642" customFormat="false" ht="15.75" hidden="false" customHeight="false" outlineLevel="0" collapsed="false">
      <c r="A642" s="4"/>
      <c r="B642" s="2"/>
      <c r="C642" s="2"/>
      <c r="D642" s="2"/>
      <c r="E642" s="2"/>
      <c r="F642" s="3" t="str">
        <f aca="false">IFERROR(__xludf.dummyfunction("if($T642&lt;&gt;"""",REGEXEXTRACT(SUBSTITUTE ($T642,F$1&amp;"" CE"",""""), F$1&amp;""[\w &amp;]*, (\d+\.\d+)""),"""")
"),"")</f>
        <v/>
      </c>
      <c r="G642" s="3" t="str">
        <f aca="false">IFERROR(__xludf.dummyfunction("if($T642&lt;&gt;"""",REGEXEXTRACT($T642, G$1&amp;""[\w &amp;]*, (\d+\.\d+)""),"""")
"),"")</f>
        <v/>
      </c>
      <c r="H642" s="3"/>
      <c r="I642" s="3" t="str">
        <f aca="false">IFERROR(__xludf.dummyfunction("if($T642&lt;&gt;"""",REGEXEXTRACT(SUBSTITUTE ($T642,I$1&amp;"" CE"",""""), I$1&amp;""[\w &amp;]*, (\d+\.\d+)""),"""")
"),"")</f>
        <v/>
      </c>
      <c r="J642" s="3" t="str">
        <f aca="false">IFERROR(__xludf.dummyfunction("if($T642&lt;&gt;"""",REGEXEXTRACT($T642, J$1&amp;""[\w &amp;]*, (\d+\.\d+)""),"""")
"),"")</f>
        <v/>
      </c>
      <c r="K642" s="3"/>
      <c r="L642" s="3" t="str">
        <f aca="false">IFERROR(__xludf.dummyfunction("if($T642&lt;&gt;"""",REGEXEXTRACT(SUBSTITUTE ($T642,L$1&amp;"" CE"",""""), L$1&amp;""[\w &amp;]*, (\d+\.\d+)""),"""")
"),"")</f>
        <v/>
      </c>
      <c r="M642" s="3" t="str">
        <f aca="false">IFERROR(__xludf.dummyfunction("if($T642&lt;&gt;"""",REGEXEXTRACT($T642, M$1&amp;""[\w &amp;]*, (\d+\.\d+)""),"""")
"),"")</f>
        <v/>
      </c>
      <c r="N642" s="3" t="str">
        <f aca="false">IFERROR(__xludf.dummyfunction("if($T642&lt;&gt;"""",REGEXEXTRACT(SUBSTITUTE ($T642,N$1&amp;"" CE"",""""), N$1&amp;""[\w &amp;]*, (\d+\.\d+)""),"""")
"),"")</f>
        <v/>
      </c>
      <c r="O642" s="3" t="str">
        <f aca="false">IFERROR(__xludf.dummyfunction("if($T642&lt;&gt;"""",REGEXEXTRACT($T642, O$1&amp;""[\w &amp;]*, (\d+\.\d+)""),"""")
"),"")</f>
        <v/>
      </c>
      <c r="P642" s="2"/>
      <c r="Q642" s="2"/>
      <c r="R642" s="2"/>
      <c r="S642" s="2"/>
      <c r="T642" s="5"/>
    </row>
    <row r="643" customFormat="false" ht="15.75" hidden="false" customHeight="false" outlineLevel="0" collapsed="false">
      <c r="A643" s="4"/>
      <c r="B643" s="2"/>
      <c r="C643" s="2"/>
      <c r="D643" s="2"/>
      <c r="E643" s="2"/>
      <c r="F643" s="3" t="str">
        <f aca="false">IFERROR(__xludf.dummyfunction("if($T643&lt;&gt;"""",REGEXEXTRACT(SUBSTITUTE ($T643,F$1&amp;"" CE"",""""), F$1&amp;""[\w &amp;]*, (\d+\.\d+)""),"""")
"),"")</f>
        <v/>
      </c>
      <c r="G643" s="3" t="str">
        <f aca="false">IFERROR(__xludf.dummyfunction("if($T643&lt;&gt;"""",REGEXEXTRACT($T643, G$1&amp;""[\w &amp;]*, (\d+\.\d+)""),"""")
"),"")</f>
        <v/>
      </c>
      <c r="H643" s="3"/>
      <c r="I643" s="3" t="str">
        <f aca="false">IFERROR(__xludf.dummyfunction("if($T643&lt;&gt;"""",REGEXEXTRACT(SUBSTITUTE ($T643,I$1&amp;"" CE"",""""), I$1&amp;""[\w &amp;]*, (\d+\.\d+)""),"""")
"),"")</f>
        <v/>
      </c>
      <c r="J643" s="3" t="str">
        <f aca="false">IFERROR(__xludf.dummyfunction("if($T643&lt;&gt;"""",REGEXEXTRACT($T643, J$1&amp;""[\w &amp;]*, (\d+\.\d+)""),"""")
"),"")</f>
        <v/>
      </c>
      <c r="K643" s="3"/>
      <c r="L643" s="3" t="str">
        <f aca="false">IFERROR(__xludf.dummyfunction("if($T643&lt;&gt;"""",REGEXEXTRACT(SUBSTITUTE ($T643,L$1&amp;"" CE"",""""), L$1&amp;""[\w &amp;]*, (\d+\.\d+)""),"""")
"),"")</f>
        <v/>
      </c>
      <c r="M643" s="3" t="str">
        <f aca="false">IFERROR(__xludf.dummyfunction("if($T643&lt;&gt;"""",REGEXEXTRACT($T643, M$1&amp;""[\w &amp;]*, (\d+\.\d+)""),"""")
"),"")</f>
        <v/>
      </c>
      <c r="N643" s="3" t="str">
        <f aca="false">IFERROR(__xludf.dummyfunction("if($T643&lt;&gt;"""",REGEXEXTRACT(SUBSTITUTE ($T643,N$1&amp;"" CE"",""""), N$1&amp;""[\w &amp;]*, (\d+\.\d+)""),"""")
"),"")</f>
        <v/>
      </c>
      <c r="O643" s="3" t="str">
        <f aca="false">IFERROR(__xludf.dummyfunction("if($T643&lt;&gt;"""",REGEXEXTRACT($T643, O$1&amp;""[\w &amp;]*, (\d+\.\d+)""),"""")
"),"")</f>
        <v/>
      </c>
      <c r="P643" s="2"/>
      <c r="Q643" s="2"/>
      <c r="R643" s="2"/>
      <c r="S643" s="2"/>
      <c r="T643" s="5"/>
    </row>
    <row r="644" customFormat="false" ht="15.75" hidden="false" customHeight="false" outlineLevel="0" collapsed="false">
      <c r="A644" s="4"/>
      <c r="B644" s="2"/>
      <c r="C644" s="2"/>
      <c r="D644" s="2"/>
      <c r="E644" s="2"/>
      <c r="F644" s="3" t="str">
        <f aca="false">IFERROR(__xludf.dummyfunction("if($T644&lt;&gt;"""",REGEXEXTRACT(SUBSTITUTE ($T644,F$1&amp;"" CE"",""""), F$1&amp;""[\w &amp;]*, (\d+\.\d+)""),"""")
"),"")</f>
        <v/>
      </c>
      <c r="G644" s="3" t="str">
        <f aca="false">IFERROR(__xludf.dummyfunction("if($T644&lt;&gt;"""",REGEXEXTRACT($T644, G$1&amp;""[\w &amp;]*, (\d+\.\d+)""),"""")
"),"")</f>
        <v/>
      </c>
      <c r="H644" s="3"/>
      <c r="I644" s="3" t="str">
        <f aca="false">IFERROR(__xludf.dummyfunction("if($T644&lt;&gt;"""",REGEXEXTRACT(SUBSTITUTE ($T644,I$1&amp;"" CE"",""""), I$1&amp;""[\w &amp;]*, (\d+\.\d+)""),"""")
"),"")</f>
        <v/>
      </c>
      <c r="J644" s="3" t="str">
        <f aca="false">IFERROR(__xludf.dummyfunction("if($T644&lt;&gt;"""",REGEXEXTRACT($T644, J$1&amp;""[\w &amp;]*, (\d+\.\d+)""),"""")
"),"")</f>
        <v/>
      </c>
      <c r="K644" s="3"/>
      <c r="L644" s="3" t="str">
        <f aca="false">IFERROR(__xludf.dummyfunction("if($T644&lt;&gt;"""",REGEXEXTRACT(SUBSTITUTE ($T644,L$1&amp;"" CE"",""""), L$1&amp;""[\w &amp;]*, (\d+\.\d+)""),"""")
"),"")</f>
        <v/>
      </c>
      <c r="M644" s="3" t="str">
        <f aca="false">IFERROR(__xludf.dummyfunction("if($T644&lt;&gt;"""",REGEXEXTRACT($T644, M$1&amp;""[\w &amp;]*, (\d+\.\d+)""),"""")
"),"")</f>
        <v/>
      </c>
      <c r="N644" s="3" t="str">
        <f aca="false">IFERROR(__xludf.dummyfunction("if($T644&lt;&gt;"""",REGEXEXTRACT(SUBSTITUTE ($T644,N$1&amp;"" CE"",""""), N$1&amp;""[\w &amp;]*, (\d+\.\d+)""),"""")
"),"")</f>
        <v/>
      </c>
      <c r="O644" s="3" t="str">
        <f aca="false">IFERROR(__xludf.dummyfunction("if($T644&lt;&gt;"""",REGEXEXTRACT($T644, O$1&amp;""[\w &amp;]*, (\d+\.\d+)""),"""")
"),"")</f>
        <v/>
      </c>
      <c r="P644" s="2"/>
      <c r="Q644" s="2"/>
      <c r="R644" s="2"/>
      <c r="S644" s="2"/>
      <c r="T644" s="5"/>
    </row>
    <row r="645" customFormat="false" ht="15.75" hidden="false" customHeight="false" outlineLevel="0" collapsed="false">
      <c r="A645" s="4"/>
      <c r="B645" s="2"/>
      <c r="C645" s="2"/>
      <c r="D645" s="2"/>
      <c r="E645" s="2"/>
      <c r="F645" s="3" t="str">
        <f aca="false">IFERROR(__xludf.dummyfunction("if($T645&lt;&gt;"""",REGEXEXTRACT(SUBSTITUTE ($T645,F$1&amp;"" CE"",""""), F$1&amp;""[\w &amp;]*, (\d+\.\d+)""),"""")
"),"")</f>
        <v/>
      </c>
      <c r="G645" s="3" t="str">
        <f aca="false">IFERROR(__xludf.dummyfunction("if($T645&lt;&gt;"""",REGEXEXTRACT($T645, G$1&amp;""[\w &amp;]*, (\d+\.\d+)""),"""")
"),"")</f>
        <v/>
      </c>
      <c r="H645" s="3"/>
      <c r="I645" s="3" t="str">
        <f aca="false">IFERROR(__xludf.dummyfunction("if($T645&lt;&gt;"""",REGEXEXTRACT(SUBSTITUTE ($T645,I$1&amp;"" CE"",""""), I$1&amp;""[\w &amp;]*, (\d+\.\d+)""),"""")
"),"")</f>
        <v/>
      </c>
      <c r="J645" s="3" t="str">
        <f aca="false">IFERROR(__xludf.dummyfunction("if($T645&lt;&gt;"""",REGEXEXTRACT($T645, J$1&amp;""[\w &amp;]*, (\d+\.\d+)""),"""")
"),"")</f>
        <v/>
      </c>
      <c r="K645" s="3"/>
      <c r="L645" s="3" t="str">
        <f aca="false">IFERROR(__xludf.dummyfunction("if($T645&lt;&gt;"""",REGEXEXTRACT(SUBSTITUTE ($T645,L$1&amp;"" CE"",""""), L$1&amp;""[\w &amp;]*, (\d+\.\d+)""),"""")
"),"")</f>
        <v/>
      </c>
      <c r="M645" s="3" t="str">
        <f aca="false">IFERROR(__xludf.dummyfunction("if($T645&lt;&gt;"""",REGEXEXTRACT($T645, M$1&amp;""[\w &amp;]*, (\d+\.\d+)""),"""")
"),"")</f>
        <v/>
      </c>
      <c r="N645" s="3" t="str">
        <f aca="false">IFERROR(__xludf.dummyfunction("if($T645&lt;&gt;"""",REGEXEXTRACT(SUBSTITUTE ($T645,N$1&amp;"" CE"",""""), N$1&amp;""[\w &amp;]*, (\d+\.\d+)""),"""")
"),"")</f>
        <v/>
      </c>
      <c r="O645" s="3" t="str">
        <f aca="false">IFERROR(__xludf.dummyfunction("if($T645&lt;&gt;"""",REGEXEXTRACT($T645, O$1&amp;""[\w &amp;]*, (\d+\.\d+)""),"""")
"),"")</f>
        <v/>
      </c>
      <c r="P645" s="2"/>
      <c r="Q645" s="2"/>
      <c r="R645" s="2"/>
      <c r="S645" s="2"/>
      <c r="T645" s="5"/>
    </row>
    <row r="646" customFormat="false" ht="15.75" hidden="false" customHeight="false" outlineLevel="0" collapsed="false">
      <c r="A646" s="4"/>
      <c r="B646" s="2"/>
      <c r="C646" s="2"/>
      <c r="D646" s="2"/>
      <c r="E646" s="2"/>
      <c r="F646" s="3" t="str">
        <f aca="false">IFERROR(__xludf.dummyfunction("if($T646&lt;&gt;"""",REGEXEXTRACT(SUBSTITUTE ($T646,F$1&amp;"" CE"",""""), F$1&amp;""[\w &amp;]*, (\d+\.\d+)""),"""")
"),"")</f>
        <v/>
      </c>
      <c r="G646" s="3" t="str">
        <f aca="false">IFERROR(__xludf.dummyfunction("if($T646&lt;&gt;"""",REGEXEXTRACT($T646, G$1&amp;""[\w &amp;]*, (\d+\.\d+)""),"""")
"),"")</f>
        <v/>
      </c>
      <c r="H646" s="3"/>
      <c r="I646" s="3" t="str">
        <f aca="false">IFERROR(__xludf.dummyfunction("if($T646&lt;&gt;"""",REGEXEXTRACT(SUBSTITUTE ($T646,I$1&amp;"" CE"",""""), I$1&amp;""[\w &amp;]*, (\d+\.\d+)""),"""")
"),"")</f>
        <v/>
      </c>
      <c r="J646" s="3" t="str">
        <f aca="false">IFERROR(__xludf.dummyfunction("if($T646&lt;&gt;"""",REGEXEXTRACT($T646, J$1&amp;""[\w &amp;]*, (\d+\.\d+)""),"""")
"),"")</f>
        <v/>
      </c>
      <c r="K646" s="3"/>
      <c r="L646" s="3" t="str">
        <f aca="false">IFERROR(__xludf.dummyfunction("if($T646&lt;&gt;"""",REGEXEXTRACT(SUBSTITUTE ($T646,L$1&amp;"" CE"",""""), L$1&amp;""[\w &amp;]*, (\d+\.\d+)""),"""")
"),"")</f>
        <v/>
      </c>
      <c r="M646" s="3" t="str">
        <f aca="false">IFERROR(__xludf.dummyfunction("if($T646&lt;&gt;"""",REGEXEXTRACT($T646, M$1&amp;""[\w &amp;]*, (\d+\.\d+)""),"""")
"),"")</f>
        <v/>
      </c>
      <c r="N646" s="3" t="str">
        <f aca="false">IFERROR(__xludf.dummyfunction("if($T646&lt;&gt;"""",REGEXEXTRACT(SUBSTITUTE ($T646,N$1&amp;"" CE"",""""), N$1&amp;""[\w &amp;]*, (\d+\.\d+)""),"""")
"),"")</f>
        <v/>
      </c>
      <c r="O646" s="3" t="str">
        <f aca="false">IFERROR(__xludf.dummyfunction("if($T646&lt;&gt;"""",REGEXEXTRACT($T646, O$1&amp;""[\w &amp;]*, (\d+\.\d+)""),"""")
"),"")</f>
        <v/>
      </c>
      <c r="P646" s="2"/>
      <c r="Q646" s="2"/>
      <c r="R646" s="2"/>
      <c r="S646" s="2"/>
      <c r="T646" s="5"/>
    </row>
    <row r="647" customFormat="false" ht="15.75" hidden="false" customHeight="false" outlineLevel="0" collapsed="false">
      <c r="A647" s="4"/>
      <c r="B647" s="2"/>
      <c r="C647" s="2"/>
      <c r="D647" s="2"/>
      <c r="E647" s="2"/>
      <c r="F647" s="3" t="str">
        <f aca="false">IFERROR(__xludf.dummyfunction("if($T647&lt;&gt;"""",REGEXEXTRACT(SUBSTITUTE ($T647,F$1&amp;"" CE"",""""), F$1&amp;""[\w &amp;]*, (\d+\.\d+)""),"""")
"),"")</f>
        <v/>
      </c>
      <c r="G647" s="3" t="str">
        <f aca="false">IFERROR(__xludf.dummyfunction("if($T647&lt;&gt;"""",REGEXEXTRACT($T647, G$1&amp;""[\w &amp;]*, (\d+\.\d+)""),"""")
"),"")</f>
        <v/>
      </c>
      <c r="H647" s="3"/>
      <c r="I647" s="3" t="str">
        <f aca="false">IFERROR(__xludf.dummyfunction("if($T647&lt;&gt;"""",REGEXEXTRACT(SUBSTITUTE ($T647,I$1&amp;"" CE"",""""), I$1&amp;""[\w &amp;]*, (\d+\.\d+)""),"""")
"),"")</f>
        <v/>
      </c>
      <c r="J647" s="3" t="str">
        <f aca="false">IFERROR(__xludf.dummyfunction("if($T647&lt;&gt;"""",REGEXEXTRACT($T647, J$1&amp;""[\w &amp;]*, (\d+\.\d+)""),"""")
"),"")</f>
        <v/>
      </c>
      <c r="K647" s="3"/>
      <c r="L647" s="3" t="str">
        <f aca="false">IFERROR(__xludf.dummyfunction("if($T647&lt;&gt;"""",REGEXEXTRACT(SUBSTITUTE ($T647,L$1&amp;"" CE"",""""), L$1&amp;""[\w &amp;]*, (\d+\.\d+)""),"""")
"),"")</f>
        <v/>
      </c>
      <c r="M647" s="3" t="str">
        <f aca="false">IFERROR(__xludf.dummyfunction("if($T647&lt;&gt;"""",REGEXEXTRACT($T647, M$1&amp;""[\w &amp;]*, (\d+\.\d+)""),"""")
"),"")</f>
        <v/>
      </c>
      <c r="N647" s="3" t="str">
        <f aca="false">IFERROR(__xludf.dummyfunction("if($T647&lt;&gt;"""",REGEXEXTRACT(SUBSTITUTE ($T647,N$1&amp;"" CE"",""""), N$1&amp;""[\w &amp;]*, (\d+\.\d+)""),"""")
"),"")</f>
        <v/>
      </c>
      <c r="O647" s="3" t="str">
        <f aca="false">IFERROR(__xludf.dummyfunction("if($T647&lt;&gt;"""",REGEXEXTRACT($T647, O$1&amp;""[\w &amp;]*, (\d+\.\d+)""),"""")
"),"")</f>
        <v/>
      </c>
      <c r="P647" s="2"/>
      <c r="Q647" s="2"/>
      <c r="R647" s="2"/>
      <c r="S647" s="2"/>
      <c r="T647" s="5"/>
    </row>
    <row r="648" customFormat="false" ht="15.75" hidden="false" customHeight="false" outlineLevel="0" collapsed="false">
      <c r="A648" s="4"/>
      <c r="B648" s="2"/>
      <c r="C648" s="2"/>
      <c r="D648" s="2"/>
      <c r="E648" s="2"/>
      <c r="F648" s="3" t="str">
        <f aca="false">IFERROR(__xludf.dummyfunction("if($T648&lt;&gt;"""",REGEXEXTRACT(SUBSTITUTE ($T648,F$1&amp;"" CE"",""""), F$1&amp;""[\w &amp;]*, (\d+\.\d+)""),"""")
"),"")</f>
        <v/>
      </c>
      <c r="G648" s="3" t="str">
        <f aca="false">IFERROR(__xludf.dummyfunction("if($T648&lt;&gt;"""",REGEXEXTRACT($T648, G$1&amp;""[\w &amp;]*, (\d+\.\d+)""),"""")
"),"")</f>
        <v/>
      </c>
      <c r="H648" s="3"/>
      <c r="I648" s="3" t="str">
        <f aca="false">IFERROR(__xludf.dummyfunction("if($T648&lt;&gt;"""",REGEXEXTRACT(SUBSTITUTE ($T648,I$1&amp;"" CE"",""""), I$1&amp;""[\w &amp;]*, (\d+\.\d+)""),"""")
"),"")</f>
        <v/>
      </c>
      <c r="J648" s="3" t="str">
        <f aca="false">IFERROR(__xludf.dummyfunction("if($T648&lt;&gt;"""",REGEXEXTRACT($T648, J$1&amp;""[\w &amp;]*, (\d+\.\d+)""),"""")
"),"")</f>
        <v/>
      </c>
      <c r="K648" s="3"/>
      <c r="L648" s="3" t="str">
        <f aca="false">IFERROR(__xludf.dummyfunction("if($T648&lt;&gt;"""",REGEXEXTRACT(SUBSTITUTE ($T648,L$1&amp;"" CE"",""""), L$1&amp;""[\w &amp;]*, (\d+\.\d+)""),"""")
"),"")</f>
        <v/>
      </c>
      <c r="M648" s="3" t="str">
        <f aca="false">IFERROR(__xludf.dummyfunction("if($T648&lt;&gt;"""",REGEXEXTRACT($T648, M$1&amp;""[\w &amp;]*, (\d+\.\d+)""),"""")
"),"")</f>
        <v/>
      </c>
      <c r="N648" s="3" t="str">
        <f aca="false">IFERROR(__xludf.dummyfunction("if($T648&lt;&gt;"""",REGEXEXTRACT(SUBSTITUTE ($T648,N$1&amp;"" CE"",""""), N$1&amp;""[\w &amp;]*, (\d+\.\d+)""),"""")
"),"")</f>
        <v/>
      </c>
      <c r="O648" s="3" t="str">
        <f aca="false">IFERROR(__xludf.dummyfunction("if($T648&lt;&gt;"""",REGEXEXTRACT($T648, O$1&amp;""[\w &amp;]*, (\d+\.\d+)""),"""")
"),"")</f>
        <v/>
      </c>
      <c r="P648" s="2"/>
      <c r="Q648" s="2"/>
      <c r="R648" s="2"/>
      <c r="S648" s="2"/>
      <c r="T648" s="5"/>
    </row>
    <row r="649" customFormat="false" ht="15.75" hidden="false" customHeight="false" outlineLevel="0" collapsed="false">
      <c r="A649" s="4"/>
      <c r="B649" s="2"/>
      <c r="C649" s="2"/>
      <c r="D649" s="2"/>
      <c r="E649" s="2"/>
      <c r="F649" s="3" t="str">
        <f aca="false">IFERROR(__xludf.dummyfunction("if($T649&lt;&gt;"""",REGEXEXTRACT(SUBSTITUTE ($T649,F$1&amp;"" CE"",""""), F$1&amp;""[\w &amp;]*, (\d+\.\d+)""),"""")
"),"")</f>
        <v/>
      </c>
      <c r="G649" s="3" t="str">
        <f aca="false">IFERROR(__xludf.dummyfunction("if($T649&lt;&gt;"""",REGEXEXTRACT($T649, G$1&amp;""[\w &amp;]*, (\d+\.\d+)""),"""")
"),"")</f>
        <v/>
      </c>
      <c r="H649" s="3"/>
      <c r="I649" s="3" t="str">
        <f aca="false">IFERROR(__xludf.dummyfunction("if($T649&lt;&gt;"""",REGEXEXTRACT(SUBSTITUTE ($T649,I$1&amp;"" CE"",""""), I$1&amp;""[\w &amp;]*, (\d+\.\d+)""),"""")
"),"")</f>
        <v/>
      </c>
      <c r="J649" s="3" t="str">
        <f aca="false">IFERROR(__xludf.dummyfunction("if($T649&lt;&gt;"""",REGEXEXTRACT($T649, J$1&amp;""[\w &amp;]*, (\d+\.\d+)""),"""")
"),"")</f>
        <v/>
      </c>
      <c r="K649" s="3"/>
      <c r="L649" s="3" t="str">
        <f aca="false">IFERROR(__xludf.dummyfunction("if($T649&lt;&gt;"""",REGEXEXTRACT(SUBSTITUTE ($T649,L$1&amp;"" CE"",""""), L$1&amp;""[\w &amp;]*, (\d+\.\d+)""),"""")
"),"")</f>
        <v/>
      </c>
      <c r="M649" s="3" t="str">
        <f aca="false">IFERROR(__xludf.dummyfunction("if($T649&lt;&gt;"""",REGEXEXTRACT($T649, M$1&amp;""[\w &amp;]*, (\d+\.\d+)""),"""")
"),"")</f>
        <v/>
      </c>
      <c r="N649" s="3" t="str">
        <f aca="false">IFERROR(__xludf.dummyfunction("if($T649&lt;&gt;"""",REGEXEXTRACT(SUBSTITUTE ($T649,N$1&amp;"" CE"",""""), N$1&amp;""[\w &amp;]*, (\d+\.\d+)""),"""")
"),"")</f>
        <v/>
      </c>
      <c r="O649" s="3" t="str">
        <f aca="false">IFERROR(__xludf.dummyfunction("if($T649&lt;&gt;"""",REGEXEXTRACT($T649, O$1&amp;""[\w &amp;]*, (\d+\.\d+)""),"""")
"),"")</f>
        <v/>
      </c>
      <c r="P649" s="2"/>
      <c r="Q649" s="2"/>
      <c r="R649" s="2"/>
      <c r="S649" s="2"/>
      <c r="T649" s="5"/>
    </row>
    <row r="650" customFormat="false" ht="15.75" hidden="false" customHeight="false" outlineLevel="0" collapsed="false">
      <c r="A650" s="4"/>
      <c r="B650" s="2"/>
      <c r="C650" s="2"/>
      <c r="D650" s="2"/>
      <c r="E650" s="2"/>
      <c r="F650" s="3" t="str">
        <f aca="false">IFERROR(__xludf.dummyfunction("if($T650&lt;&gt;"""",REGEXEXTRACT(SUBSTITUTE ($T650,F$1&amp;"" CE"",""""), F$1&amp;""[\w &amp;]*, (\d+\.\d+)""),"""")
"),"")</f>
        <v/>
      </c>
      <c r="G650" s="3" t="str">
        <f aca="false">IFERROR(__xludf.dummyfunction("if($T650&lt;&gt;"""",REGEXEXTRACT($T650, G$1&amp;""[\w &amp;]*, (\d+\.\d+)""),"""")
"),"")</f>
        <v/>
      </c>
      <c r="H650" s="3"/>
      <c r="I650" s="3" t="str">
        <f aca="false">IFERROR(__xludf.dummyfunction("if($T650&lt;&gt;"""",REGEXEXTRACT(SUBSTITUTE ($T650,I$1&amp;"" CE"",""""), I$1&amp;""[\w &amp;]*, (\d+\.\d+)""),"""")
"),"")</f>
        <v/>
      </c>
      <c r="J650" s="3" t="str">
        <f aca="false">IFERROR(__xludf.dummyfunction("if($T650&lt;&gt;"""",REGEXEXTRACT($T650, J$1&amp;""[\w &amp;]*, (\d+\.\d+)""),"""")
"),"")</f>
        <v/>
      </c>
      <c r="K650" s="3"/>
      <c r="L650" s="3" t="str">
        <f aca="false">IFERROR(__xludf.dummyfunction("if($T650&lt;&gt;"""",REGEXEXTRACT(SUBSTITUTE ($T650,L$1&amp;"" CE"",""""), L$1&amp;""[\w &amp;]*, (\d+\.\d+)""),"""")
"),"")</f>
        <v/>
      </c>
      <c r="M650" s="3" t="str">
        <f aca="false">IFERROR(__xludf.dummyfunction("if($T650&lt;&gt;"""",REGEXEXTRACT($T650, M$1&amp;""[\w &amp;]*, (\d+\.\d+)""),"""")
"),"")</f>
        <v/>
      </c>
      <c r="N650" s="3" t="str">
        <f aca="false">IFERROR(__xludf.dummyfunction("if($T650&lt;&gt;"""",REGEXEXTRACT(SUBSTITUTE ($T650,N$1&amp;"" CE"",""""), N$1&amp;""[\w &amp;]*, (\d+\.\d+)""),"""")
"),"")</f>
        <v/>
      </c>
      <c r="O650" s="3" t="str">
        <f aca="false">IFERROR(__xludf.dummyfunction("if($T650&lt;&gt;"""",REGEXEXTRACT($T650, O$1&amp;""[\w &amp;]*, (\d+\.\d+)""),"""")
"),"")</f>
        <v/>
      </c>
      <c r="P650" s="2"/>
      <c r="Q650" s="2"/>
      <c r="R650" s="2"/>
      <c r="S650" s="2"/>
      <c r="T650" s="5"/>
    </row>
    <row r="651" customFormat="false" ht="15.75" hidden="false" customHeight="false" outlineLevel="0" collapsed="false">
      <c r="A651" s="4"/>
      <c r="B651" s="2"/>
      <c r="C651" s="2"/>
      <c r="D651" s="2"/>
      <c r="E651" s="2"/>
      <c r="F651" s="3" t="str">
        <f aca="false">IFERROR(__xludf.dummyfunction("if($T651&lt;&gt;"""",REGEXEXTRACT(SUBSTITUTE ($T651,F$1&amp;"" CE"",""""), F$1&amp;""[\w &amp;]*, (\d+\.\d+)""),"""")
"),"")</f>
        <v/>
      </c>
      <c r="G651" s="3" t="str">
        <f aca="false">IFERROR(__xludf.dummyfunction("if($T651&lt;&gt;"""",REGEXEXTRACT($T651, G$1&amp;""[\w &amp;]*, (\d+\.\d+)""),"""")
"),"")</f>
        <v/>
      </c>
      <c r="H651" s="3"/>
      <c r="I651" s="3" t="str">
        <f aca="false">IFERROR(__xludf.dummyfunction("if($T651&lt;&gt;"""",REGEXEXTRACT(SUBSTITUTE ($T651,I$1&amp;"" CE"",""""), I$1&amp;""[\w &amp;]*, (\d+\.\d+)""),"""")
"),"")</f>
        <v/>
      </c>
      <c r="J651" s="3" t="str">
        <f aca="false">IFERROR(__xludf.dummyfunction("if($T651&lt;&gt;"""",REGEXEXTRACT($T651, J$1&amp;""[\w &amp;]*, (\d+\.\d+)""),"""")
"),"")</f>
        <v/>
      </c>
      <c r="K651" s="3"/>
      <c r="L651" s="3" t="str">
        <f aca="false">IFERROR(__xludf.dummyfunction("if($T651&lt;&gt;"""",REGEXEXTRACT(SUBSTITUTE ($T651,L$1&amp;"" CE"",""""), L$1&amp;""[\w &amp;]*, (\d+\.\d+)""),"""")
"),"")</f>
        <v/>
      </c>
      <c r="M651" s="3" t="str">
        <f aca="false">IFERROR(__xludf.dummyfunction("if($T651&lt;&gt;"""",REGEXEXTRACT($T651, M$1&amp;""[\w &amp;]*, (\d+\.\d+)""),"""")
"),"")</f>
        <v/>
      </c>
      <c r="N651" s="3" t="str">
        <f aca="false">IFERROR(__xludf.dummyfunction("if($T651&lt;&gt;"""",REGEXEXTRACT(SUBSTITUTE ($T651,N$1&amp;"" CE"",""""), N$1&amp;""[\w &amp;]*, (\d+\.\d+)""),"""")
"),"")</f>
        <v/>
      </c>
      <c r="O651" s="3" t="str">
        <f aca="false">IFERROR(__xludf.dummyfunction("if($T651&lt;&gt;"""",REGEXEXTRACT($T651, O$1&amp;""[\w &amp;]*, (\d+\.\d+)""),"""")
"),"")</f>
        <v/>
      </c>
      <c r="P651" s="2"/>
      <c r="Q651" s="2"/>
      <c r="R651" s="2"/>
      <c r="S651" s="2"/>
      <c r="T651" s="5"/>
    </row>
    <row r="652" customFormat="false" ht="15.75" hidden="false" customHeight="false" outlineLevel="0" collapsed="false">
      <c r="A652" s="4"/>
      <c r="B652" s="2"/>
      <c r="C652" s="2"/>
      <c r="D652" s="2"/>
      <c r="E652" s="2"/>
      <c r="F652" s="3" t="str">
        <f aca="false">IFERROR(__xludf.dummyfunction("if($T652&lt;&gt;"""",REGEXEXTRACT(SUBSTITUTE ($T652,F$1&amp;"" CE"",""""), F$1&amp;""[\w &amp;]*, (\d+\.\d+)""),"""")
"),"")</f>
        <v/>
      </c>
      <c r="G652" s="3" t="str">
        <f aca="false">IFERROR(__xludf.dummyfunction("if($T652&lt;&gt;"""",REGEXEXTRACT($T652, G$1&amp;""[\w &amp;]*, (\d+\.\d+)""),"""")
"),"")</f>
        <v/>
      </c>
      <c r="H652" s="3"/>
      <c r="I652" s="3" t="str">
        <f aca="false">IFERROR(__xludf.dummyfunction("if($T652&lt;&gt;"""",REGEXEXTRACT(SUBSTITUTE ($T652,I$1&amp;"" CE"",""""), I$1&amp;""[\w &amp;]*, (\d+\.\d+)""),"""")
"),"")</f>
        <v/>
      </c>
      <c r="J652" s="3" t="str">
        <f aca="false">IFERROR(__xludf.dummyfunction("if($T652&lt;&gt;"""",REGEXEXTRACT($T652, J$1&amp;""[\w &amp;]*, (\d+\.\d+)""),"""")
"),"")</f>
        <v/>
      </c>
      <c r="K652" s="3"/>
      <c r="L652" s="3" t="str">
        <f aca="false">IFERROR(__xludf.dummyfunction("if($T652&lt;&gt;"""",REGEXEXTRACT(SUBSTITUTE ($T652,L$1&amp;"" CE"",""""), L$1&amp;""[\w &amp;]*, (\d+\.\d+)""),"""")
"),"")</f>
        <v/>
      </c>
      <c r="M652" s="3" t="str">
        <f aca="false">IFERROR(__xludf.dummyfunction("if($T652&lt;&gt;"""",REGEXEXTRACT($T652, M$1&amp;""[\w &amp;]*, (\d+\.\d+)""),"""")
"),"")</f>
        <v/>
      </c>
      <c r="N652" s="3" t="str">
        <f aca="false">IFERROR(__xludf.dummyfunction("if($T652&lt;&gt;"""",REGEXEXTRACT(SUBSTITUTE ($T652,N$1&amp;"" CE"",""""), N$1&amp;""[\w &amp;]*, (\d+\.\d+)""),"""")
"),"")</f>
        <v/>
      </c>
      <c r="O652" s="3" t="str">
        <f aca="false">IFERROR(__xludf.dummyfunction("if($T652&lt;&gt;"""",REGEXEXTRACT($T652, O$1&amp;""[\w &amp;]*, (\d+\.\d+)""),"""")
"),"")</f>
        <v/>
      </c>
      <c r="P652" s="2"/>
      <c r="Q652" s="2"/>
      <c r="R652" s="2"/>
      <c r="S652" s="2"/>
      <c r="T652" s="5"/>
    </row>
    <row r="653" customFormat="false" ht="15.75" hidden="false" customHeight="false" outlineLevel="0" collapsed="false">
      <c r="A653" s="4"/>
      <c r="B653" s="2"/>
      <c r="C653" s="2"/>
      <c r="D653" s="2"/>
      <c r="E653" s="2"/>
      <c r="F653" s="3" t="str">
        <f aca="false">IFERROR(__xludf.dummyfunction("if($T653&lt;&gt;"""",REGEXEXTRACT(SUBSTITUTE ($T653,F$1&amp;"" CE"",""""), F$1&amp;""[\w &amp;]*, (\d+\.\d+)""),"""")
"),"")</f>
        <v/>
      </c>
      <c r="G653" s="3" t="str">
        <f aca="false">IFERROR(__xludf.dummyfunction("if($T653&lt;&gt;"""",REGEXEXTRACT($T653, G$1&amp;""[\w &amp;]*, (\d+\.\d+)""),"""")
"),"")</f>
        <v/>
      </c>
      <c r="H653" s="3"/>
      <c r="I653" s="3" t="str">
        <f aca="false">IFERROR(__xludf.dummyfunction("if($T653&lt;&gt;"""",REGEXEXTRACT(SUBSTITUTE ($T653,I$1&amp;"" CE"",""""), I$1&amp;""[\w &amp;]*, (\d+\.\d+)""),"""")
"),"")</f>
        <v/>
      </c>
      <c r="J653" s="3" t="str">
        <f aca="false">IFERROR(__xludf.dummyfunction("if($T653&lt;&gt;"""",REGEXEXTRACT($T653, J$1&amp;""[\w &amp;]*, (\d+\.\d+)""),"""")
"),"")</f>
        <v/>
      </c>
      <c r="K653" s="3"/>
      <c r="L653" s="3" t="str">
        <f aca="false">IFERROR(__xludf.dummyfunction("if($T653&lt;&gt;"""",REGEXEXTRACT(SUBSTITUTE ($T653,L$1&amp;"" CE"",""""), L$1&amp;""[\w &amp;]*, (\d+\.\d+)""),"""")
"),"")</f>
        <v/>
      </c>
      <c r="M653" s="3" t="str">
        <f aca="false">IFERROR(__xludf.dummyfunction("if($T653&lt;&gt;"""",REGEXEXTRACT($T653, M$1&amp;""[\w &amp;]*, (\d+\.\d+)""),"""")
"),"")</f>
        <v/>
      </c>
      <c r="N653" s="3" t="str">
        <f aca="false">IFERROR(__xludf.dummyfunction("if($T653&lt;&gt;"""",REGEXEXTRACT(SUBSTITUTE ($T653,N$1&amp;"" CE"",""""), N$1&amp;""[\w &amp;]*, (\d+\.\d+)""),"""")
"),"")</f>
        <v/>
      </c>
      <c r="O653" s="3" t="str">
        <f aca="false">IFERROR(__xludf.dummyfunction("if($T653&lt;&gt;"""",REGEXEXTRACT($T653, O$1&amp;""[\w &amp;]*, (\d+\.\d+)""),"""")
"),"")</f>
        <v/>
      </c>
      <c r="P653" s="2"/>
      <c r="Q653" s="2"/>
      <c r="R653" s="2"/>
      <c r="S653" s="2"/>
      <c r="T653" s="5"/>
    </row>
    <row r="654" customFormat="false" ht="15.75" hidden="false" customHeight="false" outlineLevel="0" collapsed="false">
      <c r="A654" s="4"/>
      <c r="B654" s="2"/>
      <c r="C654" s="2"/>
      <c r="D654" s="2"/>
      <c r="E654" s="2"/>
      <c r="F654" s="3" t="str">
        <f aca="false">IFERROR(__xludf.dummyfunction("if($T654&lt;&gt;"""",REGEXEXTRACT(SUBSTITUTE ($T654,F$1&amp;"" CE"",""""), F$1&amp;""[\w &amp;]*, (\d+\.\d+)""),"""")
"),"")</f>
        <v/>
      </c>
      <c r="G654" s="3" t="str">
        <f aca="false">IFERROR(__xludf.dummyfunction("if($T654&lt;&gt;"""",REGEXEXTRACT($T654, G$1&amp;""[\w &amp;]*, (\d+\.\d+)""),"""")
"),"")</f>
        <v/>
      </c>
      <c r="H654" s="3"/>
      <c r="I654" s="3" t="str">
        <f aca="false">IFERROR(__xludf.dummyfunction("if($T654&lt;&gt;"""",REGEXEXTRACT(SUBSTITUTE ($T654,I$1&amp;"" CE"",""""), I$1&amp;""[\w &amp;]*, (\d+\.\d+)""),"""")
"),"")</f>
        <v/>
      </c>
      <c r="J654" s="3" t="str">
        <f aca="false">IFERROR(__xludf.dummyfunction("if($T654&lt;&gt;"""",REGEXEXTRACT($T654, J$1&amp;""[\w &amp;]*, (\d+\.\d+)""),"""")
"),"")</f>
        <v/>
      </c>
      <c r="K654" s="3"/>
      <c r="L654" s="3" t="str">
        <f aca="false">IFERROR(__xludf.dummyfunction("if($T654&lt;&gt;"""",REGEXEXTRACT(SUBSTITUTE ($T654,L$1&amp;"" CE"",""""), L$1&amp;""[\w &amp;]*, (\d+\.\d+)""),"""")
"),"")</f>
        <v/>
      </c>
      <c r="M654" s="3" t="str">
        <f aca="false">IFERROR(__xludf.dummyfunction("if($T654&lt;&gt;"""",REGEXEXTRACT($T654, M$1&amp;""[\w &amp;]*, (\d+\.\d+)""),"""")
"),"")</f>
        <v/>
      </c>
      <c r="N654" s="3" t="str">
        <f aca="false">IFERROR(__xludf.dummyfunction("if($T654&lt;&gt;"""",REGEXEXTRACT(SUBSTITUTE ($T654,N$1&amp;"" CE"",""""), N$1&amp;""[\w &amp;]*, (\d+\.\d+)""),"""")
"),"")</f>
        <v/>
      </c>
      <c r="O654" s="3" t="str">
        <f aca="false">IFERROR(__xludf.dummyfunction("if($T654&lt;&gt;"""",REGEXEXTRACT($T654, O$1&amp;""[\w &amp;]*, (\d+\.\d+)""),"""")
"),"")</f>
        <v/>
      </c>
      <c r="P654" s="2"/>
      <c r="Q654" s="2"/>
      <c r="R654" s="2"/>
      <c r="S654" s="2"/>
      <c r="T654" s="5"/>
    </row>
    <row r="655" customFormat="false" ht="15.75" hidden="false" customHeight="false" outlineLevel="0" collapsed="false">
      <c r="A655" s="4"/>
      <c r="B655" s="2"/>
      <c r="C655" s="2"/>
      <c r="D655" s="2"/>
      <c r="E655" s="2"/>
      <c r="F655" s="3" t="str">
        <f aca="false">IFERROR(__xludf.dummyfunction("if($T655&lt;&gt;"""",REGEXEXTRACT(SUBSTITUTE ($T655,F$1&amp;"" CE"",""""), F$1&amp;""[\w &amp;]*, (\d+\.\d+)""),"""")
"),"")</f>
        <v/>
      </c>
      <c r="G655" s="3" t="str">
        <f aca="false">IFERROR(__xludf.dummyfunction("if($T655&lt;&gt;"""",REGEXEXTRACT($T655, G$1&amp;""[\w &amp;]*, (\d+\.\d+)""),"""")
"),"")</f>
        <v/>
      </c>
      <c r="H655" s="3"/>
      <c r="I655" s="3" t="str">
        <f aca="false">IFERROR(__xludf.dummyfunction("if($T655&lt;&gt;"""",REGEXEXTRACT(SUBSTITUTE ($T655,I$1&amp;"" CE"",""""), I$1&amp;""[\w &amp;]*, (\d+\.\d+)""),"""")
"),"")</f>
        <v/>
      </c>
      <c r="J655" s="3" t="str">
        <f aca="false">IFERROR(__xludf.dummyfunction("if($T655&lt;&gt;"""",REGEXEXTRACT($T655, J$1&amp;""[\w &amp;]*, (\d+\.\d+)""),"""")
"),"")</f>
        <v/>
      </c>
      <c r="K655" s="3"/>
      <c r="L655" s="3" t="str">
        <f aca="false">IFERROR(__xludf.dummyfunction("if($T655&lt;&gt;"""",REGEXEXTRACT(SUBSTITUTE ($T655,L$1&amp;"" CE"",""""), L$1&amp;""[\w &amp;]*, (\d+\.\d+)""),"""")
"),"")</f>
        <v/>
      </c>
      <c r="M655" s="3" t="str">
        <f aca="false">IFERROR(__xludf.dummyfunction("if($T655&lt;&gt;"""",REGEXEXTRACT($T655, M$1&amp;""[\w &amp;]*, (\d+\.\d+)""),"""")
"),"")</f>
        <v/>
      </c>
      <c r="N655" s="3" t="str">
        <f aca="false">IFERROR(__xludf.dummyfunction("if($T655&lt;&gt;"""",REGEXEXTRACT(SUBSTITUTE ($T655,N$1&amp;"" CE"",""""), N$1&amp;""[\w &amp;]*, (\d+\.\d+)""),"""")
"),"")</f>
        <v/>
      </c>
      <c r="O655" s="3" t="str">
        <f aca="false">IFERROR(__xludf.dummyfunction("if($T655&lt;&gt;"""",REGEXEXTRACT($T655, O$1&amp;""[\w &amp;]*, (\d+\.\d+)""),"""")
"),"")</f>
        <v/>
      </c>
      <c r="P655" s="2"/>
      <c r="Q655" s="2"/>
      <c r="R655" s="2"/>
      <c r="S655" s="2"/>
      <c r="T655" s="5"/>
    </row>
    <row r="656" customFormat="false" ht="15.75" hidden="false" customHeight="false" outlineLevel="0" collapsed="false">
      <c r="A656" s="4"/>
      <c r="B656" s="2"/>
      <c r="C656" s="2"/>
      <c r="D656" s="2"/>
      <c r="E656" s="2"/>
      <c r="F656" s="3" t="str">
        <f aca="false">IFERROR(__xludf.dummyfunction("if($T656&lt;&gt;"""",REGEXEXTRACT(SUBSTITUTE ($T656,F$1&amp;"" CE"",""""), F$1&amp;""[\w &amp;]*, (\d+\.\d+)""),"""")
"),"")</f>
        <v/>
      </c>
      <c r="G656" s="3" t="str">
        <f aca="false">IFERROR(__xludf.dummyfunction("if($T656&lt;&gt;"""",REGEXEXTRACT($T656, G$1&amp;""[\w &amp;]*, (\d+\.\d+)""),"""")
"),"")</f>
        <v/>
      </c>
      <c r="H656" s="3"/>
      <c r="I656" s="3" t="str">
        <f aca="false">IFERROR(__xludf.dummyfunction("if($T656&lt;&gt;"""",REGEXEXTRACT(SUBSTITUTE ($T656,I$1&amp;"" CE"",""""), I$1&amp;""[\w &amp;]*, (\d+\.\d+)""),"""")
"),"")</f>
        <v/>
      </c>
      <c r="J656" s="3" t="str">
        <f aca="false">IFERROR(__xludf.dummyfunction("if($T656&lt;&gt;"""",REGEXEXTRACT($T656, J$1&amp;""[\w &amp;]*, (\d+\.\d+)""),"""")
"),"")</f>
        <v/>
      </c>
      <c r="K656" s="3"/>
      <c r="L656" s="3" t="str">
        <f aca="false">IFERROR(__xludf.dummyfunction("if($T656&lt;&gt;"""",REGEXEXTRACT(SUBSTITUTE ($T656,L$1&amp;"" CE"",""""), L$1&amp;""[\w &amp;]*, (\d+\.\d+)""),"""")
"),"")</f>
        <v/>
      </c>
      <c r="M656" s="3" t="str">
        <f aca="false">IFERROR(__xludf.dummyfunction("if($T656&lt;&gt;"""",REGEXEXTRACT($T656, M$1&amp;""[\w &amp;]*, (\d+\.\d+)""),"""")
"),"")</f>
        <v/>
      </c>
      <c r="N656" s="3" t="str">
        <f aca="false">IFERROR(__xludf.dummyfunction("if($T656&lt;&gt;"""",REGEXEXTRACT(SUBSTITUTE ($T656,N$1&amp;"" CE"",""""), N$1&amp;""[\w &amp;]*, (\d+\.\d+)""),"""")
"),"")</f>
        <v/>
      </c>
      <c r="O656" s="3" t="str">
        <f aca="false">IFERROR(__xludf.dummyfunction("if($T656&lt;&gt;"""",REGEXEXTRACT($T656, O$1&amp;""[\w &amp;]*, (\d+\.\d+)""),"""")
"),"")</f>
        <v/>
      </c>
      <c r="P656" s="2"/>
      <c r="Q656" s="2"/>
      <c r="R656" s="2"/>
      <c r="S656" s="2"/>
      <c r="T656" s="5"/>
    </row>
    <row r="657" customFormat="false" ht="15.75" hidden="false" customHeight="false" outlineLevel="0" collapsed="false">
      <c r="A657" s="4"/>
      <c r="B657" s="2"/>
      <c r="C657" s="2"/>
      <c r="D657" s="2"/>
      <c r="E657" s="2"/>
      <c r="F657" s="3" t="str">
        <f aca="false">IFERROR(__xludf.dummyfunction("if($T657&lt;&gt;"""",REGEXEXTRACT(SUBSTITUTE ($T657,F$1&amp;"" CE"",""""), F$1&amp;""[\w &amp;]*, (\d+\.\d+)""),"""")
"),"")</f>
        <v/>
      </c>
      <c r="G657" s="3" t="str">
        <f aca="false">IFERROR(__xludf.dummyfunction("if($T657&lt;&gt;"""",REGEXEXTRACT($T657, G$1&amp;""[\w &amp;]*, (\d+\.\d+)""),"""")
"),"")</f>
        <v/>
      </c>
      <c r="H657" s="3"/>
      <c r="I657" s="3" t="str">
        <f aca="false">IFERROR(__xludf.dummyfunction("if($T657&lt;&gt;"""",REGEXEXTRACT(SUBSTITUTE ($T657,I$1&amp;"" CE"",""""), I$1&amp;""[\w &amp;]*, (\d+\.\d+)""),"""")
"),"")</f>
        <v/>
      </c>
      <c r="J657" s="3" t="str">
        <f aca="false">IFERROR(__xludf.dummyfunction("if($T657&lt;&gt;"""",REGEXEXTRACT($T657, J$1&amp;""[\w &amp;]*, (\d+\.\d+)""),"""")
"),"")</f>
        <v/>
      </c>
      <c r="K657" s="3"/>
      <c r="L657" s="3" t="str">
        <f aca="false">IFERROR(__xludf.dummyfunction("if($T657&lt;&gt;"""",REGEXEXTRACT(SUBSTITUTE ($T657,L$1&amp;"" CE"",""""), L$1&amp;""[\w &amp;]*, (\d+\.\d+)""),"""")
"),"")</f>
        <v/>
      </c>
      <c r="M657" s="3" t="str">
        <f aca="false">IFERROR(__xludf.dummyfunction("if($T657&lt;&gt;"""",REGEXEXTRACT($T657, M$1&amp;""[\w &amp;]*, (\d+\.\d+)""),"""")
"),"")</f>
        <v/>
      </c>
      <c r="N657" s="3" t="str">
        <f aca="false">IFERROR(__xludf.dummyfunction("if($T657&lt;&gt;"""",REGEXEXTRACT(SUBSTITUTE ($T657,N$1&amp;"" CE"",""""), N$1&amp;""[\w &amp;]*, (\d+\.\d+)""),"""")
"),"")</f>
        <v/>
      </c>
      <c r="O657" s="3" t="str">
        <f aca="false">IFERROR(__xludf.dummyfunction("if($T657&lt;&gt;"""",REGEXEXTRACT($T657, O$1&amp;""[\w &amp;]*, (\d+\.\d+)""),"""")
"),"")</f>
        <v/>
      </c>
      <c r="P657" s="2"/>
      <c r="Q657" s="2"/>
      <c r="R657" s="2"/>
      <c r="S657" s="2"/>
      <c r="T657" s="5"/>
    </row>
    <row r="658" customFormat="false" ht="15.75" hidden="false" customHeight="false" outlineLevel="0" collapsed="false">
      <c r="A658" s="4"/>
      <c r="B658" s="2"/>
      <c r="C658" s="2"/>
      <c r="D658" s="2"/>
      <c r="E658" s="2"/>
      <c r="F658" s="3" t="str">
        <f aca="false">IFERROR(__xludf.dummyfunction("if($T658&lt;&gt;"""",REGEXEXTRACT(SUBSTITUTE ($T658,F$1&amp;"" CE"",""""), F$1&amp;""[\w &amp;]*, (\d+\.\d+)""),"""")
"),"")</f>
        <v/>
      </c>
      <c r="G658" s="3" t="str">
        <f aca="false">IFERROR(__xludf.dummyfunction("if($T658&lt;&gt;"""",REGEXEXTRACT($T658, G$1&amp;""[\w &amp;]*, (\d+\.\d+)""),"""")
"),"")</f>
        <v/>
      </c>
      <c r="H658" s="3"/>
      <c r="I658" s="3" t="str">
        <f aca="false">IFERROR(__xludf.dummyfunction("if($T658&lt;&gt;"""",REGEXEXTRACT(SUBSTITUTE ($T658,I$1&amp;"" CE"",""""), I$1&amp;""[\w &amp;]*, (\d+\.\d+)""),"""")
"),"")</f>
        <v/>
      </c>
      <c r="J658" s="3" t="str">
        <f aca="false">IFERROR(__xludf.dummyfunction("if($T658&lt;&gt;"""",REGEXEXTRACT($T658, J$1&amp;""[\w &amp;]*, (\d+\.\d+)""),"""")
"),"")</f>
        <v/>
      </c>
      <c r="K658" s="3"/>
      <c r="L658" s="3" t="str">
        <f aca="false">IFERROR(__xludf.dummyfunction("if($T658&lt;&gt;"""",REGEXEXTRACT(SUBSTITUTE ($T658,L$1&amp;"" CE"",""""), L$1&amp;""[\w &amp;]*, (\d+\.\d+)""),"""")
"),"")</f>
        <v/>
      </c>
      <c r="M658" s="3" t="str">
        <f aca="false">IFERROR(__xludf.dummyfunction("if($T658&lt;&gt;"""",REGEXEXTRACT($T658, M$1&amp;""[\w &amp;]*, (\d+\.\d+)""),"""")
"),"")</f>
        <v/>
      </c>
      <c r="N658" s="3" t="str">
        <f aca="false">IFERROR(__xludf.dummyfunction("if($T658&lt;&gt;"""",REGEXEXTRACT(SUBSTITUTE ($T658,N$1&amp;"" CE"",""""), N$1&amp;""[\w &amp;]*, (\d+\.\d+)""),"""")
"),"")</f>
        <v/>
      </c>
      <c r="O658" s="3" t="str">
        <f aca="false">IFERROR(__xludf.dummyfunction("if($T658&lt;&gt;"""",REGEXEXTRACT($T658, O$1&amp;""[\w &amp;]*, (\d+\.\d+)""),"""")
"),"")</f>
        <v/>
      </c>
      <c r="P658" s="2"/>
      <c r="Q658" s="2"/>
      <c r="R658" s="2"/>
      <c r="S658" s="2"/>
      <c r="T658" s="5"/>
    </row>
    <row r="659" customFormat="false" ht="15.75" hidden="false" customHeight="false" outlineLevel="0" collapsed="false">
      <c r="A659" s="4"/>
      <c r="B659" s="2"/>
      <c r="C659" s="2"/>
      <c r="D659" s="2"/>
      <c r="E659" s="2"/>
      <c r="F659" s="3" t="str">
        <f aca="false">IFERROR(__xludf.dummyfunction("if($T659&lt;&gt;"""",REGEXEXTRACT(SUBSTITUTE ($T659,F$1&amp;"" CE"",""""), F$1&amp;""[\w &amp;]*, (\d+\.\d+)""),"""")
"),"")</f>
        <v/>
      </c>
      <c r="G659" s="3" t="str">
        <f aca="false">IFERROR(__xludf.dummyfunction("if($T659&lt;&gt;"""",REGEXEXTRACT($T659, G$1&amp;""[\w &amp;]*, (\d+\.\d+)""),"""")
"),"")</f>
        <v/>
      </c>
      <c r="H659" s="3"/>
      <c r="I659" s="3" t="str">
        <f aca="false">IFERROR(__xludf.dummyfunction("if($T659&lt;&gt;"""",REGEXEXTRACT(SUBSTITUTE ($T659,I$1&amp;"" CE"",""""), I$1&amp;""[\w &amp;]*, (\d+\.\d+)""),"""")
"),"")</f>
        <v/>
      </c>
      <c r="J659" s="3" t="str">
        <f aca="false">IFERROR(__xludf.dummyfunction("if($T659&lt;&gt;"""",REGEXEXTRACT($T659, J$1&amp;""[\w &amp;]*, (\d+\.\d+)""),"""")
"),"")</f>
        <v/>
      </c>
      <c r="K659" s="3"/>
      <c r="L659" s="3" t="str">
        <f aca="false">IFERROR(__xludf.dummyfunction("if($T659&lt;&gt;"""",REGEXEXTRACT(SUBSTITUTE ($T659,L$1&amp;"" CE"",""""), L$1&amp;""[\w &amp;]*, (\d+\.\d+)""),"""")
"),"")</f>
        <v/>
      </c>
      <c r="M659" s="3" t="str">
        <f aca="false">IFERROR(__xludf.dummyfunction("if($T659&lt;&gt;"""",REGEXEXTRACT($T659, M$1&amp;""[\w &amp;]*, (\d+\.\d+)""),"""")
"),"")</f>
        <v/>
      </c>
      <c r="N659" s="3" t="str">
        <f aca="false">IFERROR(__xludf.dummyfunction("if($T659&lt;&gt;"""",REGEXEXTRACT(SUBSTITUTE ($T659,N$1&amp;"" CE"",""""), N$1&amp;""[\w &amp;]*, (\d+\.\d+)""),"""")
"),"")</f>
        <v/>
      </c>
      <c r="O659" s="3" t="str">
        <f aca="false">IFERROR(__xludf.dummyfunction("if($T659&lt;&gt;"""",REGEXEXTRACT($T659, O$1&amp;""[\w &amp;]*, (\d+\.\d+)""),"""")
"),"")</f>
        <v/>
      </c>
      <c r="P659" s="2"/>
      <c r="Q659" s="2"/>
      <c r="R659" s="2"/>
      <c r="S659" s="2"/>
      <c r="T659" s="5"/>
    </row>
    <row r="660" customFormat="false" ht="15.75" hidden="false" customHeight="false" outlineLevel="0" collapsed="false">
      <c r="A660" s="4"/>
      <c r="B660" s="2"/>
      <c r="C660" s="2"/>
      <c r="D660" s="2"/>
      <c r="E660" s="2"/>
      <c r="F660" s="3" t="str">
        <f aca="false">IFERROR(__xludf.dummyfunction("if($T660&lt;&gt;"""",REGEXEXTRACT(SUBSTITUTE ($T660,F$1&amp;"" CE"",""""), F$1&amp;""[\w &amp;]*, (\d+\.\d+)""),"""")
"),"")</f>
        <v/>
      </c>
      <c r="G660" s="3" t="str">
        <f aca="false">IFERROR(__xludf.dummyfunction("if($T660&lt;&gt;"""",REGEXEXTRACT($T660, G$1&amp;""[\w &amp;]*, (\d+\.\d+)""),"""")
"),"")</f>
        <v/>
      </c>
      <c r="H660" s="3"/>
      <c r="I660" s="3" t="str">
        <f aca="false">IFERROR(__xludf.dummyfunction("if($T660&lt;&gt;"""",REGEXEXTRACT(SUBSTITUTE ($T660,I$1&amp;"" CE"",""""), I$1&amp;""[\w &amp;]*, (\d+\.\d+)""),"""")
"),"")</f>
        <v/>
      </c>
      <c r="J660" s="3" t="str">
        <f aca="false">IFERROR(__xludf.dummyfunction("if($T660&lt;&gt;"""",REGEXEXTRACT($T660, J$1&amp;""[\w &amp;]*, (\d+\.\d+)""),"""")
"),"")</f>
        <v/>
      </c>
      <c r="K660" s="3"/>
      <c r="L660" s="3" t="str">
        <f aca="false">IFERROR(__xludf.dummyfunction("if($T660&lt;&gt;"""",REGEXEXTRACT(SUBSTITUTE ($T660,L$1&amp;"" CE"",""""), L$1&amp;""[\w &amp;]*, (\d+\.\d+)""),"""")
"),"")</f>
        <v/>
      </c>
      <c r="M660" s="3" t="str">
        <f aca="false">IFERROR(__xludf.dummyfunction("if($T660&lt;&gt;"""",REGEXEXTRACT($T660, M$1&amp;""[\w &amp;]*, (\d+\.\d+)""),"""")
"),"")</f>
        <v/>
      </c>
      <c r="N660" s="3" t="str">
        <f aca="false">IFERROR(__xludf.dummyfunction("if($T660&lt;&gt;"""",REGEXEXTRACT(SUBSTITUTE ($T660,N$1&amp;"" CE"",""""), N$1&amp;""[\w &amp;]*, (\d+\.\d+)""),"""")
"),"")</f>
        <v/>
      </c>
      <c r="O660" s="3" t="str">
        <f aca="false">IFERROR(__xludf.dummyfunction("if($T660&lt;&gt;"""",REGEXEXTRACT($T660, O$1&amp;""[\w &amp;]*, (\d+\.\d+)""),"""")
"),"")</f>
        <v/>
      </c>
      <c r="P660" s="2"/>
      <c r="Q660" s="2"/>
      <c r="R660" s="2"/>
      <c r="S660" s="2"/>
      <c r="T660" s="5"/>
    </row>
    <row r="661" customFormat="false" ht="15.75" hidden="false" customHeight="false" outlineLevel="0" collapsed="false">
      <c r="A661" s="4"/>
      <c r="B661" s="2"/>
      <c r="C661" s="2"/>
      <c r="D661" s="2"/>
      <c r="E661" s="2"/>
      <c r="F661" s="3" t="str">
        <f aca="false">IFERROR(__xludf.dummyfunction("if($T661&lt;&gt;"""",REGEXEXTRACT(SUBSTITUTE ($T661,F$1&amp;"" CE"",""""), F$1&amp;""[\w &amp;]*, (\d+\.\d+)""),"""")
"),"")</f>
        <v/>
      </c>
      <c r="G661" s="3" t="str">
        <f aca="false">IFERROR(__xludf.dummyfunction("if($T661&lt;&gt;"""",REGEXEXTRACT($T661, G$1&amp;""[\w &amp;]*, (\d+\.\d+)""),"""")
"),"")</f>
        <v/>
      </c>
      <c r="H661" s="3"/>
      <c r="I661" s="3" t="str">
        <f aca="false">IFERROR(__xludf.dummyfunction("if($T661&lt;&gt;"""",REGEXEXTRACT(SUBSTITUTE ($T661,I$1&amp;"" CE"",""""), I$1&amp;""[\w &amp;]*, (\d+\.\d+)""),"""")
"),"")</f>
        <v/>
      </c>
      <c r="J661" s="3" t="str">
        <f aca="false">IFERROR(__xludf.dummyfunction("if($T661&lt;&gt;"""",REGEXEXTRACT($T661, J$1&amp;""[\w &amp;]*, (\d+\.\d+)""),"""")
"),"")</f>
        <v/>
      </c>
      <c r="K661" s="3"/>
      <c r="L661" s="3" t="str">
        <f aca="false">IFERROR(__xludf.dummyfunction("if($T661&lt;&gt;"""",REGEXEXTRACT(SUBSTITUTE ($T661,L$1&amp;"" CE"",""""), L$1&amp;""[\w &amp;]*, (\d+\.\d+)""),"""")
"),"")</f>
        <v/>
      </c>
      <c r="M661" s="3" t="str">
        <f aca="false">IFERROR(__xludf.dummyfunction("if($T661&lt;&gt;"""",REGEXEXTRACT($T661, M$1&amp;""[\w &amp;]*, (\d+\.\d+)""),"""")
"),"")</f>
        <v/>
      </c>
      <c r="N661" s="3" t="str">
        <f aca="false">IFERROR(__xludf.dummyfunction("if($T661&lt;&gt;"""",REGEXEXTRACT(SUBSTITUTE ($T661,N$1&amp;"" CE"",""""), N$1&amp;""[\w &amp;]*, (\d+\.\d+)""),"""")
"),"")</f>
        <v/>
      </c>
      <c r="O661" s="3" t="str">
        <f aca="false">IFERROR(__xludf.dummyfunction("if($T661&lt;&gt;"""",REGEXEXTRACT($T661, O$1&amp;""[\w &amp;]*, (\d+\.\d+)""),"""")
"),"")</f>
        <v/>
      </c>
      <c r="P661" s="2"/>
      <c r="Q661" s="2"/>
      <c r="R661" s="2"/>
      <c r="S661" s="2"/>
      <c r="T661" s="5"/>
    </row>
    <row r="662" customFormat="false" ht="15.75" hidden="false" customHeight="false" outlineLevel="0" collapsed="false">
      <c r="A662" s="4"/>
      <c r="B662" s="2"/>
      <c r="C662" s="2"/>
      <c r="D662" s="2"/>
      <c r="E662" s="2"/>
      <c r="F662" s="3" t="str">
        <f aca="false">IFERROR(__xludf.dummyfunction("if($T662&lt;&gt;"""",REGEXEXTRACT(SUBSTITUTE ($T662,F$1&amp;"" CE"",""""), F$1&amp;""[\w &amp;]*, (\d+\.\d+)""),"""")
"),"")</f>
        <v/>
      </c>
      <c r="G662" s="3" t="str">
        <f aca="false">IFERROR(__xludf.dummyfunction("if($T662&lt;&gt;"""",REGEXEXTRACT($T662, G$1&amp;""[\w &amp;]*, (\d+\.\d+)""),"""")
"),"")</f>
        <v/>
      </c>
      <c r="H662" s="3"/>
      <c r="I662" s="3" t="str">
        <f aca="false">IFERROR(__xludf.dummyfunction("if($T662&lt;&gt;"""",REGEXEXTRACT(SUBSTITUTE ($T662,I$1&amp;"" CE"",""""), I$1&amp;""[\w &amp;]*, (\d+\.\d+)""),"""")
"),"")</f>
        <v/>
      </c>
      <c r="J662" s="3" t="str">
        <f aca="false">IFERROR(__xludf.dummyfunction("if($T662&lt;&gt;"""",REGEXEXTRACT($T662, J$1&amp;""[\w &amp;]*, (\d+\.\d+)""),"""")
"),"")</f>
        <v/>
      </c>
      <c r="K662" s="3"/>
      <c r="L662" s="3" t="str">
        <f aca="false">IFERROR(__xludf.dummyfunction("if($T662&lt;&gt;"""",REGEXEXTRACT(SUBSTITUTE ($T662,L$1&amp;"" CE"",""""), L$1&amp;""[\w &amp;]*, (\d+\.\d+)""),"""")
"),"")</f>
        <v/>
      </c>
      <c r="M662" s="3" t="str">
        <f aca="false">IFERROR(__xludf.dummyfunction("if($T662&lt;&gt;"""",REGEXEXTRACT($T662, M$1&amp;""[\w &amp;]*, (\d+\.\d+)""),"""")
"),"")</f>
        <v/>
      </c>
      <c r="N662" s="3" t="str">
        <f aca="false">IFERROR(__xludf.dummyfunction("if($T662&lt;&gt;"""",REGEXEXTRACT(SUBSTITUTE ($T662,N$1&amp;"" CE"",""""), N$1&amp;""[\w &amp;]*, (\d+\.\d+)""),"""")
"),"")</f>
        <v/>
      </c>
      <c r="O662" s="3" t="str">
        <f aca="false">IFERROR(__xludf.dummyfunction("if($T662&lt;&gt;"""",REGEXEXTRACT($T662, O$1&amp;""[\w &amp;]*, (\d+\.\d+)""),"""")
"),"")</f>
        <v/>
      </c>
      <c r="P662" s="2"/>
      <c r="Q662" s="2"/>
      <c r="R662" s="2"/>
      <c r="S662" s="2"/>
      <c r="T662" s="5"/>
    </row>
    <row r="663" customFormat="false" ht="15.75" hidden="false" customHeight="false" outlineLevel="0" collapsed="false">
      <c r="A663" s="4"/>
      <c r="B663" s="2"/>
      <c r="C663" s="2"/>
      <c r="D663" s="2"/>
      <c r="E663" s="2"/>
      <c r="F663" s="3" t="str">
        <f aca="false">IFERROR(__xludf.dummyfunction("if($T663&lt;&gt;"""",REGEXEXTRACT(SUBSTITUTE ($T663,F$1&amp;"" CE"",""""), F$1&amp;""[\w &amp;]*, (\d+\.\d+)""),"""")
"),"")</f>
        <v/>
      </c>
      <c r="G663" s="3" t="str">
        <f aca="false">IFERROR(__xludf.dummyfunction("if($T663&lt;&gt;"""",REGEXEXTRACT($T663, G$1&amp;""[\w &amp;]*, (\d+\.\d+)""),"""")
"),"")</f>
        <v/>
      </c>
      <c r="H663" s="3"/>
      <c r="I663" s="3" t="str">
        <f aca="false">IFERROR(__xludf.dummyfunction("if($T663&lt;&gt;"""",REGEXEXTRACT(SUBSTITUTE ($T663,I$1&amp;"" CE"",""""), I$1&amp;""[\w &amp;]*, (\d+\.\d+)""),"""")
"),"")</f>
        <v/>
      </c>
      <c r="J663" s="3" t="str">
        <f aca="false">IFERROR(__xludf.dummyfunction("if($T663&lt;&gt;"""",REGEXEXTRACT($T663, J$1&amp;""[\w &amp;]*, (\d+\.\d+)""),"""")
"),"")</f>
        <v/>
      </c>
      <c r="K663" s="3"/>
      <c r="L663" s="3" t="str">
        <f aca="false">IFERROR(__xludf.dummyfunction("if($T663&lt;&gt;"""",REGEXEXTRACT(SUBSTITUTE ($T663,L$1&amp;"" CE"",""""), L$1&amp;""[\w &amp;]*, (\d+\.\d+)""),"""")
"),"")</f>
        <v/>
      </c>
      <c r="M663" s="3" t="str">
        <f aca="false">IFERROR(__xludf.dummyfunction("if($T663&lt;&gt;"""",REGEXEXTRACT($T663, M$1&amp;""[\w &amp;]*, (\d+\.\d+)""),"""")
"),"")</f>
        <v/>
      </c>
      <c r="N663" s="3" t="str">
        <f aca="false">IFERROR(__xludf.dummyfunction("if($T663&lt;&gt;"""",REGEXEXTRACT(SUBSTITUTE ($T663,N$1&amp;"" CE"",""""), N$1&amp;""[\w &amp;]*, (\d+\.\d+)""),"""")
"),"")</f>
        <v/>
      </c>
      <c r="O663" s="3" t="str">
        <f aca="false">IFERROR(__xludf.dummyfunction("if($T663&lt;&gt;"""",REGEXEXTRACT($T663, O$1&amp;""[\w &amp;]*, (\d+\.\d+)""),"""")
"),"")</f>
        <v/>
      </c>
      <c r="P663" s="2"/>
      <c r="Q663" s="2"/>
      <c r="R663" s="2"/>
      <c r="S663" s="2"/>
      <c r="T663" s="5"/>
    </row>
    <row r="664" customFormat="false" ht="15.75" hidden="false" customHeight="false" outlineLevel="0" collapsed="false">
      <c r="A664" s="4"/>
      <c r="B664" s="2"/>
      <c r="C664" s="2"/>
      <c r="D664" s="2"/>
      <c r="E664" s="2"/>
      <c r="F664" s="3" t="str">
        <f aca="false">IFERROR(__xludf.dummyfunction("if($T664&lt;&gt;"""",REGEXEXTRACT(SUBSTITUTE ($T664,F$1&amp;"" CE"",""""), F$1&amp;""[\w &amp;]*, (\d+\.\d+)""),"""")
"),"")</f>
        <v/>
      </c>
      <c r="G664" s="3" t="str">
        <f aca="false">IFERROR(__xludf.dummyfunction("if($T664&lt;&gt;"""",REGEXEXTRACT($T664, G$1&amp;""[\w &amp;]*, (\d+\.\d+)""),"""")
"),"")</f>
        <v/>
      </c>
      <c r="H664" s="3"/>
      <c r="I664" s="3" t="str">
        <f aca="false">IFERROR(__xludf.dummyfunction("if($T664&lt;&gt;"""",REGEXEXTRACT(SUBSTITUTE ($T664,I$1&amp;"" CE"",""""), I$1&amp;""[\w &amp;]*, (\d+\.\d+)""),"""")
"),"")</f>
        <v/>
      </c>
      <c r="J664" s="3" t="str">
        <f aca="false">IFERROR(__xludf.dummyfunction("if($T664&lt;&gt;"""",REGEXEXTRACT($T664, J$1&amp;""[\w &amp;]*, (\d+\.\d+)""),"""")
"),"")</f>
        <v/>
      </c>
      <c r="K664" s="3"/>
      <c r="L664" s="3" t="str">
        <f aca="false">IFERROR(__xludf.dummyfunction("if($T664&lt;&gt;"""",REGEXEXTRACT(SUBSTITUTE ($T664,L$1&amp;"" CE"",""""), L$1&amp;""[\w &amp;]*, (\d+\.\d+)""),"""")
"),"")</f>
        <v/>
      </c>
      <c r="M664" s="3" t="str">
        <f aca="false">IFERROR(__xludf.dummyfunction("if($T664&lt;&gt;"""",REGEXEXTRACT($T664, M$1&amp;""[\w &amp;]*, (\d+\.\d+)""),"""")
"),"")</f>
        <v/>
      </c>
      <c r="N664" s="3" t="str">
        <f aca="false">IFERROR(__xludf.dummyfunction("if($T664&lt;&gt;"""",REGEXEXTRACT(SUBSTITUTE ($T664,N$1&amp;"" CE"",""""), N$1&amp;""[\w &amp;]*, (\d+\.\d+)""),"""")
"),"")</f>
        <v/>
      </c>
      <c r="O664" s="3" t="str">
        <f aca="false">IFERROR(__xludf.dummyfunction("if($T664&lt;&gt;"""",REGEXEXTRACT($T664, O$1&amp;""[\w &amp;]*, (\d+\.\d+)""),"""")
"),"")</f>
        <v/>
      </c>
      <c r="P664" s="2"/>
      <c r="Q664" s="2"/>
      <c r="R664" s="2"/>
      <c r="S664" s="2"/>
      <c r="T664" s="5"/>
    </row>
    <row r="665" customFormat="false" ht="15.75" hidden="false" customHeight="false" outlineLevel="0" collapsed="false">
      <c r="A665" s="4"/>
      <c r="B665" s="2"/>
      <c r="C665" s="2"/>
      <c r="D665" s="2"/>
      <c r="E665" s="2"/>
      <c r="F665" s="3" t="str">
        <f aca="false">IFERROR(__xludf.dummyfunction("if($T665&lt;&gt;"""",REGEXEXTRACT(SUBSTITUTE ($T665,F$1&amp;"" CE"",""""), F$1&amp;""[\w &amp;]*, (\d+\.\d+)""),"""")
"),"")</f>
        <v/>
      </c>
      <c r="G665" s="3" t="str">
        <f aca="false">IFERROR(__xludf.dummyfunction("if($T665&lt;&gt;"""",REGEXEXTRACT($T665, G$1&amp;""[\w &amp;]*, (\d+\.\d+)""),"""")
"),"")</f>
        <v/>
      </c>
      <c r="H665" s="3"/>
      <c r="I665" s="3" t="str">
        <f aca="false">IFERROR(__xludf.dummyfunction("if($T665&lt;&gt;"""",REGEXEXTRACT(SUBSTITUTE ($T665,I$1&amp;"" CE"",""""), I$1&amp;""[\w &amp;]*, (\d+\.\d+)""),"""")
"),"")</f>
        <v/>
      </c>
      <c r="J665" s="3" t="str">
        <f aca="false">IFERROR(__xludf.dummyfunction("if($T665&lt;&gt;"""",REGEXEXTRACT($T665, J$1&amp;""[\w &amp;]*, (\d+\.\d+)""),"""")
"),"")</f>
        <v/>
      </c>
      <c r="K665" s="3"/>
      <c r="L665" s="3" t="str">
        <f aca="false">IFERROR(__xludf.dummyfunction("if($T665&lt;&gt;"""",REGEXEXTRACT(SUBSTITUTE ($T665,L$1&amp;"" CE"",""""), L$1&amp;""[\w &amp;]*, (\d+\.\d+)""),"""")
"),"")</f>
        <v/>
      </c>
      <c r="M665" s="3" t="str">
        <f aca="false">IFERROR(__xludf.dummyfunction("if($T665&lt;&gt;"""",REGEXEXTRACT($T665, M$1&amp;""[\w &amp;]*, (\d+\.\d+)""),"""")
"),"")</f>
        <v/>
      </c>
      <c r="N665" s="3" t="str">
        <f aca="false">IFERROR(__xludf.dummyfunction("if($T665&lt;&gt;"""",REGEXEXTRACT(SUBSTITUTE ($T665,N$1&amp;"" CE"",""""), N$1&amp;""[\w &amp;]*, (\d+\.\d+)""),"""")
"),"")</f>
        <v/>
      </c>
      <c r="O665" s="3" t="str">
        <f aca="false">IFERROR(__xludf.dummyfunction("if($T665&lt;&gt;"""",REGEXEXTRACT($T665, O$1&amp;""[\w &amp;]*, (\d+\.\d+)""),"""")
"),"")</f>
        <v/>
      </c>
      <c r="P665" s="2"/>
      <c r="Q665" s="2"/>
      <c r="R665" s="2"/>
      <c r="S665" s="2"/>
      <c r="T665" s="5"/>
    </row>
    <row r="666" customFormat="false" ht="15.75" hidden="false" customHeight="false" outlineLevel="0" collapsed="false">
      <c r="A666" s="4"/>
      <c r="B666" s="2"/>
      <c r="C666" s="2"/>
      <c r="D666" s="2"/>
      <c r="E666" s="2"/>
      <c r="F666" s="3" t="str">
        <f aca="false">IFERROR(__xludf.dummyfunction("if($T666&lt;&gt;"""",REGEXEXTRACT(SUBSTITUTE ($T666,F$1&amp;"" CE"",""""), F$1&amp;""[\w &amp;]*, (\d+\.\d+)""),"""")
"),"")</f>
        <v/>
      </c>
      <c r="G666" s="3" t="str">
        <f aca="false">IFERROR(__xludf.dummyfunction("if($T666&lt;&gt;"""",REGEXEXTRACT($T666, G$1&amp;""[\w &amp;]*, (\d+\.\d+)""),"""")
"),"")</f>
        <v/>
      </c>
      <c r="H666" s="3"/>
      <c r="I666" s="3" t="str">
        <f aca="false">IFERROR(__xludf.dummyfunction("if($T666&lt;&gt;"""",REGEXEXTRACT(SUBSTITUTE ($T666,I$1&amp;"" CE"",""""), I$1&amp;""[\w &amp;]*, (\d+\.\d+)""),"""")
"),"")</f>
        <v/>
      </c>
      <c r="J666" s="3" t="str">
        <f aca="false">IFERROR(__xludf.dummyfunction("if($T666&lt;&gt;"""",REGEXEXTRACT($T666, J$1&amp;""[\w &amp;]*, (\d+\.\d+)""),"""")
"),"")</f>
        <v/>
      </c>
      <c r="K666" s="3"/>
      <c r="L666" s="3" t="str">
        <f aca="false">IFERROR(__xludf.dummyfunction("if($T666&lt;&gt;"""",REGEXEXTRACT(SUBSTITUTE ($T666,L$1&amp;"" CE"",""""), L$1&amp;""[\w &amp;]*, (\d+\.\d+)""),"""")
"),"")</f>
        <v/>
      </c>
      <c r="M666" s="3" t="str">
        <f aca="false">IFERROR(__xludf.dummyfunction("if($T666&lt;&gt;"""",REGEXEXTRACT($T666, M$1&amp;""[\w &amp;]*, (\d+\.\d+)""),"""")
"),"")</f>
        <v/>
      </c>
      <c r="N666" s="3" t="str">
        <f aca="false">IFERROR(__xludf.dummyfunction("if($T666&lt;&gt;"""",REGEXEXTRACT(SUBSTITUTE ($T666,N$1&amp;"" CE"",""""), N$1&amp;""[\w &amp;]*, (\d+\.\d+)""),"""")
"),"")</f>
        <v/>
      </c>
      <c r="O666" s="3" t="str">
        <f aca="false">IFERROR(__xludf.dummyfunction("if($T666&lt;&gt;"""",REGEXEXTRACT($T666, O$1&amp;""[\w &amp;]*, (\d+\.\d+)""),"""")
"),"")</f>
        <v/>
      </c>
      <c r="P666" s="2"/>
      <c r="Q666" s="2"/>
      <c r="R666" s="2"/>
      <c r="S666" s="2"/>
      <c r="T666" s="5"/>
    </row>
    <row r="667" customFormat="false" ht="15.75" hidden="false" customHeight="false" outlineLevel="0" collapsed="false">
      <c r="A667" s="4"/>
      <c r="B667" s="2"/>
      <c r="C667" s="2"/>
      <c r="D667" s="2"/>
      <c r="E667" s="2"/>
      <c r="F667" s="3" t="str">
        <f aca="false">IFERROR(__xludf.dummyfunction("if($T667&lt;&gt;"""",REGEXEXTRACT(SUBSTITUTE ($T667,F$1&amp;"" CE"",""""), F$1&amp;""[\w &amp;]*, (\d+\.\d+)""),"""")
"),"")</f>
        <v/>
      </c>
      <c r="G667" s="3" t="str">
        <f aca="false">IFERROR(__xludf.dummyfunction("if($T667&lt;&gt;"""",REGEXEXTRACT($T667, G$1&amp;""[\w &amp;]*, (\d+\.\d+)""),"""")
"),"")</f>
        <v/>
      </c>
      <c r="H667" s="3"/>
      <c r="I667" s="3" t="str">
        <f aca="false">IFERROR(__xludf.dummyfunction("if($T667&lt;&gt;"""",REGEXEXTRACT(SUBSTITUTE ($T667,I$1&amp;"" CE"",""""), I$1&amp;""[\w &amp;]*, (\d+\.\d+)""),"""")
"),"")</f>
        <v/>
      </c>
      <c r="J667" s="3" t="str">
        <f aca="false">IFERROR(__xludf.dummyfunction("if($T667&lt;&gt;"""",REGEXEXTRACT($T667, J$1&amp;""[\w &amp;]*, (\d+\.\d+)""),"""")
"),"")</f>
        <v/>
      </c>
      <c r="K667" s="3"/>
      <c r="L667" s="3" t="str">
        <f aca="false">IFERROR(__xludf.dummyfunction("if($T667&lt;&gt;"""",REGEXEXTRACT(SUBSTITUTE ($T667,L$1&amp;"" CE"",""""), L$1&amp;""[\w &amp;]*, (\d+\.\d+)""),"""")
"),"")</f>
        <v/>
      </c>
      <c r="M667" s="3" t="str">
        <f aca="false">IFERROR(__xludf.dummyfunction("if($T667&lt;&gt;"""",REGEXEXTRACT($T667, M$1&amp;""[\w &amp;]*, (\d+\.\d+)""),"""")
"),"")</f>
        <v/>
      </c>
      <c r="N667" s="3" t="str">
        <f aca="false">IFERROR(__xludf.dummyfunction("if($T667&lt;&gt;"""",REGEXEXTRACT(SUBSTITUTE ($T667,N$1&amp;"" CE"",""""), N$1&amp;""[\w &amp;]*, (\d+\.\d+)""),"""")
"),"")</f>
        <v/>
      </c>
      <c r="O667" s="3" t="str">
        <f aca="false">IFERROR(__xludf.dummyfunction("if($T667&lt;&gt;"""",REGEXEXTRACT($T667, O$1&amp;""[\w &amp;]*, (\d+\.\d+)""),"""")
"),"")</f>
        <v/>
      </c>
      <c r="P667" s="2"/>
      <c r="Q667" s="2"/>
      <c r="R667" s="2"/>
      <c r="S667" s="2"/>
      <c r="T667" s="5"/>
    </row>
    <row r="668" customFormat="false" ht="15.75" hidden="false" customHeight="false" outlineLevel="0" collapsed="false">
      <c r="A668" s="4"/>
      <c r="B668" s="2"/>
      <c r="C668" s="2"/>
      <c r="D668" s="2"/>
      <c r="E668" s="2"/>
      <c r="F668" s="3" t="str">
        <f aca="false">IFERROR(__xludf.dummyfunction("if($T668&lt;&gt;"""",REGEXEXTRACT(SUBSTITUTE ($T668,F$1&amp;"" CE"",""""), F$1&amp;""[\w &amp;]*, (\d+\.\d+)""),"""")
"),"")</f>
        <v/>
      </c>
      <c r="G668" s="3" t="str">
        <f aca="false">IFERROR(__xludf.dummyfunction("if($T668&lt;&gt;"""",REGEXEXTRACT($T668, G$1&amp;""[\w &amp;]*, (\d+\.\d+)""),"""")
"),"")</f>
        <v/>
      </c>
      <c r="H668" s="3"/>
      <c r="I668" s="3" t="str">
        <f aca="false">IFERROR(__xludf.dummyfunction("if($T668&lt;&gt;"""",REGEXEXTRACT(SUBSTITUTE ($T668,I$1&amp;"" CE"",""""), I$1&amp;""[\w &amp;]*, (\d+\.\d+)""),"""")
"),"")</f>
        <v/>
      </c>
      <c r="J668" s="3" t="str">
        <f aca="false">IFERROR(__xludf.dummyfunction("if($T668&lt;&gt;"""",REGEXEXTRACT($T668, J$1&amp;""[\w &amp;]*, (\d+\.\d+)""),"""")
"),"")</f>
        <v/>
      </c>
      <c r="K668" s="3"/>
      <c r="L668" s="3" t="str">
        <f aca="false">IFERROR(__xludf.dummyfunction("if($T668&lt;&gt;"""",REGEXEXTRACT(SUBSTITUTE ($T668,L$1&amp;"" CE"",""""), L$1&amp;""[\w &amp;]*, (\d+\.\d+)""),"""")
"),"")</f>
        <v/>
      </c>
      <c r="M668" s="3" t="str">
        <f aca="false">IFERROR(__xludf.dummyfunction("if($T668&lt;&gt;"""",REGEXEXTRACT($T668, M$1&amp;""[\w &amp;]*, (\d+\.\d+)""),"""")
"),"")</f>
        <v/>
      </c>
      <c r="N668" s="3" t="str">
        <f aca="false">IFERROR(__xludf.dummyfunction("if($T668&lt;&gt;"""",REGEXEXTRACT(SUBSTITUTE ($T668,N$1&amp;"" CE"",""""), N$1&amp;""[\w &amp;]*, (\d+\.\d+)""),"""")
"),"")</f>
        <v/>
      </c>
      <c r="O668" s="3" t="str">
        <f aca="false">IFERROR(__xludf.dummyfunction("if($T668&lt;&gt;"""",REGEXEXTRACT($T668, O$1&amp;""[\w &amp;]*, (\d+\.\d+)""),"""")
"),"")</f>
        <v/>
      </c>
      <c r="P668" s="2"/>
      <c r="Q668" s="2"/>
      <c r="R668" s="2"/>
      <c r="S668" s="2"/>
      <c r="T668" s="5"/>
    </row>
    <row r="669" customFormat="false" ht="15.75" hidden="false" customHeight="false" outlineLevel="0" collapsed="false">
      <c r="A669" s="4"/>
      <c r="B669" s="2"/>
      <c r="C669" s="2"/>
      <c r="D669" s="2"/>
      <c r="E669" s="2"/>
      <c r="F669" s="3" t="str">
        <f aca="false">IFERROR(__xludf.dummyfunction("if($T669&lt;&gt;"""",REGEXEXTRACT(SUBSTITUTE ($T669,F$1&amp;"" CE"",""""), F$1&amp;""[\w &amp;]*, (\d+\.\d+)""),"""")
"),"")</f>
        <v/>
      </c>
      <c r="G669" s="3" t="str">
        <f aca="false">IFERROR(__xludf.dummyfunction("if($T669&lt;&gt;"""",REGEXEXTRACT($T669, G$1&amp;""[\w &amp;]*, (\d+\.\d+)""),"""")
"),"")</f>
        <v/>
      </c>
      <c r="H669" s="3"/>
      <c r="I669" s="3" t="str">
        <f aca="false">IFERROR(__xludf.dummyfunction("if($T669&lt;&gt;"""",REGEXEXTRACT(SUBSTITUTE ($T669,I$1&amp;"" CE"",""""), I$1&amp;""[\w &amp;]*, (\d+\.\d+)""),"""")
"),"")</f>
        <v/>
      </c>
      <c r="J669" s="3" t="str">
        <f aca="false">IFERROR(__xludf.dummyfunction("if($T669&lt;&gt;"""",REGEXEXTRACT($T669, J$1&amp;""[\w &amp;]*, (\d+\.\d+)""),"""")
"),"")</f>
        <v/>
      </c>
      <c r="K669" s="3"/>
      <c r="L669" s="3" t="str">
        <f aca="false">IFERROR(__xludf.dummyfunction("if($T669&lt;&gt;"""",REGEXEXTRACT(SUBSTITUTE ($T669,L$1&amp;"" CE"",""""), L$1&amp;""[\w &amp;]*, (\d+\.\d+)""),"""")
"),"")</f>
        <v/>
      </c>
      <c r="M669" s="3" t="str">
        <f aca="false">IFERROR(__xludf.dummyfunction("if($T669&lt;&gt;"""",REGEXEXTRACT($T669, M$1&amp;""[\w &amp;]*, (\d+\.\d+)""),"""")
"),"")</f>
        <v/>
      </c>
      <c r="N669" s="3" t="str">
        <f aca="false">IFERROR(__xludf.dummyfunction("if($T669&lt;&gt;"""",REGEXEXTRACT(SUBSTITUTE ($T669,N$1&amp;"" CE"",""""), N$1&amp;""[\w &amp;]*, (\d+\.\d+)""),"""")
"),"")</f>
        <v/>
      </c>
      <c r="O669" s="3" t="str">
        <f aca="false">IFERROR(__xludf.dummyfunction("if($T669&lt;&gt;"""",REGEXEXTRACT($T669, O$1&amp;""[\w &amp;]*, (\d+\.\d+)""),"""")
"),"")</f>
        <v/>
      </c>
      <c r="P669" s="2"/>
      <c r="Q669" s="2"/>
      <c r="R669" s="2"/>
      <c r="S669" s="2"/>
      <c r="T669" s="5"/>
    </row>
    <row r="670" customFormat="false" ht="15.75" hidden="false" customHeight="false" outlineLevel="0" collapsed="false">
      <c r="A670" s="4"/>
      <c r="B670" s="2"/>
      <c r="C670" s="2"/>
      <c r="D670" s="2"/>
      <c r="E670" s="2"/>
      <c r="F670" s="3" t="str">
        <f aca="false">IFERROR(__xludf.dummyfunction("if($T670&lt;&gt;"""",REGEXEXTRACT(SUBSTITUTE ($T670,F$1&amp;"" CE"",""""), F$1&amp;""[\w &amp;]*, (\d+\.\d+)""),"""")
"),"")</f>
        <v/>
      </c>
      <c r="G670" s="3" t="str">
        <f aca="false">IFERROR(__xludf.dummyfunction("if($T670&lt;&gt;"""",REGEXEXTRACT($T670, G$1&amp;""[\w &amp;]*, (\d+\.\d+)""),"""")
"),"")</f>
        <v/>
      </c>
      <c r="H670" s="3"/>
      <c r="I670" s="3" t="str">
        <f aca="false">IFERROR(__xludf.dummyfunction("if($T670&lt;&gt;"""",REGEXEXTRACT(SUBSTITUTE ($T670,I$1&amp;"" CE"",""""), I$1&amp;""[\w &amp;]*, (\d+\.\d+)""),"""")
"),"")</f>
        <v/>
      </c>
      <c r="J670" s="3" t="str">
        <f aca="false">IFERROR(__xludf.dummyfunction("if($T670&lt;&gt;"""",REGEXEXTRACT($T670, J$1&amp;""[\w &amp;]*, (\d+\.\d+)""),"""")
"),"")</f>
        <v/>
      </c>
      <c r="K670" s="3"/>
      <c r="L670" s="3" t="str">
        <f aca="false">IFERROR(__xludf.dummyfunction("if($T670&lt;&gt;"""",REGEXEXTRACT(SUBSTITUTE ($T670,L$1&amp;"" CE"",""""), L$1&amp;""[\w &amp;]*, (\d+\.\d+)""),"""")
"),"")</f>
        <v/>
      </c>
      <c r="M670" s="3" t="str">
        <f aca="false">IFERROR(__xludf.dummyfunction("if($T670&lt;&gt;"""",REGEXEXTRACT($T670, M$1&amp;""[\w &amp;]*, (\d+\.\d+)""),"""")
"),"")</f>
        <v/>
      </c>
      <c r="N670" s="3" t="str">
        <f aca="false">IFERROR(__xludf.dummyfunction("if($T670&lt;&gt;"""",REGEXEXTRACT(SUBSTITUTE ($T670,N$1&amp;"" CE"",""""), N$1&amp;""[\w &amp;]*, (\d+\.\d+)""),"""")
"),"")</f>
        <v/>
      </c>
      <c r="O670" s="3" t="str">
        <f aca="false">IFERROR(__xludf.dummyfunction("if($T670&lt;&gt;"""",REGEXEXTRACT($T670, O$1&amp;""[\w &amp;]*, (\d+\.\d+)""),"""")
"),"")</f>
        <v/>
      </c>
      <c r="P670" s="2"/>
      <c r="Q670" s="2"/>
      <c r="R670" s="2"/>
      <c r="S670" s="2"/>
      <c r="T670" s="5"/>
    </row>
    <row r="671" customFormat="false" ht="15.75" hidden="false" customHeight="false" outlineLevel="0" collapsed="false">
      <c r="A671" s="4"/>
      <c r="B671" s="2"/>
      <c r="C671" s="2"/>
      <c r="D671" s="2"/>
      <c r="E671" s="2"/>
      <c r="F671" s="3" t="str">
        <f aca="false">IFERROR(__xludf.dummyfunction("if($T671&lt;&gt;"""",REGEXEXTRACT(SUBSTITUTE ($T671,F$1&amp;"" CE"",""""), F$1&amp;""[\w &amp;]*, (\d+\.\d+)""),"""")
"),"")</f>
        <v/>
      </c>
      <c r="G671" s="3" t="str">
        <f aca="false">IFERROR(__xludf.dummyfunction("if($T671&lt;&gt;"""",REGEXEXTRACT($T671, G$1&amp;""[\w &amp;]*, (\d+\.\d+)""),"""")
"),"")</f>
        <v/>
      </c>
      <c r="H671" s="3"/>
      <c r="I671" s="3" t="str">
        <f aca="false">IFERROR(__xludf.dummyfunction("if($T671&lt;&gt;"""",REGEXEXTRACT(SUBSTITUTE ($T671,I$1&amp;"" CE"",""""), I$1&amp;""[\w &amp;]*, (\d+\.\d+)""),"""")
"),"")</f>
        <v/>
      </c>
      <c r="J671" s="3" t="str">
        <f aca="false">IFERROR(__xludf.dummyfunction("if($T671&lt;&gt;"""",REGEXEXTRACT($T671, J$1&amp;""[\w &amp;]*, (\d+\.\d+)""),"""")
"),"")</f>
        <v/>
      </c>
      <c r="K671" s="3"/>
      <c r="L671" s="3" t="str">
        <f aca="false">IFERROR(__xludf.dummyfunction("if($T671&lt;&gt;"""",REGEXEXTRACT(SUBSTITUTE ($T671,L$1&amp;"" CE"",""""), L$1&amp;""[\w &amp;]*, (\d+\.\d+)""),"""")
"),"")</f>
        <v/>
      </c>
      <c r="M671" s="3" t="str">
        <f aca="false">IFERROR(__xludf.dummyfunction("if($T671&lt;&gt;"""",REGEXEXTRACT($T671, M$1&amp;""[\w &amp;]*, (\d+\.\d+)""),"""")
"),"")</f>
        <v/>
      </c>
      <c r="N671" s="3" t="str">
        <f aca="false">IFERROR(__xludf.dummyfunction("if($T671&lt;&gt;"""",REGEXEXTRACT(SUBSTITUTE ($T671,N$1&amp;"" CE"",""""), N$1&amp;""[\w &amp;]*, (\d+\.\d+)""),"""")
"),"")</f>
        <v/>
      </c>
      <c r="O671" s="3" t="str">
        <f aca="false">IFERROR(__xludf.dummyfunction("if($T671&lt;&gt;"""",REGEXEXTRACT($T671, O$1&amp;""[\w &amp;]*, (\d+\.\d+)""),"""")
"),"")</f>
        <v/>
      </c>
      <c r="P671" s="2"/>
      <c r="Q671" s="2"/>
      <c r="R671" s="2"/>
      <c r="S671" s="2"/>
      <c r="T671" s="5"/>
    </row>
    <row r="672" customFormat="false" ht="15.75" hidden="false" customHeight="false" outlineLevel="0" collapsed="false">
      <c r="A672" s="4"/>
      <c r="B672" s="2"/>
      <c r="C672" s="2"/>
      <c r="D672" s="2"/>
      <c r="E672" s="2"/>
      <c r="F672" s="3" t="str">
        <f aca="false">IFERROR(__xludf.dummyfunction("if($T672&lt;&gt;"""",REGEXEXTRACT(SUBSTITUTE ($T672,F$1&amp;"" CE"",""""), F$1&amp;""[\w &amp;]*, (\d+\.\d+)""),"""")
"),"")</f>
        <v/>
      </c>
      <c r="G672" s="3" t="str">
        <f aca="false">IFERROR(__xludf.dummyfunction("if($T672&lt;&gt;"""",REGEXEXTRACT($T672, G$1&amp;""[\w &amp;]*, (\d+\.\d+)""),"""")
"),"")</f>
        <v/>
      </c>
      <c r="H672" s="3"/>
      <c r="I672" s="3" t="str">
        <f aca="false">IFERROR(__xludf.dummyfunction("if($T672&lt;&gt;"""",REGEXEXTRACT(SUBSTITUTE ($T672,I$1&amp;"" CE"",""""), I$1&amp;""[\w &amp;]*, (\d+\.\d+)""),"""")
"),"")</f>
        <v/>
      </c>
      <c r="J672" s="3" t="str">
        <f aca="false">IFERROR(__xludf.dummyfunction("if($T672&lt;&gt;"""",REGEXEXTRACT($T672, J$1&amp;""[\w &amp;]*, (\d+\.\d+)""),"""")
"),"")</f>
        <v/>
      </c>
      <c r="K672" s="3"/>
      <c r="L672" s="3" t="str">
        <f aca="false">IFERROR(__xludf.dummyfunction("if($T672&lt;&gt;"""",REGEXEXTRACT(SUBSTITUTE ($T672,L$1&amp;"" CE"",""""), L$1&amp;""[\w &amp;]*, (\d+\.\d+)""),"""")
"),"")</f>
        <v/>
      </c>
      <c r="M672" s="3" t="str">
        <f aca="false">IFERROR(__xludf.dummyfunction("if($T672&lt;&gt;"""",REGEXEXTRACT($T672, M$1&amp;""[\w &amp;]*, (\d+\.\d+)""),"""")
"),"")</f>
        <v/>
      </c>
      <c r="N672" s="3" t="str">
        <f aca="false">IFERROR(__xludf.dummyfunction("if($T672&lt;&gt;"""",REGEXEXTRACT(SUBSTITUTE ($T672,N$1&amp;"" CE"",""""), N$1&amp;""[\w &amp;]*, (\d+\.\d+)""),"""")
"),"")</f>
        <v/>
      </c>
      <c r="O672" s="3" t="str">
        <f aca="false">IFERROR(__xludf.dummyfunction("if($T672&lt;&gt;"""",REGEXEXTRACT($T672, O$1&amp;""[\w &amp;]*, (\d+\.\d+)""),"""")
"),"")</f>
        <v/>
      </c>
      <c r="P672" s="2"/>
      <c r="Q672" s="2"/>
      <c r="R672" s="2"/>
      <c r="S672" s="2"/>
      <c r="T672" s="5"/>
    </row>
    <row r="673" customFormat="false" ht="15.75" hidden="false" customHeight="false" outlineLevel="0" collapsed="false">
      <c r="A673" s="4"/>
      <c r="B673" s="2"/>
      <c r="C673" s="2"/>
      <c r="D673" s="2"/>
      <c r="E673" s="2"/>
      <c r="F673" s="3" t="str">
        <f aca="false">IFERROR(__xludf.dummyfunction("if($T673&lt;&gt;"""",REGEXEXTRACT(SUBSTITUTE ($T673,F$1&amp;"" CE"",""""), F$1&amp;""[\w &amp;]*, (\d+\.\d+)""),"""")
"),"")</f>
        <v/>
      </c>
      <c r="G673" s="3" t="str">
        <f aca="false">IFERROR(__xludf.dummyfunction("if($T673&lt;&gt;"""",REGEXEXTRACT($T673, G$1&amp;""[\w &amp;]*, (\d+\.\d+)""),"""")
"),"")</f>
        <v/>
      </c>
      <c r="H673" s="3"/>
      <c r="I673" s="3" t="str">
        <f aca="false">IFERROR(__xludf.dummyfunction("if($T673&lt;&gt;"""",REGEXEXTRACT(SUBSTITUTE ($T673,I$1&amp;"" CE"",""""), I$1&amp;""[\w &amp;]*, (\d+\.\d+)""),"""")
"),"")</f>
        <v/>
      </c>
      <c r="J673" s="3" t="str">
        <f aca="false">IFERROR(__xludf.dummyfunction("if($T673&lt;&gt;"""",REGEXEXTRACT($T673, J$1&amp;""[\w &amp;]*, (\d+\.\d+)""),"""")
"),"")</f>
        <v/>
      </c>
      <c r="K673" s="3"/>
      <c r="L673" s="3" t="str">
        <f aca="false">IFERROR(__xludf.dummyfunction("if($T673&lt;&gt;"""",REGEXEXTRACT(SUBSTITUTE ($T673,L$1&amp;"" CE"",""""), L$1&amp;""[\w &amp;]*, (\d+\.\d+)""),"""")
"),"")</f>
        <v/>
      </c>
      <c r="M673" s="3" t="str">
        <f aca="false">IFERROR(__xludf.dummyfunction("if($T673&lt;&gt;"""",REGEXEXTRACT($T673, M$1&amp;""[\w &amp;]*, (\d+\.\d+)""),"""")
"),"")</f>
        <v/>
      </c>
      <c r="N673" s="3" t="str">
        <f aca="false">IFERROR(__xludf.dummyfunction("if($T673&lt;&gt;"""",REGEXEXTRACT(SUBSTITUTE ($T673,N$1&amp;"" CE"",""""), N$1&amp;""[\w &amp;]*, (\d+\.\d+)""),"""")
"),"")</f>
        <v/>
      </c>
      <c r="O673" s="3" t="str">
        <f aca="false">IFERROR(__xludf.dummyfunction("if($T673&lt;&gt;"""",REGEXEXTRACT($T673, O$1&amp;""[\w &amp;]*, (\d+\.\d+)""),"""")
"),"")</f>
        <v/>
      </c>
      <c r="P673" s="2"/>
      <c r="Q673" s="2"/>
      <c r="R673" s="2"/>
      <c r="S673" s="2"/>
      <c r="T673" s="5"/>
    </row>
    <row r="674" customFormat="false" ht="15.75" hidden="false" customHeight="false" outlineLevel="0" collapsed="false">
      <c r="A674" s="4"/>
      <c r="B674" s="2"/>
      <c r="C674" s="2"/>
      <c r="D674" s="2"/>
      <c r="E674" s="2"/>
      <c r="F674" s="3" t="str">
        <f aca="false">IFERROR(__xludf.dummyfunction("if($T674&lt;&gt;"""",REGEXEXTRACT(SUBSTITUTE ($T674,F$1&amp;"" CE"",""""), F$1&amp;""[\w &amp;]*, (\d+\.\d+)""),"""")
"),"")</f>
        <v/>
      </c>
      <c r="G674" s="3" t="str">
        <f aca="false">IFERROR(__xludf.dummyfunction("if($T674&lt;&gt;"""",REGEXEXTRACT($T674, G$1&amp;""[\w &amp;]*, (\d+\.\d+)""),"""")
"),"")</f>
        <v/>
      </c>
      <c r="H674" s="3"/>
      <c r="I674" s="3" t="str">
        <f aca="false">IFERROR(__xludf.dummyfunction("if($T674&lt;&gt;"""",REGEXEXTRACT(SUBSTITUTE ($T674,I$1&amp;"" CE"",""""), I$1&amp;""[\w &amp;]*, (\d+\.\d+)""),"""")
"),"")</f>
        <v/>
      </c>
      <c r="J674" s="3" t="str">
        <f aca="false">IFERROR(__xludf.dummyfunction("if($T674&lt;&gt;"""",REGEXEXTRACT($T674, J$1&amp;""[\w &amp;]*, (\d+\.\d+)""),"""")
"),"")</f>
        <v/>
      </c>
      <c r="K674" s="3"/>
      <c r="L674" s="3" t="str">
        <f aca="false">IFERROR(__xludf.dummyfunction("if($T674&lt;&gt;"""",REGEXEXTRACT(SUBSTITUTE ($T674,L$1&amp;"" CE"",""""), L$1&amp;""[\w &amp;]*, (\d+\.\d+)""),"""")
"),"")</f>
        <v/>
      </c>
      <c r="M674" s="3" t="str">
        <f aca="false">IFERROR(__xludf.dummyfunction("if($T674&lt;&gt;"""",REGEXEXTRACT($T674, M$1&amp;""[\w &amp;]*, (\d+\.\d+)""),"""")
"),"")</f>
        <v/>
      </c>
      <c r="N674" s="3" t="str">
        <f aca="false">IFERROR(__xludf.dummyfunction("if($T674&lt;&gt;"""",REGEXEXTRACT(SUBSTITUTE ($T674,N$1&amp;"" CE"",""""), N$1&amp;""[\w &amp;]*, (\d+\.\d+)""),"""")
"),"")</f>
        <v/>
      </c>
      <c r="O674" s="3" t="str">
        <f aca="false">IFERROR(__xludf.dummyfunction("if($T674&lt;&gt;"""",REGEXEXTRACT($T674, O$1&amp;""[\w &amp;]*, (\d+\.\d+)""),"""")
"),"")</f>
        <v/>
      </c>
      <c r="P674" s="2"/>
      <c r="Q674" s="2"/>
      <c r="R674" s="2"/>
      <c r="S674" s="2"/>
      <c r="T674" s="5"/>
    </row>
    <row r="675" customFormat="false" ht="15.75" hidden="false" customHeight="false" outlineLevel="0" collapsed="false">
      <c r="A675" s="4"/>
      <c r="B675" s="2"/>
      <c r="C675" s="2"/>
      <c r="D675" s="2"/>
      <c r="E675" s="2"/>
      <c r="F675" s="3" t="str">
        <f aca="false">IFERROR(__xludf.dummyfunction("if($T675&lt;&gt;"""",REGEXEXTRACT(SUBSTITUTE ($T675,F$1&amp;"" CE"",""""), F$1&amp;""[\w &amp;]*, (\d+\.\d+)""),"""")
"),"")</f>
        <v/>
      </c>
      <c r="G675" s="3" t="str">
        <f aca="false">IFERROR(__xludf.dummyfunction("if($T675&lt;&gt;"""",REGEXEXTRACT($T675, G$1&amp;""[\w &amp;]*, (\d+\.\d+)""),"""")
"),"")</f>
        <v/>
      </c>
      <c r="H675" s="3"/>
      <c r="I675" s="3" t="str">
        <f aca="false">IFERROR(__xludf.dummyfunction("if($T675&lt;&gt;"""",REGEXEXTRACT(SUBSTITUTE ($T675,I$1&amp;"" CE"",""""), I$1&amp;""[\w &amp;]*, (\d+\.\d+)""),"""")
"),"")</f>
        <v/>
      </c>
      <c r="J675" s="3" t="str">
        <f aca="false">IFERROR(__xludf.dummyfunction("if($T675&lt;&gt;"""",REGEXEXTRACT($T675, J$1&amp;""[\w &amp;]*, (\d+\.\d+)""),"""")
"),"")</f>
        <v/>
      </c>
      <c r="K675" s="3"/>
      <c r="L675" s="3" t="str">
        <f aca="false">IFERROR(__xludf.dummyfunction("if($T675&lt;&gt;"""",REGEXEXTRACT(SUBSTITUTE ($T675,L$1&amp;"" CE"",""""), L$1&amp;""[\w &amp;]*, (\d+\.\d+)""),"""")
"),"")</f>
        <v/>
      </c>
      <c r="M675" s="3" t="str">
        <f aca="false">IFERROR(__xludf.dummyfunction("if($T675&lt;&gt;"""",REGEXEXTRACT($T675, M$1&amp;""[\w &amp;]*, (\d+\.\d+)""),"""")
"),"")</f>
        <v/>
      </c>
      <c r="N675" s="3" t="str">
        <f aca="false">IFERROR(__xludf.dummyfunction("if($T675&lt;&gt;"""",REGEXEXTRACT(SUBSTITUTE ($T675,N$1&amp;"" CE"",""""), N$1&amp;""[\w &amp;]*, (\d+\.\d+)""),"""")
"),"")</f>
        <v/>
      </c>
      <c r="O675" s="3" t="str">
        <f aca="false">IFERROR(__xludf.dummyfunction("if($T675&lt;&gt;"""",REGEXEXTRACT($T675, O$1&amp;""[\w &amp;]*, (\d+\.\d+)""),"""")
"),"")</f>
        <v/>
      </c>
      <c r="P675" s="2"/>
      <c r="Q675" s="2"/>
      <c r="R675" s="2"/>
      <c r="S675" s="2"/>
      <c r="T675" s="5"/>
    </row>
    <row r="676" customFormat="false" ht="15.75" hidden="false" customHeight="false" outlineLevel="0" collapsed="false">
      <c r="A676" s="4"/>
      <c r="B676" s="2"/>
      <c r="C676" s="2"/>
      <c r="D676" s="2"/>
      <c r="E676" s="2"/>
      <c r="F676" s="3" t="str">
        <f aca="false">IFERROR(__xludf.dummyfunction("if($T676&lt;&gt;"""",REGEXEXTRACT(SUBSTITUTE ($T676,F$1&amp;"" CE"",""""), F$1&amp;""[\w &amp;]*, (\d+\.\d+)""),"""")
"),"")</f>
        <v/>
      </c>
      <c r="G676" s="3" t="str">
        <f aca="false">IFERROR(__xludf.dummyfunction("if($T676&lt;&gt;"""",REGEXEXTRACT($T676, G$1&amp;""[\w &amp;]*, (\d+\.\d+)""),"""")
"),"")</f>
        <v/>
      </c>
      <c r="H676" s="3"/>
      <c r="I676" s="3" t="str">
        <f aca="false">IFERROR(__xludf.dummyfunction("if($T676&lt;&gt;"""",REGEXEXTRACT(SUBSTITUTE ($T676,I$1&amp;"" CE"",""""), I$1&amp;""[\w &amp;]*, (\d+\.\d+)""),"""")
"),"")</f>
        <v/>
      </c>
      <c r="J676" s="3" t="str">
        <f aca="false">IFERROR(__xludf.dummyfunction("if($T676&lt;&gt;"""",REGEXEXTRACT($T676, J$1&amp;""[\w &amp;]*, (\d+\.\d+)""),"""")
"),"")</f>
        <v/>
      </c>
      <c r="K676" s="3"/>
      <c r="L676" s="3" t="str">
        <f aca="false">IFERROR(__xludf.dummyfunction("if($T676&lt;&gt;"""",REGEXEXTRACT(SUBSTITUTE ($T676,L$1&amp;"" CE"",""""), L$1&amp;""[\w &amp;]*, (\d+\.\d+)""),"""")
"),"")</f>
        <v/>
      </c>
      <c r="M676" s="3" t="str">
        <f aca="false">IFERROR(__xludf.dummyfunction("if($T676&lt;&gt;"""",REGEXEXTRACT($T676, M$1&amp;""[\w &amp;]*, (\d+\.\d+)""),"""")
"),"")</f>
        <v/>
      </c>
      <c r="N676" s="3" t="str">
        <f aca="false">IFERROR(__xludf.dummyfunction("if($T676&lt;&gt;"""",REGEXEXTRACT(SUBSTITUTE ($T676,N$1&amp;"" CE"",""""), N$1&amp;""[\w &amp;]*, (\d+\.\d+)""),"""")
"),"")</f>
        <v/>
      </c>
      <c r="O676" s="3" t="str">
        <f aca="false">IFERROR(__xludf.dummyfunction("if($T676&lt;&gt;"""",REGEXEXTRACT($T676, O$1&amp;""[\w &amp;]*, (\d+\.\d+)""),"""")
"),"")</f>
        <v/>
      </c>
      <c r="P676" s="2"/>
      <c r="Q676" s="2"/>
      <c r="R676" s="2"/>
      <c r="S676" s="2"/>
      <c r="T676" s="5"/>
    </row>
    <row r="677" customFormat="false" ht="15.75" hidden="false" customHeight="false" outlineLevel="0" collapsed="false">
      <c r="A677" s="4"/>
      <c r="B677" s="2"/>
      <c r="C677" s="2"/>
      <c r="D677" s="2"/>
      <c r="E677" s="2"/>
      <c r="F677" s="3" t="str">
        <f aca="false">IFERROR(__xludf.dummyfunction("if($T677&lt;&gt;"""",REGEXEXTRACT(SUBSTITUTE ($T677,F$1&amp;"" CE"",""""), F$1&amp;""[\w &amp;]*, (\d+\.\d+)""),"""")
"),"")</f>
        <v/>
      </c>
      <c r="G677" s="3" t="str">
        <f aca="false">IFERROR(__xludf.dummyfunction("if($T677&lt;&gt;"""",REGEXEXTRACT($T677, G$1&amp;""[\w &amp;]*, (\d+\.\d+)""),"""")
"),"")</f>
        <v/>
      </c>
      <c r="H677" s="3"/>
      <c r="I677" s="3" t="str">
        <f aca="false">IFERROR(__xludf.dummyfunction("if($T677&lt;&gt;"""",REGEXEXTRACT(SUBSTITUTE ($T677,I$1&amp;"" CE"",""""), I$1&amp;""[\w &amp;]*, (\d+\.\d+)""),"""")
"),"")</f>
        <v/>
      </c>
      <c r="J677" s="3" t="str">
        <f aca="false">IFERROR(__xludf.dummyfunction("if($T677&lt;&gt;"""",REGEXEXTRACT($T677, J$1&amp;""[\w &amp;]*, (\d+\.\d+)""),"""")
"),"")</f>
        <v/>
      </c>
      <c r="K677" s="3"/>
      <c r="L677" s="3" t="str">
        <f aca="false">IFERROR(__xludf.dummyfunction("if($T677&lt;&gt;"""",REGEXEXTRACT(SUBSTITUTE ($T677,L$1&amp;"" CE"",""""), L$1&amp;""[\w &amp;]*, (\d+\.\d+)""),"""")
"),"")</f>
        <v/>
      </c>
      <c r="M677" s="3" t="str">
        <f aca="false">IFERROR(__xludf.dummyfunction("if($T677&lt;&gt;"""",REGEXEXTRACT($T677, M$1&amp;""[\w &amp;]*, (\d+\.\d+)""),"""")
"),"")</f>
        <v/>
      </c>
      <c r="N677" s="3" t="str">
        <f aca="false">IFERROR(__xludf.dummyfunction("if($T677&lt;&gt;"""",REGEXEXTRACT(SUBSTITUTE ($T677,N$1&amp;"" CE"",""""), N$1&amp;""[\w &amp;]*, (\d+\.\d+)""),"""")
"),"")</f>
        <v/>
      </c>
      <c r="O677" s="3" t="str">
        <f aca="false">IFERROR(__xludf.dummyfunction("if($T677&lt;&gt;"""",REGEXEXTRACT($T677, O$1&amp;""[\w &amp;]*, (\d+\.\d+)""),"""")
"),"")</f>
        <v/>
      </c>
      <c r="P677" s="2"/>
      <c r="Q677" s="2"/>
      <c r="R677" s="2"/>
      <c r="S677" s="2"/>
      <c r="T677" s="5"/>
    </row>
    <row r="678" customFormat="false" ht="15.75" hidden="false" customHeight="false" outlineLevel="0" collapsed="false">
      <c r="A678" s="4"/>
      <c r="B678" s="2"/>
      <c r="C678" s="2"/>
      <c r="D678" s="2"/>
      <c r="E678" s="2"/>
      <c r="F678" s="3" t="str">
        <f aca="false">IFERROR(__xludf.dummyfunction("if($T678&lt;&gt;"""",REGEXEXTRACT(SUBSTITUTE ($T678,F$1&amp;"" CE"",""""), F$1&amp;""[\w &amp;]*, (\d+\.\d+)""),"""")
"),"")</f>
        <v/>
      </c>
      <c r="G678" s="3" t="str">
        <f aca="false">IFERROR(__xludf.dummyfunction("if($T678&lt;&gt;"""",REGEXEXTRACT($T678, G$1&amp;""[\w &amp;]*, (\d+\.\d+)""),"""")
"),"")</f>
        <v/>
      </c>
      <c r="H678" s="3"/>
      <c r="I678" s="3" t="str">
        <f aca="false">IFERROR(__xludf.dummyfunction("if($T678&lt;&gt;"""",REGEXEXTRACT(SUBSTITUTE ($T678,I$1&amp;"" CE"",""""), I$1&amp;""[\w &amp;]*, (\d+\.\d+)""),"""")
"),"")</f>
        <v/>
      </c>
      <c r="J678" s="3" t="str">
        <f aca="false">IFERROR(__xludf.dummyfunction("if($T678&lt;&gt;"""",REGEXEXTRACT($T678, J$1&amp;""[\w &amp;]*, (\d+\.\d+)""),"""")
"),"")</f>
        <v/>
      </c>
      <c r="K678" s="3"/>
      <c r="L678" s="3" t="str">
        <f aca="false">IFERROR(__xludf.dummyfunction("if($T678&lt;&gt;"""",REGEXEXTRACT(SUBSTITUTE ($T678,L$1&amp;"" CE"",""""), L$1&amp;""[\w &amp;]*, (\d+\.\d+)""),"""")
"),"")</f>
        <v/>
      </c>
      <c r="M678" s="3" t="str">
        <f aca="false">IFERROR(__xludf.dummyfunction("if($T678&lt;&gt;"""",REGEXEXTRACT($T678, M$1&amp;""[\w &amp;]*, (\d+\.\d+)""),"""")
"),"")</f>
        <v/>
      </c>
      <c r="N678" s="3" t="str">
        <f aca="false">IFERROR(__xludf.dummyfunction("if($T678&lt;&gt;"""",REGEXEXTRACT(SUBSTITUTE ($T678,N$1&amp;"" CE"",""""), N$1&amp;""[\w &amp;]*, (\d+\.\d+)""),"""")
"),"")</f>
        <v/>
      </c>
      <c r="O678" s="3" t="str">
        <f aca="false">IFERROR(__xludf.dummyfunction("if($T678&lt;&gt;"""",REGEXEXTRACT($T678, O$1&amp;""[\w &amp;]*, (\d+\.\d+)""),"""")
"),"")</f>
        <v/>
      </c>
      <c r="P678" s="2"/>
      <c r="Q678" s="2"/>
      <c r="R678" s="2"/>
      <c r="S678" s="2"/>
      <c r="T678" s="5"/>
    </row>
    <row r="679" customFormat="false" ht="15.75" hidden="false" customHeight="false" outlineLevel="0" collapsed="false">
      <c r="A679" s="4"/>
      <c r="B679" s="2"/>
      <c r="C679" s="2"/>
      <c r="D679" s="2"/>
      <c r="E679" s="2"/>
      <c r="F679" s="3" t="str">
        <f aca="false">IFERROR(__xludf.dummyfunction("if($T679&lt;&gt;"""",REGEXEXTRACT(SUBSTITUTE ($T679,F$1&amp;"" CE"",""""), F$1&amp;""[\w &amp;]*, (\d+\.\d+)""),"""")
"),"")</f>
        <v/>
      </c>
      <c r="G679" s="3" t="str">
        <f aca="false">IFERROR(__xludf.dummyfunction("if($T679&lt;&gt;"""",REGEXEXTRACT($T679, G$1&amp;""[\w &amp;]*, (\d+\.\d+)""),"""")
"),"")</f>
        <v/>
      </c>
      <c r="H679" s="3"/>
      <c r="I679" s="3" t="str">
        <f aca="false">IFERROR(__xludf.dummyfunction("if($T679&lt;&gt;"""",REGEXEXTRACT(SUBSTITUTE ($T679,I$1&amp;"" CE"",""""), I$1&amp;""[\w &amp;]*, (\d+\.\d+)""),"""")
"),"")</f>
        <v/>
      </c>
      <c r="J679" s="3" t="str">
        <f aca="false">IFERROR(__xludf.dummyfunction("if($T679&lt;&gt;"""",REGEXEXTRACT($T679, J$1&amp;""[\w &amp;]*, (\d+\.\d+)""),"""")
"),"")</f>
        <v/>
      </c>
      <c r="K679" s="3"/>
      <c r="L679" s="3" t="str">
        <f aca="false">IFERROR(__xludf.dummyfunction("if($T679&lt;&gt;"""",REGEXEXTRACT(SUBSTITUTE ($T679,L$1&amp;"" CE"",""""), L$1&amp;""[\w &amp;]*, (\d+\.\d+)""),"""")
"),"")</f>
        <v/>
      </c>
      <c r="M679" s="3" t="str">
        <f aca="false">IFERROR(__xludf.dummyfunction("if($T679&lt;&gt;"""",REGEXEXTRACT($T679, M$1&amp;""[\w &amp;]*, (\d+\.\d+)""),"""")
"),"")</f>
        <v/>
      </c>
      <c r="N679" s="3" t="str">
        <f aca="false">IFERROR(__xludf.dummyfunction("if($T679&lt;&gt;"""",REGEXEXTRACT(SUBSTITUTE ($T679,N$1&amp;"" CE"",""""), N$1&amp;""[\w &amp;]*, (\d+\.\d+)""),"""")
"),"")</f>
        <v/>
      </c>
      <c r="O679" s="3" t="str">
        <f aca="false">IFERROR(__xludf.dummyfunction("if($T679&lt;&gt;"""",REGEXEXTRACT($T679, O$1&amp;""[\w &amp;]*, (\d+\.\d+)""),"""")
"),"")</f>
        <v/>
      </c>
      <c r="P679" s="2"/>
      <c r="Q679" s="2"/>
      <c r="R679" s="2"/>
      <c r="S679" s="2"/>
      <c r="T679" s="5"/>
    </row>
    <row r="680" customFormat="false" ht="15.75" hidden="false" customHeight="false" outlineLevel="0" collapsed="false">
      <c r="A680" s="4"/>
      <c r="B680" s="2"/>
      <c r="C680" s="2"/>
      <c r="D680" s="2"/>
      <c r="E680" s="2"/>
      <c r="F680" s="3" t="str">
        <f aca="false">IFERROR(__xludf.dummyfunction("if($T680&lt;&gt;"""",REGEXEXTRACT(SUBSTITUTE ($T680,F$1&amp;"" CE"",""""), F$1&amp;""[\w &amp;]*, (\d+\.\d+)""),"""")
"),"")</f>
        <v/>
      </c>
      <c r="G680" s="3" t="str">
        <f aca="false">IFERROR(__xludf.dummyfunction("if($T680&lt;&gt;"""",REGEXEXTRACT($T680, G$1&amp;""[\w &amp;]*, (\d+\.\d+)""),"""")
"),"")</f>
        <v/>
      </c>
      <c r="H680" s="3"/>
      <c r="I680" s="3" t="str">
        <f aca="false">IFERROR(__xludf.dummyfunction("if($T680&lt;&gt;"""",REGEXEXTRACT(SUBSTITUTE ($T680,I$1&amp;"" CE"",""""), I$1&amp;""[\w &amp;]*, (\d+\.\d+)""),"""")
"),"")</f>
        <v/>
      </c>
      <c r="J680" s="3" t="str">
        <f aca="false">IFERROR(__xludf.dummyfunction("if($T680&lt;&gt;"""",REGEXEXTRACT($T680, J$1&amp;""[\w &amp;]*, (\d+\.\d+)""),"""")
"),"")</f>
        <v/>
      </c>
      <c r="K680" s="3"/>
      <c r="L680" s="3" t="str">
        <f aca="false">IFERROR(__xludf.dummyfunction("if($T680&lt;&gt;"""",REGEXEXTRACT(SUBSTITUTE ($T680,L$1&amp;"" CE"",""""), L$1&amp;""[\w &amp;]*, (\d+\.\d+)""),"""")
"),"")</f>
        <v/>
      </c>
      <c r="M680" s="3" t="str">
        <f aca="false">IFERROR(__xludf.dummyfunction("if($T680&lt;&gt;"""",REGEXEXTRACT($T680, M$1&amp;""[\w &amp;]*, (\d+\.\d+)""),"""")
"),"")</f>
        <v/>
      </c>
      <c r="N680" s="3" t="str">
        <f aca="false">IFERROR(__xludf.dummyfunction("if($T680&lt;&gt;"""",REGEXEXTRACT(SUBSTITUTE ($T680,N$1&amp;"" CE"",""""), N$1&amp;""[\w &amp;]*, (\d+\.\d+)""),"""")
"),"")</f>
        <v/>
      </c>
      <c r="O680" s="3" t="str">
        <f aca="false">IFERROR(__xludf.dummyfunction("if($T680&lt;&gt;"""",REGEXEXTRACT($T680, O$1&amp;""[\w &amp;]*, (\d+\.\d+)""),"""")
"),"")</f>
        <v/>
      </c>
      <c r="P680" s="2"/>
      <c r="Q680" s="2"/>
      <c r="R680" s="2"/>
      <c r="S680" s="2"/>
      <c r="T680" s="5"/>
    </row>
    <row r="681" customFormat="false" ht="15.75" hidden="false" customHeight="false" outlineLevel="0" collapsed="false">
      <c r="A681" s="4"/>
      <c r="B681" s="2"/>
      <c r="C681" s="2"/>
      <c r="D681" s="2"/>
      <c r="E681" s="2"/>
      <c r="F681" s="3" t="str">
        <f aca="false">IFERROR(__xludf.dummyfunction("if($T681&lt;&gt;"""",REGEXEXTRACT(SUBSTITUTE ($T681,F$1&amp;"" CE"",""""), F$1&amp;""[\w &amp;]*, (\d+\.\d+)""),"""")
"),"")</f>
        <v/>
      </c>
      <c r="G681" s="3" t="str">
        <f aca="false">IFERROR(__xludf.dummyfunction("if($T681&lt;&gt;"""",REGEXEXTRACT($T681, G$1&amp;""[\w &amp;]*, (\d+\.\d+)""),"""")
"),"")</f>
        <v/>
      </c>
      <c r="H681" s="3"/>
      <c r="I681" s="3" t="str">
        <f aca="false">IFERROR(__xludf.dummyfunction("if($T681&lt;&gt;"""",REGEXEXTRACT(SUBSTITUTE ($T681,I$1&amp;"" CE"",""""), I$1&amp;""[\w &amp;]*, (\d+\.\d+)""),"""")
"),"")</f>
        <v/>
      </c>
      <c r="J681" s="3" t="str">
        <f aca="false">IFERROR(__xludf.dummyfunction("if($T681&lt;&gt;"""",REGEXEXTRACT($T681, J$1&amp;""[\w &amp;]*, (\d+\.\d+)""),"""")
"),"")</f>
        <v/>
      </c>
      <c r="K681" s="3"/>
      <c r="L681" s="3" t="str">
        <f aca="false">IFERROR(__xludf.dummyfunction("if($T681&lt;&gt;"""",REGEXEXTRACT(SUBSTITUTE ($T681,L$1&amp;"" CE"",""""), L$1&amp;""[\w &amp;]*, (\d+\.\d+)""),"""")
"),"")</f>
        <v/>
      </c>
      <c r="M681" s="3" t="str">
        <f aca="false">IFERROR(__xludf.dummyfunction("if($T681&lt;&gt;"""",REGEXEXTRACT($T681, M$1&amp;""[\w &amp;]*, (\d+\.\d+)""),"""")
"),"")</f>
        <v/>
      </c>
      <c r="N681" s="3" t="str">
        <f aca="false">IFERROR(__xludf.dummyfunction("if($T681&lt;&gt;"""",REGEXEXTRACT(SUBSTITUTE ($T681,N$1&amp;"" CE"",""""), N$1&amp;""[\w &amp;]*, (\d+\.\d+)""),"""")
"),"")</f>
        <v/>
      </c>
      <c r="O681" s="3" t="str">
        <f aca="false">IFERROR(__xludf.dummyfunction("if($T681&lt;&gt;"""",REGEXEXTRACT($T681, O$1&amp;""[\w &amp;]*, (\d+\.\d+)""),"""")
"),"")</f>
        <v/>
      </c>
      <c r="P681" s="2"/>
      <c r="Q681" s="2"/>
      <c r="R681" s="2"/>
      <c r="S681" s="2"/>
      <c r="T681" s="5"/>
    </row>
    <row r="682" customFormat="false" ht="15.75" hidden="false" customHeight="false" outlineLevel="0" collapsed="false">
      <c r="A682" s="4"/>
      <c r="B682" s="2"/>
      <c r="C682" s="2"/>
      <c r="D682" s="2"/>
      <c r="E682" s="2"/>
      <c r="F682" s="3" t="str">
        <f aca="false">IFERROR(__xludf.dummyfunction("if($T682&lt;&gt;"""",REGEXEXTRACT(SUBSTITUTE ($T682,F$1&amp;"" CE"",""""), F$1&amp;""[\w &amp;]*, (\d+\.\d+)""),"""")
"),"")</f>
        <v/>
      </c>
      <c r="G682" s="3" t="str">
        <f aca="false">IFERROR(__xludf.dummyfunction("if($T682&lt;&gt;"""",REGEXEXTRACT($T682, G$1&amp;""[\w &amp;]*, (\d+\.\d+)""),"""")
"),"")</f>
        <v/>
      </c>
      <c r="H682" s="3"/>
      <c r="I682" s="3" t="str">
        <f aca="false">IFERROR(__xludf.dummyfunction("if($T682&lt;&gt;"""",REGEXEXTRACT(SUBSTITUTE ($T682,I$1&amp;"" CE"",""""), I$1&amp;""[\w &amp;]*, (\d+\.\d+)""),"""")
"),"")</f>
        <v/>
      </c>
      <c r="J682" s="3" t="str">
        <f aca="false">IFERROR(__xludf.dummyfunction("if($T682&lt;&gt;"""",REGEXEXTRACT($T682, J$1&amp;""[\w &amp;]*, (\d+\.\d+)""),"""")
"),"")</f>
        <v/>
      </c>
      <c r="K682" s="3"/>
      <c r="L682" s="3" t="str">
        <f aca="false">IFERROR(__xludf.dummyfunction("if($T682&lt;&gt;"""",REGEXEXTRACT(SUBSTITUTE ($T682,L$1&amp;"" CE"",""""), L$1&amp;""[\w &amp;]*, (\d+\.\d+)""),"""")
"),"")</f>
        <v/>
      </c>
      <c r="M682" s="3" t="str">
        <f aca="false">IFERROR(__xludf.dummyfunction("if($T682&lt;&gt;"""",REGEXEXTRACT($T682, M$1&amp;""[\w &amp;]*, (\d+\.\d+)""),"""")
"),"")</f>
        <v/>
      </c>
      <c r="N682" s="3" t="str">
        <f aca="false">IFERROR(__xludf.dummyfunction("if($T682&lt;&gt;"""",REGEXEXTRACT(SUBSTITUTE ($T682,N$1&amp;"" CE"",""""), N$1&amp;""[\w &amp;]*, (\d+\.\d+)""),"""")
"),"")</f>
        <v/>
      </c>
      <c r="O682" s="3" t="str">
        <f aca="false">IFERROR(__xludf.dummyfunction("if($T682&lt;&gt;"""",REGEXEXTRACT($T682, O$1&amp;""[\w &amp;]*, (\d+\.\d+)""),"""")
"),"")</f>
        <v/>
      </c>
      <c r="P682" s="2"/>
      <c r="Q682" s="2"/>
      <c r="R682" s="2"/>
      <c r="S682" s="2"/>
      <c r="T682" s="5"/>
    </row>
    <row r="683" customFormat="false" ht="15.75" hidden="false" customHeight="false" outlineLevel="0" collapsed="false">
      <c r="A683" s="4"/>
      <c r="B683" s="2"/>
      <c r="C683" s="2"/>
      <c r="D683" s="2"/>
      <c r="E683" s="2"/>
      <c r="F683" s="3" t="str">
        <f aca="false">IFERROR(__xludf.dummyfunction("if($T683&lt;&gt;"""",REGEXEXTRACT(SUBSTITUTE ($T683,F$1&amp;"" CE"",""""), F$1&amp;""[\w &amp;]*, (\d+\.\d+)""),"""")
"),"")</f>
        <v/>
      </c>
      <c r="G683" s="3" t="str">
        <f aca="false">IFERROR(__xludf.dummyfunction("if($T683&lt;&gt;"""",REGEXEXTRACT($T683, G$1&amp;""[\w &amp;]*, (\d+\.\d+)""),"""")
"),"")</f>
        <v/>
      </c>
      <c r="H683" s="3"/>
      <c r="I683" s="3" t="str">
        <f aca="false">IFERROR(__xludf.dummyfunction("if($T683&lt;&gt;"""",REGEXEXTRACT(SUBSTITUTE ($T683,I$1&amp;"" CE"",""""), I$1&amp;""[\w &amp;]*, (\d+\.\d+)""),"""")
"),"")</f>
        <v/>
      </c>
      <c r="J683" s="3" t="str">
        <f aca="false">IFERROR(__xludf.dummyfunction("if($T683&lt;&gt;"""",REGEXEXTRACT($T683, J$1&amp;""[\w &amp;]*, (\d+\.\d+)""),"""")
"),"")</f>
        <v/>
      </c>
      <c r="K683" s="3"/>
      <c r="L683" s="3" t="str">
        <f aca="false">IFERROR(__xludf.dummyfunction("if($T683&lt;&gt;"""",REGEXEXTRACT(SUBSTITUTE ($T683,L$1&amp;"" CE"",""""), L$1&amp;""[\w &amp;]*, (\d+\.\d+)""),"""")
"),"")</f>
        <v/>
      </c>
      <c r="M683" s="3" t="str">
        <f aca="false">IFERROR(__xludf.dummyfunction("if($T683&lt;&gt;"""",REGEXEXTRACT($T683, M$1&amp;""[\w &amp;]*, (\d+\.\d+)""),"""")
"),"")</f>
        <v/>
      </c>
      <c r="N683" s="3" t="str">
        <f aca="false">IFERROR(__xludf.dummyfunction("if($T683&lt;&gt;"""",REGEXEXTRACT(SUBSTITUTE ($T683,N$1&amp;"" CE"",""""), N$1&amp;""[\w &amp;]*, (\d+\.\d+)""),"""")
"),"")</f>
        <v/>
      </c>
      <c r="O683" s="3" t="str">
        <f aca="false">IFERROR(__xludf.dummyfunction("if($T683&lt;&gt;"""",REGEXEXTRACT($T683, O$1&amp;""[\w &amp;]*, (\d+\.\d+)""),"""")
"),"")</f>
        <v/>
      </c>
      <c r="P683" s="2"/>
      <c r="Q683" s="2"/>
      <c r="R683" s="2"/>
      <c r="S683" s="2"/>
      <c r="T683" s="5"/>
    </row>
    <row r="684" customFormat="false" ht="15.75" hidden="false" customHeight="false" outlineLevel="0" collapsed="false">
      <c r="A684" s="4"/>
      <c r="B684" s="2"/>
      <c r="C684" s="2"/>
      <c r="D684" s="2"/>
      <c r="E684" s="2"/>
      <c r="F684" s="3" t="str">
        <f aca="false">IFERROR(__xludf.dummyfunction("if($T684&lt;&gt;"""",REGEXEXTRACT(SUBSTITUTE ($T684,F$1&amp;"" CE"",""""), F$1&amp;""[\w &amp;]*, (\d+\.\d+)""),"""")
"),"")</f>
        <v/>
      </c>
      <c r="G684" s="3" t="str">
        <f aca="false">IFERROR(__xludf.dummyfunction("if($T684&lt;&gt;"""",REGEXEXTRACT($T684, G$1&amp;""[\w &amp;]*, (\d+\.\d+)""),"""")
"),"")</f>
        <v/>
      </c>
      <c r="H684" s="3"/>
      <c r="I684" s="3" t="str">
        <f aca="false">IFERROR(__xludf.dummyfunction("if($T684&lt;&gt;"""",REGEXEXTRACT(SUBSTITUTE ($T684,I$1&amp;"" CE"",""""), I$1&amp;""[\w &amp;]*, (\d+\.\d+)""),"""")
"),"")</f>
        <v/>
      </c>
      <c r="J684" s="3" t="str">
        <f aca="false">IFERROR(__xludf.dummyfunction("if($T684&lt;&gt;"""",REGEXEXTRACT($T684, J$1&amp;""[\w &amp;]*, (\d+\.\d+)""),"""")
"),"")</f>
        <v/>
      </c>
      <c r="K684" s="3"/>
      <c r="L684" s="3" t="str">
        <f aca="false">IFERROR(__xludf.dummyfunction("if($T684&lt;&gt;"""",REGEXEXTRACT(SUBSTITUTE ($T684,L$1&amp;"" CE"",""""), L$1&amp;""[\w &amp;]*, (\d+\.\d+)""),"""")
"),"")</f>
        <v/>
      </c>
      <c r="M684" s="3" t="str">
        <f aca="false">IFERROR(__xludf.dummyfunction("if($T684&lt;&gt;"""",REGEXEXTRACT($T684, M$1&amp;""[\w &amp;]*, (\d+\.\d+)""),"""")
"),"")</f>
        <v/>
      </c>
      <c r="N684" s="3" t="str">
        <f aca="false">IFERROR(__xludf.dummyfunction("if($T684&lt;&gt;"""",REGEXEXTRACT(SUBSTITUTE ($T684,N$1&amp;"" CE"",""""), N$1&amp;""[\w &amp;]*, (\d+\.\d+)""),"""")
"),"")</f>
        <v/>
      </c>
      <c r="O684" s="3" t="str">
        <f aca="false">IFERROR(__xludf.dummyfunction("if($T684&lt;&gt;"""",REGEXEXTRACT($T684, O$1&amp;""[\w &amp;]*, (\d+\.\d+)""),"""")
"),"")</f>
        <v/>
      </c>
      <c r="P684" s="2"/>
      <c r="Q684" s="2"/>
      <c r="R684" s="2"/>
      <c r="S684" s="2"/>
      <c r="T684" s="5"/>
    </row>
    <row r="685" customFormat="false" ht="15.75" hidden="false" customHeight="false" outlineLevel="0" collapsed="false">
      <c r="A685" s="4"/>
      <c r="B685" s="2"/>
      <c r="C685" s="2"/>
      <c r="D685" s="2"/>
      <c r="E685" s="2"/>
      <c r="F685" s="3" t="str">
        <f aca="false">IFERROR(__xludf.dummyfunction("if($T685&lt;&gt;"""",REGEXEXTRACT(SUBSTITUTE ($T685,F$1&amp;"" CE"",""""), F$1&amp;""[\w &amp;]*, (\d+\.\d+)""),"""")
"),"")</f>
        <v/>
      </c>
      <c r="G685" s="3" t="str">
        <f aca="false">IFERROR(__xludf.dummyfunction("if($T685&lt;&gt;"""",REGEXEXTRACT($T685, G$1&amp;""[\w &amp;]*, (\d+\.\d+)""),"""")
"),"")</f>
        <v/>
      </c>
      <c r="H685" s="3"/>
      <c r="I685" s="3" t="str">
        <f aca="false">IFERROR(__xludf.dummyfunction("if($T685&lt;&gt;"""",REGEXEXTRACT(SUBSTITUTE ($T685,I$1&amp;"" CE"",""""), I$1&amp;""[\w &amp;]*, (\d+\.\d+)""),"""")
"),"")</f>
        <v/>
      </c>
      <c r="J685" s="3" t="str">
        <f aca="false">IFERROR(__xludf.dummyfunction("if($T685&lt;&gt;"""",REGEXEXTRACT($T685, J$1&amp;""[\w &amp;]*, (\d+\.\d+)""),"""")
"),"")</f>
        <v/>
      </c>
      <c r="K685" s="3"/>
      <c r="L685" s="3" t="str">
        <f aca="false">IFERROR(__xludf.dummyfunction("if($T685&lt;&gt;"""",REGEXEXTRACT(SUBSTITUTE ($T685,L$1&amp;"" CE"",""""), L$1&amp;""[\w &amp;]*, (\d+\.\d+)""),"""")
"),"")</f>
        <v/>
      </c>
      <c r="M685" s="3" t="str">
        <f aca="false">IFERROR(__xludf.dummyfunction("if($T685&lt;&gt;"""",REGEXEXTRACT($T685, M$1&amp;""[\w &amp;]*, (\d+\.\d+)""),"""")
"),"")</f>
        <v/>
      </c>
      <c r="N685" s="3" t="str">
        <f aca="false">IFERROR(__xludf.dummyfunction("if($T685&lt;&gt;"""",REGEXEXTRACT(SUBSTITUTE ($T685,N$1&amp;"" CE"",""""), N$1&amp;""[\w &amp;]*, (\d+\.\d+)""),"""")
"),"")</f>
        <v/>
      </c>
      <c r="O685" s="3" t="str">
        <f aca="false">IFERROR(__xludf.dummyfunction("if($T685&lt;&gt;"""",REGEXEXTRACT($T685, O$1&amp;""[\w &amp;]*, (\d+\.\d+)""),"""")
"),"")</f>
        <v/>
      </c>
      <c r="P685" s="2"/>
      <c r="Q685" s="2"/>
      <c r="R685" s="2"/>
      <c r="S685" s="2"/>
      <c r="T685" s="5"/>
    </row>
    <row r="686" customFormat="false" ht="15.75" hidden="false" customHeight="false" outlineLevel="0" collapsed="false">
      <c r="A686" s="4"/>
      <c r="B686" s="2"/>
      <c r="C686" s="2"/>
      <c r="D686" s="2"/>
      <c r="E686" s="2"/>
      <c r="F686" s="3" t="str">
        <f aca="false">IFERROR(__xludf.dummyfunction("if($T686&lt;&gt;"""",REGEXEXTRACT(SUBSTITUTE ($T686,F$1&amp;"" CE"",""""), F$1&amp;""[\w &amp;]*, (\d+\.\d+)""),"""")
"),"")</f>
        <v/>
      </c>
      <c r="G686" s="3" t="str">
        <f aca="false">IFERROR(__xludf.dummyfunction("if($T686&lt;&gt;"""",REGEXEXTRACT($T686, G$1&amp;""[\w &amp;]*, (\d+\.\d+)""),"""")
"),"")</f>
        <v/>
      </c>
      <c r="H686" s="3"/>
      <c r="I686" s="3" t="str">
        <f aca="false">IFERROR(__xludf.dummyfunction("if($T686&lt;&gt;"""",REGEXEXTRACT(SUBSTITUTE ($T686,I$1&amp;"" CE"",""""), I$1&amp;""[\w &amp;]*, (\d+\.\d+)""),"""")
"),"")</f>
        <v/>
      </c>
      <c r="J686" s="3" t="str">
        <f aca="false">IFERROR(__xludf.dummyfunction("if($T686&lt;&gt;"""",REGEXEXTRACT($T686, J$1&amp;""[\w &amp;]*, (\d+\.\d+)""),"""")
"),"")</f>
        <v/>
      </c>
      <c r="K686" s="3"/>
      <c r="L686" s="3" t="str">
        <f aca="false">IFERROR(__xludf.dummyfunction("if($T686&lt;&gt;"""",REGEXEXTRACT(SUBSTITUTE ($T686,L$1&amp;"" CE"",""""), L$1&amp;""[\w &amp;]*, (\d+\.\d+)""),"""")
"),"")</f>
        <v/>
      </c>
      <c r="M686" s="3" t="str">
        <f aca="false">IFERROR(__xludf.dummyfunction("if($T686&lt;&gt;"""",REGEXEXTRACT($T686, M$1&amp;""[\w &amp;]*, (\d+\.\d+)""),"""")
"),"")</f>
        <v/>
      </c>
      <c r="N686" s="3" t="str">
        <f aca="false">IFERROR(__xludf.dummyfunction("if($T686&lt;&gt;"""",REGEXEXTRACT(SUBSTITUTE ($T686,N$1&amp;"" CE"",""""), N$1&amp;""[\w &amp;]*, (\d+\.\d+)""),"""")
"),"")</f>
        <v/>
      </c>
      <c r="O686" s="3" t="str">
        <f aca="false">IFERROR(__xludf.dummyfunction("if($T686&lt;&gt;"""",REGEXEXTRACT($T686, O$1&amp;""[\w &amp;]*, (\d+\.\d+)""),"""")
"),"")</f>
        <v/>
      </c>
      <c r="P686" s="2"/>
      <c r="Q686" s="2"/>
      <c r="R686" s="2"/>
      <c r="S686" s="2"/>
      <c r="T686" s="5"/>
    </row>
    <row r="687" customFormat="false" ht="15.75" hidden="false" customHeight="false" outlineLevel="0" collapsed="false">
      <c r="A687" s="4"/>
      <c r="B687" s="2"/>
      <c r="C687" s="2"/>
      <c r="D687" s="2"/>
      <c r="E687" s="2"/>
      <c r="F687" s="3" t="str">
        <f aca="false">IFERROR(__xludf.dummyfunction("if($T687&lt;&gt;"""",REGEXEXTRACT(SUBSTITUTE ($T687,F$1&amp;"" CE"",""""), F$1&amp;""[\w &amp;]*, (\d+\.\d+)""),"""")
"),"")</f>
        <v/>
      </c>
      <c r="G687" s="3" t="str">
        <f aca="false">IFERROR(__xludf.dummyfunction("if($T687&lt;&gt;"""",REGEXEXTRACT($T687, G$1&amp;""[\w &amp;]*, (\d+\.\d+)""),"""")
"),"")</f>
        <v/>
      </c>
      <c r="H687" s="3"/>
      <c r="I687" s="3" t="str">
        <f aca="false">IFERROR(__xludf.dummyfunction("if($T687&lt;&gt;"""",REGEXEXTRACT(SUBSTITUTE ($T687,I$1&amp;"" CE"",""""), I$1&amp;""[\w &amp;]*, (\d+\.\d+)""),"""")
"),"")</f>
        <v/>
      </c>
      <c r="J687" s="3" t="str">
        <f aca="false">IFERROR(__xludf.dummyfunction("if($T687&lt;&gt;"""",REGEXEXTRACT($T687, J$1&amp;""[\w &amp;]*, (\d+\.\d+)""),"""")
"),"")</f>
        <v/>
      </c>
      <c r="K687" s="3"/>
      <c r="L687" s="3" t="str">
        <f aca="false">IFERROR(__xludf.dummyfunction("if($T687&lt;&gt;"""",REGEXEXTRACT(SUBSTITUTE ($T687,L$1&amp;"" CE"",""""), L$1&amp;""[\w &amp;]*, (\d+\.\d+)""),"""")
"),"")</f>
        <v/>
      </c>
      <c r="M687" s="3" t="str">
        <f aca="false">IFERROR(__xludf.dummyfunction("if($T687&lt;&gt;"""",REGEXEXTRACT($T687, M$1&amp;""[\w &amp;]*, (\d+\.\d+)""),"""")
"),"")</f>
        <v/>
      </c>
      <c r="N687" s="3" t="str">
        <f aca="false">IFERROR(__xludf.dummyfunction("if($T687&lt;&gt;"""",REGEXEXTRACT(SUBSTITUTE ($T687,N$1&amp;"" CE"",""""), N$1&amp;""[\w &amp;]*, (\d+\.\d+)""),"""")
"),"")</f>
        <v/>
      </c>
      <c r="O687" s="3" t="str">
        <f aca="false">IFERROR(__xludf.dummyfunction("if($T687&lt;&gt;"""",REGEXEXTRACT($T687, O$1&amp;""[\w &amp;]*, (\d+\.\d+)""),"""")
"),"")</f>
        <v/>
      </c>
      <c r="P687" s="2"/>
      <c r="Q687" s="2"/>
      <c r="R687" s="2"/>
      <c r="S687" s="2"/>
      <c r="T687" s="5"/>
    </row>
    <row r="688" customFormat="false" ht="15.75" hidden="false" customHeight="false" outlineLevel="0" collapsed="false">
      <c r="A688" s="4"/>
      <c r="B688" s="2"/>
      <c r="C688" s="2"/>
      <c r="D688" s="2"/>
      <c r="E688" s="2"/>
      <c r="F688" s="3" t="str">
        <f aca="false">IFERROR(__xludf.dummyfunction("if($T688&lt;&gt;"""",REGEXEXTRACT(SUBSTITUTE ($T688,F$1&amp;"" CE"",""""), F$1&amp;""[\w &amp;]*, (\d+\.\d+)""),"""")
"),"")</f>
        <v/>
      </c>
      <c r="G688" s="3" t="str">
        <f aca="false">IFERROR(__xludf.dummyfunction("if($T688&lt;&gt;"""",REGEXEXTRACT($T688, G$1&amp;""[\w &amp;]*, (\d+\.\d+)""),"""")
"),"")</f>
        <v/>
      </c>
      <c r="H688" s="3"/>
      <c r="I688" s="3" t="str">
        <f aca="false">IFERROR(__xludf.dummyfunction("if($T688&lt;&gt;"""",REGEXEXTRACT(SUBSTITUTE ($T688,I$1&amp;"" CE"",""""), I$1&amp;""[\w &amp;]*, (\d+\.\d+)""),"""")
"),"")</f>
        <v/>
      </c>
      <c r="J688" s="3" t="str">
        <f aca="false">IFERROR(__xludf.dummyfunction("if($T688&lt;&gt;"""",REGEXEXTRACT($T688, J$1&amp;""[\w &amp;]*, (\d+\.\d+)""),"""")
"),"")</f>
        <v/>
      </c>
      <c r="K688" s="3"/>
      <c r="L688" s="3" t="str">
        <f aca="false">IFERROR(__xludf.dummyfunction("if($T688&lt;&gt;"""",REGEXEXTRACT(SUBSTITUTE ($T688,L$1&amp;"" CE"",""""), L$1&amp;""[\w &amp;]*, (\d+\.\d+)""),"""")
"),"")</f>
        <v/>
      </c>
      <c r="M688" s="3" t="str">
        <f aca="false">IFERROR(__xludf.dummyfunction("if($T688&lt;&gt;"""",REGEXEXTRACT($T688, M$1&amp;""[\w &amp;]*, (\d+\.\d+)""),"""")
"),"")</f>
        <v/>
      </c>
      <c r="N688" s="3" t="str">
        <f aca="false">IFERROR(__xludf.dummyfunction("if($T688&lt;&gt;"""",REGEXEXTRACT(SUBSTITUTE ($T688,N$1&amp;"" CE"",""""), N$1&amp;""[\w &amp;]*, (\d+\.\d+)""),"""")
"),"")</f>
        <v/>
      </c>
      <c r="O688" s="3" t="str">
        <f aca="false">IFERROR(__xludf.dummyfunction("if($T688&lt;&gt;"""",REGEXEXTRACT($T688, O$1&amp;""[\w &amp;]*, (\d+\.\d+)""),"""")
"),"")</f>
        <v/>
      </c>
      <c r="P688" s="2"/>
      <c r="Q688" s="2"/>
      <c r="R688" s="2"/>
      <c r="S688" s="2"/>
      <c r="T688" s="5"/>
    </row>
    <row r="689" customFormat="false" ht="15.75" hidden="false" customHeight="false" outlineLevel="0" collapsed="false">
      <c r="A689" s="4"/>
      <c r="B689" s="2"/>
      <c r="C689" s="2"/>
      <c r="D689" s="2"/>
      <c r="E689" s="2"/>
      <c r="F689" s="3" t="str">
        <f aca="false">IFERROR(__xludf.dummyfunction("if($T689&lt;&gt;"""",REGEXEXTRACT(SUBSTITUTE ($T689,F$1&amp;"" CE"",""""), F$1&amp;""[\w &amp;]*, (\d+\.\d+)""),"""")
"),"")</f>
        <v/>
      </c>
      <c r="G689" s="3" t="str">
        <f aca="false">IFERROR(__xludf.dummyfunction("if($T689&lt;&gt;"""",REGEXEXTRACT($T689, G$1&amp;""[\w &amp;]*, (\d+\.\d+)""),"""")
"),"")</f>
        <v/>
      </c>
      <c r="H689" s="3"/>
      <c r="I689" s="3" t="str">
        <f aca="false">IFERROR(__xludf.dummyfunction("if($T689&lt;&gt;"""",REGEXEXTRACT(SUBSTITUTE ($T689,I$1&amp;"" CE"",""""), I$1&amp;""[\w &amp;]*, (\d+\.\d+)""),"""")
"),"")</f>
        <v/>
      </c>
      <c r="J689" s="3" t="str">
        <f aca="false">IFERROR(__xludf.dummyfunction("if($T689&lt;&gt;"""",REGEXEXTRACT($T689, J$1&amp;""[\w &amp;]*, (\d+\.\d+)""),"""")
"),"")</f>
        <v/>
      </c>
      <c r="K689" s="3"/>
      <c r="L689" s="3" t="str">
        <f aca="false">IFERROR(__xludf.dummyfunction("if($T689&lt;&gt;"""",REGEXEXTRACT(SUBSTITUTE ($T689,L$1&amp;"" CE"",""""), L$1&amp;""[\w &amp;]*, (\d+\.\d+)""),"""")
"),"")</f>
        <v/>
      </c>
      <c r="M689" s="3" t="str">
        <f aca="false">IFERROR(__xludf.dummyfunction("if($T689&lt;&gt;"""",REGEXEXTRACT($T689, M$1&amp;""[\w &amp;]*, (\d+\.\d+)""),"""")
"),"")</f>
        <v/>
      </c>
      <c r="N689" s="3" t="str">
        <f aca="false">IFERROR(__xludf.dummyfunction("if($T689&lt;&gt;"""",REGEXEXTRACT(SUBSTITUTE ($T689,N$1&amp;"" CE"",""""), N$1&amp;""[\w &amp;]*, (\d+\.\d+)""),"""")
"),"")</f>
        <v/>
      </c>
      <c r="O689" s="3" t="str">
        <f aca="false">IFERROR(__xludf.dummyfunction("if($T689&lt;&gt;"""",REGEXEXTRACT($T689, O$1&amp;""[\w &amp;]*, (\d+\.\d+)""),"""")
"),"")</f>
        <v/>
      </c>
      <c r="P689" s="2"/>
      <c r="Q689" s="2"/>
      <c r="R689" s="2"/>
      <c r="S689" s="2"/>
      <c r="T689" s="5"/>
    </row>
    <row r="690" customFormat="false" ht="15.75" hidden="false" customHeight="false" outlineLevel="0" collapsed="false">
      <c r="A690" s="4"/>
      <c r="B690" s="2"/>
      <c r="C690" s="2"/>
      <c r="D690" s="2"/>
      <c r="E690" s="2"/>
      <c r="F690" s="3" t="str">
        <f aca="false">IFERROR(__xludf.dummyfunction("if($T690&lt;&gt;"""",REGEXEXTRACT(SUBSTITUTE ($T690,F$1&amp;"" CE"",""""), F$1&amp;""[\w &amp;]*, (\d+\.\d+)""),"""")
"),"")</f>
        <v/>
      </c>
      <c r="G690" s="3" t="str">
        <f aca="false">IFERROR(__xludf.dummyfunction("if($T690&lt;&gt;"""",REGEXEXTRACT($T690, G$1&amp;""[\w &amp;]*, (\d+\.\d+)""),"""")
"),"")</f>
        <v/>
      </c>
      <c r="H690" s="3"/>
      <c r="I690" s="3" t="str">
        <f aca="false">IFERROR(__xludf.dummyfunction("if($T690&lt;&gt;"""",REGEXEXTRACT(SUBSTITUTE ($T690,I$1&amp;"" CE"",""""), I$1&amp;""[\w &amp;]*, (\d+\.\d+)""),"""")
"),"")</f>
        <v/>
      </c>
      <c r="J690" s="3" t="str">
        <f aca="false">IFERROR(__xludf.dummyfunction("if($T690&lt;&gt;"""",REGEXEXTRACT($T690, J$1&amp;""[\w &amp;]*, (\d+\.\d+)""),"""")
"),"")</f>
        <v/>
      </c>
      <c r="K690" s="3"/>
      <c r="L690" s="3" t="str">
        <f aca="false">IFERROR(__xludf.dummyfunction("if($T690&lt;&gt;"""",REGEXEXTRACT(SUBSTITUTE ($T690,L$1&amp;"" CE"",""""), L$1&amp;""[\w &amp;]*, (\d+\.\d+)""),"""")
"),"")</f>
        <v/>
      </c>
      <c r="M690" s="3" t="str">
        <f aca="false">IFERROR(__xludf.dummyfunction("if($T690&lt;&gt;"""",REGEXEXTRACT($T690, M$1&amp;""[\w &amp;]*, (\d+\.\d+)""),"""")
"),"")</f>
        <v/>
      </c>
      <c r="N690" s="3" t="str">
        <f aca="false">IFERROR(__xludf.dummyfunction("if($T690&lt;&gt;"""",REGEXEXTRACT(SUBSTITUTE ($T690,N$1&amp;"" CE"",""""), N$1&amp;""[\w &amp;]*, (\d+\.\d+)""),"""")
"),"")</f>
        <v/>
      </c>
      <c r="O690" s="3" t="str">
        <f aca="false">IFERROR(__xludf.dummyfunction("if($T690&lt;&gt;"""",REGEXEXTRACT($T690, O$1&amp;""[\w &amp;]*, (\d+\.\d+)""),"""")
"),"")</f>
        <v/>
      </c>
      <c r="P690" s="2"/>
      <c r="Q690" s="2"/>
      <c r="R690" s="2"/>
      <c r="S690" s="2"/>
      <c r="T690" s="5"/>
    </row>
    <row r="691" customFormat="false" ht="15.75" hidden="false" customHeight="false" outlineLevel="0" collapsed="false">
      <c r="A691" s="4"/>
      <c r="B691" s="2"/>
      <c r="C691" s="2"/>
      <c r="D691" s="2"/>
      <c r="E691" s="2"/>
      <c r="F691" s="3" t="str">
        <f aca="false">IFERROR(__xludf.dummyfunction("if($T691&lt;&gt;"""",REGEXEXTRACT(SUBSTITUTE ($T691,F$1&amp;"" CE"",""""), F$1&amp;""[\w &amp;]*, (\d+\.\d+)""),"""")
"),"")</f>
        <v/>
      </c>
      <c r="G691" s="3" t="str">
        <f aca="false">IFERROR(__xludf.dummyfunction("if($T691&lt;&gt;"""",REGEXEXTRACT($T691, G$1&amp;""[\w &amp;]*, (\d+\.\d+)""),"""")
"),"")</f>
        <v/>
      </c>
      <c r="H691" s="3"/>
      <c r="I691" s="3" t="str">
        <f aca="false">IFERROR(__xludf.dummyfunction("if($T691&lt;&gt;"""",REGEXEXTRACT(SUBSTITUTE ($T691,I$1&amp;"" CE"",""""), I$1&amp;""[\w &amp;]*, (\d+\.\d+)""),"""")
"),"")</f>
        <v/>
      </c>
      <c r="J691" s="3" t="str">
        <f aca="false">IFERROR(__xludf.dummyfunction("if($T691&lt;&gt;"""",REGEXEXTRACT($T691, J$1&amp;""[\w &amp;]*, (\d+\.\d+)""),"""")
"),"")</f>
        <v/>
      </c>
      <c r="K691" s="3"/>
      <c r="L691" s="3" t="str">
        <f aca="false">IFERROR(__xludf.dummyfunction("if($T691&lt;&gt;"""",REGEXEXTRACT(SUBSTITUTE ($T691,L$1&amp;"" CE"",""""), L$1&amp;""[\w &amp;]*, (\d+\.\d+)""),"""")
"),"")</f>
        <v/>
      </c>
      <c r="M691" s="3" t="str">
        <f aca="false">IFERROR(__xludf.dummyfunction("if($T691&lt;&gt;"""",REGEXEXTRACT($T691, M$1&amp;""[\w &amp;]*, (\d+\.\d+)""),"""")
"),"")</f>
        <v/>
      </c>
      <c r="N691" s="3" t="str">
        <f aca="false">IFERROR(__xludf.dummyfunction("if($T691&lt;&gt;"""",REGEXEXTRACT(SUBSTITUTE ($T691,N$1&amp;"" CE"",""""), N$1&amp;""[\w &amp;]*, (\d+\.\d+)""),"""")
"),"")</f>
        <v/>
      </c>
      <c r="O691" s="3" t="str">
        <f aca="false">IFERROR(__xludf.dummyfunction("if($T691&lt;&gt;"""",REGEXEXTRACT($T691, O$1&amp;""[\w &amp;]*, (\d+\.\d+)""),"""")
"),"")</f>
        <v/>
      </c>
      <c r="P691" s="2"/>
      <c r="Q691" s="2"/>
      <c r="R691" s="2"/>
      <c r="S691" s="2"/>
      <c r="T691" s="5"/>
    </row>
    <row r="692" customFormat="false" ht="15.75" hidden="false" customHeight="false" outlineLevel="0" collapsed="false">
      <c r="A692" s="4"/>
      <c r="B692" s="2"/>
      <c r="C692" s="2"/>
      <c r="D692" s="2"/>
      <c r="E692" s="2"/>
      <c r="F692" s="3" t="str">
        <f aca="false">IFERROR(__xludf.dummyfunction("if($T692&lt;&gt;"""",REGEXEXTRACT(SUBSTITUTE ($T692,F$1&amp;"" CE"",""""), F$1&amp;""[\w &amp;]*, (\d+\.\d+)""),"""")
"),"")</f>
        <v/>
      </c>
      <c r="G692" s="3" t="str">
        <f aca="false">IFERROR(__xludf.dummyfunction("if($T692&lt;&gt;"""",REGEXEXTRACT($T692, G$1&amp;""[\w &amp;]*, (\d+\.\d+)""),"""")
"),"")</f>
        <v/>
      </c>
      <c r="H692" s="3"/>
      <c r="I692" s="3" t="str">
        <f aca="false">IFERROR(__xludf.dummyfunction("if($T692&lt;&gt;"""",REGEXEXTRACT(SUBSTITUTE ($T692,I$1&amp;"" CE"",""""), I$1&amp;""[\w &amp;]*, (\d+\.\d+)""),"""")
"),"")</f>
        <v/>
      </c>
      <c r="J692" s="3" t="str">
        <f aca="false">IFERROR(__xludf.dummyfunction("if($T692&lt;&gt;"""",REGEXEXTRACT($T692, J$1&amp;""[\w &amp;]*, (\d+\.\d+)""),"""")
"),"")</f>
        <v/>
      </c>
      <c r="K692" s="3"/>
      <c r="L692" s="3" t="str">
        <f aca="false">IFERROR(__xludf.dummyfunction("if($T692&lt;&gt;"""",REGEXEXTRACT(SUBSTITUTE ($T692,L$1&amp;"" CE"",""""), L$1&amp;""[\w &amp;]*, (\d+\.\d+)""),"""")
"),"")</f>
        <v/>
      </c>
      <c r="M692" s="3" t="str">
        <f aca="false">IFERROR(__xludf.dummyfunction("if($T692&lt;&gt;"""",REGEXEXTRACT($T692, M$1&amp;""[\w &amp;]*, (\d+\.\d+)""),"""")
"),"")</f>
        <v/>
      </c>
      <c r="N692" s="3" t="str">
        <f aca="false">IFERROR(__xludf.dummyfunction("if($T692&lt;&gt;"""",REGEXEXTRACT(SUBSTITUTE ($T692,N$1&amp;"" CE"",""""), N$1&amp;""[\w &amp;]*, (\d+\.\d+)""),"""")
"),"")</f>
        <v/>
      </c>
      <c r="O692" s="3" t="str">
        <f aca="false">IFERROR(__xludf.dummyfunction("if($T692&lt;&gt;"""",REGEXEXTRACT($T692, O$1&amp;""[\w &amp;]*, (\d+\.\d+)""),"""")
"),"")</f>
        <v/>
      </c>
      <c r="P692" s="2"/>
      <c r="Q692" s="2"/>
      <c r="R692" s="2"/>
      <c r="S692" s="2"/>
      <c r="T692" s="5"/>
    </row>
    <row r="693" customFormat="false" ht="15.75" hidden="false" customHeight="false" outlineLevel="0" collapsed="false">
      <c r="A693" s="4"/>
      <c r="B693" s="2"/>
      <c r="C693" s="2"/>
      <c r="D693" s="2"/>
      <c r="E693" s="2"/>
      <c r="F693" s="3" t="str">
        <f aca="false">IFERROR(__xludf.dummyfunction("if($T693&lt;&gt;"""",REGEXEXTRACT(SUBSTITUTE ($T693,F$1&amp;"" CE"",""""), F$1&amp;""[\w &amp;]*, (\d+\.\d+)""),"""")
"),"")</f>
        <v/>
      </c>
      <c r="G693" s="3" t="str">
        <f aca="false">IFERROR(__xludf.dummyfunction("if($T693&lt;&gt;"""",REGEXEXTRACT($T693, G$1&amp;""[\w &amp;]*, (\d+\.\d+)""),"""")
"),"")</f>
        <v/>
      </c>
      <c r="H693" s="3"/>
      <c r="I693" s="3" t="str">
        <f aca="false">IFERROR(__xludf.dummyfunction("if($T693&lt;&gt;"""",REGEXEXTRACT(SUBSTITUTE ($T693,I$1&amp;"" CE"",""""), I$1&amp;""[\w &amp;]*, (\d+\.\d+)""),"""")
"),"")</f>
        <v/>
      </c>
      <c r="J693" s="3" t="str">
        <f aca="false">IFERROR(__xludf.dummyfunction("if($T693&lt;&gt;"""",REGEXEXTRACT($T693, J$1&amp;""[\w &amp;]*, (\d+\.\d+)""),"""")
"),"")</f>
        <v/>
      </c>
      <c r="K693" s="3"/>
      <c r="L693" s="3" t="str">
        <f aca="false">IFERROR(__xludf.dummyfunction("if($T693&lt;&gt;"""",REGEXEXTRACT(SUBSTITUTE ($T693,L$1&amp;"" CE"",""""), L$1&amp;""[\w &amp;]*, (\d+\.\d+)""),"""")
"),"")</f>
        <v/>
      </c>
      <c r="M693" s="3" t="str">
        <f aca="false">IFERROR(__xludf.dummyfunction("if($T693&lt;&gt;"""",REGEXEXTRACT($T693, M$1&amp;""[\w &amp;]*, (\d+\.\d+)""),"""")
"),"")</f>
        <v/>
      </c>
      <c r="N693" s="3" t="str">
        <f aca="false">IFERROR(__xludf.dummyfunction("if($T693&lt;&gt;"""",REGEXEXTRACT(SUBSTITUTE ($T693,N$1&amp;"" CE"",""""), N$1&amp;""[\w &amp;]*, (\d+\.\d+)""),"""")
"),"")</f>
        <v/>
      </c>
      <c r="O693" s="3" t="str">
        <f aca="false">IFERROR(__xludf.dummyfunction("if($T693&lt;&gt;"""",REGEXEXTRACT($T693, O$1&amp;""[\w &amp;]*, (\d+\.\d+)""),"""")
"),"")</f>
        <v/>
      </c>
      <c r="P693" s="2"/>
      <c r="Q693" s="2"/>
      <c r="R693" s="2"/>
      <c r="S693" s="2"/>
      <c r="T693" s="5"/>
    </row>
    <row r="694" customFormat="false" ht="15.75" hidden="false" customHeight="false" outlineLevel="0" collapsed="false">
      <c r="A694" s="4"/>
      <c r="B694" s="2"/>
      <c r="C694" s="2"/>
      <c r="D694" s="2"/>
      <c r="E694" s="2"/>
      <c r="F694" s="3" t="str">
        <f aca="false">IFERROR(__xludf.dummyfunction("if($T694&lt;&gt;"""",REGEXEXTRACT(SUBSTITUTE ($T694,F$1&amp;"" CE"",""""), F$1&amp;""[\w &amp;]*, (\d+\.\d+)""),"""")
"),"")</f>
        <v/>
      </c>
      <c r="G694" s="3" t="str">
        <f aca="false">IFERROR(__xludf.dummyfunction("if($T694&lt;&gt;"""",REGEXEXTRACT($T694, G$1&amp;""[\w &amp;]*, (\d+\.\d+)""),"""")
"),"")</f>
        <v/>
      </c>
      <c r="H694" s="3"/>
      <c r="I694" s="3" t="str">
        <f aca="false">IFERROR(__xludf.dummyfunction("if($T694&lt;&gt;"""",REGEXEXTRACT(SUBSTITUTE ($T694,I$1&amp;"" CE"",""""), I$1&amp;""[\w &amp;]*, (\d+\.\d+)""),"""")
"),"")</f>
        <v/>
      </c>
      <c r="J694" s="3" t="str">
        <f aca="false">IFERROR(__xludf.dummyfunction("if($T694&lt;&gt;"""",REGEXEXTRACT($T694, J$1&amp;""[\w &amp;]*, (\d+\.\d+)""),"""")
"),"")</f>
        <v/>
      </c>
      <c r="K694" s="3"/>
      <c r="L694" s="3" t="str">
        <f aca="false">IFERROR(__xludf.dummyfunction("if($T694&lt;&gt;"""",REGEXEXTRACT(SUBSTITUTE ($T694,L$1&amp;"" CE"",""""), L$1&amp;""[\w &amp;]*, (\d+\.\d+)""),"""")
"),"")</f>
        <v/>
      </c>
      <c r="M694" s="3" t="str">
        <f aca="false">IFERROR(__xludf.dummyfunction("if($T694&lt;&gt;"""",REGEXEXTRACT($T694, M$1&amp;""[\w &amp;]*, (\d+\.\d+)""),"""")
"),"")</f>
        <v/>
      </c>
      <c r="N694" s="3" t="str">
        <f aca="false">IFERROR(__xludf.dummyfunction("if($T694&lt;&gt;"""",REGEXEXTRACT(SUBSTITUTE ($T694,N$1&amp;"" CE"",""""), N$1&amp;""[\w &amp;]*, (\d+\.\d+)""),"""")
"),"")</f>
        <v/>
      </c>
      <c r="O694" s="3" t="str">
        <f aca="false">IFERROR(__xludf.dummyfunction("if($T694&lt;&gt;"""",REGEXEXTRACT($T694, O$1&amp;""[\w &amp;]*, (\d+\.\d+)""),"""")
"),"")</f>
        <v/>
      </c>
      <c r="P694" s="2"/>
      <c r="Q694" s="2"/>
      <c r="R694" s="2"/>
      <c r="S694" s="2"/>
      <c r="T694" s="5"/>
    </row>
    <row r="695" customFormat="false" ht="15.75" hidden="false" customHeight="false" outlineLevel="0" collapsed="false">
      <c r="A695" s="4"/>
      <c r="B695" s="2"/>
      <c r="C695" s="2"/>
      <c r="D695" s="2"/>
      <c r="E695" s="2"/>
      <c r="F695" s="3" t="str">
        <f aca="false">IFERROR(__xludf.dummyfunction("if($T695&lt;&gt;"""",REGEXEXTRACT(SUBSTITUTE ($T695,F$1&amp;"" CE"",""""), F$1&amp;""[\w &amp;]*, (\d+\.\d+)""),"""")
"),"")</f>
        <v/>
      </c>
      <c r="G695" s="3" t="str">
        <f aca="false">IFERROR(__xludf.dummyfunction("if($T695&lt;&gt;"""",REGEXEXTRACT($T695, G$1&amp;""[\w &amp;]*, (\d+\.\d+)""),"""")
"),"")</f>
        <v/>
      </c>
      <c r="H695" s="3"/>
      <c r="I695" s="3" t="str">
        <f aca="false">IFERROR(__xludf.dummyfunction("if($T695&lt;&gt;"""",REGEXEXTRACT(SUBSTITUTE ($T695,I$1&amp;"" CE"",""""), I$1&amp;""[\w &amp;]*, (\d+\.\d+)""),"""")
"),"")</f>
        <v/>
      </c>
      <c r="J695" s="3" t="str">
        <f aca="false">IFERROR(__xludf.dummyfunction("if($T695&lt;&gt;"""",REGEXEXTRACT($T695, J$1&amp;""[\w &amp;]*, (\d+\.\d+)""),"""")
"),"")</f>
        <v/>
      </c>
      <c r="K695" s="3"/>
      <c r="L695" s="3" t="str">
        <f aca="false">IFERROR(__xludf.dummyfunction("if($T695&lt;&gt;"""",REGEXEXTRACT(SUBSTITUTE ($T695,L$1&amp;"" CE"",""""), L$1&amp;""[\w &amp;]*, (\d+\.\d+)""),"""")
"),"")</f>
        <v/>
      </c>
      <c r="M695" s="3" t="str">
        <f aca="false">IFERROR(__xludf.dummyfunction("if($T695&lt;&gt;"""",REGEXEXTRACT($T695, M$1&amp;""[\w &amp;]*, (\d+\.\d+)""),"""")
"),"")</f>
        <v/>
      </c>
      <c r="N695" s="3" t="str">
        <f aca="false">IFERROR(__xludf.dummyfunction("if($T695&lt;&gt;"""",REGEXEXTRACT(SUBSTITUTE ($T695,N$1&amp;"" CE"",""""), N$1&amp;""[\w &amp;]*, (\d+\.\d+)""),"""")
"),"")</f>
        <v/>
      </c>
      <c r="O695" s="3" t="str">
        <f aca="false">IFERROR(__xludf.dummyfunction("if($T695&lt;&gt;"""",REGEXEXTRACT($T695, O$1&amp;""[\w &amp;]*, (\d+\.\d+)""),"""")
"),"")</f>
        <v/>
      </c>
      <c r="P695" s="2"/>
      <c r="Q695" s="2"/>
      <c r="R695" s="2"/>
      <c r="S695" s="2"/>
      <c r="T695" s="5"/>
    </row>
    <row r="696" customFormat="false" ht="15.75" hidden="false" customHeight="false" outlineLevel="0" collapsed="false">
      <c r="A696" s="4"/>
      <c r="B696" s="2"/>
      <c r="C696" s="2"/>
      <c r="D696" s="2"/>
      <c r="E696" s="2"/>
      <c r="F696" s="3" t="str">
        <f aca="false">IFERROR(__xludf.dummyfunction("if($T696&lt;&gt;"""",REGEXEXTRACT(SUBSTITUTE ($T696,F$1&amp;"" CE"",""""), F$1&amp;""[\w &amp;]*, (\d+\.\d+)""),"""")
"),"")</f>
        <v/>
      </c>
      <c r="G696" s="3" t="str">
        <f aca="false">IFERROR(__xludf.dummyfunction("if($T696&lt;&gt;"""",REGEXEXTRACT($T696, G$1&amp;""[\w &amp;]*, (\d+\.\d+)""),"""")
"),"")</f>
        <v/>
      </c>
      <c r="H696" s="3"/>
      <c r="I696" s="3" t="str">
        <f aca="false">IFERROR(__xludf.dummyfunction("if($T696&lt;&gt;"""",REGEXEXTRACT(SUBSTITUTE ($T696,I$1&amp;"" CE"",""""), I$1&amp;""[\w &amp;]*, (\d+\.\d+)""),"""")
"),"")</f>
        <v/>
      </c>
      <c r="J696" s="3" t="str">
        <f aca="false">IFERROR(__xludf.dummyfunction("if($T696&lt;&gt;"""",REGEXEXTRACT($T696, J$1&amp;""[\w &amp;]*, (\d+\.\d+)""),"""")
"),"")</f>
        <v/>
      </c>
      <c r="K696" s="3"/>
      <c r="L696" s="3" t="str">
        <f aca="false">IFERROR(__xludf.dummyfunction("if($T696&lt;&gt;"""",REGEXEXTRACT(SUBSTITUTE ($T696,L$1&amp;"" CE"",""""), L$1&amp;""[\w &amp;]*, (\d+\.\d+)""),"""")
"),"")</f>
        <v/>
      </c>
      <c r="M696" s="3" t="str">
        <f aca="false">IFERROR(__xludf.dummyfunction("if($T696&lt;&gt;"""",REGEXEXTRACT($T696, M$1&amp;""[\w &amp;]*, (\d+\.\d+)""),"""")
"),"")</f>
        <v/>
      </c>
      <c r="N696" s="3" t="str">
        <f aca="false">IFERROR(__xludf.dummyfunction("if($T696&lt;&gt;"""",REGEXEXTRACT(SUBSTITUTE ($T696,N$1&amp;"" CE"",""""), N$1&amp;""[\w &amp;]*, (\d+\.\d+)""),"""")
"),"")</f>
        <v/>
      </c>
      <c r="O696" s="3" t="str">
        <f aca="false">IFERROR(__xludf.dummyfunction("if($T696&lt;&gt;"""",REGEXEXTRACT($T696, O$1&amp;""[\w &amp;]*, (\d+\.\d+)""),"""")
"),"")</f>
        <v/>
      </c>
      <c r="P696" s="2"/>
      <c r="Q696" s="2"/>
      <c r="R696" s="2"/>
      <c r="S696" s="2"/>
      <c r="T696" s="5"/>
    </row>
    <row r="697" customFormat="false" ht="15.75" hidden="false" customHeight="false" outlineLevel="0" collapsed="false">
      <c r="A697" s="4"/>
      <c r="B697" s="2"/>
      <c r="C697" s="2"/>
      <c r="D697" s="2"/>
      <c r="E697" s="2"/>
      <c r="F697" s="3" t="str">
        <f aca="false">IFERROR(__xludf.dummyfunction("if($T697&lt;&gt;"""",REGEXEXTRACT(SUBSTITUTE ($T697,F$1&amp;"" CE"",""""), F$1&amp;""[\w &amp;]*, (\d+\.\d+)""),"""")
"),"")</f>
        <v/>
      </c>
      <c r="G697" s="3" t="str">
        <f aca="false">IFERROR(__xludf.dummyfunction("if($T697&lt;&gt;"""",REGEXEXTRACT($T697, G$1&amp;""[\w &amp;]*, (\d+\.\d+)""),"""")
"),"")</f>
        <v/>
      </c>
      <c r="H697" s="3"/>
      <c r="I697" s="3" t="str">
        <f aca="false">IFERROR(__xludf.dummyfunction("if($T697&lt;&gt;"""",REGEXEXTRACT(SUBSTITUTE ($T697,I$1&amp;"" CE"",""""), I$1&amp;""[\w &amp;]*, (\d+\.\d+)""),"""")
"),"")</f>
        <v/>
      </c>
      <c r="J697" s="3" t="str">
        <f aca="false">IFERROR(__xludf.dummyfunction("if($T697&lt;&gt;"""",REGEXEXTRACT($T697, J$1&amp;""[\w &amp;]*, (\d+\.\d+)""),"""")
"),"")</f>
        <v/>
      </c>
      <c r="K697" s="3"/>
      <c r="L697" s="3" t="str">
        <f aca="false">IFERROR(__xludf.dummyfunction("if($T697&lt;&gt;"""",REGEXEXTRACT(SUBSTITUTE ($T697,L$1&amp;"" CE"",""""), L$1&amp;""[\w &amp;]*, (\d+\.\d+)""),"""")
"),"")</f>
        <v/>
      </c>
      <c r="M697" s="3" t="str">
        <f aca="false">IFERROR(__xludf.dummyfunction("if($T697&lt;&gt;"""",REGEXEXTRACT($T697, M$1&amp;""[\w &amp;]*, (\d+\.\d+)""),"""")
"),"")</f>
        <v/>
      </c>
      <c r="N697" s="3" t="str">
        <f aca="false">IFERROR(__xludf.dummyfunction("if($T697&lt;&gt;"""",REGEXEXTRACT(SUBSTITUTE ($T697,N$1&amp;"" CE"",""""), N$1&amp;""[\w &amp;]*, (\d+\.\d+)""),"""")
"),"")</f>
        <v/>
      </c>
      <c r="O697" s="3" t="str">
        <f aca="false">IFERROR(__xludf.dummyfunction("if($T697&lt;&gt;"""",REGEXEXTRACT($T697, O$1&amp;""[\w &amp;]*, (\d+\.\d+)""),"""")
"),"")</f>
        <v/>
      </c>
      <c r="P697" s="2"/>
      <c r="Q697" s="2"/>
      <c r="R697" s="2"/>
      <c r="S697" s="2"/>
      <c r="T697" s="5"/>
    </row>
    <row r="698" customFormat="false" ht="15.75" hidden="false" customHeight="false" outlineLevel="0" collapsed="false">
      <c r="A698" s="4"/>
      <c r="B698" s="2"/>
      <c r="C698" s="2"/>
      <c r="D698" s="2"/>
      <c r="E698" s="2"/>
      <c r="F698" s="3" t="str">
        <f aca="false">IFERROR(__xludf.dummyfunction("if($T698&lt;&gt;"""",REGEXEXTRACT(SUBSTITUTE ($T698,F$1&amp;"" CE"",""""), F$1&amp;""[\w &amp;]*, (\d+\.\d+)""),"""")
"),"")</f>
        <v/>
      </c>
      <c r="G698" s="3" t="str">
        <f aca="false">IFERROR(__xludf.dummyfunction("if($T698&lt;&gt;"""",REGEXEXTRACT($T698, G$1&amp;""[\w &amp;]*, (\d+\.\d+)""),"""")
"),"")</f>
        <v/>
      </c>
      <c r="H698" s="3"/>
      <c r="I698" s="3" t="str">
        <f aca="false">IFERROR(__xludf.dummyfunction("if($T698&lt;&gt;"""",REGEXEXTRACT(SUBSTITUTE ($T698,I$1&amp;"" CE"",""""), I$1&amp;""[\w &amp;]*, (\d+\.\d+)""),"""")
"),"")</f>
        <v/>
      </c>
      <c r="J698" s="3" t="str">
        <f aca="false">IFERROR(__xludf.dummyfunction("if($T698&lt;&gt;"""",REGEXEXTRACT($T698, J$1&amp;""[\w &amp;]*, (\d+\.\d+)""),"""")
"),"")</f>
        <v/>
      </c>
      <c r="K698" s="3"/>
      <c r="L698" s="3" t="str">
        <f aca="false">IFERROR(__xludf.dummyfunction("if($T698&lt;&gt;"""",REGEXEXTRACT(SUBSTITUTE ($T698,L$1&amp;"" CE"",""""), L$1&amp;""[\w &amp;]*, (\d+\.\d+)""),"""")
"),"")</f>
        <v/>
      </c>
      <c r="M698" s="3" t="str">
        <f aca="false">IFERROR(__xludf.dummyfunction("if($T698&lt;&gt;"""",REGEXEXTRACT($T698, M$1&amp;""[\w &amp;]*, (\d+\.\d+)""),"""")
"),"")</f>
        <v/>
      </c>
      <c r="N698" s="3" t="str">
        <f aca="false">IFERROR(__xludf.dummyfunction("if($T698&lt;&gt;"""",REGEXEXTRACT(SUBSTITUTE ($T698,N$1&amp;"" CE"",""""), N$1&amp;""[\w &amp;]*, (\d+\.\d+)""),"""")
"),"")</f>
        <v/>
      </c>
      <c r="O698" s="3" t="str">
        <f aca="false">IFERROR(__xludf.dummyfunction("if($T698&lt;&gt;"""",REGEXEXTRACT($T698, O$1&amp;""[\w &amp;]*, (\d+\.\d+)""),"""")
"),"")</f>
        <v/>
      </c>
      <c r="P698" s="2"/>
      <c r="Q698" s="2"/>
      <c r="R698" s="2"/>
      <c r="S698" s="2"/>
      <c r="T698" s="5"/>
    </row>
    <row r="699" customFormat="false" ht="15.75" hidden="false" customHeight="false" outlineLevel="0" collapsed="false">
      <c r="A699" s="4"/>
      <c r="B699" s="2"/>
      <c r="C699" s="2"/>
      <c r="D699" s="2"/>
      <c r="E699" s="2"/>
      <c r="F699" s="3" t="str">
        <f aca="false">IFERROR(__xludf.dummyfunction("if($T699&lt;&gt;"""",REGEXEXTRACT(SUBSTITUTE ($T699,F$1&amp;"" CE"",""""), F$1&amp;""[\w &amp;]*, (\d+\.\d+)""),"""")
"),"")</f>
        <v/>
      </c>
      <c r="G699" s="3" t="str">
        <f aca="false">IFERROR(__xludf.dummyfunction("if($T699&lt;&gt;"""",REGEXEXTRACT($T699, G$1&amp;""[\w &amp;]*, (\d+\.\d+)""),"""")
"),"")</f>
        <v/>
      </c>
      <c r="H699" s="3"/>
      <c r="I699" s="3" t="str">
        <f aca="false">IFERROR(__xludf.dummyfunction("if($T699&lt;&gt;"""",REGEXEXTRACT(SUBSTITUTE ($T699,I$1&amp;"" CE"",""""), I$1&amp;""[\w &amp;]*, (\d+\.\d+)""),"""")
"),"")</f>
        <v/>
      </c>
      <c r="J699" s="3" t="str">
        <f aca="false">IFERROR(__xludf.dummyfunction("if($T699&lt;&gt;"""",REGEXEXTRACT($T699, J$1&amp;""[\w &amp;]*, (\d+\.\d+)""),"""")
"),"")</f>
        <v/>
      </c>
      <c r="K699" s="3"/>
      <c r="L699" s="3" t="str">
        <f aca="false">IFERROR(__xludf.dummyfunction("if($T699&lt;&gt;"""",REGEXEXTRACT(SUBSTITUTE ($T699,L$1&amp;"" CE"",""""), L$1&amp;""[\w &amp;]*, (\d+\.\d+)""),"""")
"),"")</f>
        <v/>
      </c>
      <c r="M699" s="3" t="str">
        <f aca="false">IFERROR(__xludf.dummyfunction("if($T699&lt;&gt;"""",REGEXEXTRACT($T699, M$1&amp;""[\w &amp;]*, (\d+\.\d+)""),"""")
"),"")</f>
        <v/>
      </c>
      <c r="N699" s="3" t="str">
        <f aca="false">IFERROR(__xludf.dummyfunction("if($T699&lt;&gt;"""",REGEXEXTRACT(SUBSTITUTE ($T699,N$1&amp;"" CE"",""""), N$1&amp;""[\w &amp;]*, (\d+\.\d+)""),"""")
"),"")</f>
        <v/>
      </c>
      <c r="O699" s="3" t="str">
        <f aca="false">IFERROR(__xludf.dummyfunction("if($T699&lt;&gt;"""",REGEXEXTRACT($T699, O$1&amp;""[\w &amp;]*, (\d+\.\d+)""),"""")
"),"")</f>
        <v/>
      </c>
      <c r="P699" s="2"/>
      <c r="Q699" s="2"/>
      <c r="R699" s="2"/>
      <c r="S699" s="2"/>
      <c r="T699" s="5"/>
    </row>
    <row r="700" customFormat="false" ht="15.75" hidden="false" customHeight="false" outlineLevel="0" collapsed="false">
      <c r="A700" s="4"/>
      <c r="B700" s="2"/>
      <c r="C700" s="2"/>
      <c r="D700" s="2"/>
      <c r="E700" s="2"/>
      <c r="F700" s="3" t="str">
        <f aca="false">IFERROR(__xludf.dummyfunction("if($T700&lt;&gt;"""",REGEXEXTRACT(SUBSTITUTE ($T700,F$1&amp;"" CE"",""""), F$1&amp;""[\w &amp;]*, (\d+\.\d+)""),"""")
"),"")</f>
        <v/>
      </c>
      <c r="G700" s="3" t="str">
        <f aca="false">IFERROR(__xludf.dummyfunction("if($T700&lt;&gt;"""",REGEXEXTRACT($T700, G$1&amp;""[\w &amp;]*, (\d+\.\d+)""),"""")
"),"")</f>
        <v/>
      </c>
      <c r="H700" s="3"/>
      <c r="I700" s="3" t="str">
        <f aca="false">IFERROR(__xludf.dummyfunction("if($T700&lt;&gt;"""",REGEXEXTRACT(SUBSTITUTE ($T700,I$1&amp;"" CE"",""""), I$1&amp;""[\w &amp;]*, (\d+\.\d+)""),"""")
"),"")</f>
        <v/>
      </c>
      <c r="J700" s="3" t="str">
        <f aca="false">IFERROR(__xludf.dummyfunction("if($T700&lt;&gt;"""",REGEXEXTRACT($T700, J$1&amp;""[\w &amp;]*, (\d+\.\d+)""),"""")
"),"")</f>
        <v/>
      </c>
      <c r="K700" s="3"/>
      <c r="L700" s="3" t="str">
        <f aca="false">IFERROR(__xludf.dummyfunction("if($T700&lt;&gt;"""",REGEXEXTRACT(SUBSTITUTE ($T700,L$1&amp;"" CE"",""""), L$1&amp;""[\w &amp;]*, (\d+\.\d+)""),"""")
"),"")</f>
        <v/>
      </c>
      <c r="M700" s="3" t="str">
        <f aca="false">IFERROR(__xludf.dummyfunction("if($T700&lt;&gt;"""",REGEXEXTRACT($T700, M$1&amp;""[\w &amp;]*, (\d+\.\d+)""),"""")
"),"")</f>
        <v/>
      </c>
      <c r="N700" s="3" t="str">
        <f aca="false">IFERROR(__xludf.dummyfunction("if($T700&lt;&gt;"""",REGEXEXTRACT(SUBSTITUTE ($T700,N$1&amp;"" CE"",""""), N$1&amp;""[\w &amp;]*, (\d+\.\d+)""),"""")
"),"")</f>
        <v/>
      </c>
      <c r="O700" s="3" t="str">
        <f aca="false">IFERROR(__xludf.dummyfunction("if($T700&lt;&gt;"""",REGEXEXTRACT($T700, O$1&amp;""[\w &amp;]*, (\d+\.\d+)""),"""")
"),"")</f>
        <v/>
      </c>
      <c r="P700" s="2"/>
      <c r="Q700" s="2"/>
      <c r="R700" s="2"/>
      <c r="S700" s="2"/>
      <c r="T700" s="5"/>
    </row>
    <row r="701" customFormat="false" ht="15.75" hidden="false" customHeight="false" outlineLevel="0" collapsed="false">
      <c r="A701" s="4"/>
      <c r="B701" s="2"/>
      <c r="C701" s="2"/>
      <c r="D701" s="2"/>
      <c r="E701" s="2"/>
      <c r="F701" s="3" t="str">
        <f aca="false">IFERROR(__xludf.dummyfunction("if($T701&lt;&gt;"""",REGEXEXTRACT(SUBSTITUTE ($T701,F$1&amp;"" CE"",""""), F$1&amp;""[\w &amp;]*, (\d+\.\d+)""),"""")
"),"")</f>
        <v/>
      </c>
      <c r="G701" s="3" t="str">
        <f aca="false">IFERROR(__xludf.dummyfunction("if($T701&lt;&gt;"""",REGEXEXTRACT($T701, G$1&amp;""[\w &amp;]*, (\d+\.\d+)""),"""")
"),"")</f>
        <v/>
      </c>
      <c r="H701" s="3"/>
      <c r="I701" s="3" t="str">
        <f aca="false">IFERROR(__xludf.dummyfunction("if($T701&lt;&gt;"""",REGEXEXTRACT(SUBSTITUTE ($T701,I$1&amp;"" CE"",""""), I$1&amp;""[\w &amp;]*, (\d+\.\d+)""),"""")
"),"")</f>
        <v/>
      </c>
      <c r="J701" s="3" t="str">
        <f aca="false">IFERROR(__xludf.dummyfunction("if($T701&lt;&gt;"""",REGEXEXTRACT($T701, J$1&amp;""[\w &amp;]*, (\d+\.\d+)""),"""")
"),"")</f>
        <v/>
      </c>
      <c r="K701" s="3"/>
      <c r="L701" s="3" t="str">
        <f aca="false">IFERROR(__xludf.dummyfunction("if($T701&lt;&gt;"""",REGEXEXTRACT(SUBSTITUTE ($T701,L$1&amp;"" CE"",""""), L$1&amp;""[\w &amp;]*, (\d+\.\d+)""),"""")
"),"")</f>
        <v/>
      </c>
      <c r="M701" s="3" t="str">
        <f aca="false">IFERROR(__xludf.dummyfunction("if($T701&lt;&gt;"""",REGEXEXTRACT($T701, M$1&amp;""[\w &amp;]*, (\d+\.\d+)""),"""")
"),"")</f>
        <v/>
      </c>
      <c r="N701" s="3" t="str">
        <f aca="false">IFERROR(__xludf.dummyfunction("if($T701&lt;&gt;"""",REGEXEXTRACT(SUBSTITUTE ($T701,N$1&amp;"" CE"",""""), N$1&amp;""[\w &amp;]*, (\d+\.\d+)""),"""")
"),"")</f>
        <v/>
      </c>
      <c r="O701" s="3" t="str">
        <f aca="false">IFERROR(__xludf.dummyfunction("if($T701&lt;&gt;"""",REGEXEXTRACT($T701, O$1&amp;""[\w &amp;]*, (\d+\.\d+)""),"""")
"),"")</f>
        <v/>
      </c>
      <c r="P701" s="2"/>
      <c r="Q701" s="2"/>
      <c r="R701" s="2"/>
      <c r="S701" s="2"/>
      <c r="T701" s="5"/>
    </row>
    <row r="702" customFormat="false" ht="15.75" hidden="false" customHeight="false" outlineLevel="0" collapsed="false">
      <c r="A702" s="4"/>
      <c r="B702" s="2"/>
      <c r="C702" s="2"/>
      <c r="D702" s="2"/>
      <c r="E702" s="2"/>
      <c r="F702" s="3" t="str">
        <f aca="false">IFERROR(__xludf.dummyfunction("if($T702&lt;&gt;"""",REGEXEXTRACT(SUBSTITUTE ($T702,F$1&amp;"" CE"",""""), F$1&amp;""[\w &amp;]*, (\d+\.\d+)""),"""")
"),"")</f>
        <v/>
      </c>
      <c r="G702" s="3" t="str">
        <f aca="false">IFERROR(__xludf.dummyfunction("if($T702&lt;&gt;"""",REGEXEXTRACT($T702, G$1&amp;""[\w &amp;]*, (\d+\.\d+)""),"""")
"),"")</f>
        <v/>
      </c>
      <c r="H702" s="3"/>
      <c r="I702" s="3" t="str">
        <f aca="false">IFERROR(__xludf.dummyfunction("if($T702&lt;&gt;"""",REGEXEXTRACT(SUBSTITUTE ($T702,I$1&amp;"" CE"",""""), I$1&amp;""[\w &amp;]*, (\d+\.\d+)""),"""")
"),"")</f>
        <v/>
      </c>
      <c r="J702" s="3" t="str">
        <f aca="false">IFERROR(__xludf.dummyfunction("if($T702&lt;&gt;"""",REGEXEXTRACT($T702, J$1&amp;""[\w &amp;]*, (\d+\.\d+)""),"""")
"),"")</f>
        <v/>
      </c>
      <c r="K702" s="3"/>
      <c r="L702" s="3" t="str">
        <f aca="false">IFERROR(__xludf.dummyfunction("if($T702&lt;&gt;"""",REGEXEXTRACT(SUBSTITUTE ($T702,L$1&amp;"" CE"",""""), L$1&amp;""[\w &amp;]*, (\d+\.\d+)""),"""")
"),"")</f>
        <v/>
      </c>
      <c r="M702" s="3" t="str">
        <f aca="false">IFERROR(__xludf.dummyfunction("if($T702&lt;&gt;"""",REGEXEXTRACT($T702, M$1&amp;""[\w &amp;]*, (\d+\.\d+)""),"""")
"),"")</f>
        <v/>
      </c>
      <c r="N702" s="3" t="str">
        <f aca="false">IFERROR(__xludf.dummyfunction("if($T702&lt;&gt;"""",REGEXEXTRACT(SUBSTITUTE ($T702,N$1&amp;"" CE"",""""), N$1&amp;""[\w &amp;]*, (\d+\.\d+)""),"""")
"),"")</f>
        <v/>
      </c>
      <c r="O702" s="3" t="str">
        <f aca="false">IFERROR(__xludf.dummyfunction("if($T702&lt;&gt;"""",REGEXEXTRACT($T702, O$1&amp;""[\w &amp;]*, (\d+\.\d+)""),"""")
"),"")</f>
        <v/>
      </c>
      <c r="P702" s="2"/>
      <c r="Q702" s="2"/>
      <c r="R702" s="2"/>
      <c r="S702" s="2"/>
      <c r="T702" s="5"/>
    </row>
    <row r="703" customFormat="false" ht="15.75" hidden="false" customHeight="false" outlineLevel="0" collapsed="false">
      <c r="A703" s="4"/>
      <c r="B703" s="2"/>
      <c r="C703" s="2"/>
      <c r="D703" s="2"/>
      <c r="E703" s="2"/>
      <c r="F703" s="3" t="str">
        <f aca="false">IFERROR(__xludf.dummyfunction("if($T703&lt;&gt;"""",REGEXEXTRACT(SUBSTITUTE ($T703,F$1&amp;"" CE"",""""), F$1&amp;""[\w &amp;]*, (\d+\.\d+)""),"""")
"),"")</f>
        <v/>
      </c>
      <c r="G703" s="3" t="str">
        <f aca="false">IFERROR(__xludf.dummyfunction("if($T703&lt;&gt;"""",REGEXEXTRACT($T703, G$1&amp;""[\w &amp;]*, (\d+\.\d+)""),"""")
"),"")</f>
        <v/>
      </c>
      <c r="H703" s="3"/>
      <c r="I703" s="3" t="str">
        <f aca="false">IFERROR(__xludf.dummyfunction("if($T703&lt;&gt;"""",REGEXEXTRACT(SUBSTITUTE ($T703,I$1&amp;"" CE"",""""), I$1&amp;""[\w &amp;]*, (\d+\.\d+)""),"""")
"),"")</f>
        <v/>
      </c>
      <c r="J703" s="3" t="str">
        <f aca="false">IFERROR(__xludf.dummyfunction("if($T703&lt;&gt;"""",REGEXEXTRACT($T703, J$1&amp;""[\w &amp;]*, (\d+\.\d+)""),"""")
"),"")</f>
        <v/>
      </c>
      <c r="K703" s="3"/>
      <c r="L703" s="3" t="str">
        <f aca="false">IFERROR(__xludf.dummyfunction("if($T703&lt;&gt;"""",REGEXEXTRACT(SUBSTITUTE ($T703,L$1&amp;"" CE"",""""), L$1&amp;""[\w &amp;]*, (\d+\.\d+)""),"""")
"),"")</f>
        <v/>
      </c>
      <c r="M703" s="3" t="str">
        <f aca="false">IFERROR(__xludf.dummyfunction("if($T703&lt;&gt;"""",REGEXEXTRACT($T703, M$1&amp;""[\w &amp;]*, (\d+\.\d+)""),"""")
"),"")</f>
        <v/>
      </c>
      <c r="N703" s="3" t="str">
        <f aca="false">IFERROR(__xludf.dummyfunction("if($T703&lt;&gt;"""",REGEXEXTRACT(SUBSTITUTE ($T703,N$1&amp;"" CE"",""""), N$1&amp;""[\w &amp;]*, (\d+\.\d+)""),"""")
"),"")</f>
        <v/>
      </c>
      <c r="O703" s="3" t="str">
        <f aca="false">IFERROR(__xludf.dummyfunction("if($T703&lt;&gt;"""",REGEXEXTRACT($T703, O$1&amp;""[\w &amp;]*, (\d+\.\d+)""),"""")
"),"")</f>
        <v/>
      </c>
      <c r="P703" s="2"/>
      <c r="Q703" s="2"/>
      <c r="R703" s="2"/>
      <c r="S703" s="2"/>
      <c r="T703" s="5"/>
    </row>
    <row r="704" customFormat="false" ht="15.75" hidden="false" customHeight="false" outlineLevel="0" collapsed="false">
      <c r="A704" s="4"/>
      <c r="B704" s="2"/>
      <c r="C704" s="2"/>
      <c r="D704" s="2"/>
      <c r="E704" s="2"/>
      <c r="F704" s="3" t="str">
        <f aca="false">IFERROR(__xludf.dummyfunction("if($T704&lt;&gt;"""",REGEXEXTRACT(SUBSTITUTE ($T704,F$1&amp;"" CE"",""""), F$1&amp;""[\w &amp;]*, (\d+\.\d+)""),"""")
"),"")</f>
        <v/>
      </c>
      <c r="G704" s="3" t="str">
        <f aca="false">IFERROR(__xludf.dummyfunction("if($T704&lt;&gt;"""",REGEXEXTRACT($T704, G$1&amp;""[\w &amp;]*, (\d+\.\d+)""),"""")
"),"")</f>
        <v/>
      </c>
      <c r="H704" s="3"/>
      <c r="I704" s="3" t="str">
        <f aca="false">IFERROR(__xludf.dummyfunction("if($T704&lt;&gt;"""",REGEXEXTRACT(SUBSTITUTE ($T704,I$1&amp;"" CE"",""""), I$1&amp;""[\w &amp;]*, (\d+\.\d+)""),"""")
"),"")</f>
        <v/>
      </c>
      <c r="J704" s="3" t="str">
        <f aca="false">IFERROR(__xludf.dummyfunction("if($T704&lt;&gt;"""",REGEXEXTRACT($T704, J$1&amp;""[\w &amp;]*, (\d+\.\d+)""),"""")
"),"")</f>
        <v/>
      </c>
      <c r="K704" s="3"/>
      <c r="L704" s="3" t="str">
        <f aca="false">IFERROR(__xludf.dummyfunction("if($T704&lt;&gt;"""",REGEXEXTRACT(SUBSTITUTE ($T704,L$1&amp;"" CE"",""""), L$1&amp;""[\w &amp;]*, (\d+\.\d+)""),"""")
"),"")</f>
        <v/>
      </c>
      <c r="M704" s="3" t="str">
        <f aca="false">IFERROR(__xludf.dummyfunction("if($T704&lt;&gt;"""",REGEXEXTRACT($T704, M$1&amp;""[\w &amp;]*, (\d+\.\d+)""),"""")
"),"")</f>
        <v/>
      </c>
      <c r="N704" s="3" t="str">
        <f aca="false">IFERROR(__xludf.dummyfunction("if($T704&lt;&gt;"""",REGEXEXTRACT(SUBSTITUTE ($T704,N$1&amp;"" CE"",""""), N$1&amp;""[\w &amp;]*, (\d+\.\d+)""),"""")
"),"")</f>
        <v/>
      </c>
      <c r="O704" s="3" t="str">
        <f aca="false">IFERROR(__xludf.dummyfunction("if($T704&lt;&gt;"""",REGEXEXTRACT($T704, O$1&amp;""[\w &amp;]*, (\d+\.\d+)""),"""")
"),"")</f>
        <v/>
      </c>
      <c r="P704" s="2"/>
      <c r="Q704" s="2"/>
      <c r="R704" s="2"/>
      <c r="S704" s="2"/>
      <c r="T704" s="5"/>
    </row>
    <row r="705" customFormat="false" ht="15.75" hidden="false" customHeight="false" outlineLevel="0" collapsed="false">
      <c r="A705" s="4"/>
      <c r="B705" s="2"/>
      <c r="C705" s="2"/>
      <c r="D705" s="2"/>
      <c r="E705" s="2"/>
      <c r="F705" s="3" t="str">
        <f aca="false">IFERROR(__xludf.dummyfunction("if($T705&lt;&gt;"""",REGEXEXTRACT(SUBSTITUTE ($T705,F$1&amp;"" CE"",""""), F$1&amp;""[\w &amp;]*, (\d+\.\d+)""),"""")
"),"")</f>
        <v/>
      </c>
      <c r="G705" s="3" t="str">
        <f aca="false">IFERROR(__xludf.dummyfunction("if($T705&lt;&gt;"""",REGEXEXTRACT($T705, G$1&amp;""[\w &amp;]*, (\d+\.\d+)""),"""")
"),"")</f>
        <v/>
      </c>
      <c r="H705" s="3"/>
      <c r="I705" s="3" t="str">
        <f aca="false">IFERROR(__xludf.dummyfunction("if($T705&lt;&gt;"""",REGEXEXTRACT(SUBSTITUTE ($T705,I$1&amp;"" CE"",""""), I$1&amp;""[\w &amp;]*, (\d+\.\d+)""),"""")
"),"")</f>
        <v/>
      </c>
      <c r="J705" s="3" t="str">
        <f aca="false">IFERROR(__xludf.dummyfunction("if($T705&lt;&gt;"""",REGEXEXTRACT($T705, J$1&amp;""[\w &amp;]*, (\d+\.\d+)""),"""")
"),"")</f>
        <v/>
      </c>
      <c r="K705" s="3"/>
      <c r="L705" s="3" t="str">
        <f aca="false">IFERROR(__xludf.dummyfunction("if($T705&lt;&gt;"""",REGEXEXTRACT(SUBSTITUTE ($T705,L$1&amp;"" CE"",""""), L$1&amp;""[\w &amp;]*, (\d+\.\d+)""),"""")
"),"")</f>
        <v/>
      </c>
      <c r="M705" s="3" t="str">
        <f aca="false">IFERROR(__xludf.dummyfunction("if($T705&lt;&gt;"""",REGEXEXTRACT($T705, M$1&amp;""[\w &amp;]*, (\d+\.\d+)""),"""")
"),"")</f>
        <v/>
      </c>
      <c r="N705" s="3" t="str">
        <f aca="false">IFERROR(__xludf.dummyfunction("if($T705&lt;&gt;"""",REGEXEXTRACT(SUBSTITUTE ($T705,N$1&amp;"" CE"",""""), N$1&amp;""[\w &amp;]*, (\d+\.\d+)""),"""")
"),"")</f>
        <v/>
      </c>
      <c r="O705" s="3" t="str">
        <f aca="false">IFERROR(__xludf.dummyfunction("if($T705&lt;&gt;"""",REGEXEXTRACT($T705, O$1&amp;""[\w &amp;]*, (\d+\.\d+)""),"""")
"),"")</f>
        <v/>
      </c>
      <c r="P705" s="2"/>
      <c r="Q705" s="2"/>
      <c r="R705" s="2"/>
      <c r="S705" s="2"/>
      <c r="T705" s="5"/>
    </row>
    <row r="706" customFormat="false" ht="15.75" hidden="false" customHeight="false" outlineLevel="0" collapsed="false">
      <c r="A706" s="4"/>
      <c r="B706" s="2"/>
      <c r="C706" s="2"/>
      <c r="D706" s="2"/>
      <c r="E706" s="2"/>
      <c r="F706" s="3" t="str">
        <f aca="false">IFERROR(__xludf.dummyfunction("if($T706&lt;&gt;"""",REGEXEXTRACT(SUBSTITUTE ($T706,F$1&amp;"" CE"",""""), F$1&amp;""[\w &amp;]*, (\d+\.\d+)""),"""")
"),"")</f>
        <v/>
      </c>
      <c r="G706" s="3" t="str">
        <f aca="false">IFERROR(__xludf.dummyfunction("if($T706&lt;&gt;"""",REGEXEXTRACT($T706, G$1&amp;""[\w &amp;]*, (\d+\.\d+)""),"""")
"),"")</f>
        <v/>
      </c>
      <c r="H706" s="3"/>
      <c r="I706" s="3" t="str">
        <f aca="false">IFERROR(__xludf.dummyfunction("if($T706&lt;&gt;"""",REGEXEXTRACT(SUBSTITUTE ($T706,I$1&amp;"" CE"",""""), I$1&amp;""[\w &amp;]*, (\d+\.\d+)""),"""")
"),"")</f>
        <v/>
      </c>
      <c r="J706" s="3" t="str">
        <f aca="false">IFERROR(__xludf.dummyfunction("if($T706&lt;&gt;"""",REGEXEXTRACT($T706, J$1&amp;""[\w &amp;]*, (\d+\.\d+)""),"""")
"),"")</f>
        <v/>
      </c>
      <c r="K706" s="3"/>
      <c r="L706" s="3" t="str">
        <f aca="false">IFERROR(__xludf.dummyfunction("if($T706&lt;&gt;"""",REGEXEXTRACT(SUBSTITUTE ($T706,L$1&amp;"" CE"",""""), L$1&amp;""[\w &amp;]*, (\d+\.\d+)""),"""")
"),"")</f>
        <v/>
      </c>
      <c r="M706" s="3" t="str">
        <f aca="false">IFERROR(__xludf.dummyfunction("if($T706&lt;&gt;"""",REGEXEXTRACT($T706, M$1&amp;""[\w &amp;]*, (\d+\.\d+)""),"""")
"),"")</f>
        <v/>
      </c>
      <c r="N706" s="3" t="str">
        <f aca="false">IFERROR(__xludf.dummyfunction("if($T706&lt;&gt;"""",REGEXEXTRACT(SUBSTITUTE ($T706,N$1&amp;"" CE"",""""), N$1&amp;""[\w &amp;]*, (\d+\.\d+)""),"""")
"),"")</f>
        <v/>
      </c>
      <c r="O706" s="3" t="str">
        <f aca="false">IFERROR(__xludf.dummyfunction("if($T706&lt;&gt;"""",REGEXEXTRACT($T706, O$1&amp;""[\w &amp;]*, (\d+\.\d+)""),"""")
"),"")</f>
        <v/>
      </c>
      <c r="P706" s="2"/>
      <c r="Q706" s="2"/>
      <c r="R706" s="2"/>
      <c r="S706" s="2"/>
      <c r="T706" s="5"/>
    </row>
    <row r="707" customFormat="false" ht="15.75" hidden="false" customHeight="false" outlineLevel="0" collapsed="false">
      <c r="A707" s="4"/>
      <c r="B707" s="2"/>
      <c r="C707" s="2"/>
      <c r="D707" s="2"/>
      <c r="E707" s="2"/>
      <c r="F707" s="3" t="str">
        <f aca="false">IFERROR(__xludf.dummyfunction("if($T707&lt;&gt;"""",REGEXEXTRACT(SUBSTITUTE ($T707,F$1&amp;"" CE"",""""), F$1&amp;""[\w &amp;]*, (\d+\.\d+)""),"""")
"),"")</f>
        <v/>
      </c>
      <c r="G707" s="3" t="str">
        <f aca="false">IFERROR(__xludf.dummyfunction("if($T707&lt;&gt;"""",REGEXEXTRACT($T707, G$1&amp;""[\w &amp;]*, (\d+\.\d+)""),"""")
"),"")</f>
        <v/>
      </c>
      <c r="H707" s="3"/>
      <c r="I707" s="3" t="str">
        <f aca="false">IFERROR(__xludf.dummyfunction("if($T707&lt;&gt;"""",REGEXEXTRACT(SUBSTITUTE ($T707,I$1&amp;"" CE"",""""), I$1&amp;""[\w &amp;]*, (\d+\.\d+)""),"""")
"),"")</f>
        <v/>
      </c>
      <c r="J707" s="3" t="str">
        <f aca="false">IFERROR(__xludf.dummyfunction("if($T707&lt;&gt;"""",REGEXEXTRACT($T707, J$1&amp;""[\w &amp;]*, (\d+\.\d+)""),"""")
"),"")</f>
        <v/>
      </c>
      <c r="K707" s="3"/>
      <c r="L707" s="3" t="str">
        <f aca="false">IFERROR(__xludf.dummyfunction("if($T707&lt;&gt;"""",REGEXEXTRACT(SUBSTITUTE ($T707,L$1&amp;"" CE"",""""), L$1&amp;""[\w &amp;]*, (\d+\.\d+)""),"""")
"),"")</f>
        <v/>
      </c>
      <c r="M707" s="3" t="str">
        <f aca="false">IFERROR(__xludf.dummyfunction("if($T707&lt;&gt;"""",REGEXEXTRACT($T707, M$1&amp;""[\w &amp;]*, (\d+\.\d+)""),"""")
"),"")</f>
        <v/>
      </c>
      <c r="N707" s="3" t="str">
        <f aca="false">IFERROR(__xludf.dummyfunction("if($T707&lt;&gt;"""",REGEXEXTRACT(SUBSTITUTE ($T707,N$1&amp;"" CE"",""""), N$1&amp;""[\w &amp;]*, (\d+\.\d+)""),"""")
"),"")</f>
        <v/>
      </c>
      <c r="O707" s="3" t="str">
        <f aca="false">IFERROR(__xludf.dummyfunction("if($T707&lt;&gt;"""",REGEXEXTRACT($T707, O$1&amp;""[\w &amp;]*, (\d+\.\d+)""),"""")
"),"")</f>
        <v/>
      </c>
      <c r="P707" s="2"/>
      <c r="Q707" s="2"/>
      <c r="R707" s="2"/>
      <c r="S707" s="2"/>
      <c r="T707" s="5"/>
    </row>
    <row r="708" customFormat="false" ht="15.75" hidden="false" customHeight="false" outlineLevel="0" collapsed="false">
      <c r="A708" s="4"/>
      <c r="B708" s="2"/>
      <c r="C708" s="2"/>
      <c r="D708" s="2"/>
      <c r="E708" s="2"/>
      <c r="F708" s="3" t="str">
        <f aca="false">IFERROR(__xludf.dummyfunction("if($T708&lt;&gt;"""",REGEXEXTRACT(SUBSTITUTE ($T708,F$1&amp;"" CE"",""""), F$1&amp;""[\w &amp;]*, (\d+\.\d+)""),"""")
"),"")</f>
        <v/>
      </c>
      <c r="G708" s="3" t="str">
        <f aca="false">IFERROR(__xludf.dummyfunction("if($T708&lt;&gt;"""",REGEXEXTRACT($T708, G$1&amp;""[\w &amp;]*, (\d+\.\d+)""),"""")
"),"")</f>
        <v/>
      </c>
      <c r="H708" s="3"/>
      <c r="I708" s="3" t="str">
        <f aca="false">IFERROR(__xludf.dummyfunction("if($T708&lt;&gt;"""",REGEXEXTRACT(SUBSTITUTE ($T708,I$1&amp;"" CE"",""""), I$1&amp;""[\w &amp;]*, (\d+\.\d+)""),"""")
"),"")</f>
        <v/>
      </c>
      <c r="J708" s="3" t="str">
        <f aca="false">IFERROR(__xludf.dummyfunction("if($T708&lt;&gt;"""",REGEXEXTRACT($T708, J$1&amp;""[\w &amp;]*, (\d+\.\d+)""),"""")
"),"")</f>
        <v/>
      </c>
      <c r="K708" s="3"/>
      <c r="L708" s="3" t="str">
        <f aca="false">IFERROR(__xludf.dummyfunction("if($T708&lt;&gt;"""",REGEXEXTRACT(SUBSTITUTE ($T708,L$1&amp;"" CE"",""""), L$1&amp;""[\w &amp;]*, (\d+\.\d+)""),"""")
"),"")</f>
        <v/>
      </c>
      <c r="M708" s="3" t="str">
        <f aca="false">IFERROR(__xludf.dummyfunction("if($T708&lt;&gt;"""",REGEXEXTRACT($T708, M$1&amp;""[\w &amp;]*, (\d+\.\d+)""),"""")
"),"")</f>
        <v/>
      </c>
      <c r="N708" s="3" t="str">
        <f aca="false">IFERROR(__xludf.dummyfunction("if($T708&lt;&gt;"""",REGEXEXTRACT(SUBSTITUTE ($T708,N$1&amp;"" CE"",""""), N$1&amp;""[\w &amp;]*, (\d+\.\d+)""),"""")
"),"")</f>
        <v/>
      </c>
      <c r="O708" s="3" t="str">
        <f aca="false">IFERROR(__xludf.dummyfunction("if($T708&lt;&gt;"""",REGEXEXTRACT($T708, O$1&amp;""[\w &amp;]*, (\d+\.\d+)""),"""")
"),"")</f>
        <v/>
      </c>
      <c r="P708" s="2"/>
      <c r="Q708" s="2"/>
      <c r="R708" s="2"/>
      <c r="S708" s="2"/>
      <c r="T708" s="5"/>
    </row>
    <row r="709" customFormat="false" ht="15.75" hidden="false" customHeight="false" outlineLevel="0" collapsed="false">
      <c r="A709" s="4"/>
      <c r="B709" s="2"/>
      <c r="C709" s="2"/>
      <c r="D709" s="2"/>
      <c r="E709" s="2"/>
      <c r="F709" s="3" t="str">
        <f aca="false">IFERROR(__xludf.dummyfunction("if($T709&lt;&gt;"""",REGEXEXTRACT(SUBSTITUTE ($T709,F$1&amp;"" CE"",""""), F$1&amp;""[\w &amp;]*, (\d+\.\d+)""),"""")
"),"")</f>
        <v/>
      </c>
      <c r="G709" s="3" t="str">
        <f aca="false">IFERROR(__xludf.dummyfunction("if($T709&lt;&gt;"""",REGEXEXTRACT($T709, G$1&amp;""[\w &amp;]*, (\d+\.\d+)""),"""")
"),"")</f>
        <v/>
      </c>
      <c r="H709" s="3"/>
      <c r="I709" s="3" t="str">
        <f aca="false">IFERROR(__xludf.dummyfunction("if($T709&lt;&gt;"""",REGEXEXTRACT(SUBSTITUTE ($T709,I$1&amp;"" CE"",""""), I$1&amp;""[\w &amp;]*, (\d+\.\d+)""),"""")
"),"")</f>
        <v/>
      </c>
      <c r="J709" s="3" t="str">
        <f aca="false">IFERROR(__xludf.dummyfunction("if($T709&lt;&gt;"""",REGEXEXTRACT($T709, J$1&amp;""[\w &amp;]*, (\d+\.\d+)""),"""")
"),"")</f>
        <v/>
      </c>
      <c r="K709" s="3"/>
      <c r="L709" s="3" t="str">
        <f aca="false">IFERROR(__xludf.dummyfunction("if($T709&lt;&gt;"""",REGEXEXTRACT(SUBSTITUTE ($T709,L$1&amp;"" CE"",""""), L$1&amp;""[\w &amp;]*, (\d+\.\d+)""),"""")
"),"")</f>
        <v/>
      </c>
      <c r="M709" s="3" t="str">
        <f aca="false">IFERROR(__xludf.dummyfunction("if($T709&lt;&gt;"""",REGEXEXTRACT($T709, M$1&amp;""[\w &amp;]*, (\d+\.\d+)""),"""")
"),"")</f>
        <v/>
      </c>
      <c r="N709" s="3" t="str">
        <f aca="false">IFERROR(__xludf.dummyfunction("if($T709&lt;&gt;"""",REGEXEXTRACT(SUBSTITUTE ($T709,N$1&amp;"" CE"",""""), N$1&amp;""[\w &amp;]*, (\d+\.\d+)""),"""")
"),"")</f>
        <v/>
      </c>
      <c r="O709" s="3" t="str">
        <f aca="false">IFERROR(__xludf.dummyfunction("if($T709&lt;&gt;"""",REGEXEXTRACT($T709, O$1&amp;""[\w &amp;]*, (\d+\.\d+)""),"""")
"),"")</f>
        <v/>
      </c>
      <c r="P709" s="2"/>
      <c r="Q709" s="2"/>
      <c r="R709" s="2"/>
      <c r="S709" s="2"/>
      <c r="T709" s="5"/>
    </row>
    <row r="710" customFormat="false" ht="15.75" hidden="false" customHeight="false" outlineLevel="0" collapsed="false">
      <c r="A710" s="4"/>
      <c r="B710" s="2"/>
      <c r="C710" s="2"/>
      <c r="D710" s="2"/>
      <c r="E710" s="2"/>
      <c r="F710" s="3" t="str">
        <f aca="false">IFERROR(__xludf.dummyfunction("if($T710&lt;&gt;"""",REGEXEXTRACT(SUBSTITUTE ($T710,F$1&amp;"" CE"",""""), F$1&amp;""[\w &amp;]*, (\d+\.\d+)""),"""")
"),"")</f>
        <v/>
      </c>
      <c r="G710" s="3" t="str">
        <f aca="false">IFERROR(__xludf.dummyfunction("if($T710&lt;&gt;"""",REGEXEXTRACT($T710, G$1&amp;""[\w &amp;]*, (\d+\.\d+)""),"""")
"),"")</f>
        <v/>
      </c>
      <c r="H710" s="3"/>
      <c r="I710" s="3" t="str">
        <f aca="false">IFERROR(__xludf.dummyfunction("if($T710&lt;&gt;"""",REGEXEXTRACT(SUBSTITUTE ($T710,I$1&amp;"" CE"",""""), I$1&amp;""[\w &amp;]*, (\d+\.\d+)""),"""")
"),"")</f>
        <v/>
      </c>
      <c r="J710" s="3" t="str">
        <f aca="false">IFERROR(__xludf.dummyfunction("if($T710&lt;&gt;"""",REGEXEXTRACT($T710, J$1&amp;""[\w &amp;]*, (\d+\.\d+)""),"""")
"),"")</f>
        <v/>
      </c>
      <c r="K710" s="3"/>
      <c r="L710" s="3" t="str">
        <f aca="false">IFERROR(__xludf.dummyfunction("if($T710&lt;&gt;"""",REGEXEXTRACT(SUBSTITUTE ($T710,L$1&amp;"" CE"",""""), L$1&amp;""[\w &amp;]*, (\d+\.\d+)""),"""")
"),"")</f>
        <v/>
      </c>
      <c r="M710" s="3" t="str">
        <f aca="false">IFERROR(__xludf.dummyfunction("if($T710&lt;&gt;"""",REGEXEXTRACT($T710, M$1&amp;""[\w &amp;]*, (\d+\.\d+)""),"""")
"),"")</f>
        <v/>
      </c>
      <c r="N710" s="3" t="str">
        <f aca="false">IFERROR(__xludf.dummyfunction("if($T710&lt;&gt;"""",REGEXEXTRACT(SUBSTITUTE ($T710,N$1&amp;"" CE"",""""), N$1&amp;""[\w &amp;]*, (\d+\.\d+)""),"""")
"),"")</f>
        <v/>
      </c>
      <c r="O710" s="3" t="str">
        <f aca="false">IFERROR(__xludf.dummyfunction("if($T710&lt;&gt;"""",REGEXEXTRACT($T710, O$1&amp;""[\w &amp;]*, (\d+\.\d+)""),"""")
"),"")</f>
        <v/>
      </c>
      <c r="P710" s="2"/>
      <c r="Q710" s="2"/>
      <c r="R710" s="2"/>
      <c r="S710" s="2"/>
      <c r="T710" s="5"/>
    </row>
    <row r="711" customFormat="false" ht="15.75" hidden="false" customHeight="false" outlineLevel="0" collapsed="false">
      <c r="A711" s="4"/>
      <c r="B711" s="2"/>
      <c r="C711" s="2"/>
      <c r="D711" s="2"/>
      <c r="E711" s="2"/>
      <c r="F711" s="3" t="str">
        <f aca="false">IFERROR(__xludf.dummyfunction("if($T711&lt;&gt;"""",REGEXEXTRACT(SUBSTITUTE ($T711,F$1&amp;"" CE"",""""), F$1&amp;""[\w &amp;]*, (\d+\.\d+)""),"""")
"),"")</f>
        <v/>
      </c>
      <c r="G711" s="3" t="str">
        <f aca="false">IFERROR(__xludf.dummyfunction("if($T711&lt;&gt;"""",REGEXEXTRACT($T711, G$1&amp;""[\w &amp;]*, (\d+\.\d+)""),"""")
"),"")</f>
        <v/>
      </c>
      <c r="H711" s="3"/>
      <c r="I711" s="3" t="str">
        <f aca="false">IFERROR(__xludf.dummyfunction("if($T711&lt;&gt;"""",REGEXEXTRACT(SUBSTITUTE ($T711,I$1&amp;"" CE"",""""), I$1&amp;""[\w &amp;]*, (\d+\.\d+)""),"""")
"),"")</f>
        <v/>
      </c>
      <c r="J711" s="3" t="str">
        <f aca="false">IFERROR(__xludf.dummyfunction("if($T711&lt;&gt;"""",REGEXEXTRACT($T711, J$1&amp;""[\w &amp;]*, (\d+\.\d+)""),"""")
"),"")</f>
        <v/>
      </c>
      <c r="K711" s="3"/>
      <c r="L711" s="3" t="str">
        <f aca="false">IFERROR(__xludf.dummyfunction("if($T711&lt;&gt;"""",REGEXEXTRACT(SUBSTITUTE ($T711,L$1&amp;"" CE"",""""), L$1&amp;""[\w &amp;]*, (\d+\.\d+)""),"""")
"),"")</f>
        <v/>
      </c>
      <c r="M711" s="3" t="str">
        <f aca="false">IFERROR(__xludf.dummyfunction("if($T711&lt;&gt;"""",REGEXEXTRACT($T711, M$1&amp;""[\w &amp;]*, (\d+\.\d+)""),"""")
"),"")</f>
        <v/>
      </c>
      <c r="N711" s="3" t="str">
        <f aca="false">IFERROR(__xludf.dummyfunction("if($T711&lt;&gt;"""",REGEXEXTRACT(SUBSTITUTE ($T711,N$1&amp;"" CE"",""""), N$1&amp;""[\w &amp;]*, (\d+\.\d+)""),"""")
"),"")</f>
        <v/>
      </c>
      <c r="O711" s="3" t="str">
        <f aca="false">IFERROR(__xludf.dummyfunction("if($T711&lt;&gt;"""",REGEXEXTRACT($T711, O$1&amp;""[\w &amp;]*, (\d+\.\d+)""),"""")
"),"")</f>
        <v/>
      </c>
      <c r="P711" s="2"/>
      <c r="Q711" s="2"/>
      <c r="R711" s="2"/>
      <c r="S711" s="2"/>
      <c r="T711" s="5"/>
    </row>
    <row r="712" customFormat="false" ht="15.75" hidden="false" customHeight="false" outlineLevel="0" collapsed="false">
      <c r="A712" s="4"/>
      <c r="B712" s="2"/>
      <c r="C712" s="2"/>
      <c r="D712" s="2"/>
      <c r="E712" s="2"/>
      <c r="F712" s="3" t="str">
        <f aca="false">IFERROR(__xludf.dummyfunction("if($T712&lt;&gt;"""",REGEXEXTRACT(SUBSTITUTE ($T712,F$1&amp;"" CE"",""""), F$1&amp;""[\w &amp;]*, (\d+\.\d+)""),"""")
"),"")</f>
        <v/>
      </c>
      <c r="G712" s="3" t="str">
        <f aca="false">IFERROR(__xludf.dummyfunction("if($T712&lt;&gt;"""",REGEXEXTRACT($T712, G$1&amp;""[\w &amp;]*, (\d+\.\d+)""),"""")
"),"")</f>
        <v/>
      </c>
      <c r="H712" s="3"/>
      <c r="I712" s="3" t="str">
        <f aca="false">IFERROR(__xludf.dummyfunction("if($T712&lt;&gt;"""",REGEXEXTRACT(SUBSTITUTE ($T712,I$1&amp;"" CE"",""""), I$1&amp;""[\w &amp;]*, (\d+\.\d+)""),"""")
"),"")</f>
        <v/>
      </c>
      <c r="J712" s="3" t="str">
        <f aca="false">IFERROR(__xludf.dummyfunction("if($T712&lt;&gt;"""",REGEXEXTRACT($T712, J$1&amp;""[\w &amp;]*, (\d+\.\d+)""),"""")
"),"")</f>
        <v/>
      </c>
      <c r="K712" s="3"/>
      <c r="L712" s="3" t="str">
        <f aca="false">IFERROR(__xludf.dummyfunction("if($T712&lt;&gt;"""",REGEXEXTRACT(SUBSTITUTE ($T712,L$1&amp;"" CE"",""""), L$1&amp;""[\w &amp;]*, (\d+\.\d+)""),"""")
"),"")</f>
        <v/>
      </c>
      <c r="M712" s="3" t="str">
        <f aca="false">IFERROR(__xludf.dummyfunction("if($T712&lt;&gt;"""",REGEXEXTRACT($T712, M$1&amp;""[\w &amp;]*, (\d+\.\d+)""),"""")
"),"")</f>
        <v/>
      </c>
      <c r="N712" s="3" t="str">
        <f aca="false">IFERROR(__xludf.dummyfunction("if($T712&lt;&gt;"""",REGEXEXTRACT(SUBSTITUTE ($T712,N$1&amp;"" CE"",""""), N$1&amp;""[\w &amp;]*, (\d+\.\d+)""),"""")
"),"")</f>
        <v/>
      </c>
      <c r="O712" s="3" t="str">
        <f aca="false">IFERROR(__xludf.dummyfunction("if($T712&lt;&gt;"""",REGEXEXTRACT($T712, O$1&amp;""[\w &amp;]*, (\d+\.\d+)""),"""")
"),"")</f>
        <v/>
      </c>
      <c r="P712" s="2"/>
      <c r="Q712" s="2"/>
      <c r="R712" s="2"/>
      <c r="S712" s="2"/>
      <c r="T712" s="5"/>
    </row>
    <row r="713" customFormat="false" ht="15.75" hidden="false" customHeight="false" outlineLevel="0" collapsed="false">
      <c r="A713" s="4"/>
      <c r="B713" s="2"/>
      <c r="C713" s="2"/>
      <c r="D713" s="2"/>
      <c r="E713" s="2"/>
      <c r="F713" s="3" t="str">
        <f aca="false">IFERROR(__xludf.dummyfunction("if($T713&lt;&gt;"""",REGEXEXTRACT(SUBSTITUTE ($T713,F$1&amp;"" CE"",""""), F$1&amp;""[\w &amp;]*, (\d+\.\d+)""),"""")
"),"")</f>
        <v/>
      </c>
      <c r="G713" s="3" t="str">
        <f aca="false">IFERROR(__xludf.dummyfunction("if($T713&lt;&gt;"""",REGEXEXTRACT($T713, G$1&amp;""[\w &amp;]*, (\d+\.\d+)""),"""")
"),"")</f>
        <v/>
      </c>
      <c r="H713" s="3"/>
      <c r="I713" s="3" t="str">
        <f aca="false">IFERROR(__xludf.dummyfunction("if($T713&lt;&gt;"""",REGEXEXTRACT(SUBSTITUTE ($T713,I$1&amp;"" CE"",""""), I$1&amp;""[\w &amp;]*, (\d+\.\d+)""),"""")
"),"")</f>
        <v/>
      </c>
      <c r="J713" s="3" t="str">
        <f aca="false">IFERROR(__xludf.dummyfunction("if($T713&lt;&gt;"""",REGEXEXTRACT($T713, J$1&amp;""[\w &amp;]*, (\d+\.\d+)""),"""")
"),"")</f>
        <v/>
      </c>
      <c r="K713" s="3"/>
      <c r="L713" s="3" t="str">
        <f aca="false">IFERROR(__xludf.dummyfunction("if($T713&lt;&gt;"""",REGEXEXTRACT(SUBSTITUTE ($T713,L$1&amp;"" CE"",""""), L$1&amp;""[\w &amp;]*, (\d+\.\d+)""),"""")
"),"")</f>
        <v/>
      </c>
      <c r="M713" s="3" t="str">
        <f aca="false">IFERROR(__xludf.dummyfunction("if($T713&lt;&gt;"""",REGEXEXTRACT($T713, M$1&amp;""[\w &amp;]*, (\d+\.\d+)""),"""")
"),"")</f>
        <v/>
      </c>
      <c r="N713" s="3" t="str">
        <f aca="false">IFERROR(__xludf.dummyfunction("if($T713&lt;&gt;"""",REGEXEXTRACT(SUBSTITUTE ($T713,N$1&amp;"" CE"",""""), N$1&amp;""[\w &amp;]*, (\d+\.\d+)""),"""")
"),"")</f>
        <v/>
      </c>
      <c r="O713" s="3" t="str">
        <f aca="false">IFERROR(__xludf.dummyfunction("if($T713&lt;&gt;"""",REGEXEXTRACT($T713, O$1&amp;""[\w &amp;]*, (\d+\.\d+)""),"""")
"),"")</f>
        <v/>
      </c>
      <c r="P713" s="2"/>
      <c r="Q713" s="2"/>
      <c r="R713" s="2"/>
      <c r="S713" s="2"/>
      <c r="T713" s="5"/>
    </row>
    <row r="714" customFormat="false" ht="15.75" hidden="false" customHeight="false" outlineLevel="0" collapsed="false">
      <c r="A714" s="4"/>
      <c r="B714" s="2"/>
      <c r="C714" s="2"/>
      <c r="D714" s="2"/>
      <c r="E714" s="2"/>
      <c r="F714" s="3" t="str">
        <f aca="false">IFERROR(__xludf.dummyfunction("if($T714&lt;&gt;"""",REGEXEXTRACT(SUBSTITUTE ($T714,F$1&amp;"" CE"",""""), F$1&amp;""[\w &amp;]*, (\d+\.\d+)""),"""")
"),"")</f>
        <v/>
      </c>
      <c r="G714" s="3" t="str">
        <f aca="false">IFERROR(__xludf.dummyfunction("if($T714&lt;&gt;"""",REGEXEXTRACT($T714, G$1&amp;""[\w &amp;]*, (\d+\.\d+)""),"""")
"),"")</f>
        <v/>
      </c>
      <c r="H714" s="3"/>
      <c r="I714" s="3" t="str">
        <f aca="false">IFERROR(__xludf.dummyfunction("if($T714&lt;&gt;"""",REGEXEXTRACT(SUBSTITUTE ($T714,I$1&amp;"" CE"",""""), I$1&amp;""[\w &amp;]*, (\d+\.\d+)""),"""")
"),"")</f>
        <v/>
      </c>
      <c r="J714" s="3" t="str">
        <f aca="false">IFERROR(__xludf.dummyfunction("if($T714&lt;&gt;"""",REGEXEXTRACT($T714, J$1&amp;""[\w &amp;]*, (\d+\.\d+)""),"""")
"),"")</f>
        <v/>
      </c>
      <c r="K714" s="3"/>
      <c r="L714" s="3" t="str">
        <f aca="false">IFERROR(__xludf.dummyfunction("if($T714&lt;&gt;"""",REGEXEXTRACT(SUBSTITUTE ($T714,L$1&amp;"" CE"",""""), L$1&amp;""[\w &amp;]*, (\d+\.\d+)""),"""")
"),"")</f>
        <v/>
      </c>
      <c r="M714" s="3" t="str">
        <f aca="false">IFERROR(__xludf.dummyfunction("if($T714&lt;&gt;"""",REGEXEXTRACT($T714, M$1&amp;""[\w &amp;]*, (\d+\.\d+)""),"""")
"),"")</f>
        <v/>
      </c>
      <c r="N714" s="3" t="str">
        <f aca="false">IFERROR(__xludf.dummyfunction("if($T714&lt;&gt;"""",REGEXEXTRACT(SUBSTITUTE ($T714,N$1&amp;"" CE"",""""), N$1&amp;""[\w &amp;]*, (\d+\.\d+)""),"""")
"),"")</f>
        <v/>
      </c>
      <c r="O714" s="3" t="str">
        <f aca="false">IFERROR(__xludf.dummyfunction("if($T714&lt;&gt;"""",REGEXEXTRACT($T714, O$1&amp;""[\w &amp;]*, (\d+\.\d+)""),"""")
"),"")</f>
        <v/>
      </c>
      <c r="P714" s="2"/>
      <c r="Q714" s="2"/>
      <c r="R714" s="2"/>
      <c r="S714" s="2"/>
      <c r="T714" s="5"/>
    </row>
    <row r="715" customFormat="false" ht="15.75" hidden="false" customHeight="false" outlineLevel="0" collapsed="false">
      <c r="A715" s="4"/>
      <c r="B715" s="2"/>
      <c r="C715" s="2"/>
      <c r="D715" s="2"/>
      <c r="E715" s="2"/>
      <c r="F715" s="3" t="str">
        <f aca="false">IFERROR(__xludf.dummyfunction("if($T715&lt;&gt;"""",REGEXEXTRACT(SUBSTITUTE ($T715,F$1&amp;"" CE"",""""), F$1&amp;""[\w &amp;]*, (\d+\.\d+)""),"""")
"),"")</f>
        <v/>
      </c>
      <c r="G715" s="3" t="str">
        <f aca="false">IFERROR(__xludf.dummyfunction("if($T715&lt;&gt;"""",REGEXEXTRACT($T715, G$1&amp;""[\w &amp;]*, (\d+\.\d+)""),"""")
"),"")</f>
        <v/>
      </c>
      <c r="H715" s="3"/>
      <c r="I715" s="3" t="str">
        <f aca="false">IFERROR(__xludf.dummyfunction("if($T715&lt;&gt;"""",REGEXEXTRACT(SUBSTITUTE ($T715,I$1&amp;"" CE"",""""), I$1&amp;""[\w &amp;]*, (\d+\.\d+)""),"""")
"),"")</f>
        <v/>
      </c>
      <c r="J715" s="3" t="str">
        <f aca="false">IFERROR(__xludf.dummyfunction("if($T715&lt;&gt;"""",REGEXEXTRACT($T715, J$1&amp;""[\w &amp;]*, (\d+\.\d+)""),"""")
"),"")</f>
        <v/>
      </c>
      <c r="K715" s="3"/>
      <c r="L715" s="3" t="str">
        <f aca="false">IFERROR(__xludf.dummyfunction("if($T715&lt;&gt;"""",REGEXEXTRACT(SUBSTITUTE ($T715,L$1&amp;"" CE"",""""), L$1&amp;""[\w &amp;]*, (\d+\.\d+)""),"""")
"),"")</f>
        <v/>
      </c>
      <c r="M715" s="3" t="str">
        <f aca="false">IFERROR(__xludf.dummyfunction("if($T715&lt;&gt;"""",REGEXEXTRACT($T715, M$1&amp;""[\w &amp;]*, (\d+\.\d+)""),"""")
"),"")</f>
        <v/>
      </c>
      <c r="N715" s="3" t="str">
        <f aca="false">IFERROR(__xludf.dummyfunction("if($T715&lt;&gt;"""",REGEXEXTRACT(SUBSTITUTE ($T715,N$1&amp;"" CE"",""""), N$1&amp;""[\w &amp;]*, (\d+\.\d+)""),"""")
"),"")</f>
        <v/>
      </c>
      <c r="O715" s="3" t="str">
        <f aca="false">IFERROR(__xludf.dummyfunction("if($T715&lt;&gt;"""",REGEXEXTRACT($T715, O$1&amp;""[\w &amp;]*, (\d+\.\d+)""),"""")
"),"")</f>
        <v/>
      </c>
      <c r="P715" s="2"/>
      <c r="Q715" s="2"/>
      <c r="R715" s="2"/>
      <c r="S715" s="2"/>
      <c r="T715" s="5"/>
    </row>
    <row r="716" customFormat="false" ht="15.75" hidden="false" customHeight="false" outlineLevel="0" collapsed="false">
      <c r="A716" s="4"/>
      <c r="B716" s="2"/>
      <c r="C716" s="2"/>
      <c r="D716" s="2"/>
      <c r="E716" s="2"/>
      <c r="F716" s="3" t="str">
        <f aca="false">IFERROR(__xludf.dummyfunction("if($T716&lt;&gt;"""",REGEXEXTRACT(SUBSTITUTE ($T716,F$1&amp;"" CE"",""""), F$1&amp;""[\w &amp;]*, (\d+\.\d+)""),"""")
"),"")</f>
        <v/>
      </c>
      <c r="G716" s="3" t="str">
        <f aca="false">IFERROR(__xludf.dummyfunction("if($T716&lt;&gt;"""",REGEXEXTRACT($T716, G$1&amp;""[\w &amp;]*, (\d+\.\d+)""),"""")
"),"")</f>
        <v/>
      </c>
      <c r="H716" s="3"/>
      <c r="I716" s="3" t="str">
        <f aca="false">IFERROR(__xludf.dummyfunction("if($T716&lt;&gt;"""",REGEXEXTRACT(SUBSTITUTE ($T716,I$1&amp;"" CE"",""""), I$1&amp;""[\w &amp;]*, (\d+\.\d+)""),"""")
"),"")</f>
        <v/>
      </c>
      <c r="J716" s="3" t="str">
        <f aca="false">IFERROR(__xludf.dummyfunction("if($T716&lt;&gt;"""",REGEXEXTRACT($T716, J$1&amp;""[\w &amp;]*, (\d+\.\d+)""),"""")
"),"")</f>
        <v/>
      </c>
      <c r="K716" s="3"/>
      <c r="L716" s="3" t="str">
        <f aca="false">IFERROR(__xludf.dummyfunction("if($T716&lt;&gt;"""",REGEXEXTRACT(SUBSTITUTE ($T716,L$1&amp;"" CE"",""""), L$1&amp;""[\w &amp;]*, (\d+\.\d+)""),"""")
"),"")</f>
        <v/>
      </c>
      <c r="M716" s="3" t="str">
        <f aca="false">IFERROR(__xludf.dummyfunction("if($T716&lt;&gt;"""",REGEXEXTRACT($T716, M$1&amp;""[\w &amp;]*, (\d+\.\d+)""),"""")
"),"")</f>
        <v/>
      </c>
      <c r="N716" s="3" t="str">
        <f aca="false">IFERROR(__xludf.dummyfunction("if($T716&lt;&gt;"""",REGEXEXTRACT(SUBSTITUTE ($T716,N$1&amp;"" CE"",""""), N$1&amp;""[\w &amp;]*, (\d+\.\d+)""),"""")
"),"")</f>
        <v/>
      </c>
      <c r="O716" s="3" t="str">
        <f aca="false">IFERROR(__xludf.dummyfunction("if($T716&lt;&gt;"""",REGEXEXTRACT($T716, O$1&amp;""[\w &amp;]*, (\d+\.\d+)""),"""")
"),"")</f>
        <v/>
      </c>
      <c r="P716" s="2"/>
      <c r="Q716" s="2"/>
      <c r="R716" s="2"/>
      <c r="S716" s="2"/>
      <c r="T716" s="5"/>
    </row>
    <row r="717" customFormat="false" ht="15.75" hidden="false" customHeight="false" outlineLevel="0" collapsed="false">
      <c r="A717" s="4"/>
      <c r="B717" s="2"/>
      <c r="C717" s="2"/>
      <c r="D717" s="2"/>
      <c r="E717" s="2"/>
      <c r="F717" s="3" t="str">
        <f aca="false">IFERROR(__xludf.dummyfunction("if($T717&lt;&gt;"""",REGEXEXTRACT(SUBSTITUTE ($T717,F$1&amp;"" CE"",""""), F$1&amp;""[\w &amp;]*, (\d+\.\d+)""),"""")
"),"")</f>
        <v/>
      </c>
      <c r="G717" s="3" t="str">
        <f aca="false">IFERROR(__xludf.dummyfunction("if($T717&lt;&gt;"""",REGEXEXTRACT($T717, G$1&amp;""[\w &amp;]*, (\d+\.\d+)""),"""")
"),"")</f>
        <v/>
      </c>
      <c r="H717" s="3"/>
      <c r="I717" s="3" t="str">
        <f aca="false">IFERROR(__xludf.dummyfunction("if($T717&lt;&gt;"""",REGEXEXTRACT(SUBSTITUTE ($T717,I$1&amp;"" CE"",""""), I$1&amp;""[\w &amp;]*, (\d+\.\d+)""),"""")
"),"")</f>
        <v/>
      </c>
      <c r="J717" s="3" t="str">
        <f aca="false">IFERROR(__xludf.dummyfunction("if($T717&lt;&gt;"""",REGEXEXTRACT($T717, J$1&amp;""[\w &amp;]*, (\d+\.\d+)""),"""")
"),"")</f>
        <v/>
      </c>
      <c r="K717" s="3"/>
      <c r="L717" s="3" t="str">
        <f aca="false">IFERROR(__xludf.dummyfunction("if($T717&lt;&gt;"""",REGEXEXTRACT(SUBSTITUTE ($T717,L$1&amp;"" CE"",""""), L$1&amp;""[\w &amp;]*, (\d+\.\d+)""),"""")
"),"")</f>
        <v/>
      </c>
      <c r="M717" s="3" t="str">
        <f aca="false">IFERROR(__xludf.dummyfunction("if($T717&lt;&gt;"""",REGEXEXTRACT($T717, M$1&amp;""[\w &amp;]*, (\d+\.\d+)""),"""")
"),"")</f>
        <v/>
      </c>
      <c r="N717" s="3" t="str">
        <f aca="false">IFERROR(__xludf.dummyfunction("if($T717&lt;&gt;"""",REGEXEXTRACT(SUBSTITUTE ($T717,N$1&amp;"" CE"",""""), N$1&amp;""[\w &amp;]*, (\d+\.\d+)""),"""")
"),"")</f>
        <v/>
      </c>
      <c r="O717" s="3" t="str">
        <f aca="false">IFERROR(__xludf.dummyfunction("if($T717&lt;&gt;"""",REGEXEXTRACT($T717, O$1&amp;""[\w &amp;]*, (\d+\.\d+)""),"""")
"),"")</f>
        <v/>
      </c>
      <c r="P717" s="2"/>
      <c r="Q717" s="2"/>
      <c r="R717" s="2"/>
      <c r="S717" s="2"/>
      <c r="T717" s="5"/>
    </row>
    <row r="718" customFormat="false" ht="15.75" hidden="false" customHeight="false" outlineLevel="0" collapsed="false">
      <c r="A718" s="4"/>
      <c r="B718" s="2"/>
      <c r="C718" s="2"/>
      <c r="D718" s="2"/>
      <c r="E718" s="2"/>
      <c r="F718" s="3" t="str">
        <f aca="false">IFERROR(__xludf.dummyfunction("if($T718&lt;&gt;"""",REGEXEXTRACT(SUBSTITUTE ($T718,F$1&amp;"" CE"",""""), F$1&amp;""[\w &amp;]*, (\d+\.\d+)""),"""")
"),"")</f>
        <v/>
      </c>
      <c r="G718" s="3" t="str">
        <f aca="false">IFERROR(__xludf.dummyfunction("if($T718&lt;&gt;"""",REGEXEXTRACT($T718, G$1&amp;""[\w &amp;]*, (\d+\.\d+)""),"""")
"),"")</f>
        <v/>
      </c>
      <c r="H718" s="3"/>
      <c r="I718" s="3" t="str">
        <f aca="false">IFERROR(__xludf.dummyfunction("if($T718&lt;&gt;"""",REGEXEXTRACT(SUBSTITUTE ($T718,I$1&amp;"" CE"",""""), I$1&amp;""[\w &amp;]*, (\d+\.\d+)""),"""")
"),"")</f>
        <v/>
      </c>
      <c r="J718" s="3" t="str">
        <f aca="false">IFERROR(__xludf.dummyfunction("if($T718&lt;&gt;"""",REGEXEXTRACT($T718, J$1&amp;""[\w &amp;]*, (\d+\.\d+)""),"""")
"),"")</f>
        <v/>
      </c>
      <c r="K718" s="3"/>
      <c r="L718" s="3" t="str">
        <f aca="false">IFERROR(__xludf.dummyfunction("if($T718&lt;&gt;"""",REGEXEXTRACT(SUBSTITUTE ($T718,L$1&amp;"" CE"",""""), L$1&amp;""[\w &amp;]*, (\d+\.\d+)""),"""")
"),"")</f>
        <v/>
      </c>
      <c r="M718" s="3" t="str">
        <f aca="false">IFERROR(__xludf.dummyfunction("if($T718&lt;&gt;"""",REGEXEXTRACT($T718, M$1&amp;""[\w &amp;]*, (\d+\.\d+)""),"""")
"),"")</f>
        <v/>
      </c>
      <c r="N718" s="3" t="str">
        <f aca="false">IFERROR(__xludf.dummyfunction("if($T718&lt;&gt;"""",REGEXEXTRACT(SUBSTITUTE ($T718,N$1&amp;"" CE"",""""), N$1&amp;""[\w &amp;]*, (\d+\.\d+)""),"""")
"),"")</f>
        <v/>
      </c>
      <c r="O718" s="3" t="str">
        <f aca="false">IFERROR(__xludf.dummyfunction("if($T718&lt;&gt;"""",REGEXEXTRACT($T718, O$1&amp;""[\w &amp;]*, (\d+\.\d+)""),"""")
"),"")</f>
        <v/>
      </c>
      <c r="P718" s="2"/>
      <c r="Q718" s="2"/>
      <c r="R718" s="2"/>
      <c r="S718" s="2"/>
      <c r="T718" s="5"/>
    </row>
    <row r="719" customFormat="false" ht="15.75" hidden="false" customHeight="false" outlineLevel="0" collapsed="false">
      <c r="A719" s="4"/>
      <c r="B719" s="2"/>
      <c r="C719" s="2"/>
      <c r="D719" s="2"/>
      <c r="E719" s="2"/>
      <c r="F719" s="3" t="str">
        <f aca="false">IFERROR(__xludf.dummyfunction("if($T719&lt;&gt;"""",REGEXEXTRACT(SUBSTITUTE ($T719,F$1&amp;"" CE"",""""), F$1&amp;""[\w &amp;]*, (\d+\.\d+)""),"""")
"),"")</f>
        <v/>
      </c>
      <c r="G719" s="3" t="str">
        <f aca="false">IFERROR(__xludf.dummyfunction("if($T719&lt;&gt;"""",REGEXEXTRACT($T719, G$1&amp;""[\w &amp;]*, (\d+\.\d+)""),"""")
"),"")</f>
        <v/>
      </c>
      <c r="H719" s="3"/>
      <c r="I719" s="3" t="str">
        <f aca="false">IFERROR(__xludf.dummyfunction("if($T719&lt;&gt;"""",REGEXEXTRACT(SUBSTITUTE ($T719,I$1&amp;"" CE"",""""), I$1&amp;""[\w &amp;]*, (\d+\.\d+)""),"""")
"),"")</f>
        <v/>
      </c>
      <c r="J719" s="3" t="str">
        <f aca="false">IFERROR(__xludf.dummyfunction("if($T719&lt;&gt;"""",REGEXEXTRACT($T719, J$1&amp;""[\w &amp;]*, (\d+\.\d+)""),"""")
"),"")</f>
        <v/>
      </c>
      <c r="K719" s="3"/>
      <c r="L719" s="3" t="str">
        <f aca="false">IFERROR(__xludf.dummyfunction("if($T719&lt;&gt;"""",REGEXEXTRACT(SUBSTITUTE ($T719,L$1&amp;"" CE"",""""), L$1&amp;""[\w &amp;]*, (\d+\.\d+)""),"""")
"),"")</f>
        <v/>
      </c>
      <c r="M719" s="3" t="str">
        <f aca="false">IFERROR(__xludf.dummyfunction("if($T719&lt;&gt;"""",REGEXEXTRACT($T719, M$1&amp;""[\w &amp;]*, (\d+\.\d+)""),"""")
"),"")</f>
        <v/>
      </c>
      <c r="N719" s="3" t="str">
        <f aca="false">IFERROR(__xludf.dummyfunction("if($T719&lt;&gt;"""",REGEXEXTRACT(SUBSTITUTE ($T719,N$1&amp;"" CE"",""""), N$1&amp;""[\w &amp;]*, (\d+\.\d+)""),"""")
"),"")</f>
        <v/>
      </c>
      <c r="O719" s="3" t="str">
        <f aca="false">IFERROR(__xludf.dummyfunction("if($T719&lt;&gt;"""",REGEXEXTRACT($T719, O$1&amp;""[\w &amp;]*, (\d+\.\d+)""),"""")
"),"")</f>
        <v/>
      </c>
      <c r="P719" s="2"/>
      <c r="Q719" s="2"/>
      <c r="R719" s="2"/>
      <c r="S719" s="2"/>
      <c r="T719" s="5"/>
    </row>
    <row r="720" customFormat="false" ht="15.75" hidden="false" customHeight="false" outlineLevel="0" collapsed="false">
      <c r="A720" s="4"/>
      <c r="B720" s="2"/>
      <c r="C720" s="2"/>
      <c r="D720" s="2"/>
      <c r="E720" s="2"/>
      <c r="F720" s="3" t="str">
        <f aca="false">IFERROR(__xludf.dummyfunction("if($T720&lt;&gt;"""",REGEXEXTRACT(SUBSTITUTE ($T720,F$1&amp;"" CE"",""""), F$1&amp;""[\w &amp;]*, (\d+\.\d+)""),"""")
"),"")</f>
        <v/>
      </c>
      <c r="G720" s="3" t="str">
        <f aca="false">IFERROR(__xludf.dummyfunction("if($T720&lt;&gt;"""",REGEXEXTRACT($T720, G$1&amp;""[\w &amp;]*, (\d+\.\d+)""),"""")
"),"")</f>
        <v/>
      </c>
      <c r="H720" s="3"/>
      <c r="I720" s="3" t="str">
        <f aca="false">IFERROR(__xludf.dummyfunction("if($T720&lt;&gt;"""",REGEXEXTRACT(SUBSTITUTE ($T720,I$1&amp;"" CE"",""""), I$1&amp;""[\w &amp;]*, (\d+\.\d+)""),"""")
"),"")</f>
        <v/>
      </c>
      <c r="J720" s="3" t="str">
        <f aca="false">IFERROR(__xludf.dummyfunction("if($T720&lt;&gt;"""",REGEXEXTRACT($T720, J$1&amp;""[\w &amp;]*, (\d+\.\d+)""),"""")
"),"")</f>
        <v/>
      </c>
      <c r="K720" s="3"/>
      <c r="L720" s="3" t="str">
        <f aca="false">IFERROR(__xludf.dummyfunction("if($T720&lt;&gt;"""",REGEXEXTRACT(SUBSTITUTE ($T720,L$1&amp;"" CE"",""""), L$1&amp;""[\w &amp;]*, (\d+\.\d+)""),"""")
"),"")</f>
        <v/>
      </c>
      <c r="M720" s="3" t="str">
        <f aca="false">IFERROR(__xludf.dummyfunction("if($T720&lt;&gt;"""",REGEXEXTRACT($T720, M$1&amp;""[\w &amp;]*, (\d+\.\d+)""),"""")
"),"")</f>
        <v/>
      </c>
      <c r="N720" s="3" t="str">
        <f aca="false">IFERROR(__xludf.dummyfunction("if($T720&lt;&gt;"""",REGEXEXTRACT(SUBSTITUTE ($T720,N$1&amp;"" CE"",""""), N$1&amp;""[\w &amp;]*, (\d+\.\d+)""),"""")
"),"")</f>
        <v/>
      </c>
      <c r="O720" s="3" t="str">
        <f aca="false">IFERROR(__xludf.dummyfunction("if($T720&lt;&gt;"""",REGEXEXTRACT($T720, O$1&amp;""[\w &amp;]*, (\d+\.\d+)""),"""")
"),"")</f>
        <v/>
      </c>
      <c r="P720" s="2"/>
      <c r="Q720" s="2"/>
      <c r="R720" s="2"/>
      <c r="S720" s="2"/>
      <c r="T720" s="5"/>
    </row>
    <row r="721" customFormat="false" ht="15.75" hidden="false" customHeight="false" outlineLevel="0" collapsed="false">
      <c r="A721" s="4"/>
      <c r="B721" s="2"/>
      <c r="C721" s="2"/>
      <c r="D721" s="2"/>
      <c r="E721" s="2"/>
      <c r="F721" s="3" t="str">
        <f aca="false">IFERROR(__xludf.dummyfunction("if($T721&lt;&gt;"""",REGEXEXTRACT(SUBSTITUTE ($T721,F$1&amp;"" CE"",""""), F$1&amp;""[\w &amp;]*, (\d+\.\d+)""),"""")
"),"")</f>
        <v/>
      </c>
      <c r="G721" s="3" t="str">
        <f aca="false">IFERROR(__xludf.dummyfunction("if($T721&lt;&gt;"""",REGEXEXTRACT($T721, G$1&amp;""[\w &amp;]*, (\d+\.\d+)""),"""")
"),"")</f>
        <v/>
      </c>
      <c r="H721" s="3"/>
      <c r="I721" s="3" t="str">
        <f aca="false">IFERROR(__xludf.dummyfunction("if($T721&lt;&gt;"""",REGEXEXTRACT(SUBSTITUTE ($T721,I$1&amp;"" CE"",""""), I$1&amp;""[\w &amp;]*, (\d+\.\d+)""),"""")
"),"")</f>
        <v/>
      </c>
      <c r="J721" s="3" t="str">
        <f aca="false">IFERROR(__xludf.dummyfunction("if($T721&lt;&gt;"""",REGEXEXTRACT($T721, J$1&amp;""[\w &amp;]*, (\d+\.\d+)""),"""")
"),"")</f>
        <v/>
      </c>
      <c r="K721" s="3"/>
      <c r="L721" s="3" t="str">
        <f aca="false">IFERROR(__xludf.dummyfunction("if($T721&lt;&gt;"""",REGEXEXTRACT(SUBSTITUTE ($T721,L$1&amp;"" CE"",""""), L$1&amp;""[\w &amp;]*, (\d+\.\d+)""),"""")
"),"")</f>
        <v/>
      </c>
      <c r="M721" s="3" t="str">
        <f aca="false">IFERROR(__xludf.dummyfunction("if($T721&lt;&gt;"""",REGEXEXTRACT($T721, M$1&amp;""[\w &amp;]*, (\d+\.\d+)""),"""")
"),"")</f>
        <v/>
      </c>
      <c r="N721" s="3" t="str">
        <f aca="false">IFERROR(__xludf.dummyfunction("if($T721&lt;&gt;"""",REGEXEXTRACT(SUBSTITUTE ($T721,N$1&amp;"" CE"",""""), N$1&amp;""[\w &amp;]*, (\d+\.\d+)""),"""")
"),"")</f>
        <v/>
      </c>
      <c r="O721" s="3" t="str">
        <f aca="false">IFERROR(__xludf.dummyfunction("if($T721&lt;&gt;"""",REGEXEXTRACT($T721, O$1&amp;""[\w &amp;]*, (\d+\.\d+)""),"""")
"),"")</f>
        <v/>
      </c>
      <c r="P721" s="2"/>
      <c r="Q721" s="2"/>
      <c r="R721" s="2"/>
      <c r="S721" s="2"/>
      <c r="T721" s="5"/>
    </row>
    <row r="722" customFormat="false" ht="15.75" hidden="false" customHeight="false" outlineLevel="0" collapsed="false">
      <c r="A722" s="4"/>
      <c r="B722" s="2"/>
      <c r="C722" s="2"/>
      <c r="D722" s="2"/>
      <c r="E722" s="2"/>
      <c r="F722" s="3" t="str">
        <f aca="false">IFERROR(__xludf.dummyfunction("if($T722&lt;&gt;"""",REGEXEXTRACT(SUBSTITUTE ($T722,F$1&amp;"" CE"",""""), F$1&amp;""[\w &amp;]*, (\d+\.\d+)""),"""")
"),"")</f>
        <v/>
      </c>
      <c r="G722" s="3" t="str">
        <f aca="false">IFERROR(__xludf.dummyfunction("if($T722&lt;&gt;"""",REGEXEXTRACT($T722, G$1&amp;""[\w &amp;]*, (\d+\.\d+)""),"""")
"),"")</f>
        <v/>
      </c>
      <c r="H722" s="3"/>
      <c r="I722" s="3" t="str">
        <f aca="false">IFERROR(__xludf.dummyfunction("if($T722&lt;&gt;"""",REGEXEXTRACT(SUBSTITUTE ($T722,I$1&amp;"" CE"",""""), I$1&amp;""[\w &amp;]*, (\d+\.\d+)""),"""")
"),"")</f>
        <v/>
      </c>
      <c r="J722" s="3" t="str">
        <f aca="false">IFERROR(__xludf.dummyfunction("if($T722&lt;&gt;"""",REGEXEXTRACT($T722, J$1&amp;""[\w &amp;]*, (\d+\.\d+)""),"""")
"),"")</f>
        <v/>
      </c>
      <c r="K722" s="3"/>
      <c r="L722" s="3" t="str">
        <f aca="false">IFERROR(__xludf.dummyfunction("if($T722&lt;&gt;"""",REGEXEXTRACT(SUBSTITUTE ($T722,L$1&amp;"" CE"",""""), L$1&amp;""[\w &amp;]*, (\d+\.\d+)""),"""")
"),"")</f>
        <v/>
      </c>
      <c r="M722" s="3" t="str">
        <f aca="false">IFERROR(__xludf.dummyfunction("if($T722&lt;&gt;"""",REGEXEXTRACT($T722, M$1&amp;""[\w &amp;]*, (\d+\.\d+)""),"""")
"),"")</f>
        <v/>
      </c>
      <c r="N722" s="3" t="str">
        <f aca="false">IFERROR(__xludf.dummyfunction("if($T722&lt;&gt;"""",REGEXEXTRACT(SUBSTITUTE ($T722,N$1&amp;"" CE"",""""), N$1&amp;""[\w &amp;]*, (\d+\.\d+)""),"""")
"),"")</f>
        <v/>
      </c>
      <c r="O722" s="3" t="str">
        <f aca="false">IFERROR(__xludf.dummyfunction("if($T722&lt;&gt;"""",REGEXEXTRACT($T722, O$1&amp;""[\w &amp;]*, (\d+\.\d+)""),"""")
"),"")</f>
        <v/>
      </c>
      <c r="P722" s="2"/>
      <c r="Q722" s="2"/>
      <c r="R722" s="2"/>
      <c r="S722" s="2"/>
      <c r="T722" s="5"/>
    </row>
    <row r="723" customFormat="false" ht="15.75" hidden="false" customHeight="false" outlineLevel="0" collapsed="false">
      <c r="A723" s="4"/>
      <c r="B723" s="2"/>
      <c r="C723" s="2"/>
      <c r="D723" s="2"/>
      <c r="E723" s="2"/>
      <c r="F723" s="3" t="str">
        <f aca="false">IFERROR(__xludf.dummyfunction("if($T723&lt;&gt;"""",REGEXEXTRACT(SUBSTITUTE ($T723,F$1&amp;"" CE"",""""), F$1&amp;""[\w &amp;]*, (\d+\.\d+)""),"""")
"),"")</f>
        <v/>
      </c>
      <c r="G723" s="3" t="str">
        <f aca="false">IFERROR(__xludf.dummyfunction("if($T723&lt;&gt;"""",REGEXEXTRACT($T723, G$1&amp;""[\w &amp;]*, (\d+\.\d+)""),"""")
"),"")</f>
        <v/>
      </c>
      <c r="H723" s="3"/>
      <c r="I723" s="3" t="str">
        <f aca="false">IFERROR(__xludf.dummyfunction("if($T723&lt;&gt;"""",REGEXEXTRACT(SUBSTITUTE ($T723,I$1&amp;"" CE"",""""), I$1&amp;""[\w &amp;]*, (\d+\.\d+)""),"""")
"),"")</f>
        <v/>
      </c>
      <c r="J723" s="3" t="str">
        <f aca="false">IFERROR(__xludf.dummyfunction("if($T723&lt;&gt;"""",REGEXEXTRACT($T723, J$1&amp;""[\w &amp;]*, (\d+\.\d+)""),"""")
"),"")</f>
        <v/>
      </c>
      <c r="K723" s="3"/>
      <c r="L723" s="3" t="str">
        <f aca="false">IFERROR(__xludf.dummyfunction("if($T723&lt;&gt;"""",REGEXEXTRACT(SUBSTITUTE ($T723,L$1&amp;"" CE"",""""), L$1&amp;""[\w &amp;]*, (\d+\.\d+)""),"""")
"),"")</f>
        <v/>
      </c>
      <c r="M723" s="3" t="str">
        <f aca="false">IFERROR(__xludf.dummyfunction("if($T723&lt;&gt;"""",REGEXEXTRACT($T723, M$1&amp;""[\w &amp;]*, (\d+\.\d+)""),"""")
"),"")</f>
        <v/>
      </c>
      <c r="N723" s="3" t="str">
        <f aca="false">IFERROR(__xludf.dummyfunction("if($T723&lt;&gt;"""",REGEXEXTRACT(SUBSTITUTE ($T723,N$1&amp;"" CE"",""""), N$1&amp;""[\w &amp;]*, (\d+\.\d+)""),"""")
"),"")</f>
        <v/>
      </c>
      <c r="O723" s="3" t="str">
        <f aca="false">IFERROR(__xludf.dummyfunction("if($T723&lt;&gt;"""",REGEXEXTRACT($T723, O$1&amp;""[\w &amp;]*, (\d+\.\d+)""),"""")
"),"")</f>
        <v/>
      </c>
      <c r="P723" s="2"/>
      <c r="Q723" s="2"/>
      <c r="R723" s="2"/>
      <c r="S723" s="2"/>
      <c r="T723" s="5"/>
    </row>
    <row r="724" customFormat="false" ht="15.75" hidden="false" customHeight="false" outlineLevel="0" collapsed="false">
      <c r="A724" s="4"/>
      <c r="B724" s="2"/>
      <c r="C724" s="2"/>
      <c r="D724" s="2"/>
      <c r="E724" s="2"/>
      <c r="F724" s="3" t="str">
        <f aca="false">IFERROR(__xludf.dummyfunction("if($T724&lt;&gt;"""",REGEXEXTRACT(SUBSTITUTE ($T724,F$1&amp;"" CE"",""""), F$1&amp;""[\w &amp;]*, (\d+\.\d+)""),"""")
"),"")</f>
        <v/>
      </c>
      <c r="G724" s="3" t="str">
        <f aca="false">IFERROR(__xludf.dummyfunction("if($T724&lt;&gt;"""",REGEXEXTRACT($T724, G$1&amp;""[\w &amp;]*, (\d+\.\d+)""),"""")
"),"")</f>
        <v/>
      </c>
      <c r="H724" s="3"/>
      <c r="I724" s="3" t="str">
        <f aca="false">IFERROR(__xludf.dummyfunction("if($T724&lt;&gt;"""",REGEXEXTRACT(SUBSTITUTE ($T724,I$1&amp;"" CE"",""""), I$1&amp;""[\w &amp;]*, (\d+\.\d+)""),"""")
"),"")</f>
        <v/>
      </c>
      <c r="J724" s="3" t="str">
        <f aca="false">IFERROR(__xludf.dummyfunction("if($T724&lt;&gt;"""",REGEXEXTRACT($T724, J$1&amp;""[\w &amp;]*, (\d+\.\d+)""),"""")
"),"")</f>
        <v/>
      </c>
      <c r="K724" s="3"/>
      <c r="L724" s="3" t="str">
        <f aca="false">IFERROR(__xludf.dummyfunction("if($T724&lt;&gt;"""",REGEXEXTRACT(SUBSTITUTE ($T724,L$1&amp;"" CE"",""""), L$1&amp;""[\w &amp;]*, (\d+\.\d+)""),"""")
"),"")</f>
        <v/>
      </c>
      <c r="M724" s="3" t="str">
        <f aca="false">IFERROR(__xludf.dummyfunction("if($T724&lt;&gt;"""",REGEXEXTRACT($T724, M$1&amp;""[\w &amp;]*, (\d+\.\d+)""),"""")
"),"")</f>
        <v/>
      </c>
      <c r="N724" s="3" t="str">
        <f aca="false">IFERROR(__xludf.dummyfunction("if($T724&lt;&gt;"""",REGEXEXTRACT(SUBSTITUTE ($T724,N$1&amp;"" CE"",""""), N$1&amp;""[\w &amp;]*, (\d+\.\d+)""),"""")
"),"")</f>
        <v/>
      </c>
      <c r="O724" s="3" t="str">
        <f aca="false">IFERROR(__xludf.dummyfunction("if($T724&lt;&gt;"""",REGEXEXTRACT($T724, O$1&amp;""[\w &amp;]*, (\d+\.\d+)""),"""")
"),"")</f>
        <v/>
      </c>
      <c r="P724" s="2"/>
      <c r="Q724" s="2"/>
      <c r="R724" s="2"/>
      <c r="S724" s="2"/>
      <c r="T724" s="5"/>
    </row>
    <row r="725" customFormat="false" ht="15.75" hidden="false" customHeight="false" outlineLevel="0" collapsed="false">
      <c r="A725" s="4"/>
      <c r="B725" s="2"/>
      <c r="C725" s="2"/>
      <c r="D725" s="2"/>
      <c r="E725" s="2"/>
      <c r="F725" s="3" t="str">
        <f aca="false">IFERROR(__xludf.dummyfunction("if($T725&lt;&gt;"""",REGEXEXTRACT(SUBSTITUTE ($T725,F$1&amp;"" CE"",""""), F$1&amp;""[\w &amp;]*, (\d+\.\d+)""),"""")
"),"")</f>
        <v/>
      </c>
      <c r="G725" s="3" t="str">
        <f aca="false">IFERROR(__xludf.dummyfunction("if($T725&lt;&gt;"""",REGEXEXTRACT($T725, G$1&amp;""[\w &amp;]*, (\d+\.\d+)""),"""")
"),"")</f>
        <v/>
      </c>
      <c r="H725" s="3"/>
      <c r="I725" s="3" t="str">
        <f aca="false">IFERROR(__xludf.dummyfunction("if($T725&lt;&gt;"""",REGEXEXTRACT(SUBSTITUTE ($T725,I$1&amp;"" CE"",""""), I$1&amp;""[\w &amp;]*, (\d+\.\d+)""),"""")
"),"")</f>
        <v/>
      </c>
      <c r="J725" s="3" t="str">
        <f aca="false">IFERROR(__xludf.dummyfunction("if($T725&lt;&gt;"""",REGEXEXTRACT($T725, J$1&amp;""[\w &amp;]*, (\d+\.\d+)""),"""")
"),"")</f>
        <v/>
      </c>
      <c r="K725" s="3"/>
      <c r="L725" s="3" t="str">
        <f aca="false">IFERROR(__xludf.dummyfunction("if($T725&lt;&gt;"""",REGEXEXTRACT(SUBSTITUTE ($T725,L$1&amp;"" CE"",""""), L$1&amp;""[\w &amp;]*, (\d+\.\d+)""),"""")
"),"")</f>
        <v/>
      </c>
      <c r="M725" s="3" t="str">
        <f aca="false">IFERROR(__xludf.dummyfunction("if($T725&lt;&gt;"""",REGEXEXTRACT($T725, M$1&amp;""[\w &amp;]*, (\d+\.\d+)""),"""")
"),"")</f>
        <v/>
      </c>
      <c r="N725" s="3" t="str">
        <f aca="false">IFERROR(__xludf.dummyfunction("if($T725&lt;&gt;"""",REGEXEXTRACT(SUBSTITUTE ($T725,N$1&amp;"" CE"",""""), N$1&amp;""[\w &amp;]*, (\d+\.\d+)""),"""")
"),"")</f>
        <v/>
      </c>
      <c r="O725" s="3" t="str">
        <f aca="false">IFERROR(__xludf.dummyfunction("if($T725&lt;&gt;"""",REGEXEXTRACT($T725, O$1&amp;""[\w &amp;]*, (\d+\.\d+)""),"""")
"),"")</f>
        <v/>
      </c>
      <c r="P725" s="2"/>
      <c r="Q725" s="2"/>
      <c r="R725" s="2"/>
      <c r="S725" s="2"/>
      <c r="T725" s="5"/>
    </row>
    <row r="726" customFormat="false" ht="15.75" hidden="false" customHeight="false" outlineLevel="0" collapsed="false">
      <c r="A726" s="4"/>
      <c r="B726" s="2"/>
      <c r="C726" s="2"/>
      <c r="D726" s="2"/>
      <c r="E726" s="2"/>
      <c r="F726" s="3" t="str">
        <f aca="false">IFERROR(__xludf.dummyfunction("if($T726&lt;&gt;"""",REGEXEXTRACT(SUBSTITUTE ($T726,F$1&amp;"" CE"",""""), F$1&amp;""[\w &amp;]*, (\d+\.\d+)""),"""")
"),"")</f>
        <v/>
      </c>
      <c r="G726" s="3" t="str">
        <f aca="false">IFERROR(__xludf.dummyfunction("if($T726&lt;&gt;"""",REGEXEXTRACT($T726, G$1&amp;""[\w &amp;]*, (\d+\.\d+)""),"""")
"),"")</f>
        <v/>
      </c>
      <c r="H726" s="3"/>
      <c r="I726" s="3" t="str">
        <f aca="false">IFERROR(__xludf.dummyfunction("if($T726&lt;&gt;"""",REGEXEXTRACT(SUBSTITUTE ($T726,I$1&amp;"" CE"",""""), I$1&amp;""[\w &amp;]*, (\d+\.\d+)""),"""")
"),"")</f>
        <v/>
      </c>
      <c r="J726" s="3" t="str">
        <f aca="false">IFERROR(__xludf.dummyfunction("if($T726&lt;&gt;"""",REGEXEXTRACT($T726, J$1&amp;""[\w &amp;]*, (\d+\.\d+)""),"""")
"),"")</f>
        <v/>
      </c>
      <c r="K726" s="3"/>
      <c r="L726" s="3" t="str">
        <f aca="false">IFERROR(__xludf.dummyfunction("if($T726&lt;&gt;"""",REGEXEXTRACT(SUBSTITUTE ($T726,L$1&amp;"" CE"",""""), L$1&amp;""[\w &amp;]*, (\d+\.\d+)""),"""")
"),"")</f>
        <v/>
      </c>
      <c r="M726" s="3" t="str">
        <f aca="false">IFERROR(__xludf.dummyfunction("if($T726&lt;&gt;"""",REGEXEXTRACT($T726, M$1&amp;""[\w &amp;]*, (\d+\.\d+)""),"""")
"),"")</f>
        <v/>
      </c>
      <c r="N726" s="3" t="str">
        <f aca="false">IFERROR(__xludf.dummyfunction("if($T726&lt;&gt;"""",REGEXEXTRACT(SUBSTITUTE ($T726,N$1&amp;"" CE"",""""), N$1&amp;""[\w &amp;]*, (\d+\.\d+)""),"""")
"),"")</f>
        <v/>
      </c>
      <c r="O726" s="3" t="str">
        <f aca="false">IFERROR(__xludf.dummyfunction("if($T726&lt;&gt;"""",REGEXEXTRACT($T726, O$1&amp;""[\w &amp;]*, (\d+\.\d+)""),"""")
"),"")</f>
        <v/>
      </c>
      <c r="P726" s="2"/>
      <c r="Q726" s="2"/>
      <c r="R726" s="2"/>
      <c r="S726" s="2"/>
      <c r="T726" s="5"/>
    </row>
    <row r="727" customFormat="false" ht="15.75" hidden="false" customHeight="false" outlineLevel="0" collapsed="false">
      <c r="A727" s="4"/>
      <c r="B727" s="2"/>
      <c r="C727" s="2"/>
      <c r="D727" s="2"/>
      <c r="E727" s="2"/>
      <c r="F727" s="3" t="str">
        <f aca="false">IFERROR(__xludf.dummyfunction("if($T727&lt;&gt;"""",REGEXEXTRACT(SUBSTITUTE ($T727,F$1&amp;"" CE"",""""), F$1&amp;""[\w &amp;]*, (\d+\.\d+)""),"""")
"),"")</f>
        <v/>
      </c>
      <c r="G727" s="3" t="str">
        <f aca="false">IFERROR(__xludf.dummyfunction("if($T727&lt;&gt;"""",REGEXEXTRACT($T727, G$1&amp;""[\w &amp;]*, (\d+\.\d+)""),"""")
"),"")</f>
        <v/>
      </c>
      <c r="H727" s="3"/>
      <c r="I727" s="3" t="str">
        <f aca="false">IFERROR(__xludf.dummyfunction("if($T727&lt;&gt;"""",REGEXEXTRACT(SUBSTITUTE ($T727,I$1&amp;"" CE"",""""), I$1&amp;""[\w &amp;]*, (\d+\.\d+)""),"""")
"),"")</f>
        <v/>
      </c>
      <c r="J727" s="3" t="str">
        <f aca="false">IFERROR(__xludf.dummyfunction("if($T727&lt;&gt;"""",REGEXEXTRACT($T727, J$1&amp;""[\w &amp;]*, (\d+\.\d+)""),"""")
"),"")</f>
        <v/>
      </c>
      <c r="K727" s="3"/>
      <c r="L727" s="3" t="str">
        <f aca="false">IFERROR(__xludf.dummyfunction("if($T727&lt;&gt;"""",REGEXEXTRACT(SUBSTITUTE ($T727,L$1&amp;"" CE"",""""), L$1&amp;""[\w &amp;]*, (\d+\.\d+)""),"""")
"),"")</f>
        <v/>
      </c>
      <c r="M727" s="3" t="str">
        <f aca="false">IFERROR(__xludf.dummyfunction("if($T727&lt;&gt;"""",REGEXEXTRACT($T727, M$1&amp;""[\w &amp;]*, (\d+\.\d+)""),"""")
"),"")</f>
        <v/>
      </c>
      <c r="N727" s="3" t="str">
        <f aca="false">IFERROR(__xludf.dummyfunction("if($T727&lt;&gt;"""",REGEXEXTRACT(SUBSTITUTE ($T727,N$1&amp;"" CE"",""""), N$1&amp;""[\w &amp;]*, (\d+\.\d+)""),"""")
"),"")</f>
        <v/>
      </c>
      <c r="O727" s="3" t="str">
        <f aca="false">IFERROR(__xludf.dummyfunction("if($T727&lt;&gt;"""",REGEXEXTRACT($T727, O$1&amp;""[\w &amp;]*, (\d+\.\d+)""),"""")
"),"")</f>
        <v/>
      </c>
      <c r="P727" s="2"/>
      <c r="Q727" s="2"/>
      <c r="R727" s="2"/>
      <c r="S727" s="2"/>
      <c r="T727" s="5"/>
    </row>
    <row r="728" customFormat="false" ht="15.75" hidden="false" customHeight="false" outlineLevel="0" collapsed="false">
      <c r="A728" s="4"/>
      <c r="B728" s="2"/>
      <c r="C728" s="2"/>
      <c r="D728" s="2"/>
      <c r="E728" s="2"/>
      <c r="F728" s="3" t="str">
        <f aca="false">IFERROR(__xludf.dummyfunction("if($T728&lt;&gt;"""",REGEXEXTRACT(SUBSTITUTE ($T728,F$1&amp;"" CE"",""""), F$1&amp;""[\w &amp;]*, (\d+\.\d+)""),"""")
"),"")</f>
        <v/>
      </c>
      <c r="G728" s="3" t="str">
        <f aca="false">IFERROR(__xludf.dummyfunction("if($T728&lt;&gt;"""",REGEXEXTRACT($T728, G$1&amp;""[\w &amp;]*, (\d+\.\d+)""),"""")
"),"")</f>
        <v/>
      </c>
      <c r="H728" s="3"/>
      <c r="I728" s="3" t="str">
        <f aca="false">IFERROR(__xludf.dummyfunction("if($T728&lt;&gt;"""",REGEXEXTRACT(SUBSTITUTE ($T728,I$1&amp;"" CE"",""""), I$1&amp;""[\w &amp;]*, (\d+\.\d+)""),"""")
"),"")</f>
        <v/>
      </c>
      <c r="J728" s="3" t="str">
        <f aca="false">IFERROR(__xludf.dummyfunction("if($T728&lt;&gt;"""",REGEXEXTRACT($T728, J$1&amp;""[\w &amp;]*, (\d+\.\d+)""),"""")
"),"")</f>
        <v/>
      </c>
      <c r="K728" s="3"/>
      <c r="L728" s="3" t="str">
        <f aca="false">IFERROR(__xludf.dummyfunction("if($T728&lt;&gt;"""",REGEXEXTRACT(SUBSTITUTE ($T728,L$1&amp;"" CE"",""""), L$1&amp;""[\w &amp;]*, (\d+\.\d+)""),"""")
"),"")</f>
        <v/>
      </c>
      <c r="M728" s="3" t="str">
        <f aca="false">IFERROR(__xludf.dummyfunction("if($T728&lt;&gt;"""",REGEXEXTRACT($T728, M$1&amp;""[\w &amp;]*, (\d+\.\d+)""),"""")
"),"")</f>
        <v/>
      </c>
      <c r="N728" s="3" t="str">
        <f aca="false">IFERROR(__xludf.dummyfunction("if($T728&lt;&gt;"""",REGEXEXTRACT(SUBSTITUTE ($T728,N$1&amp;"" CE"",""""), N$1&amp;""[\w &amp;]*, (\d+\.\d+)""),"""")
"),"")</f>
        <v/>
      </c>
      <c r="O728" s="3" t="str">
        <f aca="false">IFERROR(__xludf.dummyfunction("if($T728&lt;&gt;"""",REGEXEXTRACT($T728, O$1&amp;""[\w &amp;]*, (\d+\.\d+)""),"""")
"),"")</f>
        <v/>
      </c>
      <c r="P728" s="2"/>
      <c r="Q728" s="2"/>
      <c r="R728" s="2"/>
      <c r="S728" s="2"/>
      <c r="T728" s="5"/>
    </row>
    <row r="729" customFormat="false" ht="15.75" hidden="false" customHeight="false" outlineLevel="0" collapsed="false">
      <c r="A729" s="4"/>
      <c r="B729" s="2"/>
      <c r="C729" s="2"/>
      <c r="D729" s="2"/>
      <c r="E729" s="2"/>
      <c r="F729" s="3" t="str">
        <f aca="false">IFERROR(__xludf.dummyfunction("if($T729&lt;&gt;"""",REGEXEXTRACT(SUBSTITUTE ($T729,F$1&amp;"" CE"",""""), F$1&amp;""[\w &amp;]*, (\d+\.\d+)""),"""")
"),"")</f>
        <v/>
      </c>
      <c r="G729" s="3" t="str">
        <f aca="false">IFERROR(__xludf.dummyfunction("if($T729&lt;&gt;"""",REGEXEXTRACT($T729, G$1&amp;""[\w &amp;]*, (\d+\.\d+)""),"""")
"),"")</f>
        <v/>
      </c>
      <c r="H729" s="3"/>
      <c r="I729" s="3" t="str">
        <f aca="false">IFERROR(__xludf.dummyfunction("if($T729&lt;&gt;"""",REGEXEXTRACT(SUBSTITUTE ($T729,I$1&amp;"" CE"",""""), I$1&amp;""[\w &amp;]*, (\d+\.\d+)""),"""")
"),"")</f>
        <v/>
      </c>
      <c r="J729" s="3" t="str">
        <f aca="false">IFERROR(__xludf.dummyfunction("if($T729&lt;&gt;"""",REGEXEXTRACT($T729, J$1&amp;""[\w &amp;]*, (\d+\.\d+)""),"""")
"),"")</f>
        <v/>
      </c>
      <c r="K729" s="3"/>
      <c r="L729" s="3" t="str">
        <f aca="false">IFERROR(__xludf.dummyfunction("if($T729&lt;&gt;"""",REGEXEXTRACT(SUBSTITUTE ($T729,L$1&amp;"" CE"",""""), L$1&amp;""[\w &amp;]*, (\d+\.\d+)""),"""")
"),"")</f>
        <v/>
      </c>
      <c r="M729" s="3" t="str">
        <f aca="false">IFERROR(__xludf.dummyfunction("if($T729&lt;&gt;"""",REGEXEXTRACT($T729, M$1&amp;""[\w &amp;]*, (\d+\.\d+)""),"""")
"),"")</f>
        <v/>
      </c>
      <c r="N729" s="3" t="str">
        <f aca="false">IFERROR(__xludf.dummyfunction("if($T729&lt;&gt;"""",REGEXEXTRACT(SUBSTITUTE ($T729,N$1&amp;"" CE"",""""), N$1&amp;""[\w &amp;]*, (\d+\.\d+)""),"""")
"),"")</f>
        <v/>
      </c>
      <c r="O729" s="3" t="str">
        <f aca="false">IFERROR(__xludf.dummyfunction("if($T729&lt;&gt;"""",REGEXEXTRACT($T729, O$1&amp;""[\w &amp;]*, (\d+\.\d+)""),"""")
"),"")</f>
        <v/>
      </c>
      <c r="P729" s="2"/>
      <c r="Q729" s="2"/>
      <c r="R729" s="2"/>
      <c r="S729" s="2"/>
      <c r="T729" s="5"/>
    </row>
    <row r="730" customFormat="false" ht="15.75" hidden="false" customHeight="false" outlineLevel="0" collapsed="false">
      <c r="A730" s="4"/>
      <c r="B730" s="2"/>
      <c r="C730" s="2"/>
      <c r="D730" s="2"/>
      <c r="E730" s="2"/>
      <c r="F730" s="3" t="str">
        <f aca="false">IFERROR(__xludf.dummyfunction("if($T730&lt;&gt;"""",REGEXEXTRACT(SUBSTITUTE ($T730,F$1&amp;"" CE"",""""), F$1&amp;""[\w &amp;]*, (\d+\.\d+)""),"""")
"),"")</f>
        <v/>
      </c>
      <c r="G730" s="3" t="str">
        <f aca="false">IFERROR(__xludf.dummyfunction("if($T730&lt;&gt;"""",REGEXEXTRACT($T730, G$1&amp;""[\w &amp;]*, (\d+\.\d+)""),"""")
"),"")</f>
        <v/>
      </c>
      <c r="H730" s="3"/>
      <c r="I730" s="3" t="str">
        <f aca="false">IFERROR(__xludf.dummyfunction("if($T730&lt;&gt;"""",REGEXEXTRACT(SUBSTITUTE ($T730,I$1&amp;"" CE"",""""), I$1&amp;""[\w &amp;]*, (\d+\.\d+)""),"""")
"),"")</f>
        <v/>
      </c>
      <c r="J730" s="3" t="str">
        <f aca="false">IFERROR(__xludf.dummyfunction("if($T730&lt;&gt;"""",REGEXEXTRACT($T730, J$1&amp;""[\w &amp;]*, (\d+\.\d+)""),"""")
"),"")</f>
        <v/>
      </c>
      <c r="K730" s="3"/>
      <c r="L730" s="3" t="str">
        <f aca="false">IFERROR(__xludf.dummyfunction("if($T730&lt;&gt;"""",REGEXEXTRACT(SUBSTITUTE ($T730,L$1&amp;"" CE"",""""), L$1&amp;""[\w &amp;]*, (\d+\.\d+)""),"""")
"),"")</f>
        <v/>
      </c>
      <c r="M730" s="3" t="str">
        <f aca="false">IFERROR(__xludf.dummyfunction("if($T730&lt;&gt;"""",REGEXEXTRACT($T730, M$1&amp;""[\w &amp;]*, (\d+\.\d+)""),"""")
"),"")</f>
        <v/>
      </c>
      <c r="N730" s="3" t="str">
        <f aca="false">IFERROR(__xludf.dummyfunction("if($T730&lt;&gt;"""",REGEXEXTRACT(SUBSTITUTE ($T730,N$1&amp;"" CE"",""""), N$1&amp;""[\w &amp;]*, (\d+\.\d+)""),"""")
"),"")</f>
        <v/>
      </c>
      <c r="O730" s="3" t="str">
        <f aca="false">IFERROR(__xludf.dummyfunction("if($T730&lt;&gt;"""",REGEXEXTRACT($T730, O$1&amp;""[\w &amp;]*, (\d+\.\d+)""),"""")
"),"")</f>
        <v/>
      </c>
      <c r="P730" s="2"/>
      <c r="Q730" s="2"/>
      <c r="R730" s="2"/>
      <c r="S730" s="2"/>
      <c r="T730" s="5"/>
    </row>
    <row r="731" customFormat="false" ht="15.75" hidden="false" customHeight="false" outlineLevel="0" collapsed="false">
      <c r="A731" s="4"/>
      <c r="B731" s="2"/>
      <c r="C731" s="2"/>
      <c r="D731" s="2"/>
      <c r="E731" s="2"/>
      <c r="F731" s="3" t="str">
        <f aca="false">IFERROR(__xludf.dummyfunction("if($T731&lt;&gt;"""",REGEXEXTRACT(SUBSTITUTE ($T731,F$1&amp;"" CE"",""""), F$1&amp;""[\w &amp;]*, (\d+\.\d+)""),"""")
"),"")</f>
        <v/>
      </c>
      <c r="G731" s="3" t="str">
        <f aca="false">IFERROR(__xludf.dummyfunction("if($T731&lt;&gt;"""",REGEXEXTRACT($T731, G$1&amp;""[\w &amp;]*, (\d+\.\d+)""),"""")
"),"")</f>
        <v/>
      </c>
      <c r="H731" s="3"/>
      <c r="I731" s="3" t="str">
        <f aca="false">IFERROR(__xludf.dummyfunction("if($T731&lt;&gt;"""",REGEXEXTRACT(SUBSTITUTE ($T731,I$1&amp;"" CE"",""""), I$1&amp;""[\w &amp;]*, (\d+\.\d+)""),"""")
"),"")</f>
        <v/>
      </c>
      <c r="J731" s="3" t="str">
        <f aca="false">IFERROR(__xludf.dummyfunction("if($T731&lt;&gt;"""",REGEXEXTRACT($T731, J$1&amp;""[\w &amp;]*, (\d+\.\d+)""),"""")
"),"")</f>
        <v/>
      </c>
      <c r="K731" s="3"/>
      <c r="L731" s="3" t="str">
        <f aca="false">IFERROR(__xludf.dummyfunction("if($T731&lt;&gt;"""",REGEXEXTRACT(SUBSTITUTE ($T731,L$1&amp;"" CE"",""""), L$1&amp;""[\w &amp;]*, (\d+\.\d+)""),"""")
"),"")</f>
        <v/>
      </c>
      <c r="M731" s="3" t="str">
        <f aca="false">IFERROR(__xludf.dummyfunction("if($T731&lt;&gt;"""",REGEXEXTRACT($T731, M$1&amp;""[\w &amp;]*, (\d+\.\d+)""),"""")
"),"")</f>
        <v/>
      </c>
      <c r="N731" s="3" t="str">
        <f aca="false">IFERROR(__xludf.dummyfunction("if($T731&lt;&gt;"""",REGEXEXTRACT(SUBSTITUTE ($T731,N$1&amp;"" CE"",""""), N$1&amp;""[\w &amp;]*, (\d+\.\d+)""),"""")
"),"")</f>
        <v/>
      </c>
      <c r="O731" s="3" t="str">
        <f aca="false">IFERROR(__xludf.dummyfunction("if($T731&lt;&gt;"""",REGEXEXTRACT($T731, O$1&amp;""[\w &amp;]*, (\d+\.\d+)""),"""")
"),"")</f>
        <v/>
      </c>
      <c r="P731" s="2"/>
      <c r="Q731" s="2"/>
      <c r="R731" s="2"/>
      <c r="S731" s="2"/>
      <c r="T731" s="5"/>
    </row>
    <row r="732" customFormat="false" ht="15.75" hidden="false" customHeight="false" outlineLevel="0" collapsed="false">
      <c r="A732" s="4"/>
      <c r="B732" s="2"/>
      <c r="C732" s="2"/>
      <c r="D732" s="2"/>
      <c r="E732" s="2"/>
      <c r="F732" s="3" t="str">
        <f aca="false">IFERROR(__xludf.dummyfunction("if($T732&lt;&gt;"""",REGEXEXTRACT(SUBSTITUTE ($T732,F$1&amp;"" CE"",""""), F$1&amp;""[\w &amp;]*, (\d+\.\d+)""),"""")
"),"")</f>
        <v/>
      </c>
      <c r="G732" s="3" t="str">
        <f aca="false">IFERROR(__xludf.dummyfunction("if($T732&lt;&gt;"""",REGEXEXTRACT($T732, G$1&amp;""[\w &amp;]*, (\d+\.\d+)""),"""")
"),"")</f>
        <v/>
      </c>
      <c r="H732" s="3"/>
      <c r="I732" s="3" t="str">
        <f aca="false">IFERROR(__xludf.dummyfunction("if($T732&lt;&gt;"""",REGEXEXTRACT(SUBSTITUTE ($T732,I$1&amp;"" CE"",""""), I$1&amp;""[\w &amp;]*, (\d+\.\d+)""),"""")
"),"")</f>
        <v/>
      </c>
      <c r="J732" s="3" t="str">
        <f aca="false">IFERROR(__xludf.dummyfunction("if($T732&lt;&gt;"""",REGEXEXTRACT($T732, J$1&amp;""[\w &amp;]*, (\d+\.\d+)""),"""")
"),"")</f>
        <v/>
      </c>
      <c r="K732" s="3"/>
      <c r="L732" s="3" t="str">
        <f aca="false">IFERROR(__xludf.dummyfunction("if($T732&lt;&gt;"""",REGEXEXTRACT(SUBSTITUTE ($T732,L$1&amp;"" CE"",""""), L$1&amp;""[\w &amp;]*, (\d+\.\d+)""),"""")
"),"")</f>
        <v/>
      </c>
      <c r="M732" s="3" t="str">
        <f aca="false">IFERROR(__xludf.dummyfunction("if($T732&lt;&gt;"""",REGEXEXTRACT($T732, M$1&amp;""[\w &amp;]*, (\d+\.\d+)""),"""")
"),"")</f>
        <v/>
      </c>
      <c r="N732" s="3" t="str">
        <f aca="false">IFERROR(__xludf.dummyfunction("if($T732&lt;&gt;"""",REGEXEXTRACT(SUBSTITUTE ($T732,N$1&amp;"" CE"",""""), N$1&amp;""[\w &amp;]*, (\d+\.\d+)""),"""")
"),"")</f>
        <v/>
      </c>
      <c r="O732" s="3" t="str">
        <f aca="false">IFERROR(__xludf.dummyfunction("if($T732&lt;&gt;"""",REGEXEXTRACT($T732, O$1&amp;""[\w &amp;]*, (\d+\.\d+)""),"""")
"),"")</f>
        <v/>
      </c>
      <c r="P732" s="2"/>
      <c r="Q732" s="2"/>
      <c r="R732" s="2"/>
      <c r="S732" s="2"/>
      <c r="T732" s="5"/>
    </row>
    <row r="733" customFormat="false" ht="15.75" hidden="false" customHeight="false" outlineLevel="0" collapsed="false">
      <c r="A733" s="4"/>
      <c r="B733" s="2"/>
      <c r="C733" s="2"/>
      <c r="D733" s="2"/>
      <c r="E733" s="2"/>
      <c r="F733" s="3" t="str">
        <f aca="false">IFERROR(__xludf.dummyfunction("if($T733&lt;&gt;"""",REGEXEXTRACT(SUBSTITUTE ($T733,F$1&amp;"" CE"",""""), F$1&amp;""[\w &amp;]*, (\d+\.\d+)""),"""")
"),"")</f>
        <v/>
      </c>
      <c r="G733" s="3" t="str">
        <f aca="false">IFERROR(__xludf.dummyfunction("if($T733&lt;&gt;"""",REGEXEXTRACT($T733, G$1&amp;""[\w &amp;]*, (\d+\.\d+)""),"""")
"),"")</f>
        <v/>
      </c>
      <c r="H733" s="3"/>
      <c r="I733" s="3" t="str">
        <f aca="false">IFERROR(__xludf.dummyfunction("if($T733&lt;&gt;"""",REGEXEXTRACT(SUBSTITUTE ($T733,I$1&amp;"" CE"",""""), I$1&amp;""[\w &amp;]*, (\d+\.\d+)""),"""")
"),"")</f>
        <v/>
      </c>
      <c r="J733" s="3" t="str">
        <f aca="false">IFERROR(__xludf.dummyfunction("if($T733&lt;&gt;"""",REGEXEXTRACT($T733, J$1&amp;""[\w &amp;]*, (\d+\.\d+)""),"""")
"),"")</f>
        <v/>
      </c>
      <c r="K733" s="3"/>
      <c r="L733" s="3" t="str">
        <f aca="false">IFERROR(__xludf.dummyfunction("if($T733&lt;&gt;"""",REGEXEXTRACT(SUBSTITUTE ($T733,L$1&amp;"" CE"",""""), L$1&amp;""[\w &amp;]*, (\d+\.\d+)""),"""")
"),"")</f>
        <v/>
      </c>
      <c r="M733" s="3" t="str">
        <f aca="false">IFERROR(__xludf.dummyfunction("if($T733&lt;&gt;"""",REGEXEXTRACT($T733, M$1&amp;""[\w &amp;]*, (\d+\.\d+)""),"""")
"),"")</f>
        <v/>
      </c>
      <c r="N733" s="3" t="str">
        <f aca="false">IFERROR(__xludf.dummyfunction("if($T733&lt;&gt;"""",REGEXEXTRACT(SUBSTITUTE ($T733,N$1&amp;"" CE"",""""), N$1&amp;""[\w &amp;]*, (\d+\.\d+)""),"""")
"),"")</f>
        <v/>
      </c>
      <c r="O733" s="3" t="str">
        <f aca="false">IFERROR(__xludf.dummyfunction("if($T733&lt;&gt;"""",REGEXEXTRACT($T733, O$1&amp;""[\w &amp;]*, (\d+\.\d+)""),"""")
"),"")</f>
        <v/>
      </c>
      <c r="P733" s="2"/>
      <c r="Q733" s="2"/>
      <c r="R733" s="2"/>
      <c r="S733" s="2"/>
      <c r="T733" s="5"/>
    </row>
    <row r="734" customFormat="false" ht="15.75" hidden="false" customHeight="false" outlineLevel="0" collapsed="false">
      <c r="A734" s="4"/>
      <c r="B734" s="2"/>
      <c r="C734" s="2"/>
      <c r="D734" s="2"/>
      <c r="E734" s="2"/>
      <c r="F734" s="3" t="str">
        <f aca="false">IFERROR(__xludf.dummyfunction("if($T734&lt;&gt;"""",REGEXEXTRACT(SUBSTITUTE ($T734,F$1&amp;"" CE"",""""), F$1&amp;""[\w &amp;]*, (\d+\.\d+)""),"""")
"),"")</f>
        <v/>
      </c>
      <c r="G734" s="3" t="str">
        <f aca="false">IFERROR(__xludf.dummyfunction("if($T734&lt;&gt;"""",REGEXEXTRACT($T734, G$1&amp;""[\w &amp;]*, (\d+\.\d+)""),"""")
"),"")</f>
        <v/>
      </c>
      <c r="H734" s="3"/>
      <c r="I734" s="3" t="str">
        <f aca="false">IFERROR(__xludf.dummyfunction("if($T734&lt;&gt;"""",REGEXEXTRACT(SUBSTITUTE ($T734,I$1&amp;"" CE"",""""), I$1&amp;""[\w &amp;]*, (\d+\.\d+)""),"""")
"),"")</f>
        <v/>
      </c>
      <c r="J734" s="3" t="str">
        <f aca="false">IFERROR(__xludf.dummyfunction("if($T734&lt;&gt;"""",REGEXEXTRACT($T734, J$1&amp;""[\w &amp;]*, (\d+\.\d+)""),"""")
"),"")</f>
        <v/>
      </c>
      <c r="K734" s="3"/>
      <c r="L734" s="3" t="str">
        <f aca="false">IFERROR(__xludf.dummyfunction("if($T734&lt;&gt;"""",REGEXEXTRACT(SUBSTITUTE ($T734,L$1&amp;"" CE"",""""), L$1&amp;""[\w &amp;]*, (\d+\.\d+)""),"""")
"),"")</f>
        <v/>
      </c>
      <c r="M734" s="3" t="str">
        <f aca="false">IFERROR(__xludf.dummyfunction("if($T734&lt;&gt;"""",REGEXEXTRACT($T734, M$1&amp;""[\w &amp;]*, (\d+\.\d+)""),"""")
"),"")</f>
        <v/>
      </c>
      <c r="N734" s="3" t="str">
        <f aca="false">IFERROR(__xludf.dummyfunction("if($T734&lt;&gt;"""",REGEXEXTRACT(SUBSTITUTE ($T734,N$1&amp;"" CE"",""""), N$1&amp;""[\w &amp;]*, (\d+\.\d+)""),"""")
"),"")</f>
        <v/>
      </c>
      <c r="O734" s="3" t="str">
        <f aca="false">IFERROR(__xludf.dummyfunction("if($T734&lt;&gt;"""",REGEXEXTRACT($T734, O$1&amp;""[\w &amp;]*, (\d+\.\d+)""),"""")
"),"")</f>
        <v/>
      </c>
      <c r="P734" s="2"/>
      <c r="Q734" s="2"/>
      <c r="R734" s="2"/>
      <c r="S734" s="2"/>
      <c r="T734" s="5"/>
    </row>
    <row r="735" customFormat="false" ht="15.75" hidden="false" customHeight="false" outlineLevel="0" collapsed="false">
      <c r="A735" s="4"/>
      <c r="B735" s="2"/>
      <c r="C735" s="2"/>
      <c r="D735" s="2"/>
      <c r="E735" s="2"/>
      <c r="F735" s="3" t="str">
        <f aca="false">IFERROR(__xludf.dummyfunction("if($T735&lt;&gt;"""",REGEXEXTRACT(SUBSTITUTE ($T735,F$1&amp;"" CE"",""""), F$1&amp;""[\w &amp;]*, (\d+\.\d+)""),"""")
"),"")</f>
        <v/>
      </c>
      <c r="G735" s="3" t="str">
        <f aca="false">IFERROR(__xludf.dummyfunction("if($T735&lt;&gt;"""",REGEXEXTRACT($T735, G$1&amp;""[\w &amp;]*, (\d+\.\d+)""),"""")
"),"")</f>
        <v/>
      </c>
      <c r="H735" s="3"/>
      <c r="I735" s="3" t="str">
        <f aca="false">IFERROR(__xludf.dummyfunction("if($T735&lt;&gt;"""",REGEXEXTRACT(SUBSTITUTE ($T735,I$1&amp;"" CE"",""""), I$1&amp;""[\w &amp;]*, (\d+\.\d+)""),"""")
"),"")</f>
        <v/>
      </c>
      <c r="J735" s="3" t="str">
        <f aca="false">IFERROR(__xludf.dummyfunction("if($T735&lt;&gt;"""",REGEXEXTRACT($T735, J$1&amp;""[\w &amp;]*, (\d+\.\d+)""),"""")
"),"")</f>
        <v/>
      </c>
      <c r="K735" s="3"/>
      <c r="L735" s="3" t="str">
        <f aca="false">IFERROR(__xludf.dummyfunction("if($T735&lt;&gt;"""",REGEXEXTRACT(SUBSTITUTE ($T735,L$1&amp;"" CE"",""""), L$1&amp;""[\w &amp;]*, (\d+\.\d+)""),"""")
"),"")</f>
        <v/>
      </c>
      <c r="M735" s="3" t="str">
        <f aca="false">IFERROR(__xludf.dummyfunction("if($T735&lt;&gt;"""",REGEXEXTRACT($T735, M$1&amp;""[\w &amp;]*, (\d+\.\d+)""),"""")
"),"")</f>
        <v/>
      </c>
      <c r="N735" s="3" t="str">
        <f aca="false">IFERROR(__xludf.dummyfunction("if($T735&lt;&gt;"""",REGEXEXTRACT(SUBSTITUTE ($T735,N$1&amp;"" CE"",""""), N$1&amp;""[\w &amp;]*, (\d+\.\d+)""),"""")
"),"")</f>
        <v/>
      </c>
      <c r="O735" s="3" t="str">
        <f aca="false">IFERROR(__xludf.dummyfunction("if($T735&lt;&gt;"""",REGEXEXTRACT($T735, O$1&amp;""[\w &amp;]*, (\d+\.\d+)""),"""")
"),"")</f>
        <v/>
      </c>
      <c r="P735" s="2"/>
      <c r="Q735" s="2"/>
      <c r="R735" s="2"/>
      <c r="S735" s="2"/>
      <c r="T735" s="5"/>
    </row>
    <row r="736" customFormat="false" ht="15.75" hidden="false" customHeight="false" outlineLevel="0" collapsed="false">
      <c r="A736" s="4"/>
      <c r="B736" s="2"/>
      <c r="C736" s="2"/>
      <c r="D736" s="2"/>
      <c r="E736" s="2"/>
      <c r="F736" s="3" t="str">
        <f aca="false">IFERROR(__xludf.dummyfunction("if($T736&lt;&gt;"""",REGEXEXTRACT(SUBSTITUTE ($T736,F$1&amp;"" CE"",""""), F$1&amp;""[\w &amp;]*, (\d+\.\d+)""),"""")
"),"")</f>
        <v/>
      </c>
      <c r="G736" s="3" t="str">
        <f aca="false">IFERROR(__xludf.dummyfunction("if($T736&lt;&gt;"""",REGEXEXTRACT($T736, G$1&amp;""[\w &amp;]*, (\d+\.\d+)""),"""")
"),"")</f>
        <v/>
      </c>
      <c r="H736" s="3"/>
      <c r="I736" s="3" t="str">
        <f aca="false">IFERROR(__xludf.dummyfunction("if($T736&lt;&gt;"""",REGEXEXTRACT(SUBSTITUTE ($T736,I$1&amp;"" CE"",""""), I$1&amp;""[\w &amp;]*, (\d+\.\d+)""),"""")
"),"")</f>
        <v/>
      </c>
      <c r="J736" s="3" t="str">
        <f aca="false">IFERROR(__xludf.dummyfunction("if($T736&lt;&gt;"""",REGEXEXTRACT($T736, J$1&amp;""[\w &amp;]*, (\d+\.\d+)""),"""")
"),"")</f>
        <v/>
      </c>
      <c r="K736" s="3"/>
      <c r="L736" s="3" t="str">
        <f aca="false">IFERROR(__xludf.dummyfunction("if($T736&lt;&gt;"""",REGEXEXTRACT(SUBSTITUTE ($T736,L$1&amp;"" CE"",""""), L$1&amp;""[\w &amp;]*, (\d+\.\d+)""),"""")
"),"")</f>
        <v/>
      </c>
      <c r="M736" s="3" t="str">
        <f aca="false">IFERROR(__xludf.dummyfunction("if($T736&lt;&gt;"""",REGEXEXTRACT($T736, M$1&amp;""[\w &amp;]*, (\d+\.\d+)""),"""")
"),"")</f>
        <v/>
      </c>
      <c r="N736" s="3" t="str">
        <f aca="false">IFERROR(__xludf.dummyfunction("if($T736&lt;&gt;"""",REGEXEXTRACT(SUBSTITUTE ($T736,N$1&amp;"" CE"",""""), N$1&amp;""[\w &amp;]*, (\d+\.\d+)""),"""")
"),"")</f>
        <v/>
      </c>
      <c r="O736" s="3" t="str">
        <f aca="false">IFERROR(__xludf.dummyfunction("if($T736&lt;&gt;"""",REGEXEXTRACT($T736, O$1&amp;""[\w &amp;]*, (\d+\.\d+)""),"""")
"),"")</f>
        <v/>
      </c>
      <c r="P736" s="2"/>
      <c r="Q736" s="2"/>
      <c r="R736" s="2"/>
      <c r="S736" s="2"/>
      <c r="T736" s="5"/>
    </row>
    <row r="737" customFormat="false" ht="15.75" hidden="false" customHeight="false" outlineLevel="0" collapsed="false">
      <c r="A737" s="4"/>
      <c r="B737" s="2"/>
      <c r="C737" s="2"/>
      <c r="D737" s="2"/>
      <c r="E737" s="2"/>
      <c r="F737" s="3" t="str">
        <f aca="false">IFERROR(__xludf.dummyfunction("if($T737&lt;&gt;"""",REGEXEXTRACT(SUBSTITUTE ($T737,F$1&amp;"" CE"",""""), F$1&amp;""[\w &amp;]*, (\d+\.\d+)""),"""")
"),"")</f>
        <v/>
      </c>
      <c r="G737" s="3" t="str">
        <f aca="false">IFERROR(__xludf.dummyfunction("if($T737&lt;&gt;"""",REGEXEXTRACT($T737, G$1&amp;""[\w &amp;]*, (\d+\.\d+)""),"""")
"),"")</f>
        <v/>
      </c>
      <c r="H737" s="3"/>
      <c r="I737" s="3" t="str">
        <f aca="false">IFERROR(__xludf.dummyfunction("if($T737&lt;&gt;"""",REGEXEXTRACT(SUBSTITUTE ($T737,I$1&amp;"" CE"",""""), I$1&amp;""[\w &amp;]*, (\d+\.\d+)""),"""")
"),"")</f>
        <v/>
      </c>
      <c r="J737" s="3" t="str">
        <f aca="false">IFERROR(__xludf.dummyfunction("if($T737&lt;&gt;"""",REGEXEXTRACT($T737, J$1&amp;""[\w &amp;]*, (\d+\.\d+)""),"""")
"),"")</f>
        <v/>
      </c>
      <c r="K737" s="3"/>
      <c r="L737" s="3" t="str">
        <f aca="false">IFERROR(__xludf.dummyfunction("if($T737&lt;&gt;"""",REGEXEXTRACT(SUBSTITUTE ($T737,L$1&amp;"" CE"",""""), L$1&amp;""[\w &amp;]*, (\d+\.\d+)""),"""")
"),"")</f>
        <v/>
      </c>
      <c r="M737" s="3" t="str">
        <f aca="false">IFERROR(__xludf.dummyfunction("if($T737&lt;&gt;"""",REGEXEXTRACT($T737, M$1&amp;""[\w &amp;]*, (\d+\.\d+)""),"""")
"),"")</f>
        <v/>
      </c>
      <c r="N737" s="3" t="str">
        <f aca="false">IFERROR(__xludf.dummyfunction("if($T737&lt;&gt;"""",REGEXEXTRACT(SUBSTITUTE ($T737,N$1&amp;"" CE"",""""), N$1&amp;""[\w &amp;]*, (\d+\.\d+)""),"""")
"),"")</f>
        <v/>
      </c>
      <c r="O737" s="3" t="str">
        <f aca="false">IFERROR(__xludf.dummyfunction("if($T737&lt;&gt;"""",REGEXEXTRACT($T737, O$1&amp;""[\w &amp;]*, (\d+\.\d+)""),"""")
"),"")</f>
        <v/>
      </c>
      <c r="P737" s="2"/>
      <c r="Q737" s="2"/>
      <c r="R737" s="2"/>
      <c r="S737" s="2"/>
      <c r="T737" s="5"/>
    </row>
    <row r="738" customFormat="false" ht="15.75" hidden="false" customHeight="false" outlineLevel="0" collapsed="false">
      <c r="A738" s="4"/>
      <c r="B738" s="2"/>
      <c r="C738" s="2"/>
      <c r="D738" s="2"/>
      <c r="E738" s="2"/>
      <c r="F738" s="3" t="str">
        <f aca="false">IFERROR(__xludf.dummyfunction("if($T738&lt;&gt;"""",REGEXEXTRACT(SUBSTITUTE ($T738,F$1&amp;"" CE"",""""), F$1&amp;""[\w &amp;]*, (\d+\.\d+)""),"""")
"),"")</f>
        <v/>
      </c>
      <c r="G738" s="3" t="str">
        <f aca="false">IFERROR(__xludf.dummyfunction("if($T738&lt;&gt;"""",REGEXEXTRACT($T738, G$1&amp;""[\w &amp;]*, (\d+\.\d+)""),"""")
"),"")</f>
        <v/>
      </c>
      <c r="H738" s="3"/>
      <c r="I738" s="3" t="str">
        <f aca="false">IFERROR(__xludf.dummyfunction("if($T738&lt;&gt;"""",REGEXEXTRACT(SUBSTITUTE ($T738,I$1&amp;"" CE"",""""), I$1&amp;""[\w &amp;]*, (\d+\.\d+)""),"""")
"),"")</f>
        <v/>
      </c>
      <c r="J738" s="3" t="str">
        <f aca="false">IFERROR(__xludf.dummyfunction("if($T738&lt;&gt;"""",REGEXEXTRACT($T738, J$1&amp;""[\w &amp;]*, (\d+\.\d+)""),"""")
"),"")</f>
        <v/>
      </c>
      <c r="K738" s="3"/>
      <c r="L738" s="3" t="str">
        <f aca="false">IFERROR(__xludf.dummyfunction("if($T738&lt;&gt;"""",REGEXEXTRACT(SUBSTITUTE ($T738,L$1&amp;"" CE"",""""), L$1&amp;""[\w &amp;]*, (\d+\.\d+)""),"""")
"),"")</f>
        <v/>
      </c>
      <c r="M738" s="3" t="str">
        <f aca="false">IFERROR(__xludf.dummyfunction("if($T738&lt;&gt;"""",REGEXEXTRACT($T738, M$1&amp;""[\w &amp;]*, (\d+\.\d+)""),"""")
"),"")</f>
        <v/>
      </c>
      <c r="N738" s="3" t="str">
        <f aca="false">IFERROR(__xludf.dummyfunction("if($T738&lt;&gt;"""",REGEXEXTRACT(SUBSTITUTE ($T738,N$1&amp;"" CE"",""""), N$1&amp;""[\w &amp;]*, (\d+\.\d+)""),"""")
"),"")</f>
        <v/>
      </c>
      <c r="O738" s="3" t="str">
        <f aca="false">IFERROR(__xludf.dummyfunction("if($T738&lt;&gt;"""",REGEXEXTRACT($T738, O$1&amp;""[\w &amp;]*, (\d+\.\d+)""),"""")
"),"")</f>
        <v/>
      </c>
      <c r="P738" s="2"/>
      <c r="Q738" s="2"/>
      <c r="R738" s="2"/>
      <c r="S738" s="2"/>
      <c r="T738" s="5"/>
    </row>
    <row r="739" customFormat="false" ht="15.75" hidden="false" customHeight="false" outlineLevel="0" collapsed="false">
      <c r="A739" s="4"/>
      <c r="B739" s="2"/>
      <c r="C739" s="2"/>
      <c r="D739" s="2"/>
      <c r="E739" s="2"/>
      <c r="F739" s="3" t="str">
        <f aca="false">IFERROR(__xludf.dummyfunction("if($T739&lt;&gt;"""",REGEXEXTRACT(SUBSTITUTE ($T739,F$1&amp;"" CE"",""""), F$1&amp;""[\w &amp;]*, (\d+\.\d+)""),"""")
"),"")</f>
        <v/>
      </c>
      <c r="G739" s="3" t="str">
        <f aca="false">IFERROR(__xludf.dummyfunction("if($T739&lt;&gt;"""",REGEXEXTRACT($T739, G$1&amp;""[\w &amp;]*, (\d+\.\d+)""),"""")
"),"")</f>
        <v/>
      </c>
      <c r="H739" s="3"/>
      <c r="I739" s="3" t="str">
        <f aca="false">IFERROR(__xludf.dummyfunction("if($T739&lt;&gt;"""",REGEXEXTRACT(SUBSTITUTE ($T739,I$1&amp;"" CE"",""""), I$1&amp;""[\w &amp;]*, (\d+\.\d+)""),"""")
"),"")</f>
        <v/>
      </c>
      <c r="J739" s="3" t="str">
        <f aca="false">IFERROR(__xludf.dummyfunction("if($T739&lt;&gt;"""",REGEXEXTRACT($T739, J$1&amp;""[\w &amp;]*, (\d+\.\d+)""),"""")
"),"")</f>
        <v/>
      </c>
      <c r="K739" s="3"/>
      <c r="L739" s="3" t="str">
        <f aca="false">IFERROR(__xludf.dummyfunction("if($T739&lt;&gt;"""",REGEXEXTRACT(SUBSTITUTE ($T739,L$1&amp;"" CE"",""""), L$1&amp;""[\w &amp;]*, (\d+\.\d+)""),"""")
"),"")</f>
        <v/>
      </c>
      <c r="M739" s="3" t="str">
        <f aca="false">IFERROR(__xludf.dummyfunction("if($T739&lt;&gt;"""",REGEXEXTRACT($T739, M$1&amp;""[\w &amp;]*, (\d+\.\d+)""),"""")
"),"")</f>
        <v/>
      </c>
      <c r="N739" s="3" t="str">
        <f aca="false">IFERROR(__xludf.dummyfunction("if($T739&lt;&gt;"""",REGEXEXTRACT(SUBSTITUTE ($T739,N$1&amp;"" CE"",""""), N$1&amp;""[\w &amp;]*, (\d+\.\d+)""),"""")
"),"")</f>
        <v/>
      </c>
      <c r="O739" s="3" t="str">
        <f aca="false">IFERROR(__xludf.dummyfunction("if($T739&lt;&gt;"""",REGEXEXTRACT($T739, O$1&amp;""[\w &amp;]*, (\d+\.\d+)""),"""")
"),"")</f>
        <v/>
      </c>
      <c r="P739" s="2"/>
      <c r="Q739" s="2"/>
      <c r="R739" s="2"/>
      <c r="S739" s="2"/>
      <c r="T739" s="5"/>
    </row>
    <row r="740" customFormat="false" ht="15.75" hidden="false" customHeight="false" outlineLevel="0" collapsed="false">
      <c r="A740" s="4"/>
      <c r="B740" s="2"/>
      <c r="C740" s="2"/>
      <c r="D740" s="2"/>
      <c r="E740" s="2"/>
      <c r="F740" s="3" t="str">
        <f aca="false">IFERROR(__xludf.dummyfunction("if($T740&lt;&gt;"""",REGEXEXTRACT(SUBSTITUTE ($T740,F$1&amp;"" CE"",""""), F$1&amp;""[\w &amp;]*, (\d+\.\d+)""),"""")
"),"")</f>
        <v/>
      </c>
      <c r="G740" s="3" t="str">
        <f aca="false">IFERROR(__xludf.dummyfunction("if($T740&lt;&gt;"""",REGEXEXTRACT($T740, G$1&amp;""[\w &amp;]*, (\d+\.\d+)""),"""")
"),"")</f>
        <v/>
      </c>
      <c r="H740" s="3"/>
      <c r="I740" s="3" t="str">
        <f aca="false">IFERROR(__xludf.dummyfunction("if($T740&lt;&gt;"""",REGEXEXTRACT(SUBSTITUTE ($T740,I$1&amp;"" CE"",""""), I$1&amp;""[\w &amp;]*, (\d+\.\d+)""),"""")
"),"")</f>
        <v/>
      </c>
      <c r="J740" s="3" t="str">
        <f aca="false">IFERROR(__xludf.dummyfunction("if($T740&lt;&gt;"""",REGEXEXTRACT($T740, J$1&amp;""[\w &amp;]*, (\d+\.\d+)""),"""")
"),"")</f>
        <v/>
      </c>
      <c r="K740" s="3"/>
      <c r="L740" s="3" t="str">
        <f aca="false">IFERROR(__xludf.dummyfunction("if($T740&lt;&gt;"""",REGEXEXTRACT(SUBSTITUTE ($T740,L$1&amp;"" CE"",""""), L$1&amp;""[\w &amp;]*, (\d+\.\d+)""),"""")
"),"")</f>
        <v/>
      </c>
      <c r="M740" s="3" t="str">
        <f aca="false">IFERROR(__xludf.dummyfunction("if($T740&lt;&gt;"""",REGEXEXTRACT($T740, M$1&amp;""[\w &amp;]*, (\d+\.\d+)""),"""")
"),"")</f>
        <v/>
      </c>
      <c r="N740" s="3" t="str">
        <f aca="false">IFERROR(__xludf.dummyfunction("if($T740&lt;&gt;"""",REGEXEXTRACT(SUBSTITUTE ($T740,N$1&amp;"" CE"",""""), N$1&amp;""[\w &amp;]*, (\d+\.\d+)""),"""")
"),"")</f>
        <v/>
      </c>
      <c r="O740" s="3" t="str">
        <f aca="false">IFERROR(__xludf.dummyfunction("if($T740&lt;&gt;"""",REGEXEXTRACT($T740, O$1&amp;""[\w &amp;]*, (\d+\.\d+)""),"""")
"),"")</f>
        <v/>
      </c>
      <c r="P740" s="2"/>
      <c r="Q740" s="2"/>
      <c r="R740" s="2"/>
      <c r="S740" s="2"/>
      <c r="T740" s="5"/>
    </row>
    <row r="741" customFormat="false" ht="15.75" hidden="false" customHeight="false" outlineLevel="0" collapsed="false">
      <c r="A741" s="4"/>
      <c r="B741" s="2"/>
      <c r="C741" s="2"/>
      <c r="D741" s="2"/>
      <c r="E741" s="2"/>
      <c r="F741" s="3" t="str">
        <f aca="false">IFERROR(__xludf.dummyfunction("if($T741&lt;&gt;"""",REGEXEXTRACT(SUBSTITUTE ($T741,F$1&amp;"" CE"",""""), F$1&amp;""[\w &amp;]*, (\d+\.\d+)""),"""")
"),"")</f>
        <v/>
      </c>
      <c r="G741" s="3" t="str">
        <f aca="false">IFERROR(__xludf.dummyfunction("if($T741&lt;&gt;"""",REGEXEXTRACT($T741, G$1&amp;""[\w &amp;]*, (\d+\.\d+)""),"""")
"),"")</f>
        <v/>
      </c>
      <c r="H741" s="3"/>
      <c r="I741" s="3" t="str">
        <f aca="false">IFERROR(__xludf.dummyfunction("if($T741&lt;&gt;"""",REGEXEXTRACT(SUBSTITUTE ($T741,I$1&amp;"" CE"",""""), I$1&amp;""[\w &amp;]*, (\d+\.\d+)""),"""")
"),"")</f>
        <v/>
      </c>
      <c r="J741" s="3" t="str">
        <f aca="false">IFERROR(__xludf.dummyfunction("if($T741&lt;&gt;"""",REGEXEXTRACT($T741, J$1&amp;""[\w &amp;]*, (\d+\.\d+)""),"""")
"),"")</f>
        <v/>
      </c>
      <c r="K741" s="3"/>
      <c r="L741" s="3" t="str">
        <f aca="false">IFERROR(__xludf.dummyfunction("if($T741&lt;&gt;"""",REGEXEXTRACT(SUBSTITUTE ($T741,L$1&amp;"" CE"",""""), L$1&amp;""[\w &amp;]*, (\d+\.\d+)""),"""")
"),"")</f>
        <v/>
      </c>
      <c r="M741" s="3" t="str">
        <f aca="false">IFERROR(__xludf.dummyfunction("if($T741&lt;&gt;"""",REGEXEXTRACT($T741, M$1&amp;""[\w &amp;]*, (\d+\.\d+)""),"""")
"),"")</f>
        <v/>
      </c>
      <c r="N741" s="3" t="str">
        <f aca="false">IFERROR(__xludf.dummyfunction("if($T741&lt;&gt;"""",REGEXEXTRACT(SUBSTITUTE ($T741,N$1&amp;"" CE"",""""), N$1&amp;""[\w &amp;]*, (\d+\.\d+)""),"""")
"),"")</f>
        <v/>
      </c>
      <c r="O741" s="3" t="str">
        <f aca="false">IFERROR(__xludf.dummyfunction("if($T741&lt;&gt;"""",REGEXEXTRACT($T741, O$1&amp;""[\w &amp;]*, (\d+\.\d+)""),"""")
"),"")</f>
        <v/>
      </c>
      <c r="P741" s="2"/>
      <c r="Q741" s="2"/>
      <c r="R741" s="2"/>
      <c r="S741" s="2"/>
      <c r="T741" s="5"/>
    </row>
    <row r="742" customFormat="false" ht="15.75" hidden="false" customHeight="false" outlineLevel="0" collapsed="false">
      <c r="A742" s="4"/>
      <c r="B742" s="2"/>
      <c r="C742" s="2"/>
      <c r="D742" s="2"/>
      <c r="E742" s="2"/>
      <c r="F742" s="3" t="str">
        <f aca="false">IFERROR(__xludf.dummyfunction("if($T742&lt;&gt;"""",REGEXEXTRACT(SUBSTITUTE ($T742,F$1&amp;"" CE"",""""), F$1&amp;""[\w &amp;]*, (\d+\.\d+)""),"""")
"),"")</f>
        <v/>
      </c>
      <c r="G742" s="3" t="str">
        <f aca="false">IFERROR(__xludf.dummyfunction("if($T742&lt;&gt;"""",REGEXEXTRACT($T742, G$1&amp;""[\w &amp;]*, (\d+\.\d+)""),"""")
"),"")</f>
        <v/>
      </c>
      <c r="H742" s="3"/>
      <c r="I742" s="3" t="str">
        <f aca="false">IFERROR(__xludf.dummyfunction("if($T742&lt;&gt;"""",REGEXEXTRACT(SUBSTITUTE ($T742,I$1&amp;"" CE"",""""), I$1&amp;""[\w &amp;]*, (\d+\.\d+)""),"""")
"),"")</f>
        <v/>
      </c>
      <c r="J742" s="3" t="str">
        <f aca="false">IFERROR(__xludf.dummyfunction("if($T742&lt;&gt;"""",REGEXEXTRACT($T742, J$1&amp;""[\w &amp;]*, (\d+\.\d+)""),"""")
"),"")</f>
        <v/>
      </c>
      <c r="K742" s="3"/>
      <c r="L742" s="3" t="str">
        <f aca="false">IFERROR(__xludf.dummyfunction("if($T742&lt;&gt;"""",REGEXEXTRACT(SUBSTITUTE ($T742,L$1&amp;"" CE"",""""), L$1&amp;""[\w &amp;]*, (\d+\.\d+)""),"""")
"),"")</f>
        <v/>
      </c>
      <c r="M742" s="3" t="str">
        <f aca="false">IFERROR(__xludf.dummyfunction("if($T742&lt;&gt;"""",REGEXEXTRACT($T742, M$1&amp;""[\w &amp;]*, (\d+\.\d+)""),"""")
"),"")</f>
        <v/>
      </c>
      <c r="N742" s="3" t="str">
        <f aca="false">IFERROR(__xludf.dummyfunction("if($T742&lt;&gt;"""",REGEXEXTRACT(SUBSTITUTE ($T742,N$1&amp;"" CE"",""""), N$1&amp;""[\w &amp;]*, (\d+\.\d+)""),"""")
"),"")</f>
        <v/>
      </c>
      <c r="O742" s="3" t="str">
        <f aca="false">IFERROR(__xludf.dummyfunction("if($T742&lt;&gt;"""",REGEXEXTRACT($T742, O$1&amp;""[\w &amp;]*, (\d+\.\d+)""),"""")
"),"")</f>
        <v/>
      </c>
      <c r="P742" s="2"/>
      <c r="Q742" s="2"/>
      <c r="R742" s="2"/>
      <c r="S742" s="2"/>
      <c r="T742" s="5"/>
    </row>
    <row r="743" customFormat="false" ht="15.75" hidden="false" customHeight="false" outlineLevel="0" collapsed="false">
      <c r="A743" s="4"/>
      <c r="B743" s="2"/>
      <c r="C743" s="2"/>
      <c r="D743" s="2"/>
      <c r="E743" s="2"/>
      <c r="F743" s="3" t="str">
        <f aca="false">IFERROR(__xludf.dummyfunction("if($T743&lt;&gt;"""",REGEXEXTRACT(SUBSTITUTE ($T743,F$1&amp;"" CE"",""""), F$1&amp;""[\w &amp;]*, (\d+\.\d+)""),"""")
"),"")</f>
        <v/>
      </c>
      <c r="G743" s="3" t="str">
        <f aca="false">IFERROR(__xludf.dummyfunction("if($T743&lt;&gt;"""",REGEXEXTRACT($T743, G$1&amp;""[\w &amp;]*, (\d+\.\d+)""),"""")
"),"")</f>
        <v/>
      </c>
      <c r="H743" s="3"/>
      <c r="I743" s="3" t="str">
        <f aca="false">IFERROR(__xludf.dummyfunction("if($T743&lt;&gt;"""",REGEXEXTRACT(SUBSTITUTE ($T743,I$1&amp;"" CE"",""""), I$1&amp;""[\w &amp;]*, (\d+\.\d+)""),"""")
"),"")</f>
        <v/>
      </c>
      <c r="J743" s="3" t="str">
        <f aca="false">IFERROR(__xludf.dummyfunction("if($T743&lt;&gt;"""",REGEXEXTRACT($T743, J$1&amp;""[\w &amp;]*, (\d+\.\d+)""),"""")
"),"")</f>
        <v/>
      </c>
      <c r="K743" s="3"/>
      <c r="L743" s="3" t="str">
        <f aca="false">IFERROR(__xludf.dummyfunction("if($T743&lt;&gt;"""",REGEXEXTRACT(SUBSTITUTE ($T743,L$1&amp;"" CE"",""""), L$1&amp;""[\w &amp;]*, (\d+\.\d+)""),"""")
"),"")</f>
        <v/>
      </c>
      <c r="M743" s="3" t="str">
        <f aca="false">IFERROR(__xludf.dummyfunction("if($T743&lt;&gt;"""",REGEXEXTRACT($T743, M$1&amp;""[\w &amp;]*, (\d+\.\d+)""),"""")
"),"")</f>
        <v/>
      </c>
      <c r="N743" s="3" t="str">
        <f aca="false">IFERROR(__xludf.dummyfunction("if($T743&lt;&gt;"""",REGEXEXTRACT(SUBSTITUTE ($T743,N$1&amp;"" CE"",""""), N$1&amp;""[\w &amp;]*, (\d+\.\d+)""),"""")
"),"")</f>
        <v/>
      </c>
      <c r="O743" s="3" t="str">
        <f aca="false">IFERROR(__xludf.dummyfunction("if($T743&lt;&gt;"""",REGEXEXTRACT($T743, O$1&amp;""[\w &amp;]*, (\d+\.\d+)""),"""")
"),"")</f>
        <v/>
      </c>
      <c r="P743" s="2"/>
      <c r="Q743" s="2"/>
      <c r="R743" s="2"/>
      <c r="S743" s="2"/>
      <c r="T743" s="5"/>
    </row>
    <row r="744" customFormat="false" ht="15.75" hidden="false" customHeight="false" outlineLevel="0" collapsed="false">
      <c r="A744" s="4"/>
      <c r="B744" s="2"/>
      <c r="C744" s="2"/>
      <c r="D744" s="2"/>
      <c r="E744" s="2"/>
      <c r="F744" s="3" t="str">
        <f aca="false">IFERROR(__xludf.dummyfunction("if($T744&lt;&gt;"""",REGEXEXTRACT(SUBSTITUTE ($T744,F$1&amp;"" CE"",""""), F$1&amp;""[\w &amp;]*, (\d+\.\d+)""),"""")
"),"")</f>
        <v/>
      </c>
      <c r="G744" s="3" t="str">
        <f aca="false">IFERROR(__xludf.dummyfunction("if($T744&lt;&gt;"""",REGEXEXTRACT($T744, G$1&amp;""[\w &amp;]*, (\d+\.\d+)""),"""")
"),"")</f>
        <v/>
      </c>
      <c r="H744" s="3"/>
      <c r="I744" s="3" t="str">
        <f aca="false">IFERROR(__xludf.dummyfunction("if($T744&lt;&gt;"""",REGEXEXTRACT(SUBSTITUTE ($T744,I$1&amp;"" CE"",""""), I$1&amp;""[\w &amp;]*, (\d+\.\d+)""),"""")
"),"")</f>
        <v/>
      </c>
      <c r="J744" s="3" t="str">
        <f aca="false">IFERROR(__xludf.dummyfunction("if($T744&lt;&gt;"""",REGEXEXTRACT($T744, J$1&amp;""[\w &amp;]*, (\d+\.\d+)""),"""")
"),"")</f>
        <v/>
      </c>
      <c r="K744" s="3"/>
      <c r="L744" s="3" t="str">
        <f aca="false">IFERROR(__xludf.dummyfunction("if($T744&lt;&gt;"""",REGEXEXTRACT(SUBSTITUTE ($T744,L$1&amp;"" CE"",""""), L$1&amp;""[\w &amp;]*, (\d+\.\d+)""),"""")
"),"")</f>
        <v/>
      </c>
      <c r="M744" s="3" t="str">
        <f aca="false">IFERROR(__xludf.dummyfunction("if($T744&lt;&gt;"""",REGEXEXTRACT($T744, M$1&amp;""[\w &amp;]*, (\d+\.\d+)""),"""")
"),"")</f>
        <v/>
      </c>
      <c r="N744" s="3" t="str">
        <f aca="false">IFERROR(__xludf.dummyfunction("if($T744&lt;&gt;"""",REGEXEXTRACT(SUBSTITUTE ($T744,N$1&amp;"" CE"",""""), N$1&amp;""[\w &amp;]*, (\d+\.\d+)""),"""")
"),"")</f>
        <v/>
      </c>
      <c r="O744" s="3" t="str">
        <f aca="false">IFERROR(__xludf.dummyfunction("if($T744&lt;&gt;"""",REGEXEXTRACT($T744, O$1&amp;""[\w &amp;]*, (\d+\.\d+)""),"""")
"),"")</f>
        <v/>
      </c>
      <c r="P744" s="2"/>
      <c r="Q744" s="2"/>
      <c r="R744" s="2"/>
      <c r="S744" s="2"/>
      <c r="T744" s="5"/>
    </row>
    <row r="745" customFormat="false" ht="15.75" hidden="false" customHeight="false" outlineLevel="0" collapsed="false">
      <c r="A745" s="4"/>
      <c r="B745" s="2"/>
      <c r="C745" s="2"/>
      <c r="D745" s="2"/>
      <c r="E745" s="2"/>
      <c r="F745" s="3" t="str">
        <f aca="false">IFERROR(__xludf.dummyfunction("if($T745&lt;&gt;"""",REGEXEXTRACT(SUBSTITUTE ($T745,F$1&amp;"" CE"",""""), F$1&amp;""[\w &amp;]*, (\d+\.\d+)""),"""")
"),"")</f>
        <v/>
      </c>
      <c r="G745" s="3" t="str">
        <f aca="false">IFERROR(__xludf.dummyfunction("if($T745&lt;&gt;"""",REGEXEXTRACT($T745, G$1&amp;""[\w &amp;]*, (\d+\.\d+)""),"""")
"),"")</f>
        <v/>
      </c>
      <c r="H745" s="3"/>
      <c r="I745" s="3" t="str">
        <f aca="false">IFERROR(__xludf.dummyfunction("if($T745&lt;&gt;"""",REGEXEXTRACT(SUBSTITUTE ($T745,I$1&amp;"" CE"",""""), I$1&amp;""[\w &amp;]*, (\d+\.\d+)""),"""")
"),"")</f>
        <v/>
      </c>
      <c r="J745" s="3" t="str">
        <f aca="false">IFERROR(__xludf.dummyfunction("if($T745&lt;&gt;"""",REGEXEXTRACT($T745, J$1&amp;""[\w &amp;]*, (\d+\.\d+)""),"""")
"),"")</f>
        <v/>
      </c>
      <c r="K745" s="3"/>
      <c r="L745" s="3" t="str">
        <f aca="false">IFERROR(__xludf.dummyfunction("if($T745&lt;&gt;"""",REGEXEXTRACT(SUBSTITUTE ($T745,L$1&amp;"" CE"",""""), L$1&amp;""[\w &amp;]*, (\d+\.\d+)""),"""")
"),"")</f>
        <v/>
      </c>
      <c r="M745" s="3" t="str">
        <f aca="false">IFERROR(__xludf.dummyfunction("if($T745&lt;&gt;"""",REGEXEXTRACT($T745, M$1&amp;""[\w &amp;]*, (\d+\.\d+)""),"""")
"),"")</f>
        <v/>
      </c>
      <c r="N745" s="3" t="str">
        <f aca="false">IFERROR(__xludf.dummyfunction("if($T745&lt;&gt;"""",REGEXEXTRACT(SUBSTITUTE ($T745,N$1&amp;"" CE"",""""), N$1&amp;""[\w &amp;]*, (\d+\.\d+)""),"""")
"),"")</f>
        <v/>
      </c>
      <c r="O745" s="3" t="str">
        <f aca="false">IFERROR(__xludf.dummyfunction("if($T745&lt;&gt;"""",REGEXEXTRACT($T745, O$1&amp;""[\w &amp;]*, (\d+\.\d+)""),"""")
"),"")</f>
        <v/>
      </c>
      <c r="P745" s="2"/>
      <c r="Q745" s="2"/>
      <c r="R745" s="2"/>
      <c r="S745" s="2"/>
      <c r="T745" s="5"/>
    </row>
    <row r="746" customFormat="false" ht="15.75" hidden="false" customHeight="false" outlineLevel="0" collapsed="false">
      <c r="A746" s="4"/>
      <c r="B746" s="2"/>
      <c r="C746" s="2"/>
      <c r="D746" s="2"/>
      <c r="E746" s="2"/>
      <c r="F746" s="3" t="str">
        <f aca="false">IFERROR(__xludf.dummyfunction("if($T746&lt;&gt;"""",REGEXEXTRACT(SUBSTITUTE ($T746,F$1&amp;"" CE"",""""), F$1&amp;""[\w &amp;]*, (\d+\.\d+)""),"""")
"),"")</f>
        <v/>
      </c>
      <c r="G746" s="3" t="str">
        <f aca="false">IFERROR(__xludf.dummyfunction("if($T746&lt;&gt;"""",REGEXEXTRACT($T746, G$1&amp;""[\w &amp;]*, (\d+\.\d+)""),"""")
"),"")</f>
        <v/>
      </c>
      <c r="H746" s="3"/>
      <c r="I746" s="3" t="str">
        <f aca="false">IFERROR(__xludf.dummyfunction("if($T746&lt;&gt;"""",REGEXEXTRACT(SUBSTITUTE ($T746,I$1&amp;"" CE"",""""), I$1&amp;""[\w &amp;]*, (\d+\.\d+)""),"""")
"),"")</f>
        <v/>
      </c>
      <c r="J746" s="3" t="str">
        <f aca="false">IFERROR(__xludf.dummyfunction("if($T746&lt;&gt;"""",REGEXEXTRACT($T746, J$1&amp;""[\w &amp;]*, (\d+\.\d+)""),"""")
"),"")</f>
        <v/>
      </c>
      <c r="K746" s="3"/>
      <c r="L746" s="3" t="str">
        <f aca="false">IFERROR(__xludf.dummyfunction("if($T746&lt;&gt;"""",REGEXEXTRACT(SUBSTITUTE ($T746,L$1&amp;"" CE"",""""), L$1&amp;""[\w &amp;]*, (\d+\.\d+)""),"""")
"),"")</f>
        <v/>
      </c>
      <c r="M746" s="3" t="str">
        <f aca="false">IFERROR(__xludf.dummyfunction("if($T746&lt;&gt;"""",REGEXEXTRACT($T746, M$1&amp;""[\w &amp;]*, (\d+\.\d+)""),"""")
"),"")</f>
        <v/>
      </c>
      <c r="N746" s="3" t="str">
        <f aca="false">IFERROR(__xludf.dummyfunction("if($T746&lt;&gt;"""",REGEXEXTRACT(SUBSTITUTE ($T746,N$1&amp;"" CE"",""""), N$1&amp;""[\w &amp;]*, (\d+\.\d+)""),"""")
"),"")</f>
        <v/>
      </c>
      <c r="O746" s="3" t="str">
        <f aca="false">IFERROR(__xludf.dummyfunction("if($T746&lt;&gt;"""",REGEXEXTRACT($T746, O$1&amp;""[\w &amp;]*, (\d+\.\d+)""),"""")
"),"")</f>
        <v/>
      </c>
      <c r="P746" s="2"/>
      <c r="Q746" s="2"/>
      <c r="R746" s="2"/>
      <c r="S746" s="2"/>
      <c r="T746" s="5"/>
    </row>
    <row r="747" customFormat="false" ht="15.75" hidden="false" customHeight="false" outlineLevel="0" collapsed="false">
      <c r="A747" s="4"/>
      <c r="B747" s="2"/>
      <c r="C747" s="2"/>
      <c r="D747" s="2"/>
      <c r="E747" s="2"/>
      <c r="F747" s="3" t="str">
        <f aca="false">IFERROR(__xludf.dummyfunction("if($T747&lt;&gt;"""",REGEXEXTRACT(SUBSTITUTE ($T747,F$1&amp;"" CE"",""""), F$1&amp;""[\w &amp;]*, (\d+\.\d+)""),"""")
"),"")</f>
        <v/>
      </c>
      <c r="G747" s="3" t="str">
        <f aca="false">IFERROR(__xludf.dummyfunction("if($T747&lt;&gt;"""",REGEXEXTRACT($T747, G$1&amp;""[\w &amp;]*, (\d+\.\d+)""),"""")
"),"")</f>
        <v/>
      </c>
      <c r="H747" s="3"/>
      <c r="I747" s="3" t="str">
        <f aca="false">IFERROR(__xludf.dummyfunction("if($T747&lt;&gt;"""",REGEXEXTRACT(SUBSTITUTE ($T747,I$1&amp;"" CE"",""""), I$1&amp;""[\w &amp;]*, (\d+\.\d+)""),"""")
"),"")</f>
        <v/>
      </c>
      <c r="J747" s="3" t="str">
        <f aca="false">IFERROR(__xludf.dummyfunction("if($T747&lt;&gt;"""",REGEXEXTRACT($T747, J$1&amp;""[\w &amp;]*, (\d+\.\d+)""),"""")
"),"")</f>
        <v/>
      </c>
      <c r="K747" s="3"/>
      <c r="L747" s="3" t="str">
        <f aca="false">IFERROR(__xludf.dummyfunction("if($T747&lt;&gt;"""",REGEXEXTRACT(SUBSTITUTE ($T747,L$1&amp;"" CE"",""""), L$1&amp;""[\w &amp;]*, (\d+\.\d+)""),"""")
"),"")</f>
        <v/>
      </c>
      <c r="M747" s="3" t="str">
        <f aca="false">IFERROR(__xludf.dummyfunction("if($T747&lt;&gt;"""",REGEXEXTRACT($T747, M$1&amp;""[\w &amp;]*, (\d+\.\d+)""),"""")
"),"")</f>
        <v/>
      </c>
      <c r="N747" s="3" t="str">
        <f aca="false">IFERROR(__xludf.dummyfunction("if($T747&lt;&gt;"""",REGEXEXTRACT(SUBSTITUTE ($T747,N$1&amp;"" CE"",""""), N$1&amp;""[\w &amp;]*, (\d+\.\d+)""),"""")
"),"")</f>
        <v/>
      </c>
      <c r="O747" s="3" t="str">
        <f aca="false">IFERROR(__xludf.dummyfunction("if($T747&lt;&gt;"""",REGEXEXTRACT($T747, O$1&amp;""[\w &amp;]*, (\d+\.\d+)""),"""")
"),"")</f>
        <v/>
      </c>
      <c r="P747" s="2"/>
      <c r="Q747" s="2"/>
      <c r="R747" s="2"/>
      <c r="S747" s="2"/>
      <c r="T747" s="5"/>
    </row>
    <row r="748" customFormat="false" ht="15.75" hidden="false" customHeight="false" outlineLevel="0" collapsed="false">
      <c r="A748" s="4"/>
      <c r="B748" s="2"/>
      <c r="C748" s="2"/>
      <c r="D748" s="2"/>
      <c r="E748" s="2"/>
      <c r="F748" s="3" t="str">
        <f aca="false">IFERROR(__xludf.dummyfunction("if($T748&lt;&gt;"""",REGEXEXTRACT(SUBSTITUTE ($T748,F$1&amp;"" CE"",""""), F$1&amp;""[\w &amp;]*, (\d+\.\d+)""),"""")
"),"")</f>
        <v/>
      </c>
      <c r="G748" s="3" t="str">
        <f aca="false">IFERROR(__xludf.dummyfunction("if($T748&lt;&gt;"""",REGEXEXTRACT($T748, G$1&amp;""[\w &amp;]*, (\d+\.\d+)""),"""")
"),"")</f>
        <v/>
      </c>
      <c r="H748" s="3"/>
      <c r="I748" s="3" t="str">
        <f aca="false">IFERROR(__xludf.dummyfunction("if($T748&lt;&gt;"""",REGEXEXTRACT(SUBSTITUTE ($T748,I$1&amp;"" CE"",""""), I$1&amp;""[\w &amp;]*, (\d+\.\d+)""),"""")
"),"")</f>
        <v/>
      </c>
      <c r="J748" s="3" t="str">
        <f aca="false">IFERROR(__xludf.dummyfunction("if($T748&lt;&gt;"""",REGEXEXTRACT($T748, J$1&amp;""[\w &amp;]*, (\d+\.\d+)""),"""")
"),"")</f>
        <v/>
      </c>
      <c r="K748" s="3"/>
      <c r="L748" s="3" t="str">
        <f aca="false">IFERROR(__xludf.dummyfunction("if($T748&lt;&gt;"""",REGEXEXTRACT(SUBSTITUTE ($T748,L$1&amp;"" CE"",""""), L$1&amp;""[\w &amp;]*, (\d+\.\d+)""),"""")
"),"")</f>
        <v/>
      </c>
      <c r="M748" s="3" t="str">
        <f aca="false">IFERROR(__xludf.dummyfunction("if($T748&lt;&gt;"""",REGEXEXTRACT($T748, M$1&amp;""[\w &amp;]*, (\d+\.\d+)""),"""")
"),"")</f>
        <v/>
      </c>
      <c r="N748" s="3" t="str">
        <f aca="false">IFERROR(__xludf.dummyfunction("if($T748&lt;&gt;"""",REGEXEXTRACT(SUBSTITUTE ($T748,N$1&amp;"" CE"",""""), N$1&amp;""[\w &amp;]*, (\d+\.\d+)""),"""")
"),"")</f>
        <v/>
      </c>
      <c r="O748" s="3" t="str">
        <f aca="false">IFERROR(__xludf.dummyfunction("if($T748&lt;&gt;"""",REGEXEXTRACT($T748, O$1&amp;""[\w &amp;]*, (\d+\.\d+)""),"""")
"),"")</f>
        <v/>
      </c>
      <c r="P748" s="2"/>
      <c r="Q748" s="2"/>
      <c r="R748" s="2"/>
      <c r="S748" s="2"/>
      <c r="T748" s="5"/>
    </row>
    <row r="749" customFormat="false" ht="15.75" hidden="false" customHeight="false" outlineLevel="0" collapsed="false">
      <c r="A749" s="4"/>
      <c r="B749" s="2"/>
      <c r="C749" s="2"/>
      <c r="D749" s="2"/>
      <c r="E749" s="2"/>
      <c r="F749" s="3" t="str">
        <f aca="false">IFERROR(__xludf.dummyfunction("if($T749&lt;&gt;"""",REGEXEXTRACT(SUBSTITUTE ($T749,F$1&amp;"" CE"",""""), F$1&amp;""[\w &amp;]*, (\d+\.\d+)""),"""")
"),"")</f>
        <v/>
      </c>
      <c r="G749" s="3" t="str">
        <f aca="false">IFERROR(__xludf.dummyfunction("if($T749&lt;&gt;"""",REGEXEXTRACT($T749, G$1&amp;""[\w &amp;]*, (\d+\.\d+)""),"""")
"),"")</f>
        <v/>
      </c>
      <c r="H749" s="3"/>
      <c r="I749" s="3" t="str">
        <f aca="false">IFERROR(__xludf.dummyfunction("if($T749&lt;&gt;"""",REGEXEXTRACT(SUBSTITUTE ($T749,I$1&amp;"" CE"",""""), I$1&amp;""[\w &amp;]*, (\d+\.\d+)""),"""")
"),"")</f>
        <v/>
      </c>
      <c r="J749" s="3" t="str">
        <f aca="false">IFERROR(__xludf.dummyfunction("if($T749&lt;&gt;"""",REGEXEXTRACT($T749, J$1&amp;""[\w &amp;]*, (\d+\.\d+)""),"""")
"),"")</f>
        <v/>
      </c>
      <c r="K749" s="3"/>
      <c r="L749" s="3" t="str">
        <f aca="false">IFERROR(__xludf.dummyfunction("if($T749&lt;&gt;"""",REGEXEXTRACT(SUBSTITUTE ($T749,L$1&amp;"" CE"",""""), L$1&amp;""[\w &amp;]*, (\d+\.\d+)""),"""")
"),"")</f>
        <v/>
      </c>
      <c r="M749" s="3" t="str">
        <f aca="false">IFERROR(__xludf.dummyfunction("if($T749&lt;&gt;"""",REGEXEXTRACT($T749, M$1&amp;""[\w &amp;]*, (\d+\.\d+)""),"""")
"),"")</f>
        <v/>
      </c>
      <c r="N749" s="3" t="str">
        <f aca="false">IFERROR(__xludf.dummyfunction("if($T749&lt;&gt;"""",REGEXEXTRACT(SUBSTITUTE ($T749,N$1&amp;"" CE"",""""), N$1&amp;""[\w &amp;]*, (\d+\.\d+)""),"""")
"),"")</f>
        <v/>
      </c>
      <c r="O749" s="3" t="str">
        <f aca="false">IFERROR(__xludf.dummyfunction("if($T749&lt;&gt;"""",REGEXEXTRACT($T749, O$1&amp;""[\w &amp;]*, (\d+\.\d+)""),"""")
"),"")</f>
        <v/>
      </c>
      <c r="P749" s="2"/>
      <c r="Q749" s="2"/>
      <c r="R749" s="2"/>
      <c r="S749" s="2"/>
      <c r="T749" s="5"/>
    </row>
    <row r="750" customFormat="false" ht="15.75" hidden="false" customHeight="false" outlineLevel="0" collapsed="false">
      <c r="A750" s="4"/>
      <c r="B750" s="2"/>
      <c r="C750" s="2"/>
      <c r="D750" s="2"/>
      <c r="E750" s="2"/>
      <c r="F750" s="3" t="str">
        <f aca="false">IFERROR(__xludf.dummyfunction("if($T750&lt;&gt;"""",REGEXEXTRACT(SUBSTITUTE ($T750,F$1&amp;"" CE"",""""), F$1&amp;""[\w &amp;]*, (\d+\.\d+)""),"""")
"),"")</f>
        <v/>
      </c>
      <c r="G750" s="3" t="str">
        <f aca="false">IFERROR(__xludf.dummyfunction("if($T750&lt;&gt;"""",REGEXEXTRACT($T750, G$1&amp;""[\w &amp;]*, (\d+\.\d+)""),"""")
"),"")</f>
        <v/>
      </c>
      <c r="H750" s="3"/>
      <c r="I750" s="3" t="str">
        <f aca="false">IFERROR(__xludf.dummyfunction("if($T750&lt;&gt;"""",REGEXEXTRACT(SUBSTITUTE ($T750,I$1&amp;"" CE"",""""), I$1&amp;""[\w &amp;]*, (\d+\.\d+)""),"""")
"),"")</f>
        <v/>
      </c>
      <c r="J750" s="3" t="str">
        <f aca="false">IFERROR(__xludf.dummyfunction("if($T750&lt;&gt;"""",REGEXEXTRACT($T750, J$1&amp;""[\w &amp;]*, (\d+\.\d+)""),"""")
"),"")</f>
        <v/>
      </c>
      <c r="K750" s="3"/>
      <c r="L750" s="3" t="str">
        <f aca="false">IFERROR(__xludf.dummyfunction("if($T750&lt;&gt;"""",REGEXEXTRACT(SUBSTITUTE ($T750,L$1&amp;"" CE"",""""), L$1&amp;""[\w &amp;]*, (\d+\.\d+)""),"""")
"),"")</f>
        <v/>
      </c>
      <c r="M750" s="3" t="str">
        <f aca="false">IFERROR(__xludf.dummyfunction("if($T750&lt;&gt;"""",REGEXEXTRACT($T750, M$1&amp;""[\w &amp;]*, (\d+\.\d+)""),"""")
"),"")</f>
        <v/>
      </c>
      <c r="N750" s="3" t="str">
        <f aca="false">IFERROR(__xludf.dummyfunction("if($T750&lt;&gt;"""",REGEXEXTRACT(SUBSTITUTE ($T750,N$1&amp;"" CE"",""""), N$1&amp;""[\w &amp;]*, (\d+\.\d+)""),"""")
"),"")</f>
        <v/>
      </c>
      <c r="O750" s="3" t="str">
        <f aca="false">IFERROR(__xludf.dummyfunction("if($T750&lt;&gt;"""",REGEXEXTRACT($T750, O$1&amp;""[\w &amp;]*, (\d+\.\d+)""),"""")
"),"")</f>
        <v/>
      </c>
      <c r="P750" s="2"/>
      <c r="Q750" s="2"/>
      <c r="R750" s="2"/>
      <c r="S750" s="2"/>
      <c r="T750" s="5"/>
    </row>
    <row r="751" customFormat="false" ht="15.75" hidden="false" customHeight="false" outlineLevel="0" collapsed="false">
      <c r="A751" s="4"/>
      <c r="B751" s="2"/>
      <c r="C751" s="2"/>
      <c r="D751" s="2"/>
      <c r="E751" s="2"/>
      <c r="F751" s="3" t="str">
        <f aca="false">IFERROR(__xludf.dummyfunction("if($T751&lt;&gt;"""",REGEXEXTRACT(SUBSTITUTE ($T751,F$1&amp;"" CE"",""""), F$1&amp;""[\w &amp;]*, (\d+\.\d+)""),"""")
"),"")</f>
        <v/>
      </c>
      <c r="G751" s="3" t="str">
        <f aca="false">IFERROR(__xludf.dummyfunction("if($T751&lt;&gt;"""",REGEXEXTRACT($T751, G$1&amp;""[\w &amp;]*, (\d+\.\d+)""),"""")
"),"")</f>
        <v/>
      </c>
      <c r="H751" s="3"/>
      <c r="I751" s="3" t="str">
        <f aca="false">IFERROR(__xludf.dummyfunction("if($T751&lt;&gt;"""",REGEXEXTRACT(SUBSTITUTE ($T751,I$1&amp;"" CE"",""""), I$1&amp;""[\w &amp;]*, (\d+\.\d+)""),"""")
"),"")</f>
        <v/>
      </c>
      <c r="J751" s="3" t="str">
        <f aca="false">IFERROR(__xludf.dummyfunction("if($T751&lt;&gt;"""",REGEXEXTRACT($T751, J$1&amp;""[\w &amp;]*, (\d+\.\d+)""),"""")
"),"")</f>
        <v/>
      </c>
      <c r="K751" s="3"/>
      <c r="L751" s="3" t="str">
        <f aca="false">IFERROR(__xludf.dummyfunction("if($T751&lt;&gt;"""",REGEXEXTRACT(SUBSTITUTE ($T751,L$1&amp;"" CE"",""""), L$1&amp;""[\w &amp;]*, (\d+\.\d+)""),"""")
"),"")</f>
        <v/>
      </c>
      <c r="M751" s="3" t="str">
        <f aca="false">IFERROR(__xludf.dummyfunction("if($T751&lt;&gt;"""",REGEXEXTRACT($T751, M$1&amp;""[\w &amp;]*, (\d+\.\d+)""),"""")
"),"")</f>
        <v/>
      </c>
      <c r="N751" s="3" t="str">
        <f aca="false">IFERROR(__xludf.dummyfunction("if($T751&lt;&gt;"""",REGEXEXTRACT(SUBSTITUTE ($T751,N$1&amp;"" CE"",""""), N$1&amp;""[\w &amp;]*, (\d+\.\d+)""),"""")
"),"")</f>
        <v/>
      </c>
      <c r="O751" s="3" t="str">
        <f aca="false">IFERROR(__xludf.dummyfunction("if($T751&lt;&gt;"""",REGEXEXTRACT($T751, O$1&amp;""[\w &amp;]*, (\d+\.\d+)""),"""")
"),"")</f>
        <v/>
      </c>
      <c r="P751" s="2"/>
      <c r="Q751" s="2"/>
      <c r="R751" s="2"/>
      <c r="S751" s="2"/>
      <c r="T751" s="5"/>
    </row>
    <row r="752" customFormat="false" ht="15.75" hidden="false" customHeight="false" outlineLevel="0" collapsed="false">
      <c r="A752" s="4"/>
      <c r="B752" s="2"/>
      <c r="C752" s="2"/>
      <c r="D752" s="2"/>
      <c r="E752" s="2"/>
      <c r="F752" s="3" t="str">
        <f aca="false">IFERROR(__xludf.dummyfunction("if($T752&lt;&gt;"""",REGEXEXTRACT(SUBSTITUTE ($T752,F$1&amp;"" CE"",""""), F$1&amp;""[\w &amp;]*, (\d+\.\d+)""),"""")
"),"")</f>
        <v/>
      </c>
      <c r="G752" s="3" t="str">
        <f aca="false">IFERROR(__xludf.dummyfunction("if($T752&lt;&gt;"""",REGEXEXTRACT($T752, G$1&amp;""[\w &amp;]*, (\d+\.\d+)""),"""")
"),"")</f>
        <v/>
      </c>
      <c r="H752" s="3"/>
      <c r="I752" s="3" t="str">
        <f aca="false">IFERROR(__xludf.dummyfunction("if($T752&lt;&gt;"""",REGEXEXTRACT(SUBSTITUTE ($T752,I$1&amp;"" CE"",""""), I$1&amp;""[\w &amp;]*, (\d+\.\d+)""),"""")
"),"")</f>
        <v/>
      </c>
      <c r="J752" s="3" t="str">
        <f aca="false">IFERROR(__xludf.dummyfunction("if($T752&lt;&gt;"""",REGEXEXTRACT($T752, J$1&amp;""[\w &amp;]*, (\d+\.\d+)""),"""")
"),"")</f>
        <v/>
      </c>
      <c r="K752" s="3"/>
      <c r="L752" s="3" t="str">
        <f aca="false">IFERROR(__xludf.dummyfunction("if($T752&lt;&gt;"""",REGEXEXTRACT(SUBSTITUTE ($T752,L$1&amp;"" CE"",""""), L$1&amp;""[\w &amp;]*, (\d+\.\d+)""),"""")
"),"")</f>
        <v/>
      </c>
      <c r="M752" s="3" t="str">
        <f aca="false">IFERROR(__xludf.dummyfunction("if($T752&lt;&gt;"""",REGEXEXTRACT($T752, M$1&amp;""[\w &amp;]*, (\d+\.\d+)""),"""")
"),"")</f>
        <v/>
      </c>
      <c r="N752" s="3" t="str">
        <f aca="false">IFERROR(__xludf.dummyfunction("if($T752&lt;&gt;"""",REGEXEXTRACT(SUBSTITUTE ($T752,N$1&amp;"" CE"",""""), N$1&amp;""[\w &amp;]*, (\d+\.\d+)""),"""")
"),"")</f>
        <v/>
      </c>
      <c r="O752" s="3" t="str">
        <f aca="false">IFERROR(__xludf.dummyfunction("if($T752&lt;&gt;"""",REGEXEXTRACT($T752, O$1&amp;""[\w &amp;]*, (\d+\.\d+)""),"""")
"),"")</f>
        <v/>
      </c>
      <c r="P752" s="2"/>
      <c r="Q752" s="2"/>
      <c r="R752" s="2"/>
      <c r="S752" s="2"/>
      <c r="T752" s="5"/>
    </row>
    <row r="753" customFormat="false" ht="15.75" hidden="false" customHeight="false" outlineLevel="0" collapsed="false">
      <c r="A753" s="4"/>
      <c r="B753" s="2"/>
      <c r="C753" s="2"/>
      <c r="D753" s="2"/>
      <c r="E753" s="2"/>
      <c r="F753" s="3" t="str">
        <f aca="false">IFERROR(__xludf.dummyfunction("if($T753&lt;&gt;"""",REGEXEXTRACT(SUBSTITUTE ($T753,F$1&amp;"" CE"",""""), F$1&amp;""[\w &amp;]*, (\d+\.\d+)""),"""")
"),"")</f>
        <v/>
      </c>
      <c r="G753" s="3" t="str">
        <f aca="false">IFERROR(__xludf.dummyfunction("if($T753&lt;&gt;"""",REGEXEXTRACT($T753, G$1&amp;""[\w &amp;]*, (\d+\.\d+)""),"""")
"),"")</f>
        <v/>
      </c>
      <c r="H753" s="3"/>
      <c r="I753" s="3" t="str">
        <f aca="false">IFERROR(__xludf.dummyfunction("if($T753&lt;&gt;"""",REGEXEXTRACT(SUBSTITUTE ($T753,I$1&amp;"" CE"",""""), I$1&amp;""[\w &amp;]*, (\d+\.\d+)""),"""")
"),"")</f>
        <v/>
      </c>
      <c r="J753" s="3" t="str">
        <f aca="false">IFERROR(__xludf.dummyfunction("if($T753&lt;&gt;"""",REGEXEXTRACT($T753, J$1&amp;""[\w &amp;]*, (\d+\.\d+)""),"""")
"),"")</f>
        <v/>
      </c>
      <c r="K753" s="3"/>
      <c r="L753" s="3" t="str">
        <f aca="false">IFERROR(__xludf.dummyfunction("if($T753&lt;&gt;"""",REGEXEXTRACT(SUBSTITUTE ($T753,L$1&amp;"" CE"",""""), L$1&amp;""[\w &amp;]*, (\d+\.\d+)""),"""")
"),"")</f>
        <v/>
      </c>
      <c r="M753" s="3" t="str">
        <f aca="false">IFERROR(__xludf.dummyfunction("if($T753&lt;&gt;"""",REGEXEXTRACT($T753, M$1&amp;""[\w &amp;]*, (\d+\.\d+)""),"""")
"),"")</f>
        <v/>
      </c>
      <c r="N753" s="3" t="str">
        <f aca="false">IFERROR(__xludf.dummyfunction("if($T753&lt;&gt;"""",REGEXEXTRACT(SUBSTITUTE ($T753,N$1&amp;"" CE"",""""), N$1&amp;""[\w &amp;]*, (\d+\.\d+)""),"""")
"),"")</f>
        <v/>
      </c>
      <c r="O753" s="3" t="str">
        <f aca="false">IFERROR(__xludf.dummyfunction("if($T753&lt;&gt;"""",REGEXEXTRACT($T753, O$1&amp;""[\w &amp;]*, (\d+\.\d+)""),"""")
"),"")</f>
        <v/>
      </c>
      <c r="P753" s="2"/>
      <c r="Q753" s="2"/>
      <c r="R753" s="2"/>
      <c r="S753" s="2"/>
      <c r="T753" s="5"/>
    </row>
    <row r="754" customFormat="false" ht="15.75" hidden="false" customHeight="false" outlineLevel="0" collapsed="false">
      <c r="A754" s="4"/>
      <c r="B754" s="2"/>
      <c r="C754" s="2"/>
      <c r="D754" s="2"/>
      <c r="E754" s="2"/>
      <c r="F754" s="3" t="str">
        <f aca="false">IFERROR(__xludf.dummyfunction("if($T754&lt;&gt;"""",REGEXEXTRACT(SUBSTITUTE ($T754,F$1&amp;"" CE"",""""), F$1&amp;""[\w &amp;]*, (\d+\.\d+)""),"""")
"),"")</f>
        <v/>
      </c>
      <c r="G754" s="3" t="str">
        <f aca="false">IFERROR(__xludf.dummyfunction("if($T754&lt;&gt;"""",REGEXEXTRACT($T754, G$1&amp;""[\w &amp;]*, (\d+\.\d+)""),"""")
"),"")</f>
        <v/>
      </c>
      <c r="H754" s="3"/>
      <c r="I754" s="3" t="str">
        <f aca="false">IFERROR(__xludf.dummyfunction("if($T754&lt;&gt;"""",REGEXEXTRACT(SUBSTITUTE ($T754,I$1&amp;"" CE"",""""), I$1&amp;""[\w &amp;]*, (\d+\.\d+)""),"""")
"),"")</f>
        <v/>
      </c>
      <c r="J754" s="3" t="str">
        <f aca="false">IFERROR(__xludf.dummyfunction("if($T754&lt;&gt;"""",REGEXEXTRACT($T754, J$1&amp;""[\w &amp;]*, (\d+\.\d+)""),"""")
"),"")</f>
        <v/>
      </c>
      <c r="K754" s="3"/>
      <c r="L754" s="3" t="str">
        <f aca="false">IFERROR(__xludf.dummyfunction("if($T754&lt;&gt;"""",REGEXEXTRACT(SUBSTITUTE ($T754,L$1&amp;"" CE"",""""), L$1&amp;""[\w &amp;]*, (\d+\.\d+)""),"""")
"),"")</f>
        <v/>
      </c>
      <c r="M754" s="3" t="str">
        <f aca="false">IFERROR(__xludf.dummyfunction("if($T754&lt;&gt;"""",REGEXEXTRACT($T754, M$1&amp;""[\w &amp;]*, (\d+\.\d+)""),"""")
"),"")</f>
        <v/>
      </c>
      <c r="N754" s="3" t="str">
        <f aca="false">IFERROR(__xludf.dummyfunction("if($T754&lt;&gt;"""",REGEXEXTRACT(SUBSTITUTE ($T754,N$1&amp;"" CE"",""""), N$1&amp;""[\w &amp;]*, (\d+\.\d+)""),"""")
"),"")</f>
        <v/>
      </c>
      <c r="O754" s="3" t="str">
        <f aca="false">IFERROR(__xludf.dummyfunction("if($T754&lt;&gt;"""",REGEXEXTRACT($T754, O$1&amp;""[\w &amp;]*, (\d+\.\d+)""),"""")
"),"")</f>
        <v/>
      </c>
      <c r="P754" s="2"/>
      <c r="Q754" s="2"/>
      <c r="R754" s="2"/>
      <c r="S754" s="2"/>
      <c r="T754" s="5"/>
    </row>
    <row r="755" customFormat="false" ht="15.75" hidden="false" customHeight="false" outlineLevel="0" collapsed="false">
      <c r="A755" s="4"/>
      <c r="B755" s="2"/>
      <c r="C755" s="2"/>
      <c r="D755" s="2"/>
      <c r="E755" s="2"/>
      <c r="F755" s="3" t="str">
        <f aca="false">IFERROR(__xludf.dummyfunction("if($T755&lt;&gt;"""",REGEXEXTRACT(SUBSTITUTE ($T755,F$1&amp;"" CE"",""""), F$1&amp;""[\w &amp;]*, (\d+\.\d+)""),"""")
"),"")</f>
        <v/>
      </c>
      <c r="G755" s="3" t="str">
        <f aca="false">IFERROR(__xludf.dummyfunction("if($T755&lt;&gt;"""",REGEXEXTRACT($T755, G$1&amp;""[\w &amp;]*, (\d+\.\d+)""),"""")
"),"")</f>
        <v/>
      </c>
      <c r="H755" s="3"/>
      <c r="I755" s="3" t="str">
        <f aca="false">IFERROR(__xludf.dummyfunction("if($T755&lt;&gt;"""",REGEXEXTRACT(SUBSTITUTE ($T755,I$1&amp;"" CE"",""""), I$1&amp;""[\w &amp;]*, (\d+\.\d+)""),"""")
"),"")</f>
        <v/>
      </c>
      <c r="J755" s="3" t="str">
        <f aca="false">IFERROR(__xludf.dummyfunction("if($T755&lt;&gt;"""",REGEXEXTRACT($T755, J$1&amp;""[\w &amp;]*, (\d+\.\d+)""),"""")
"),"")</f>
        <v/>
      </c>
      <c r="K755" s="3"/>
      <c r="L755" s="3" t="str">
        <f aca="false">IFERROR(__xludf.dummyfunction("if($T755&lt;&gt;"""",REGEXEXTRACT(SUBSTITUTE ($T755,L$1&amp;"" CE"",""""), L$1&amp;""[\w &amp;]*, (\d+\.\d+)""),"""")
"),"")</f>
        <v/>
      </c>
      <c r="M755" s="3" t="str">
        <f aca="false">IFERROR(__xludf.dummyfunction("if($T755&lt;&gt;"""",REGEXEXTRACT($T755, M$1&amp;""[\w &amp;]*, (\d+\.\d+)""),"""")
"),"")</f>
        <v/>
      </c>
      <c r="N755" s="3" t="str">
        <f aca="false">IFERROR(__xludf.dummyfunction("if($T755&lt;&gt;"""",REGEXEXTRACT(SUBSTITUTE ($T755,N$1&amp;"" CE"",""""), N$1&amp;""[\w &amp;]*, (\d+\.\d+)""),"""")
"),"")</f>
        <v/>
      </c>
      <c r="O755" s="3" t="str">
        <f aca="false">IFERROR(__xludf.dummyfunction("if($T755&lt;&gt;"""",REGEXEXTRACT($T755, O$1&amp;""[\w &amp;]*, (\d+\.\d+)""),"""")
"),"")</f>
        <v/>
      </c>
      <c r="P755" s="2"/>
      <c r="Q755" s="2"/>
      <c r="R755" s="2"/>
      <c r="S755" s="2"/>
      <c r="T755" s="5"/>
    </row>
    <row r="756" customFormat="false" ht="15.75" hidden="false" customHeight="false" outlineLevel="0" collapsed="false">
      <c r="A756" s="4"/>
      <c r="B756" s="2"/>
      <c r="C756" s="2"/>
      <c r="D756" s="2"/>
      <c r="E756" s="2"/>
      <c r="F756" s="3" t="str">
        <f aca="false">IFERROR(__xludf.dummyfunction("if($T756&lt;&gt;"""",REGEXEXTRACT(SUBSTITUTE ($T756,F$1&amp;"" CE"",""""), F$1&amp;""[\w &amp;]*, (\d+\.\d+)""),"""")
"),"")</f>
        <v/>
      </c>
      <c r="G756" s="3" t="str">
        <f aca="false">IFERROR(__xludf.dummyfunction("if($T756&lt;&gt;"""",REGEXEXTRACT($T756, G$1&amp;""[\w &amp;]*, (\d+\.\d+)""),"""")
"),"")</f>
        <v/>
      </c>
      <c r="H756" s="3"/>
      <c r="I756" s="3" t="str">
        <f aca="false">IFERROR(__xludf.dummyfunction("if($T756&lt;&gt;"""",REGEXEXTRACT(SUBSTITUTE ($T756,I$1&amp;"" CE"",""""), I$1&amp;""[\w &amp;]*, (\d+\.\d+)""),"""")
"),"")</f>
        <v/>
      </c>
      <c r="J756" s="3" t="str">
        <f aca="false">IFERROR(__xludf.dummyfunction("if($T756&lt;&gt;"""",REGEXEXTRACT($T756, J$1&amp;""[\w &amp;]*, (\d+\.\d+)""),"""")
"),"")</f>
        <v/>
      </c>
      <c r="K756" s="3"/>
      <c r="L756" s="3" t="str">
        <f aca="false">IFERROR(__xludf.dummyfunction("if($T756&lt;&gt;"""",REGEXEXTRACT(SUBSTITUTE ($T756,L$1&amp;"" CE"",""""), L$1&amp;""[\w &amp;]*, (\d+\.\d+)""),"""")
"),"")</f>
        <v/>
      </c>
      <c r="M756" s="3" t="str">
        <f aca="false">IFERROR(__xludf.dummyfunction("if($T756&lt;&gt;"""",REGEXEXTRACT($T756, M$1&amp;""[\w &amp;]*, (\d+\.\d+)""),"""")
"),"")</f>
        <v/>
      </c>
      <c r="N756" s="3" t="str">
        <f aca="false">IFERROR(__xludf.dummyfunction("if($T756&lt;&gt;"""",REGEXEXTRACT(SUBSTITUTE ($T756,N$1&amp;"" CE"",""""), N$1&amp;""[\w &amp;]*, (\d+\.\d+)""),"""")
"),"")</f>
        <v/>
      </c>
      <c r="O756" s="3" t="str">
        <f aca="false">IFERROR(__xludf.dummyfunction("if($T756&lt;&gt;"""",REGEXEXTRACT($T756, O$1&amp;""[\w &amp;]*, (\d+\.\d+)""),"""")
"),"")</f>
        <v/>
      </c>
      <c r="P756" s="2"/>
      <c r="Q756" s="2"/>
      <c r="R756" s="2"/>
      <c r="S756" s="2"/>
      <c r="T756" s="5"/>
    </row>
    <row r="757" customFormat="false" ht="15.75" hidden="false" customHeight="false" outlineLevel="0" collapsed="false">
      <c r="A757" s="4"/>
      <c r="B757" s="2"/>
      <c r="C757" s="2"/>
      <c r="D757" s="2"/>
      <c r="E757" s="2"/>
      <c r="F757" s="3" t="str">
        <f aca="false">IFERROR(__xludf.dummyfunction("if($T757&lt;&gt;"""",REGEXEXTRACT(SUBSTITUTE ($T757,F$1&amp;"" CE"",""""), F$1&amp;""[\w &amp;]*, (\d+\.\d+)""),"""")
"),"")</f>
        <v/>
      </c>
      <c r="G757" s="3" t="str">
        <f aca="false">IFERROR(__xludf.dummyfunction("if($T757&lt;&gt;"""",REGEXEXTRACT($T757, G$1&amp;""[\w &amp;]*, (\d+\.\d+)""),"""")
"),"")</f>
        <v/>
      </c>
      <c r="H757" s="3"/>
      <c r="I757" s="3" t="str">
        <f aca="false">IFERROR(__xludf.dummyfunction("if($T757&lt;&gt;"""",REGEXEXTRACT(SUBSTITUTE ($T757,I$1&amp;"" CE"",""""), I$1&amp;""[\w &amp;]*, (\d+\.\d+)""),"""")
"),"")</f>
        <v/>
      </c>
      <c r="J757" s="3" t="str">
        <f aca="false">IFERROR(__xludf.dummyfunction("if($T757&lt;&gt;"""",REGEXEXTRACT($T757, J$1&amp;""[\w &amp;]*, (\d+\.\d+)""),"""")
"),"")</f>
        <v/>
      </c>
      <c r="K757" s="3"/>
      <c r="L757" s="3" t="str">
        <f aca="false">IFERROR(__xludf.dummyfunction("if($T757&lt;&gt;"""",REGEXEXTRACT(SUBSTITUTE ($T757,L$1&amp;"" CE"",""""), L$1&amp;""[\w &amp;]*, (\d+\.\d+)""),"""")
"),"")</f>
        <v/>
      </c>
      <c r="M757" s="3" t="str">
        <f aca="false">IFERROR(__xludf.dummyfunction("if($T757&lt;&gt;"""",REGEXEXTRACT($T757, M$1&amp;""[\w &amp;]*, (\d+\.\d+)""),"""")
"),"")</f>
        <v/>
      </c>
      <c r="N757" s="3" t="str">
        <f aca="false">IFERROR(__xludf.dummyfunction("if($T757&lt;&gt;"""",REGEXEXTRACT(SUBSTITUTE ($T757,N$1&amp;"" CE"",""""), N$1&amp;""[\w &amp;]*, (\d+\.\d+)""),"""")
"),"")</f>
        <v/>
      </c>
      <c r="O757" s="3" t="str">
        <f aca="false">IFERROR(__xludf.dummyfunction("if($T757&lt;&gt;"""",REGEXEXTRACT($T757, O$1&amp;""[\w &amp;]*, (\d+\.\d+)""),"""")
"),"")</f>
        <v/>
      </c>
      <c r="P757" s="2"/>
      <c r="Q757" s="2"/>
      <c r="R757" s="2"/>
      <c r="S757" s="2"/>
      <c r="T757" s="5"/>
    </row>
    <row r="758" customFormat="false" ht="15.75" hidden="false" customHeight="false" outlineLevel="0" collapsed="false">
      <c r="A758" s="4"/>
      <c r="B758" s="2"/>
      <c r="C758" s="2"/>
      <c r="D758" s="2"/>
      <c r="E758" s="2"/>
      <c r="F758" s="3" t="str">
        <f aca="false">IFERROR(__xludf.dummyfunction("if($T758&lt;&gt;"""",REGEXEXTRACT(SUBSTITUTE ($T758,F$1&amp;"" CE"",""""), F$1&amp;""[\w &amp;]*, (\d+\.\d+)""),"""")
"),"")</f>
        <v/>
      </c>
      <c r="G758" s="3" t="str">
        <f aca="false">IFERROR(__xludf.dummyfunction("if($T758&lt;&gt;"""",REGEXEXTRACT($T758, G$1&amp;""[\w &amp;]*, (\d+\.\d+)""),"""")
"),"")</f>
        <v/>
      </c>
      <c r="H758" s="3"/>
      <c r="I758" s="3" t="str">
        <f aca="false">IFERROR(__xludf.dummyfunction("if($T758&lt;&gt;"""",REGEXEXTRACT(SUBSTITUTE ($T758,I$1&amp;"" CE"",""""), I$1&amp;""[\w &amp;]*, (\d+\.\d+)""),"""")
"),"")</f>
        <v/>
      </c>
      <c r="J758" s="3" t="str">
        <f aca="false">IFERROR(__xludf.dummyfunction("if($T758&lt;&gt;"""",REGEXEXTRACT($T758, J$1&amp;""[\w &amp;]*, (\d+\.\d+)""),"""")
"),"")</f>
        <v/>
      </c>
      <c r="K758" s="3"/>
      <c r="L758" s="3" t="str">
        <f aca="false">IFERROR(__xludf.dummyfunction("if($T758&lt;&gt;"""",REGEXEXTRACT(SUBSTITUTE ($T758,L$1&amp;"" CE"",""""), L$1&amp;""[\w &amp;]*, (\d+\.\d+)""),"""")
"),"")</f>
        <v/>
      </c>
      <c r="M758" s="3" t="str">
        <f aca="false">IFERROR(__xludf.dummyfunction("if($T758&lt;&gt;"""",REGEXEXTRACT($T758, M$1&amp;""[\w &amp;]*, (\d+\.\d+)""),"""")
"),"")</f>
        <v/>
      </c>
      <c r="N758" s="3" t="str">
        <f aca="false">IFERROR(__xludf.dummyfunction("if($T758&lt;&gt;"""",REGEXEXTRACT(SUBSTITUTE ($T758,N$1&amp;"" CE"",""""), N$1&amp;""[\w &amp;]*, (\d+\.\d+)""),"""")
"),"")</f>
        <v/>
      </c>
      <c r="O758" s="3" t="str">
        <f aca="false">IFERROR(__xludf.dummyfunction("if($T758&lt;&gt;"""",REGEXEXTRACT($T758, O$1&amp;""[\w &amp;]*, (\d+\.\d+)""),"""")
"),"")</f>
        <v/>
      </c>
      <c r="P758" s="2"/>
      <c r="Q758" s="2"/>
      <c r="R758" s="2"/>
      <c r="S758" s="2"/>
      <c r="T758" s="5"/>
    </row>
    <row r="759" customFormat="false" ht="15.75" hidden="false" customHeight="false" outlineLevel="0" collapsed="false">
      <c r="A759" s="4"/>
      <c r="B759" s="2"/>
      <c r="C759" s="2"/>
      <c r="D759" s="2"/>
      <c r="E759" s="2"/>
      <c r="F759" s="3" t="str">
        <f aca="false">IFERROR(__xludf.dummyfunction("if($T759&lt;&gt;"""",REGEXEXTRACT(SUBSTITUTE ($T759,F$1&amp;"" CE"",""""), F$1&amp;""[\w &amp;]*, (\d+\.\d+)""),"""")
"),"")</f>
        <v/>
      </c>
      <c r="G759" s="3" t="str">
        <f aca="false">IFERROR(__xludf.dummyfunction("if($T759&lt;&gt;"""",REGEXEXTRACT($T759, G$1&amp;""[\w &amp;]*, (\d+\.\d+)""),"""")
"),"")</f>
        <v/>
      </c>
      <c r="H759" s="3"/>
      <c r="I759" s="3" t="str">
        <f aca="false">IFERROR(__xludf.dummyfunction("if($T759&lt;&gt;"""",REGEXEXTRACT(SUBSTITUTE ($T759,I$1&amp;"" CE"",""""), I$1&amp;""[\w &amp;]*, (\d+\.\d+)""),"""")
"),"")</f>
        <v/>
      </c>
      <c r="J759" s="3" t="str">
        <f aca="false">IFERROR(__xludf.dummyfunction("if($T759&lt;&gt;"""",REGEXEXTRACT($T759, J$1&amp;""[\w &amp;]*, (\d+\.\d+)""),"""")
"),"")</f>
        <v/>
      </c>
      <c r="K759" s="3"/>
      <c r="L759" s="3" t="str">
        <f aca="false">IFERROR(__xludf.dummyfunction("if($T759&lt;&gt;"""",REGEXEXTRACT(SUBSTITUTE ($T759,L$1&amp;"" CE"",""""), L$1&amp;""[\w &amp;]*, (\d+\.\d+)""),"""")
"),"")</f>
        <v/>
      </c>
      <c r="M759" s="3" t="str">
        <f aca="false">IFERROR(__xludf.dummyfunction("if($T759&lt;&gt;"""",REGEXEXTRACT($T759, M$1&amp;""[\w &amp;]*, (\d+\.\d+)""),"""")
"),"")</f>
        <v/>
      </c>
      <c r="N759" s="3" t="str">
        <f aca="false">IFERROR(__xludf.dummyfunction("if($T759&lt;&gt;"""",REGEXEXTRACT(SUBSTITUTE ($T759,N$1&amp;"" CE"",""""), N$1&amp;""[\w &amp;]*, (\d+\.\d+)""),"""")
"),"")</f>
        <v/>
      </c>
      <c r="O759" s="3" t="str">
        <f aca="false">IFERROR(__xludf.dummyfunction("if($T759&lt;&gt;"""",REGEXEXTRACT($T759, O$1&amp;""[\w &amp;]*, (\d+\.\d+)""),"""")
"),"")</f>
        <v/>
      </c>
      <c r="P759" s="2"/>
      <c r="Q759" s="2"/>
      <c r="R759" s="2"/>
      <c r="S759" s="2"/>
      <c r="T759" s="5"/>
    </row>
    <row r="760" customFormat="false" ht="15.75" hidden="false" customHeight="false" outlineLevel="0" collapsed="false">
      <c r="A760" s="4"/>
      <c r="B760" s="2"/>
      <c r="C760" s="2"/>
      <c r="D760" s="2"/>
      <c r="E760" s="2"/>
      <c r="F760" s="3" t="str">
        <f aca="false">IFERROR(__xludf.dummyfunction("if($T760&lt;&gt;"""",REGEXEXTRACT(SUBSTITUTE ($T760,F$1&amp;"" CE"",""""), F$1&amp;""[\w &amp;]*, (\d+\.\d+)""),"""")
"),"")</f>
        <v/>
      </c>
      <c r="G760" s="3" t="str">
        <f aca="false">IFERROR(__xludf.dummyfunction("if($T760&lt;&gt;"""",REGEXEXTRACT($T760, G$1&amp;""[\w &amp;]*, (\d+\.\d+)""),"""")
"),"")</f>
        <v/>
      </c>
      <c r="H760" s="3"/>
      <c r="I760" s="3" t="str">
        <f aca="false">IFERROR(__xludf.dummyfunction("if($T760&lt;&gt;"""",REGEXEXTRACT(SUBSTITUTE ($T760,I$1&amp;"" CE"",""""), I$1&amp;""[\w &amp;]*, (\d+\.\d+)""),"""")
"),"")</f>
        <v/>
      </c>
      <c r="J760" s="3" t="str">
        <f aca="false">IFERROR(__xludf.dummyfunction("if($T760&lt;&gt;"""",REGEXEXTRACT($T760, J$1&amp;""[\w &amp;]*, (\d+\.\d+)""),"""")
"),"")</f>
        <v/>
      </c>
      <c r="K760" s="3"/>
      <c r="L760" s="3" t="str">
        <f aca="false">IFERROR(__xludf.dummyfunction("if($T760&lt;&gt;"""",REGEXEXTRACT(SUBSTITUTE ($T760,L$1&amp;"" CE"",""""), L$1&amp;""[\w &amp;]*, (\d+\.\d+)""),"""")
"),"")</f>
        <v/>
      </c>
      <c r="M760" s="3" t="str">
        <f aca="false">IFERROR(__xludf.dummyfunction("if($T760&lt;&gt;"""",REGEXEXTRACT($T760, M$1&amp;""[\w &amp;]*, (\d+\.\d+)""),"""")
"),"")</f>
        <v/>
      </c>
      <c r="N760" s="3" t="str">
        <f aca="false">IFERROR(__xludf.dummyfunction("if($T760&lt;&gt;"""",REGEXEXTRACT(SUBSTITUTE ($T760,N$1&amp;"" CE"",""""), N$1&amp;""[\w &amp;]*, (\d+\.\d+)""),"""")
"),"")</f>
        <v/>
      </c>
      <c r="O760" s="3" t="str">
        <f aca="false">IFERROR(__xludf.dummyfunction("if($T760&lt;&gt;"""",REGEXEXTRACT($T760, O$1&amp;""[\w &amp;]*, (\d+\.\d+)""),"""")
"),"")</f>
        <v/>
      </c>
      <c r="P760" s="2"/>
      <c r="Q760" s="2"/>
      <c r="R760" s="2"/>
      <c r="S760" s="2"/>
      <c r="T760" s="5"/>
    </row>
    <row r="761" customFormat="false" ht="15.75" hidden="false" customHeight="false" outlineLevel="0" collapsed="false">
      <c r="A761" s="4"/>
      <c r="B761" s="2"/>
      <c r="C761" s="2"/>
      <c r="D761" s="2"/>
      <c r="E761" s="2"/>
      <c r="F761" s="3" t="str">
        <f aca="false">IFERROR(__xludf.dummyfunction("if($T761&lt;&gt;"""",REGEXEXTRACT(SUBSTITUTE ($T761,F$1&amp;"" CE"",""""), F$1&amp;""[\w &amp;]*, (\d+\.\d+)""),"""")
"),"")</f>
        <v/>
      </c>
      <c r="G761" s="3" t="str">
        <f aca="false">IFERROR(__xludf.dummyfunction("if($T761&lt;&gt;"""",REGEXEXTRACT($T761, G$1&amp;""[\w &amp;]*, (\d+\.\d+)""),"""")
"),"")</f>
        <v/>
      </c>
      <c r="H761" s="3"/>
      <c r="I761" s="3" t="str">
        <f aca="false">IFERROR(__xludf.dummyfunction("if($T761&lt;&gt;"""",REGEXEXTRACT(SUBSTITUTE ($T761,I$1&amp;"" CE"",""""), I$1&amp;""[\w &amp;]*, (\d+\.\d+)""),"""")
"),"")</f>
        <v/>
      </c>
      <c r="J761" s="3" t="str">
        <f aca="false">IFERROR(__xludf.dummyfunction("if($T761&lt;&gt;"""",REGEXEXTRACT($T761, J$1&amp;""[\w &amp;]*, (\d+\.\d+)""),"""")
"),"")</f>
        <v/>
      </c>
      <c r="K761" s="3"/>
      <c r="L761" s="3" t="str">
        <f aca="false">IFERROR(__xludf.dummyfunction("if($T761&lt;&gt;"""",REGEXEXTRACT(SUBSTITUTE ($T761,L$1&amp;"" CE"",""""), L$1&amp;""[\w &amp;]*, (\d+\.\d+)""),"""")
"),"")</f>
        <v/>
      </c>
      <c r="M761" s="3" t="str">
        <f aca="false">IFERROR(__xludf.dummyfunction("if($T761&lt;&gt;"""",REGEXEXTRACT($T761, M$1&amp;""[\w &amp;]*, (\d+\.\d+)""),"""")
"),"")</f>
        <v/>
      </c>
      <c r="N761" s="3" t="str">
        <f aca="false">IFERROR(__xludf.dummyfunction("if($T761&lt;&gt;"""",REGEXEXTRACT(SUBSTITUTE ($T761,N$1&amp;"" CE"",""""), N$1&amp;""[\w &amp;]*, (\d+\.\d+)""),"""")
"),"")</f>
        <v/>
      </c>
      <c r="O761" s="3" t="str">
        <f aca="false">IFERROR(__xludf.dummyfunction("if($T761&lt;&gt;"""",REGEXEXTRACT($T761, O$1&amp;""[\w &amp;]*, (\d+\.\d+)""),"""")
"),"")</f>
        <v/>
      </c>
      <c r="P761" s="2"/>
      <c r="Q761" s="2"/>
      <c r="R761" s="2"/>
      <c r="S761" s="2"/>
      <c r="T761" s="5"/>
    </row>
    <row r="762" customFormat="false" ht="15.75" hidden="false" customHeight="false" outlineLevel="0" collapsed="false">
      <c r="A762" s="4"/>
      <c r="B762" s="2"/>
      <c r="C762" s="2"/>
      <c r="D762" s="2"/>
      <c r="E762" s="2"/>
      <c r="F762" s="3" t="str">
        <f aca="false">IFERROR(__xludf.dummyfunction("if($T762&lt;&gt;"""",REGEXEXTRACT(SUBSTITUTE ($T762,F$1&amp;"" CE"",""""), F$1&amp;""[\w &amp;]*, (\d+\.\d+)""),"""")
"),"")</f>
        <v/>
      </c>
      <c r="G762" s="3" t="str">
        <f aca="false">IFERROR(__xludf.dummyfunction("if($T762&lt;&gt;"""",REGEXEXTRACT($T762, G$1&amp;""[\w &amp;]*, (\d+\.\d+)""),"""")
"),"")</f>
        <v/>
      </c>
      <c r="H762" s="3"/>
      <c r="I762" s="3" t="str">
        <f aca="false">IFERROR(__xludf.dummyfunction("if($T762&lt;&gt;"""",REGEXEXTRACT(SUBSTITUTE ($T762,I$1&amp;"" CE"",""""), I$1&amp;""[\w &amp;]*, (\d+\.\d+)""),"""")
"),"")</f>
        <v/>
      </c>
      <c r="J762" s="3" t="str">
        <f aca="false">IFERROR(__xludf.dummyfunction("if($T762&lt;&gt;"""",REGEXEXTRACT($T762, J$1&amp;""[\w &amp;]*, (\d+\.\d+)""),"""")
"),"")</f>
        <v/>
      </c>
      <c r="K762" s="3"/>
      <c r="L762" s="3" t="str">
        <f aca="false">IFERROR(__xludf.dummyfunction("if($T762&lt;&gt;"""",REGEXEXTRACT(SUBSTITUTE ($T762,L$1&amp;"" CE"",""""), L$1&amp;""[\w &amp;]*, (\d+\.\d+)""),"""")
"),"")</f>
        <v/>
      </c>
      <c r="M762" s="3" t="str">
        <f aca="false">IFERROR(__xludf.dummyfunction("if($T762&lt;&gt;"""",REGEXEXTRACT($T762, M$1&amp;""[\w &amp;]*, (\d+\.\d+)""),"""")
"),"")</f>
        <v/>
      </c>
      <c r="N762" s="3" t="str">
        <f aca="false">IFERROR(__xludf.dummyfunction("if($T762&lt;&gt;"""",REGEXEXTRACT(SUBSTITUTE ($T762,N$1&amp;"" CE"",""""), N$1&amp;""[\w &amp;]*, (\d+\.\d+)""),"""")
"),"")</f>
        <v/>
      </c>
      <c r="O762" s="3" t="str">
        <f aca="false">IFERROR(__xludf.dummyfunction("if($T762&lt;&gt;"""",REGEXEXTRACT($T762, O$1&amp;""[\w &amp;]*, (\d+\.\d+)""),"""")
"),"")</f>
        <v/>
      </c>
      <c r="P762" s="2"/>
      <c r="Q762" s="2"/>
      <c r="R762" s="2"/>
      <c r="S762" s="2"/>
      <c r="T762" s="5"/>
    </row>
    <row r="763" customFormat="false" ht="15.75" hidden="false" customHeight="false" outlineLevel="0" collapsed="false">
      <c r="A763" s="4"/>
      <c r="B763" s="2"/>
      <c r="C763" s="2"/>
      <c r="D763" s="2"/>
      <c r="E763" s="2"/>
      <c r="F763" s="3" t="str">
        <f aca="false">IFERROR(__xludf.dummyfunction("if($T763&lt;&gt;"""",REGEXEXTRACT(SUBSTITUTE ($T763,F$1&amp;"" CE"",""""), F$1&amp;""[\w &amp;]*, (\d+\.\d+)""),"""")
"),"")</f>
        <v/>
      </c>
      <c r="G763" s="3" t="str">
        <f aca="false">IFERROR(__xludf.dummyfunction("if($T763&lt;&gt;"""",REGEXEXTRACT($T763, G$1&amp;""[\w &amp;]*, (\d+\.\d+)""),"""")
"),"")</f>
        <v/>
      </c>
      <c r="H763" s="3"/>
      <c r="I763" s="3" t="str">
        <f aca="false">IFERROR(__xludf.dummyfunction("if($T763&lt;&gt;"""",REGEXEXTRACT(SUBSTITUTE ($T763,I$1&amp;"" CE"",""""), I$1&amp;""[\w &amp;]*, (\d+\.\d+)""),"""")
"),"")</f>
        <v/>
      </c>
      <c r="J763" s="3" t="str">
        <f aca="false">IFERROR(__xludf.dummyfunction("if($T763&lt;&gt;"""",REGEXEXTRACT($T763, J$1&amp;""[\w &amp;]*, (\d+\.\d+)""),"""")
"),"")</f>
        <v/>
      </c>
      <c r="K763" s="3"/>
      <c r="L763" s="3" t="str">
        <f aca="false">IFERROR(__xludf.dummyfunction("if($T763&lt;&gt;"""",REGEXEXTRACT(SUBSTITUTE ($T763,L$1&amp;"" CE"",""""), L$1&amp;""[\w &amp;]*, (\d+\.\d+)""),"""")
"),"")</f>
        <v/>
      </c>
      <c r="M763" s="3" t="str">
        <f aca="false">IFERROR(__xludf.dummyfunction("if($T763&lt;&gt;"""",REGEXEXTRACT($T763, M$1&amp;""[\w &amp;]*, (\d+\.\d+)""),"""")
"),"")</f>
        <v/>
      </c>
      <c r="N763" s="3" t="str">
        <f aca="false">IFERROR(__xludf.dummyfunction("if($T763&lt;&gt;"""",REGEXEXTRACT(SUBSTITUTE ($T763,N$1&amp;"" CE"",""""), N$1&amp;""[\w &amp;]*, (\d+\.\d+)""),"""")
"),"")</f>
        <v/>
      </c>
      <c r="O763" s="3" t="str">
        <f aca="false">IFERROR(__xludf.dummyfunction("if($T763&lt;&gt;"""",REGEXEXTRACT($T763, O$1&amp;""[\w &amp;]*, (\d+\.\d+)""),"""")
"),"")</f>
        <v/>
      </c>
      <c r="P763" s="2"/>
      <c r="Q763" s="2"/>
      <c r="R763" s="2"/>
      <c r="S763" s="2"/>
      <c r="T763" s="5"/>
    </row>
    <row r="764" customFormat="false" ht="15.75" hidden="false" customHeight="false" outlineLevel="0" collapsed="false">
      <c r="A764" s="4"/>
      <c r="B764" s="2"/>
      <c r="C764" s="2"/>
      <c r="D764" s="2"/>
      <c r="E764" s="2"/>
      <c r="F764" s="3" t="str">
        <f aca="false">IFERROR(__xludf.dummyfunction("if($T764&lt;&gt;"""",REGEXEXTRACT(SUBSTITUTE ($T764,F$1&amp;"" CE"",""""), F$1&amp;""[\w &amp;]*, (\d+\.\d+)""),"""")
"),"")</f>
        <v/>
      </c>
      <c r="G764" s="3" t="str">
        <f aca="false">IFERROR(__xludf.dummyfunction("if($T764&lt;&gt;"""",REGEXEXTRACT($T764, G$1&amp;""[\w &amp;]*, (\d+\.\d+)""),"""")
"),"")</f>
        <v/>
      </c>
      <c r="H764" s="3"/>
      <c r="I764" s="3" t="str">
        <f aca="false">IFERROR(__xludf.dummyfunction("if($T764&lt;&gt;"""",REGEXEXTRACT(SUBSTITUTE ($T764,I$1&amp;"" CE"",""""), I$1&amp;""[\w &amp;]*, (\d+\.\d+)""),"""")
"),"")</f>
        <v/>
      </c>
      <c r="J764" s="3" t="str">
        <f aca="false">IFERROR(__xludf.dummyfunction("if($T764&lt;&gt;"""",REGEXEXTRACT($T764, J$1&amp;""[\w &amp;]*, (\d+\.\d+)""),"""")
"),"")</f>
        <v/>
      </c>
      <c r="K764" s="3"/>
      <c r="L764" s="3" t="str">
        <f aca="false">IFERROR(__xludf.dummyfunction("if($T764&lt;&gt;"""",REGEXEXTRACT(SUBSTITUTE ($T764,L$1&amp;"" CE"",""""), L$1&amp;""[\w &amp;]*, (\d+\.\d+)""),"""")
"),"")</f>
        <v/>
      </c>
      <c r="M764" s="3" t="str">
        <f aca="false">IFERROR(__xludf.dummyfunction("if($T764&lt;&gt;"""",REGEXEXTRACT($T764, M$1&amp;""[\w &amp;]*, (\d+\.\d+)""),"""")
"),"")</f>
        <v/>
      </c>
      <c r="N764" s="3" t="str">
        <f aca="false">IFERROR(__xludf.dummyfunction("if($T764&lt;&gt;"""",REGEXEXTRACT(SUBSTITUTE ($T764,N$1&amp;"" CE"",""""), N$1&amp;""[\w &amp;]*, (\d+\.\d+)""),"""")
"),"")</f>
        <v/>
      </c>
      <c r="O764" s="3" t="str">
        <f aca="false">IFERROR(__xludf.dummyfunction("if($T764&lt;&gt;"""",REGEXEXTRACT($T764, O$1&amp;""[\w &amp;]*, (\d+\.\d+)""),"""")
"),"")</f>
        <v/>
      </c>
      <c r="P764" s="2"/>
      <c r="Q764" s="2"/>
      <c r="R764" s="2"/>
      <c r="S764" s="2"/>
      <c r="T764" s="5"/>
    </row>
    <row r="765" customFormat="false" ht="15.75" hidden="false" customHeight="false" outlineLevel="0" collapsed="false">
      <c r="A765" s="4"/>
      <c r="B765" s="2"/>
      <c r="C765" s="2"/>
      <c r="D765" s="2"/>
      <c r="E765" s="2"/>
      <c r="F765" s="3" t="str">
        <f aca="false">IFERROR(__xludf.dummyfunction("if($T765&lt;&gt;"""",REGEXEXTRACT(SUBSTITUTE ($T765,F$1&amp;"" CE"",""""), F$1&amp;""[\w &amp;]*, (\d+\.\d+)""),"""")
"),"")</f>
        <v/>
      </c>
      <c r="G765" s="3" t="str">
        <f aca="false">IFERROR(__xludf.dummyfunction("if($T765&lt;&gt;"""",REGEXEXTRACT($T765, G$1&amp;""[\w &amp;]*, (\d+\.\d+)""),"""")
"),"")</f>
        <v/>
      </c>
      <c r="H765" s="3"/>
      <c r="I765" s="3" t="str">
        <f aca="false">IFERROR(__xludf.dummyfunction("if($T765&lt;&gt;"""",REGEXEXTRACT(SUBSTITUTE ($T765,I$1&amp;"" CE"",""""), I$1&amp;""[\w &amp;]*, (\d+\.\d+)""),"""")
"),"")</f>
        <v/>
      </c>
      <c r="J765" s="3" t="str">
        <f aca="false">IFERROR(__xludf.dummyfunction("if($T765&lt;&gt;"""",REGEXEXTRACT($T765, J$1&amp;""[\w &amp;]*, (\d+\.\d+)""),"""")
"),"")</f>
        <v/>
      </c>
      <c r="K765" s="3"/>
      <c r="L765" s="3" t="str">
        <f aca="false">IFERROR(__xludf.dummyfunction("if($T765&lt;&gt;"""",REGEXEXTRACT(SUBSTITUTE ($T765,L$1&amp;"" CE"",""""), L$1&amp;""[\w &amp;]*, (\d+\.\d+)""),"""")
"),"")</f>
        <v/>
      </c>
      <c r="M765" s="3" t="str">
        <f aca="false">IFERROR(__xludf.dummyfunction("if($T765&lt;&gt;"""",REGEXEXTRACT($T765, M$1&amp;""[\w &amp;]*, (\d+\.\d+)""),"""")
"),"")</f>
        <v/>
      </c>
      <c r="N765" s="3" t="str">
        <f aca="false">IFERROR(__xludf.dummyfunction("if($T765&lt;&gt;"""",REGEXEXTRACT(SUBSTITUTE ($T765,N$1&amp;"" CE"",""""), N$1&amp;""[\w &amp;]*, (\d+\.\d+)""),"""")
"),"")</f>
        <v/>
      </c>
      <c r="O765" s="3" t="str">
        <f aca="false">IFERROR(__xludf.dummyfunction("if($T765&lt;&gt;"""",REGEXEXTRACT($T765, O$1&amp;""[\w &amp;]*, (\d+\.\d+)""),"""")
"),"")</f>
        <v/>
      </c>
      <c r="P765" s="2"/>
      <c r="Q765" s="2"/>
      <c r="R765" s="2"/>
      <c r="S765" s="2"/>
      <c r="T765" s="5"/>
    </row>
    <row r="766" customFormat="false" ht="15.75" hidden="false" customHeight="false" outlineLevel="0" collapsed="false">
      <c r="A766" s="4"/>
      <c r="B766" s="2"/>
      <c r="C766" s="2"/>
      <c r="D766" s="2"/>
      <c r="E766" s="2"/>
      <c r="F766" s="3" t="str">
        <f aca="false">IFERROR(__xludf.dummyfunction("if($T766&lt;&gt;"""",REGEXEXTRACT(SUBSTITUTE ($T766,F$1&amp;"" CE"",""""), F$1&amp;""[\w &amp;]*, (\d+\.\d+)""),"""")
"),"")</f>
        <v/>
      </c>
      <c r="G766" s="3" t="str">
        <f aca="false">IFERROR(__xludf.dummyfunction("if($T766&lt;&gt;"""",REGEXEXTRACT($T766, G$1&amp;""[\w &amp;]*, (\d+\.\d+)""),"""")
"),"")</f>
        <v/>
      </c>
      <c r="H766" s="3"/>
      <c r="I766" s="3" t="str">
        <f aca="false">IFERROR(__xludf.dummyfunction("if($T766&lt;&gt;"""",REGEXEXTRACT(SUBSTITUTE ($T766,I$1&amp;"" CE"",""""), I$1&amp;""[\w &amp;]*, (\d+\.\d+)""),"""")
"),"")</f>
        <v/>
      </c>
      <c r="J766" s="3" t="str">
        <f aca="false">IFERROR(__xludf.dummyfunction("if($T766&lt;&gt;"""",REGEXEXTRACT($T766, J$1&amp;""[\w &amp;]*, (\d+\.\d+)""),"""")
"),"")</f>
        <v/>
      </c>
      <c r="K766" s="3"/>
      <c r="L766" s="3" t="str">
        <f aca="false">IFERROR(__xludf.dummyfunction("if($T766&lt;&gt;"""",REGEXEXTRACT(SUBSTITUTE ($T766,L$1&amp;"" CE"",""""), L$1&amp;""[\w &amp;]*, (\d+\.\d+)""),"""")
"),"")</f>
        <v/>
      </c>
      <c r="M766" s="3" t="str">
        <f aca="false">IFERROR(__xludf.dummyfunction("if($T766&lt;&gt;"""",REGEXEXTRACT($T766, M$1&amp;""[\w &amp;]*, (\d+\.\d+)""),"""")
"),"")</f>
        <v/>
      </c>
      <c r="N766" s="3" t="str">
        <f aca="false">IFERROR(__xludf.dummyfunction("if($T766&lt;&gt;"""",REGEXEXTRACT(SUBSTITUTE ($T766,N$1&amp;"" CE"",""""), N$1&amp;""[\w &amp;]*, (\d+\.\d+)""),"""")
"),"")</f>
        <v/>
      </c>
      <c r="O766" s="3" t="str">
        <f aca="false">IFERROR(__xludf.dummyfunction("if($T766&lt;&gt;"""",REGEXEXTRACT($T766, O$1&amp;""[\w &amp;]*, (\d+\.\d+)""),"""")
"),"")</f>
        <v/>
      </c>
      <c r="P766" s="2"/>
      <c r="Q766" s="2"/>
      <c r="R766" s="2"/>
      <c r="S766" s="2"/>
      <c r="T766" s="5"/>
    </row>
    <row r="767" customFormat="false" ht="15.75" hidden="false" customHeight="false" outlineLevel="0" collapsed="false">
      <c r="A767" s="4"/>
      <c r="B767" s="2"/>
      <c r="C767" s="2"/>
      <c r="D767" s="2"/>
      <c r="E767" s="2"/>
      <c r="F767" s="3" t="str">
        <f aca="false">IFERROR(__xludf.dummyfunction("if($T767&lt;&gt;"""",REGEXEXTRACT(SUBSTITUTE ($T767,F$1&amp;"" CE"",""""), F$1&amp;""[\w &amp;]*, (\d+\.\d+)""),"""")
"),"")</f>
        <v/>
      </c>
      <c r="G767" s="3" t="str">
        <f aca="false">IFERROR(__xludf.dummyfunction("if($T767&lt;&gt;"""",REGEXEXTRACT($T767, G$1&amp;""[\w &amp;]*, (\d+\.\d+)""),"""")
"),"")</f>
        <v/>
      </c>
      <c r="H767" s="3"/>
      <c r="I767" s="3" t="str">
        <f aca="false">IFERROR(__xludf.dummyfunction("if($T767&lt;&gt;"""",REGEXEXTRACT(SUBSTITUTE ($T767,I$1&amp;"" CE"",""""), I$1&amp;""[\w &amp;]*, (\d+\.\d+)""),"""")
"),"")</f>
        <v/>
      </c>
      <c r="J767" s="3" t="str">
        <f aca="false">IFERROR(__xludf.dummyfunction("if($T767&lt;&gt;"""",REGEXEXTRACT($T767, J$1&amp;""[\w &amp;]*, (\d+\.\d+)""),"""")
"),"")</f>
        <v/>
      </c>
      <c r="K767" s="3"/>
      <c r="L767" s="3" t="str">
        <f aca="false">IFERROR(__xludf.dummyfunction("if($T767&lt;&gt;"""",REGEXEXTRACT(SUBSTITUTE ($T767,L$1&amp;"" CE"",""""), L$1&amp;""[\w &amp;]*, (\d+\.\d+)""),"""")
"),"")</f>
        <v/>
      </c>
      <c r="M767" s="3" t="str">
        <f aca="false">IFERROR(__xludf.dummyfunction("if($T767&lt;&gt;"""",REGEXEXTRACT($T767, M$1&amp;""[\w &amp;]*, (\d+\.\d+)""),"""")
"),"")</f>
        <v/>
      </c>
      <c r="N767" s="3" t="str">
        <f aca="false">IFERROR(__xludf.dummyfunction("if($T767&lt;&gt;"""",REGEXEXTRACT(SUBSTITUTE ($T767,N$1&amp;"" CE"",""""), N$1&amp;""[\w &amp;]*, (\d+\.\d+)""),"""")
"),"")</f>
        <v/>
      </c>
      <c r="O767" s="3" t="str">
        <f aca="false">IFERROR(__xludf.dummyfunction("if($T767&lt;&gt;"""",REGEXEXTRACT($T767, O$1&amp;""[\w &amp;]*, (\d+\.\d+)""),"""")
"),"")</f>
        <v/>
      </c>
      <c r="P767" s="2"/>
      <c r="Q767" s="2"/>
      <c r="R767" s="2"/>
      <c r="S767" s="2"/>
      <c r="T767" s="5"/>
    </row>
    <row r="768" customFormat="false" ht="15.75" hidden="false" customHeight="false" outlineLevel="0" collapsed="false">
      <c r="A768" s="4"/>
      <c r="B768" s="2"/>
      <c r="C768" s="2"/>
      <c r="D768" s="2"/>
      <c r="E768" s="2"/>
      <c r="F768" s="3" t="str">
        <f aca="false">IFERROR(__xludf.dummyfunction("if($T768&lt;&gt;"""",REGEXEXTRACT(SUBSTITUTE ($T768,F$1&amp;"" CE"",""""), F$1&amp;""[\w &amp;]*, (\d+\.\d+)""),"""")
"),"")</f>
        <v/>
      </c>
      <c r="G768" s="3" t="str">
        <f aca="false">IFERROR(__xludf.dummyfunction("if($T768&lt;&gt;"""",REGEXEXTRACT($T768, G$1&amp;""[\w &amp;]*, (\d+\.\d+)""),"""")
"),"")</f>
        <v/>
      </c>
      <c r="H768" s="3"/>
      <c r="I768" s="3" t="str">
        <f aca="false">IFERROR(__xludf.dummyfunction("if($T768&lt;&gt;"""",REGEXEXTRACT(SUBSTITUTE ($T768,I$1&amp;"" CE"",""""), I$1&amp;""[\w &amp;]*, (\d+\.\d+)""),"""")
"),"")</f>
        <v/>
      </c>
      <c r="J768" s="3" t="str">
        <f aca="false">IFERROR(__xludf.dummyfunction("if($T768&lt;&gt;"""",REGEXEXTRACT($T768, J$1&amp;""[\w &amp;]*, (\d+\.\d+)""),"""")
"),"")</f>
        <v/>
      </c>
      <c r="K768" s="3"/>
      <c r="L768" s="3" t="str">
        <f aca="false">IFERROR(__xludf.dummyfunction("if($T768&lt;&gt;"""",REGEXEXTRACT(SUBSTITUTE ($T768,L$1&amp;"" CE"",""""), L$1&amp;""[\w &amp;]*, (\d+\.\d+)""),"""")
"),"")</f>
        <v/>
      </c>
      <c r="M768" s="3" t="str">
        <f aca="false">IFERROR(__xludf.dummyfunction("if($T768&lt;&gt;"""",REGEXEXTRACT($T768, M$1&amp;""[\w &amp;]*, (\d+\.\d+)""),"""")
"),"")</f>
        <v/>
      </c>
      <c r="N768" s="3" t="str">
        <f aca="false">IFERROR(__xludf.dummyfunction("if($T768&lt;&gt;"""",REGEXEXTRACT(SUBSTITUTE ($T768,N$1&amp;"" CE"",""""), N$1&amp;""[\w &amp;]*, (\d+\.\d+)""),"""")
"),"")</f>
        <v/>
      </c>
      <c r="O768" s="3" t="str">
        <f aca="false">IFERROR(__xludf.dummyfunction("if($T768&lt;&gt;"""",REGEXEXTRACT($T768, O$1&amp;""[\w &amp;]*, (\d+\.\d+)""),"""")
"),"")</f>
        <v/>
      </c>
      <c r="P768" s="2"/>
      <c r="Q768" s="2"/>
      <c r="R768" s="2"/>
      <c r="S768" s="2"/>
      <c r="T768" s="5"/>
    </row>
    <row r="769" customFormat="false" ht="15.75" hidden="false" customHeight="false" outlineLevel="0" collapsed="false">
      <c r="A769" s="4"/>
      <c r="B769" s="2"/>
      <c r="C769" s="2"/>
      <c r="D769" s="2"/>
      <c r="E769" s="2"/>
      <c r="F769" s="3" t="str">
        <f aca="false">IFERROR(__xludf.dummyfunction("if($T769&lt;&gt;"""",REGEXEXTRACT(SUBSTITUTE ($T769,F$1&amp;"" CE"",""""), F$1&amp;""[\w &amp;]*, (\d+\.\d+)""),"""")
"),"")</f>
        <v/>
      </c>
      <c r="G769" s="3" t="str">
        <f aca="false">IFERROR(__xludf.dummyfunction("if($T769&lt;&gt;"""",REGEXEXTRACT($T769, G$1&amp;""[\w &amp;]*, (\d+\.\d+)""),"""")
"),"")</f>
        <v/>
      </c>
      <c r="H769" s="3"/>
      <c r="I769" s="3" t="str">
        <f aca="false">IFERROR(__xludf.dummyfunction("if($T769&lt;&gt;"""",REGEXEXTRACT(SUBSTITUTE ($T769,I$1&amp;"" CE"",""""), I$1&amp;""[\w &amp;]*, (\d+\.\d+)""),"""")
"),"")</f>
        <v/>
      </c>
      <c r="J769" s="3" t="str">
        <f aca="false">IFERROR(__xludf.dummyfunction("if($T769&lt;&gt;"""",REGEXEXTRACT($T769, J$1&amp;""[\w &amp;]*, (\d+\.\d+)""),"""")
"),"")</f>
        <v/>
      </c>
      <c r="K769" s="3"/>
      <c r="L769" s="3" t="str">
        <f aca="false">IFERROR(__xludf.dummyfunction("if($T769&lt;&gt;"""",REGEXEXTRACT(SUBSTITUTE ($T769,L$1&amp;"" CE"",""""), L$1&amp;""[\w &amp;]*, (\d+\.\d+)""),"""")
"),"")</f>
        <v/>
      </c>
      <c r="M769" s="3" t="str">
        <f aca="false">IFERROR(__xludf.dummyfunction("if($T769&lt;&gt;"""",REGEXEXTRACT($T769, M$1&amp;""[\w &amp;]*, (\d+\.\d+)""),"""")
"),"")</f>
        <v/>
      </c>
      <c r="N769" s="3" t="str">
        <f aca="false">IFERROR(__xludf.dummyfunction("if($T769&lt;&gt;"""",REGEXEXTRACT(SUBSTITUTE ($T769,N$1&amp;"" CE"",""""), N$1&amp;""[\w &amp;]*, (\d+\.\d+)""),"""")
"),"")</f>
        <v/>
      </c>
      <c r="O769" s="3" t="str">
        <f aca="false">IFERROR(__xludf.dummyfunction("if($T769&lt;&gt;"""",REGEXEXTRACT($T769, O$1&amp;""[\w &amp;]*, (\d+\.\d+)""),"""")
"),"")</f>
        <v/>
      </c>
      <c r="P769" s="2"/>
      <c r="Q769" s="2"/>
      <c r="R769" s="2"/>
      <c r="S769" s="2"/>
      <c r="T769" s="5"/>
    </row>
    <row r="770" customFormat="false" ht="15.75" hidden="false" customHeight="false" outlineLevel="0" collapsed="false">
      <c r="A770" s="4"/>
      <c r="B770" s="2"/>
      <c r="C770" s="2"/>
      <c r="D770" s="2"/>
      <c r="E770" s="2"/>
      <c r="F770" s="3" t="str">
        <f aca="false">IFERROR(__xludf.dummyfunction("if($T770&lt;&gt;"""",REGEXEXTRACT(SUBSTITUTE ($T770,F$1&amp;"" CE"",""""), F$1&amp;""[\w &amp;]*, (\d+\.\d+)""),"""")
"),"")</f>
        <v/>
      </c>
      <c r="G770" s="3" t="str">
        <f aca="false">IFERROR(__xludf.dummyfunction("if($T770&lt;&gt;"""",REGEXEXTRACT($T770, G$1&amp;""[\w &amp;]*, (\d+\.\d+)""),"""")
"),"")</f>
        <v/>
      </c>
      <c r="H770" s="3"/>
      <c r="I770" s="3" t="str">
        <f aca="false">IFERROR(__xludf.dummyfunction("if($T770&lt;&gt;"""",REGEXEXTRACT(SUBSTITUTE ($T770,I$1&amp;"" CE"",""""), I$1&amp;""[\w &amp;]*, (\d+\.\d+)""),"""")
"),"")</f>
        <v/>
      </c>
      <c r="J770" s="3" t="str">
        <f aca="false">IFERROR(__xludf.dummyfunction("if($T770&lt;&gt;"""",REGEXEXTRACT($T770, J$1&amp;""[\w &amp;]*, (\d+\.\d+)""),"""")
"),"")</f>
        <v/>
      </c>
      <c r="K770" s="3"/>
      <c r="L770" s="3" t="str">
        <f aca="false">IFERROR(__xludf.dummyfunction("if($T770&lt;&gt;"""",REGEXEXTRACT(SUBSTITUTE ($T770,L$1&amp;"" CE"",""""), L$1&amp;""[\w &amp;]*, (\d+\.\d+)""),"""")
"),"")</f>
        <v/>
      </c>
      <c r="M770" s="3" t="str">
        <f aca="false">IFERROR(__xludf.dummyfunction("if($T770&lt;&gt;"""",REGEXEXTRACT($T770, M$1&amp;""[\w &amp;]*, (\d+\.\d+)""),"""")
"),"")</f>
        <v/>
      </c>
      <c r="N770" s="3" t="str">
        <f aca="false">IFERROR(__xludf.dummyfunction("if($T770&lt;&gt;"""",REGEXEXTRACT(SUBSTITUTE ($T770,N$1&amp;"" CE"",""""), N$1&amp;""[\w &amp;]*, (\d+\.\d+)""),"""")
"),"")</f>
        <v/>
      </c>
      <c r="O770" s="3" t="str">
        <f aca="false">IFERROR(__xludf.dummyfunction("if($T770&lt;&gt;"""",REGEXEXTRACT($T770, O$1&amp;""[\w &amp;]*, (\d+\.\d+)""),"""")
"),"")</f>
        <v/>
      </c>
      <c r="P770" s="2"/>
      <c r="Q770" s="2"/>
      <c r="R770" s="2"/>
      <c r="S770" s="2"/>
      <c r="T770" s="5"/>
    </row>
    <row r="771" customFormat="false" ht="15.75" hidden="false" customHeight="false" outlineLevel="0" collapsed="false">
      <c r="A771" s="4"/>
      <c r="B771" s="2"/>
      <c r="C771" s="2"/>
      <c r="D771" s="2"/>
      <c r="E771" s="2"/>
      <c r="F771" s="3" t="str">
        <f aca="false">IFERROR(__xludf.dummyfunction("if($T771&lt;&gt;"""",REGEXEXTRACT(SUBSTITUTE ($T771,F$1&amp;"" CE"",""""), F$1&amp;""[\w &amp;]*, (\d+\.\d+)""),"""")
"),"")</f>
        <v/>
      </c>
      <c r="G771" s="3" t="str">
        <f aca="false">IFERROR(__xludf.dummyfunction("if($T771&lt;&gt;"""",REGEXEXTRACT($T771, G$1&amp;""[\w &amp;]*, (\d+\.\d+)""),"""")
"),"")</f>
        <v/>
      </c>
      <c r="H771" s="3"/>
      <c r="I771" s="3" t="str">
        <f aca="false">IFERROR(__xludf.dummyfunction("if($T771&lt;&gt;"""",REGEXEXTRACT(SUBSTITUTE ($T771,I$1&amp;"" CE"",""""), I$1&amp;""[\w &amp;]*, (\d+\.\d+)""),"""")
"),"")</f>
        <v/>
      </c>
      <c r="J771" s="3" t="str">
        <f aca="false">IFERROR(__xludf.dummyfunction("if($T771&lt;&gt;"""",REGEXEXTRACT($T771, J$1&amp;""[\w &amp;]*, (\d+\.\d+)""),"""")
"),"")</f>
        <v/>
      </c>
      <c r="K771" s="3"/>
      <c r="L771" s="3" t="str">
        <f aca="false">IFERROR(__xludf.dummyfunction("if($T771&lt;&gt;"""",REGEXEXTRACT(SUBSTITUTE ($T771,L$1&amp;"" CE"",""""), L$1&amp;""[\w &amp;]*, (\d+\.\d+)""),"""")
"),"")</f>
        <v/>
      </c>
      <c r="M771" s="3" t="str">
        <f aca="false">IFERROR(__xludf.dummyfunction("if($T771&lt;&gt;"""",REGEXEXTRACT($T771, M$1&amp;""[\w &amp;]*, (\d+\.\d+)""),"""")
"),"")</f>
        <v/>
      </c>
      <c r="N771" s="3" t="str">
        <f aca="false">IFERROR(__xludf.dummyfunction("if($T771&lt;&gt;"""",REGEXEXTRACT(SUBSTITUTE ($T771,N$1&amp;"" CE"",""""), N$1&amp;""[\w &amp;]*, (\d+\.\d+)""),"""")
"),"")</f>
        <v/>
      </c>
      <c r="O771" s="3" t="str">
        <f aca="false">IFERROR(__xludf.dummyfunction("if($T771&lt;&gt;"""",REGEXEXTRACT($T771, O$1&amp;""[\w &amp;]*, (\d+\.\d+)""),"""")
"),"")</f>
        <v/>
      </c>
      <c r="P771" s="2"/>
      <c r="Q771" s="2"/>
      <c r="R771" s="2"/>
      <c r="S771" s="2"/>
      <c r="T771" s="5"/>
    </row>
    <row r="772" customFormat="false" ht="15.75" hidden="false" customHeight="false" outlineLevel="0" collapsed="false">
      <c r="A772" s="4"/>
      <c r="B772" s="2"/>
      <c r="C772" s="2"/>
      <c r="D772" s="2"/>
      <c r="E772" s="2"/>
      <c r="F772" s="3" t="str">
        <f aca="false">IFERROR(__xludf.dummyfunction("if($T772&lt;&gt;"""",REGEXEXTRACT(SUBSTITUTE ($T772,F$1&amp;"" CE"",""""), F$1&amp;""[\w &amp;]*, (\d+\.\d+)""),"""")
"),"")</f>
        <v/>
      </c>
      <c r="G772" s="3" t="str">
        <f aca="false">IFERROR(__xludf.dummyfunction("if($T772&lt;&gt;"""",REGEXEXTRACT($T772, G$1&amp;""[\w &amp;]*, (\d+\.\d+)""),"""")
"),"")</f>
        <v/>
      </c>
      <c r="H772" s="3"/>
      <c r="I772" s="3" t="str">
        <f aca="false">IFERROR(__xludf.dummyfunction("if($T772&lt;&gt;"""",REGEXEXTRACT(SUBSTITUTE ($T772,I$1&amp;"" CE"",""""), I$1&amp;""[\w &amp;]*, (\d+\.\d+)""),"""")
"),"")</f>
        <v/>
      </c>
      <c r="J772" s="3" t="str">
        <f aca="false">IFERROR(__xludf.dummyfunction("if($T772&lt;&gt;"""",REGEXEXTRACT($T772, J$1&amp;""[\w &amp;]*, (\d+\.\d+)""),"""")
"),"")</f>
        <v/>
      </c>
      <c r="K772" s="3"/>
      <c r="L772" s="3" t="str">
        <f aca="false">IFERROR(__xludf.dummyfunction("if($T772&lt;&gt;"""",REGEXEXTRACT(SUBSTITUTE ($T772,L$1&amp;"" CE"",""""), L$1&amp;""[\w &amp;]*, (\d+\.\d+)""),"""")
"),"")</f>
        <v/>
      </c>
      <c r="M772" s="3" t="str">
        <f aca="false">IFERROR(__xludf.dummyfunction("if($T772&lt;&gt;"""",REGEXEXTRACT($T772, M$1&amp;""[\w &amp;]*, (\d+\.\d+)""),"""")
"),"")</f>
        <v/>
      </c>
      <c r="N772" s="3" t="str">
        <f aca="false">IFERROR(__xludf.dummyfunction("if($T772&lt;&gt;"""",REGEXEXTRACT(SUBSTITUTE ($T772,N$1&amp;"" CE"",""""), N$1&amp;""[\w &amp;]*, (\d+\.\d+)""),"""")
"),"")</f>
        <v/>
      </c>
      <c r="O772" s="3" t="str">
        <f aca="false">IFERROR(__xludf.dummyfunction("if($T772&lt;&gt;"""",REGEXEXTRACT($T772, O$1&amp;""[\w &amp;]*, (\d+\.\d+)""),"""")
"),"")</f>
        <v/>
      </c>
      <c r="P772" s="2"/>
      <c r="Q772" s="2"/>
      <c r="R772" s="2"/>
      <c r="S772" s="2"/>
      <c r="T772" s="5"/>
    </row>
    <row r="773" customFormat="false" ht="15.75" hidden="false" customHeight="false" outlineLevel="0" collapsed="false">
      <c r="A773" s="4"/>
      <c r="B773" s="2"/>
      <c r="C773" s="2"/>
      <c r="D773" s="2"/>
      <c r="E773" s="2"/>
      <c r="F773" s="3" t="str">
        <f aca="false">IFERROR(__xludf.dummyfunction("if($T773&lt;&gt;"""",REGEXEXTRACT(SUBSTITUTE ($T773,F$1&amp;"" CE"",""""), F$1&amp;""[\w &amp;]*, (\d+\.\d+)""),"""")
"),"")</f>
        <v/>
      </c>
      <c r="G773" s="3" t="str">
        <f aca="false">IFERROR(__xludf.dummyfunction("if($T773&lt;&gt;"""",REGEXEXTRACT($T773, G$1&amp;""[\w &amp;]*, (\d+\.\d+)""),"""")
"),"")</f>
        <v/>
      </c>
      <c r="H773" s="3"/>
      <c r="I773" s="3" t="str">
        <f aca="false">IFERROR(__xludf.dummyfunction("if($T773&lt;&gt;"""",REGEXEXTRACT(SUBSTITUTE ($T773,I$1&amp;"" CE"",""""), I$1&amp;""[\w &amp;]*, (\d+\.\d+)""),"""")
"),"")</f>
        <v/>
      </c>
      <c r="J773" s="3" t="str">
        <f aca="false">IFERROR(__xludf.dummyfunction("if($T773&lt;&gt;"""",REGEXEXTRACT($T773, J$1&amp;""[\w &amp;]*, (\d+\.\d+)""),"""")
"),"")</f>
        <v/>
      </c>
      <c r="K773" s="3"/>
      <c r="L773" s="3" t="str">
        <f aca="false">IFERROR(__xludf.dummyfunction("if($T773&lt;&gt;"""",REGEXEXTRACT(SUBSTITUTE ($T773,L$1&amp;"" CE"",""""), L$1&amp;""[\w &amp;]*, (\d+\.\d+)""),"""")
"),"")</f>
        <v/>
      </c>
      <c r="M773" s="3" t="str">
        <f aca="false">IFERROR(__xludf.dummyfunction("if($T773&lt;&gt;"""",REGEXEXTRACT($T773, M$1&amp;""[\w &amp;]*, (\d+\.\d+)""),"""")
"),"")</f>
        <v/>
      </c>
      <c r="N773" s="3" t="str">
        <f aca="false">IFERROR(__xludf.dummyfunction("if($T773&lt;&gt;"""",REGEXEXTRACT(SUBSTITUTE ($T773,N$1&amp;"" CE"",""""), N$1&amp;""[\w &amp;]*, (\d+\.\d+)""),"""")
"),"")</f>
        <v/>
      </c>
      <c r="O773" s="3" t="str">
        <f aca="false">IFERROR(__xludf.dummyfunction("if($T773&lt;&gt;"""",REGEXEXTRACT($T773, O$1&amp;""[\w &amp;]*, (\d+\.\d+)""),"""")
"),"")</f>
        <v/>
      </c>
      <c r="P773" s="2"/>
      <c r="Q773" s="2"/>
      <c r="R773" s="2"/>
      <c r="S773" s="2"/>
      <c r="T773" s="5"/>
    </row>
    <row r="774" customFormat="false" ht="15.75" hidden="false" customHeight="false" outlineLevel="0" collapsed="false">
      <c r="A774" s="4"/>
      <c r="B774" s="2"/>
      <c r="C774" s="2"/>
      <c r="D774" s="2"/>
      <c r="E774" s="2"/>
      <c r="F774" s="3" t="str">
        <f aca="false">IFERROR(__xludf.dummyfunction("if($T774&lt;&gt;"""",REGEXEXTRACT(SUBSTITUTE ($T774,F$1&amp;"" CE"",""""), F$1&amp;""[\w &amp;]*, (\d+\.\d+)""),"""")
"),"")</f>
        <v/>
      </c>
      <c r="G774" s="3" t="str">
        <f aca="false">IFERROR(__xludf.dummyfunction("if($T774&lt;&gt;"""",REGEXEXTRACT($T774, G$1&amp;""[\w &amp;]*, (\d+\.\d+)""),"""")
"),"")</f>
        <v/>
      </c>
      <c r="H774" s="3"/>
      <c r="I774" s="3" t="str">
        <f aca="false">IFERROR(__xludf.dummyfunction("if($T774&lt;&gt;"""",REGEXEXTRACT(SUBSTITUTE ($T774,I$1&amp;"" CE"",""""), I$1&amp;""[\w &amp;]*, (\d+\.\d+)""),"""")
"),"")</f>
        <v/>
      </c>
      <c r="J774" s="3" t="str">
        <f aca="false">IFERROR(__xludf.dummyfunction("if($T774&lt;&gt;"""",REGEXEXTRACT($T774, J$1&amp;""[\w &amp;]*, (\d+\.\d+)""),"""")
"),"")</f>
        <v/>
      </c>
      <c r="K774" s="3"/>
      <c r="L774" s="3" t="str">
        <f aca="false">IFERROR(__xludf.dummyfunction("if($T774&lt;&gt;"""",REGEXEXTRACT(SUBSTITUTE ($T774,L$1&amp;"" CE"",""""), L$1&amp;""[\w &amp;]*, (\d+\.\d+)""),"""")
"),"")</f>
        <v/>
      </c>
      <c r="M774" s="3" t="str">
        <f aca="false">IFERROR(__xludf.dummyfunction("if($T774&lt;&gt;"""",REGEXEXTRACT($T774, M$1&amp;""[\w &amp;]*, (\d+\.\d+)""),"""")
"),"")</f>
        <v/>
      </c>
      <c r="N774" s="3" t="str">
        <f aca="false">IFERROR(__xludf.dummyfunction("if($T774&lt;&gt;"""",REGEXEXTRACT(SUBSTITUTE ($T774,N$1&amp;"" CE"",""""), N$1&amp;""[\w &amp;]*, (\d+\.\d+)""),"""")
"),"")</f>
        <v/>
      </c>
      <c r="O774" s="3" t="str">
        <f aca="false">IFERROR(__xludf.dummyfunction("if($T774&lt;&gt;"""",REGEXEXTRACT($T774, O$1&amp;""[\w &amp;]*, (\d+\.\d+)""),"""")
"),"")</f>
        <v/>
      </c>
      <c r="P774" s="2"/>
      <c r="Q774" s="2"/>
      <c r="R774" s="2"/>
      <c r="S774" s="2"/>
      <c r="T774" s="5"/>
    </row>
    <row r="775" customFormat="false" ht="15.75" hidden="false" customHeight="false" outlineLevel="0" collapsed="false">
      <c r="A775" s="4"/>
      <c r="B775" s="2"/>
      <c r="C775" s="2"/>
      <c r="D775" s="2"/>
      <c r="E775" s="2"/>
      <c r="F775" s="3" t="str">
        <f aca="false">IFERROR(__xludf.dummyfunction("if($T775&lt;&gt;"""",REGEXEXTRACT(SUBSTITUTE ($T775,F$1&amp;"" CE"",""""), F$1&amp;""[\w &amp;]*, (\d+\.\d+)""),"""")
"),"")</f>
        <v/>
      </c>
      <c r="G775" s="3" t="str">
        <f aca="false">IFERROR(__xludf.dummyfunction("if($T775&lt;&gt;"""",REGEXEXTRACT($T775, G$1&amp;""[\w &amp;]*, (\d+\.\d+)""),"""")
"),"")</f>
        <v/>
      </c>
      <c r="H775" s="3"/>
      <c r="I775" s="3" t="str">
        <f aca="false">IFERROR(__xludf.dummyfunction("if($T775&lt;&gt;"""",REGEXEXTRACT(SUBSTITUTE ($T775,I$1&amp;"" CE"",""""), I$1&amp;""[\w &amp;]*, (\d+\.\d+)""),"""")
"),"")</f>
        <v/>
      </c>
      <c r="J775" s="3" t="str">
        <f aca="false">IFERROR(__xludf.dummyfunction("if($T775&lt;&gt;"""",REGEXEXTRACT($T775, J$1&amp;""[\w &amp;]*, (\d+\.\d+)""),"""")
"),"")</f>
        <v/>
      </c>
      <c r="K775" s="3"/>
      <c r="L775" s="3" t="str">
        <f aca="false">IFERROR(__xludf.dummyfunction("if($T775&lt;&gt;"""",REGEXEXTRACT(SUBSTITUTE ($T775,L$1&amp;"" CE"",""""), L$1&amp;""[\w &amp;]*, (\d+\.\d+)""),"""")
"),"")</f>
        <v/>
      </c>
      <c r="M775" s="3" t="str">
        <f aca="false">IFERROR(__xludf.dummyfunction("if($T775&lt;&gt;"""",REGEXEXTRACT($T775, M$1&amp;""[\w &amp;]*, (\d+\.\d+)""),"""")
"),"")</f>
        <v/>
      </c>
      <c r="N775" s="3" t="str">
        <f aca="false">IFERROR(__xludf.dummyfunction("if($T775&lt;&gt;"""",REGEXEXTRACT(SUBSTITUTE ($T775,N$1&amp;"" CE"",""""), N$1&amp;""[\w &amp;]*, (\d+\.\d+)""),"""")
"),"")</f>
        <v/>
      </c>
      <c r="O775" s="3" t="str">
        <f aca="false">IFERROR(__xludf.dummyfunction("if($T775&lt;&gt;"""",REGEXEXTRACT($T775, O$1&amp;""[\w &amp;]*, (\d+\.\d+)""),"""")
"),"")</f>
        <v/>
      </c>
      <c r="P775" s="2"/>
      <c r="Q775" s="2"/>
      <c r="R775" s="2"/>
      <c r="S775" s="2"/>
      <c r="T775" s="5"/>
    </row>
    <row r="776" customFormat="false" ht="15.75" hidden="false" customHeight="false" outlineLevel="0" collapsed="false">
      <c r="A776" s="4"/>
      <c r="B776" s="2"/>
      <c r="C776" s="2"/>
      <c r="D776" s="2"/>
      <c r="E776" s="2"/>
      <c r="F776" s="3" t="str">
        <f aca="false">IFERROR(__xludf.dummyfunction("if($T776&lt;&gt;"""",REGEXEXTRACT(SUBSTITUTE ($T776,F$1&amp;"" CE"",""""), F$1&amp;""[\w &amp;]*, (\d+\.\d+)""),"""")
"),"")</f>
        <v/>
      </c>
      <c r="G776" s="3" t="str">
        <f aca="false">IFERROR(__xludf.dummyfunction("if($T776&lt;&gt;"""",REGEXEXTRACT($T776, G$1&amp;""[\w &amp;]*, (\d+\.\d+)""),"""")
"),"")</f>
        <v/>
      </c>
      <c r="H776" s="3"/>
      <c r="I776" s="3" t="str">
        <f aca="false">IFERROR(__xludf.dummyfunction("if($T776&lt;&gt;"""",REGEXEXTRACT(SUBSTITUTE ($T776,I$1&amp;"" CE"",""""), I$1&amp;""[\w &amp;]*, (\d+\.\d+)""),"""")
"),"")</f>
        <v/>
      </c>
      <c r="J776" s="3" t="str">
        <f aca="false">IFERROR(__xludf.dummyfunction("if($T776&lt;&gt;"""",REGEXEXTRACT($T776, J$1&amp;""[\w &amp;]*, (\d+\.\d+)""),"""")
"),"")</f>
        <v/>
      </c>
      <c r="K776" s="3"/>
      <c r="L776" s="3" t="str">
        <f aca="false">IFERROR(__xludf.dummyfunction("if($T776&lt;&gt;"""",REGEXEXTRACT(SUBSTITUTE ($T776,L$1&amp;"" CE"",""""), L$1&amp;""[\w &amp;]*, (\d+\.\d+)""),"""")
"),"")</f>
        <v/>
      </c>
      <c r="M776" s="3" t="str">
        <f aca="false">IFERROR(__xludf.dummyfunction("if($T776&lt;&gt;"""",REGEXEXTRACT($T776, M$1&amp;""[\w &amp;]*, (\d+\.\d+)""),"""")
"),"")</f>
        <v/>
      </c>
      <c r="N776" s="3" t="str">
        <f aca="false">IFERROR(__xludf.dummyfunction("if($T776&lt;&gt;"""",REGEXEXTRACT(SUBSTITUTE ($T776,N$1&amp;"" CE"",""""), N$1&amp;""[\w &amp;]*, (\d+\.\d+)""),"""")
"),"")</f>
        <v/>
      </c>
      <c r="O776" s="3" t="str">
        <f aca="false">IFERROR(__xludf.dummyfunction("if($T776&lt;&gt;"""",REGEXEXTRACT($T776, O$1&amp;""[\w &amp;]*, (\d+\.\d+)""),"""")
"),"")</f>
        <v/>
      </c>
      <c r="P776" s="2"/>
      <c r="Q776" s="2"/>
      <c r="R776" s="2"/>
      <c r="S776" s="2"/>
      <c r="T776" s="5"/>
    </row>
    <row r="777" customFormat="false" ht="15.75" hidden="false" customHeight="false" outlineLevel="0" collapsed="false">
      <c r="A777" s="4"/>
      <c r="B777" s="2"/>
      <c r="C777" s="2"/>
      <c r="D777" s="2"/>
      <c r="E777" s="2"/>
      <c r="F777" s="3" t="str">
        <f aca="false">IFERROR(__xludf.dummyfunction("if($T777&lt;&gt;"""",REGEXEXTRACT(SUBSTITUTE ($T777,F$1&amp;"" CE"",""""), F$1&amp;""[\w &amp;]*, (\d+\.\d+)""),"""")
"),"")</f>
        <v/>
      </c>
      <c r="G777" s="3" t="str">
        <f aca="false">IFERROR(__xludf.dummyfunction("if($T777&lt;&gt;"""",REGEXEXTRACT($T777, G$1&amp;""[\w &amp;]*, (\d+\.\d+)""),"""")
"),"")</f>
        <v/>
      </c>
      <c r="H777" s="3"/>
      <c r="I777" s="3" t="str">
        <f aca="false">IFERROR(__xludf.dummyfunction("if($T777&lt;&gt;"""",REGEXEXTRACT(SUBSTITUTE ($T777,I$1&amp;"" CE"",""""), I$1&amp;""[\w &amp;]*, (\d+\.\d+)""),"""")
"),"")</f>
        <v/>
      </c>
      <c r="J777" s="3" t="str">
        <f aca="false">IFERROR(__xludf.dummyfunction("if($T777&lt;&gt;"""",REGEXEXTRACT($T777, J$1&amp;""[\w &amp;]*, (\d+\.\d+)""),"""")
"),"")</f>
        <v/>
      </c>
      <c r="K777" s="3"/>
      <c r="L777" s="3" t="str">
        <f aca="false">IFERROR(__xludf.dummyfunction("if($T777&lt;&gt;"""",REGEXEXTRACT(SUBSTITUTE ($T777,L$1&amp;"" CE"",""""), L$1&amp;""[\w &amp;]*, (\d+\.\d+)""),"""")
"),"")</f>
        <v/>
      </c>
      <c r="M777" s="3" t="str">
        <f aca="false">IFERROR(__xludf.dummyfunction("if($T777&lt;&gt;"""",REGEXEXTRACT($T777, M$1&amp;""[\w &amp;]*, (\d+\.\d+)""),"""")
"),"")</f>
        <v/>
      </c>
      <c r="N777" s="3" t="str">
        <f aca="false">IFERROR(__xludf.dummyfunction("if($T777&lt;&gt;"""",REGEXEXTRACT(SUBSTITUTE ($T777,N$1&amp;"" CE"",""""), N$1&amp;""[\w &amp;]*, (\d+\.\d+)""),"""")
"),"")</f>
        <v/>
      </c>
      <c r="O777" s="3" t="str">
        <f aca="false">IFERROR(__xludf.dummyfunction("if($T777&lt;&gt;"""",REGEXEXTRACT($T777, O$1&amp;""[\w &amp;]*, (\d+\.\d+)""),"""")
"),"")</f>
        <v/>
      </c>
      <c r="P777" s="2"/>
      <c r="Q777" s="2"/>
      <c r="R777" s="2"/>
      <c r="S777" s="2"/>
      <c r="T777" s="5"/>
    </row>
    <row r="778" customFormat="false" ht="15.75" hidden="false" customHeight="false" outlineLevel="0" collapsed="false">
      <c r="A778" s="4"/>
      <c r="B778" s="2"/>
      <c r="C778" s="2"/>
      <c r="D778" s="2"/>
      <c r="E778" s="2"/>
      <c r="F778" s="3" t="str">
        <f aca="false">IFERROR(__xludf.dummyfunction("if($T778&lt;&gt;"""",REGEXEXTRACT(SUBSTITUTE ($T778,F$1&amp;"" CE"",""""), F$1&amp;""[\w &amp;]*, (\d+\.\d+)""),"""")
"),"")</f>
        <v/>
      </c>
      <c r="G778" s="3" t="str">
        <f aca="false">IFERROR(__xludf.dummyfunction("if($T778&lt;&gt;"""",REGEXEXTRACT($T778, G$1&amp;""[\w &amp;]*, (\d+\.\d+)""),"""")
"),"")</f>
        <v/>
      </c>
      <c r="H778" s="3"/>
      <c r="I778" s="3" t="str">
        <f aca="false">IFERROR(__xludf.dummyfunction("if($T778&lt;&gt;"""",REGEXEXTRACT(SUBSTITUTE ($T778,I$1&amp;"" CE"",""""), I$1&amp;""[\w &amp;]*, (\d+\.\d+)""),"""")
"),"")</f>
        <v/>
      </c>
      <c r="J778" s="3" t="str">
        <f aca="false">IFERROR(__xludf.dummyfunction("if($T778&lt;&gt;"""",REGEXEXTRACT($T778, J$1&amp;""[\w &amp;]*, (\d+\.\d+)""),"""")
"),"")</f>
        <v/>
      </c>
      <c r="K778" s="3"/>
      <c r="L778" s="3" t="str">
        <f aca="false">IFERROR(__xludf.dummyfunction("if($T778&lt;&gt;"""",REGEXEXTRACT(SUBSTITUTE ($T778,L$1&amp;"" CE"",""""), L$1&amp;""[\w &amp;]*, (\d+\.\d+)""),"""")
"),"")</f>
        <v/>
      </c>
      <c r="M778" s="3" t="str">
        <f aca="false">IFERROR(__xludf.dummyfunction("if($T778&lt;&gt;"""",REGEXEXTRACT($T778, M$1&amp;""[\w &amp;]*, (\d+\.\d+)""),"""")
"),"")</f>
        <v/>
      </c>
      <c r="N778" s="3" t="str">
        <f aca="false">IFERROR(__xludf.dummyfunction("if($T778&lt;&gt;"""",REGEXEXTRACT(SUBSTITUTE ($T778,N$1&amp;"" CE"",""""), N$1&amp;""[\w &amp;]*, (\d+\.\d+)""),"""")
"),"")</f>
        <v/>
      </c>
      <c r="O778" s="3" t="str">
        <f aca="false">IFERROR(__xludf.dummyfunction("if($T778&lt;&gt;"""",REGEXEXTRACT($T778, O$1&amp;""[\w &amp;]*, (\d+\.\d+)""),"""")
"),"")</f>
        <v/>
      </c>
      <c r="P778" s="2"/>
      <c r="Q778" s="2"/>
      <c r="R778" s="2"/>
      <c r="S778" s="2"/>
      <c r="T778" s="5"/>
    </row>
    <row r="779" customFormat="false" ht="15.75" hidden="false" customHeight="false" outlineLevel="0" collapsed="false">
      <c r="A779" s="4"/>
      <c r="B779" s="2"/>
      <c r="C779" s="2"/>
      <c r="D779" s="2"/>
      <c r="E779" s="2"/>
      <c r="F779" s="3" t="str">
        <f aca="false">IFERROR(__xludf.dummyfunction("if($T779&lt;&gt;"""",REGEXEXTRACT(SUBSTITUTE ($T779,F$1&amp;"" CE"",""""), F$1&amp;""[\w &amp;]*, (\d+\.\d+)""),"""")
"),"")</f>
        <v/>
      </c>
      <c r="G779" s="3" t="str">
        <f aca="false">IFERROR(__xludf.dummyfunction("if($T779&lt;&gt;"""",REGEXEXTRACT($T779, G$1&amp;""[\w &amp;]*, (\d+\.\d+)""),"""")
"),"")</f>
        <v/>
      </c>
      <c r="H779" s="3"/>
      <c r="I779" s="3" t="str">
        <f aca="false">IFERROR(__xludf.dummyfunction("if($T779&lt;&gt;"""",REGEXEXTRACT(SUBSTITUTE ($T779,I$1&amp;"" CE"",""""), I$1&amp;""[\w &amp;]*, (\d+\.\d+)""),"""")
"),"")</f>
        <v/>
      </c>
      <c r="J779" s="3" t="str">
        <f aca="false">IFERROR(__xludf.dummyfunction("if($T779&lt;&gt;"""",REGEXEXTRACT($T779, J$1&amp;""[\w &amp;]*, (\d+\.\d+)""),"""")
"),"")</f>
        <v/>
      </c>
      <c r="K779" s="3"/>
      <c r="L779" s="3" t="str">
        <f aca="false">IFERROR(__xludf.dummyfunction("if($T779&lt;&gt;"""",REGEXEXTRACT(SUBSTITUTE ($T779,L$1&amp;"" CE"",""""), L$1&amp;""[\w &amp;]*, (\d+\.\d+)""),"""")
"),"")</f>
        <v/>
      </c>
      <c r="M779" s="3" t="str">
        <f aca="false">IFERROR(__xludf.dummyfunction("if($T779&lt;&gt;"""",REGEXEXTRACT($T779, M$1&amp;""[\w &amp;]*, (\d+\.\d+)""),"""")
"),"")</f>
        <v/>
      </c>
      <c r="N779" s="3" t="str">
        <f aca="false">IFERROR(__xludf.dummyfunction("if($T779&lt;&gt;"""",REGEXEXTRACT(SUBSTITUTE ($T779,N$1&amp;"" CE"",""""), N$1&amp;""[\w &amp;]*, (\d+\.\d+)""),"""")
"),"")</f>
        <v/>
      </c>
      <c r="O779" s="3" t="str">
        <f aca="false">IFERROR(__xludf.dummyfunction("if($T779&lt;&gt;"""",REGEXEXTRACT($T779, O$1&amp;""[\w &amp;]*, (\d+\.\d+)""),"""")
"),"")</f>
        <v/>
      </c>
      <c r="P779" s="2"/>
      <c r="Q779" s="2"/>
      <c r="R779" s="2"/>
      <c r="S779" s="2"/>
      <c r="T779" s="5"/>
    </row>
    <row r="780" customFormat="false" ht="15.75" hidden="false" customHeight="false" outlineLevel="0" collapsed="false">
      <c r="A780" s="4"/>
      <c r="B780" s="2"/>
      <c r="C780" s="2"/>
      <c r="D780" s="2"/>
      <c r="E780" s="2"/>
      <c r="F780" s="3" t="str">
        <f aca="false">IFERROR(__xludf.dummyfunction("if($T780&lt;&gt;"""",REGEXEXTRACT(SUBSTITUTE ($T780,F$1&amp;"" CE"",""""), F$1&amp;""[\w &amp;]*, (\d+\.\d+)""),"""")
"),"")</f>
        <v/>
      </c>
      <c r="G780" s="3" t="str">
        <f aca="false">IFERROR(__xludf.dummyfunction("if($T780&lt;&gt;"""",REGEXEXTRACT($T780, G$1&amp;""[\w &amp;]*, (\d+\.\d+)""),"""")
"),"")</f>
        <v/>
      </c>
      <c r="H780" s="3"/>
      <c r="I780" s="3" t="str">
        <f aca="false">IFERROR(__xludf.dummyfunction("if($T780&lt;&gt;"""",REGEXEXTRACT(SUBSTITUTE ($T780,I$1&amp;"" CE"",""""), I$1&amp;""[\w &amp;]*, (\d+\.\d+)""),"""")
"),"")</f>
        <v/>
      </c>
      <c r="J780" s="3" t="str">
        <f aca="false">IFERROR(__xludf.dummyfunction("if($T780&lt;&gt;"""",REGEXEXTRACT($T780, J$1&amp;""[\w &amp;]*, (\d+\.\d+)""),"""")
"),"")</f>
        <v/>
      </c>
      <c r="K780" s="3"/>
      <c r="L780" s="3" t="str">
        <f aca="false">IFERROR(__xludf.dummyfunction("if($T780&lt;&gt;"""",REGEXEXTRACT(SUBSTITUTE ($T780,L$1&amp;"" CE"",""""), L$1&amp;""[\w &amp;]*, (\d+\.\d+)""),"""")
"),"")</f>
        <v/>
      </c>
      <c r="M780" s="3" t="str">
        <f aca="false">IFERROR(__xludf.dummyfunction("if($T780&lt;&gt;"""",REGEXEXTRACT($T780, M$1&amp;""[\w &amp;]*, (\d+\.\d+)""),"""")
"),"")</f>
        <v/>
      </c>
      <c r="N780" s="3" t="str">
        <f aca="false">IFERROR(__xludf.dummyfunction("if($T780&lt;&gt;"""",REGEXEXTRACT(SUBSTITUTE ($T780,N$1&amp;"" CE"",""""), N$1&amp;""[\w &amp;]*, (\d+\.\d+)""),"""")
"),"")</f>
        <v/>
      </c>
      <c r="O780" s="3" t="str">
        <f aca="false">IFERROR(__xludf.dummyfunction("if($T780&lt;&gt;"""",REGEXEXTRACT($T780, O$1&amp;""[\w &amp;]*, (\d+\.\d+)""),"""")
"),"")</f>
        <v/>
      </c>
      <c r="P780" s="2"/>
      <c r="Q780" s="2"/>
      <c r="R780" s="2"/>
      <c r="S780" s="2"/>
      <c r="T780" s="5"/>
    </row>
    <row r="781" customFormat="false" ht="15.75" hidden="false" customHeight="false" outlineLevel="0" collapsed="false">
      <c r="A781" s="4"/>
      <c r="B781" s="2"/>
      <c r="C781" s="2"/>
      <c r="D781" s="2"/>
      <c r="E781" s="2"/>
      <c r="F781" s="3" t="str">
        <f aca="false">IFERROR(__xludf.dummyfunction("if($T781&lt;&gt;"""",REGEXEXTRACT(SUBSTITUTE ($T781,F$1&amp;"" CE"",""""), F$1&amp;""[\w &amp;]*, (\d+\.\d+)""),"""")
"),"")</f>
        <v/>
      </c>
      <c r="G781" s="3" t="str">
        <f aca="false">IFERROR(__xludf.dummyfunction("if($T781&lt;&gt;"""",REGEXEXTRACT($T781, G$1&amp;""[\w &amp;]*, (\d+\.\d+)""),"""")
"),"")</f>
        <v/>
      </c>
      <c r="H781" s="3"/>
      <c r="I781" s="3" t="str">
        <f aca="false">IFERROR(__xludf.dummyfunction("if($T781&lt;&gt;"""",REGEXEXTRACT(SUBSTITUTE ($T781,I$1&amp;"" CE"",""""), I$1&amp;""[\w &amp;]*, (\d+\.\d+)""),"""")
"),"")</f>
        <v/>
      </c>
      <c r="J781" s="3" t="str">
        <f aca="false">IFERROR(__xludf.dummyfunction("if($T781&lt;&gt;"""",REGEXEXTRACT($T781, J$1&amp;""[\w &amp;]*, (\d+\.\d+)""),"""")
"),"")</f>
        <v/>
      </c>
      <c r="K781" s="3"/>
      <c r="L781" s="3" t="str">
        <f aca="false">IFERROR(__xludf.dummyfunction("if($T781&lt;&gt;"""",REGEXEXTRACT(SUBSTITUTE ($T781,L$1&amp;"" CE"",""""), L$1&amp;""[\w &amp;]*, (\d+\.\d+)""),"""")
"),"")</f>
        <v/>
      </c>
      <c r="M781" s="3" t="str">
        <f aca="false">IFERROR(__xludf.dummyfunction("if($T781&lt;&gt;"""",REGEXEXTRACT($T781, M$1&amp;""[\w &amp;]*, (\d+\.\d+)""),"""")
"),"")</f>
        <v/>
      </c>
      <c r="N781" s="3" t="str">
        <f aca="false">IFERROR(__xludf.dummyfunction("if($T781&lt;&gt;"""",REGEXEXTRACT(SUBSTITUTE ($T781,N$1&amp;"" CE"",""""), N$1&amp;""[\w &amp;]*, (\d+\.\d+)""),"""")
"),"")</f>
        <v/>
      </c>
      <c r="O781" s="3" t="str">
        <f aca="false">IFERROR(__xludf.dummyfunction("if($T781&lt;&gt;"""",REGEXEXTRACT($T781, O$1&amp;""[\w &amp;]*, (\d+\.\d+)""),"""")
"),"")</f>
        <v/>
      </c>
      <c r="P781" s="2"/>
      <c r="Q781" s="2"/>
      <c r="R781" s="2"/>
      <c r="S781" s="2"/>
      <c r="T781" s="5"/>
    </row>
    <row r="782" customFormat="false" ht="15.75" hidden="false" customHeight="false" outlineLevel="0" collapsed="false">
      <c r="A782" s="4"/>
      <c r="B782" s="2"/>
      <c r="C782" s="2"/>
      <c r="D782" s="2"/>
      <c r="E782" s="2"/>
      <c r="F782" s="3" t="str">
        <f aca="false">IFERROR(__xludf.dummyfunction("if($T782&lt;&gt;"""",REGEXEXTRACT(SUBSTITUTE ($T782,F$1&amp;"" CE"",""""), F$1&amp;""[\w &amp;]*, (\d+\.\d+)""),"""")
"),"")</f>
        <v/>
      </c>
      <c r="G782" s="3" t="str">
        <f aca="false">IFERROR(__xludf.dummyfunction("if($T782&lt;&gt;"""",REGEXEXTRACT($T782, G$1&amp;""[\w &amp;]*, (\d+\.\d+)""),"""")
"),"")</f>
        <v/>
      </c>
      <c r="H782" s="3"/>
      <c r="I782" s="3" t="str">
        <f aca="false">IFERROR(__xludf.dummyfunction("if($T782&lt;&gt;"""",REGEXEXTRACT(SUBSTITUTE ($T782,I$1&amp;"" CE"",""""), I$1&amp;""[\w &amp;]*, (\d+\.\d+)""),"""")
"),"")</f>
        <v/>
      </c>
      <c r="J782" s="3" t="str">
        <f aca="false">IFERROR(__xludf.dummyfunction("if($T782&lt;&gt;"""",REGEXEXTRACT($T782, J$1&amp;""[\w &amp;]*, (\d+\.\d+)""),"""")
"),"")</f>
        <v/>
      </c>
      <c r="K782" s="3"/>
      <c r="L782" s="3" t="str">
        <f aca="false">IFERROR(__xludf.dummyfunction("if($T782&lt;&gt;"""",REGEXEXTRACT(SUBSTITUTE ($T782,L$1&amp;"" CE"",""""), L$1&amp;""[\w &amp;]*, (\d+\.\d+)""),"""")
"),"")</f>
        <v/>
      </c>
      <c r="M782" s="3" t="str">
        <f aca="false">IFERROR(__xludf.dummyfunction("if($T782&lt;&gt;"""",REGEXEXTRACT($T782, M$1&amp;""[\w &amp;]*, (\d+\.\d+)""),"""")
"),"")</f>
        <v/>
      </c>
      <c r="N782" s="3" t="str">
        <f aca="false">IFERROR(__xludf.dummyfunction("if($T782&lt;&gt;"""",REGEXEXTRACT(SUBSTITUTE ($T782,N$1&amp;"" CE"",""""), N$1&amp;""[\w &amp;]*, (\d+\.\d+)""),"""")
"),"")</f>
        <v/>
      </c>
      <c r="O782" s="3" t="str">
        <f aca="false">IFERROR(__xludf.dummyfunction("if($T782&lt;&gt;"""",REGEXEXTRACT($T782, O$1&amp;""[\w &amp;]*, (\d+\.\d+)""),"""")
"),"")</f>
        <v/>
      </c>
      <c r="P782" s="2"/>
      <c r="Q782" s="2"/>
      <c r="R782" s="2"/>
      <c r="S782" s="2"/>
      <c r="T782" s="5"/>
    </row>
    <row r="783" customFormat="false" ht="15.75" hidden="false" customHeight="false" outlineLevel="0" collapsed="false">
      <c r="A783" s="4"/>
      <c r="B783" s="2"/>
      <c r="C783" s="2"/>
      <c r="D783" s="2"/>
      <c r="E783" s="2"/>
      <c r="F783" s="3" t="str">
        <f aca="false">IFERROR(__xludf.dummyfunction("if($T783&lt;&gt;"""",REGEXEXTRACT(SUBSTITUTE ($T783,F$1&amp;"" CE"",""""), F$1&amp;""[\w &amp;]*, (\d+\.\d+)""),"""")
"),"")</f>
        <v/>
      </c>
      <c r="G783" s="3" t="str">
        <f aca="false">IFERROR(__xludf.dummyfunction("if($T783&lt;&gt;"""",REGEXEXTRACT($T783, G$1&amp;""[\w &amp;]*, (\d+\.\d+)""),"""")
"),"")</f>
        <v/>
      </c>
      <c r="H783" s="3"/>
      <c r="I783" s="3" t="str">
        <f aca="false">IFERROR(__xludf.dummyfunction("if($T783&lt;&gt;"""",REGEXEXTRACT(SUBSTITUTE ($T783,I$1&amp;"" CE"",""""), I$1&amp;""[\w &amp;]*, (\d+\.\d+)""),"""")
"),"")</f>
        <v/>
      </c>
      <c r="J783" s="3" t="str">
        <f aca="false">IFERROR(__xludf.dummyfunction("if($T783&lt;&gt;"""",REGEXEXTRACT($T783, J$1&amp;""[\w &amp;]*, (\d+\.\d+)""),"""")
"),"")</f>
        <v/>
      </c>
      <c r="K783" s="3"/>
      <c r="L783" s="3" t="str">
        <f aca="false">IFERROR(__xludf.dummyfunction("if($T783&lt;&gt;"""",REGEXEXTRACT(SUBSTITUTE ($T783,L$1&amp;"" CE"",""""), L$1&amp;""[\w &amp;]*, (\d+\.\d+)""),"""")
"),"")</f>
        <v/>
      </c>
      <c r="M783" s="3" t="str">
        <f aca="false">IFERROR(__xludf.dummyfunction("if($T783&lt;&gt;"""",REGEXEXTRACT($T783, M$1&amp;""[\w &amp;]*, (\d+\.\d+)""),"""")
"),"")</f>
        <v/>
      </c>
      <c r="N783" s="3" t="str">
        <f aca="false">IFERROR(__xludf.dummyfunction("if($T783&lt;&gt;"""",REGEXEXTRACT(SUBSTITUTE ($T783,N$1&amp;"" CE"",""""), N$1&amp;""[\w &amp;]*, (\d+\.\d+)""),"""")
"),"")</f>
        <v/>
      </c>
      <c r="O783" s="3" t="str">
        <f aca="false">IFERROR(__xludf.dummyfunction("if($T783&lt;&gt;"""",REGEXEXTRACT($T783, O$1&amp;""[\w &amp;]*, (\d+\.\d+)""),"""")
"),"")</f>
        <v/>
      </c>
      <c r="P783" s="2"/>
      <c r="Q783" s="2"/>
      <c r="R783" s="2"/>
      <c r="S783" s="2"/>
      <c r="T783" s="5"/>
    </row>
    <row r="784" customFormat="false" ht="15.75" hidden="false" customHeight="false" outlineLevel="0" collapsed="false">
      <c r="A784" s="4"/>
      <c r="B784" s="2"/>
      <c r="C784" s="2"/>
      <c r="D784" s="2"/>
      <c r="E784" s="2"/>
      <c r="F784" s="3" t="str">
        <f aca="false">IFERROR(__xludf.dummyfunction("if($T784&lt;&gt;"""",REGEXEXTRACT(SUBSTITUTE ($T784,F$1&amp;"" CE"",""""), F$1&amp;""[\w &amp;]*, (\d+\.\d+)""),"""")
"),"")</f>
        <v/>
      </c>
      <c r="G784" s="3" t="str">
        <f aca="false">IFERROR(__xludf.dummyfunction("if($T784&lt;&gt;"""",REGEXEXTRACT($T784, G$1&amp;""[\w &amp;]*, (\d+\.\d+)""),"""")
"),"")</f>
        <v/>
      </c>
      <c r="H784" s="3"/>
      <c r="I784" s="3" t="str">
        <f aca="false">IFERROR(__xludf.dummyfunction("if($T784&lt;&gt;"""",REGEXEXTRACT(SUBSTITUTE ($T784,I$1&amp;"" CE"",""""), I$1&amp;""[\w &amp;]*, (\d+\.\d+)""),"""")
"),"")</f>
        <v/>
      </c>
      <c r="J784" s="3" t="str">
        <f aca="false">IFERROR(__xludf.dummyfunction("if($T784&lt;&gt;"""",REGEXEXTRACT($T784, J$1&amp;""[\w &amp;]*, (\d+\.\d+)""),"""")
"),"")</f>
        <v/>
      </c>
      <c r="K784" s="3"/>
      <c r="L784" s="3" t="str">
        <f aca="false">IFERROR(__xludf.dummyfunction("if($T784&lt;&gt;"""",REGEXEXTRACT(SUBSTITUTE ($T784,L$1&amp;"" CE"",""""), L$1&amp;""[\w &amp;]*, (\d+\.\d+)""),"""")
"),"")</f>
        <v/>
      </c>
      <c r="M784" s="3" t="str">
        <f aca="false">IFERROR(__xludf.dummyfunction("if($T784&lt;&gt;"""",REGEXEXTRACT($T784, M$1&amp;""[\w &amp;]*, (\d+\.\d+)""),"""")
"),"")</f>
        <v/>
      </c>
      <c r="N784" s="3" t="str">
        <f aca="false">IFERROR(__xludf.dummyfunction("if($T784&lt;&gt;"""",REGEXEXTRACT(SUBSTITUTE ($T784,N$1&amp;"" CE"",""""), N$1&amp;""[\w &amp;]*, (\d+\.\d+)""),"""")
"),"")</f>
        <v/>
      </c>
      <c r="O784" s="3" t="str">
        <f aca="false">IFERROR(__xludf.dummyfunction("if($T784&lt;&gt;"""",REGEXEXTRACT($T784, O$1&amp;""[\w &amp;]*, (\d+\.\d+)""),"""")
"),"")</f>
        <v/>
      </c>
      <c r="P784" s="2"/>
      <c r="Q784" s="2"/>
      <c r="R784" s="2"/>
      <c r="S784" s="2"/>
      <c r="T784" s="5"/>
    </row>
    <row r="785" customFormat="false" ht="15.75" hidden="false" customHeight="false" outlineLevel="0" collapsed="false">
      <c r="A785" s="4"/>
      <c r="B785" s="2"/>
      <c r="C785" s="2"/>
      <c r="D785" s="2"/>
      <c r="E785" s="2"/>
      <c r="F785" s="3" t="str">
        <f aca="false">IFERROR(__xludf.dummyfunction("if($T785&lt;&gt;"""",REGEXEXTRACT(SUBSTITUTE ($T785,F$1&amp;"" CE"",""""), F$1&amp;""[\w &amp;]*, (\d+\.\d+)""),"""")
"),"")</f>
        <v/>
      </c>
      <c r="G785" s="3" t="str">
        <f aca="false">IFERROR(__xludf.dummyfunction("if($T785&lt;&gt;"""",REGEXEXTRACT($T785, G$1&amp;""[\w &amp;]*, (\d+\.\d+)""),"""")
"),"")</f>
        <v/>
      </c>
      <c r="H785" s="3"/>
      <c r="I785" s="3" t="str">
        <f aca="false">IFERROR(__xludf.dummyfunction("if($T785&lt;&gt;"""",REGEXEXTRACT(SUBSTITUTE ($T785,I$1&amp;"" CE"",""""), I$1&amp;""[\w &amp;]*, (\d+\.\d+)""),"""")
"),"")</f>
        <v/>
      </c>
      <c r="J785" s="3" t="str">
        <f aca="false">IFERROR(__xludf.dummyfunction("if($T785&lt;&gt;"""",REGEXEXTRACT($T785, J$1&amp;""[\w &amp;]*, (\d+\.\d+)""),"""")
"),"")</f>
        <v/>
      </c>
      <c r="K785" s="3"/>
      <c r="L785" s="3" t="str">
        <f aca="false">IFERROR(__xludf.dummyfunction("if($T785&lt;&gt;"""",REGEXEXTRACT(SUBSTITUTE ($T785,L$1&amp;"" CE"",""""), L$1&amp;""[\w &amp;]*, (\d+\.\d+)""),"""")
"),"")</f>
        <v/>
      </c>
      <c r="M785" s="3" t="str">
        <f aca="false">IFERROR(__xludf.dummyfunction("if($T785&lt;&gt;"""",REGEXEXTRACT($T785, M$1&amp;""[\w &amp;]*, (\d+\.\d+)""),"""")
"),"")</f>
        <v/>
      </c>
      <c r="N785" s="3" t="str">
        <f aca="false">IFERROR(__xludf.dummyfunction("if($T785&lt;&gt;"""",REGEXEXTRACT(SUBSTITUTE ($T785,N$1&amp;"" CE"",""""), N$1&amp;""[\w &amp;]*, (\d+\.\d+)""),"""")
"),"")</f>
        <v/>
      </c>
      <c r="O785" s="3" t="str">
        <f aca="false">IFERROR(__xludf.dummyfunction("if($T785&lt;&gt;"""",REGEXEXTRACT($T785, O$1&amp;""[\w &amp;]*, (\d+\.\d+)""),"""")
"),"")</f>
        <v/>
      </c>
      <c r="P785" s="2"/>
      <c r="Q785" s="2"/>
      <c r="R785" s="2"/>
      <c r="S785" s="2"/>
      <c r="T785" s="5"/>
    </row>
    <row r="786" customFormat="false" ht="15.75" hidden="false" customHeight="false" outlineLevel="0" collapsed="false">
      <c r="A786" s="4"/>
      <c r="B786" s="2"/>
      <c r="C786" s="2"/>
      <c r="D786" s="2"/>
      <c r="E786" s="2"/>
      <c r="F786" s="3" t="str">
        <f aca="false">IFERROR(__xludf.dummyfunction("if($T786&lt;&gt;"""",REGEXEXTRACT(SUBSTITUTE ($T786,F$1&amp;"" CE"",""""), F$1&amp;""[\w &amp;]*, (\d+\.\d+)""),"""")
"),"")</f>
        <v/>
      </c>
      <c r="G786" s="3" t="str">
        <f aca="false">IFERROR(__xludf.dummyfunction("if($T786&lt;&gt;"""",REGEXEXTRACT($T786, G$1&amp;""[\w &amp;]*, (\d+\.\d+)""),"""")
"),"")</f>
        <v/>
      </c>
      <c r="H786" s="3"/>
      <c r="I786" s="3" t="str">
        <f aca="false">IFERROR(__xludf.dummyfunction("if($T786&lt;&gt;"""",REGEXEXTRACT(SUBSTITUTE ($T786,I$1&amp;"" CE"",""""), I$1&amp;""[\w &amp;]*, (\d+\.\d+)""),"""")
"),"")</f>
        <v/>
      </c>
      <c r="J786" s="3" t="str">
        <f aca="false">IFERROR(__xludf.dummyfunction("if($T786&lt;&gt;"""",REGEXEXTRACT($T786, J$1&amp;""[\w &amp;]*, (\d+\.\d+)""),"""")
"),"")</f>
        <v/>
      </c>
      <c r="K786" s="3"/>
      <c r="L786" s="3" t="str">
        <f aca="false">IFERROR(__xludf.dummyfunction("if($T786&lt;&gt;"""",REGEXEXTRACT(SUBSTITUTE ($T786,L$1&amp;"" CE"",""""), L$1&amp;""[\w &amp;]*, (\d+\.\d+)""),"""")
"),"")</f>
        <v/>
      </c>
      <c r="M786" s="3" t="str">
        <f aca="false">IFERROR(__xludf.dummyfunction("if($T786&lt;&gt;"""",REGEXEXTRACT($T786, M$1&amp;""[\w &amp;]*, (\d+\.\d+)""),"""")
"),"")</f>
        <v/>
      </c>
      <c r="N786" s="3" t="str">
        <f aca="false">IFERROR(__xludf.dummyfunction("if($T786&lt;&gt;"""",REGEXEXTRACT(SUBSTITUTE ($T786,N$1&amp;"" CE"",""""), N$1&amp;""[\w &amp;]*, (\d+\.\d+)""),"""")
"),"")</f>
        <v/>
      </c>
      <c r="O786" s="3" t="str">
        <f aca="false">IFERROR(__xludf.dummyfunction("if($T786&lt;&gt;"""",REGEXEXTRACT($T786, O$1&amp;""[\w &amp;]*, (\d+\.\d+)""),"""")
"),"")</f>
        <v/>
      </c>
      <c r="P786" s="2"/>
      <c r="Q786" s="2"/>
      <c r="R786" s="2"/>
      <c r="S786" s="2"/>
      <c r="T786" s="5"/>
    </row>
    <row r="787" customFormat="false" ht="15.75" hidden="false" customHeight="false" outlineLevel="0" collapsed="false">
      <c r="A787" s="4"/>
      <c r="B787" s="2"/>
      <c r="C787" s="2"/>
      <c r="D787" s="2"/>
      <c r="E787" s="2"/>
      <c r="F787" s="3" t="str">
        <f aca="false">IFERROR(__xludf.dummyfunction("if($T787&lt;&gt;"""",REGEXEXTRACT(SUBSTITUTE ($T787,F$1&amp;"" CE"",""""), F$1&amp;""[\w &amp;]*, (\d+\.\d+)""),"""")
"),"")</f>
        <v/>
      </c>
      <c r="G787" s="3" t="str">
        <f aca="false">IFERROR(__xludf.dummyfunction("if($T787&lt;&gt;"""",REGEXEXTRACT($T787, G$1&amp;""[\w &amp;]*, (\d+\.\d+)""),"""")
"),"")</f>
        <v/>
      </c>
      <c r="H787" s="3"/>
      <c r="I787" s="3" t="str">
        <f aca="false">IFERROR(__xludf.dummyfunction("if($T787&lt;&gt;"""",REGEXEXTRACT(SUBSTITUTE ($T787,I$1&amp;"" CE"",""""), I$1&amp;""[\w &amp;]*, (\d+\.\d+)""),"""")
"),"")</f>
        <v/>
      </c>
      <c r="J787" s="3" t="str">
        <f aca="false">IFERROR(__xludf.dummyfunction("if($T787&lt;&gt;"""",REGEXEXTRACT($T787, J$1&amp;""[\w &amp;]*, (\d+\.\d+)""),"""")
"),"")</f>
        <v/>
      </c>
      <c r="K787" s="3"/>
      <c r="L787" s="3" t="str">
        <f aca="false">IFERROR(__xludf.dummyfunction("if($T787&lt;&gt;"""",REGEXEXTRACT(SUBSTITUTE ($T787,L$1&amp;"" CE"",""""), L$1&amp;""[\w &amp;]*, (\d+\.\d+)""),"""")
"),"")</f>
        <v/>
      </c>
      <c r="M787" s="3" t="str">
        <f aca="false">IFERROR(__xludf.dummyfunction("if($T787&lt;&gt;"""",REGEXEXTRACT($T787, M$1&amp;""[\w &amp;]*, (\d+\.\d+)""),"""")
"),"")</f>
        <v/>
      </c>
      <c r="N787" s="3" t="str">
        <f aca="false">IFERROR(__xludf.dummyfunction("if($T787&lt;&gt;"""",REGEXEXTRACT(SUBSTITUTE ($T787,N$1&amp;"" CE"",""""), N$1&amp;""[\w &amp;]*, (\d+\.\d+)""),"""")
"),"")</f>
        <v/>
      </c>
      <c r="O787" s="3" t="str">
        <f aca="false">IFERROR(__xludf.dummyfunction("if($T787&lt;&gt;"""",REGEXEXTRACT($T787, O$1&amp;""[\w &amp;]*, (\d+\.\d+)""),"""")
"),"")</f>
        <v/>
      </c>
      <c r="P787" s="2"/>
      <c r="Q787" s="2"/>
      <c r="R787" s="2"/>
      <c r="S787" s="2"/>
      <c r="T787" s="5"/>
    </row>
    <row r="788" customFormat="false" ht="15.75" hidden="false" customHeight="false" outlineLevel="0" collapsed="false">
      <c r="A788" s="4"/>
      <c r="B788" s="2"/>
      <c r="C788" s="2"/>
      <c r="D788" s="2"/>
      <c r="E788" s="2"/>
      <c r="F788" s="3" t="str">
        <f aca="false">IFERROR(__xludf.dummyfunction("if($T788&lt;&gt;"""",REGEXEXTRACT(SUBSTITUTE ($T788,F$1&amp;"" CE"",""""), F$1&amp;""[\w &amp;]*, (\d+\.\d+)""),"""")
"),"")</f>
        <v/>
      </c>
      <c r="G788" s="3" t="str">
        <f aca="false">IFERROR(__xludf.dummyfunction("if($T788&lt;&gt;"""",REGEXEXTRACT($T788, G$1&amp;""[\w &amp;]*, (\d+\.\d+)""),"""")
"),"")</f>
        <v/>
      </c>
      <c r="H788" s="3"/>
      <c r="I788" s="3" t="str">
        <f aca="false">IFERROR(__xludf.dummyfunction("if($T788&lt;&gt;"""",REGEXEXTRACT(SUBSTITUTE ($T788,I$1&amp;"" CE"",""""), I$1&amp;""[\w &amp;]*, (\d+\.\d+)""),"""")
"),"")</f>
        <v/>
      </c>
      <c r="J788" s="3" t="str">
        <f aca="false">IFERROR(__xludf.dummyfunction("if($T788&lt;&gt;"""",REGEXEXTRACT($T788, J$1&amp;""[\w &amp;]*, (\d+\.\d+)""),"""")
"),"")</f>
        <v/>
      </c>
      <c r="K788" s="3"/>
      <c r="L788" s="3" t="str">
        <f aca="false">IFERROR(__xludf.dummyfunction("if($T788&lt;&gt;"""",REGEXEXTRACT(SUBSTITUTE ($T788,L$1&amp;"" CE"",""""), L$1&amp;""[\w &amp;]*, (\d+\.\d+)""),"""")
"),"")</f>
        <v/>
      </c>
      <c r="M788" s="3" t="str">
        <f aca="false">IFERROR(__xludf.dummyfunction("if($T788&lt;&gt;"""",REGEXEXTRACT($T788, M$1&amp;""[\w &amp;]*, (\d+\.\d+)""),"""")
"),"")</f>
        <v/>
      </c>
      <c r="N788" s="3" t="str">
        <f aca="false">IFERROR(__xludf.dummyfunction("if($T788&lt;&gt;"""",REGEXEXTRACT(SUBSTITUTE ($T788,N$1&amp;"" CE"",""""), N$1&amp;""[\w &amp;]*, (\d+\.\d+)""),"""")
"),"")</f>
        <v/>
      </c>
      <c r="O788" s="3" t="str">
        <f aca="false">IFERROR(__xludf.dummyfunction("if($T788&lt;&gt;"""",REGEXEXTRACT($T788, O$1&amp;""[\w &amp;]*, (\d+\.\d+)""),"""")
"),"")</f>
        <v/>
      </c>
      <c r="P788" s="2"/>
      <c r="Q788" s="2"/>
      <c r="R788" s="2"/>
      <c r="S788" s="2"/>
      <c r="T788" s="5"/>
    </row>
    <row r="789" customFormat="false" ht="15.75" hidden="false" customHeight="false" outlineLevel="0" collapsed="false">
      <c r="A789" s="4"/>
      <c r="B789" s="2"/>
      <c r="C789" s="2"/>
      <c r="D789" s="2"/>
      <c r="E789" s="2"/>
      <c r="F789" s="3" t="str">
        <f aca="false">IFERROR(__xludf.dummyfunction("if($T789&lt;&gt;"""",REGEXEXTRACT(SUBSTITUTE ($T789,F$1&amp;"" CE"",""""), F$1&amp;""[\w &amp;]*, (\d+\.\d+)""),"""")
"),"")</f>
        <v/>
      </c>
      <c r="G789" s="3" t="str">
        <f aca="false">IFERROR(__xludf.dummyfunction("if($T789&lt;&gt;"""",REGEXEXTRACT($T789, G$1&amp;""[\w &amp;]*, (\d+\.\d+)""),"""")
"),"")</f>
        <v/>
      </c>
      <c r="H789" s="3"/>
      <c r="I789" s="3" t="str">
        <f aca="false">IFERROR(__xludf.dummyfunction("if($T789&lt;&gt;"""",REGEXEXTRACT(SUBSTITUTE ($T789,I$1&amp;"" CE"",""""), I$1&amp;""[\w &amp;]*, (\d+\.\d+)""),"""")
"),"")</f>
        <v/>
      </c>
      <c r="J789" s="3" t="str">
        <f aca="false">IFERROR(__xludf.dummyfunction("if($T789&lt;&gt;"""",REGEXEXTRACT($T789, J$1&amp;""[\w &amp;]*, (\d+\.\d+)""),"""")
"),"")</f>
        <v/>
      </c>
      <c r="K789" s="3"/>
      <c r="L789" s="3" t="str">
        <f aca="false">IFERROR(__xludf.dummyfunction("if($T789&lt;&gt;"""",REGEXEXTRACT(SUBSTITUTE ($T789,L$1&amp;"" CE"",""""), L$1&amp;""[\w &amp;]*, (\d+\.\d+)""),"""")
"),"")</f>
        <v/>
      </c>
      <c r="M789" s="3" t="str">
        <f aca="false">IFERROR(__xludf.dummyfunction("if($T789&lt;&gt;"""",REGEXEXTRACT($T789, M$1&amp;""[\w &amp;]*, (\d+\.\d+)""),"""")
"),"")</f>
        <v/>
      </c>
      <c r="N789" s="3" t="str">
        <f aca="false">IFERROR(__xludf.dummyfunction("if($T789&lt;&gt;"""",REGEXEXTRACT(SUBSTITUTE ($T789,N$1&amp;"" CE"",""""), N$1&amp;""[\w &amp;]*, (\d+\.\d+)""),"""")
"),"")</f>
        <v/>
      </c>
      <c r="O789" s="3" t="str">
        <f aca="false">IFERROR(__xludf.dummyfunction("if($T789&lt;&gt;"""",REGEXEXTRACT($T789, O$1&amp;""[\w &amp;]*, (\d+\.\d+)""),"""")
"),"")</f>
        <v/>
      </c>
      <c r="P789" s="2"/>
      <c r="Q789" s="2"/>
      <c r="R789" s="2"/>
      <c r="S789" s="2"/>
      <c r="T789" s="5"/>
    </row>
    <row r="790" customFormat="false" ht="15.75" hidden="false" customHeight="false" outlineLevel="0" collapsed="false">
      <c r="A790" s="4"/>
      <c r="B790" s="2"/>
      <c r="C790" s="2"/>
      <c r="D790" s="2"/>
      <c r="E790" s="2"/>
      <c r="F790" s="3" t="str">
        <f aca="false">IFERROR(__xludf.dummyfunction("if($T790&lt;&gt;"""",REGEXEXTRACT(SUBSTITUTE ($T790,F$1&amp;"" CE"",""""), F$1&amp;""[\w &amp;]*, (\d+\.\d+)""),"""")
"),"")</f>
        <v/>
      </c>
      <c r="G790" s="3" t="str">
        <f aca="false">IFERROR(__xludf.dummyfunction("if($T790&lt;&gt;"""",REGEXEXTRACT($T790, G$1&amp;""[\w &amp;]*, (\d+\.\d+)""),"""")
"),"")</f>
        <v/>
      </c>
      <c r="H790" s="3"/>
      <c r="I790" s="3" t="str">
        <f aca="false">IFERROR(__xludf.dummyfunction("if($T790&lt;&gt;"""",REGEXEXTRACT(SUBSTITUTE ($T790,I$1&amp;"" CE"",""""), I$1&amp;""[\w &amp;]*, (\d+\.\d+)""),"""")
"),"")</f>
        <v/>
      </c>
      <c r="J790" s="3" t="str">
        <f aca="false">IFERROR(__xludf.dummyfunction("if($T790&lt;&gt;"""",REGEXEXTRACT($T790, J$1&amp;""[\w &amp;]*, (\d+\.\d+)""),"""")
"),"")</f>
        <v/>
      </c>
      <c r="K790" s="3"/>
      <c r="L790" s="3" t="str">
        <f aca="false">IFERROR(__xludf.dummyfunction("if($T790&lt;&gt;"""",REGEXEXTRACT(SUBSTITUTE ($T790,L$1&amp;"" CE"",""""), L$1&amp;""[\w &amp;]*, (\d+\.\d+)""),"""")
"),"")</f>
        <v/>
      </c>
      <c r="M790" s="3" t="str">
        <f aca="false">IFERROR(__xludf.dummyfunction("if($T790&lt;&gt;"""",REGEXEXTRACT($T790, M$1&amp;""[\w &amp;]*, (\d+\.\d+)""),"""")
"),"")</f>
        <v/>
      </c>
      <c r="N790" s="3" t="str">
        <f aca="false">IFERROR(__xludf.dummyfunction("if($T790&lt;&gt;"""",REGEXEXTRACT(SUBSTITUTE ($T790,N$1&amp;"" CE"",""""), N$1&amp;""[\w &amp;]*, (\d+\.\d+)""),"""")
"),"")</f>
        <v/>
      </c>
      <c r="O790" s="3" t="str">
        <f aca="false">IFERROR(__xludf.dummyfunction("if($T790&lt;&gt;"""",REGEXEXTRACT($T790, O$1&amp;""[\w &amp;]*, (\d+\.\d+)""),"""")
"),"")</f>
        <v/>
      </c>
      <c r="P790" s="2"/>
      <c r="Q790" s="2"/>
      <c r="R790" s="2"/>
      <c r="S790" s="2"/>
      <c r="T790" s="5"/>
    </row>
    <row r="791" customFormat="false" ht="15.75" hidden="false" customHeight="false" outlineLevel="0" collapsed="false">
      <c r="A791" s="4"/>
      <c r="B791" s="2"/>
      <c r="C791" s="2"/>
      <c r="D791" s="2"/>
      <c r="E791" s="2"/>
      <c r="F791" s="3" t="str">
        <f aca="false">IFERROR(__xludf.dummyfunction("if($T791&lt;&gt;"""",REGEXEXTRACT(SUBSTITUTE ($T791,F$1&amp;"" CE"",""""), F$1&amp;""[\w &amp;]*, (\d+\.\d+)""),"""")
"),"")</f>
        <v/>
      </c>
      <c r="G791" s="3" t="str">
        <f aca="false">IFERROR(__xludf.dummyfunction("if($T791&lt;&gt;"""",REGEXEXTRACT($T791, G$1&amp;""[\w &amp;]*, (\d+\.\d+)""),"""")
"),"")</f>
        <v/>
      </c>
      <c r="H791" s="3"/>
      <c r="I791" s="3" t="str">
        <f aca="false">IFERROR(__xludf.dummyfunction("if($T791&lt;&gt;"""",REGEXEXTRACT(SUBSTITUTE ($T791,I$1&amp;"" CE"",""""), I$1&amp;""[\w &amp;]*, (\d+\.\d+)""),"""")
"),"")</f>
        <v/>
      </c>
      <c r="J791" s="3" t="str">
        <f aca="false">IFERROR(__xludf.dummyfunction("if($T791&lt;&gt;"""",REGEXEXTRACT($T791, J$1&amp;""[\w &amp;]*, (\d+\.\d+)""),"""")
"),"")</f>
        <v/>
      </c>
      <c r="K791" s="3"/>
      <c r="L791" s="3" t="str">
        <f aca="false">IFERROR(__xludf.dummyfunction("if($T791&lt;&gt;"""",REGEXEXTRACT(SUBSTITUTE ($T791,L$1&amp;"" CE"",""""), L$1&amp;""[\w &amp;]*, (\d+\.\d+)""),"""")
"),"")</f>
        <v/>
      </c>
      <c r="M791" s="3" t="str">
        <f aca="false">IFERROR(__xludf.dummyfunction("if($T791&lt;&gt;"""",REGEXEXTRACT($T791, M$1&amp;""[\w &amp;]*, (\d+\.\d+)""),"""")
"),"")</f>
        <v/>
      </c>
      <c r="N791" s="3" t="str">
        <f aca="false">IFERROR(__xludf.dummyfunction("if($T791&lt;&gt;"""",REGEXEXTRACT(SUBSTITUTE ($T791,N$1&amp;"" CE"",""""), N$1&amp;""[\w &amp;]*, (\d+\.\d+)""),"""")
"),"")</f>
        <v/>
      </c>
      <c r="O791" s="3" t="str">
        <f aca="false">IFERROR(__xludf.dummyfunction("if($T791&lt;&gt;"""",REGEXEXTRACT($T791, O$1&amp;""[\w &amp;]*, (\d+\.\d+)""),"""")
"),"")</f>
        <v/>
      </c>
      <c r="P791" s="2"/>
      <c r="Q791" s="2"/>
      <c r="R791" s="2"/>
      <c r="S791" s="2"/>
      <c r="T791" s="5"/>
    </row>
    <row r="792" customFormat="false" ht="15.75" hidden="false" customHeight="false" outlineLevel="0" collapsed="false">
      <c r="A792" s="4"/>
      <c r="B792" s="2"/>
      <c r="C792" s="2"/>
      <c r="D792" s="2"/>
      <c r="E792" s="2"/>
      <c r="F792" s="3" t="str">
        <f aca="false">IFERROR(__xludf.dummyfunction("if($T792&lt;&gt;"""",REGEXEXTRACT(SUBSTITUTE ($T792,F$1&amp;"" CE"",""""), F$1&amp;""[\w &amp;]*, (\d+\.\d+)""),"""")
"),"")</f>
        <v/>
      </c>
      <c r="G792" s="3" t="str">
        <f aca="false">IFERROR(__xludf.dummyfunction("if($T792&lt;&gt;"""",REGEXEXTRACT($T792, G$1&amp;""[\w &amp;]*, (\d+\.\d+)""),"""")
"),"")</f>
        <v/>
      </c>
      <c r="H792" s="3"/>
      <c r="I792" s="3" t="str">
        <f aca="false">IFERROR(__xludf.dummyfunction("if($T792&lt;&gt;"""",REGEXEXTRACT(SUBSTITUTE ($T792,I$1&amp;"" CE"",""""), I$1&amp;""[\w &amp;]*, (\d+\.\d+)""),"""")
"),"")</f>
        <v/>
      </c>
      <c r="J792" s="3" t="str">
        <f aca="false">IFERROR(__xludf.dummyfunction("if($T792&lt;&gt;"""",REGEXEXTRACT($T792, J$1&amp;""[\w &amp;]*, (\d+\.\d+)""),"""")
"),"")</f>
        <v/>
      </c>
      <c r="K792" s="3"/>
      <c r="L792" s="3" t="str">
        <f aca="false">IFERROR(__xludf.dummyfunction("if($T792&lt;&gt;"""",REGEXEXTRACT(SUBSTITUTE ($T792,L$1&amp;"" CE"",""""), L$1&amp;""[\w &amp;]*, (\d+\.\d+)""),"""")
"),"")</f>
        <v/>
      </c>
      <c r="M792" s="3" t="str">
        <f aca="false">IFERROR(__xludf.dummyfunction("if($T792&lt;&gt;"""",REGEXEXTRACT($T792, M$1&amp;""[\w &amp;]*, (\d+\.\d+)""),"""")
"),"")</f>
        <v/>
      </c>
      <c r="N792" s="3" t="str">
        <f aca="false">IFERROR(__xludf.dummyfunction("if($T792&lt;&gt;"""",REGEXEXTRACT(SUBSTITUTE ($T792,N$1&amp;"" CE"",""""), N$1&amp;""[\w &amp;]*, (\d+\.\d+)""),"""")
"),"")</f>
        <v/>
      </c>
      <c r="O792" s="3" t="str">
        <f aca="false">IFERROR(__xludf.dummyfunction("if($T792&lt;&gt;"""",REGEXEXTRACT($T792, O$1&amp;""[\w &amp;]*, (\d+\.\d+)""),"""")
"),"")</f>
        <v/>
      </c>
      <c r="P792" s="2"/>
      <c r="Q792" s="2"/>
      <c r="R792" s="2"/>
      <c r="S792" s="2"/>
      <c r="T792" s="5"/>
    </row>
    <row r="793" customFormat="false" ht="15.75" hidden="false" customHeight="false" outlineLevel="0" collapsed="false">
      <c r="A793" s="4"/>
      <c r="B793" s="2"/>
      <c r="C793" s="2"/>
      <c r="D793" s="2"/>
      <c r="E793" s="2"/>
      <c r="F793" s="3" t="str">
        <f aca="false">IFERROR(__xludf.dummyfunction("if($T793&lt;&gt;"""",REGEXEXTRACT(SUBSTITUTE ($T793,F$1&amp;"" CE"",""""), F$1&amp;""[\w &amp;]*, (\d+\.\d+)""),"""")
"),"")</f>
        <v/>
      </c>
      <c r="G793" s="3" t="str">
        <f aca="false">IFERROR(__xludf.dummyfunction("if($T793&lt;&gt;"""",REGEXEXTRACT($T793, G$1&amp;""[\w &amp;]*, (\d+\.\d+)""),"""")
"),"")</f>
        <v/>
      </c>
      <c r="H793" s="3"/>
      <c r="I793" s="3" t="str">
        <f aca="false">IFERROR(__xludf.dummyfunction("if($T793&lt;&gt;"""",REGEXEXTRACT(SUBSTITUTE ($T793,I$1&amp;"" CE"",""""), I$1&amp;""[\w &amp;]*, (\d+\.\d+)""),"""")
"),"")</f>
        <v/>
      </c>
      <c r="J793" s="3" t="str">
        <f aca="false">IFERROR(__xludf.dummyfunction("if($T793&lt;&gt;"""",REGEXEXTRACT($T793, J$1&amp;""[\w &amp;]*, (\d+\.\d+)""),"""")
"),"")</f>
        <v/>
      </c>
      <c r="K793" s="3"/>
      <c r="L793" s="3" t="str">
        <f aca="false">IFERROR(__xludf.dummyfunction("if($T793&lt;&gt;"""",REGEXEXTRACT(SUBSTITUTE ($T793,L$1&amp;"" CE"",""""), L$1&amp;""[\w &amp;]*, (\d+\.\d+)""),"""")
"),"")</f>
        <v/>
      </c>
      <c r="M793" s="3" t="str">
        <f aca="false">IFERROR(__xludf.dummyfunction("if($T793&lt;&gt;"""",REGEXEXTRACT($T793, M$1&amp;""[\w &amp;]*, (\d+\.\d+)""),"""")
"),"")</f>
        <v/>
      </c>
      <c r="N793" s="3" t="str">
        <f aca="false">IFERROR(__xludf.dummyfunction("if($T793&lt;&gt;"""",REGEXEXTRACT(SUBSTITUTE ($T793,N$1&amp;"" CE"",""""), N$1&amp;""[\w &amp;]*, (\d+\.\d+)""),"""")
"),"")</f>
        <v/>
      </c>
      <c r="O793" s="3" t="str">
        <f aca="false">IFERROR(__xludf.dummyfunction("if($T793&lt;&gt;"""",REGEXEXTRACT($T793, O$1&amp;""[\w &amp;]*, (\d+\.\d+)""),"""")
"),"")</f>
        <v/>
      </c>
      <c r="P793" s="2"/>
      <c r="Q793" s="2"/>
      <c r="R793" s="2"/>
      <c r="S793" s="2"/>
      <c r="T793" s="5"/>
    </row>
    <row r="794" customFormat="false" ht="15.75" hidden="false" customHeight="false" outlineLevel="0" collapsed="false">
      <c r="A794" s="4"/>
      <c r="B794" s="2"/>
      <c r="C794" s="2"/>
      <c r="D794" s="2"/>
      <c r="E794" s="2"/>
      <c r="F794" s="3" t="str">
        <f aca="false">IFERROR(__xludf.dummyfunction("if($T794&lt;&gt;"""",REGEXEXTRACT(SUBSTITUTE ($T794,F$1&amp;"" CE"",""""), F$1&amp;""[\w &amp;]*, (\d+\.\d+)""),"""")
"),"")</f>
        <v/>
      </c>
      <c r="G794" s="3" t="str">
        <f aca="false">IFERROR(__xludf.dummyfunction("if($T794&lt;&gt;"""",REGEXEXTRACT($T794, G$1&amp;""[\w &amp;]*, (\d+\.\d+)""),"""")
"),"")</f>
        <v/>
      </c>
      <c r="H794" s="3"/>
      <c r="I794" s="3" t="str">
        <f aca="false">IFERROR(__xludf.dummyfunction("if($T794&lt;&gt;"""",REGEXEXTRACT(SUBSTITUTE ($T794,I$1&amp;"" CE"",""""), I$1&amp;""[\w &amp;]*, (\d+\.\d+)""),"""")
"),"")</f>
        <v/>
      </c>
      <c r="J794" s="3" t="str">
        <f aca="false">IFERROR(__xludf.dummyfunction("if($T794&lt;&gt;"""",REGEXEXTRACT($T794, J$1&amp;""[\w &amp;]*, (\d+\.\d+)""),"""")
"),"")</f>
        <v/>
      </c>
      <c r="K794" s="3"/>
      <c r="L794" s="3" t="str">
        <f aca="false">IFERROR(__xludf.dummyfunction("if($T794&lt;&gt;"""",REGEXEXTRACT(SUBSTITUTE ($T794,L$1&amp;"" CE"",""""), L$1&amp;""[\w &amp;]*, (\d+\.\d+)""),"""")
"),"")</f>
        <v/>
      </c>
      <c r="M794" s="3" t="str">
        <f aca="false">IFERROR(__xludf.dummyfunction("if($T794&lt;&gt;"""",REGEXEXTRACT($T794, M$1&amp;""[\w &amp;]*, (\d+\.\d+)""),"""")
"),"")</f>
        <v/>
      </c>
      <c r="N794" s="3" t="str">
        <f aca="false">IFERROR(__xludf.dummyfunction("if($T794&lt;&gt;"""",REGEXEXTRACT(SUBSTITUTE ($T794,N$1&amp;"" CE"",""""), N$1&amp;""[\w &amp;]*, (\d+\.\d+)""),"""")
"),"")</f>
        <v/>
      </c>
      <c r="O794" s="3" t="str">
        <f aca="false">IFERROR(__xludf.dummyfunction("if($T794&lt;&gt;"""",REGEXEXTRACT($T794, O$1&amp;""[\w &amp;]*, (\d+\.\d+)""),"""")
"),"")</f>
        <v/>
      </c>
      <c r="P794" s="2"/>
      <c r="Q794" s="2"/>
      <c r="R794" s="2"/>
      <c r="S794" s="2"/>
      <c r="T794" s="5"/>
    </row>
    <row r="795" customFormat="false" ht="15.75" hidden="false" customHeight="false" outlineLevel="0" collapsed="false">
      <c r="A795" s="4"/>
      <c r="B795" s="2"/>
      <c r="C795" s="2"/>
      <c r="D795" s="2"/>
      <c r="E795" s="2"/>
      <c r="F795" s="3" t="str">
        <f aca="false">IFERROR(__xludf.dummyfunction("if($T795&lt;&gt;"""",REGEXEXTRACT(SUBSTITUTE ($T795,F$1&amp;"" CE"",""""), F$1&amp;""[\w &amp;]*, (\d+\.\d+)""),"""")
"),"")</f>
        <v/>
      </c>
      <c r="G795" s="3" t="str">
        <f aca="false">IFERROR(__xludf.dummyfunction("if($T795&lt;&gt;"""",REGEXEXTRACT($T795, G$1&amp;""[\w &amp;]*, (\d+\.\d+)""),"""")
"),"")</f>
        <v/>
      </c>
      <c r="H795" s="3"/>
      <c r="I795" s="3" t="str">
        <f aca="false">IFERROR(__xludf.dummyfunction("if($T795&lt;&gt;"""",REGEXEXTRACT(SUBSTITUTE ($T795,I$1&amp;"" CE"",""""), I$1&amp;""[\w &amp;]*, (\d+\.\d+)""),"""")
"),"")</f>
        <v/>
      </c>
      <c r="J795" s="3" t="str">
        <f aca="false">IFERROR(__xludf.dummyfunction("if($T795&lt;&gt;"""",REGEXEXTRACT($T795, J$1&amp;""[\w &amp;]*, (\d+\.\d+)""),"""")
"),"")</f>
        <v/>
      </c>
      <c r="K795" s="3"/>
      <c r="L795" s="3" t="str">
        <f aca="false">IFERROR(__xludf.dummyfunction("if($T795&lt;&gt;"""",REGEXEXTRACT(SUBSTITUTE ($T795,L$1&amp;"" CE"",""""), L$1&amp;""[\w &amp;]*, (\d+\.\d+)""),"""")
"),"")</f>
        <v/>
      </c>
      <c r="M795" s="3" t="str">
        <f aca="false">IFERROR(__xludf.dummyfunction("if($T795&lt;&gt;"""",REGEXEXTRACT($T795, M$1&amp;""[\w &amp;]*, (\d+\.\d+)""),"""")
"),"")</f>
        <v/>
      </c>
      <c r="N795" s="3" t="str">
        <f aca="false">IFERROR(__xludf.dummyfunction("if($T795&lt;&gt;"""",REGEXEXTRACT(SUBSTITUTE ($T795,N$1&amp;"" CE"",""""), N$1&amp;""[\w &amp;]*, (\d+\.\d+)""),"""")
"),"")</f>
        <v/>
      </c>
      <c r="O795" s="3" t="str">
        <f aca="false">IFERROR(__xludf.dummyfunction("if($T795&lt;&gt;"""",REGEXEXTRACT($T795, O$1&amp;""[\w &amp;]*, (\d+\.\d+)""),"""")
"),"")</f>
        <v/>
      </c>
      <c r="P795" s="2"/>
      <c r="Q795" s="2"/>
      <c r="R795" s="2"/>
      <c r="S795" s="2"/>
      <c r="T795" s="5"/>
    </row>
    <row r="796" customFormat="false" ht="15.75" hidden="false" customHeight="false" outlineLevel="0" collapsed="false">
      <c r="A796" s="4"/>
      <c r="B796" s="2"/>
      <c r="C796" s="2"/>
      <c r="D796" s="2"/>
      <c r="E796" s="2"/>
      <c r="F796" s="3" t="str">
        <f aca="false">IFERROR(__xludf.dummyfunction("if($T796&lt;&gt;"""",REGEXEXTRACT(SUBSTITUTE ($T796,F$1&amp;"" CE"",""""), F$1&amp;""[\w &amp;]*, (\d+\.\d+)""),"""")
"),"")</f>
        <v/>
      </c>
      <c r="G796" s="3" t="str">
        <f aca="false">IFERROR(__xludf.dummyfunction("if($T796&lt;&gt;"""",REGEXEXTRACT($T796, G$1&amp;""[\w &amp;]*, (\d+\.\d+)""),"""")
"),"")</f>
        <v/>
      </c>
      <c r="H796" s="3"/>
      <c r="I796" s="3" t="str">
        <f aca="false">IFERROR(__xludf.dummyfunction("if($T796&lt;&gt;"""",REGEXEXTRACT(SUBSTITUTE ($T796,I$1&amp;"" CE"",""""), I$1&amp;""[\w &amp;]*, (\d+\.\d+)""),"""")
"),"")</f>
        <v/>
      </c>
      <c r="J796" s="3" t="str">
        <f aca="false">IFERROR(__xludf.dummyfunction("if($T796&lt;&gt;"""",REGEXEXTRACT($T796, J$1&amp;""[\w &amp;]*, (\d+\.\d+)""),"""")
"),"")</f>
        <v/>
      </c>
      <c r="K796" s="3"/>
      <c r="L796" s="3" t="str">
        <f aca="false">IFERROR(__xludf.dummyfunction("if($T796&lt;&gt;"""",REGEXEXTRACT(SUBSTITUTE ($T796,L$1&amp;"" CE"",""""), L$1&amp;""[\w &amp;]*, (\d+\.\d+)""),"""")
"),"")</f>
        <v/>
      </c>
      <c r="M796" s="3" t="str">
        <f aca="false">IFERROR(__xludf.dummyfunction("if($T796&lt;&gt;"""",REGEXEXTRACT($T796, M$1&amp;""[\w &amp;]*, (\d+\.\d+)""),"""")
"),"")</f>
        <v/>
      </c>
      <c r="N796" s="3" t="str">
        <f aca="false">IFERROR(__xludf.dummyfunction("if($T796&lt;&gt;"""",REGEXEXTRACT(SUBSTITUTE ($T796,N$1&amp;"" CE"",""""), N$1&amp;""[\w &amp;]*, (\d+\.\d+)""),"""")
"),"")</f>
        <v/>
      </c>
      <c r="O796" s="3" t="str">
        <f aca="false">IFERROR(__xludf.dummyfunction("if($T796&lt;&gt;"""",REGEXEXTRACT($T796, O$1&amp;""[\w &amp;]*, (\d+\.\d+)""),"""")
"),"")</f>
        <v/>
      </c>
      <c r="P796" s="2"/>
      <c r="Q796" s="2"/>
      <c r="R796" s="2"/>
      <c r="S796" s="2"/>
      <c r="T796" s="5"/>
    </row>
    <row r="797" customFormat="false" ht="15.75" hidden="false" customHeight="false" outlineLevel="0" collapsed="false">
      <c r="A797" s="4"/>
      <c r="B797" s="2"/>
      <c r="C797" s="2"/>
      <c r="D797" s="2"/>
      <c r="E797" s="2"/>
      <c r="F797" s="3" t="str">
        <f aca="false">IFERROR(__xludf.dummyfunction("if($T797&lt;&gt;"""",REGEXEXTRACT(SUBSTITUTE ($T797,F$1&amp;"" CE"",""""), F$1&amp;""[\w &amp;]*, (\d+\.\d+)""),"""")
"),"")</f>
        <v/>
      </c>
      <c r="G797" s="3" t="str">
        <f aca="false">IFERROR(__xludf.dummyfunction("if($T797&lt;&gt;"""",REGEXEXTRACT($T797, G$1&amp;""[\w &amp;]*, (\d+\.\d+)""),"""")
"),"")</f>
        <v/>
      </c>
      <c r="H797" s="3"/>
      <c r="I797" s="3" t="str">
        <f aca="false">IFERROR(__xludf.dummyfunction("if($T797&lt;&gt;"""",REGEXEXTRACT(SUBSTITUTE ($T797,I$1&amp;"" CE"",""""), I$1&amp;""[\w &amp;]*, (\d+\.\d+)""),"""")
"),"")</f>
        <v/>
      </c>
      <c r="J797" s="3" t="str">
        <f aca="false">IFERROR(__xludf.dummyfunction("if($T797&lt;&gt;"""",REGEXEXTRACT($T797, J$1&amp;""[\w &amp;]*, (\d+\.\d+)""),"""")
"),"")</f>
        <v/>
      </c>
      <c r="K797" s="3"/>
      <c r="L797" s="3" t="str">
        <f aca="false">IFERROR(__xludf.dummyfunction("if($T797&lt;&gt;"""",REGEXEXTRACT(SUBSTITUTE ($T797,L$1&amp;"" CE"",""""), L$1&amp;""[\w &amp;]*, (\d+\.\d+)""),"""")
"),"")</f>
        <v/>
      </c>
      <c r="M797" s="3" t="str">
        <f aca="false">IFERROR(__xludf.dummyfunction("if($T797&lt;&gt;"""",REGEXEXTRACT($T797, M$1&amp;""[\w &amp;]*, (\d+\.\d+)""),"""")
"),"")</f>
        <v/>
      </c>
      <c r="N797" s="3" t="str">
        <f aca="false">IFERROR(__xludf.dummyfunction("if($T797&lt;&gt;"""",REGEXEXTRACT(SUBSTITUTE ($T797,N$1&amp;"" CE"",""""), N$1&amp;""[\w &amp;]*, (\d+\.\d+)""),"""")
"),"")</f>
        <v/>
      </c>
      <c r="O797" s="3" t="str">
        <f aca="false">IFERROR(__xludf.dummyfunction("if($T797&lt;&gt;"""",REGEXEXTRACT($T797, O$1&amp;""[\w &amp;]*, (\d+\.\d+)""),"""")
"),"")</f>
        <v/>
      </c>
      <c r="P797" s="2"/>
      <c r="Q797" s="2"/>
      <c r="R797" s="2"/>
      <c r="S797" s="2"/>
      <c r="T797" s="5"/>
    </row>
    <row r="798" customFormat="false" ht="15.75" hidden="false" customHeight="false" outlineLevel="0" collapsed="false">
      <c r="A798" s="4"/>
      <c r="B798" s="2"/>
      <c r="C798" s="2"/>
      <c r="D798" s="2"/>
      <c r="E798" s="2"/>
      <c r="F798" s="3" t="str">
        <f aca="false">IFERROR(__xludf.dummyfunction("if($T798&lt;&gt;"""",REGEXEXTRACT(SUBSTITUTE ($T798,F$1&amp;"" CE"",""""), F$1&amp;""[\w &amp;]*, (\d+\.\d+)""),"""")
"),"")</f>
        <v/>
      </c>
      <c r="G798" s="3" t="str">
        <f aca="false">IFERROR(__xludf.dummyfunction("if($T798&lt;&gt;"""",REGEXEXTRACT($T798, G$1&amp;""[\w &amp;]*, (\d+\.\d+)""),"""")
"),"")</f>
        <v/>
      </c>
      <c r="H798" s="3"/>
      <c r="I798" s="3" t="str">
        <f aca="false">IFERROR(__xludf.dummyfunction("if($T798&lt;&gt;"""",REGEXEXTRACT(SUBSTITUTE ($T798,I$1&amp;"" CE"",""""), I$1&amp;""[\w &amp;]*, (\d+\.\d+)""),"""")
"),"")</f>
        <v/>
      </c>
      <c r="J798" s="3" t="str">
        <f aca="false">IFERROR(__xludf.dummyfunction("if($T798&lt;&gt;"""",REGEXEXTRACT($T798, J$1&amp;""[\w &amp;]*, (\d+\.\d+)""),"""")
"),"")</f>
        <v/>
      </c>
      <c r="K798" s="3"/>
      <c r="L798" s="3" t="str">
        <f aca="false">IFERROR(__xludf.dummyfunction("if($T798&lt;&gt;"""",REGEXEXTRACT(SUBSTITUTE ($T798,L$1&amp;"" CE"",""""), L$1&amp;""[\w &amp;]*, (\d+\.\d+)""),"""")
"),"")</f>
        <v/>
      </c>
      <c r="M798" s="3" t="str">
        <f aca="false">IFERROR(__xludf.dummyfunction("if($T798&lt;&gt;"""",REGEXEXTRACT($T798, M$1&amp;""[\w &amp;]*, (\d+\.\d+)""),"""")
"),"")</f>
        <v/>
      </c>
      <c r="N798" s="3" t="str">
        <f aca="false">IFERROR(__xludf.dummyfunction("if($T798&lt;&gt;"""",REGEXEXTRACT(SUBSTITUTE ($T798,N$1&amp;"" CE"",""""), N$1&amp;""[\w &amp;]*, (\d+\.\d+)""),"""")
"),"")</f>
        <v/>
      </c>
      <c r="O798" s="3" t="str">
        <f aca="false">IFERROR(__xludf.dummyfunction("if($T798&lt;&gt;"""",REGEXEXTRACT($T798, O$1&amp;""[\w &amp;]*, (\d+\.\d+)""),"""")
"),"")</f>
        <v/>
      </c>
      <c r="P798" s="2"/>
      <c r="Q798" s="2"/>
      <c r="R798" s="2"/>
      <c r="S798" s="2"/>
      <c r="T798" s="5"/>
    </row>
    <row r="799" customFormat="false" ht="15.75" hidden="false" customHeight="false" outlineLevel="0" collapsed="false">
      <c r="A799" s="4"/>
      <c r="B799" s="2"/>
      <c r="C799" s="2"/>
      <c r="D799" s="2"/>
      <c r="E799" s="2"/>
      <c r="F799" s="3" t="str">
        <f aca="false">IFERROR(__xludf.dummyfunction("if($T799&lt;&gt;"""",REGEXEXTRACT(SUBSTITUTE ($T799,F$1&amp;"" CE"",""""), F$1&amp;""[\w &amp;]*, (\d+\.\d+)""),"""")
"),"")</f>
        <v/>
      </c>
      <c r="G799" s="3" t="str">
        <f aca="false">IFERROR(__xludf.dummyfunction("if($T799&lt;&gt;"""",REGEXEXTRACT($T799, G$1&amp;""[\w &amp;]*, (\d+\.\d+)""),"""")
"),"")</f>
        <v/>
      </c>
      <c r="H799" s="3"/>
      <c r="I799" s="3" t="str">
        <f aca="false">IFERROR(__xludf.dummyfunction("if($T799&lt;&gt;"""",REGEXEXTRACT(SUBSTITUTE ($T799,I$1&amp;"" CE"",""""), I$1&amp;""[\w &amp;]*, (\d+\.\d+)""),"""")
"),"")</f>
        <v/>
      </c>
      <c r="J799" s="3" t="str">
        <f aca="false">IFERROR(__xludf.dummyfunction("if($T799&lt;&gt;"""",REGEXEXTRACT($T799, J$1&amp;""[\w &amp;]*, (\d+\.\d+)""),"""")
"),"")</f>
        <v/>
      </c>
      <c r="K799" s="3"/>
      <c r="L799" s="3" t="str">
        <f aca="false">IFERROR(__xludf.dummyfunction("if($T799&lt;&gt;"""",REGEXEXTRACT(SUBSTITUTE ($T799,L$1&amp;"" CE"",""""), L$1&amp;""[\w &amp;]*, (\d+\.\d+)""),"""")
"),"")</f>
        <v/>
      </c>
      <c r="M799" s="3" t="str">
        <f aca="false">IFERROR(__xludf.dummyfunction("if($T799&lt;&gt;"""",REGEXEXTRACT($T799, M$1&amp;""[\w &amp;]*, (\d+\.\d+)""),"""")
"),"")</f>
        <v/>
      </c>
      <c r="N799" s="3" t="str">
        <f aca="false">IFERROR(__xludf.dummyfunction("if($T799&lt;&gt;"""",REGEXEXTRACT(SUBSTITUTE ($T799,N$1&amp;"" CE"",""""), N$1&amp;""[\w &amp;]*, (\d+\.\d+)""),"""")
"),"")</f>
        <v/>
      </c>
      <c r="O799" s="3" t="str">
        <f aca="false">IFERROR(__xludf.dummyfunction("if($T799&lt;&gt;"""",REGEXEXTRACT($T799, O$1&amp;""[\w &amp;]*, (\d+\.\d+)""),"""")
"),"")</f>
        <v/>
      </c>
      <c r="P799" s="2"/>
      <c r="Q799" s="2"/>
      <c r="R799" s="2"/>
      <c r="S799" s="2"/>
      <c r="T799" s="5"/>
    </row>
    <row r="800" customFormat="false" ht="15.75" hidden="false" customHeight="false" outlineLevel="0" collapsed="false">
      <c r="A800" s="4"/>
      <c r="B800" s="2"/>
      <c r="C800" s="2"/>
      <c r="D800" s="2"/>
      <c r="E800" s="2"/>
      <c r="F800" s="3" t="str">
        <f aca="false">IFERROR(__xludf.dummyfunction("if($T800&lt;&gt;"""",REGEXEXTRACT(SUBSTITUTE ($T800,F$1&amp;"" CE"",""""), F$1&amp;""[\w &amp;]*, (\d+\.\d+)""),"""")
"),"")</f>
        <v/>
      </c>
      <c r="G800" s="3" t="str">
        <f aca="false">IFERROR(__xludf.dummyfunction("if($T800&lt;&gt;"""",REGEXEXTRACT($T800, G$1&amp;""[\w &amp;]*, (\d+\.\d+)""),"""")
"),"")</f>
        <v/>
      </c>
      <c r="H800" s="3"/>
      <c r="I800" s="3" t="str">
        <f aca="false">IFERROR(__xludf.dummyfunction("if($T800&lt;&gt;"""",REGEXEXTRACT(SUBSTITUTE ($T800,I$1&amp;"" CE"",""""), I$1&amp;""[\w &amp;]*, (\d+\.\d+)""),"""")
"),"")</f>
        <v/>
      </c>
      <c r="J800" s="3" t="str">
        <f aca="false">IFERROR(__xludf.dummyfunction("if($T800&lt;&gt;"""",REGEXEXTRACT($T800, J$1&amp;""[\w &amp;]*, (\d+\.\d+)""),"""")
"),"")</f>
        <v/>
      </c>
      <c r="K800" s="3"/>
      <c r="L800" s="3" t="str">
        <f aca="false">IFERROR(__xludf.dummyfunction("if($T800&lt;&gt;"""",REGEXEXTRACT(SUBSTITUTE ($T800,L$1&amp;"" CE"",""""), L$1&amp;""[\w &amp;]*, (\d+\.\d+)""),"""")
"),"")</f>
        <v/>
      </c>
      <c r="M800" s="3" t="str">
        <f aca="false">IFERROR(__xludf.dummyfunction("if($T800&lt;&gt;"""",REGEXEXTRACT($T800, M$1&amp;""[\w &amp;]*, (\d+\.\d+)""),"""")
"),"")</f>
        <v/>
      </c>
      <c r="N800" s="3" t="str">
        <f aca="false">IFERROR(__xludf.dummyfunction("if($T800&lt;&gt;"""",REGEXEXTRACT(SUBSTITUTE ($T800,N$1&amp;"" CE"",""""), N$1&amp;""[\w &amp;]*, (\d+\.\d+)""),"""")
"),"")</f>
        <v/>
      </c>
      <c r="O800" s="3" t="str">
        <f aca="false">IFERROR(__xludf.dummyfunction("if($T800&lt;&gt;"""",REGEXEXTRACT($T800, O$1&amp;""[\w &amp;]*, (\d+\.\d+)""),"""")
"),"")</f>
        <v/>
      </c>
      <c r="P800" s="2"/>
      <c r="Q800" s="2"/>
      <c r="R800" s="2"/>
      <c r="S800" s="2"/>
      <c r="T800" s="5"/>
    </row>
    <row r="801" customFormat="false" ht="15.75" hidden="false" customHeight="false" outlineLevel="0" collapsed="false">
      <c r="A801" s="4"/>
      <c r="B801" s="2"/>
      <c r="C801" s="2"/>
      <c r="D801" s="2"/>
      <c r="E801" s="2"/>
      <c r="F801" s="3" t="str">
        <f aca="false">IFERROR(__xludf.dummyfunction("if($T801&lt;&gt;"""",REGEXEXTRACT(SUBSTITUTE ($T801,F$1&amp;"" CE"",""""), F$1&amp;""[\w &amp;]*, (\d+\.\d+)""),"""")
"),"")</f>
        <v/>
      </c>
      <c r="G801" s="3" t="str">
        <f aca="false">IFERROR(__xludf.dummyfunction("if($T801&lt;&gt;"""",REGEXEXTRACT($T801, G$1&amp;""[\w &amp;]*, (\d+\.\d+)""),"""")
"),"")</f>
        <v/>
      </c>
      <c r="H801" s="3"/>
      <c r="I801" s="3" t="str">
        <f aca="false">IFERROR(__xludf.dummyfunction("if($T801&lt;&gt;"""",REGEXEXTRACT(SUBSTITUTE ($T801,I$1&amp;"" CE"",""""), I$1&amp;""[\w &amp;]*, (\d+\.\d+)""),"""")
"),"")</f>
        <v/>
      </c>
      <c r="J801" s="3" t="str">
        <f aca="false">IFERROR(__xludf.dummyfunction("if($T801&lt;&gt;"""",REGEXEXTRACT($T801, J$1&amp;""[\w &amp;]*, (\d+\.\d+)""),"""")
"),"")</f>
        <v/>
      </c>
      <c r="K801" s="3"/>
      <c r="L801" s="3" t="str">
        <f aca="false">IFERROR(__xludf.dummyfunction("if($T801&lt;&gt;"""",REGEXEXTRACT(SUBSTITUTE ($T801,L$1&amp;"" CE"",""""), L$1&amp;""[\w &amp;]*, (\d+\.\d+)""),"""")
"),"")</f>
        <v/>
      </c>
      <c r="M801" s="3" t="str">
        <f aca="false">IFERROR(__xludf.dummyfunction("if($T801&lt;&gt;"""",REGEXEXTRACT($T801, M$1&amp;""[\w &amp;]*, (\d+\.\d+)""),"""")
"),"")</f>
        <v/>
      </c>
      <c r="N801" s="3" t="str">
        <f aca="false">IFERROR(__xludf.dummyfunction("if($T801&lt;&gt;"""",REGEXEXTRACT(SUBSTITUTE ($T801,N$1&amp;"" CE"",""""), N$1&amp;""[\w &amp;]*, (\d+\.\d+)""),"""")
"),"")</f>
        <v/>
      </c>
      <c r="O801" s="3" t="str">
        <f aca="false">IFERROR(__xludf.dummyfunction("if($T801&lt;&gt;"""",REGEXEXTRACT($T801, O$1&amp;""[\w &amp;]*, (\d+\.\d+)""),"""")
"),"")</f>
        <v/>
      </c>
      <c r="P801" s="2"/>
      <c r="Q801" s="2"/>
      <c r="R801" s="2"/>
      <c r="S801" s="2"/>
      <c r="T801" s="5"/>
    </row>
    <row r="802" customFormat="false" ht="15.75" hidden="false" customHeight="false" outlineLevel="0" collapsed="false">
      <c r="A802" s="4"/>
      <c r="B802" s="2"/>
      <c r="C802" s="2"/>
      <c r="D802" s="2"/>
      <c r="E802" s="2"/>
      <c r="F802" s="3" t="str">
        <f aca="false">IFERROR(__xludf.dummyfunction("if($T802&lt;&gt;"""",REGEXEXTRACT(SUBSTITUTE ($T802,F$1&amp;"" CE"",""""), F$1&amp;""[\w &amp;]*, (\d+\.\d+)""),"""")
"),"")</f>
        <v/>
      </c>
      <c r="G802" s="3" t="str">
        <f aca="false">IFERROR(__xludf.dummyfunction("if($T802&lt;&gt;"""",REGEXEXTRACT($T802, G$1&amp;""[\w &amp;]*, (\d+\.\d+)""),"""")
"),"")</f>
        <v/>
      </c>
      <c r="H802" s="3"/>
      <c r="I802" s="3" t="str">
        <f aca="false">IFERROR(__xludf.dummyfunction("if($T802&lt;&gt;"""",REGEXEXTRACT(SUBSTITUTE ($T802,I$1&amp;"" CE"",""""), I$1&amp;""[\w &amp;]*, (\d+\.\d+)""),"""")
"),"")</f>
        <v/>
      </c>
      <c r="J802" s="3" t="str">
        <f aca="false">IFERROR(__xludf.dummyfunction("if($T802&lt;&gt;"""",REGEXEXTRACT($T802, J$1&amp;""[\w &amp;]*, (\d+\.\d+)""),"""")
"),"")</f>
        <v/>
      </c>
      <c r="K802" s="3"/>
      <c r="L802" s="3" t="str">
        <f aca="false">IFERROR(__xludf.dummyfunction("if($T802&lt;&gt;"""",REGEXEXTRACT(SUBSTITUTE ($T802,L$1&amp;"" CE"",""""), L$1&amp;""[\w &amp;]*, (\d+\.\d+)""),"""")
"),"")</f>
        <v/>
      </c>
      <c r="M802" s="3" t="str">
        <f aca="false">IFERROR(__xludf.dummyfunction("if($T802&lt;&gt;"""",REGEXEXTRACT($T802, M$1&amp;""[\w &amp;]*, (\d+\.\d+)""),"""")
"),"")</f>
        <v/>
      </c>
      <c r="N802" s="3" t="str">
        <f aca="false">IFERROR(__xludf.dummyfunction("if($T802&lt;&gt;"""",REGEXEXTRACT(SUBSTITUTE ($T802,N$1&amp;"" CE"",""""), N$1&amp;""[\w &amp;]*, (\d+\.\d+)""),"""")
"),"")</f>
        <v/>
      </c>
      <c r="O802" s="3" t="str">
        <f aca="false">IFERROR(__xludf.dummyfunction("if($T802&lt;&gt;"""",REGEXEXTRACT($T802, O$1&amp;""[\w &amp;]*, (\d+\.\d+)""),"""")
"),"")</f>
        <v/>
      </c>
      <c r="P802" s="2"/>
      <c r="Q802" s="2"/>
      <c r="R802" s="2"/>
      <c r="S802" s="2"/>
      <c r="T802" s="5"/>
    </row>
    <row r="803" customFormat="false" ht="15.75" hidden="false" customHeight="false" outlineLevel="0" collapsed="false">
      <c r="A803" s="4"/>
      <c r="B803" s="2"/>
      <c r="C803" s="2"/>
      <c r="D803" s="2"/>
      <c r="E803" s="2"/>
      <c r="F803" s="3" t="str">
        <f aca="false">IFERROR(__xludf.dummyfunction("if($T803&lt;&gt;"""",REGEXEXTRACT(SUBSTITUTE ($T803,F$1&amp;"" CE"",""""), F$1&amp;""[\w &amp;]*, (\d+\.\d+)""),"""")
"),"")</f>
        <v/>
      </c>
      <c r="G803" s="3" t="str">
        <f aca="false">IFERROR(__xludf.dummyfunction("if($T803&lt;&gt;"""",REGEXEXTRACT($T803, G$1&amp;""[\w &amp;]*, (\d+\.\d+)""),"""")
"),"")</f>
        <v/>
      </c>
      <c r="H803" s="3"/>
      <c r="I803" s="3" t="str">
        <f aca="false">IFERROR(__xludf.dummyfunction("if($T803&lt;&gt;"""",REGEXEXTRACT(SUBSTITUTE ($T803,I$1&amp;"" CE"",""""), I$1&amp;""[\w &amp;]*, (\d+\.\d+)""),"""")
"),"")</f>
        <v/>
      </c>
      <c r="J803" s="3" t="str">
        <f aca="false">IFERROR(__xludf.dummyfunction("if($T803&lt;&gt;"""",REGEXEXTRACT($T803, J$1&amp;""[\w &amp;]*, (\d+\.\d+)""),"""")
"),"")</f>
        <v/>
      </c>
      <c r="K803" s="3"/>
      <c r="L803" s="3" t="str">
        <f aca="false">IFERROR(__xludf.dummyfunction("if($T803&lt;&gt;"""",REGEXEXTRACT(SUBSTITUTE ($T803,L$1&amp;"" CE"",""""), L$1&amp;""[\w &amp;]*, (\d+\.\d+)""),"""")
"),"")</f>
        <v/>
      </c>
      <c r="M803" s="3" t="str">
        <f aca="false">IFERROR(__xludf.dummyfunction("if($T803&lt;&gt;"""",REGEXEXTRACT($T803, M$1&amp;""[\w &amp;]*, (\d+\.\d+)""),"""")
"),"")</f>
        <v/>
      </c>
      <c r="N803" s="3" t="str">
        <f aca="false">IFERROR(__xludf.dummyfunction("if($T803&lt;&gt;"""",REGEXEXTRACT(SUBSTITUTE ($T803,N$1&amp;"" CE"",""""), N$1&amp;""[\w &amp;]*, (\d+\.\d+)""),"""")
"),"")</f>
        <v/>
      </c>
      <c r="O803" s="3" t="str">
        <f aca="false">IFERROR(__xludf.dummyfunction("if($T803&lt;&gt;"""",REGEXEXTRACT($T803, O$1&amp;""[\w &amp;]*, (\d+\.\d+)""),"""")
"),"")</f>
        <v/>
      </c>
      <c r="P803" s="2"/>
      <c r="Q803" s="2"/>
      <c r="R803" s="2"/>
      <c r="S803" s="2"/>
      <c r="T803" s="5"/>
    </row>
    <row r="804" customFormat="false" ht="15.75" hidden="false" customHeight="false" outlineLevel="0" collapsed="false">
      <c r="A804" s="4"/>
      <c r="B804" s="2"/>
      <c r="C804" s="2"/>
      <c r="D804" s="2"/>
      <c r="E804" s="2"/>
      <c r="F804" s="3" t="str">
        <f aca="false">IFERROR(__xludf.dummyfunction("if($T804&lt;&gt;"""",REGEXEXTRACT(SUBSTITUTE ($T804,F$1&amp;"" CE"",""""), F$1&amp;""[\w &amp;]*, (\d+\.\d+)""),"""")
"),"")</f>
        <v/>
      </c>
      <c r="G804" s="3" t="str">
        <f aca="false">IFERROR(__xludf.dummyfunction("if($T804&lt;&gt;"""",REGEXEXTRACT($T804, G$1&amp;""[\w &amp;]*, (\d+\.\d+)""),"""")
"),"")</f>
        <v/>
      </c>
      <c r="H804" s="3"/>
      <c r="I804" s="3" t="str">
        <f aca="false">IFERROR(__xludf.dummyfunction("if($T804&lt;&gt;"""",REGEXEXTRACT(SUBSTITUTE ($T804,I$1&amp;"" CE"",""""), I$1&amp;""[\w &amp;]*, (\d+\.\d+)""),"""")
"),"")</f>
        <v/>
      </c>
      <c r="J804" s="3" t="str">
        <f aca="false">IFERROR(__xludf.dummyfunction("if($T804&lt;&gt;"""",REGEXEXTRACT($T804, J$1&amp;""[\w &amp;]*, (\d+\.\d+)""),"""")
"),"")</f>
        <v/>
      </c>
      <c r="K804" s="3"/>
      <c r="L804" s="3" t="str">
        <f aca="false">IFERROR(__xludf.dummyfunction("if($T804&lt;&gt;"""",REGEXEXTRACT(SUBSTITUTE ($T804,L$1&amp;"" CE"",""""), L$1&amp;""[\w &amp;]*, (\d+\.\d+)""),"""")
"),"")</f>
        <v/>
      </c>
      <c r="M804" s="3" t="str">
        <f aca="false">IFERROR(__xludf.dummyfunction("if($T804&lt;&gt;"""",REGEXEXTRACT($T804, M$1&amp;""[\w &amp;]*, (\d+\.\d+)""),"""")
"),"")</f>
        <v/>
      </c>
      <c r="N804" s="3" t="str">
        <f aca="false">IFERROR(__xludf.dummyfunction("if($T804&lt;&gt;"""",REGEXEXTRACT(SUBSTITUTE ($T804,N$1&amp;"" CE"",""""), N$1&amp;""[\w &amp;]*, (\d+\.\d+)""),"""")
"),"")</f>
        <v/>
      </c>
      <c r="O804" s="3" t="str">
        <f aca="false">IFERROR(__xludf.dummyfunction("if($T804&lt;&gt;"""",REGEXEXTRACT($T804, O$1&amp;""[\w &amp;]*, (\d+\.\d+)""),"""")
"),"")</f>
        <v/>
      </c>
      <c r="P804" s="2"/>
      <c r="Q804" s="2"/>
      <c r="R804" s="2"/>
      <c r="S804" s="2"/>
      <c r="T804" s="5"/>
    </row>
    <row r="805" customFormat="false" ht="15.75" hidden="false" customHeight="false" outlineLevel="0" collapsed="false">
      <c r="A805" s="4"/>
      <c r="B805" s="2"/>
      <c r="C805" s="2"/>
      <c r="D805" s="2"/>
      <c r="E805" s="2"/>
      <c r="F805" s="3" t="str">
        <f aca="false">IFERROR(__xludf.dummyfunction("if($T805&lt;&gt;"""",REGEXEXTRACT(SUBSTITUTE ($T805,F$1&amp;"" CE"",""""), F$1&amp;""[\w &amp;]*, (\d+\.\d+)""),"""")
"),"")</f>
        <v/>
      </c>
      <c r="G805" s="3" t="str">
        <f aca="false">IFERROR(__xludf.dummyfunction("if($T805&lt;&gt;"""",REGEXEXTRACT($T805, G$1&amp;""[\w &amp;]*, (\d+\.\d+)""),"""")
"),"")</f>
        <v/>
      </c>
      <c r="H805" s="3"/>
      <c r="I805" s="3" t="str">
        <f aca="false">IFERROR(__xludf.dummyfunction("if($T805&lt;&gt;"""",REGEXEXTRACT(SUBSTITUTE ($T805,I$1&amp;"" CE"",""""), I$1&amp;""[\w &amp;]*, (\d+\.\d+)""),"""")
"),"")</f>
        <v/>
      </c>
      <c r="J805" s="3" t="str">
        <f aca="false">IFERROR(__xludf.dummyfunction("if($T805&lt;&gt;"""",REGEXEXTRACT($T805, J$1&amp;""[\w &amp;]*, (\d+\.\d+)""),"""")
"),"")</f>
        <v/>
      </c>
      <c r="K805" s="3"/>
      <c r="L805" s="3" t="str">
        <f aca="false">IFERROR(__xludf.dummyfunction("if($T805&lt;&gt;"""",REGEXEXTRACT(SUBSTITUTE ($T805,L$1&amp;"" CE"",""""), L$1&amp;""[\w &amp;]*, (\d+\.\d+)""),"""")
"),"")</f>
        <v/>
      </c>
      <c r="M805" s="3" t="str">
        <f aca="false">IFERROR(__xludf.dummyfunction("if($T805&lt;&gt;"""",REGEXEXTRACT($T805, M$1&amp;""[\w &amp;]*, (\d+\.\d+)""),"""")
"),"")</f>
        <v/>
      </c>
      <c r="N805" s="3" t="str">
        <f aca="false">IFERROR(__xludf.dummyfunction("if($T805&lt;&gt;"""",REGEXEXTRACT(SUBSTITUTE ($T805,N$1&amp;"" CE"",""""), N$1&amp;""[\w &amp;]*, (\d+\.\d+)""),"""")
"),"")</f>
        <v/>
      </c>
      <c r="O805" s="3" t="str">
        <f aca="false">IFERROR(__xludf.dummyfunction("if($T805&lt;&gt;"""",REGEXEXTRACT($T805, O$1&amp;""[\w &amp;]*, (\d+\.\d+)""),"""")
"),"")</f>
        <v/>
      </c>
      <c r="P805" s="2"/>
      <c r="Q805" s="2"/>
      <c r="R805" s="2"/>
      <c r="S805" s="2"/>
      <c r="T805" s="5"/>
    </row>
    <row r="806" customFormat="false" ht="15.75" hidden="false" customHeight="false" outlineLevel="0" collapsed="false">
      <c r="A806" s="4"/>
      <c r="B806" s="2"/>
      <c r="C806" s="2"/>
      <c r="D806" s="2"/>
      <c r="E806" s="2"/>
      <c r="F806" s="3" t="str">
        <f aca="false">IFERROR(__xludf.dummyfunction("if($T806&lt;&gt;"""",REGEXEXTRACT(SUBSTITUTE ($T806,F$1&amp;"" CE"",""""), F$1&amp;""[\w &amp;]*, (\d+\.\d+)""),"""")
"),"")</f>
        <v/>
      </c>
      <c r="G806" s="3" t="str">
        <f aca="false">IFERROR(__xludf.dummyfunction("if($T806&lt;&gt;"""",REGEXEXTRACT($T806, G$1&amp;""[\w &amp;]*, (\d+\.\d+)""),"""")
"),"")</f>
        <v/>
      </c>
      <c r="H806" s="3"/>
      <c r="I806" s="3" t="str">
        <f aca="false">IFERROR(__xludf.dummyfunction("if($T806&lt;&gt;"""",REGEXEXTRACT(SUBSTITUTE ($T806,I$1&amp;"" CE"",""""), I$1&amp;""[\w &amp;]*, (\d+\.\d+)""),"""")
"),"")</f>
        <v/>
      </c>
      <c r="J806" s="3" t="str">
        <f aca="false">IFERROR(__xludf.dummyfunction("if($T806&lt;&gt;"""",REGEXEXTRACT($T806, J$1&amp;""[\w &amp;]*, (\d+\.\d+)""),"""")
"),"")</f>
        <v/>
      </c>
      <c r="K806" s="3"/>
      <c r="L806" s="3" t="str">
        <f aca="false">IFERROR(__xludf.dummyfunction("if($T806&lt;&gt;"""",REGEXEXTRACT(SUBSTITUTE ($T806,L$1&amp;"" CE"",""""), L$1&amp;""[\w &amp;]*, (\d+\.\d+)""),"""")
"),"")</f>
        <v/>
      </c>
      <c r="M806" s="3" t="str">
        <f aca="false">IFERROR(__xludf.dummyfunction("if($T806&lt;&gt;"""",REGEXEXTRACT($T806, M$1&amp;""[\w &amp;]*, (\d+\.\d+)""),"""")
"),"")</f>
        <v/>
      </c>
      <c r="N806" s="3" t="str">
        <f aca="false">IFERROR(__xludf.dummyfunction("if($T806&lt;&gt;"""",REGEXEXTRACT(SUBSTITUTE ($T806,N$1&amp;"" CE"",""""), N$1&amp;""[\w &amp;]*, (\d+\.\d+)""),"""")
"),"")</f>
        <v/>
      </c>
      <c r="O806" s="3" t="str">
        <f aca="false">IFERROR(__xludf.dummyfunction("if($T806&lt;&gt;"""",REGEXEXTRACT($T806, O$1&amp;""[\w &amp;]*, (\d+\.\d+)""),"""")
"),"")</f>
        <v/>
      </c>
      <c r="P806" s="2"/>
      <c r="Q806" s="2"/>
      <c r="R806" s="2"/>
      <c r="S806" s="2"/>
      <c r="T806" s="5"/>
    </row>
    <row r="807" customFormat="false" ht="15.75" hidden="false" customHeight="false" outlineLevel="0" collapsed="false">
      <c r="A807" s="4"/>
      <c r="B807" s="2"/>
      <c r="C807" s="2"/>
      <c r="D807" s="2"/>
      <c r="E807" s="2"/>
      <c r="F807" s="3" t="str">
        <f aca="false">IFERROR(__xludf.dummyfunction("if($T807&lt;&gt;"""",REGEXEXTRACT(SUBSTITUTE ($T807,F$1&amp;"" CE"",""""), F$1&amp;""[\w &amp;]*, (\d+\.\d+)""),"""")
"),"")</f>
        <v/>
      </c>
      <c r="G807" s="3" t="str">
        <f aca="false">IFERROR(__xludf.dummyfunction("if($T807&lt;&gt;"""",REGEXEXTRACT($T807, G$1&amp;""[\w &amp;]*, (\d+\.\d+)""),"""")
"),"")</f>
        <v/>
      </c>
      <c r="H807" s="3"/>
      <c r="I807" s="3" t="str">
        <f aca="false">IFERROR(__xludf.dummyfunction("if($T807&lt;&gt;"""",REGEXEXTRACT(SUBSTITUTE ($T807,I$1&amp;"" CE"",""""), I$1&amp;""[\w &amp;]*, (\d+\.\d+)""),"""")
"),"")</f>
        <v/>
      </c>
      <c r="J807" s="3" t="str">
        <f aca="false">IFERROR(__xludf.dummyfunction("if($T807&lt;&gt;"""",REGEXEXTRACT($T807, J$1&amp;""[\w &amp;]*, (\d+\.\d+)""),"""")
"),"")</f>
        <v/>
      </c>
      <c r="K807" s="3"/>
      <c r="L807" s="3" t="str">
        <f aca="false">IFERROR(__xludf.dummyfunction("if($T807&lt;&gt;"""",REGEXEXTRACT(SUBSTITUTE ($T807,L$1&amp;"" CE"",""""), L$1&amp;""[\w &amp;]*, (\d+\.\d+)""),"""")
"),"")</f>
        <v/>
      </c>
      <c r="M807" s="3" t="str">
        <f aca="false">IFERROR(__xludf.dummyfunction("if($T807&lt;&gt;"""",REGEXEXTRACT($T807, M$1&amp;""[\w &amp;]*, (\d+\.\d+)""),"""")
"),"")</f>
        <v/>
      </c>
      <c r="N807" s="3" t="str">
        <f aca="false">IFERROR(__xludf.dummyfunction("if($T807&lt;&gt;"""",REGEXEXTRACT(SUBSTITUTE ($T807,N$1&amp;"" CE"",""""), N$1&amp;""[\w &amp;]*, (\d+\.\d+)""),"""")
"),"")</f>
        <v/>
      </c>
      <c r="O807" s="3" t="str">
        <f aca="false">IFERROR(__xludf.dummyfunction("if($T807&lt;&gt;"""",REGEXEXTRACT($T807, O$1&amp;""[\w &amp;]*, (\d+\.\d+)""),"""")
"),"")</f>
        <v/>
      </c>
      <c r="P807" s="2"/>
      <c r="Q807" s="2"/>
      <c r="R807" s="2"/>
      <c r="S807" s="2"/>
      <c r="T807" s="5"/>
    </row>
    <row r="808" customFormat="false" ht="15.75" hidden="false" customHeight="false" outlineLevel="0" collapsed="false">
      <c r="A808" s="4"/>
      <c r="B808" s="2"/>
      <c r="C808" s="2"/>
      <c r="D808" s="2"/>
      <c r="E808" s="2"/>
      <c r="F808" s="3" t="str">
        <f aca="false">IFERROR(__xludf.dummyfunction("if($T808&lt;&gt;"""",REGEXEXTRACT(SUBSTITUTE ($T808,F$1&amp;"" CE"",""""), F$1&amp;""[\w &amp;]*, (\d+\.\d+)""),"""")
"),"")</f>
        <v/>
      </c>
      <c r="G808" s="3" t="str">
        <f aca="false">IFERROR(__xludf.dummyfunction("if($T808&lt;&gt;"""",REGEXEXTRACT($T808, G$1&amp;""[\w &amp;]*, (\d+\.\d+)""),"""")
"),"")</f>
        <v/>
      </c>
      <c r="H808" s="3"/>
      <c r="I808" s="3" t="str">
        <f aca="false">IFERROR(__xludf.dummyfunction("if($T808&lt;&gt;"""",REGEXEXTRACT(SUBSTITUTE ($T808,I$1&amp;"" CE"",""""), I$1&amp;""[\w &amp;]*, (\d+\.\d+)""),"""")
"),"")</f>
        <v/>
      </c>
      <c r="J808" s="3" t="str">
        <f aca="false">IFERROR(__xludf.dummyfunction("if($T808&lt;&gt;"""",REGEXEXTRACT($T808, J$1&amp;""[\w &amp;]*, (\d+\.\d+)""),"""")
"),"")</f>
        <v/>
      </c>
      <c r="K808" s="3"/>
      <c r="L808" s="3" t="str">
        <f aca="false">IFERROR(__xludf.dummyfunction("if($T808&lt;&gt;"""",REGEXEXTRACT(SUBSTITUTE ($T808,L$1&amp;"" CE"",""""), L$1&amp;""[\w &amp;]*, (\d+\.\d+)""),"""")
"),"")</f>
        <v/>
      </c>
      <c r="M808" s="3" t="str">
        <f aca="false">IFERROR(__xludf.dummyfunction("if($T808&lt;&gt;"""",REGEXEXTRACT($T808, M$1&amp;""[\w &amp;]*, (\d+\.\d+)""),"""")
"),"")</f>
        <v/>
      </c>
      <c r="N808" s="3" t="str">
        <f aca="false">IFERROR(__xludf.dummyfunction("if($T808&lt;&gt;"""",REGEXEXTRACT(SUBSTITUTE ($T808,N$1&amp;"" CE"",""""), N$1&amp;""[\w &amp;]*, (\d+\.\d+)""),"""")
"),"")</f>
        <v/>
      </c>
      <c r="O808" s="3" t="str">
        <f aca="false">IFERROR(__xludf.dummyfunction("if($T808&lt;&gt;"""",REGEXEXTRACT($T808, O$1&amp;""[\w &amp;]*, (\d+\.\d+)""),"""")
"),"")</f>
        <v/>
      </c>
      <c r="P808" s="2"/>
      <c r="Q808" s="2"/>
      <c r="R808" s="2"/>
      <c r="S808" s="2"/>
      <c r="T808" s="5"/>
    </row>
    <row r="809" customFormat="false" ht="15.75" hidden="false" customHeight="false" outlineLevel="0" collapsed="false">
      <c r="A809" s="4"/>
      <c r="B809" s="2"/>
      <c r="C809" s="2"/>
      <c r="D809" s="2"/>
      <c r="E809" s="2"/>
      <c r="F809" s="3" t="str">
        <f aca="false">IFERROR(__xludf.dummyfunction("if($T809&lt;&gt;"""",REGEXEXTRACT(SUBSTITUTE ($T809,F$1&amp;"" CE"",""""), F$1&amp;""[\w &amp;]*, (\d+\.\d+)""),"""")
"),"")</f>
        <v/>
      </c>
      <c r="G809" s="3" t="str">
        <f aca="false">IFERROR(__xludf.dummyfunction("if($T809&lt;&gt;"""",REGEXEXTRACT($T809, G$1&amp;""[\w &amp;]*, (\d+\.\d+)""),"""")
"),"")</f>
        <v/>
      </c>
      <c r="H809" s="3"/>
      <c r="I809" s="3" t="str">
        <f aca="false">IFERROR(__xludf.dummyfunction("if($T809&lt;&gt;"""",REGEXEXTRACT(SUBSTITUTE ($T809,I$1&amp;"" CE"",""""), I$1&amp;""[\w &amp;]*, (\d+\.\d+)""),"""")
"),"")</f>
        <v/>
      </c>
      <c r="J809" s="3" t="str">
        <f aca="false">IFERROR(__xludf.dummyfunction("if($T809&lt;&gt;"""",REGEXEXTRACT($T809, J$1&amp;""[\w &amp;]*, (\d+\.\d+)""),"""")
"),"")</f>
        <v/>
      </c>
      <c r="K809" s="3"/>
      <c r="L809" s="3" t="str">
        <f aca="false">IFERROR(__xludf.dummyfunction("if($T809&lt;&gt;"""",REGEXEXTRACT(SUBSTITUTE ($T809,L$1&amp;"" CE"",""""), L$1&amp;""[\w &amp;]*, (\d+\.\d+)""),"""")
"),"")</f>
        <v/>
      </c>
      <c r="M809" s="3" t="str">
        <f aca="false">IFERROR(__xludf.dummyfunction("if($T809&lt;&gt;"""",REGEXEXTRACT($T809, M$1&amp;""[\w &amp;]*, (\d+\.\d+)""),"""")
"),"")</f>
        <v/>
      </c>
      <c r="N809" s="3" t="str">
        <f aca="false">IFERROR(__xludf.dummyfunction("if($T809&lt;&gt;"""",REGEXEXTRACT(SUBSTITUTE ($T809,N$1&amp;"" CE"",""""), N$1&amp;""[\w &amp;]*, (\d+\.\d+)""),"""")
"),"")</f>
        <v/>
      </c>
      <c r="O809" s="3" t="str">
        <f aca="false">IFERROR(__xludf.dummyfunction("if($T809&lt;&gt;"""",REGEXEXTRACT($T809, O$1&amp;""[\w &amp;]*, (\d+\.\d+)""),"""")
"),"")</f>
        <v/>
      </c>
      <c r="P809" s="2"/>
      <c r="Q809" s="2"/>
      <c r="R809" s="2"/>
      <c r="S809" s="2"/>
      <c r="T809" s="5"/>
    </row>
    <row r="810" customFormat="false" ht="15.75" hidden="false" customHeight="false" outlineLevel="0" collapsed="false">
      <c r="A810" s="4"/>
      <c r="B810" s="2"/>
      <c r="C810" s="2"/>
      <c r="D810" s="2"/>
      <c r="E810" s="2"/>
      <c r="F810" s="3" t="str">
        <f aca="false">IFERROR(__xludf.dummyfunction("if($T810&lt;&gt;"""",REGEXEXTRACT(SUBSTITUTE ($T810,F$1&amp;"" CE"",""""), F$1&amp;""[\w &amp;]*, (\d+\.\d+)""),"""")
"),"")</f>
        <v/>
      </c>
      <c r="G810" s="3" t="str">
        <f aca="false">IFERROR(__xludf.dummyfunction("if($T810&lt;&gt;"""",REGEXEXTRACT($T810, G$1&amp;""[\w &amp;]*, (\d+\.\d+)""),"""")
"),"")</f>
        <v/>
      </c>
      <c r="H810" s="3"/>
      <c r="I810" s="3" t="str">
        <f aca="false">IFERROR(__xludf.dummyfunction("if($T810&lt;&gt;"""",REGEXEXTRACT(SUBSTITUTE ($T810,I$1&amp;"" CE"",""""), I$1&amp;""[\w &amp;]*, (\d+\.\d+)""),"""")
"),"")</f>
        <v/>
      </c>
      <c r="J810" s="3" t="str">
        <f aca="false">IFERROR(__xludf.dummyfunction("if($T810&lt;&gt;"""",REGEXEXTRACT($T810, J$1&amp;""[\w &amp;]*, (\d+\.\d+)""),"""")
"),"")</f>
        <v/>
      </c>
      <c r="K810" s="3"/>
      <c r="L810" s="3" t="str">
        <f aca="false">IFERROR(__xludf.dummyfunction("if($T810&lt;&gt;"""",REGEXEXTRACT(SUBSTITUTE ($T810,L$1&amp;"" CE"",""""), L$1&amp;""[\w &amp;]*, (\d+\.\d+)""),"""")
"),"")</f>
        <v/>
      </c>
      <c r="M810" s="3" t="str">
        <f aca="false">IFERROR(__xludf.dummyfunction("if($T810&lt;&gt;"""",REGEXEXTRACT($T810, M$1&amp;""[\w &amp;]*, (\d+\.\d+)""),"""")
"),"")</f>
        <v/>
      </c>
      <c r="N810" s="3" t="str">
        <f aca="false">IFERROR(__xludf.dummyfunction("if($T810&lt;&gt;"""",REGEXEXTRACT(SUBSTITUTE ($T810,N$1&amp;"" CE"",""""), N$1&amp;""[\w &amp;]*, (\d+\.\d+)""),"""")
"),"")</f>
        <v/>
      </c>
      <c r="O810" s="3" t="str">
        <f aca="false">IFERROR(__xludf.dummyfunction("if($T810&lt;&gt;"""",REGEXEXTRACT($T810, O$1&amp;""[\w &amp;]*, (\d+\.\d+)""),"""")
"),"")</f>
        <v/>
      </c>
      <c r="P810" s="2"/>
      <c r="Q810" s="2"/>
      <c r="R810" s="2"/>
      <c r="S810" s="2"/>
      <c r="T810" s="5"/>
    </row>
    <row r="811" customFormat="false" ht="15.75" hidden="false" customHeight="false" outlineLevel="0" collapsed="false">
      <c r="A811" s="4"/>
      <c r="B811" s="2"/>
      <c r="C811" s="2"/>
      <c r="D811" s="2"/>
      <c r="E811" s="2"/>
      <c r="F811" s="3" t="str">
        <f aca="false">IFERROR(__xludf.dummyfunction("if($T811&lt;&gt;"""",REGEXEXTRACT(SUBSTITUTE ($T811,F$1&amp;"" CE"",""""), F$1&amp;""[\w &amp;]*, (\d+\.\d+)""),"""")
"),"")</f>
        <v/>
      </c>
      <c r="G811" s="3" t="str">
        <f aca="false">IFERROR(__xludf.dummyfunction("if($T811&lt;&gt;"""",REGEXEXTRACT($T811, G$1&amp;""[\w &amp;]*, (\d+\.\d+)""),"""")
"),"")</f>
        <v/>
      </c>
      <c r="H811" s="3"/>
      <c r="I811" s="3" t="str">
        <f aca="false">IFERROR(__xludf.dummyfunction("if($T811&lt;&gt;"""",REGEXEXTRACT(SUBSTITUTE ($T811,I$1&amp;"" CE"",""""), I$1&amp;""[\w &amp;]*, (\d+\.\d+)""),"""")
"),"")</f>
        <v/>
      </c>
      <c r="J811" s="3" t="str">
        <f aca="false">IFERROR(__xludf.dummyfunction("if($T811&lt;&gt;"""",REGEXEXTRACT($T811, J$1&amp;""[\w &amp;]*, (\d+\.\d+)""),"""")
"),"")</f>
        <v/>
      </c>
      <c r="K811" s="3"/>
      <c r="L811" s="3" t="str">
        <f aca="false">IFERROR(__xludf.dummyfunction("if($T811&lt;&gt;"""",REGEXEXTRACT(SUBSTITUTE ($T811,L$1&amp;"" CE"",""""), L$1&amp;""[\w &amp;]*, (\d+\.\d+)""),"""")
"),"")</f>
        <v/>
      </c>
      <c r="M811" s="3" t="str">
        <f aca="false">IFERROR(__xludf.dummyfunction("if($T811&lt;&gt;"""",REGEXEXTRACT($T811, M$1&amp;""[\w &amp;]*, (\d+\.\d+)""),"""")
"),"")</f>
        <v/>
      </c>
      <c r="N811" s="3" t="str">
        <f aca="false">IFERROR(__xludf.dummyfunction("if($T811&lt;&gt;"""",REGEXEXTRACT(SUBSTITUTE ($T811,N$1&amp;"" CE"",""""), N$1&amp;""[\w &amp;]*, (\d+\.\d+)""),"""")
"),"")</f>
        <v/>
      </c>
      <c r="O811" s="3" t="str">
        <f aca="false">IFERROR(__xludf.dummyfunction("if($T811&lt;&gt;"""",REGEXEXTRACT($T811, O$1&amp;""[\w &amp;]*, (\d+\.\d+)""),"""")
"),"")</f>
        <v/>
      </c>
      <c r="P811" s="2"/>
      <c r="Q811" s="2"/>
      <c r="R811" s="2"/>
      <c r="S811" s="2"/>
      <c r="T811" s="5"/>
    </row>
    <row r="812" customFormat="false" ht="15.75" hidden="false" customHeight="false" outlineLevel="0" collapsed="false">
      <c r="A812" s="4"/>
      <c r="B812" s="2"/>
      <c r="C812" s="2"/>
      <c r="D812" s="2"/>
      <c r="E812" s="2"/>
      <c r="F812" s="3" t="str">
        <f aca="false">IFERROR(__xludf.dummyfunction("if($T812&lt;&gt;"""",REGEXEXTRACT(SUBSTITUTE ($T812,F$1&amp;"" CE"",""""), F$1&amp;""[\w &amp;]*, (\d+\.\d+)""),"""")
"),"")</f>
        <v/>
      </c>
      <c r="G812" s="3" t="str">
        <f aca="false">IFERROR(__xludf.dummyfunction("if($T812&lt;&gt;"""",REGEXEXTRACT($T812, G$1&amp;""[\w &amp;]*, (\d+\.\d+)""),"""")
"),"")</f>
        <v/>
      </c>
      <c r="H812" s="3"/>
      <c r="I812" s="3" t="str">
        <f aca="false">IFERROR(__xludf.dummyfunction("if($T812&lt;&gt;"""",REGEXEXTRACT(SUBSTITUTE ($T812,I$1&amp;"" CE"",""""), I$1&amp;""[\w &amp;]*, (\d+\.\d+)""),"""")
"),"")</f>
        <v/>
      </c>
      <c r="J812" s="3" t="str">
        <f aca="false">IFERROR(__xludf.dummyfunction("if($T812&lt;&gt;"""",REGEXEXTRACT($T812, J$1&amp;""[\w &amp;]*, (\d+\.\d+)""),"""")
"),"")</f>
        <v/>
      </c>
      <c r="K812" s="3"/>
      <c r="L812" s="3" t="str">
        <f aca="false">IFERROR(__xludf.dummyfunction("if($T812&lt;&gt;"""",REGEXEXTRACT(SUBSTITUTE ($T812,L$1&amp;"" CE"",""""), L$1&amp;""[\w &amp;]*, (\d+\.\d+)""),"""")
"),"")</f>
        <v/>
      </c>
      <c r="M812" s="3" t="str">
        <f aca="false">IFERROR(__xludf.dummyfunction("if($T812&lt;&gt;"""",REGEXEXTRACT($T812, M$1&amp;""[\w &amp;]*, (\d+\.\d+)""),"""")
"),"")</f>
        <v/>
      </c>
      <c r="N812" s="3" t="str">
        <f aca="false">IFERROR(__xludf.dummyfunction("if($T812&lt;&gt;"""",REGEXEXTRACT(SUBSTITUTE ($T812,N$1&amp;"" CE"",""""), N$1&amp;""[\w &amp;]*, (\d+\.\d+)""),"""")
"),"")</f>
        <v/>
      </c>
      <c r="O812" s="3" t="str">
        <f aca="false">IFERROR(__xludf.dummyfunction("if($T812&lt;&gt;"""",REGEXEXTRACT($T812, O$1&amp;""[\w &amp;]*, (\d+\.\d+)""),"""")
"),"")</f>
        <v/>
      </c>
      <c r="P812" s="2"/>
      <c r="Q812" s="2"/>
      <c r="R812" s="2"/>
      <c r="S812" s="2"/>
      <c r="T812" s="5"/>
    </row>
    <row r="813" customFormat="false" ht="15.75" hidden="false" customHeight="false" outlineLevel="0" collapsed="false">
      <c r="A813" s="4"/>
      <c r="B813" s="2"/>
      <c r="C813" s="2"/>
      <c r="D813" s="2"/>
      <c r="E813" s="2"/>
      <c r="F813" s="3" t="str">
        <f aca="false">IFERROR(__xludf.dummyfunction("if($T813&lt;&gt;"""",REGEXEXTRACT(SUBSTITUTE ($T813,F$1&amp;"" CE"",""""), F$1&amp;""[\w &amp;]*, (\d+\.\d+)""),"""")
"),"")</f>
        <v/>
      </c>
      <c r="G813" s="3" t="str">
        <f aca="false">IFERROR(__xludf.dummyfunction("if($T813&lt;&gt;"""",REGEXEXTRACT($T813, G$1&amp;""[\w &amp;]*, (\d+\.\d+)""),"""")
"),"")</f>
        <v/>
      </c>
      <c r="H813" s="3"/>
      <c r="I813" s="3" t="str">
        <f aca="false">IFERROR(__xludf.dummyfunction("if($T813&lt;&gt;"""",REGEXEXTRACT(SUBSTITUTE ($T813,I$1&amp;"" CE"",""""), I$1&amp;""[\w &amp;]*, (\d+\.\d+)""),"""")
"),"")</f>
        <v/>
      </c>
      <c r="J813" s="3" t="str">
        <f aca="false">IFERROR(__xludf.dummyfunction("if($T813&lt;&gt;"""",REGEXEXTRACT($T813, J$1&amp;""[\w &amp;]*, (\d+\.\d+)""),"""")
"),"")</f>
        <v/>
      </c>
      <c r="K813" s="3"/>
      <c r="L813" s="3" t="str">
        <f aca="false">IFERROR(__xludf.dummyfunction("if($T813&lt;&gt;"""",REGEXEXTRACT(SUBSTITUTE ($T813,L$1&amp;"" CE"",""""), L$1&amp;""[\w &amp;]*, (\d+\.\d+)""),"""")
"),"")</f>
        <v/>
      </c>
      <c r="M813" s="3" t="str">
        <f aca="false">IFERROR(__xludf.dummyfunction("if($T813&lt;&gt;"""",REGEXEXTRACT($T813, M$1&amp;""[\w &amp;]*, (\d+\.\d+)""),"""")
"),"")</f>
        <v/>
      </c>
      <c r="N813" s="3" t="str">
        <f aca="false">IFERROR(__xludf.dummyfunction("if($T813&lt;&gt;"""",REGEXEXTRACT(SUBSTITUTE ($T813,N$1&amp;"" CE"",""""), N$1&amp;""[\w &amp;]*, (\d+\.\d+)""),"""")
"),"")</f>
        <v/>
      </c>
      <c r="O813" s="3" t="str">
        <f aca="false">IFERROR(__xludf.dummyfunction("if($T813&lt;&gt;"""",REGEXEXTRACT($T813, O$1&amp;""[\w &amp;]*, (\d+\.\d+)""),"""")
"),"")</f>
        <v/>
      </c>
      <c r="P813" s="2"/>
      <c r="Q813" s="2"/>
      <c r="R813" s="2"/>
      <c r="S813" s="2"/>
      <c r="T813" s="5"/>
    </row>
    <row r="814" customFormat="false" ht="15.75" hidden="false" customHeight="false" outlineLevel="0" collapsed="false">
      <c r="A814" s="4"/>
      <c r="B814" s="2"/>
      <c r="C814" s="2"/>
      <c r="D814" s="2"/>
      <c r="E814" s="2"/>
      <c r="F814" s="3" t="str">
        <f aca="false">IFERROR(__xludf.dummyfunction("if($T814&lt;&gt;"""",REGEXEXTRACT(SUBSTITUTE ($T814,F$1&amp;"" CE"",""""), F$1&amp;""[\w &amp;]*, (\d+\.\d+)""),"""")
"),"")</f>
        <v/>
      </c>
      <c r="G814" s="3" t="str">
        <f aca="false">IFERROR(__xludf.dummyfunction("if($T814&lt;&gt;"""",REGEXEXTRACT($T814, G$1&amp;""[\w &amp;]*, (\d+\.\d+)""),"""")
"),"")</f>
        <v/>
      </c>
      <c r="H814" s="3"/>
      <c r="I814" s="3" t="str">
        <f aca="false">IFERROR(__xludf.dummyfunction("if($T814&lt;&gt;"""",REGEXEXTRACT(SUBSTITUTE ($T814,I$1&amp;"" CE"",""""), I$1&amp;""[\w &amp;]*, (\d+\.\d+)""),"""")
"),"")</f>
        <v/>
      </c>
      <c r="J814" s="3" t="str">
        <f aca="false">IFERROR(__xludf.dummyfunction("if($T814&lt;&gt;"""",REGEXEXTRACT($T814, J$1&amp;""[\w &amp;]*, (\d+\.\d+)""),"""")
"),"")</f>
        <v/>
      </c>
      <c r="K814" s="3"/>
      <c r="L814" s="3" t="str">
        <f aca="false">IFERROR(__xludf.dummyfunction("if($T814&lt;&gt;"""",REGEXEXTRACT(SUBSTITUTE ($T814,L$1&amp;"" CE"",""""), L$1&amp;""[\w &amp;]*, (\d+\.\d+)""),"""")
"),"")</f>
        <v/>
      </c>
      <c r="M814" s="3" t="str">
        <f aca="false">IFERROR(__xludf.dummyfunction("if($T814&lt;&gt;"""",REGEXEXTRACT($T814, M$1&amp;""[\w &amp;]*, (\d+\.\d+)""),"""")
"),"")</f>
        <v/>
      </c>
      <c r="N814" s="3" t="str">
        <f aca="false">IFERROR(__xludf.dummyfunction("if($T814&lt;&gt;"""",REGEXEXTRACT(SUBSTITUTE ($T814,N$1&amp;"" CE"",""""), N$1&amp;""[\w &amp;]*, (\d+\.\d+)""),"""")
"),"")</f>
        <v/>
      </c>
      <c r="O814" s="3" t="str">
        <f aca="false">IFERROR(__xludf.dummyfunction("if($T814&lt;&gt;"""",REGEXEXTRACT($T814, O$1&amp;""[\w &amp;]*, (\d+\.\d+)""),"""")
"),"")</f>
        <v/>
      </c>
      <c r="P814" s="2"/>
      <c r="Q814" s="2"/>
      <c r="R814" s="2"/>
      <c r="S814" s="2"/>
      <c r="T814" s="5"/>
    </row>
    <row r="815" customFormat="false" ht="15.75" hidden="false" customHeight="false" outlineLevel="0" collapsed="false">
      <c r="A815" s="4"/>
      <c r="B815" s="2"/>
      <c r="C815" s="2"/>
      <c r="D815" s="2"/>
      <c r="E815" s="2"/>
      <c r="F815" s="3" t="str">
        <f aca="false">IFERROR(__xludf.dummyfunction("if($T815&lt;&gt;"""",REGEXEXTRACT(SUBSTITUTE ($T815,F$1&amp;"" CE"",""""), F$1&amp;""[\w &amp;]*, (\d+\.\d+)""),"""")
"),"")</f>
        <v/>
      </c>
      <c r="G815" s="3" t="str">
        <f aca="false">IFERROR(__xludf.dummyfunction("if($T815&lt;&gt;"""",REGEXEXTRACT($T815, G$1&amp;""[\w &amp;]*, (\d+\.\d+)""),"""")
"),"")</f>
        <v/>
      </c>
      <c r="H815" s="3"/>
      <c r="I815" s="3" t="str">
        <f aca="false">IFERROR(__xludf.dummyfunction("if($T815&lt;&gt;"""",REGEXEXTRACT(SUBSTITUTE ($T815,I$1&amp;"" CE"",""""), I$1&amp;""[\w &amp;]*, (\d+\.\d+)""),"""")
"),"")</f>
        <v/>
      </c>
      <c r="J815" s="3" t="str">
        <f aca="false">IFERROR(__xludf.dummyfunction("if($T815&lt;&gt;"""",REGEXEXTRACT($T815, J$1&amp;""[\w &amp;]*, (\d+\.\d+)""),"""")
"),"")</f>
        <v/>
      </c>
      <c r="K815" s="3"/>
      <c r="L815" s="3" t="str">
        <f aca="false">IFERROR(__xludf.dummyfunction("if($T815&lt;&gt;"""",REGEXEXTRACT(SUBSTITUTE ($T815,L$1&amp;"" CE"",""""), L$1&amp;""[\w &amp;]*, (\d+\.\d+)""),"""")
"),"")</f>
        <v/>
      </c>
      <c r="M815" s="3" t="str">
        <f aca="false">IFERROR(__xludf.dummyfunction("if($T815&lt;&gt;"""",REGEXEXTRACT($T815, M$1&amp;""[\w &amp;]*, (\d+\.\d+)""),"""")
"),"")</f>
        <v/>
      </c>
      <c r="N815" s="3" t="str">
        <f aca="false">IFERROR(__xludf.dummyfunction("if($T815&lt;&gt;"""",REGEXEXTRACT(SUBSTITUTE ($T815,N$1&amp;"" CE"",""""), N$1&amp;""[\w &amp;]*, (\d+\.\d+)""),"""")
"),"")</f>
        <v/>
      </c>
      <c r="O815" s="3" t="str">
        <f aca="false">IFERROR(__xludf.dummyfunction("if($T815&lt;&gt;"""",REGEXEXTRACT($T815, O$1&amp;""[\w &amp;]*, (\d+\.\d+)""),"""")
"),"")</f>
        <v/>
      </c>
      <c r="P815" s="2"/>
      <c r="Q815" s="2"/>
      <c r="R815" s="2"/>
      <c r="S815" s="2"/>
      <c r="T815" s="5"/>
    </row>
    <row r="816" customFormat="false" ht="15.75" hidden="false" customHeight="false" outlineLevel="0" collapsed="false">
      <c r="A816" s="4"/>
      <c r="B816" s="2"/>
      <c r="C816" s="2"/>
      <c r="D816" s="2"/>
      <c r="E816" s="2"/>
      <c r="F816" s="3" t="str">
        <f aca="false">IFERROR(__xludf.dummyfunction("if($T816&lt;&gt;"""",REGEXEXTRACT(SUBSTITUTE ($T816,F$1&amp;"" CE"",""""), F$1&amp;""[\w &amp;]*, (\d+\.\d+)""),"""")
"),"")</f>
        <v/>
      </c>
      <c r="G816" s="3" t="str">
        <f aca="false">IFERROR(__xludf.dummyfunction("if($T816&lt;&gt;"""",REGEXEXTRACT($T816, G$1&amp;""[\w &amp;]*, (\d+\.\d+)""),"""")
"),"")</f>
        <v/>
      </c>
      <c r="H816" s="3"/>
      <c r="I816" s="3" t="str">
        <f aca="false">IFERROR(__xludf.dummyfunction("if($T816&lt;&gt;"""",REGEXEXTRACT(SUBSTITUTE ($T816,I$1&amp;"" CE"",""""), I$1&amp;""[\w &amp;]*, (\d+\.\d+)""),"""")
"),"")</f>
        <v/>
      </c>
      <c r="J816" s="3" t="str">
        <f aca="false">IFERROR(__xludf.dummyfunction("if($T816&lt;&gt;"""",REGEXEXTRACT($T816, J$1&amp;""[\w &amp;]*, (\d+\.\d+)""),"""")
"),"")</f>
        <v/>
      </c>
      <c r="K816" s="3"/>
      <c r="L816" s="3" t="str">
        <f aca="false">IFERROR(__xludf.dummyfunction("if($T816&lt;&gt;"""",REGEXEXTRACT(SUBSTITUTE ($T816,L$1&amp;"" CE"",""""), L$1&amp;""[\w &amp;]*, (\d+\.\d+)""),"""")
"),"")</f>
        <v/>
      </c>
      <c r="M816" s="3" t="str">
        <f aca="false">IFERROR(__xludf.dummyfunction("if($T816&lt;&gt;"""",REGEXEXTRACT($T816, M$1&amp;""[\w &amp;]*, (\d+\.\d+)""),"""")
"),"")</f>
        <v/>
      </c>
      <c r="N816" s="3" t="str">
        <f aca="false">IFERROR(__xludf.dummyfunction("if($T816&lt;&gt;"""",REGEXEXTRACT(SUBSTITUTE ($T816,N$1&amp;"" CE"",""""), N$1&amp;""[\w &amp;]*, (\d+\.\d+)""),"""")
"),"")</f>
        <v/>
      </c>
      <c r="O816" s="3" t="str">
        <f aca="false">IFERROR(__xludf.dummyfunction("if($T816&lt;&gt;"""",REGEXEXTRACT($T816, O$1&amp;""[\w &amp;]*, (\d+\.\d+)""),"""")
"),"")</f>
        <v/>
      </c>
      <c r="P816" s="2"/>
      <c r="Q816" s="2"/>
      <c r="R816" s="2"/>
      <c r="S816" s="2"/>
      <c r="T816" s="5"/>
    </row>
    <row r="817" customFormat="false" ht="15.75" hidden="false" customHeight="false" outlineLevel="0" collapsed="false">
      <c r="A817" s="4"/>
      <c r="B817" s="2"/>
      <c r="C817" s="2"/>
      <c r="D817" s="2"/>
      <c r="E817" s="2"/>
      <c r="F817" s="3" t="str">
        <f aca="false">IFERROR(__xludf.dummyfunction("if($T817&lt;&gt;"""",REGEXEXTRACT(SUBSTITUTE ($T817,F$1&amp;"" CE"",""""), F$1&amp;""[\w &amp;]*, (\d+\.\d+)""),"""")
"),"")</f>
        <v/>
      </c>
      <c r="G817" s="3" t="str">
        <f aca="false">IFERROR(__xludf.dummyfunction("if($T817&lt;&gt;"""",REGEXEXTRACT($T817, G$1&amp;""[\w &amp;]*, (\d+\.\d+)""),"""")
"),"")</f>
        <v/>
      </c>
      <c r="H817" s="3"/>
      <c r="I817" s="3" t="str">
        <f aca="false">IFERROR(__xludf.dummyfunction("if($T817&lt;&gt;"""",REGEXEXTRACT(SUBSTITUTE ($T817,I$1&amp;"" CE"",""""), I$1&amp;""[\w &amp;]*, (\d+\.\d+)""),"""")
"),"")</f>
        <v/>
      </c>
      <c r="J817" s="3" t="str">
        <f aca="false">IFERROR(__xludf.dummyfunction("if($T817&lt;&gt;"""",REGEXEXTRACT($T817, J$1&amp;""[\w &amp;]*, (\d+\.\d+)""),"""")
"),"")</f>
        <v/>
      </c>
      <c r="K817" s="3"/>
      <c r="L817" s="3" t="str">
        <f aca="false">IFERROR(__xludf.dummyfunction("if($T817&lt;&gt;"""",REGEXEXTRACT(SUBSTITUTE ($T817,L$1&amp;"" CE"",""""), L$1&amp;""[\w &amp;]*, (\d+\.\d+)""),"""")
"),"")</f>
        <v/>
      </c>
      <c r="M817" s="3" t="str">
        <f aca="false">IFERROR(__xludf.dummyfunction("if($T817&lt;&gt;"""",REGEXEXTRACT($T817, M$1&amp;""[\w &amp;]*, (\d+\.\d+)""),"""")
"),"")</f>
        <v/>
      </c>
      <c r="N817" s="3" t="str">
        <f aca="false">IFERROR(__xludf.dummyfunction("if($T817&lt;&gt;"""",REGEXEXTRACT(SUBSTITUTE ($T817,N$1&amp;"" CE"",""""), N$1&amp;""[\w &amp;]*, (\d+\.\d+)""),"""")
"),"")</f>
        <v/>
      </c>
      <c r="O817" s="3" t="str">
        <f aca="false">IFERROR(__xludf.dummyfunction("if($T817&lt;&gt;"""",REGEXEXTRACT($T817, O$1&amp;""[\w &amp;]*, (\d+\.\d+)""),"""")
"),"")</f>
        <v/>
      </c>
      <c r="P817" s="2"/>
      <c r="Q817" s="2"/>
      <c r="R817" s="2"/>
      <c r="S817" s="2"/>
      <c r="T817" s="5"/>
    </row>
    <row r="818" customFormat="false" ht="15.75" hidden="false" customHeight="false" outlineLevel="0" collapsed="false">
      <c r="A818" s="4"/>
      <c r="B818" s="2"/>
      <c r="C818" s="2"/>
      <c r="D818" s="2"/>
      <c r="E818" s="2"/>
      <c r="F818" s="3" t="str">
        <f aca="false">IFERROR(__xludf.dummyfunction("if($T818&lt;&gt;"""",REGEXEXTRACT(SUBSTITUTE ($T818,F$1&amp;"" CE"",""""), F$1&amp;""[\w &amp;]*, (\d+\.\d+)""),"""")
"),"")</f>
        <v/>
      </c>
      <c r="G818" s="3" t="str">
        <f aca="false">IFERROR(__xludf.dummyfunction("if($T818&lt;&gt;"""",REGEXEXTRACT($T818, G$1&amp;""[\w &amp;]*, (\d+\.\d+)""),"""")
"),"")</f>
        <v/>
      </c>
      <c r="H818" s="3"/>
      <c r="I818" s="3" t="str">
        <f aca="false">IFERROR(__xludf.dummyfunction("if($T818&lt;&gt;"""",REGEXEXTRACT(SUBSTITUTE ($T818,I$1&amp;"" CE"",""""), I$1&amp;""[\w &amp;]*, (\d+\.\d+)""),"""")
"),"")</f>
        <v/>
      </c>
      <c r="J818" s="3" t="str">
        <f aca="false">IFERROR(__xludf.dummyfunction("if($T818&lt;&gt;"""",REGEXEXTRACT($T818, J$1&amp;""[\w &amp;]*, (\d+\.\d+)""),"""")
"),"")</f>
        <v/>
      </c>
      <c r="K818" s="3"/>
      <c r="L818" s="3" t="str">
        <f aca="false">IFERROR(__xludf.dummyfunction("if($T818&lt;&gt;"""",REGEXEXTRACT(SUBSTITUTE ($T818,L$1&amp;"" CE"",""""), L$1&amp;""[\w &amp;]*, (\d+\.\d+)""),"""")
"),"")</f>
        <v/>
      </c>
      <c r="M818" s="3" t="str">
        <f aca="false">IFERROR(__xludf.dummyfunction("if($T818&lt;&gt;"""",REGEXEXTRACT($T818, M$1&amp;""[\w &amp;]*, (\d+\.\d+)""),"""")
"),"")</f>
        <v/>
      </c>
      <c r="N818" s="3" t="str">
        <f aca="false">IFERROR(__xludf.dummyfunction("if($T818&lt;&gt;"""",REGEXEXTRACT(SUBSTITUTE ($T818,N$1&amp;"" CE"",""""), N$1&amp;""[\w &amp;]*, (\d+\.\d+)""),"""")
"),"")</f>
        <v/>
      </c>
      <c r="O818" s="3" t="str">
        <f aca="false">IFERROR(__xludf.dummyfunction("if($T818&lt;&gt;"""",REGEXEXTRACT($T818, O$1&amp;""[\w &amp;]*, (\d+\.\d+)""),"""")
"),"")</f>
        <v/>
      </c>
      <c r="P818" s="2"/>
      <c r="Q818" s="2"/>
      <c r="R818" s="2"/>
      <c r="S818" s="2"/>
      <c r="T818" s="5"/>
    </row>
    <row r="819" customFormat="false" ht="15.75" hidden="false" customHeight="false" outlineLevel="0" collapsed="false">
      <c r="A819" s="4"/>
      <c r="B819" s="2"/>
      <c r="C819" s="2"/>
      <c r="D819" s="2"/>
      <c r="E819" s="2"/>
      <c r="F819" s="3" t="str">
        <f aca="false">IFERROR(__xludf.dummyfunction("if($T819&lt;&gt;"""",REGEXEXTRACT(SUBSTITUTE ($T819,F$1&amp;"" CE"",""""), F$1&amp;""[\w &amp;]*, (\d+\.\d+)""),"""")
"),"")</f>
        <v/>
      </c>
      <c r="G819" s="3" t="str">
        <f aca="false">IFERROR(__xludf.dummyfunction("if($T819&lt;&gt;"""",REGEXEXTRACT($T819, G$1&amp;""[\w &amp;]*, (\d+\.\d+)""),"""")
"),"")</f>
        <v/>
      </c>
      <c r="H819" s="3"/>
      <c r="I819" s="3" t="str">
        <f aca="false">IFERROR(__xludf.dummyfunction("if($T819&lt;&gt;"""",REGEXEXTRACT(SUBSTITUTE ($T819,I$1&amp;"" CE"",""""), I$1&amp;""[\w &amp;]*, (\d+\.\d+)""),"""")
"),"")</f>
        <v/>
      </c>
      <c r="J819" s="3" t="str">
        <f aca="false">IFERROR(__xludf.dummyfunction("if($T819&lt;&gt;"""",REGEXEXTRACT($T819, J$1&amp;""[\w &amp;]*, (\d+\.\d+)""),"""")
"),"")</f>
        <v/>
      </c>
      <c r="K819" s="3"/>
      <c r="L819" s="3" t="str">
        <f aca="false">IFERROR(__xludf.dummyfunction("if($T819&lt;&gt;"""",REGEXEXTRACT(SUBSTITUTE ($T819,L$1&amp;"" CE"",""""), L$1&amp;""[\w &amp;]*, (\d+\.\d+)""),"""")
"),"")</f>
        <v/>
      </c>
      <c r="M819" s="3" t="str">
        <f aca="false">IFERROR(__xludf.dummyfunction("if($T819&lt;&gt;"""",REGEXEXTRACT($T819, M$1&amp;""[\w &amp;]*, (\d+\.\d+)""),"""")
"),"")</f>
        <v/>
      </c>
      <c r="N819" s="3" t="str">
        <f aca="false">IFERROR(__xludf.dummyfunction("if($T819&lt;&gt;"""",REGEXEXTRACT(SUBSTITUTE ($T819,N$1&amp;"" CE"",""""), N$1&amp;""[\w &amp;]*, (\d+\.\d+)""),"""")
"),"")</f>
        <v/>
      </c>
      <c r="O819" s="3" t="str">
        <f aca="false">IFERROR(__xludf.dummyfunction("if($T819&lt;&gt;"""",REGEXEXTRACT($T819, O$1&amp;""[\w &amp;]*, (\d+\.\d+)""),"""")
"),"")</f>
        <v/>
      </c>
      <c r="P819" s="2"/>
      <c r="Q819" s="2"/>
      <c r="R819" s="2"/>
      <c r="S819" s="2"/>
      <c r="T819" s="5"/>
    </row>
    <row r="820" customFormat="false" ht="15.75" hidden="false" customHeight="false" outlineLevel="0" collapsed="false">
      <c r="A820" s="4"/>
      <c r="B820" s="2"/>
      <c r="C820" s="2"/>
      <c r="D820" s="2"/>
      <c r="E820" s="2"/>
      <c r="F820" s="3" t="str">
        <f aca="false">IFERROR(__xludf.dummyfunction("if($T820&lt;&gt;"""",REGEXEXTRACT(SUBSTITUTE ($T820,F$1&amp;"" CE"",""""), F$1&amp;""[\w &amp;]*, (\d+\.\d+)""),"""")
"),"")</f>
        <v/>
      </c>
      <c r="G820" s="3" t="str">
        <f aca="false">IFERROR(__xludf.dummyfunction("if($T820&lt;&gt;"""",REGEXEXTRACT($T820, G$1&amp;""[\w &amp;]*, (\d+\.\d+)""),"""")
"),"")</f>
        <v/>
      </c>
      <c r="H820" s="3"/>
      <c r="I820" s="3" t="str">
        <f aca="false">IFERROR(__xludf.dummyfunction("if($T820&lt;&gt;"""",REGEXEXTRACT(SUBSTITUTE ($T820,I$1&amp;"" CE"",""""), I$1&amp;""[\w &amp;]*, (\d+\.\d+)""),"""")
"),"")</f>
        <v/>
      </c>
      <c r="J820" s="3" t="str">
        <f aca="false">IFERROR(__xludf.dummyfunction("if($T820&lt;&gt;"""",REGEXEXTRACT($T820, J$1&amp;""[\w &amp;]*, (\d+\.\d+)""),"""")
"),"")</f>
        <v/>
      </c>
      <c r="K820" s="3"/>
      <c r="L820" s="3" t="str">
        <f aca="false">IFERROR(__xludf.dummyfunction("if($T820&lt;&gt;"""",REGEXEXTRACT(SUBSTITUTE ($T820,L$1&amp;"" CE"",""""), L$1&amp;""[\w &amp;]*, (\d+\.\d+)""),"""")
"),"")</f>
        <v/>
      </c>
      <c r="M820" s="3" t="str">
        <f aca="false">IFERROR(__xludf.dummyfunction("if($T820&lt;&gt;"""",REGEXEXTRACT($T820, M$1&amp;""[\w &amp;]*, (\d+\.\d+)""),"""")
"),"")</f>
        <v/>
      </c>
      <c r="N820" s="3" t="str">
        <f aca="false">IFERROR(__xludf.dummyfunction("if($T820&lt;&gt;"""",REGEXEXTRACT(SUBSTITUTE ($T820,N$1&amp;"" CE"",""""), N$1&amp;""[\w &amp;]*, (\d+\.\d+)""),"""")
"),"")</f>
        <v/>
      </c>
      <c r="O820" s="3" t="str">
        <f aca="false">IFERROR(__xludf.dummyfunction("if($T820&lt;&gt;"""",REGEXEXTRACT($T820, O$1&amp;""[\w &amp;]*, (\d+\.\d+)""),"""")
"),"")</f>
        <v/>
      </c>
      <c r="P820" s="2"/>
      <c r="Q820" s="2"/>
      <c r="R820" s="2"/>
      <c r="S820" s="2"/>
      <c r="T820" s="5"/>
    </row>
    <row r="821" customFormat="false" ht="15.75" hidden="false" customHeight="false" outlineLevel="0" collapsed="false">
      <c r="A821" s="4"/>
      <c r="B821" s="2"/>
      <c r="C821" s="2"/>
      <c r="D821" s="2"/>
      <c r="E821" s="2"/>
      <c r="F821" s="3" t="str">
        <f aca="false">IFERROR(__xludf.dummyfunction("if($T821&lt;&gt;"""",REGEXEXTRACT(SUBSTITUTE ($T821,F$1&amp;"" CE"",""""), F$1&amp;""[\w &amp;]*, (\d+\.\d+)""),"""")
"),"")</f>
        <v/>
      </c>
      <c r="G821" s="3" t="str">
        <f aca="false">IFERROR(__xludf.dummyfunction("if($T821&lt;&gt;"""",REGEXEXTRACT($T821, G$1&amp;""[\w &amp;]*, (\d+\.\d+)""),"""")
"),"")</f>
        <v/>
      </c>
      <c r="H821" s="3"/>
      <c r="I821" s="3" t="str">
        <f aca="false">IFERROR(__xludf.dummyfunction("if($T821&lt;&gt;"""",REGEXEXTRACT(SUBSTITUTE ($T821,I$1&amp;"" CE"",""""), I$1&amp;""[\w &amp;]*, (\d+\.\d+)""),"""")
"),"")</f>
        <v/>
      </c>
      <c r="J821" s="3" t="str">
        <f aca="false">IFERROR(__xludf.dummyfunction("if($T821&lt;&gt;"""",REGEXEXTRACT($T821, J$1&amp;""[\w &amp;]*, (\d+\.\d+)""),"""")
"),"")</f>
        <v/>
      </c>
      <c r="K821" s="3"/>
      <c r="L821" s="3" t="str">
        <f aca="false">IFERROR(__xludf.dummyfunction("if($T821&lt;&gt;"""",REGEXEXTRACT(SUBSTITUTE ($T821,L$1&amp;"" CE"",""""), L$1&amp;""[\w &amp;]*, (\d+\.\d+)""),"""")
"),"")</f>
        <v/>
      </c>
      <c r="M821" s="3" t="str">
        <f aca="false">IFERROR(__xludf.dummyfunction("if($T821&lt;&gt;"""",REGEXEXTRACT($T821, M$1&amp;""[\w &amp;]*, (\d+\.\d+)""),"""")
"),"")</f>
        <v/>
      </c>
      <c r="N821" s="3" t="str">
        <f aca="false">IFERROR(__xludf.dummyfunction("if($T821&lt;&gt;"""",REGEXEXTRACT(SUBSTITUTE ($T821,N$1&amp;"" CE"",""""), N$1&amp;""[\w &amp;]*, (\d+\.\d+)""),"""")
"),"")</f>
        <v/>
      </c>
      <c r="O821" s="3" t="str">
        <f aca="false">IFERROR(__xludf.dummyfunction("if($T821&lt;&gt;"""",REGEXEXTRACT($T821, O$1&amp;""[\w &amp;]*, (\d+\.\d+)""),"""")
"),"")</f>
        <v/>
      </c>
      <c r="P821" s="2"/>
      <c r="Q821" s="2"/>
      <c r="R821" s="2"/>
      <c r="S821" s="2"/>
      <c r="T821" s="5"/>
    </row>
    <row r="822" customFormat="false" ht="15.75" hidden="false" customHeight="false" outlineLevel="0" collapsed="false">
      <c r="A822" s="4"/>
      <c r="B822" s="2"/>
      <c r="C822" s="2"/>
      <c r="D822" s="2"/>
      <c r="E822" s="2"/>
      <c r="F822" s="3" t="str">
        <f aca="false">IFERROR(__xludf.dummyfunction("if($T822&lt;&gt;"""",REGEXEXTRACT(SUBSTITUTE ($T822,F$1&amp;"" CE"",""""), F$1&amp;""[\w &amp;]*, (\d+\.\d+)""),"""")
"),"")</f>
        <v/>
      </c>
      <c r="G822" s="3" t="str">
        <f aca="false">IFERROR(__xludf.dummyfunction("if($T822&lt;&gt;"""",REGEXEXTRACT($T822, G$1&amp;""[\w &amp;]*, (\d+\.\d+)""),"""")
"),"")</f>
        <v/>
      </c>
      <c r="H822" s="3"/>
      <c r="I822" s="3" t="str">
        <f aca="false">IFERROR(__xludf.dummyfunction("if($T822&lt;&gt;"""",REGEXEXTRACT(SUBSTITUTE ($T822,I$1&amp;"" CE"",""""), I$1&amp;""[\w &amp;]*, (\d+\.\d+)""),"""")
"),"")</f>
        <v/>
      </c>
      <c r="J822" s="3" t="str">
        <f aca="false">IFERROR(__xludf.dummyfunction("if($T822&lt;&gt;"""",REGEXEXTRACT($T822, J$1&amp;""[\w &amp;]*, (\d+\.\d+)""),"""")
"),"")</f>
        <v/>
      </c>
      <c r="K822" s="3"/>
      <c r="L822" s="3" t="str">
        <f aca="false">IFERROR(__xludf.dummyfunction("if($T822&lt;&gt;"""",REGEXEXTRACT(SUBSTITUTE ($T822,L$1&amp;"" CE"",""""), L$1&amp;""[\w &amp;]*, (\d+\.\d+)""),"""")
"),"")</f>
        <v/>
      </c>
      <c r="M822" s="3" t="str">
        <f aca="false">IFERROR(__xludf.dummyfunction("if($T822&lt;&gt;"""",REGEXEXTRACT($T822, M$1&amp;""[\w &amp;]*, (\d+\.\d+)""),"""")
"),"")</f>
        <v/>
      </c>
      <c r="N822" s="3" t="str">
        <f aca="false">IFERROR(__xludf.dummyfunction("if($T822&lt;&gt;"""",REGEXEXTRACT(SUBSTITUTE ($T822,N$1&amp;"" CE"",""""), N$1&amp;""[\w &amp;]*, (\d+\.\d+)""),"""")
"),"")</f>
        <v/>
      </c>
      <c r="O822" s="3" t="str">
        <f aca="false">IFERROR(__xludf.dummyfunction("if($T822&lt;&gt;"""",REGEXEXTRACT($T822, O$1&amp;""[\w &amp;]*, (\d+\.\d+)""),"""")
"),"")</f>
        <v/>
      </c>
      <c r="P822" s="2"/>
      <c r="Q822" s="2"/>
      <c r="R822" s="2"/>
      <c r="S822" s="2"/>
      <c r="T822" s="5"/>
    </row>
    <row r="823" customFormat="false" ht="15.75" hidden="false" customHeight="false" outlineLevel="0" collapsed="false">
      <c r="A823" s="4"/>
      <c r="B823" s="2"/>
      <c r="C823" s="2"/>
      <c r="D823" s="2"/>
      <c r="E823" s="2"/>
      <c r="F823" s="3" t="str">
        <f aca="false">IFERROR(__xludf.dummyfunction("if($T823&lt;&gt;"""",REGEXEXTRACT(SUBSTITUTE ($T823,F$1&amp;"" CE"",""""), F$1&amp;""[\w &amp;]*, (\d+\.\d+)""),"""")
"),"")</f>
        <v/>
      </c>
      <c r="G823" s="3" t="str">
        <f aca="false">IFERROR(__xludf.dummyfunction("if($T823&lt;&gt;"""",REGEXEXTRACT($T823, G$1&amp;""[\w &amp;]*, (\d+\.\d+)""),"""")
"),"")</f>
        <v/>
      </c>
      <c r="H823" s="3"/>
      <c r="I823" s="3" t="str">
        <f aca="false">IFERROR(__xludf.dummyfunction("if($T823&lt;&gt;"""",REGEXEXTRACT(SUBSTITUTE ($T823,I$1&amp;"" CE"",""""), I$1&amp;""[\w &amp;]*, (\d+\.\d+)""),"""")
"),"")</f>
        <v/>
      </c>
      <c r="J823" s="3" t="str">
        <f aca="false">IFERROR(__xludf.dummyfunction("if($T823&lt;&gt;"""",REGEXEXTRACT($T823, J$1&amp;""[\w &amp;]*, (\d+\.\d+)""),"""")
"),"")</f>
        <v/>
      </c>
      <c r="K823" s="3"/>
      <c r="L823" s="3" t="str">
        <f aca="false">IFERROR(__xludf.dummyfunction("if($T823&lt;&gt;"""",REGEXEXTRACT(SUBSTITUTE ($T823,L$1&amp;"" CE"",""""), L$1&amp;""[\w &amp;]*, (\d+\.\d+)""),"""")
"),"")</f>
        <v/>
      </c>
      <c r="M823" s="3" t="str">
        <f aca="false">IFERROR(__xludf.dummyfunction("if($T823&lt;&gt;"""",REGEXEXTRACT($T823, M$1&amp;""[\w &amp;]*, (\d+\.\d+)""),"""")
"),"")</f>
        <v/>
      </c>
      <c r="N823" s="3" t="str">
        <f aca="false">IFERROR(__xludf.dummyfunction("if($T823&lt;&gt;"""",REGEXEXTRACT(SUBSTITUTE ($T823,N$1&amp;"" CE"",""""), N$1&amp;""[\w &amp;]*, (\d+\.\d+)""),"""")
"),"")</f>
        <v/>
      </c>
      <c r="O823" s="3" t="str">
        <f aca="false">IFERROR(__xludf.dummyfunction("if($T823&lt;&gt;"""",REGEXEXTRACT($T823, O$1&amp;""[\w &amp;]*, (\d+\.\d+)""),"""")
"),"")</f>
        <v/>
      </c>
      <c r="P823" s="2"/>
      <c r="Q823" s="2"/>
      <c r="R823" s="2"/>
      <c r="S823" s="2"/>
      <c r="T823" s="5"/>
    </row>
    <row r="824" customFormat="false" ht="15.75" hidden="false" customHeight="false" outlineLevel="0" collapsed="false">
      <c r="A824" s="4"/>
      <c r="B824" s="2"/>
      <c r="C824" s="2"/>
      <c r="D824" s="2"/>
      <c r="E824" s="2"/>
      <c r="F824" s="3" t="str">
        <f aca="false">IFERROR(__xludf.dummyfunction("if($T824&lt;&gt;"""",REGEXEXTRACT(SUBSTITUTE ($T824,F$1&amp;"" CE"",""""), F$1&amp;""[\w &amp;]*, (\d+\.\d+)""),"""")
"),"")</f>
        <v/>
      </c>
      <c r="G824" s="3" t="str">
        <f aca="false">IFERROR(__xludf.dummyfunction("if($T824&lt;&gt;"""",REGEXEXTRACT($T824, G$1&amp;""[\w &amp;]*, (\d+\.\d+)""),"""")
"),"")</f>
        <v/>
      </c>
      <c r="H824" s="3"/>
      <c r="I824" s="3" t="str">
        <f aca="false">IFERROR(__xludf.dummyfunction("if($T824&lt;&gt;"""",REGEXEXTRACT(SUBSTITUTE ($T824,I$1&amp;"" CE"",""""), I$1&amp;""[\w &amp;]*, (\d+\.\d+)""),"""")
"),"")</f>
        <v/>
      </c>
      <c r="J824" s="3" t="str">
        <f aca="false">IFERROR(__xludf.dummyfunction("if($T824&lt;&gt;"""",REGEXEXTRACT($T824, J$1&amp;""[\w &amp;]*, (\d+\.\d+)""),"""")
"),"")</f>
        <v/>
      </c>
      <c r="K824" s="3"/>
      <c r="L824" s="3" t="str">
        <f aca="false">IFERROR(__xludf.dummyfunction("if($T824&lt;&gt;"""",REGEXEXTRACT(SUBSTITUTE ($T824,L$1&amp;"" CE"",""""), L$1&amp;""[\w &amp;]*, (\d+\.\d+)""),"""")
"),"")</f>
        <v/>
      </c>
      <c r="M824" s="3" t="str">
        <f aca="false">IFERROR(__xludf.dummyfunction("if($T824&lt;&gt;"""",REGEXEXTRACT($T824, M$1&amp;""[\w &amp;]*, (\d+\.\d+)""),"""")
"),"")</f>
        <v/>
      </c>
      <c r="N824" s="3" t="str">
        <f aca="false">IFERROR(__xludf.dummyfunction("if($T824&lt;&gt;"""",REGEXEXTRACT(SUBSTITUTE ($T824,N$1&amp;"" CE"",""""), N$1&amp;""[\w &amp;]*, (\d+\.\d+)""),"""")
"),"")</f>
        <v/>
      </c>
      <c r="O824" s="3" t="str">
        <f aca="false">IFERROR(__xludf.dummyfunction("if($T824&lt;&gt;"""",REGEXEXTRACT($T824, O$1&amp;""[\w &amp;]*, (\d+\.\d+)""),"""")
"),"")</f>
        <v/>
      </c>
      <c r="P824" s="2"/>
      <c r="Q824" s="2"/>
      <c r="R824" s="2"/>
      <c r="S824" s="2"/>
      <c r="T824" s="5"/>
    </row>
    <row r="825" customFormat="false" ht="15.75" hidden="false" customHeight="false" outlineLevel="0" collapsed="false">
      <c r="A825" s="4"/>
      <c r="B825" s="2"/>
      <c r="C825" s="2"/>
      <c r="D825" s="2"/>
      <c r="E825" s="2"/>
      <c r="F825" s="3" t="str">
        <f aca="false">IFERROR(__xludf.dummyfunction("if($T825&lt;&gt;"""",REGEXEXTRACT(SUBSTITUTE ($T825,F$1&amp;"" CE"",""""), F$1&amp;""[\w &amp;]*, (\d+\.\d+)""),"""")
"),"")</f>
        <v/>
      </c>
      <c r="G825" s="3" t="str">
        <f aca="false">IFERROR(__xludf.dummyfunction("if($T825&lt;&gt;"""",REGEXEXTRACT($T825, G$1&amp;""[\w &amp;]*, (\d+\.\d+)""),"""")
"),"")</f>
        <v/>
      </c>
      <c r="H825" s="3"/>
      <c r="I825" s="3" t="str">
        <f aca="false">IFERROR(__xludf.dummyfunction("if($T825&lt;&gt;"""",REGEXEXTRACT(SUBSTITUTE ($T825,I$1&amp;"" CE"",""""), I$1&amp;""[\w &amp;]*, (\d+\.\d+)""),"""")
"),"")</f>
        <v/>
      </c>
      <c r="J825" s="3" t="str">
        <f aca="false">IFERROR(__xludf.dummyfunction("if($T825&lt;&gt;"""",REGEXEXTRACT($T825, J$1&amp;""[\w &amp;]*, (\d+\.\d+)""),"""")
"),"")</f>
        <v/>
      </c>
      <c r="K825" s="3"/>
      <c r="L825" s="3" t="str">
        <f aca="false">IFERROR(__xludf.dummyfunction("if($T825&lt;&gt;"""",REGEXEXTRACT(SUBSTITUTE ($T825,L$1&amp;"" CE"",""""), L$1&amp;""[\w &amp;]*, (\d+\.\d+)""),"""")
"),"")</f>
        <v/>
      </c>
      <c r="M825" s="3" t="str">
        <f aca="false">IFERROR(__xludf.dummyfunction("if($T825&lt;&gt;"""",REGEXEXTRACT($T825, M$1&amp;""[\w &amp;]*, (\d+\.\d+)""),"""")
"),"")</f>
        <v/>
      </c>
      <c r="N825" s="3" t="str">
        <f aca="false">IFERROR(__xludf.dummyfunction("if($T825&lt;&gt;"""",REGEXEXTRACT(SUBSTITUTE ($T825,N$1&amp;"" CE"",""""), N$1&amp;""[\w &amp;]*, (\d+\.\d+)""),"""")
"),"")</f>
        <v/>
      </c>
      <c r="O825" s="3" t="str">
        <f aca="false">IFERROR(__xludf.dummyfunction("if($T825&lt;&gt;"""",REGEXEXTRACT($T825, O$1&amp;""[\w &amp;]*, (\d+\.\d+)""),"""")
"),"")</f>
        <v/>
      </c>
      <c r="P825" s="2"/>
      <c r="Q825" s="2"/>
      <c r="R825" s="2"/>
      <c r="S825" s="2"/>
      <c r="T825" s="5"/>
    </row>
    <row r="826" customFormat="false" ht="15.75" hidden="false" customHeight="false" outlineLevel="0" collapsed="false">
      <c r="A826" s="4"/>
      <c r="B826" s="2"/>
      <c r="C826" s="2"/>
      <c r="D826" s="2"/>
      <c r="E826" s="2"/>
      <c r="F826" s="3" t="str">
        <f aca="false">IFERROR(__xludf.dummyfunction("if($T826&lt;&gt;"""",REGEXEXTRACT(SUBSTITUTE ($T826,F$1&amp;"" CE"",""""), F$1&amp;""[\w &amp;]*, (\d+\.\d+)""),"""")
"),"")</f>
        <v/>
      </c>
      <c r="G826" s="3" t="str">
        <f aca="false">IFERROR(__xludf.dummyfunction("if($T826&lt;&gt;"""",REGEXEXTRACT($T826, G$1&amp;""[\w &amp;]*, (\d+\.\d+)""),"""")
"),"")</f>
        <v/>
      </c>
      <c r="H826" s="3"/>
      <c r="I826" s="3" t="str">
        <f aca="false">IFERROR(__xludf.dummyfunction("if($T826&lt;&gt;"""",REGEXEXTRACT(SUBSTITUTE ($T826,I$1&amp;"" CE"",""""), I$1&amp;""[\w &amp;]*, (\d+\.\d+)""),"""")
"),"")</f>
        <v/>
      </c>
      <c r="J826" s="3" t="str">
        <f aca="false">IFERROR(__xludf.dummyfunction("if($T826&lt;&gt;"""",REGEXEXTRACT($T826, J$1&amp;""[\w &amp;]*, (\d+\.\d+)""),"""")
"),"")</f>
        <v/>
      </c>
      <c r="K826" s="3"/>
      <c r="L826" s="3" t="str">
        <f aca="false">IFERROR(__xludf.dummyfunction("if($T826&lt;&gt;"""",REGEXEXTRACT(SUBSTITUTE ($T826,L$1&amp;"" CE"",""""), L$1&amp;""[\w &amp;]*, (\d+\.\d+)""),"""")
"),"")</f>
        <v/>
      </c>
      <c r="M826" s="3" t="str">
        <f aca="false">IFERROR(__xludf.dummyfunction("if($T826&lt;&gt;"""",REGEXEXTRACT($T826, M$1&amp;""[\w &amp;]*, (\d+\.\d+)""),"""")
"),"")</f>
        <v/>
      </c>
      <c r="N826" s="3" t="str">
        <f aca="false">IFERROR(__xludf.dummyfunction("if($T826&lt;&gt;"""",REGEXEXTRACT(SUBSTITUTE ($T826,N$1&amp;"" CE"",""""), N$1&amp;""[\w &amp;]*, (\d+\.\d+)""),"""")
"),"")</f>
        <v/>
      </c>
      <c r="O826" s="3" t="str">
        <f aca="false">IFERROR(__xludf.dummyfunction("if($T826&lt;&gt;"""",REGEXEXTRACT($T826, O$1&amp;""[\w &amp;]*, (\d+\.\d+)""),"""")
"),"")</f>
        <v/>
      </c>
      <c r="P826" s="2"/>
      <c r="Q826" s="2"/>
      <c r="R826" s="2"/>
      <c r="S826" s="2"/>
      <c r="T826" s="5"/>
    </row>
    <row r="827" customFormat="false" ht="15.75" hidden="false" customHeight="false" outlineLevel="0" collapsed="false">
      <c r="A827" s="4"/>
      <c r="B827" s="2"/>
      <c r="C827" s="2"/>
      <c r="D827" s="2"/>
      <c r="E827" s="2"/>
      <c r="F827" s="3" t="str">
        <f aca="false">IFERROR(__xludf.dummyfunction("if($T827&lt;&gt;"""",REGEXEXTRACT(SUBSTITUTE ($T827,F$1&amp;"" CE"",""""), F$1&amp;""[\w &amp;]*, (\d+\.\d+)""),"""")
"),"")</f>
        <v/>
      </c>
      <c r="G827" s="3" t="str">
        <f aca="false">IFERROR(__xludf.dummyfunction("if($T827&lt;&gt;"""",REGEXEXTRACT($T827, G$1&amp;""[\w &amp;]*, (\d+\.\d+)""),"""")
"),"")</f>
        <v/>
      </c>
      <c r="H827" s="3"/>
      <c r="I827" s="3" t="str">
        <f aca="false">IFERROR(__xludf.dummyfunction("if($T827&lt;&gt;"""",REGEXEXTRACT(SUBSTITUTE ($T827,I$1&amp;"" CE"",""""), I$1&amp;""[\w &amp;]*, (\d+\.\d+)""),"""")
"),"")</f>
        <v/>
      </c>
      <c r="J827" s="3" t="str">
        <f aca="false">IFERROR(__xludf.dummyfunction("if($T827&lt;&gt;"""",REGEXEXTRACT($T827, J$1&amp;""[\w &amp;]*, (\d+\.\d+)""),"""")
"),"")</f>
        <v/>
      </c>
      <c r="K827" s="3"/>
      <c r="L827" s="3" t="str">
        <f aca="false">IFERROR(__xludf.dummyfunction("if($T827&lt;&gt;"""",REGEXEXTRACT(SUBSTITUTE ($T827,L$1&amp;"" CE"",""""), L$1&amp;""[\w &amp;]*, (\d+\.\d+)""),"""")
"),"")</f>
        <v/>
      </c>
      <c r="M827" s="3" t="str">
        <f aca="false">IFERROR(__xludf.dummyfunction("if($T827&lt;&gt;"""",REGEXEXTRACT($T827, M$1&amp;""[\w &amp;]*, (\d+\.\d+)""),"""")
"),"")</f>
        <v/>
      </c>
      <c r="N827" s="3" t="str">
        <f aca="false">IFERROR(__xludf.dummyfunction("if($T827&lt;&gt;"""",REGEXEXTRACT(SUBSTITUTE ($T827,N$1&amp;"" CE"",""""), N$1&amp;""[\w &amp;]*, (\d+\.\d+)""),"""")
"),"")</f>
        <v/>
      </c>
      <c r="O827" s="3" t="str">
        <f aca="false">IFERROR(__xludf.dummyfunction("if($T827&lt;&gt;"""",REGEXEXTRACT($T827, O$1&amp;""[\w &amp;]*, (\d+\.\d+)""),"""")
"),"")</f>
        <v/>
      </c>
      <c r="P827" s="2"/>
      <c r="Q827" s="2"/>
      <c r="R827" s="2"/>
      <c r="S827" s="2"/>
      <c r="T827" s="5"/>
    </row>
    <row r="828" customFormat="false" ht="15.75" hidden="false" customHeight="false" outlineLevel="0" collapsed="false">
      <c r="A828" s="4"/>
      <c r="B828" s="2"/>
      <c r="C828" s="2"/>
      <c r="D828" s="2"/>
      <c r="E828" s="2"/>
      <c r="F828" s="3" t="str">
        <f aca="false">IFERROR(__xludf.dummyfunction("if($T828&lt;&gt;"""",REGEXEXTRACT(SUBSTITUTE ($T828,F$1&amp;"" CE"",""""), F$1&amp;""[\w &amp;]*, (\d+\.\d+)""),"""")
"),"")</f>
        <v/>
      </c>
      <c r="G828" s="3" t="str">
        <f aca="false">IFERROR(__xludf.dummyfunction("if($T828&lt;&gt;"""",REGEXEXTRACT($T828, G$1&amp;""[\w &amp;]*, (\d+\.\d+)""),"""")
"),"")</f>
        <v/>
      </c>
      <c r="H828" s="3"/>
      <c r="I828" s="3" t="str">
        <f aca="false">IFERROR(__xludf.dummyfunction("if($T828&lt;&gt;"""",REGEXEXTRACT(SUBSTITUTE ($T828,I$1&amp;"" CE"",""""), I$1&amp;""[\w &amp;]*, (\d+\.\d+)""),"""")
"),"")</f>
        <v/>
      </c>
      <c r="J828" s="3" t="str">
        <f aca="false">IFERROR(__xludf.dummyfunction("if($T828&lt;&gt;"""",REGEXEXTRACT($T828, J$1&amp;""[\w &amp;]*, (\d+\.\d+)""),"""")
"),"")</f>
        <v/>
      </c>
      <c r="K828" s="3"/>
      <c r="L828" s="3" t="str">
        <f aca="false">IFERROR(__xludf.dummyfunction("if($T828&lt;&gt;"""",REGEXEXTRACT(SUBSTITUTE ($T828,L$1&amp;"" CE"",""""), L$1&amp;""[\w &amp;]*, (\d+\.\d+)""),"""")
"),"")</f>
        <v/>
      </c>
      <c r="M828" s="3" t="str">
        <f aca="false">IFERROR(__xludf.dummyfunction("if($T828&lt;&gt;"""",REGEXEXTRACT($T828, M$1&amp;""[\w &amp;]*, (\d+\.\d+)""),"""")
"),"")</f>
        <v/>
      </c>
      <c r="N828" s="3" t="str">
        <f aca="false">IFERROR(__xludf.dummyfunction("if($T828&lt;&gt;"""",REGEXEXTRACT(SUBSTITUTE ($T828,N$1&amp;"" CE"",""""), N$1&amp;""[\w &amp;]*, (\d+\.\d+)""),"""")
"),"")</f>
        <v/>
      </c>
      <c r="O828" s="3" t="str">
        <f aca="false">IFERROR(__xludf.dummyfunction("if($T828&lt;&gt;"""",REGEXEXTRACT($T828, O$1&amp;""[\w &amp;]*, (\d+\.\d+)""),"""")
"),"")</f>
        <v/>
      </c>
      <c r="P828" s="2"/>
      <c r="Q828" s="2"/>
      <c r="R828" s="2"/>
      <c r="S828" s="2"/>
      <c r="T828" s="5"/>
    </row>
    <row r="829" customFormat="false" ht="15.75" hidden="false" customHeight="false" outlineLevel="0" collapsed="false">
      <c r="A829" s="4"/>
      <c r="B829" s="2"/>
      <c r="C829" s="2"/>
      <c r="D829" s="2"/>
      <c r="E829" s="2"/>
      <c r="F829" s="3" t="str">
        <f aca="false">IFERROR(__xludf.dummyfunction("if($T829&lt;&gt;"""",REGEXEXTRACT(SUBSTITUTE ($T829,F$1&amp;"" CE"",""""), F$1&amp;""[\w &amp;]*, (\d+\.\d+)""),"""")
"),"")</f>
        <v/>
      </c>
      <c r="G829" s="3" t="str">
        <f aca="false">IFERROR(__xludf.dummyfunction("if($T829&lt;&gt;"""",REGEXEXTRACT($T829, G$1&amp;""[\w &amp;]*, (\d+\.\d+)""),"""")
"),"")</f>
        <v/>
      </c>
      <c r="H829" s="3"/>
      <c r="I829" s="3" t="str">
        <f aca="false">IFERROR(__xludf.dummyfunction("if($T829&lt;&gt;"""",REGEXEXTRACT(SUBSTITUTE ($T829,I$1&amp;"" CE"",""""), I$1&amp;""[\w &amp;]*, (\d+\.\d+)""),"""")
"),"")</f>
        <v/>
      </c>
      <c r="J829" s="3" t="str">
        <f aca="false">IFERROR(__xludf.dummyfunction("if($T829&lt;&gt;"""",REGEXEXTRACT($T829, J$1&amp;""[\w &amp;]*, (\d+\.\d+)""),"""")
"),"")</f>
        <v/>
      </c>
      <c r="K829" s="3"/>
      <c r="L829" s="3" t="str">
        <f aca="false">IFERROR(__xludf.dummyfunction("if($T829&lt;&gt;"""",REGEXEXTRACT(SUBSTITUTE ($T829,L$1&amp;"" CE"",""""), L$1&amp;""[\w &amp;]*, (\d+\.\d+)""),"""")
"),"")</f>
        <v/>
      </c>
      <c r="M829" s="3" t="str">
        <f aca="false">IFERROR(__xludf.dummyfunction("if($T829&lt;&gt;"""",REGEXEXTRACT($T829, M$1&amp;""[\w &amp;]*, (\d+\.\d+)""),"""")
"),"")</f>
        <v/>
      </c>
      <c r="N829" s="3" t="str">
        <f aca="false">IFERROR(__xludf.dummyfunction("if($T829&lt;&gt;"""",REGEXEXTRACT(SUBSTITUTE ($T829,N$1&amp;"" CE"",""""), N$1&amp;""[\w &amp;]*, (\d+\.\d+)""),"""")
"),"")</f>
        <v/>
      </c>
      <c r="O829" s="3" t="str">
        <f aca="false">IFERROR(__xludf.dummyfunction("if($T829&lt;&gt;"""",REGEXEXTRACT($T829, O$1&amp;""[\w &amp;]*, (\d+\.\d+)""),"""")
"),"")</f>
        <v/>
      </c>
      <c r="P829" s="2"/>
      <c r="Q829" s="2"/>
      <c r="R829" s="2"/>
      <c r="S829" s="2"/>
      <c r="T829" s="5"/>
    </row>
    <row r="830" customFormat="false" ht="15.75" hidden="false" customHeight="false" outlineLevel="0" collapsed="false">
      <c r="A830" s="4"/>
      <c r="B830" s="2"/>
      <c r="C830" s="2"/>
      <c r="D830" s="2"/>
      <c r="E830" s="2"/>
      <c r="F830" s="3" t="str">
        <f aca="false">IFERROR(__xludf.dummyfunction("if($T830&lt;&gt;"""",REGEXEXTRACT(SUBSTITUTE ($T830,F$1&amp;"" CE"",""""), F$1&amp;""[\w &amp;]*, (\d+\.\d+)""),"""")
"),"")</f>
        <v/>
      </c>
      <c r="G830" s="3" t="str">
        <f aca="false">IFERROR(__xludf.dummyfunction("if($T830&lt;&gt;"""",REGEXEXTRACT($T830, G$1&amp;""[\w &amp;]*, (\d+\.\d+)""),"""")
"),"")</f>
        <v/>
      </c>
      <c r="H830" s="3"/>
      <c r="I830" s="3" t="str">
        <f aca="false">IFERROR(__xludf.dummyfunction("if($T830&lt;&gt;"""",REGEXEXTRACT(SUBSTITUTE ($T830,I$1&amp;"" CE"",""""), I$1&amp;""[\w &amp;]*, (\d+\.\d+)""),"""")
"),"")</f>
        <v/>
      </c>
      <c r="J830" s="3" t="str">
        <f aca="false">IFERROR(__xludf.dummyfunction("if($T830&lt;&gt;"""",REGEXEXTRACT($T830, J$1&amp;""[\w &amp;]*, (\d+\.\d+)""),"""")
"),"")</f>
        <v/>
      </c>
      <c r="K830" s="3"/>
      <c r="L830" s="3" t="str">
        <f aca="false">IFERROR(__xludf.dummyfunction("if($T830&lt;&gt;"""",REGEXEXTRACT(SUBSTITUTE ($T830,L$1&amp;"" CE"",""""), L$1&amp;""[\w &amp;]*, (\d+\.\d+)""),"""")
"),"")</f>
        <v/>
      </c>
      <c r="M830" s="3" t="str">
        <f aca="false">IFERROR(__xludf.dummyfunction("if($T830&lt;&gt;"""",REGEXEXTRACT($T830, M$1&amp;""[\w &amp;]*, (\d+\.\d+)""),"""")
"),"")</f>
        <v/>
      </c>
      <c r="N830" s="3" t="str">
        <f aca="false">IFERROR(__xludf.dummyfunction("if($T830&lt;&gt;"""",REGEXEXTRACT(SUBSTITUTE ($T830,N$1&amp;"" CE"",""""), N$1&amp;""[\w &amp;]*, (\d+\.\d+)""),"""")
"),"")</f>
        <v/>
      </c>
      <c r="O830" s="3" t="str">
        <f aca="false">IFERROR(__xludf.dummyfunction("if($T830&lt;&gt;"""",REGEXEXTRACT($T830, O$1&amp;""[\w &amp;]*, (\d+\.\d+)""),"""")
"),"")</f>
        <v/>
      </c>
      <c r="P830" s="2"/>
      <c r="Q830" s="2"/>
      <c r="R830" s="2"/>
      <c r="S830" s="2"/>
      <c r="T830" s="5"/>
    </row>
    <row r="831" customFormat="false" ht="15.75" hidden="false" customHeight="false" outlineLevel="0" collapsed="false">
      <c r="A831" s="4"/>
      <c r="B831" s="2"/>
      <c r="C831" s="2"/>
      <c r="D831" s="2"/>
      <c r="E831" s="2"/>
      <c r="F831" s="3" t="str">
        <f aca="false">IFERROR(__xludf.dummyfunction("if($T831&lt;&gt;"""",REGEXEXTRACT(SUBSTITUTE ($T831,F$1&amp;"" CE"",""""), F$1&amp;""[\w &amp;]*, (\d+\.\d+)""),"""")
"),"")</f>
        <v/>
      </c>
      <c r="G831" s="3" t="str">
        <f aca="false">IFERROR(__xludf.dummyfunction("if($T831&lt;&gt;"""",REGEXEXTRACT($T831, G$1&amp;""[\w &amp;]*, (\d+\.\d+)""),"""")
"),"")</f>
        <v/>
      </c>
      <c r="H831" s="3"/>
      <c r="I831" s="3" t="str">
        <f aca="false">IFERROR(__xludf.dummyfunction("if($T831&lt;&gt;"""",REGEXEXTRACT(SUBSTITUTE ($T831,I$1&amp;"" CE"",""""), I$1&amp;""[\w &amp;]*, (\d+\.\d+)""),"""")
"),"")</f>
        <v/>
      </c>
      <c r="J831" s="3" t="str">
        <f aca="false">IFERROR(__xludf.dummyfunction("if($T831&lt;&gt;"""",REGEXEXTRACT($T831, J$1&amp;""[\w &amp;]*, (\d+\.\d+)""),"""")
"),"")</f>
        <v/>
      </c>
      <c r="K831" s="3"/>
      <c r="L831" s="3" t="str">
        <f aca="false">IFERROR(__xludf.dummyfunction("if($T831&lt;&gt;"""",REGEXEXTRACT(SUBSTITUTE ($T831,L$1&amp;"" CE"",""""), L$1&amp;""[\w &amp;]*, (\d+\.\d+)""),"""")
"),"")</f>
        <v/>
      </c>
      <c r="M831" s="3" t="str">
        <f aca="false">IFERROR(__xludf.dummyfunction("if($T831&lt;&gt;"""",REGEXEXTRACT($T831, M$1&amp;""[\w &amp;]*, (\d+\.\d+)""),"""")
"),"")</f>
        <v/>
      </c>
      <c r="N831" s="3" t="str">
        <f aca="false">IFERROR(__xludf.dummyfunction("if($T831&lt;&gt;"""",REGEXEXTRACT(SUBSTITUTE ($T831,N$1&amp;"" CE"",""""), N$1&amp;""[\w &amp;]*, (\d+\.\d+)""),"""")
"),"")</f>
        <v/>
      </c>
      <c r="O831" s="3" t="str">
        <f aca="false">IFERROR(__xludf.dummyfunction("if($T831&lt;&gt;"""",REGEXEXTRACT($T831, O$1&amp;""[\w &amp;]*, (\d+\.\d+)""),"""")
"),"")</f>
        <v/>
      </c>
      <c r="P831" s="2"/>
      <c r="Q831" s="2"/>
      <c r="R831" s="2"/>
      <c r="S831" s="2"/>
      <c r="T831" s="5"/>
    </row>
    <row r="832" customFormat="false" ht="15.75" hidden="false" customHeight="false" outlineLevel="0" collapsed="false">
      <c r="A832" s="4"/>
      <c r="B832" s="2"/>
      <c r="C832" s="2"/>
      <c r="D832" s="2"/>
      <c r="E832" s="2"/>
      <c r="F832" s="3" t="str">
        <f aca="false">IFERROR(__xludf.dummyfunction("if($T832&lt;&gt;"""",REGEXEXTRACT(SUBSTITUTE ($T832,F$1&amp;"" CE"",""""), F$1&amp;""[\w &amp;]*, (\d+\.\d+)""),"""")
"),"")</f>
        <v/>
      </c>
      <c r="G832" s="3" t="str">
        <f aca="false">IFERROR(__xludf.dummyfunction("if($T832&lt;&gt;"""",REGEXEXTRACT($T832, G$1&amp;""[\w &amp;]*, (\d+\.\d+)""),"""")
"),"")</f>
        <v/>
      </c>
      <c r="H832" s="3"/>
      <c r="I832" s="3" t="str">
        <f aca="false">IFERROR(__xludf.dummyfunction("if($T832&lt;&gt;"""",REGEXEXTRACT(SUBSTITUTE ($T832,I$1&amp;"" CE"",""""), I$1&amp;""[\w &amp;]*, (\d+\.\d+)""),"""")
"),"")</f>
        <v/>
      </c>
      <c r="J832" s="3" t="str">
        <f aca="false">IFERROR(__xludf.dummyfunction("if($T832&lt;&gt;"""",REGEXEXTRACT($T832, J$1&amp;""[\w &amp;]*, (\d+\.\d+)""),"""")
"),"")</f>
        <v/>
      </c>
      <c r="K832" s="3"/>
      <c r="L832" s="3" t="str">
        <f aca="false">IFERROR(__xludf.dummyfunction("if($T832&lt;&gt;"""",REGEXEXTRACT(SUBSTITUTE ($T832,L$1&amp;"" CE"",""""), L$1&amp;""[\w &amp;]*, (\d+\.\d+)""),"""")
"),"")</f>
        <v/>
      </c>
      <c r="M832" s="3" t="str">
        <f aca="false">IFERROR(__xludf.dummyfunction("if($T832&lt;&gt;"""",REGEXEXTRACT($T832, M$1&amp;""[\w &amp;]*, (\d+\.\d+)""),"""")
"),"")</f>
        <v/>
      </c>
      <c r="N832" s="3" t="str">
        <f aca="false">IFERROR(__xludf.dummyfunction("if($T832&lt;&gt;"""",REGEXEXTRACT(SUBSTITUTE ($T832,N$1&amp;"" CE"",""""), N$1&amp;""[\w &amp;]*, (\d+\.\d+)""),"""")
"),"")</f>
        <v/>
      </c>
      <c r="O832" s="3" t="str">
        <f aca="false">IFERROR(__xludf.dummyfunction("if($T832&lt;&gt;"""",REGEXEXTRACT($T832, O$1&amp;""[\w &amp;]*, (\d+\.\d+)""),"""")
"),"")</f>
        <v/>
      </c>
      <c r="P832" s="2"/>
      <c r="Q832" s="2"/>
      <c r="R832" s="2"/>
      <c r="S832" s="2"/>
      <c r="T832" s="5"/>
    </row>
    <row r="833" customFormat="false" ht="15.75" hidden="false" customHeight="false" outlineLevel="0" collapsed="false">
      <c r="A833" s="4"/>
      <c r="B833" s="2"/>
      <c r="C833" s="2"/>
      <c r="D833" s="2"/>
      <c r="E833" s="2"/>
      <c r="F833" s="3" t="str">
        <f aca="false">IFERROR(__xludf.dummyfunction("if($T833&lt;&gt;"""",REGEXEXTRACT(SUBSTITUTE ($T833,F$1&amp;"" CE"",""""), F$1&amp;""[\w &amp;]*, (\d+\.\d+)""),"""")
"),"")</f>
        <v/>
      </c>
      <c r="G833" s="3" t="str">
        <f aca="false">IFERROR(__xludf.dummyfunction("if($T833&lt;&gt;"""",REGEXEXTRACT($T833, G$1&amp;""[\w &amp;]*, (\d+\.\d+)""),"""")
"),"")</f>
        <v/>
      </c>
      <c r="H833" s="3"/>
      <c r="I833" s="3" t="str">
        <f aca="false">IFERROR(__xludf.dummyfunction("if($T833&lt;&gt;"""",REGEXEXTRACT(SUBSTITUTE ($T833,I$1&amp;"" CE"",""""), I$1&amp;""[\w &amp;]*, (\d+\.\d+)""),"""")
"),"")</f>
        <v/>
      </c>
      <c r="J833" s="3" t="str">
        <f aca="false">IFERROR(__xludf.dummyfunction("if($T833&lt;&gt;"""",REGEXEXTRACT($T833, J$1&amp;""[\w &amp;]*, (\d+\.\d+)""),"""")
"),"")</f>
        <v/>
      </c>
      <c r="K833" s="3"/>
      <c r="L833" s="3" t="str">
        <f aca="false">IFERROR(__xludf.dummyfunction("if($T833&lt;&gt;"""",REGEXEXTRACT(SUBSTITUTE ($T833,L$1&amp;"" CE"",""""), L$1&amp;""[\w &amp;]*, (\d+\.\d+)""),"""")
"),"")</f>
        <v/>
      </c>
      <c r="M833" s="3" t="str">
        <f aca="false">IFERROR(__xludf.dummyfunction("if($T833&lt;&gt;"""",REGEXEXTRACT($T833, M$1&amp;""[\w &amp;]*, (\d+\.\d+)""),"""")
"),"")</f>
        <v/>
      </c>
      <c r="N833" s="3" t="str">
        <f aca="false">IFERROR(__xludf.dummyfunction("if($T833&lt;&gt;"""",REGEXEXTRACT(SUBSTITUTE ($T833,N$1&amp;"" CE"",""""), N$1&amp;""[\w &amp;]*, (\d+\.\d+)""),"""")
"),"")</f>
        <v/>
      </c>
      <c r="O833" s="3" t="str">
        <f aca="false">IFERROR(__xludf.dummyfunction("if($T833&lt;&gt;"""",REGEXEXTRACT($T833, O$1&amp;""[\w &amp;]*, (\d+\.\d+)""),"""")
"),"")</f>
        <v/>
      </c>
      <c r="P833" s="2"/>
      <c r="Q833" s="2"/>
      <c r="R833" s="2"/>
      <c r="S833" s="2"/>
      <c r="T833" s="5"/>
    </row>
    <row r="834" customFormat="false" ht="15.75" hidden="false" customHeight="false" outlineLevel="0" collapsed="false">
      <c r="A834" s="4"/>
      <c r="B834" s="2"/>
      <c r="C834" s="2"/>
      <c r="D834" s="2"/>
      <c r="E834" s="2"/>
      <c r="F834" s="3" t="str">
        <f aca="false">IFERROR(__xludf.dummyfunction("if($T834&lt;&gt;"""",REGEXEXTRACT(SUBSTITUTE ($T834,F$1&amp;"" CE"",""""), F$1&amp;""[\w &amp;]*, (\d+\.\d+)""),"""")
"),"")</f>
        <v/>
      </c>
      <c r="G834" s="3" t="str">
        <f aca="false">IFERROR(__xludf.dummyfunction("if($T834&lt;&gt;"""",REGEXEXTRACT($T834, G$1&amp;""[\w &amp;]*, (\d+\.\d+)""),"""")
"),"")</f>
        <v/>
      </c>
      <c r="H834" s="3"/>
      <c r="I834" s="3" t="str">
        <f aca="false">IFERROR(__xludf.dummyfunction("if($T834&lt;&gt;"""",REGEXEXTRACT(SUBSTITUTE ($T834,I$1&amp;"" CE"",""""), I$1&amp;""[\w &amp;]*, (\d+\.\d+)""),"""")
"),"")</f>
        <v/>
      </c>
      <c r="J834" s="3" t="str">
        <f aca="false">IFERROR(__xludf.dummyfunction("if($T834&lt;&gt;"""",REGEXEXTRACT($T834, J$1&amp;""[\w &amp;]*, (\d+\.\d+)""),"""")
"),"")</f>
        <v/>
      </c>
      <c r="K834" s="3"/>
      <c r="L834" s="3" t="str">
        <f aca="false">IFERROR(__xludf.dummyfunction("if($T834&lt;&gt;"""",REGEXEXTRACT(SUBSTITUTE ($T834,L$1&amp;"" CE"",""""), L$1&amp;""[\w &amp;]*, (\d+\.\d+)""),"""")
"),"")</f>
        <v/>
      </c>
      <c r="M834" s="3" t="str">
        <f aca="false">IFERROR(__xludf.dummyfunction("if($T834&lt;&gt;"""",REGEXEXTRACT($T834, M$1&amp;""[\w &amp;]*, (\d+\.\d+)""),"""")
"),"")</f>
        <v/>
      </c>
      <c r="N834" s="3" t="str">
        <f aca="false">IFERROR(__xludf.dummyfunction("if($T834&lt;&gt;"""",REGEXEXTRACT(SUBSTITUTE ($T834,N$1&amp;"" CE"",""""), N$1&amp;""[\w &amp;]*, (\d+\.\d+)""),"""")
"),"")</f>
        <v/>
      </c>
      <c r="O834" s="3" t="str">
        <f aca="false">IFERROR(__xludf.dummyfunction("if($T834&lt;&gt;"""",REGEXEXTRACT($T834, O$1&amp;""[\w &amp;]*, (\d+\.\d+)""),"""")
"),"")</f>
        <v/>
      </c>
      <c r="P834" s="2"/>
      <c r="Q834" s="2"/>
      <c r="R834" s="2"/>
      <c r="S834" s="2"/>
      <c r="T834" s="5"/>
    </row>
    <row r="835" customFormat="false" ht="15.75" hidden="false" customHeight="false" outlineLevel="0" collapsed="false">
      <c r="A835" s="4"/>
      <c r="B835" s="2"/>
      <c r="C835" s="2"/>
      <c r="D835" s="2"/>
      <c r="E835" s="2"/>
      <c r="F835" s="3" t="str">
        <f aca="false">IFERROR(__xludf.dummyfunction("if($T835&lt;&gt;"""",REGEXEXTRACT(SUBSTITUTE ($T835,F$1&amp;"" CE"",""""), F$1&amp;""[\w &amp;]*, (\d+\.\d+)""),"""")
"),"")</f>
        <v/>
      </c>
      <c r="G835" s="3" t="str">
        <f aca="false">IFERROR(__xludf.dummyfunction("if($T835&lt;&gt;"""",REGEXEXTRACT($T835, G$1&amp;""[\w &amp;]*, (\d+\.\d+)""),"""")
"),"")</f>
        <v/>
      </c>
      <c r="H835" s="3"/>
      <c r="I835" s="3" t="str">
        <f aca="false">IFERROR(__xludf.dummyfunction("if($T835&lt;&gt;"""",REGEXEXTRACT(SUBSTITUTE ($T835,I$1&amp;"" CE"",""""), I$1&amp;""[\w &amp;]*, (\d+\.\d+)""),"""")
"),"")</f>
        <v/>
      </c>
      <c r="J835" s="3" t="str">
        <f aca="false">IFERROR(__xludf.dummyfunction("if($T835&lt;&gt;"""",REGEXEXTRACT($T835, J$1&amp;""[\w &amp;]*, (\d+\.\d+)""),"""")
"),"")</f>
        <v/>
      </c>
      <c r="K835" s="3"/>
      <c r="L835" s="3" t="str">
        <f aca="false">IFERROR(__xludf.dummyfunction("if($T835&lt;&gt;"""",REGEXEXTRACT(SUBSTITUTE ($T835,L$1&amp;"" CE"",""""), L$1&amp;""[\w &amp;]*, (\d+\.\d+)""),"""")
"),"")</f>
        <v/>
      </c>
      <c r="M835" s="3" t="str">
        <f aca="false">IFERROR(__xludf.dummyfunction("if($T835&lt;&gt;"""",REGEXEXTRACT($T835, M$1&amp;""[\w &amp;]*, (\d+\.\d+)""),"""")
"),"")</f>
        <v/>
      </c>
      <c r="N835" s="3" t="str">
        <f aca="false">IFERROR(__xludf.dummyfunction("if($T835&lt;&gt;"""",REGEXEXTRACT(SUBSTITUTE ($T835,N$1&amp;"" CE"",""""), N$1&amp;""[\w &amp;]*, (\d+\.\d+)""),"""")
"),"")</f>
        <v/>
      </c>
      <c r="O835" s="3" t="str">
        <f aca="false">IFERROR(__xludf.dummyfunction("if($T835&lt;&gt;"""",REGEXEXTRACT($T835, O$1&amp;""[\w &amp;]*, (\d+\.\d+)""),"""")
"),"")</f>
        <v/>
      </c>
      <c r="P835" s="2"/>
      <c r="Q835" s="2"/>
      <c r="R835" s="2"/>
      <c r="S835" s="2"/>
      <c r="T835" s="5"/>
    </row>
    <row r="836" customFormat="false" ht="15.75" hidden="false" customHeight="false" outlineLevel="0" collapsed="false">
      <c r="A836" s="4"/>
      <c r="B836" s="2"/>
      <c r="C836" s="2"/>
      <c r="D836" s="2"/>
      <c r="E836" s="2"/>
      <c r="F836" s="3" t="str">
        <f aca="false">IFERROR(__xludf.dummyfunction("if($T836&lt;&gt;"""",REGEXEXTRACT(SUBSTITUTE ($T836,F$1&amp;"" CE"",""""), F$1&amp;""[\w &amp;]*, (\d+\.\d+)""),"""")
"),"")</f>
        <v/>
      </c>
      <c r="G836" s="3" t="str">
        <f aca="false">IFERROR(__xludf.dummyfunction("if($T836&lt;&gt;"""",REGEXEXTRACT($T836, G$1&amp;""[\w &amp;]*, (\d+\.\d+)""),"""")
"),"")</f>
        <v/>
      </c>
      <c r="H836" s="3"/>
      <c r="I836" s="3" t="str">
        <f aca="false">IFERROR(__xludf.dummyfunction("if($T836&lt;&gt;"""",REGEXEXTRACT(SUBSTITUTE ($T836,I$1&amp;"" CE"",""""), I$1&amp;""[\w &amp;]*, (\d+\.\d+)""),"""")
"),"")</f>
        <v/>
      </c>
      <c r="J836" s="3" t="str">
        <f aca="false">IFERROR(__xludf.dummyfunction("if($T836&lt;&gt;"""",REGEXEXTRACT($T836, J$1&amp;""[\w &amp;]*, (\d+\.\d+)""),"""")
"),"")</f>
        <v/>
      </c>
      <c r="K836" s="3"/>
      <c r="L836" s="3" t="str">
        <f aca="false">IFERROR(__xludf.dummyfunction("if($T836&lt;&gt;"""",REGEXEXTRACT(SUBSTITUTE ($T836,L$1&amp;"" CE"",""""), L$1&amp;""[\w &amp;]*, (\d+\.\d+)""),"""")
"),"")</f>
        <v/>
      </c>
      <c r="M836" s="3" t="str">
        <f aca="false">IFERROR(__xludf.dummyfunction("if($T836&lt;&gt;"""",REGEXEXTRACT($T836, M$1&amp;""[\w &amp;]*, (\d+\.\d+)""),"""")
"),"")</f>
        <v/>
      </c>
      <c r="N836" s="3" t="str">
        <f aca="false">IFERROR(__xludf.dummyfunction("if($T836&lt;&gt;"""",REGEXEXTRACT(SUBSTITUTE ($T836,N$1&amp;"" CE"",""""), N$1&amp;""[\w &amp;]*, (\d+\.\d+)""),"""")
"),"")</f>
        <v/>
      </c>
      <c r="O836" s="3" t="str">
        <f aca="false">IFERROR(__xludf.dummyfunction("if($T836&lt;&gt;"""",REGEXEXTRACT($T836, O$1&amp;""[\w &amp;]*, (\d+\.\d+)""),"""")
"),"")</f>
        <v/>
      </c>
      <c r="P836" s="2"/>
      <c r="Q836" s="2"/>
      <c r="R836" s="2"/>
      <c r="S836" s="2"/>
      <c r="T836" s="5"/>
    </row>
    <row r="837" customFormat="false" ht="15.75" hidden="false" customHeight="false" outlineLevel="0" collapsed="false">
      <c r="A837" s="4"/>
      <c r="B837" s="2"/>
      <c r="C837" s="2"/>
      <c r="D837" s="2"/>
      <c r="E837" s="2"/>
      <c r="F837" s="3" t="str">
        <f aca="false">IFERROR(__xludf.dummyfunction("if($T837&lt;&gt;"""",REGEXEXTRACT(SUBSTITUTE ($T837,F$1&amp;"" CE"",""""), F$1&amp;""[\w &amp;]*, (\d+\.\d+)""),"""")
"),"")</f>
        <v/>
      </c>
      <c r="G837" s="3" t="str">
        <f aca="false">IFERROR(__xludf.dummyfunction("if($T837&lt;&gt;"""",REGEXEXTRACT($T837, G$1&amp;""[\w &amp;]*, (\d+\.\d+)""),"""")
"),"")</f>
        <v/>
      </c>
      <c r="H837" s="3"/>
      <c r="I837" s="3" t="str">
        <f aca="false">IFERROR(__xludf.dummyfunction("if($T837&lt;&gt;"""",REGEXEXTRACT(SUBSTITUTE ($T837,I$1&amp;"" CE"",""""), I$1&amp;""[\w &amp;]*, (\d+\.\d+)""),"""")
"),"")</f>
        <v/>
      </c>
      <c r="J837" s="3" t="str">
        <f aca="false">IFERROR(__xludf.dummyfunction("if($T837&lt;&gt;"""",REGEXEXTRACT($T837, J$1&amp;""[\w &amp;]*, (\d+\.\d+)""),"""")
"),"")</f>
        <v/>
      </c>
      <c r="K837" s="3"/>
      <c r="L837" s="3" t="str">
        <f aca="false">IFERROR(__xludf.dummyfunction("if($T837&lt;&gt;"""",REGEXEXTRACT(SUBSTITUTE ($T837,L$1&amp;"" CE"",""""), L$1&amp;""[\w &amp;]*, (\d+\.\d+)""),"""")
"),"")</f>
        <v/>
      </c>
      <c r="M837" s="3" t="str">
        <f aca="false">IFERROR(__xludf.dummyfunction("if($T837&lt;&gt;"""",REGEXEXTRACT($T837, M$1&amp;""[\w &amp;]*, (\d+\.\d+)""),"""")
"),"")</f>
        <v/>
      </c>
      <c r="N837" s="3" t="str">
        <f aca="false">IFERROR(__xludf.dummyfunction("if($T837&lt;&gt;"""",REGEXEXTRACT(SUBSTITUTE ($T837,N$1&amp;"" CE"",""""), N$1&amp;""[\w &amp;]*, (\d+\.\d+)""),"""")
"),"")</f>
        <v/>
      </c>
      <c r="O837" s="3" t="str">
        <f aca="false">IFERROR(__xludf.dummyfunction("if($T837&lt;&gt;"""",REGEXEXTRACT($T837, O$1&amp;""[\w &amp;]*, (\d+\.\d+)""),"""")
"),"")</f>
        <v/>
      </c>
      <c r="P837" s="2"/>
      <c r="Q837" s="2"/>
      <c r="R837" s="2"/>
      <c r="S837" s="2"/>
      <c r="T837" s="5"/>
    </row>
    <row r="838" customFormat="false" ht="15.75" hidden="false" customHeight="false" outlineLevel="0" collapsed="false">
      <c r="A838" s="4"/>
      <c r="B838" s="2"/>
      <c r="C838" s="2"/>
      <c r="D838" s="2"/>
      <c r="E838" s="2"/>
      <c r="F838" s="3" t="str">
        <f aca="false">IFERROR(__xludf.dummyfunction("if($T838&lt;&gt;"""",REGEXEXTRACT(SUBSTITUTE ($T838,F$1&amp;"" CE"",""""), F$1&amp;""[\w &amp;]*, (\d+\.\d+)""),"""")
"),"")</f>
        <v/>
      </c>
      <c r="G838" s="3" t="str">
        <f aca="false">IFERROR(__xludf.dummyfunction("if($T838&lt;&gt;"""",REGEXEXTRACT($T838, G$1&amp;""[\w &amp;]*, (\d+\.\d+)""),"""")
"),"")</f>
        <v/>
      </c>
      <c r="H838" s="3"/>
      <c r="I838" s="3" t="str">
        <f aca="false">IFERROR(__xludf.dummyfunction("if($T838&lt;&gt;"""",REGEXEXTRACT(SUBSTITUTE ($T838,I$1&amp;"" CE"",""""), I$1&amp;""[\w &amp;]*, (\d+\.\d+)""),"""")
"),"")</f>
        <v/>
      </c>
      <c r="J838" s="3" t="str">
        <f aca="false">IFERROR(__xludf.dummyfunction("if($T838&lt;&gt;"""",REGEXEXTRACT($T838, J$1&amp;""[\w &amp;]*, (\d+\.\d+)""),"""")
"),"")</f>
        <v/>
      </c>
      <c r="K838" s="3"/>
      <c r="L838" s="3" t="str">
        <f aca="false">IFERROR(__xludf.dummyfunction("if($T838&lt;&gt;"""",REGEXEXTRACT(SUBSTITUTE ($T838,L$1&amp;"" CE"",""""), L$1&amp;""[\w &amp;]*, (\d+\.\d+)""),"""")
"),"")</f>
        <v/>
      </c>
      <c r="M838" s="3" t="str">
        <f aca="false">IFERROR(__xludf.dummyfunction("if($T838&lt;&gt;"""",REGEXEXTRACT($T838, M$1&amp;""[\w &amp;]*, (\d+\.\d+)""),"""")
"),"")</f>
        <v/>
      </c>
      <c r="N838" s="3" t="str">
        <f aca="false">IFERROR(__xludf.dummyfunction("if($T838&lt;&gt;"""",REGEXEXTRACT(SUBSTITUTE ($T838,N$1&amp;"" CE"",""""), N$1&amp;""[\w &amp;]*, (\d+\.\d+)""),"""")
"),"")</f>
        <v/>
      </c>
      <c r="O838" s="3" t="str">
        <f aca="false">IFERROR(__xludf.dummyfunction("if($T838&lt;&gt;"""",REGEXEXTRACT($T838, O$1&amp;""[\w &amp;]*, (\d+\.\d+)""),"""")
"),"")</f>
        <v/>
      </c>
      <c r="P838" s="2"/>
      <c r="Q838" s="2"/>
      <c r="R838" s="2"/>
      <c r="S838" s="2"/>
      <c r="T838" s="5"/>
    </row>
    <row r="839" customFormat="false" ht="15.75" hidden="false" customHeight="false" outlineLevel="0" collapsed="false">
      <c r="A839" s="4"/>
      <c r="B839" s="2"/>
      <c r="C839" s="2"/>
      <c r="D839" s="2"/>
      <c r="E839" s="2"/>
      <c r="F839" s="3" t="str">
        <f aca="false">IFERROR(__xludf.dummyfunction("if($T839&lt;&gt;"""",REGEXEXTRACT(SUBSTITUTE ($T839,F$1&amp;"" CE"",""""), F$1&amp;""[\w &amp;]*, (\d+\.\d+)""),"""")
"),"")</f>
        <v/>
      </c>
      <c r="G839" s="3" t="str">
        <f aca="false">IFERROR(__xludf.dummyfunction("if($T839&lt;&gt;"""",REGEXEXTRACT($T839, G$1&amp;""[\w &amp;]*, (\d+\.\d+)""),"""")
"),"")</f>
        <v/>
      </c>
      <c r="H839" s="3"/>
      <c r="I839" s="3" t="str">
        <f aca="false">IFERROR(__xludf.dummyfunction("if($T839&lt;&gt;"""",REGEXEXTRACT(SUBSTITUTE ($T839,I$1&amp;"" CE"",""""), I$1&amp;""[\w &amp;]*, (\d+\.\d+)""),"""")
"),"")</f>
        <v/>
      </c>
      <c r="J839" s="3" t="str">
        <f aca="false">IFERROR(__xludf.dummyfunction("if($T839&lt;&gt;"""",REGEXEXTRACT($T839, J$1&amp;""[\w &amp;]*, (\d+\.\d+)""),"""")
"),"")</f>
        <v/>
      </c>
      <c r="K839" s="3"/>
      <c r="L839" s="3" t="str">
        <f aca="false">IFERROR(__xludf.dummyfunction("if($T839&lt;&gt;"""",REGEXEXTRACT(SUBSTITUTE ($T839,L$1&amp;"" CE"",""""), L$1&amp;""[\w &amp;]*, (\d+\.\d+)""),"""")
"),"")</f>
        <v/>
      </c>
      <c r="M839" s="3" t="str">
        <f aca="false">IFERROR(__xludf.dummyfunction("if($T839&lt;&gt;"""",REGEXEXTRACT($T839, M$1&amp;""[\w &amp;]*, (\d+\.\d+)""),"""")
"),"")</f>
        <v/>
      </c>
      <c r="N839" s="3" t="str">
        <f aca="false">IFERROR(__xludf.dummyfunction("if($T839&lt;&gt;"""",REGEXEXTRACT(SUBSTITUTE ($T839,N$1&amp;"" CE"",""""), N$1&amp;""[\w &amp;]*, (\d+\.\d+)""),"""")
"),"")</f>
        <v/>
      </c>
      <c r="O839" s="3" t="str">
        <f aca="false">IFERROR(__xludf.dummyfunction("if($T839&lt;&gt;"""",REGEXEXTRACT($T839, O$1&amp;""[\w &amp;]*, (\d+\.\d+)""),"""")
"),"")</f>
        <v/>
      </c>
      <c r="P839" s="2"/>
      <c r="Q839" s="2"/>
      <c r="R839" s="2"/>
      <c r="S839" s="2"/>
      <c r="T839" s="5"/>
    </row>
    <row r="840" customFormat="false" ht="15.75" hidden="false" customHeight="false" outlineLevel="0" collapsed="false">
      <c r="A840" s="4"/>
      <c r="B840" s="2"/>
      <c r="C840" s="2"/>
      <c r="D840" s="2"/>
      <c r="E840" s="2"/>
      <c r="F840" s="3" t="str">
        <f aca="false">IFERROR(__xludf.dummyfunction("if($T840&lt;&gt;"""",REGEXEXTRACT(SUBSTITUTE ($T840,F$1&amp;"" CE"",""""), F$1&amp;""[\w &amp;]*, (\d+\.\d+)""),"""")
"),"")</f>
        <v/>
      </c>
      <c r="G840" s="3" t="str">
        <f aca="false">IFERROR(__xludf.dummyfunction("if($T840&lt;&gt;"""",REGEXEXTRACT($T840, G$1&amp;""[\w &amp;]*, (\d+\.\d+)""),"""")
"),"")</f>
        <v/>
      </c>
      <c r="H840" s="3"/>
      <c r="I840" s="3" t="str">
        <f aca="false">IFERROR(__xludf.dummyfunction("if($T840&lt;&gt;"""",REGEXEXTRACT(SUBSTITUTE ($T840,I$1&amp;"" CE"",""""), I$1&amp;""[\w &amp;]*, (\d+\.\d+)""),"""")
"),"")</f>
        <v/>
      </c>
      <c r="J840" s="3" t="str">
        <f aca="false">IFERROR(__xludf.dummyfunction("if($T840&lt;&gt;"""",REGEXEXTRACT($T840, J$1&amp;""[\w &amp;]*, (\d+\.\d+)""),"""")
"),"")</f>
        <v/>
      </c>
      <c r="K840" s="3"/>
      <c r="L840" s="3" t="str">
        <f aca="false">IFERROR(__xludf.dummyfunction("if($T840&lt;&gt;"""",REGEXEXTRACT(SUBSTITUTE ($T840,L$1&amp;"" CE"",""""), L$1&amp;""[\w &amp;]*, (\d+\.\d+)""),"""")
"),"")</f>
        <v/>
      </c>
      <c r="M840" s="3" t="str">
        <f aca="false">IFERROR(__xludf.dummyfunction("if($T840&lt;&gt;"""",REGEXEXTRACT($T840, M$1&amp;""[\w &amp;]*, (\d+\.\d+)""),"""")
"),"")</f>
        <v/>
      </c>
      <c r="N840" s="3" t="str">
        <f aca="false">IFERROR(__xludf.dummyfunction("if($T840&lt;&gt;"""",REGEXEXTRACT(SUBSTITUTE ($T840,N$1&amp;"" CE"",""""), N$1&amp;""[\w &amp;]*, (\d+\.\d+)""),"""")
"),"")</f>
        <v/>
      </c>
      <c r="O840" s="3" t="str">
        <f aca="false">IFERROR(__xludf.dummyfunction("if($T840&lt;&gt;"""",REGEXEXTRACT($T840, O$1&amp;""[\w &amp;]*, (\d+\.\d+)""),"""")
"),"")</f>
        <v/>
      </c>
      <c r="P840" s="2"/>
      <c r="Q840" s="2"/>
      <c r="R840" s="2"/>
      <c r="S840" s="2"/>
      <c r="T840" s="5"/>
    </row>
    <row r="841" customFormat="false" ht="15.75" hidden="false" customHeight="false" outlineLevel="0" collapsed="false">
      <c r="A841" s="4"/>
      <c r="B841" s="2"/>
      <c r="C841" s="2"/>
      <c r="D841" s="2"/>
      <c r="E841" s="2"/>
      <c r="F841" s="3" t="str">
        <f aca="false">IFERROR(__xludf.dummyfunction("if($T841&lt;&gt;"""",REGEXEXTRACT(SUBSTITUTE ($T841,F$1&amp;"" CE"",""""), F$1&amp;""[\w &amp;]*, (\d+\.\d+)""),"""")
"),"")</f>
        <v/>
      </c>
      <c r="G841" s="3" t="str">
        <f aca="false">IFERROR(__xludf.dummyfunction("if($T841&lt;&gt;"""",REGEXEXTRACT($T841, G$1&amp;""[\w &amp;]*, (\d+\.\d+)""),"""")
"),"")</f>
        <v/>
      </c>
      <c r="H841" s="3"/>
      <c r="I841" s="3" t="str">
        <f aca="false">IFERROR(__xludf.dummyfunction("if($T841&lt;&gt;"""",REGEXEXTRACT(SUBSTITUTE ($T841,I$1&amp;"" CE"",""""), I$1&amp;""[\w &amp;]*, (\d+\.\d+)""),"""")
"),"")</f>
        <v/>
      </c>
      <c r="J841" s="3" t="str">
        <f aca="false">IFERROR(__xludf.dummyfunction("if($T841&lt;&gt;"""",REGEXEXTRACT($T841, J$1&amp;""[\w &amp;]*, (\d+\.\d+)""),"""")
"),"")</f>
        <v/>
      </c>
      <c r="K841" s="3"/>
      <c r="L841" s="3" t="str">
        <f aca="false">IFERROR(__xludf.dummyfunction("if($T841&lt;&gt;"""",REGEXEXTRACT(SUBSTITUTE ($T841,L$1&amp;"" CE"",""""), L$1&amp;""[\w &amp;]*, (\d+\.\d+)""),"""")
"),"")</f>
        <v/>
      </c>
      <c r="M841" s="3" t="str">
        <f aca="false">IFERROR(__xludf.dummyfunction("if($T841&lt;&gt;"""",REGEXEXTRACT($T841, M$1&amp;""[\w &amp;]*, (\d+\.\d+)""),"""")
"),"")</f>
        <v/>
      </c>
      <c r="N841" s="3" t="str">
        <f aca="false">IFERROR(__xludf.dummyfunction("if($T841&lt;&gt;"""",REGEXEXTRACT(SUBSTITUTE ($T841,N$1&amp;"" CE"",""""), N$1&amp;""[\w &amp;]*, (\d+\.\d+)""),"""")
"),"")</f>
        <v/>
      </c>
      <c r="O841" s="3" t="str">
        <f aca="false">IFERROR(__xludf.dummyfunction("if($T841&lt;&gt;"""",REGEXEXTRACT($T841, O$1&amp;""[\w &amp;]*, (\d+\.\d+)""),"""")
"),"")</f>
        <v/>
      </c>
      <c r="P841" s="2"/>
      <c r="Q841" s="2"/>
      <c r="R841" s="2"/>
      <c r="S841" s="2"/>
      <c r="T841" s="5"/>
    </row>
    <row r="842" customFormat="false" ht="15.75" hidden="false" customHeight="false" outlineLevel="0" collapsed="false">
      <c r="A842" s="4"/>
      <c r="B842" s="2"/>
      <c r="C842" s="2"/>
      <c r="D842" s="2"/>
      <c r="E842" s="2"/>
      <c r="F842" s="3" t="str">
        <f aca="false">IFERROR(__xludf.dummyfunction("if($T842&lt;&gt;"""",REGEXEXTRACT(SUBSTITUTE ($T842,F$1&amp;"" CE"",""""), F$1&amp;""[\w &amp;]*, (\d+\.\d+)""),"""")
"),"")</f>
        <v/>
      </c>
      <c r="G842" s="3" t="str">
        <f aca="false">IFERROR(__xludf.dummyfunction("if($T842&lt;&gt;"""",REGEXEXTRACT($T842, G$1&amp;""[\w &amp;]*, (\d+\.\d+)""),"""")
"),"")</f>
        <v/>
      </c>
      <c r="H842" s="3"/>
      <c r="I842" s="3" t="str">
        <f aca="false">IFERROR(__xludf.dummyfunction("if($T842&lt;&gt;"""",REGEXEXTRACT(SUBSTITUTE ($T842,I$1&amp;"" CE"",""""), I$1&amp;""[\w &amp;]*, (\d+\.\d+)""),"""")
"),"")</f>
        <v/>
      </c>
      <c r="J842" s="3" t="str">
        <f aca="false">IFERROR(__xludf.dummyfunction("if($T842&lt;&gt;"""",REGEXEXTRACT($T842, J$1&amp;""[\w &amp;]*, (\d+\.\d+)""),"""")
"),"")</f>
        <v/>
      </c>
      <c r="K842" s="3"/>
      <c r="L842" s="3" t="str">
        <f aca="false">IFERROR(__xludf.dummyfunction("if($T842&lt;&gt;"""",REGEXEXTRACT(SUBSTITUTE ($T842,L$1&amp;"" CE"",""""), L$1&amp;""[\w &amp;]*, (\d+\.\d+)""),"""")
"),"")</f>
        <v/>
      </c>
      <c r="M842" s="3" t="str">
        <f aca="false">IFERROR(__xludf.dummyfunction("if($T842&lt;&gt;"""",REGEXEXTRACT($T842, M$1&amp;""[\w &amp;]*, (\d+\.\d+)""),"""")
"),"")</f>
        <v/>
      </c>
      <c r="N842" s="3" t="str">
        <f aca="false">IFERROR(__xludf.dummyfunction("if($T842&lt;&gt;"""",REGEXEXTRACT(SUBSTITUTE ($T842,N$1&amp;"" CE"",""""), N$1&amp;""[\w &amp;]*, (\d+\.\d+)""),"""")
"),"")</f>
        <v/>
      </c>
      <c r="O842" s="3" t="str">
        <f aca="false">IFERROR(__xludf.dummyfunction("if($T842&lt;&gt;"""",REGEXEXTRACT($T842, O$1&amp;""[\w &amp;]*, (\d+\.\d+)""),"""")
"),"")</f>
        <v/>
      </c>
      <c r="P842" s="2"/>
      <c r="Q842" s="2"/>
      <c r="R842" s="2"/>
      <c r="S842" s="2"/>
      <c r="T842" s="5"/>
    </row>
    <row r="843" customFormat="false" ht="15.75" hidden="false" customHeight="false" outlineLevel="0" collapsed="false">
      <c r="A843" s="4"/>
      <c r="B843" s="2"/>
      <c r="C843" s="2"/>
      <c r="D843" s="2"/>
      <c r="E843" s="2"/>
      <c r="F843" s="3" t="str">
        <f aca="false">IFERROR(__xludf.dummyfunction("if($T843&lt;&gt;"""",REGEXEXTRACT(SUBSTITUTE ($T843,F$1&amp;"" CE"",""""), F$1&amp;""[\w &amp;]*, (\d+\.\d+)""),"""")
"),"")</f>
        <v/>
      </c>
      <c r="G843" s="3" t="str">
        <f aca="false">IFERROR(__xludf.dummyfunction("if($T843&lt;&gt;"""",REGEXEXTRACT($T843, G$1&amp;""[\w &amp;]*, (\d+\.\d+)""),"""")
"),"")</f>
        <v/>
      </c>
      <c r="H843" s="3"/>
      <c r="I843" s="3" t="str">
        <f aca="false">IFERROR(__xludf.dummyfunction("if($T843&lt;&gt;"""",REGEXEXTRACT(SUBSTITUTE ($T843,I$1&amp;"" CE"",""""), I$1&amp;""[\w &amp;]*, (\d+\.\d+)""),"""")
"),"")</f>
        <v/>
      </c>
      <c r="J843" s="3" t="str">
        <f aca="false">IFERROR(__xludf.dummyfunction("if($T843&lt;&gt;"""",REGEXEXTRACT($T843, J$1&amp;""[\w &amp;]*, (\d+\.\d+)""),"""")
"),"")</f>
        <v/>
      </c>
      <c r="K843" s="3"/>
      <c r="L843" s="3" t="str">
        <f aca="false">IFERROR(__xludf.dummyfunction("if($T843&lt;&gt;"""",REGEXEXTRACT(SUBSTITUTE ($T843,L$1&amp;"" CE"",""""), L$1&amp;""[\w &amp;]*, (\d+\.\d+)""),"""")
"),"")</f>
        <v/>
      </c>
      <c r="M843" s="3" t="str">
        <f aca="false">IFERROR(__xludf.dummyfunction("if($T843&lt;&gt;"""",REGEXEXTRACT($T843, M$1&amp;""[\w &amp;]*, (\d+\.\d+)""),"""")
"),"")</f>
        <v/>
      </c>
      <c r="N843" s="3" t="str">
        <f aca="false">IFERROR(__xludf.dummyfunction("if($T843&lt;&gt;"""",REGEXEXTRACT(SUBSTITUTE ($T843,N$1&amp;"" CE"",""""), N$1&amp;""[\w &amp;]*, (\d+\.\d+)""),"""")
"),"")</f>
        <v/>
      </c>
      <c r="O843" s="3" t="str">
        <f aca="false">IFERROR(__xludf.dummyfunction("if($T843&lt;&gt;"""",REGEXEXTRACT($T843, O$1&amp;""[\w &amp;]*, (\d+\.\d+)""),"""")
"),"")</f>
        <v/>
      </c>
      <c r="P843" s="2"/>
      <c r="Q843" s="2"/>
      <c r="R843" s="2"/>
      <c r="S843" s="2"/>
      <c r="T843" s="5"/>
    </row>
    <row r="844" customFormat="false" ht="15.75" hidden="false" customHeight="false" outlineLevel="0" collapsed="false">
      <c r="A844" s="4"/>
      <c r="B844" s="2"/>
      <c r="C844" s="2"/>
      <c r="D844" s="2"/>
      <c r="E844" s="2"/>
      <c r="F844" s="3" t="str">
        <f aca="false">IFERROR(__xludf.dummyfunction("if($T844&lt;&gt;"""",REGEXEXTRACT(SUBSTITUTE ($T844,F$1&amp;"" CE"",""""), F$1&amp;""[\w &amp;]*, (\d+\.\d+)""),"""")
"),"")</f>
        <v/>
      </c>
      <c r="G844" s="3" t="str">
        <f aca="false">IFERROR(__xludf.dummyfunction("if($T844&lt;&gt;"""",REGEXEXTRACT($T844, G$1&amp;""[\w &amp;]*, (\d+\.\d+)""),"""")
"),"")</f>
        <v/>
      </c>
      <c r="H844" s="3"/>
      <c r="I844" s="3" t="str">
        <f aca="false">IFERROR(__xludf.dummyfunction("if($T844&lt;&gt;"""",REGEXEXTRACT(SUBSTITUTE ($T844,I$1&amp;"" CE"",""""), I$1&amp;""[\w &amp;]*, (\d+\.\d+)""),"""")
"),"")</f>
        <v/>
      </c>
      <c r="J844" s="3" t="str">
        <f aca="false">IFERROR(__xludf.dummyfunction("if($T844&lt;&gt;"""",REGEXEXTRACT($T844, J$1&amp;""[\w &amp;]*, (\d+\.\d+)""),"""")
"),"")</f>
        <v/>
      </c>
      <c r="K844" s="3"/>
      <c r="L844" s="3" t="str">
        <f aca="false">IFERROR(__xludf.dummyfunction("if($T844&lt;&gt;"""",REGEXEXTRACT(SUBSTITUTE ($T844,L$1&amp;"" CE"",""""), L$1&amp;""[\w &amp;]*, (\d+\.\d+)""),"""")
"),"")</f>
        <v/>
      </c>
      <c r="M844" s="3" t="str">
        <f aca="false">IFERROR(__xludf.dummyfunction("if($T844&lt;&gt;"""",REGEXEXTRACT($T844, M$1&amp;""[\w &amp;]*, (\d+\.\d+)""),"""")
"),"")</f>
        <v/>
      </c>
      <c r="N844" s="3" t="str">
        <f aca="false">IFERROR(__xludf.dummyfunction("if($T844&lt;&gt;"""",REGEXEXTRACT(SUBSTITUTE ($T844,N$1&amp;"" CE"",""""), N$1&amp;""[\w &amp;]*, (\d+\.\d+)""),"""")
"),"")</f>
        <v/>
      </c>
      <c r="O844" s="3" t="str">
        <f aca="false">IFERROR(__xludf.dummyfunction("if($T844&lt;&gt;"""",REGEXEXTRACT($T844, O$1&amp;""[\w &amp;]*, (\d+\.\d+)""),"""")
"),"")</f>
        <v/>
      </c>
      <c r="P844" s="2"/>
      <c r="Q844" s="2"/>
      <c r="R844" s="2"/>
      <c r="S844" s="2"/>
      <c r="T844" s="5"/>
    </row>
    <row r="845" customFormat="false" ht="15.75" hidden="false" customHeight="false" outlineLevel="0" collapsed="false">
      <c r="A845" s="4"/>
      <c r="B845" s="2"/>
      <c r="C845" s="2"/>
      <c r="D845" s="2"/>
      <c r="E845" s="2"/>
      <c r="F845" s="3" t="str">
        <f aca="false">IFERROR(__xludf.dummyfunction("if($T845&lt;&gt;"""",REGEXEXTRACT(SUBSTITUTE ($T845,F$1&amp;"" CE"",""""), F$1&amp;""[\w &amp;]*, (\d+\.\d+)""),"""")
"),"")</f>
        <v/>
      </c>
      <c r="G845" s="3" t="str">
        <f aca="false">IFERROR(__xludf.dummyfunction("if($T845&lt;&gt;"""",REGEXEXTRACT($T845, G$1&amp;""[\w &amp;]*, (\d+\.\d+)""),"""")
"),"")</f>
        <v/>
      </c>
      <c r="H845" s="3"/>
      <c r="I845" s="3" t="str">
        <f aca="false">IFERROR(__xludf.dummyfunction("if($T845&lt;&gt;"""",REGEXEXTRACT(SUBSTITUTE ($T845,I$1&amp;"" CE"",""""), I$1&amp;""[\w &amp;]*, (\d+\.\d+)""),"""")
"),"")</f>
        <v/>
      </c>
      <c r="J845" s="3" t="str">
        <f aca="false">IFERROR(__xludf.dummyfunction("if($T845&lt;&gt;"""",REGEXEXTRACT($T845, J$1&amp;""[\w &amp;]*, (\d+\.\d+)""),"""")
"),"")</f>
        <v/>
      </c>
      <c r="K845" s="3"/>
      <c r="L845" s="3" t="str">
        <f aca="false">IFERROR(__xludf.dummyfunction("if($T845&lt;&gt;"""",REGEXEXTRACT(SUBSTITUTE ($T845,L$1&amp;"" CE"",""""), L$1&amp;""[\w &amp;]*, (\d+\.\d+)""),"""")
"),"")</f>
        <v/>
      </c>
      <c r="M845" s="3" t="str">
        <f aca="false">IFERROR(__xludf.dummyfunction("if($T845&lt;&gt;"""",REGEXEXTRACT($T845, M$1&amp;""[\w &amp;]*, (\d+\.\d+)""),"""")
"),"")</f>
        <v/>
      </c>
      <c r="N845" s="3" t="str">
        <f aca="false">IFERROR(__xludf.dummyfunction("if($T845&lt;&gt;"""",REGEXEXTRACT(SUBSTITUTE ($T845,N$1&amp;"" CE"",""""), N$1&amp;""[\w &amp;]*, (\d+\.\d+)""),"""")
"),"")</f>
        <v/>
      </c>
      <c r="O845" s="3" t="str">
        <f aca="false">IFERROR(__xludf.dummyfunction("if($T845&lt;&gt;"""",REGEXEXTRACT($T845, O$1&amp;""[\w &amp;]*, (\d+\.\d+)""),"""")
"),"")</f>
        <v/>
      </c>
      <c r="P845" s="2"/>
      <c r="Q845" s="2"/>
      <c r="R845" s="2"/>
      <c r="S845" s="2"/>
      <c r="T845" s="5"/>
    </row>
    <row r="846" customFormat="false" ht="15.75" hidden="false" customHeight="false" outlineLevel="0" collapsed="false">
      <c r="A846" s="4"/>
      <c r="B846" s="2"/>
      <c r="C846" s="2"/>
      <c r="D846" s="2"/>
      <c r="E846" s="2"/>
      <c r="F846" s="3" t="str">
        <f aca="false">IFERROR(__xludf.dummyfunction("if($T846&lt;&gt;"""",REGEXEXTRACT(SUBSTITUTE ($T846,F$1&amp;"" CE"",""""), F$1&amp;""[\w &amp;]*, (\d+\.\d+)""),"""")
"),"")</f>
        <v/>
      </c>
      <c r="G846" s="3" t="str">
        <f aca="false">IFERROR(__xludf.dummyfunction("if($T846&lt;&gt;"""",REGEXEXTRACT($T846, G$1&amp;""[\w &amp;]*, (\d+\.\d+)""),"""")
"),"")</f>
        <v/>
      </c>
      <c r="H846" s="3"/>
      <c r="I846" s="3" t="str">
        <f aca="false">IFERROR(__xludf.dummyfunction("if($T846&lt;&gt;"""",REGEXEXTRACT(SUBSTITUTE ($T846,I$1&amp;"" CE"",""""), I$1&amp;""[\w &amp;]*, (\d+\.\d+)""),"""")
"),"")</f>
        <v/>
      </c>
      <c r="J846" s="3" t="str">
        <f aca="false">IFERROR(__xludf.dummyfunction("if($T846&lt;&gt;"""",REGEXEXTRACT($T846, J$1&amp;""[\w &amp;]*, (\d+\.\d+)""),"""")
"),"")</f>
        <v/>
      </c>
      <c r="K846" s="3"/>
      <c r="L846" s="3" t="str">
        <f aca="false">IFERROR(__xludf.dummyfunction("if($T846&lt;&gt;"""",REGEXEXTRACT(SUBSTITUTE ($T846,L$1&amp;"" CE"",""""), L$1&amp;""[\w &amp;]*, (\d+\.\d+)""),"""")
"),"")</f>
        <v/>
      </c>
      <c r="M846" s="3" t="str">
        <f aca="false">IFERROR(__xludf.dummyfunction("if($T846&lt;&gt;"""",REGEXEXTRACT($T846, M$1&amp;""[\w &amp;]*, (\d+\.\d+)""),"""")
"),"")</f>
        <v/>
      </c>
      <c r="N846" s="3" t="str">
        <f aca="false">IFERROR(__xludf.dummyfunction("if($T846&lt;&gt;"""",REGEXEXTRACT(SUBSTITUTE ($T846,N$1&amp;"" CE"",""""), N$1&amp;""[\w &amp;]*, (\d+\.\d+)""),"""")
"),"")</f>
        <v/>
      </c>
      <c r="O846" s="3" t="str">
        <f aca="false">IFERROR(__xludf.dummyfunction("if($T846&lt;&gt;"""",REGEXEXTRACT($T846, O$1&amp;""[\w &amp;]*, (\d+\.\d+)""),"""")
"),"")</f>
        <v/>
      </c>
      <c r="P846" s="2"/>
      <c r="Q846" s="2"/>
      <c r="R846" s="2"/>
      <c r="S846" s="2"/>
      <c r="T846" s="5"/>
    </row>
    <row r="847" customFormat="false" ht="15.75" hidden="false" customHeight="false" outlineLevel="0" collapsed="false">
      <c r="A847" s="4"/>
      <c r="B847" s="2"/>
      <c r="C847" s="2"/>
      <c r="D847" s="2"/>
      <c r="E847" s="2"/>
      <c r="F847" s="3" t="str">
        <f aca="false">IFERROR(__xludf.dummyfunction("if($T847&lt;&gt;"""",REGEXEXTRACT(SUBSTITUTE ($T847,F$1&amp;"" CE"",""""), F$1&amp;""[\w &amp;]*, (\d+\.\d+)""),"""")
"),"")</f>
        <v/>
      </c>
      <c r="G847" s="3" t="str">
        <f aca="false">IFERROR(__xludf.dummyfunction("if($T847&lt;&gt;"""",REGEXEXTRACT($T847, G$1&amp;""[\w &amp;]*, (\d+\.\d+)""),"""")
"),"")</f>
        <v/>
      </c>
      <c r="H847" s="3"/>
      <c r="I847" s="3" t="str">
        <f aca="false">IFERROR(__xludf.dummyfunction("if($T847&lt;&gt;"""",REGEXEXTRACT(SUBSTITUTE ($T847,I$1&amp;"" CE"",""""), I$1&amp;""[\w &amp;]*, (\d+\.\d+)""),"""")
"),"")</f>
        <v/>
      </c>
      <c r="J847" s="3" t="str">
        <f aca="false">IFERROR(__xludf.dummyfunction("if($T847&lt;&gt;"""",REGEXEXTRACT($T847, J$1&amp;""[\w &amp;]*, (\d+\.\d+)""),"""")
"),"")</f>
        <v/>
      </c>
      <c r="K847" s="3"/>
      <c r="L847" s="3" t="str">
        <f aca="false">IFERROR(__xludf.dummyfunction("if($T847&lt;&gt;"""",REGEXEXTRACT(SUBSTITUTE ($T847,L$1&amp;"" CE"",""""), L$1&amp;""[\w &amp;]*, (\d+\.\d+)""),"""")
"),"")</f>
        <v/>
      </c>
      <c r="M847" s="3" t="str">
        <f aca="false">IFERROR(__xludf.dummyfunction("if($T847&lt;&gt;"""",REGEXEXTRACT($T847, M$1&amp;""[\w &amp;]*, (\d+\.\d+)""),"""")
"),"")</f>
        <v/>
      </c>
      <c r="N847" s="3" t="str">
        <f aca="false">IFERROR(__xludf.dummyfunction("if($T847&lt;&gt;"""",REGEXEXTRACT(SUBSTITUTE ($T847,N$1&amp;"" CE"",""""), N$1&amp;""[\w &amp;]*, (\d+\.\d+)""),"""")
"),"")</f>
        <v/>
      </c>
      <c r="O847" s="3" t="str">
        <f aca="false">IFERROR(__xludf.dummyfunction("if($T847&lt;&gt;"""",REGEXEXTRACT($T847, O$1&amp;""[\w &amp;]*, (\d+\.\d+)""),"""")
"),"")</f>
        <v/>
      </c>
      <c r="P847" s="2"/>
      <c r="Q847" s="2"/>
      <c r="R847" s="2"/>
      <c r="S847" s="2"/>
      <c r="T847" s="5"/>
    </row>
    <row r="848" customFormat="false" ht="15.75" hidden="false" customHeight="false" outlineLevel="0" collapsed="false">
      <c r="A848" s="4"/>
      <c r="B848" s="2"/>
      <c r="C848" s="2"/>
      <c r="D848" s="2"/>
      <c r="E848" s="2"/>
      <c r="F848" s="3" t="str">
        <f aca="false">IFERROR(__xludf.dummyfunction("if($T848&lt;&gt;"""",REGEXEXTRACT(SUBSTITUTE ($T848,F$1&amp;"" CE"",""""), F$1&amp;""[\w &amp;]*, (\d+\.\d+)""),"""")
"),"")</f>
        <v/>
      </c>
      <c r="G848" s="3" t="str">
        <f aca="false">IFERROR(__xludf.dummyfunction("if($T848&lt;&gt;"""",REGEXEXTRACT($T848, G$1&amp;""[\w &amp;]*, (\d+\.\d+)""),"""")
"),"")</f>
        <v/>
      </c>
      <c r="H848" s="3"/>
      <c r="I848" s="3" t="str">
        <f aca="false">IFERROR(__xludf.dummyfunction("if($T848&lt;&gt;"""",REGEXEXTRACT(SUBSTITUTE ($T848,I$1&amp;"" CE"",""""), I$1&amp;""[\w &amp;]*, (\d+\.\d+)""),"""")
"),"")</f>
        <v/>
      </c>
      <c r="J848" s="3" t="str">
        <f aca="false">IFERROR(__xludf.dummyfunction("if($T848&lt;&gt;"""",REGEXEXTRACT($T848, J$1&amp;""[\w &amp;]*, (\d+\.\d+)""),"""")
"),"")</f>
        <v/>
      </c>
      <c r="K848" s="3"/>
      <c r="L848" s="3" t="str">
        <f aca="false">IFERROR(__xludf.dummyfunction("if($T848&lt;&gt;"""",REGEXEXTRACT(SUBSTITUTE ($T848,L$1&amp;"" CE"",""""), L$1&amp;""[\w &amp;]*, (\d+\.\d+)""),"""")
"),"")</f>
        <v/>
      </c>
      <c r="M848" s="3" t="str">
        <f aca="false">IFERROR(__xludf.dummyfunction("if($T848&lt;&gt;"""",REGEXEXTRACT($T848, M$1&amp;""[\w &amp;]*, (\d+\.\d+)""),"""")
"),"")</f>
        <v/>
      </c>
      <c r="N848" s="3" t="str">
        <f aca="false">IFERROR(__xludf.dummyfunction("if($T848&lt;&gt;"""",REGEXEXTRACT(SUBSTITUTE ($T848,N$1&amp;"" CE"",""""), N$1&amp;""[\w &amp;]*, (\d+\.\d+)""),"""")
"),"")</f>
        <v/>
      </c>
      <c r="O848" s="3" t="str">
        <f aca="false">IFERROR(__xludf.dummyfunction("if($T848&lt;&gt;"""",REGEXEXTRACT($T848, O$1&amp;""[\w &amp;]*, (\d+\.\d+)""),"""")
"),"")</f>
        <v/>
      </c>
      <c r="P848" s="2"/>
      <c r="Q848" s="2"/>
      <c r="R848" s="2"/>
      <c r="S848" s="2"/>
      <c r="T848" s="5"/>
    </row>
    <row r="849" customFormat="false" ht="15.75" hidden="false" customHeight="false" outlineLevel="0" collapsed="false">
      <c r="A849" s="4"/>
      <c r="B849" s="2"/>
      <c r="C849" s="2"/>
      <c r="D849" s="2"/>
      <c r="E849" s="2"/>
      <c r="F849" s="3" t="str">
        <f aca="false">IFERROR(__xludf.dummyfunction("if($T849&lt;&gt;"""",REGEXEXTRACT(SUBSTITUTE ($T849,F$1&amp;"" CE"",""""), F$1&amp;""[\w &amp;]*, (\d+\.\d+)""),"""")
"),"")</f>
        <v/>
      </c>
      <c r="G849" s="3" t="str">
        <f aca="false">IFERROR(__xludf.dummyfunction("if($T849&lt;&gt;"""",REGEXEXTRACT($T849, G$1&amp;""[\w &amp;]*, (\d+\.\d+)""),"""")
"),"")</f>
        <v/>
      </c>
      <c r="H849" s="3"/>
      <c r="I849" s="3" t="str">
        <f aca="false">IFERROR(__xludf.dummyfunction("if($T849&lt;&gt;"""",REGEXEXTRACT(SUBSTITUTE ($T849,I$1&amp;"" CE"",""""), I$1&amp;""[\w &amp;]*, (\d+\.\d+)""),"""")
"),"")</f>
        <v/>
      </c>
      <c r="J849" s="3" t="str">
        <f aca="false">IFERROR(__xludf.dummyfunction("if($T849&lt;&gt;"""",REGEXEXTRACT($T849, J$1&amp;""[\w &amp;]*, (\d+\.\d+)""),"""")
"),"")</f>
        <v/>
      </c>
      <c r="K849" s="3"/>
      <c r="L849" s="3" t="str">
        <f aca="false">IFERROR(__xludf.dummyfunction("if($T849&lt;&gt;"""",REGEXEXTRACT(SUBSTITUTE ($T849,L$1&amp;"" CE"",""""), L$1&amp;""[\w &amp;]*, (\d+\.\d+)""),"""")
"),"")</f>
        <v/>
      </c>
      <c r="M849" s="3" t="str">
        <f aca="false">IFERROR(__xludf.dummyfunction("if($T849&lt;&gt;"""",REGEXEXTRACT($T849, M$1&amp;""[\w &amp;]*, (\d+\.\d+)""),"""")
"),"")</f>
        <v/>
      </c>
      <c r="N849" s="3" t="str">
        <f aca="false">IFERROR(__xludf.dummyfunction("if($T849&lt;&gt;"""",REGEXEXTRACT(SUBSTITUTE ($T849,N$1&amp;"" CE"",""""), N$1&amp;""[\w &amp;]*, (\d+\.\d+)""),"""")
"),"")</f>
        <v/>
      </c>
      <c r="O849" s="3" t="str">
        <f aca="false">IFERROR(__xludf.dummyfunction("if($T849&lt;&gt;"""",REGEXEXTRACT($T849, O$1&amp;""[\w &amp;]*, (\d+\.\d+)""),"""")
"),"")</f>
        <v/>
      </c>
      <c r="P849" s="2"/>
      <c r="Q849" s="2"/>
      <c r="R849" s="2"/>
      <c r="S849" s="2"/>
      <c r="T849" s="5"/>
    </row>
    <row r="850" customFormat="false" ht="15.75" hidden="false" customHeight="false" outlineLevel="0" collapsed="false">
      <c r="A850" s="4"/>
      <c r="B850" s="2"/>
      <c r="C850" s="2"/>
      <c r="D850" s="2"/>
      <c r="E850" s="2"/>
      <c r="F850" s="3" t="str">
        <f aca="false">IFERROR(__xludf.dummyfunction("if($T850&lt;&gt;"""",REGEXEXTRACT(SUBSTITUTE ($T850,F$1&amp;"" CE"",""""), F$1&amp;""[\w &amp;]*, (\d+\.\d+)""),"""")
"),"")</f>
        <v/>
      </c>
      <c r="G850" s="3" t="str">
        <f aca="false">IFERROR(__xludf.dummyfunction("if($T850&lt;&gt;"""",REGEXEXTRACT($T850, G$1&amp;""[\w &amp;]*, (\d+\.\d+)""),"""")
"),"")</f>
        <v/>
      </c>
      <c r="H850" s="3"/>
      <c r="I850" s="3" t="str">
        <f aca="false">IFERROR(__xludf.dummyfunction("if($T850&lt;&gt;"""",REGEXEXTRACT(SUBSTITUTE ($T850,I$1&amp;"" CE"",""""), I$1&amp;""[\w &amp;]*, (\d+\.\d+)""),"""")
"),"")</f>
        <v/>
      </c>
      <c r="J850" s="3" t="str">
        <f aca="false">IFERROR(__xludf.dummyfunction("if($T850&lt;&gt;"""",REGEXEXTRACT($T850, J$1&amp;""[\w &amp;]*, (\d+\.\d+)""),"""")
"),"")</f>
        <v/>
      </c>
      <c r="K850" s="3"/>
      <c r="L850" s="3" t="str">
        <f aca="false">IFERROR(__xludf.dummyfunction("if($T850&lt;&gt;"""",REGEXEXTRACT(SUBSTITUTE ($T850,L$1&amp;"" CE"",""""), L$1&amp;""[\w &amp;]*, (\d+\.\d+)""),"""")
"),"")</f>
        <v/>
      </c>
      <c r="M850" s="3" t="str">
        <f aca="false">IFERROR(__xludf.dummyfunction("if($T850&lt;&gt;"""",REGEXEXTRACT($T850, M$1&amp;""[\w &amp;]*, (\d+\.\d+)""),"""")
"),"")</f>
        <v/>
      </c>
      <c r="N850" s="3" t="str">
        <f aca="false">IFERROR(__xludf.dummyfunction("if($T850&lt;&gt;"""",REGEXEXTRACT(SUBSTITUTE ($T850,N$1&amp;"" CE"",""""), N$1&amp;""[\w &amp;]*, (\d+\.\d+)""),"""")
"),"")</f>
        <v/>
      </c>
      <c r="O850" s="3" t="str">
        <f aca="false">IFERROR(__xludf.dummyfunction("if($T850&lt;&gt;"""",REGEXEXTRACT($T850, O$1&amp;""[\w &amp;]*, (\d+\.\d+)""),"""")
"),"")</f>
        <v/>
      </c>
      <c r="P850" s="2"/>
      <c r="Q850" s="2"/>
      <c r="R850" s="2"/>
      <c r="S850" s="2"/>
      <c r="T850" s="5"/>
    </row>
    <row r="851" customFormat="false" ht="15.75" hidden="false" customHeight="false" outlineLevel="0" collapsed="false">
      <c r="A851" s="4"/>
      <c r="B851" s="2"/>
      <c r="C851" s="2"/>
      <c r="D851" s="2"/>
      <c r="E851" s="2"/>
      <c r="F851" s="3" t="str">
        <f aca="false">IFERROR(__xludf.dummyfunction("if($T851&lt;&gt;"""",REGEXEXTRACT(SUBSTITUTE ($T851,F$1&amp;"" CE"",""""), F$1&amp;""[\w &amp;]*, (\d+\.\d+)""),"""")
"),"")</f>
        <v/>
      </c>
      <c r="G851" s="3" t="str">
        <f aca="false">IFERROR(__xludf.dummyfunction("if($T851&lt;&gt;"""",REGEXEXTRACT($T851, G$1&amp;""[\w &amp;]*, (\d+\.\d+)""),"""")
"),"")</f>
        <v/>
      </c>
      <c r="H851" s="3"/>
      <c r="I851" s="3" t="str">
        <f aca="false">IFERROR(__xludf.dummyfunction("if($T851&lt;&gt;"""",REGEXEXTRACT(SUBSTITUTE ($T851,I$1&amp;"" CE"",""""), I$1&amp;""[\w &amp;]*, (\d+\.\d+)""),"""")
"),"")</f>
        <v/>
      </c>
      <c r="J851" s="3" t="str">
        <f aca="false">IFERROR(__xludf.dummyfunction("if($T851&lt;&gt;"""",REGEXEXTRACT($T851, J$1&amp;""[\w &amp;]*, (\d+\.\d+)""),"""")
"),"")</f>
        <v/>
      </c>
      <c r="K851" s="3"/>
      <c r="L851" s="3" t="str">
        <f aca="false">IFERROR(__xludf.dummyfunction("if($T851&lt;&gt;"""",REGEXEXTRACT(SUBSTITUTE ($T851,L$1&amp;"" CE"",""""), L$1&amp;""[\w &amp;]*, (\d+\.\d+)""),"""")
"),"")</f>
        <v/>
      </c>
      <c r="M851" s="3" t="str">
        <f aca="false">IFERROR(__xludf.dummyfunction("if($T851&lt;&gt;"""",REGEXEXTRACT($T851, M$1&amp;""[\w &amp;]*, (\d+\.\d+)""),"""")
"),"")</f>
        <v/>
      </c>
      <c r="N851" s="3" t="str">
        <f aca="false">IFERROR(__xludf.dummyfunction("if($T851&lt;&gt;"""",REGEXEXTRACT(SUBSTITUTE ($T851,N$1&amp;"" CE"",""""), N$1&amp;""[\w &amp;]*, (\d+\.\d+)""),"""")
"),"")</f>
        <v/>
      </c>
      <c r="O851" s="3" t="str">
        <f aca="false">IFERROR(__xludf.dummyfunction("if($T851&lt;&gt;"""",REGEXEXTRACT($T851, O$1&amp;""[\w &amp;]*, (\d+\.\d+)""),"""")
"),"")</f>
        <v/>
      </c>
      <c r="P851" s="2"/>
      <c r="Q851" s="2"/>
      <c r="R851" s="2"/>
      <c r="S851" s="2"/>
      <c r="T851" s="5"/>
    </row>
    <row r="852" customFormat="false" ht="15.75" hidden="false" customHeight="false" outlineLevel="0" collapsed="false">
      <c r="A852" s="4"/>
      <c r="B852" s="2"/>
      <c r="C852" s="2"/>
      <c r="D852" s="2"/>
      <c r="E852" s="2"/>
      <c r="F852" s="3" t="str">
        <f aca="false">IFERROR(__xludf.dummyfunction("if($T852&lt;&gt;"""",REGEXEXTRACT(SUBSTITUTE ($T852,F$1&amp;"" CE"",""""), F$1&amp;""[\w &amp;]*, (\d+\.\d+)""),"""")
"),"")</f>
        <v/>
      </c>
      <c r="G852" s="3" t="str">
        <f aca="false">IFERROR(__xludf.dummyfunction("if($T852&lt;&gt;"""",REGEXEXTRACT($T852, G$1&amp;""[\w &amp;]*, (\d+\.\d+)""),"""")
"),"")</f>
        <v/>
      </c>
      <c r="H852" s="3"/>
      <c r="I852" s="3" t="str">
        <f aca="false">IFERROR(__xludf.dummyfunction("if($T852&lt;&gt;"""",REGEXEXTRACT(SUBSTITUTE ($T852,I$1&amp;"" CE"",""""), I$1&amp;""[\w &amp;]*, (\d+\.\d+)""),"""")
"),"")</f>
        <v/>
      </c>
      <c r="J852" s="3" t="str">
        <f aca="false">IFERROR(__xludf.dummyfunction("if($T852&lt;&gt;"""",REGEXEXTRACT($T852, J$1&amp;""[\w &amp;]*, (\d+\.\d+)""),"""")
"),"")</f>
        <v/>
      </c>
      <c r="K852" s="3"/>
      <c r="L852" s="3" t="str">
        <f aca="false">IFERROR(__xludf.dummyfunction("if($T852&lt;&gt;"""",REGEXEXTRACT(SUBSTITUTE ($T852,L$1&amp;"" CE"",""""), L$1&amp;""[\w &amp;]*, (\d+\.\d+)""),"""")
"),"")</f>
        <v/>
      </c>
      <c r="M852" s="3" t="str">
        <f aca="false">IFERROR(__xludf.dummyfunction("if($T852&lt;&gt;"""",REGEXEXTRACT($T852, M$1&amp;""[\w &amp;]*, (\d+\.\d+)""),"""")
"),"")</f>
        <v/>
      </c>
      <c r="N852" s="3" t="str">
        <f aca="false">IFERROR(__xludf.dummyfunction("if($T852&lt;&gt;"""",REGEXEXTRACT(SUBSTITUTE ($T852,N$1&amp;"" CE"",""""), N$1&amp;""[\w &amp;]*, (\d+\.\d+)""),"""")
"),"")</f>
        <v/>
      </c>
      <c r="O852" s="3" t="str">
        <f aca="false">IFERROR(__xludf.dummyfunction("if($T852&lt;&gt;"""",REGEXEXTRACT($T852, O$1&amp;""[\w &amp;]*, (\d+\.\d+)""),"""")
"),"")</f>
        <v/>
      </c>
      <c r="P852" s="2"/>
      <c r="Q852" s="2"/>
      <c r="R852" s="2"/>
      <c r="S852" s="2"/>
      <c r="T852" s="5"/>
    </row>
    <row r="853" customFormat="false" ht="15.75" hidden="false" customHeight="false" outlineLevel="0" collapsed="false">
      <c r="A853" s="4"/>
      <c r="B853" s="2"/>
      <c r="C853" s="2"/>
      <c r="D853" s="2"/>
      <c r="E853" s="2"/>
      <c r="F853" s="3" t="str">
        <f aca="false">IFERROR(__xludf.dummyfunction("if($T853&lt;&gt;"""",REGEXEXTRACT(SUBSTITUTE ($T853,F$1&amp;"" CE"",""""), F$1&amp;""[\w &amp;]*, (\d+\.\d+)""),"""")
"),"")</f>
        <v/>
      </c>
      <c r="G853" s="3" t="str">
        <f aca="false">IFERROR(__xludf.dummyfunction("if($T853&lt;&gt;"""",REGEXEXTRACT($T853, G$1&amp;""[\w &amp;]*, (\d+\.\d+)""),"""")
"),"")</f>
        <v/>
      </c>
      <c r="H853" s="3"/>
      <c r="I853" s="3" t="str">
        <f aca="false">IFERROR(__xludf.dummyfunction("if($T853&lt;&gt;"""",REGEXEXTRACT(SUBSTITUTE ($T853,I$1&amp;"" CE"",""""), I$1&amp;""[\w &amp;]*, (\d+\.\d+)""),"""")
"),"")</f>
        <v/>
      </c>
      <c r="J853" s="3" t="str">
        <f aca="false">IFERROR(__xludf.dummyfunction("if($T853&lt;&gt;"""",REGEXEXTRACT($T853, J$1&amp;""[\w &amp;]*, (\d+\.\d+)""),"""")
"),"")</f>
        <v/>
      </c>
      <c r="K853" s="3"/>
      <c r="L853" s="3" t="str">
        <f aca="false">IFERROR(__xludf.dummyfunction("if($T853&lt;&gt;"""",REGEXEXTRACT(SUBSTITUTE ($T853,L$1&amp;"" CE"",""""), L$1&amp;""[\w &amp;]*, (\d+\.\d+)""),"""")
"),"")</f>
        <v/>
      </c>
      <c r="M853" s="3" t="str">
        <f aca="false">IFERROR(__xludf.dummyfunction("if($T853&lt;&gt;"""",REGEXEXTRACT($T853, M$1&amp;""[\w &amp;]*, (\d+\.\d+)""),"""")
"),"")</f>
        <v/>
      </c>
      <c r="N853" s="3" t="str">
        <f aca="false">IFERROR(__xludf.dummyfunction("if($T853&lt;&gt;"""",REGEXEXTRACT(SUBSTITUTE ($T853,N$1&amp;"" CE"",""""), N$1&amp;""[\w &amp;]*, (\d+\.\d+)""),"""")
"),"")</f>
        <v/>
      </c>
      <c r="O853" s="3" t="str">
        <f aca="false">IFERROR(__xludf.dummyfunction("if($T853&lt;&gt;"""",REGEXEXTRACT($T853, O$1&amp;""[\w &amp;]*, (\d+\.\d+)""),"""")
"),"")</f>
        <v/>
      </c>
      <c r="P853" s="2"/>
      <c r="Q853" s="2"/>
      <c r="R853" s="2"/>
      <c r="S853" s="2"/>
      <c r="T853" s="5"/>
    </row>
    <row r="854" customFormat="false" ht="15.75" hidden="false" customHeight="false" outlineLevel="0" collapsed="false">
      <c r="A854" s="4"/>
      <c r="B854" s="2"/>
      <c r="C854" s="2"/>
      <c r="D854" s="2"/>
      <c r="E854" s="2"/>
      <c r="F854" s="3" t="str">
        <f aca="false">IFERROR(__xludf.dummyfunction("if($T854&lt;&gt;"""",REGEXEXTRACT(SUBSTITUTE ($T854,F$1&amp;"" CE"",""""), F$1&amp;""[\w &amp;]*, (\d+\.\d+)""),"""")
"),"")</f>
        <v/>
      </c>
      <c r="G854" s="3" t="str">
        <f aca="false">IFERROR(__xludf.dummyfunction("if($T854&lt;&gt;"""",REGEXEXTRACT($T854, G$1&amp;""[\w &amp;]*, (\d+\.\d+)""),"""")
"),"")</f>
        <v/>
      </c>
      <c r="H854" s="3"/>
      <c r="I854" s="3" t="str">
        <f aca="false">IFERROR(__xludf.dummyfunction("if($T854&lt;&gt;"""",REGEXEXTRACT(SUBSTITUTE ($T854,I$1&amp;"" CE"",""""), I$1&amp;""[\w &amp;]*, (\d+\.\d+)""),"""")
"),"")</f>
        <v/>
      </c>
      <c r="J854" s="3" t="str">
        <f aca="false">IFERROR(__xludf.dummyfunction("if($T854&lt;&gt;"""",REGEXEXTRACT($T854, J$1&amp;""[\w &amp;]*, (\d+\.\d+)""),"""")
"),"")</f>
        <v/>
      </c>
      <c r="K854" s="3"/>
      <c r="L854" s="3" t="str">
        <f aca="false">IFERROR(__xludf.dummyfunction("if($T854&lt;&gt;"""",REGEXEXTRACT(SUBSTITUTE ($T854,L$1&amp;"" CE"",""""), L$1&amp;""[\w &amp;]*, (\d+\.\d+)""),"""")
"),"")</f>
        <v/>
      </c>
      <c r="M854" s="3" t="str">
        <f aca="false">IFERROR(__xludf.dummyfunction("if($T854&lt;&gt;"""",REGEXEXTRACT($T854, M$1&amp;""[\w &amp;]*, (\d+\.\d+)""),"""")
"),"")</f>
        <v/>
      </c>
      <c r="N854" s="3" t="str">
        <f aca="false">IFERROR(__xludf.dummyfunction("if($T854&lt;&gt;"""",REGEXEXTRACT(SUBSTITUTE ($T854,N$1&amp;"" CE"",""""), N$1&amp;""[\w &amp;]*, (\d+\.\d+)""),"""")
"),"")</f>
        <v/>
      </c>
      <c r="O854" s="3" t="str">
        <f aca="false">IFERROR(__xludf.dummyfunction("if($T854&lt;&gt;"""",REGEXEXTRACT($T854, O$1&amp;""[\w &amp;]*, (\d+\.\d+)""),"""")
"),"")</f>
        <v/>
      </c>
      <c r="P854" s="2"/>
      <c r="Q854" s="2"/>
      <c r="R854" s="2"/>
      <c r="S854" s="2"/>
      <c r="T854" s="5"/>
    </row>
    <row r="855" customFormat="false" ht="15.75" hidden="false" customHeight="false" outlineLevel="0" collapsed="false">
      <c r="A855" s="4"/>
      <c r="B855" s="2"/>
      <c r="C855" s="2"/>
      <c r="D855" s="2"/>
      <c r="E855" s="2"/>
      <c r="F855" s="3" t="str">
        <f aca="false">IFERROR(__xludf.dummyfunction("if($T855&lt;&gt;"""",REGEXEXTRACT(SUBSTITUTE ($T855,F$1&amp;"" CE"",""""), F$1&amp;""[\w &amp;]*, (\d+\.\d+)""),"""")
"),"")</f>
        <v/>
      </c>
      <c r="G855" s="3" t="str">
        <f aca="false">IFERROR(__xludf.dummyfunction("if($T855&lt;&gt;"""",REGEXEXTRACT($T855, G$1&amp;""[\w &amp;]*, (\d+\.\d+)""),"""")
"),"")</f>
        <v/>
      </c>
      <c r="H855" s="3"/>
      <c r="I855" s="3" t="str">
        <f aca="false">IFERROR(__xludf.dummyfunction("if($T855&lt;&gt;"""",REGEXEXTRACT(SUBSTITUTE ($T855,I$1&amp;"" CE"",""""), I$1&amp;""[\w &amp;]*, (\d+\.\d+)""),"""")
"),"")</f>
        <v/>
      </c>
      <c r="J855" s="3" t="str">
        <f aca="false">IFERROR(__xludf.dummyfunction("if($T855&lt;&gt;"""",REGEXEXTRACT($T855, J$1&amp;""[\w &amp;]*, (\d+\.\d+)""),"""")
"),"")</f>
        <v/>
      </c>
      <c r="K855" s="3"/>
      <c r="L855" s="3" t="str">
        <f aca="false">IFERROR(__xludf.dummyfunction("if($T855&lt;&gt;"""",REGEXEXTRACT(SUBSTITUTE ($T855,L$1&amp;"" CE"",""""), L$1&amp;""[\w &amp;]*, (\d+\.\d+)""),"""")
"),"")</f>
        <v/>
      </c>
      <c r="M855" s="3" t="str">
        <f aca="false">IFERROR(__xludf.dummyfunction("if($T855&lt;&gt;"""",REGEXEXTRACT($T855, M$1&amp;""[\w &amp;]*, (\d+\.\d+)""),"""")
"),"")</f>
        <v/>
      </c>
      <c r="N855" s="3" t="str">
        <f aca="false">IFERROR(__xludf.dummyfunction("if($T855&lt;&gt;"""",REGEXEXTRACT(SUBSTITUTE ($T855,N$1&amp;"" CE"",""""), N$1&amp;""[\w &amp;]*, (\d+\.\d+)""),"""")
"),"")</f>
        <v/>
      </c>
      <c r="O855" s="3" t="str">
        <f aca="false">IFERROR(__xludf.dummyfunction("if($T855&lt;&gt;"""",REGEXEXTRACT($T855, O$1&amp;""[\w &amp;]*, (\d+\.\d+)""),"""")
"),"")</f>
        <v/>
      </c>
      <c r="P855" s="2"/>
      <c r="Q855" s="2"/>
      <c r="R855" s="2"/>
      <c r="S855" s="2"/>
      <c r="T855" s="5"/>
    </row>
    <row r="856" customFormat="false" ht="15.75" hidden="false" customHeight="false" outlineLevel="0" collapsed="false">
      <c r="A856" s="4"/>
      <c r="B856" s="2"/>
      <c r="C856" s="2"/>
      <c r="D856" s="2"/>
      <c r="E856" s="2"/>
      <c r="F856" s="3" t="str">
        <f aca="false">IFERROR(__xludf.dummyfunction("if($T856&lt;&gt;"""",REGEXEXTRACT(SUBSTITUTE ($T856,F$1&amp;"" CE"",""""), F$1&amp;""[\w &amp;]*, (\d+\.\d+)""),"""")
"),"")</f>
        <v/>
      </c>
      <c r="G856" s="3" t="str">
        <f aca="false">IFERROR(__xludf.dummyfunction("if($T856&lt;&gt;"""",REGEXEXTRACT($T856, G$1&amp;""[\w &amp;]*, (\d+\.\d+)""),"""")
"),"")</f>
        <v/>
      </c>
      <c r="H856" s="3"/>
      <c r="I856" s="3" t="str">
        <f aca="false">IFERROR(__xludf.dummyfunction("if($T856&lt;&gt;"""",REGEXEXTRACT(SUBSTITUTE ($T856,I$1&amp;"" CE"",""""), I$1&amp;""[\w &amp;]*, (\d+\.\d+)""),"""")
"),"")</f>
        <v/>
      </c>
      <c r="J856" s="3" t="str">
        <f aca="false">IFERROR(__xludf.dummyfunction("if($T856&lt;&gt;"""",REGEXEXTRACT($T856, J$1&amp;""[\w &amp;]*, (\d+\.\d+)""),"""")
"),"")</f>
        <v/>
      </c>
      <c r="K856" s="3"/>
      <c r="L856" s="3" t="str">
        <f aca="false">IFERROR(__xludf.dummyfunction("if($T856&lt;&gt;"""",REGEXEXTRACT(SUBSTITUTE ($T856,L$1&amp;"" CE"",""""), L$1&amp;""[\w &amp;]*, (\d+\.\d+)""),"""")
"),"")</f>
        <v/>
      </c>
      <c r="M856" s="3" t="str">
        <f aca="false">IFERROR(__xludf.dummyfunction("if($T856&lt;&gt;"""",REGEXEXTRACT($T856, M$1&amp;""[\w &amp;]*, (\d+\.\d+)""),"""")
"),"")</f>
        <v/>
      </c>
      <c r="N856" s="3" t="str">
        <f aca="false">IFERROR(__xludf.dummyfunction("if($T856&lt;&gt;"""",REGEXEXTRACT(SUBSTITUTE ($T856,N$1&amp;"" CE"",""""), N$1&amp;""[\w &amp;]*, (\d+\.\d+)""),"""")
"),"")</f>
        <v/>
      </c>
      <c r="O856" s="3" t="str">
        <f aca="false">IFERROR(__xludf.dummyfunction("if($T856&lt;&gt;"""",REGEXEXTRACT($T856, O$1&amp;""[\w &amp;]*, (\d+\.\d+)""),"""")
"),"")</f>
        <v/>
      </c>
      <c r="P856" s="2"/>
      <c r="Q856" s="2"/>
      <c r="R856" s="2"/>
      <c r="S856" s="2"/>
      <c r="T856" s="5"/>
    </row>
    <row r="857" customFormat="false" ht="15.75" hidden="false" customHeight="false" outlineLevel="0" collapsed="false">
      <c r="A857" s="4"/>
      <c r="B857" s="2"/>
      <c r="C857" s="2"/>
      <c r="D857" s="2"/>
      <c r="E857" s="2"/>
      <c r="F857" s="3" t="str">
        <f aca="false">IFERROR(__xludf.dummyfunction("if($T857&lt;&gt;"""",REGEXEXTRACT(SUBSTITUTE ($T857,F$1&amp;"" CE"",""""), F$1&amp;""[\w &amp;]*, (\d+\.\d+)""),"""")
"),"")</f>
        <v/>
      </c>
      <c r="G857" s="3" t="str">
        <f aca="false">IFERROR(__xludf.dummyfunction("if($T857&lt;&gt;"""",REGEXEXTRACT($T857, G$1&amp;""[\w &amp;]*, (\d+\.\d+)""),"""")
"),"")</f>
        <v/>
      </c>
      <c r="H857" s="3"/>
      <c r="I857" s="3" t="str">
        <f aca="false">IFERROR(__xludf.dummyfunction("if($T857&lt;&gt;"""",REGEXEXTRACT(SUBSTITUTE ($T857,I$1&amp;"" CE"",""""), I$1&amp;""[\w &amp;]*, (\d+\.\d+)""),"""")
"),"")</f>
        <v/>
      </c>
      <c r="J857" s="3" t="str">
        <f aca="false">IFERROR(__xludf.dummyfunction("if($T857&lt;&gt;"""",REGEXEXTRACT($T857, J$1&amp;""[\w &amp;]*, (\d+\.\d+)""),"""")
"),"")</f>
        <v/>
      </c>
      <c r="K857" s="3"/>
      <c r="L857" s="3" t="str">
        <f aca="false">IFERROR(__xludf.dummyfunction("if($T857&lt;&gt;"""",REGEXEXTRACT(SUBSTITUTE ($T857,L$1&amp;"" CE"",""""), L$1&amp;""[\w &amp;]*, (\d+\.\d+)""),"""")
"),"")</f>
        <v/>
      </c>
      <c r="M857" s="3" t="str">
        <f aca="false">IFERROR(__xludf.dummyfunction("if($T857&lt;&gt;"""",REGEXEXTRACT($T857, M$1&amp;""[\w &amp;]*, (\d+\.\d+)""),"""")
"),"")</f>
        <v/>
      </c>
      <c r="N857" s="3" t="str">
        <f aca="false">IFERROR(__xludf.dummyfunction("if($T857&lt;&gt;"""",REGEXEXTRACT(SUBSTITUTE ($T857,N$1&amp;"" CE"",""""), N$1&amp;""[\w &amp;]*, (\d+\.\d+)""),"""")
"),"")</f>
        <v/>
      </c>
      <c r="O857" s="3" t="str">
        <f aca="false">IFERROR(__xludf.dummyfunction("if($T857&lt;&gt;"""",REGEXEXTRACT($T857, O$1&amp;""[\w &amp;]*, (\d+\.\d+)""),"""")
"),"")</f>
        <v/>
      </c>
      <c r="P857" s="2"/>
      <c r="Q857" s="2"/>
      <c r="R857" s="2"/>
      <c r="S857" s="2"/>
      <c r="T857" s="5"/>
    </row>
    <row r="858" customFormat="false" ht="15.75" hidden="false" customHeight="false" outlineLevel="0" collapsed="false">
      <c r="A858" s="4"/>
      <c r="B858" s="2"/>
      <c r="C858" s="2"/>
      <c r="D858" s="2"/>
      <c r="E858" s="2"/>
      <c r="F858" s="3" t="str">
        <f aca="false">IFERROR(__xludf.dummyfunction("if($T858&lt;&gt;"""",REGEXEXTRACT(SUBSTITUTE ($T858,F$1&amp;"" CE"",""""), F$1&amp;""[\w &amp;]*, (\d+\.\d+)""),"""")
"),"")</f>
        <v/>
      </c>
      <c r="G858" s="3" t="str">
        <f aca="false">IFERROR(__xludf.dummyfunction("if($T858&lt;&gt;"""",REGEXEXTRACT($T858, G$1&amp;""[\w &amp;]*, (\d+\.\d+)""),"""")
"),"")</f>
        <v/>
      </c>
      <c r="H858" s="3"/>
      <c r="I858" s="3" t="str">
        <f aca="false">IFERROR(__xludf.dummyfunction("if($T858&lt;&gt;"""",REGEXEXTRACT(SUBSTITUTE ($T858,I$1&amp;"" CE"",""""), I$1&amp;""[\w &amp;]*, (\d+\.\d+)""),"""")
"),"")</f>
        <v/>
      </c>
      <c r="J858" s="3" t="str">
        <f aca="false">IFERROR(__xludf.dummyfunction("if($T858&lt;&gt;"""",REGEXEXTRACT($T858, J$1&amp;""[\w &amp;]*, (\d+\.\d+)""),"""")
"),"")</f>
        <v/>
      </c>
      <c r="K858" s="3"/>
      <c r="L858" s="3" t="str">
        <f aca="false">IFERROR(__xludf.dummyfunction("if($T858&lt;&gt;"""",REGEXEXTRACT(SUBSTITUTE ($T858,L$1&amp;"" CE"",""""), L$1&amp;""[\w &amp;]*, (\d+\.\d+)""),"""")
"),"")</f>
        <v/>
      </c>
      <c r="M858" s="3" t="str">
        <f aca="false">IFERROR(__xludf.dummyfunction("if($T858&lt;&gt;"""",REGEXEXTRACT($T858, M$1&amp;""[\w &amp;]*, (\d+\.\d+)""),"""")
"),"")</f>
        <v/>
      </c>
      <c r="N858" s="3" t="str">
        <f aca="false">IFERROR(__xludf.dummyfunction("if($T858&lt;&gt;"""",REGEXEXTRACT(SUBSTITUTE ($T858,N$1&amp;"" CE"",""""), N$1&amp;""[\w &amp;]*, (\d+\.\d+)""),"""")
"),"")</f>
        <v/>
      </c>
      <c r="O858" s="3" t="str">
        <f aca="false">IFERROR(__xludf.dummyfunction("if($T858&lt;&gt;"""",REGEXEXTRACT($T858, O$1&amp;""[\w &amp;]*, (\d+\.\d+)""),"""")
"),"")</f>
        <v/>
      </c>
      <c r="P858" s="2"/>
      <c r="Q858" s="2"/>
      <c r="R858" s="2"/>
      <c r="S858" s="2"/>
      <c r="T858" s="5"/>
    </row>
    <row r="859" customFormat="false" ht="15.75" hidden="false" customHeight="false" outlineLevel="0" collapsed="false">
      <c r="A859" s="4"/>
      <c r="B859" s="2"/>
      <c r="C859" s="2"/>
      <c r="D859" s="2"/>
      <c r="E859" s="2"/>
      <c r="F859" s="3" t="str">
        <f aca="false">IFERROR(__xludf.dummyfunction("if($T859&lt;&gt;"""",REGEXEXTRACT(SUBSTITUTE ($T859,F$1&amp;"" CE"",""""), F$1&amp;""[\w &amp;]*, (\d+\.\d+)""),"""")
"),"")</f>
        <v/>
      </c>
      <c r="G859" s="3" t="str">
        <f aca="false">IFERROR(__xludf.dummyfunction("if($T859&lt;&gt;"""",REGEXEXTRACT($T859, G$1&amp;""[\w &amp;]*, (\d+\.\d+)""),"""")
"),"")</f>
        <v/>
      </c>
      <c r="H859" s="3"/>
      <c r="I859" s="3" t="str">
        <f aca="false">IFERROR(__xludf.dummyfunction("if($T859&lt;&gt;"""",REGEXEXTRACT(SUBSTITUTE ($T859,I$1&amp;"" CE"",""""), I$1&amp;""[\w &amp;]*, (\d+\.\d+)""),"""")
"),"")</f>
        <v/>
      </c>
      <c r="J859" s="3" t="str">
        <f aca="false">IFERROR(__xludf.dummyfunction("if($T859&lt;&gt;"""",REGEXEXTRACT($T859, J$1&amp;""[\w &amp;]*, (\d+\.\d+)""),"""")
"),"")</f>
        <v/>
      </c>
      <c r="K859" s="3"/>
      <c r="L859" s="3" t="str">
        <f aca="false">IFERROR(__xludf.dummyfunction("if($T859&lt;&gt;"""",REGEXEXTRACT(SUBSTITUTE ($T859,L$1&amp;"" CE"",""""), L$1&amp;""[\w &amp;]*, (\d+\.\d+)""),"""")
"),"")</f>
        <v/>
      </c>
      <c r="M859" s="3" t="str">
        <f aca="false">IFERROR(__xludf.dummyfunction("if($T859&lt;&gt;"""",REGEXEXTRACT($T859, M$1&amp;""[\w &amp;]*, (\d+\.\d+)""),"""")
"),"")</f>
        <v/>
      </c>
      <c r="N859" s="3" t="str">
        <f aca="false">IFERROR(__xludf.dummyfunction("if($T859&lt;&gt;"""",REGEXEXTRACT(SUBSTITUTE ($T859,N$1&amp;"" CE"",""""), N$1&amp;""[\w &amp;]*, (\d+\.\d+)""),"""")
"),"")</f>
        <v/>
      </c>
      <c r="O859" s="3" t="str">
        <f aca="false">IFERROR(__xludf.dummyfunction("if($T859&lt;&gt;"""",REGEXEXTRACT($T859, O$1&amp;""[\w &amp;]*, (\d+\.\d+)""),"""")
"),"")</f>
        <v/>
      </c>
      <c r="P859" s="2"/>
      <c r="Q859" s="2"/>
      <c r="R859" s="2"/>
      <c r="S859" s="2"/>
      <c r="T859" s="5"/>
    </row>
    <row r="860" customFormat="false" ht="15.75" hidden="false" customHeight="false" outlineLevel="0" collapsed="false">
      <c r="A860" s="4"/>
      <c r="B860" s="2"/>
      <c r="C860" s="2"/>
      <c r="D860" s="2"/>
      <c r="E860" s="2"/>
      <c r="F860" s="3" t="str">
        <f aca="false">IFERROR(__xludf.dummyfunction("if($T860&lt;&gt;"""",REGEXEXTRACT(SUBSTITUTE ($T860,F$1&amp;"" CE"",""""), F$1&amp;""[\w &amp;]*, (\d+\.\d+)""),"""")
"),"")</f>
        <v/>
      </c>
      <c r="G860" s="3" t="str">
        <f aca="false">IFERROR(__xludf.dummyfunction("if($T860&lt;&gt;"""",REGEXEXTRACT($T860, G$1&amp;""[\w &amp;]*, (\d+\.\d+)""),"""")
"),"")</f>
        <v/>
      </c>
      <c r="H860" s="3"/>
      <c r="I860" s="3" t="str">
        <f aca="false">IFERROR(__xludf.dummyfunction("if($T860&lt;&gt;"""",REGEXEXTRACT(SUBSTITUTE ($T860,I$1&amp;"" CE"",""""), I$1&amp;""[\w &amp;]*, (\d+\.\d+)""),"""")
"),"")</f>
        <v/>
      </c>
      <c r="J860" s="3" t="str">
        <f aca="false">IFERROR(__xludf.dummyfunction("if($T860&lt;&gt;"""",REGEXEXTRACT($T860, J$1&amp;""[\w &amp;]*, (\d+\.\d+)""),"""")
"),"")</f>
        <v/>
      </c>
      <c r="K860" s="3"/>
      <c r="L860" s="3" t="str">
        <f aca="false">IFERROR(__xludf.dummyfunction("if($T860&lt;&gt;"""",REGEXEXTRACT(SUBSTITUTE ($T860,L$1&amp;"" CE"",""""), L$1&amp;""[\w &amp;]*, (\d+\.\d+)""),"""")
"),"")</f>
        <v/>
      </c>
      <c r="M860" s="3" t="str">
        <f aca="false">IFERROR(__xludf.dummyfunction("if($T860&lt;&gt;"""",REGEXEXTRACT($T860, M$1&amp;""[\w &amp;]*, (\d+\.\d+)""),"""")
"),"")</f>
        <v/>
      </c>
      <c r="N860" s="3" t="str">
        <f aca="false">IFERROR(__xludf.dummyfunction("if($T860&lt;&gt;"""",REGEXEXTRACT(SUBSTITUTE ($T860,N$1&amp;"" CE"",""""), N$1&amp;""[\w &amp;]*, (\d+\.\d+)""),"""")
"),"")</f>
        <v/>
      </c>
      <c r="O860" s="3" t="str">
        <f aca="false">IFERROR(__xludf.dummyfunction("if($T860&lt;&gt;"""",REGEXEXTRACT($T860, O$1&amp;""[\w &amp;]*, (\d+\.\d+)""),"""")
"),"")</f>
        <v/>
      </c>
      <c r="P860" s="2"/>
      <c r="Q860" s="2"/>
      <c r="R860" s="2"/>
      <c r="S860" s="2"/>
      <c r="T860" s="5"/>
    </row>
    <row r="861" customFormat="false" ht="15.75" hidden="false" customHeight="false" outlineLevel="0" collapsed="false">
      <c r="A861" s="4"/>
      <c r="B861" s="2"/>
      <c r="C861" s="2"/>
      <c r="D861" s="2"/>
      <c r="E861" s="2"/>
      <c r="F861" s="3" t="str">
        <f aca="false">IFERROR(__xludf.dummyfunction("if($T861&lt;&gt;"""",REGEXEXTRACT(SUBSTITUTE ($T861,F$1&amp;"" CE"",""""), F$1&amp;""[\w &amp;]*, (\d+\.\d+)""),"""")
"),"")</f>
        <v/>
      </c>
      <c r="G861" s="3" t="str">
        <f aca="false">IFERROR(__xludf.dummyfunction("if($T861&lt;&gt;"""",REGEXEXTRACT($T861, G$1&amp;""[\w &amp;]*, (\d+\.\d+)""),"""")
"),"")</f>
        <v/>
      </c>
      <c r="H861" s="3"/>
      <c r="I861" s="3" t="str">
        <f aca="false">IFERROR(__xludf.dummyfunction("if($T861&lt;&gt;"""",REGEXEXTRACT(SUBSTITUTE ($T861,I$1&amp;"" CE"",""""), I$1&amp;""[\w &amp;]*, (\d+\.\d+)""),"""")
"),"")</f>
        <v/>
      </c>
      <c r="J861" s="3" t="str">
        <f aca="false">IFERROR(__xludf.dummyfunction("if($T861&lt;&gt;"""",REGEXEXTRACT($T861, J$1&amp;""[\w &amp;]*, (\d+\.\d+)""),"""")
"),"")</f>
        <v/>
      </c>
      <c r="K861" s="3"/>
      <c r="L861" s="3" t="str">
        <f aca="false">IFERROR(__xludf.dummyfunction("if($T861&lt;&gt;"""",REGEXEXTRACT(SUBSTITUTE ($T861,L$1&amp;"" CE"",""""), L$1&amp;""[\w &amp;]*, (\d+\.\d+)""),"""")
"),"")</f>
        <v/>
      </c>
      <c r="M861" s="3" t="str">
        <f aca="false">IFERROR(__xludf.dummyfunction("if($T861&lt;&gt;"""",REGEXEXTRACT($T861, M$1&amp;""[\w &amp;]*, (\d+\.\d+)""),"""")
"),"")</f>
        <v/>
      </c>
      <c r="N861" s="3" t="str">
        <f aca="false">IFERROR(__xludf.dummyfunction("if($T861&lt;&gt;"""",REGEXEXTRACT(SUBSTITUTE ($T861,N$1&amp;"" CE"",""""), N$1&amp;""[\w &amp;]*, (\d+\.\d+)""),"""")
"),"")</f>
        <v/>
      </c>
      <c r="O861" s="3" t="str">
        <f aca="false">IFERROR(__xludf.dummyfunction("if($T861&lt;&gt;"""",REGEXEXTRACT($T861, O$1&amp;""[\w &amp;]*, (\d+\.\d+)""),"""")
"),"")</f>
        <v/>
      </c>
      <c r="P861" s="2"/>
      <c r="Q861" s="2"/>
      <c r="R861" s="2"/>
      <c r="S861" s="2"/>
      <c r="T861" s="5"/>
    </row>
    <row r="862" customFormat="false" ht="15.75" hidden="false" customHeight="false" outlineLevel="0" collapsed="false">
      <c r="A862" s="4"/>
      <c r="B862" s="2"/>
      <c r="C862" s="2"/>
      <c r="D862" s="2"/>
      <c r="E862" s="2"/>
      <c r="F862" s="3" t="str">
        <f aca="false">IFERROR(__xludf.dummyfunction("if($T862&lt;&gt;"""",REGEXEXTRACT(SUBSTITUTE ($T862,F$1&amp;"" CE"",""""), F$1&amp;""[\w &amp;]*, (\d+\.\d+)""),"""")
"),"")</f>
        <v/>
      </c>
      <c r="G862" s="3" t="str">
        <f aca="false">IFERROR(__xludf.dummyfunction("if($T862&lt;&gt;"""",REGEXEXTRACT($T862, G$1&amp;""[\w &amp;]*, (\d+\.\d+)""),"""")
"),"")</f>
        <v/>
      </c>
      <c r="H862" s="3"/>
      <c r="I862" s="3" t="str">
        <f aca="false">IFERROR(__xludf.dummyfunction("if($T862&lt;&gt;"""",REGEXEXTRACT(SUBSTITUTE ($T862,I$1&amp;"" CE"",""""), I$1&amp;""[\w &amp;]*, (\d+\.\d+)""),"""")
"),"")</f>
        <v/>
      </c>
      <c r="J862" s="3" t="str">
        <f aca="false">IFERROR(__xludf.dummyfunction("if($T862&lt;&gt;"""",REGEXEXTRACT($T862, J$1&amp;""[\w &amp;]*, (\d+\.\d+)""),"""")
"),"")</f>
        <v/>
      </c>
      <c r="K862" s="3"/>
      <c r="L862" s="3" t="str">
        <f aca="false">IFERROR(__xludf.dummyfunction("if($T862&lt;&gt;"""",REGEXEXTRACT(SUBSTITUTE ($T862,L$1&amp;"" CE"",""""), L$1&amp;""[\w &amp;]*, (\d+\.\d+)""),"""")
"),"")</f>
        <v/>
      </c>
      <c r="M862" s="3" t="str">
        <f aca="false">IFERROR(__xludf.dummyfunction("if($T862&lt;&gt;"""",REGEXEXTRACT($T862, M$1&amp;""[\w &amp;]*, (\d+\.\d+)""),"""")
"),"")</f>
        <v/>
      </c>
      <c r="N862" s="3" t="str">
        <f aca="false">IFERROR(__xludf.dummyfunction("if($T862&lt;&gt;"""",REGEXEXTRACT(SUBSTITUTE ($T862,N$1&amp;"" CE"",""""), N$1&amp;""[\w &amp;]*, (\d+\.\d+)""),"""")
"),"")</f>
        <v/>
      </c>
      <c r="O862" s="3" t="str">
        <f aca="false">IFERROR(__xludf.dummyfunction("if($T862&lt;&gt;"""",REGEXEXTRACT($T862, O$1&amp;""[\w &amp;]*, (\d+\.\d+)""),"""")
"),"")</f>
        <v/>
      </c>
      <c r="P862" s="2"/>
      <c r="Q862" s="2"/>
      <c r="R862" s="2"/>
      <c r="S862" s="2"/>
      <c r="T862" s="5"/>
    </row>
    <row r="863" customFormat="false" ht="15.75" hidden="false" customHeight="false" outlineLevel="0" collapsed="false">
      <c r="A863" s="4"/>
      <c r="B863" s="2"/>
      <c r="C863" s="2"/>
      <c r="D863" s="2"/>
      <c r="E863" s="2"/>
      <c r="F863" s="3" t="str">
        <f aca="false">IFERROR(__xludf.dummyfunction("if($T863&lt;&gt;"""",REGEXEXTRACT(SUBSTITUTE ($T863,F$1&amp;"" CE"",""""), F$1&amp;""[\w &amp;]*, (\d+\.\d+)""),"""")
"),"")</f>
        <v/>
      </c>
      <c r="G863" s="3" t="str">
        <f aca="false">IFERROR(__xludf.dummyfunction("if($T863&lt;&gt;"""",REGEXEXTRACT($T863, G$1&amp;""[\w &amp;]*, (\d+\.\d+)""),"""")
"),"")</f>
        <v/>
      </c>
      <c r="H863" s="3"/>
      <c r="I863" s="3" t="str">
        <f aca="false">IFERROR(__xludf.dummyfunction("if($T863&lt;&gt;"""",REGEXEXTRACT(SUBSTITUTE ($T863,I$1&amp;"" CE"",""""), I$1&amp;""[\w &amp;]*, (\d+\.\d+)""),"""")
"),"")</f>
        <v/>
      </c>
      <c r="J863" s="3" t="str">
        <f aca="false">IFERROR(__xludf.dummyfunction("if($T863&lt;&gt;"""",REGEXEXTRACT($T863, J$1&amp;""[\w &amp;]*, (\d+\.\d+)""),"""")
"),"")</f>
        <v/>
      </c>
      <c r="K863" s="3"/>
      <c r="L863" s="3" t="str">
        <f aca="false">IFERROR(__xludf.dummyfunction("if($T863&lt;&gt;"""",REGEXEXTRACT(SUBSTITUTE ($T863,L$1&amp;"" CE"",""""), L$1&amp;""[\w &amp;]*, (\d+\.\d+)""),"""")
"),"")</f>
        <v/>
      </c>
      <c r="M863" s="3" t="str">
        <f aca="false">IFERROR(__xludf.dummyfunction("if($T863&lt;&gt;"""",REGEXEXTRACT($T863, M$1&amp;""[\w &amp;]*, (\d+\.\d+)""),"""")
"),"")</f>
        <v/>
      </c>
      <c r="N863" s="3" t="str">
        <f aca="false">IFERROR(__xludf.dummyfunction("if($T863&lt;&gt;"""",REGEXEXTRACT(SUBSTITUTE ($T863,N$1&amp;"" CE"",""""), N$1&amp;""[\w &amp;]*, (\d+\.\d+)""),"""")
"),"")</f>
        <v/>
      </c>
      <c r="O863" s="3" t="str">
        <f aca="false">IFERROR(__xludf.dummyfunction("if($T863&lt;&gt;"""",REGEXEXTRACT($T863, O$1&amp;""[\w &amp;]*, (\d+\.\d+)""),"""")
"),"")</f>
        <v/>
      </c>
      <c r="P863" s="2"/>
      <c r="Q863" s="2"/>
      <c r="R863" s="2"/>
      <c r="S863" s="2"/>
      <c r="T863" s="5"/>
    </row>
    <row r="864" customFormat="false" ht="15.75" hidden="false" customHeight="false" outlineLevel="0" collapsed="false">
      <c r="A864" s="4"/>
      <c r="B864" s="2"/>
      <c r="C864" s="2"/>
      <c r="D864" s="2"/>
      <c r="E864" s="2"/>
      <c r="F864" s="3" t="str">
        <f aca="false">IFERROR(__xludf.dummyfunction("if($T864&lt;&gt;"""",REGEXEXTRACT(SUBSTITUTE ($T864,F$1&amp;"" CE"",""""), F$1&amp;""[\w &amp;]*, (\d+\.\d+)""),"""")
"),"")</f>
        <v/>
      </c>
      <c r="G864" s="3" t="str">
        <f aca="false">IFERROR(__xludf.dummyfunction("if($T864&lt;&gt;"""",REGEXEXTRACT($T864, G$1&amp;""[\w &amp;]*, (\d+\.\d+)""),"""")
"),"")</f>
        <v/>
      </c>
      <c r="H864" s="3"/>
      <c r="I864" s="3" t="str">
        <f aca="false">IFERROR(__xludf.dummyfunction("if($T864&lt;&gt;"""",REGEXEXTRACT(SUBSTITUTE ($T864,I$1&amp;"" CE"",""""), I$1&amp;""[\w &amp;]*, (\d+\.\d+)""),"""")
"),"")</f>
        <v/>
      </c>
      <c r="J864" s="3" t="str">
        <f aca="false">IFERROR(__xludf.dummyfunction("if($T864&lt;&gt;"""",REGEXEXTRACT($T864, J$1&amp;""[\w &amp;]*, (\d+\.\d+)""),"""")
"),"")</f>
        <v/>
      </c>
      <c r="K864" s="3"/>
      <c r="L864" s="3" t="str">
        <f aca="false">IFERROR(__xludf.dummyfunction("if($T864&lt;&gt;"""",REGEXEXTRACT(SUBSTITUTE ($T864,L$1&amp;"" CE"",""""), L$1&amp;""[\w &amp;]*, (\d+\.\d+)""),"""")
"),"")</f>
        <v/>
      </c>
      <c r="M864" s="3" t="str">
        <f aca="false">IFERROR(__xludf.dummyfunction("if($T864&lt;&gt;"""",REGEXEXTRACT($T864, M$1&amp;""[\w &amp;]*, (\d+\.\d+)""),"""")
"),"")</f>
        <v/>
      </c>
      <c r="N864" s="3" t="str">
        <f aca="false">IFERROR(__xludf.dummyfunction("if($T864&lt;&gt;"""",REGEXEXTRACT(SUBSTITUTE ($T864,N$1&amp;"" CE"",""""), N$1&amp;""[\w &amp;]*, (\d+\.\d+)""),"""")
"),"")</f>
        <v/>
      </c>
      <c r="O864" s="3" t="str">
        <f aca="false">IFERROR(__xludf.dummyfunction("if($T864&lt;&gt;"""",REGEXEXTRACT($T864, O$1&amp;""[\w &amp;]*, (\d+\.\d+)""),"""")
"),"")</f>
        <v/>
      </c>
      <c r="P864" s="2"/>
      <c r="Q864" s="2"/>
      <c r="R864" s="2"/>
      <c r="S864" s="2"/>
      <c r="T864" s="5"/>
    </row>
    <row r="865" customFormat="false" ht="15.75" hidden="false" customHeight="false" outlineLevel="0" collapsed="false">
      <c r="A865" s="4"/>
      <c r="B865" s="2"/>
      <c r="C865" s="2"/>
      <c r="D865" s="2"/>
      <c r="E865" s="2"/>
      <c r="F865" s="3" t="str">
        <f aca="false">IFERROR(__xludf.dummyfunction("if($T865&lt;&gt;"""",REGEXEXTRACT(SUBSTITUTE ($T865,F$1&amp;"" CE"",""""), F$1&amp;""[\w &amp;]*, (\d+\.\d+)""),"""")
"),"")</f>
        <v/>
      </c>
      <c r="G865" s="3" t="str">
        <f aca="false">IFERROR(__xludf.dummyfunction("if($T865&lt;&gt;"""",REGEXEXTRACT($T865, G$1&amp;""[\w &amp;]*, (\d+\.\d+)""),"""")
"),"")</f>
        <v/>
      </c>
      <c r="H865" s="3"/>
      <c r="I865" s="3" t="str">
        <f aca="false">IFERROR(__xludf.dummyfunction("if($T865&lt;&gt;"""",REGEXEXTRACT(SUBSTITUTE ($T865,I$1&amp;"" CE"",""""), I$1&amp;""[\w &amp;]*, (\d+\.\d+)""),"""")
"),"")</f>
        <v/>
      </c>
      <c r="J865" s="3" t="str">
        <f aca="false">IFERROR(__xludf.dummyfunction("if($T865&lt;&gt;"""",REGEXEXTRACT($T865, J$1&amp;""[\w &amp;]*, (\d+\.\d+)""),"""")
"),"")</f>
        <v/>
      </c>
      <c r="K865" s="3"/>
      <c r="L865" s="3" t="str">
        <f aca="false">IFERROR(__xludf.dummyfunction("if($T865&lt;&gt;"""",REGEXEXTRACT(SUBSTITUTE ($T865,L$1&amp;"" CE"",""""), L$1&amp;""[\w &amp;]*, (\d+\.\d+)""),"""")
"),"")</f>
        <v/>
      </c>
      <c r="M865" s="3" t="str">
        <f aca="false">IFERROR(__xludf.dummyfunction("if($T865&lt;&gt;"""",REGEXEXTRACT($T865, M$1&amp;""[\w &amp;]*, (\d+\.\d+)""),"""")
"),"")</f>
        <v/>
      </c>
      <c r="N865" s="3" t="str">
        <f aca="false">IFERROR(__xludf.dummyfunction("if($T865&lt;&gt;"""",REGEXEXTRACT(SUBSTITUTE ($T865,N$1&amp;"" CE"",""""), N$1&amp;""[\w &amp;]*, (\d+\.\d+)""),"""")
"),"")</f>
        <v/>
      </c>
      <c r="O865" s="3" t="str">
        <f aca="false">IFERROR(__xludf.dummyfunction("if($T865&lt;&gt;"""",REGEXEXTRACT($T865, O$1&amp;""[\w &amp;]*, (\d+\.\d+)""),"""")
"),"")</f>
        <v/>
      </c>
      <c r="P865" s="2"/>
      <c r="Q865" s="2"/>
      <c r="R865" s="2"/>
      <c r="S865" s="2"/>
      <c r="T865" s="5"/>
    </row>
    <row r="866" customFormat="false" ht="15.75" hidden="false" customHeight="false" outlineLevel="0" collapsed="false">
      <c r="A866" s="4"/>
      <c r="B866" s="2"/>
      <c r="C866" s="2"/>
      <c r="D866" s="2"/>
      <c r="E866" s="2"/>
      <c r="F866" s="3" t="str">
        <f aca="false">IFERROR(__xludf.dummyfunction("if($T866&lt;&gt;"""",REGEXEXTRACT(SUBSTITUTE ($T866,F$1&amp;"" CE"",""""), F$1&amp;""[\w &amp;]*, (\d+\.\d+)""),"""")
"),"")</f>
        <v/>
      </c>
      <c r="G866" s="3" t="str">
        <f aca="false">IFERROR(__xludf.dummyfunction("if($T866&lt;&gt;"""",REGEXEXTRACT($T866, G$1&amp;""[\w &amp;]*, (\d+\.\d+)""),"""")
"),"")</f>
        <v/>
      </c>
      <c r="H866" s="3"/>
      <c r="I866" s="3" t="str">
        <f aca="false">IFERROR(__xludf.dummyfunction("if($T866&lt;&gt;"""",REGEXEXTRACT(SUBSTITUTE ($T866,I$1&amp;"" CE"",""""), I$1&amp;""[\w &amp;]*, (\d+\.\d+)""),"""")
"),"")</f>
        <v/>
      </c>
      <c r="J866" s="3" t="str">
        <f aca="false">IFERROR(__xludf.dummyfunction("if($T866&lt;&gt;"""",REGEXEXTRACT($T866, J$1&amp;""[\w &amp;]*, (\d+\.\d+)""),"""")
"),"")</f>
        <v/>
      </c>
      <c r="K866" s="3"/>
      <c r="L866" s="3" t="str">
        <f aca="false">IFERROR(__xludf.dummyfunction("if($T866&lt;&gt;"""",REGEXEXTRACT(SUBSTITUTE ($T866,L$1&amp;"" CE"",""""), L$1&amp;""[\w &amp;]*, (\d+\.\d+)""),"""")
"),"")</f>
        <v/>
      </c>
      <c r="M866" s="3" t="str">
        <f aca="false">IFERROR(__xludf.dummyfunction("if($T866&lt;&gt;"""",REGEXEXTRACT($T866, M$1&amp;""[\w &amp;]*, (\d+\.\d+)""),"""")
"),"")</f>
        <v/>
      </c>
      <c r="N866" s="3" t="str">
        <f aca="false">IFERROR(__xludf.dummyfunction("if($T866&lt;&gt;"""",REGEXEXTRACT(SUBSTITUTE ($T866,N$1&amp;"" CE"",""""), N$1&amp;""[\w &amp;]*, (\d+\.\d+)""),"""")
"),"")</f>
        <v/>
      </c>
      <c r="O866" s="3" t="str">
        <f aca="false">IFERROR(__xludf.dummyfunction("if($T866&lt;&gt;"""",REGEXEXTRACT($T866, O$1&amp;""[\w &amp;]*, (\d+\.\d+)""),"""")
"),"")</f>
        <v/>
      </c>
      <c r="P866" s="2"/>
      <c r="Q866" s="2"/>
      <c r="R866" s="2"/>
      <c r="S866" s="2"/>
      <c r="T866" s="5"/>
    </row>
    <row r="867" customFormat="false" ht="15.75" hidden="false" customHeight="false" outlineLevel="0" collapsed="false">
      <c r="A867" s="4"/>
      <c r="B867" s="2"/>
      <c r="C867" s="2"/>
      <c r="D867" s="2"/>
      <c r="E867" s="2"/>
      <c r="F867" s="3" t="str">
        <f aca="false">IFERROR(__xludf.dummyfunction("if($T867&lt;&gt;"""",REGEXEXTRACT(SUBSTITUTE ($T867,F$1&amp;"" CE"",""""), F$1&amp;""[\w &amp;]*, (\d+\.\d+)""),"""")
"),"")</f>
        <v/>
      </c>
      <c r="G867" s="3" t="str">
        <f aca="false">IFERROR(__xludf.dummyfunction("if($T867&lt;&gt;"""",REGEXEXTRACT($T867, G$1&amp;""[\w &amp;]*, (\d+\.\d+)""),"""")
"),"")</f>
        <v/>
      </c>
      <c r="H867" s="3"/>
      <c r="I867" s="3" t="str">
        <f aca="false">IFERROR(__xludf.dummyfunction("if($T867&lt;&gt;"""",REGEXEXTRACT(SUBSTITUTE ($T867,I$1&amp;"" CE"",""""), I$1&amp;""[\w &amp;]*, (\d+\.\d+)""),"""")
"),"")</f>
        <v/>
      </c>
      <c r="J867" s="3" t="str">
        <f aca="false">IFERROR(__xludf.dummyfunction("if($T867&lt;&gt;"""",REGEXEXTRACT($T867, J$1&amp;""[\w &amp;]*, (\d+\.\d+)""),"""")
"),"")</f>
        <v/>
      </c>
      <c r="K867" s="3"/>
      <c r="L867" s="3" t="str">
        <f aca="false">IFERROR(__xludf.dummyfunction("if($T867&lt;&gt;"""",REGEXEXTRACT(SUBSTITUTE ($T867,L$1&amp;"" CE"",""""), L$1&amp;""[\w &amp;]*, (\d+\.\d+)""),"""")
"),"")</f>
        <v/>
      </c>
      <c r="M867" s="3" t="str">
        <f aca="false">IFERROR(__xludf.dummyfunction("if($T867&lt;&gt;"""",REGEXEXTRACT($T867, M$1&amp;""[\w &amp;]*, (\d+\.\d+)""),"""")
"),"")</f>
        <v/>
      </c>
      <c r="N867" s="3" t="str">
        <f aca="false">IFERROR(__xludf.dummyfunction("if($T867&lt;&gt;"""",REGEXEXTRACT(SUBSTITUTE ($T867,N$1&amp;"" CE"",""""), N$1&amp;""[\w &amp;]*, (\d+\.\d+)""),"""")
"),"")</f>
        <v/>
      </c>
      <c r="O867" s="3" t="str">
        <f aca="false">IFERROR(__xludf.dummyfunction("if($T867&lt;&gt;"""",REGEXEXTRACT($T867, O$1&amp;""[\w &amp;]*, (\d+\.\d+)""),"""")
"),"")</f>
        <v/>
      </c>
      <c r="P867" s="2"/>
      <c r="Q867" s="2"/>
      <c r="R867" s="2"/>
      <c r="S867" s="2"/>
      <c r="T867" s="5"/>
    </row>
    <row r="868" customFormat="false" ht="15.75" hidden="false" customHeight="false" outlineLevel="0" collapsed="false">
      <c r="A868" s="4"/>
      <c r="B868" s="2"/>
      <c r="C868" s="2"/>
      <c r="D868" s="2"/>
      <c r="E868" s="2"/>
      <c r="F868" s="3" t="str">
        <f aca="false">IFERROR(__xludf.dummyfunction("if($T868&lt;&gt;"""",REGEXEXTRACT(SUBSTITUTE ($T868,F$1&amp;"" CE"",""""), F$1&amp;""[\w &amp;]*, (\d+\.\d+)""),"""")
"),"")</f>
        <v/>
      </c>
      <c r="G868" s="3" t="str">
        <f aca="false">IFERROR(__xludf.dummyfunction("if($T868&lt;&gt;"""",REGEXEXTRACT($T868, G$1&amp;""[\w &amp;]*, (\d+\.\d+)""),"""")
"),"")</f>
        <v/>
      </c>
      <c r="H868" s="3"/>
      <c r="I868" s="3" t="str">
        <f aca="false">IFERROR(__xludf.dummyfunction("if($T868&lt;&gt;"""",REGEXEXTRACT(SUBSTITUTE ($T868,I$1&amp;"" CE"",""""), I$1&amp;""[\w &amp;]*, (\d+\.\d+)""),"""")
"),"")</f>
        <v/>
      </c>
      <c r="J868" s="3" t="str">
        <f aca="false">IFERROR(__xludf.dummyfunction("if($T868&lt;&gt;"""",REGEXEXTRACT($T868, J$1&amp;""[\w &amp;]*, (\d+\.\d+)""),"""")
"),"")</f>
        <v/>
      </c>
      <c r="K868" s="3"/>
      <c r="L868" s="3" t="str">
        <f aca="false">IFERROR(__xludf.dummyfunction("if($T868&lt;&gt;"""",REGEXEXTRACT(SUBSTITUTE ($T868,L$1&amp;"" CE"",""""), L$1&amp;""[\w &amp;]*, (\d+\.\d+)""),"""")
"),"")</f>
        <v/>
      </c>
      <c r="M868" s="3" t="str">
        <f aca="false">IFERROR(__xludf.dummyfunction("if($T868&lt;&gt;"""",REGEXEXTRACT($T868, M$1&amp;""[\w &amp;]*, (\d+\.\d+)""),"""")
"),"")</f>
        <v/>
      </c>
      <c r="N868" s="3" t="str">
        <f aca="false">IFERROR(__xludf.dummyfunction("if($T868&lt;&gt;"""",REGEXEXTRACT(SUBSTITUTE ($T868,N$1&amp;"" CE"",""""), N$1&amp;""[\w &amp;]*, (\d+\.\d+)""),"""")
"),"")</f>
        <v/>
      </c>
      <c r="O868" s="3" t="str">
        <f aca="false">IFERROR(__xludf.dummyfunction("if($T868&lt;&gt;"""",REGEXEXTRACT($T868, O$1&amp;""[\w &amp;]*, (\d+\.\d+)""),"""")
"),"")</f>
        <v/>
      </c>
      <c r="P868" s="2"/>
      <c r="Q868" s="2"/>
      <c r="R868" s="2"/>
      <c r="S868" s="2"/>
      <c r="T868" s="5"/>
    </row>
    <row r="869" customFormat="false" ht="15.75" hidden="false" customHeight="false" outlineLevel="0" collapsed="false">
      <c r="A869" s="4"/>
      <c r="B869" s="2"/>
      <c r="C869" s="2"/>
      <c r="D869" s="2"/>
      <c r="E869" s="2"/>
      <c r="F869" s="3" t="str">
        <f aca="false">IFERROR(__xludf.dummyfunction("if($T869&lt;&gt;"""",REGEXEXTRACT(SUBSTITUTE ($T869,F$1&amp;"" CE"",""""), F$1&amp;""[\w &amp;]*, (\d+\.\d+)""),"""")
"),"")</f>
        <v/>
      </c>
      <c r="G869" s="3" t="str">
        <f aca="false">IFERROR(__xludf.dummyfunction("if($T869&lt;&gt;"""",REGEXEXTRACT($T869, G$1&amp;""[\w &amp;]*, (\d+\.\d+)""),"""")
"),"")</f>
        <v/>
      </c>
      <c r="H869" s="3"/>
      <c r="I869" s="3" t="str">
        <f aca="false">IFERROR(__xludf.dummyfunction("if($T869&lt;&gt;"""",REGEXEXTRACT(SUBSTITUTE ($T869,I$1&amp;"" CE"",""""), I$1&amp;""[\w &amp;]*, (\d+\.\d+)""),"""")
"),"")</f>
        <v/>
      </c>
      <c r="J869" s="3" t="str">
        <f aca="false">IFERROR(__xludf.dummyfunction("if($T869&lt;&gt;"""",REGEXEXTRACT($T869, J$1&amp;""[\w &amp;]*, (\d+\.\d+)""),"""")
"),"")</f>
        <v/>
      </c>
      <c r="K869" s="3"/>
      <c r="L869" s="3" t="str">
        <f aca="false">IFERROR(__xludf.dummyfunction("if($T869&lt;&gt;"""",REGEXEXTRACT(SUBSTITUTE ($T869,L$1&amp;"" CE"",""""), L$1&amp;""[\w &amp;]*, (\d+\.\d+)""),"""")
"),"")</f>
        <v/>
      </c>
      <c r="M869" s="3" t="str">
        <f aca="false">IFERROR(__xludf.dummyfunction("if($T869&lt;&gt;"""",REGEXEXTRACT($T869, M$1&amp;""[\w &amp;]*, (\d+\.\d+)""),"""")
"),"")</f>
        <v/>
      </c>
      <c r="N869" s="3" t="str">
        <f aca="false">IFERROR(__xludf.dummyfunction("if($T869&lt;&gt;"""",REGEXEXTRACT(SUBSTITUTE ($T869,N$1&amp;"" CE"",""""), N$1&amp;""[\w &amp;]*, (\d+\.\d+)""),"""")
"),"")</f>
        <v/>
      </c>
      <c r="O869" s="3" t="str">
        <f aca="false">IFERROR(__xludf.dummyfunction("if($T869&lt;&gt;"""",REGEXEXTRACT($T869, O$1&amp;""[\w &amp;]*, (\d+\.\d+)""),"""")
"),"")</f>
        <v/>
      </c>
      <c r="P869" s="2"/>
      <c r="Q869" s="2"/>
      <c r="R869" s="2"/>
      <c r="S869" s="2"/>
      <c r="T869" s="5"/>
    </row>
    <row r="870" customFormat="false" ht="15.75" hidden="false" customHeight="false" outlineLevel="0" collapsed="false">
      <c r="A870" s="4"/>
      <c r="B870" s="2"/>
      <c r="C870" s="2"/>
      <c r="D870" s="2"/>
      <c r="E870" s="2"/>
      <c r="F870" s="3" t="str">
        <f aca="false">IFERROR(__xludf.dummyfunction("if($T870&lt;&gt;"""",REGEXEXTRACT(SUBSTITUTE ($T870,F$1&amp;"" CE"",""""), F$1&amp;""[\w &amp;]*, (\d+\.\d+)""),"""")
"),"")</f>
        <v/>
      </c>
      <c r="G870" s="3" t="str">
        <f aca="false">IFERROR(__xludf.dummyfunction("if($T870&lt;&gt;"""",REGEXEXTRACT($T870, G$1&amp;""[\w &amp;]*, (\d+\.\d+)""),"""")
"),"")</f>
        <v/>
      </c>
      <c r="H870" s="3"/>
      <c r="I870" s="3" t="str">
        <f aca="false">IFERROR(__xludf.dummyfunction("if($T870&lt;&gt;"""",REGEXEXTRACT(SUBSTITUTE ($T870,I$1&amp;"" CE"",""""), I$1&amp;""[\w &amp;]*, (\d+\.\d+)""),"""")
"),"")</f>
        <v/>
      </c>
      <c r="J870" s="3" t="str">
        <f aca="false">IFERROR(__xludf.dummyfunction("if($T870&lt;&gt;"""",REGEXEXTRACT($T870, J$1&amp;""[\w &amp;]*, (\d+\.\d+)""),"""")
"),"")</f>
        <v/>
      </c>
      <c r="K870" s="3"/>
      <c r="L870" s="3" t="str">
        <f aca="false">IFERROR(__xludf.dummyfunction("if($T870&lt;&gt;"""",REGEXEXTRACT(SUBSTITUTE ($T870,L$1&amp;"" CE"",""""), L$1&amp;""[\w &amp;]*, (\d+\.\d+)""),"""")
"),"")</f>
        <v/>
      </c>
      <c r="M870" s="3" t="str">
        <f aca="false">IFERROR(__xludf.dummyfunction("if($T870&lt;&gt;"""",REGEXEXTRACT($T870, M$1&amp;""[\w &amp;]*, (\d+\.\d+)""),"""")
"),"")</f>
        <v/>
      </c>
      <c r="N870" s="3" t="str">
        <f aca="false">IFERROR(__xludf.dummyfunction("if($T870&lt;&gt;"""",REGEXEXTRACT(SUBSTITUTE ($T870,N$1&amp;"" CE"",""""), N$1&amp;""[\w &amp;]*, (\d+\.\d+)""),"""")
"),"")</f>
        <v/>
      </c>
      <c r="O870" s="3" t="str">
        <f aca="false">IFERROR(__xludf.dummyfunction("if($T870&lt;&gt;"""",REGEXEXTRACT($T870, O$1&amp;""[\w &amp;]*, (\d+\.\d+)""),"""")
"),"")</f>
        <v/>
      </c>
      <c r="P870" s="2"/>
      <c r="Q870" s="2"/>
      <c r="R870" s="2"/>
      <c r="S870" s="2"/>
      <c r="T870" s="5"/>
    </row>
    <row r="871" customFormat="false" ht="15.75" hidden="false" customHeight="false" outlineLevel="0" collapsed="false">
      <c r="A871" s="4"/>
      <c r="B871" s="2"/>
      <c r="C871" s="2"/>
      <c r="D871" s="2"/>
      <c r="E871" s="2"/>
      <c r="F871" s="3" t="str">
        <f aca="false">IFERROR(__xludf.dummyfunction("if($T871&lt;&gt;"""",REGEXEXTRACT(SUBSTITUTE ($T871,F$1&amp;"" CE"",""""), F$1&amp;""[\w &amp;]*, (\d+\.\d+)""),"""")
"),"")</f>
        <v/>
      </c>
      <c r="G871" s="3" t="str">
        <f aca="false">IFERROR(__xludf.dummyfunction("if($T871&lt;&gt;"""",REGEXEXTRACT($T871, G$1&amp;""[\w &amp;]*, (\d+\.\d+)""),"""")
"),"")</f>
        <v/>
      </c>
      <c r="H871" s="3"/>
      <c r="I871" s="3" t="str">
        <f aca="false">IFERROR(__xludf.dummyfunction("if($T871&lt;&gt;"""",REGEXEXTRACT(SUBSTITUTE ($T871,I$1&amp;"" CE"",""""), I$1&amp;""[\w &amp;]*, (\d+\.\d+)""),"""")
"),"")</f>
        <v/>
      </c>
      <c r="J871" s="3" t="str">
        <f aca="false">IFERROR(__xludf.dummyfunction("if($T871&lt;&gt;"""",REGEXEXTRACT($T871, J$1&amp;""[\w &amp;]*, (\d+\.\d+)""),"""")
"),"")</f>
        <v/>
      </c>
      <c r="K871" s="3"/>
      <c r="L871" s="3" t="str">
        <f aca="false">IFERROR(__xludf.dummyfunction("if($T871&lt;&gt;"""",REGEXEXTRACT(SUBSTITUTE ($T871,L$1&amp;"" CE"",""""), L$1&amp;""[\w &amp;]*, (\d+\.\d+)""),"""")
"),"")</f>
        <v/>
      </c>
      <c r="M871" s="3" t="str">
        <f aca="false">IFERROR(__xludf.dummyfunction("if($T871&lt;&gt;"""",REGEXEXTRACT($T871, M$1&amp;""[\w &amp;]*, (\d+\.\d+)""),"""")
"),"")</f>
        <v/>
      </c>
      <c r="N871" s="3" t="str">
        <f aca="false">IFERROR(__xludf.dummyfunction("if($T871&lt;&gt;"""",REGEXEXTRACT(SUBSTITUTE ($T871,N$1&amp;"" CE"",""""), N$1&amp;""[\w &amp;]*, (\d+\.\d+)""),"""")
"),"")</f>
        <v/>
      </c>
      <c r="O871" s="3" t="str">
        <f aca="false">IFERROR(__xludf.dummyfunction("if($T871&lt;&gt;"""",REGEXEXTRACT($T871, O$1&amp;""[\w &amp;]*, (\d+\.\d+)""),"""")
"),"")</f>
        <v/>
      </c>
      <c r="P871" s="2"/>
      <c r="Q871" s="2"/>
      <c r="R871" s="2"/>
      <c r="S871" s="2"/>
      <c r="T871" s="5"/>
    </row>
    <row r="872" customFormat="false" ht="15.75" hidden="false" customHeight="false" outlineLevel="0" collapsed="false">
      <c r="A872" s="4"/>
      <c r="B872" s="2"/>
      <c r="C872" s="2"/>
      <c r="D872" s="2"/>
      <c r="E872" s="2"/>
      <c r="F872" s="3" t="str">
        <f aca="false">IFERROR(__xludf.dummyfunction("if($T872&lt;&gt;"""",REGEXEXTRACT(SUBSTITUTE ($T872,F$1&amp;"" CE"",""""), F$1&amp;""[\w &amp;]*, (\d+\.\d+)""),"""")
"),"")</f>
        <v/>
      </c>
      <c r="G872" s="3" t="str">
        <f aca="false">IFERROR(__xludf.dummyfunction("if($T872&lt;&gt;"""",REGEXEXTRACT($T872, G$1&amp;""[\w &amp;]*, (\d+\.\d+)""),"""")
"),"")</f>
        <v/>
      </c>
      <c r="H872" s="3"/>
      <c r="I872" s="3" t="str">
        <f aca="false">IFERROR(__xludf.dummyfunction("if($T872&lt;&gt;"""",REGEXEXTRACT(SUBSTITUTE ($T872,I$1&amp;"" CE"",""""), I$1&amp;""[\w &amp;]*, (\d+\.\d+)""),"""")
"),"")</f>
        <v/>
      </c>
      <c r="J872" s="3" t="str">
        <f aca="false">IFERROR(__xludf.dummyfunction("if($T872&lt;&gt;"""",REGEXEXTRACT($T872, J$1&amp;""[\w &amp;]*, (\d+\.\d+)""),"""")
"),"")</f>
        <v/>
      </c>
      <c r="K872" s="3"/>
      <c r="L872" s="3" t="str">
        <f aca="false">IFERROR(__xludf.dummyfunction("if($T872&lt;&gt;"""",REGEXEXTRACT(SUBSTITUTE ($T872,L$1&amp;"" CE"",""""), L$1&amp;""[\w &amp;]*, (\d+\.\d+)""),"""")
"),"")</f>
        <v/>
      </c>
      <c r="M872" s="3" t="str">
        <f aca="false">IFERROR(__xludf.dummyfunction("if($T872&lt;&gt;"""",REGEXEXTRACT($T872, M$1&amp;""[\w &amp;]*, (\d+\.\d+)""),"""")
"),"")</f>
        <v/>
      </c>
      <c r="N872" s="3" t="str">
        <f aca="false">IFERROR(__xludf.dummyfunction("if($T872&lt;&gt;"""",REGEXEXTRACT(SUBSTITUTE ($T872,N$1&amp;"" CE"",""""), N$1&amp;""[\w &amp;]*, (\d+\.\d+)""),"""")
"),"")</f>
        <v/>
      </c>
      <c r="O872" s="3" t="str">
        <f aca="false">IFERROR(__xludf.dummyfunction("if($T872&lt;&gt;"""",REGEXEXTRACT($T872, O$1&amp;""[\w &amp;]*, (\d+\.\d+)""),"""")
"),"")</f>
        <v/>
      </c>
      <c r="P872" s="2"/>
      <c r="Q872" s="2"/>
      <c r="R872" s="2"/>
      <c r="S872" s="2"/>
      <c r="T872" s="5"/>
    </row>
    <row r="873" customFormat="false" ht="15.75" hidden="false" customHeight="false" outlineLevel="0" collapsed="false">
      <c r="A873" s="4"/>
      <c r="B873" s="2"/>
      <c r="C873" s="2"/>
      <c r="D873" s="2"/>
      <c r="E873" s="2"/>
      <c r="F873" s="3" t="str">
        <f aca="false">IFERROR(__xludf.dummyfunction("if($T873&lt;&gt;"""",REGEXEXTRACT(SUBSTITUTE ($T873,F$1&amp;"" CE"",""""), F$1&amp;""[\w &amp;]*, (\d+\.\d+)""),"""")
"),"")</f>
        <v/>
      </c>
      <c r="G873" s="3" t="str">
        <f aca="false">IFERROR(__xludf.dummyfunction("if($T873&lt;&gt;"""",REGEXEXTRACT($T873, G$1&amp;""[\w &amp;]*, (\d+\.\d+)""),"""")
"),"")</f>
        <v/>
      </c>
      <c r="H873" s="3"/>
      <c r="I873" s="3" t="str">
        <f aca="false">IFERROR(__xludf.dummyfunction("if($T873&lt;&gt;"""",REGEXEXTRACT(SUBSTITUTE ($T873,I$1&amp;"" CE"",""""), I$1&amp;""[\w &amp;]*, (\d+\.\d+)""),"""")
"),"")</f>
        <v/>
      </c>
      <c r="J873" s="3" t="str">
        <f aca="false">IFERROR(__xludf.dummyfunction("if($T873&lt;&gt;"""",REGEXEXTRACT($T873, J$1&amp;""[\w &amp;]*, (\d+\.\d+)""),"""")
"),"")</f>
        <v/>
      </c>
      <c r="K873" s="3"/>
      <c r="L873" s="3" t="str">
        <f aca="false">IFERROR(__xludf.dummyfunction("if($T873&lt;&gt;"""",REGEXEXTRACT(SUBSTITUTE ($T873,L$1&amp;"" CE"",""""), L$1&amp;""[\w &amp;]*, (\d+\.\d+)""),"""")
"),"")</f>
        <v/>
      </c>
      <c r="M873" s="3" t="str">
        <f aca="false">IFERROR(__xludf.dummyfunction("if($T873&lt;&gt;"""",REGEXEXTRACT($T873, M$1&amp;""[\w &amp;]*, (\d+\.\d+)""),"""")
"),"")</f>
        <v/>
      </c>
      <c r="N873" s="3" t="str">
        <f aca="false">IFERROR(__xludf.dummyfunction("if($T873&lt;&gt;"""",REGEXEXTRACT(SUBSTITUTE ($T873,N$1&amp;"" CE"",""""), N$1&amp;""[\w &amp;]*, (\d+\.\d+)""),"""")
"),"")</f>
        <v/>
      </c>
      <c r="O873" s="3" t="str">
        <f aca="false">IFERROR(__xludf.dummyfunction("if($T873&lt;&gt;"""",REGEXEXTRACT($T873, O$1&amp;""[\w &amp;]*, (\d+\.\d+)""),"""")
"),"")</f>
        <v/>
      </c>
      <c r="P873" s="2"/>
      <c r="Q873" s="2"/>
      <c r="R873" s="2"/>
      <c r="S873" s="2"/>
      <c r="T873" s="5"/>
    </row>
    <row r="874" customFormat="false" ht="15.75" hidden="false" customHeight="false" outlineLevel="0" collapsed="false">
      <c r="A874" s="4"/>
      <c r="B874" s="2"/>
      <c r="C874" s="2"/>
      <c r="D874" s="2"/>
      <c r="E874" s="2"/>
      <c r="F874" s="3" t="str">
        <f aca="false">IFERROR(__xludf.dummyfunction("if($T874&lt;&gt;"""",REGEXEXTRACT(SUBSTITUTE ($T874,F$1&amp;"" CE"",""""), F$1&amp;""[\w &amp;]*, (\d+\.\d+)""),"""")
"),"")</f>
        <v/>
      </c>
      <c r="G874" s="3" t="str">
        <f aca="false">IFERROR(__xludf.dummyfunction("if($T874&lt;&gt;"""",REGEXEXTRACT($T874, G$1&amp;""[\w &amp;]*, (\d+\.\d+)""),"""")
"),"")</f>
        <v/>
      </c>
      <c r="H874" s="3"/>
      <c r="I874" s="3" t="str">
        <f aca="false">IFERROR(__xludf.dummyfunction("if($T874&lt;&gt;"""",REGEXEXTRACT(SUBSTITUTE ($T874,I$1&amp;"" CE"",""""), I$1&amp;""[\w &amp;]*, (\d+\.\d+)""),"""")
"),"")</f>
        <v/>
      </c>
      <c r="J874" s="3" t="str">
        <f aca="false">IFERROR(__xludf.dummyfunction("if($T874&lt;&gt;"""",REGEXEXTRACT($T874, J$1&amp;""[\w &amp;]*, (\d+\.\d+)""),"""")
"),"")</f>
        <v/>
      </c>
      <c r="K874" s="3"/>
      <c r="L874" s="3" t="str">
        <f aca="false">IFERROR(__xludf.dummyfunction("if($T874&lt;&gt;"""",REGEXEXTRACT(SUBSTITUTE ($T874,L$1&amp;"" CE"",""""), L$1&amp;""[\w &amp;]*, (\d+\.\d+)""),"""")
"),"")</f>
        <v/>
      </c>
      <c r="M874" s="3" t="str">
        <f aca="false">IFERROR(__xludf.dummyfunction("if($T874&lt;&gt;"""",REGEXEXTRACT($T874, M$1&amp;""[\w &amp;]*, (\d+\.\d+)""),"""")
"),"")</f>
        <v/>
      </c>
      <c r="N874" s="3" t="str">
        <f aca="false">IFERROR(__xludf.dummyfunction("if($T874&lt;&gt;"""",REGEXEXTRACT(SUBSTITUTE ($T874,N$1&amp;"" CE"",""""), N$1&amp;""[\w &amp;]*, (\d+\.\d+)""),"""")
"),"")</f>
        <v/>
      </c>
      <c r="O874" s="3" t="str">
        <f aca="false">IFERROR(__xludf.dummyfunction("if($T874&lt;&gt;"""",REGEXEXTRACT($T874, O$1&amp;""[\w &amp;]*, (\d+\.\d+)""),"""")
"),"")</f>
        <v/>
      </c>
      <c r="P874" s="2"/>
      <c r="Q874" s="2"/>
      <c r="R874" s="2"/>
      <c r="S874" s="2"/>
      <c r="T874" s="5"/>
    </row>
    <row r="875" customFormat="false" ht="15.75" hidden="false" customHeight="false" outlineLevel="0" collapsed="false">
      <c r="A875" s="4"/>
      <c r="B875" s="2"/>
      <c r="C875" s="2"/>
      <c r="D875" s="2"/>
      <c r="E875" s="2"/>
      <c r="F875" s="3" t="str">
        <f aca="false">IFERROR(__xludf.dummyfunction("if($T875&lt;&gt;"""",REGEXEXTRACT(SUBSTITUTE ($T875,F$1&amp;"" CE"",""""), F$1&amp;""[\w &amp;]*, (\d+\.\d+)""),"""")
"),"")</f>
        <v/>
      </c>
      <c r="G875" s="3" t="str">
        <f aca="false">IFERROR(__xludf.dummyfunction("if($T875&lt;&gt;"""",REGEXEXTRACT($T875, G$1&amp;""[\w &amp;]*, (\d+\.\d+)""),"""")
"),"")</f>
        <v/>
      </c>
      <c r="H875" s="3"/>
      <c r="I875" s="3" t="str">
        <f aca="false">IFERROR(__xludf.dummyfunction("if($T875&lt;&gt;"""",REGEXEXTRACT(SUBSTITUTE ($T875,I$1&amp;"" CE"",""""), I$1&amp;""[\w &amp;]*, (\d+\.\d+)""),"""")
"),"")</f>
        <v/>
      </c>
      <c r="J875" s="3" t="str">
        <f aca="false">IFERROR(__xludf.dummyfunction("if($T875&lt;&gt;"""",REGEXEXTRACT($T875, J$1&amp;""[\w &amp;]*, (\d+\.\d+)""),"""")
"),"")</f>
        <v/>
      </c>
      <c r="K875" s="3"/>
      <c r="L875" s="3" t="str">
        <f aca="false">IFERROR(__xludf.dummyfunction("if($T875&lt;&gt;"""",REGEXEXTRACT(SUBSTITUTE ($T875,L$1&amp;"" CE"",""""), L$1&amp;""[\w &amp;]*, (\d+\.\d+)""),"""")
"),"")</f>
        <v/>
      </c>
      <c r="M875" s="3" t="str">
        <f aca="false">IFERROR(__xludf.dummyfunction("if($T875&lt;&gt;"""",REGEXEXTRACT($T875, M$1&amp;""[\w &amp;]*, (\d+\.\d+)""),"""")
"),"")</f>
        <v/>
      </c>
      <c r="N875" s="3" t="str">
        <f aca="false">IFERROR(__xludf.dummyfunction("if($T875&lt;&gt;"""",REGEXEXTRACT(SUBSTITUTE ($T875,N$1&amp;"" CE"",""""), N$1&amp;""[\w &amp;]*, (\d+\.\d+)""),"""")
"),"")</f>
        <v/>
      </c>
      <c r="O875" s="3" t="str">
        <f aca="false">IFERROR(__xludf.dummyfunction("if($T875&lt;&gt;"""",REGEXEXTRACT($T875, O$1&amp;""[\w &amp;]*, (\d+\.\d+)""),"""")
"),"")</f>
        <v/>
      </c>
      <c r="P875" s="2"/>
      <c r="Q875" s="2"/>
      <c r="R875" s="2"/>
      <c r="S875" s="2"/>
      <c r="T875" s="5"/>
    </row>
    <row r="876" customFormat="false" ht="15.75" hidden="false" customHeight="false" outlineLevel="0" collapsed="false">
      <c r="A876" s="4"/>
      <c r="B876" s="2"/>
      <c r="C876" s="2"/>
      <c r="D876" s="2"/>
      <c r="E876" s="2"/>
      <c r="F876" s="3" t="str">
        <f aca="false">IFERROR(__xludf.dummyfunction("if($T876&lt;&gt;"""",REGEXEXTRACT(SUBSTITUTE ($T876,F$1&amp;"" CE"",""""), F$1&amp;""[\w &amp;]*, (\d+\.\d+)""),"""")
"),"")</f>
        <v/>
      </c>
      <c r="G876" s="3" t="str">
        <f aca="false">IFERROR(__xludf.dummyfunction("if($T876&lt;&gt;"""",REGEXEXTRACT($T876, G$1&amp;""[\w &amp;]*, (\d+\.\d+)""),"""")
"),"")</f>
        <v/>
      </c>
      <c r="H876" s="3"/>
      <c r="I876" s="3" t="str">
        <f aca="false">IFERROR(__xludf.dummyfunction("if($T876&lt;&gt;"""",REGEXEXTRACT(SUBSTITUTE ($T876,I$1&amp;"" CE"",""""), I$1&amp;""[\w &amp;]*, (\d+\.\d+)""),"""")
"),"")</f>
        <v/>
      </c>
      <c r="J876" s="3" t="str">
        <f aca="false">IFERROR(__xludf.dummyfunction("if($T876&lt;&gt;"""",REGEXEXTRACT($T876, J$1&amp;""[\w &amp;]*, (\d+\.\d+)""),"""")
"),"")</f>
        <v/>
      </c>
      <c r="K876" s="3"/>
      <c r="L876" s="3" t="str">
        <f aca="false">IFERROR(__xludf.dummyfunction("if($T876&lt;&gt;"""",REGEXEXTRACT(SUBSTITUTE ($T876,L$1&amp;"" CE"",""""), L$1&amp;""[\w &amp;]*, (\d+\.\d+)""),"""")
"),"")</f>
        <v/>
      </c>
      <c r="M876" s="3" t="str">
        <f aca="false">IFERROR(__xludf.dummyfunction("if($T876&lt;&gt;"""",REGEXEXTRACT($T876, M$1&amp;""[\w &amp;]*, (\d+\.\d+)""),"""")
"),"")</f>
        <v/>
      </c>
      <c r="N876" s="3" t="str">
        <f aca="false">IFERROR(__xludf.dummyfunction("if($T876&lt;&gt;"""",REGEXEXTRACT(SUBSTITUTE ($T876,N$1&amp;"" CE"",""""), N$1&amp;""[\w &amp;]*, (\d+\.\d+)""),"""")
"),"")</f>
        <v/>
      </c>
      <c r="O876" s="3" t="str">
        <f aca="false">IFERROR(__xludf.dummyfunction("if($T876&lt;&gt;"""",REGEXEXTRACT($T876, O$1&amp;""[\w &amp;]*, (\d+\.\d+)""),"""")
"),"")</f>
        <v/>
      </c>
      <c r="P876" s="2"/>
      <c r="Q876" s="2"/>
      <c r="R876" s="2"/>
      <c r="S876" s="2"/>
      <c r="T876" s="5"/>
    </row>
    <row r="877" customFormat="false" ht="15.75" hidden="false" customHeight="false" outlineLevel="0" collapsed="false">
      <c r="A877" s="4"/>
      <c r="B877" s="2"/>
      <c r="C877" s="2"/>
      <c r="D877" s="2"/>
      <c r="E877" s="2"/>
      <c r="F877" s="3" t="str">
        <f aca="false">IFERROR(__xludf.dummyfunction("if($T877&lt;&gt;"""",REGEXEXTRACT(SUBSTITUTE ($T877,F$1&amp;"" CE"",""""), F$1&amp;""[\w &amp;]*, (\d+\.\d+)""),"""")
"),"")</f>
        <v/>
      </c>
      <c r="G877" s="3" t="str">
        <f aca="false">IFERROR(__xludf.dummyfunction("if($T877&lt;&gt;"""",REGEXEXTRACT($T877, G$1&amp;""[\w &amp;]*, (\d+\.\d+)""),"""")
"),"")</f>
        <v/>
      </c>
      <c r="H877" s="3"/>
      <c r="I877" s="3" t="str">
        <f aca="false">IFERROR(__xludf.dummyfunction("if($T877&lt;&gt;"""",REGEXEXTRACT(SUBSTITUTE ($T877,I$1&amp;"" CE"",""""), I$1&amp;""[\w &amp;]*, (\d+\.\d+)""),"""")
"),"")</f>
        <v/>
      </c>
      <c r="J877" s="3" t="str">
        <f aca="false">IFERROR(__xludf.dummyfunction("if($T877&lt;&gt;"""",REGEXEXTRACT($T877, J$1&amp;""[\w &amp;]*, (\d+\.\d+)""),"""")
"),"")</f>
        <v/>
      </c>
      <c r="K877" s="3"/>
      <c r="L877" s="3" t="str">
        <f aca="false">IFERROR(__xludf.dummyfunction("if($T877&lt;&gt;"""",REGEXEXTRACT(SUBSTITUTE ($T877,L$1&amp;"" CE"",""""), L$1&amp;""[\w &amp;]*, (\d+\.\d+)""),"""")
"),"")</f>
        <v/>
      </c>
      <c r="M877" s="3" t="str">
        <f aca="false">IFERROR(__xludf.dummyfunction("if($T877&lt;&gt;"""",REGEXEXTRACT($T877, M$1&amp;""[\w &amp;]*, (\d+\.\d+)""),"""")
"),"")</f>
        <v/>
      </c>
      <c r="N877" s="3" t="str">
        <f aca="false">IFERROR(__xludf.dummyfunction("if($T877&lt;&gt;"""",REGEXEXTRACT(SUBSTITUTE ($T877,N$1&amp;"" CE"",""""), N$1&amp;""[\w &amp;]*, (\d+\.\d+)""),"""")
"),"")</f>
        <v/>
      </c>
      <c r="O877" s="3" t="str">
        <f aca="false">IFERROR(__xludf.dummyfunction("if($T877&lt;&gt;"""",REGEXEXTRACT($T877, O$1&amp;""[\w &amp;]*, (\d+\.\d+)""),"""")
"),"")</f>
        <v/>
      </c>
      <c r="P877" s="2"/>
      <c r="Q877" s="2"/>
      <c r="R877" s="2"/>
      <c r="S877" s="2"/>
      <c r="T877" s="5"/>
    </row>
    <row r="878" customFormat="false" ht="15.75" hidden="false" customHeight="false" outlineLevel="0" collapsed="false">
      <c r="A878" s="4"/>
      <c r="B878" s="2"/>
      <c r="C878" s="2"/>
      <c r="D878" s="2"/>
      <c r="E878" s="2"/>
      <c r="F878" s="3" t="str">
        <f aca="false">IFERROR(__xludf.dummyfunction("if($T878&lt;&gt;"""",REGEXEXTRACT(SUBSTITUTE ($T878,F$1&amp;"" CE"",""""), F$1&amp;""[\w &amp;]*, (\d+\.\d+)""),"""")
"),"")</f>
        <v/>
      </c>
      <c r="G878" s="3" t="str">
        <f aca="false">IFERROR(__xludf.dummyfunction("if($T878&lt;&gt;"""",REGEXEXTRACT($T878, G$1&amp;""[\w &amp;]*, (\d+\.\d+)""),"""")
"),"")</f>
        <v/>
      </c>
      <c r="H878" s="3"/>
      <c r="I878" s="3" t="str">
        <f aca="false">IFERROR(__xludf.dummyfunction("if($T878&lt;&gt;"""",REGEXEXTRACT(SUBSTITUTE ($T878,I$1&amp;"" CE"",""""), I$1&amp;""[\w &amp;]*, (\d+\.\d+)""),"""")
"),"")</f>
        <v/>
      </c>
      <c r="J878" s="3" t="str">
        <f aca="false">IFERROR(__xludf.dummyfunction("if($T878&lt;&gt;"""",REGEXEXTRACT($T878, J$1&amp;""[\w &amp;]*, (\d+\.\d+)""),"""")
"),"")</f>
        <v/>
      </c>
      <c r="K878" s="3"/>
      <c r="L878" s="3" t="str">
        <f aca="false">IFERROR(__xludf.dummyfunction("if($T878&lt;&gt;"""",REGEXEXTRACT(SUBSTITUTE ($T878,L$1&amp;"" CE"",""""), L$1&amp;""[\w &amp;]*, (\d+\.\d+)""),"""")
"),"")</f>
        <v/>
      </c>
      <c r="M878" s="3" t="str">
        <f aca="false">IFERROR(__xludf.dummyfunction("if($T878&lt;&gt;"""",REGEXEXTRACT($T878, M$1&amp;""[\w &amp;]*, (\d+\.\d+)""),"""")
"),"")</f>
        <v/>
      </c>
      <c r="N878" s="3" t="str">
        <f aca="false">IFERROR(__xludf.dummyfunction("if($T878&lt;&gt;"""",REGEXEXTRACT(SUBSTITUTE ($T878,N$1&amp;"" CE"",""""), N$1&amp;""[\w &amp;]*, (\d+\.\d+)""),"""")
"),"")</f>
        <v/>
      </c>
      <c r="O878" s="3" t="str">
        <f aca="false">IFERROR(__xludf.dummyfunction("if($T878&lt;&gt;"""",REGEXEXTRACT($T878, O$1&amp;""[\w &amp;]*, (\d+\.\d+)""),"""")
"),"")</f>
        <v/>
      </c>
      <c r="P878" s="2"/>
      <c r="Q878" s="2"/>
      <c r="R878" s="2"/>
      <c r="S878" s="2"/>
      <c r="T878" s="5"/>
    </row>
    <row r="879" customFormat="false" ht="15.75" hidden="false" customHeight="false" outlineLevel="0" collapsed="false">
      <c r="A879" s="4"/>
      <c r="B879" s="2"/>
      <c r="C879" s="2"/>
      <c r="D879" s="2"/>
      <c r="E879" s="2"/>
      <c r="F879" s="3" t="str">
        <f aca="false">IFERROR(__xludf.dummyfunction("if($T879&lt;&gt;"""",REGEXEXTRACT(SUBSTITUTE ($T879,F$1&amp;"" CE"",""""), F$1&amp;""[\w &amp;]*, (\d+\.\d+)""),"""")
"),"")</f>
        <v/>
      </c>
      <c r="G879" s="3" t="str">
        <f aca="false">IFERROR(__xludf.dummyfunction("if($T879&lt;&gt;"""",REGEXEXTRACT($T879, G$1&amp;""[\w &amp;]*, (\d+\.\d+)""),"""")
"),"")</f>
        <v/>
      </c>
      <c r="H879" s="3"/>
      <c r="I879" s="3" t="str">
        <f aca="false">IFERROR(__xludf.dummyfunction("if($T879&lt;&gt;"""",REGEXEXTRACT(SUBSTITUTE ($T879,I$1&amp;"" CE"",""""), I$1&amp;""[\w &amp;]*, (\d+\.\d+)""),"""")
"),"")</f>
        <v/>
      </c>
      <c r="J879" s="3" t="str">
        <f aca="false">IFERROR(__xludf.dummyfunction("if($T879&lt;&gt;"""",REGEXEXTRACT($T879, J$1&amp;""[\w &amp;]*, (\d+\.\d+)""),"""")
"),"")</f>
        <v/>
      </c>
      <c r="K879" s="3"/>
      <c r="L879" s="3" t="str">
        <f aca="false">IFERROR(__xludf.dummyfunction("if($T879&lt;&gt;"""",REGEXEXTRACT(SUBSTITUTE ($T879,L$1&amp;"" CE"",""""), L$1&amp;""[\w &amp;]*, (\d+\.\d+)""),"""")
"),"")</f>
        <v/>
      </c>
      <c r="M879" s="3" t="str">
        <f aca="false">IFERROR(__xludf.dummyfunction("if($T879&lt;&gt;"""",REGEXEXTRACT($T879, M$1&amp;""[\w &amp;]*, (\d+\.\d+)""),"""")
"),"")</f>
        <v/>
      </c>
      <c r="N879" s="3" t="str">
        <f aca="false">IFERROR(__xludf.dummyfunction("if($T879&lt;&gt;"""",REGEXEXTRACT(SUBSTITUTE ($T879,N$1&amp;"" CE"",""""), N$1&amp;""[\w &amp;]*, (\d+\.\d+)""),"""")
"),"")</f>
        <v/>
      </c>
      <c r="O879" s="3" t="str">
        <f aca="false">IFERROR(__xludf.dummyfunction("if($T879&lt;&gt;"""",REGEXEXTRACT($T879, O$1&amp;""[\w &amp;]*, (\d+\.\d+)""),"""")
"),"")</f>
        <v/>
      </c>
      <c r="P879" s="2"/>
      <c r="Q879" s="2"/>
      <c r="R879" s="2"/>
      <c r="S879" s="2"/>
      <c r="T879" s="5"/>
    </row>
    <row r="880" customFormat="false" ht="15.75" hidden="false" customHeight="false" outlineLevel="0" collapsed="false">
      <c r="A880" s="4"/>
      <c r="B880" s="2"/>
      <c r="C880" s="2"/>
      <c r="D880" s="2"/>
      <c r="E880" s="2"/>
      <c r="F880" s="3" t="str">
        <f aca="false">IFERROR(__xludf.dummyfunction("if($T880&lt;&gt;"""",REGEXEXTRACT(SUBSTITUTE ($T880,F$1&amp;"" CE"",""""), F$1&amp;""[\w &amp;]*, (\d+\.\d+)""),"""")
"),"")</f>
        <v/>
      </c>
      <c r="G880" s="3" t="str">
        <f aca="false">IFERROR(__xludf.dummyfunction("if($T880&lt;&gt;"""",REGEXEXTRACT($T880, G$1&amp;""[\w &amp;]*, (\d+\.\d+)""),"""")
"),"")</f>
        <v/>
      </c>
      <c r="H880" s="3"/>
      <c r="I880" s="3" t="str">
        <f aca="false">IFERROR(__xludf.dummyfunction("if($T880&lt;&gt;"""",REGEXEXTRACT(SUBSTITUTE ($T880,I$1&amp;"" CE"",""""), I$1&amp;""[\w &amp;]*, (\d+\.\d+)""),"""")
"),"")</f>
        <v/>
      </c>
      <c r="J880" s="3" t="str">
        <f aca="false">IFERROR(__xludf.dummyfunction("if($T880&lt;&gt;"""",REGEXEXTRACT($T880, J$1&amp;""[\w &amp;]*, (\d+\.\d+)""),"""")
"),"")</f>
        <v/>
      </c>
      <c r="K880" s="3"/>
      <c r="L880" s="3" t="str">
        <f aca="false">IFERROR(__xludf.dummyfunction("if($T880&lt;&gt;"""",REGEXEXTRACT(SUBSTITUTE ($T880,L$1&amp;"" CE"",""""), L$1&amp;""[\w &amp;]*, (\d+\.\d+)""),"""")
"),"")</f>
        <v/>
      </c>
      <c r="M880" s="3" t="str">
        <f aca="false">IFERROR(__xludf.dummyfunction("if($T880&lt;&gt;"""",REGEXEXTRACT($T880, M$1&amp;""[\w &amp;]*, (\d+\.\d+)""),"""")
"),"")</f>
        <v/>
      </c>
      <c r="N880" s="3" t="str">
        <f aca="false">IFERROR(__xludf.dummyfunction("if($T880&lt;&gt;"""",REGEXEXTRACT(SUBSTITUTE ($T880,N$1&amp;"" CE"",""""), N$1&amp;""[\w &amp;]*, (\d+\.\d+)""),"""")
"),"")</f>
        <v/>
      </c>
      <c r="O880" s="3" t="str">
        <f aca="false">IFERROR(__xludf.dummyfunction("if($T880&lt;&gt;"""",REGEXEXTRACT($T880, O$1&amp;""[\w &amp;]*, (\d+\.\d+)""),"""")
"),"")</f>
        <v/>
      </c>
      <c r="P880" s="2"/>
      <c r="Q880" s="2"/>
      <c r="R880" s="2"/>
      <c r="S880" s="2"/>
      <c r="T880" s="5"/>
    </row>
    <row r="881" customFormat="false" ht="15.75" hidden="false" customHeight="false" outlineLevel="0" collapsed="false">
      <c r="A881" s="4"/>
      <c r="B881" s="2"/>
      <c r="C881" s="2"/>
      <c r="D881" s="2"/>
      <c r="E881" s="2"/>
      <c r="F881" s="3" t="str">
        <f aca="false">IFERROR(__xludf.dummyfunction("if($T881&lt;&gt;"""",REGEXEXTRACT(SUBSTITUTE ($T881,F$1&amp;"" CE"",""""), F$1&amp;""[\w &amp;]*, (\d+\.\d+)""),"""")
"),"")</f>
        <v/>
      </c>
      <c r="G881" s="3" t="str">
        <f aca="false">IFERROR(__xludf.dummyfunction("if($T881&lt;&gt;"""",REGEXEXTRACT($T881, G$1&amp;""[\w &amp;]*, (\d+\.\d+)""),"""")
"),"")</f>
        <v/>
      </c>
      <c r="H881" s="3"/>
      <c r="I881" s="3" t="str">
        <f aca="false">IFERROR(__xludf.dummyfunction("if($T881&lt;&gt;"""",REGEXEXTRACT(SUBSTITUTE ($T881,I$1&amp;"" CE"",""""), I$1&amp;""[\w &amp;]*, (\d+\.\d+)""),"""")
"),"")</f>
        <v/>
      </c>
      <c r="J881" s="3" t="str">
        <f aca="false">IFERROR(__xludf.dummyfunction("if($T881&lt;&gt;"""",REGEXEXTRACT($T881, J$1&amp;""[\w &amp;]*, (\d+\.\d+)""),"""")
"),"")</f>
        <v/>
      </c>
      <c r="K881" s="3"/>
      <c r="L881" s="3" t="str">
        <f aca="false">IFERROR(__xludf.dummyfunction("if($T881&lt;&gt;"""",REGEXEXTRACT(SUBSTITUTE ($T881,L$1&amp;"" CE"",""""), L$1&amp;""[\w &amp;]*, (\d+\.\d+)""),"""")
"),"")</f>
        <v/>
      </c>
      <c r="M881" s="3" t="str">
        <f aca="false">IFERROR(__xludf.dummyfunction("if($T881&lt;&gt;"""",REGEXEXTRACT($T881, M$1&amp;""[\w &amp;]*, (\d+\.\d+)""),"""")
"),"")</f>
        <v/>
      </c>
      <c r="N881" s="3" t="str">
        <f aca="false">IFERROR(__xludf.dummyfunction("if($T881&lt;&gt;"""",REGEXEXTRACT(SUBSTITUTE ($T881,N$1&amp;"" CE"",""""), N$1&amp;""[\w &amp;]*, (\d+\.\d+)""),"""")
"),"")</f>
        <v/>
      </c>
      <c r="O881" s="3" t="str">
        <f aca="false">IFERROR(__xludf.dummyfunction("if($T881&lt;&gt;"""",REGEXEXTRACT($T881, O$1&amp;""[\w &amp;]*, (\d+\.\d+)""),"""")
"),"")</f>
        <v/>
      </c>
      <c r="P881" s="2"/>
      <c r="Q881" s="2"/>
      <c r="R881" s="2"/>
      <c r="S881" s="2"/>
      <c r="T881" s="5"/>
    </row>
    <row r="882" customFormat="false" ht="15.75" hidden="false" customHeight="false" outlineLevel="0" collapsed="false">
      <c r="A882" s="4"/>
      <c r="B882" s="2"/>
      <c r="C882" s="2"/>
      <c r="D882" s="2"/>
      <c r="E882" s="2"/>
      <c r="F882" s="3" t="str">
        <f aca="false">IFERROR(__xludf.dummyfunction("if($T882&lt;&gt;"""",REGEXEXTRACT(SUBSTITUTE ($T882,F$1&amp;"" CE"",""""), F$1&amp;""[\w &amp;]*, (\d+\.\d+)""),"""")
"),"")</f>
        <v/>
      </c>
      <c r="G882" s="3" t="str">
        <f aca="false">IFERROR(__xludf.dummyfunction("if($T882&lt;&gt;"""",REGEXEXTRACT($T882, G$1&amp;""[\w &amp;]*, (\d+\.\d+)""),"""")
"),"")</f>
        <v/>
      </c>
      <c r="H882" s="3"/>
      <c r="I882" s="3" t="str">
        <f aca="false">IFERROR(__xludf.dummyfunction("if($T882&lt;&gt;"""",REGEXEXTRACT(SUBSTITUTE ($T882,I$1&amp;"" CE"",""""), I$1&amp;""[\w &amp;]*, (\d+\.\d+)""),"""")
"),"")</f>
        <v/>
      </c>
      <c r="J882" s="3" t="str">
        <f aca="false">IFERROR(__xludf.dummyfunction("if($T882&lt;&gt;"""",REGEXEXTRACT($T882, J$1&amp;""[\w &amp;]*, (\d+\.\d+)""),"""")
"),"")</f>
        <v/>
      </c>
      <c r="K882" s="3"/>
      <c r="L882" s="3" t="str">
        <f aca="false">IFERROR(__xludf.dummyfunction("if($T882&lt;&gt;"""",REGEXEXTRACT(SUBSTITUTE ($T882,L$1&amp;"" CE"",""""), L$1&amp;""[\w &amp;]*, (\d+\.\d+)""),"""")
"),"")</f>
        <v/>
      </c>
      <c r="M882" s="3" t="str">
        <f aca="false">IFERROR(__xludf.dummyfunction("if($T882&lt;&gt;"""",REGEXEXTRACT($T882, M$1&amp;""[\w &amp;]*, (\d+\.\d+)""),"""")
"),"")</f>
        <v/>
      </c>
      <c r="N882" s="3" t="str">
        <f aca="false">IFERROR(__xludf.dummyfunction("if($T882&lt;&gt;"""",REGEXEXTRACT(SUBSTITUTE ($T882,N$1&amp;"" CE"",""""), N$1&amp;""[\w &amp;]*, (\d+\.\d+)""),"""")
"),"")</f>
        <v/>
      </c>
      <c r="O882" s="3" t="str">
        <f aca="false">IFERROR(__xludf.dummyfunction("if($T882&lt;&gt;"""",REGEXEXTRACT($T882, O$1&amp;""[\w &amp;]*, (\d+\.\d+)""),"""")
"),"")</f>
        <v/>
      </c>
      <c r="P882" s="2"/>
      <c r="Q882" s="2"/>
      <c r="R882" s="2"/>
      <c r="S882" s="2"/>
      <c r="T882" s="5"/>
    </row>
    <row r="883" customFormat="false" ht="15.75" hidden="false" customHeight="false" outlineLevel="0" collapsed="false">
      <c r="A883" s="4"/>
      <c r="B883" s="2"/>
      <c r="C883" s="2"/>
      <c r="D883" s="2"/>
      <c r="E883" s="2"/>
      <c r="F883" s="3" t="str">
        <f aca="false">IFERROR(__xludf.dummyfunction("if($T883&lt;&gt;"""",REGEXEXTRACT(SUBSTITUTE ($T883,F$1&amp;"" CE"",""""), F$1&amp;""[\w &amp;]*, (\d+\.\d+)""),"""")
"),"")</f>
        <v/>
      </c>
      <c r="G883" s="3" t="str">
        <f aca="false">IFERROR(__xludf.dummyfunction("if($T883&lt;&gt;"""",REGEXEXTRACT($T883, G$1&amp;""[\w &amp;]*, (\d+\.\d+)""),"""")
"),"")</f>
        <v/>
      </c>
      <c r="H883" s="3"/>
      <c r="I883" s="3" t="str">
        <f aca="false">IFERROR(__xludf.dummyfunction("if($T883&lt;&gt;"""",REGEXEXTRACT(SUBSTITUTE ($T883,I$1&amp;"" CE"",""""), I$1&amp;""[\w &amp;]*, (\d+\.\d+)""),"""")
"),"")</f>
        <v/>
      </c>
      <c r="J883" s="3" t="str">
        <f aca="false">IFERROR(__xludf.dummyfunction("if($T883&lt;&gt;"""",REGEXEXTRACT($T883, J$1&amp;""[\w &amp;]*, (\d+\.\d+)""),"""")
"),"")</f>
        <v/>
      </c>
      <c r="K883" s="3"/>
      <c r="L883" s="3" t="str">
        <f aca="false">IFERROR(__xludf.dummyfunction("if($T883&lt;&gt;"""",REGEXEXTRACT(SUBSTITUTE ($T883,L$1&amp;"" CE"",""""), L$1&amp;""[\w &amp;]*, (\d+\.\d+)""),"""")
"),"")</f>
        <v/>
      </c>
      <c r="M883" s="3" t="str">
        <f aca="false">IFERROR(__xludf.dummyfunction("if($T883&lt;&gt;"""",REGEXEXTRACT($T883, M$1&amp;""[\w &amp;]*, (\d+\.\d+)""),"""")
"),"")</f>
        <v/>
      </c>
      <c r="N883" s="3" t="str">
        <f aca="false">IFERROR(__xludf.dummyfunction("if($T883&lt;&gt;"""",REGEXEXTRACT(SUBSTITUTE ($T883,N$1&amp;"" CE"",""""), N$1&amp;""[\w &amp;]*, (\d+\.\d+)""),"""")
"),"")</f>
        <v/>
      </c>
      <c r="O883" s="3" t="str">
        <f aca="false">IFERROR(__xludf.dummyfunction("if($T883&lt;&gt;"""",REGEXEXTRACT($T883, O$1&amp;""[\w &amp;]*, (\d+\.\d+)""),"""")
"),"")</f>
        <v/>
      </c>
      <c r="P883" s="2"/>
      <c r="Q883" s="2"/>
      <c r="R883" s="2"/>
      <c r="S883" s="2"/>
      <c r="T883" s="5"/>
    </row>
    <row r="884" customFormat="false" ht="15.75" hidden="false" customHeight="false" outlineLevel="0" collapsed="false">
      <c r="A884" s="4"/>
      <c r="B884" s="2"/>
      <c r="C884" s="2"/>
      <c r="D884" s="2"/>
      <c r="E884" s="2"/>
      <c r="F884" s="3" t="str">
        <f aca="false">IFERROR(__xludf.dummyfunction("if($T884&lt;&gt;"""",REGEXEXTRACT(SUBSTITUTE ($T884,F$1&amp;"" CE"",""""), F$1&amp;""[\w &amp;]*, (\d+\.\d+)""),"""")
"),"")</f>
        <v/>
      </c>
      <c r="G884" s="3" t="str">
        <f aca="false">IFERROR(__xludf.dummyfunction("if($T884&lt;&gt;"""",REGEXEXTRACT($T884, G$1&amp;""[\w &amp;]*, (\d+\.\d+)""),"""")
"),"")</f>
        <v/>
      </c>
      <c r="H884" s="3"/>
      <c r="I884" s="3" t="str">
        <f aca="false">IFERROR(__xludf.dummyfunction("if($T884&lt;&gt;"""",REGEXEXTRACT(SUBSTITUTE ($T884,I$1&amp;"" CE"",""""), I$1&amp;""[\w &amp;]*, (\d+\.\d+)""),"""")
"),"")</f>
        <v/>
      </c>
      <c r="J884" s="3" t="str">
        <f aca="false">IFERROR(__xludf.dummyfunction("if($T884&lt;&gt;"""",REGEXEXTRACT($T884, J$1&amp;""[\w &amp;]*, (\d+\.\d+)""),"""")
"),"")</f>
        <v/>
      </c>
      <c r="K884" s="3"/>
      <c r="L884" s="3" t="str">
        <f aca="false">IFERROR(__xludf.dummyfunction("if($T884&lt;&gt;"""",REGEXEXTRACT(SUBSTITUTE ($T884,L$1&amp;"" CE"",""""), L$1&amp;""[\w &amp;]*, (\d+\.\d+)""),"""")
"),"")</f>
        <v/>
      </c>
      <c r="M884" s="3" t="str">
        <f aca="false">IFERROR(__xludf.dummyfunction("if($T884&lt;&gt;"""",REGEXEXTRACT($T884, M$1&amp;""[\w &amp;]*, (\d+\.\d+)""),"""")
"),"")</f>
        <v/>
      </c>
      <c r="N884" s="3" t="str">
        <f aca="false">IFERROR(__xludf.dummyfunction("if($T884&lt;&gt;"""",REGEXEXTRACT(SUBSTITUTE ($T884,N$1&amp;"" CE"",""""), N$1&amp;""[\w &amp;]*, (\d+\.\d+)""),"""")
"),"")</f>
        <v/>
      </c>
      <c r="O884" s="3" t="str">
        <f aca="false">IFERROR(__xludf.dummyfunction("if($T884&lt;&gt;"""",REGEXEXTRACT($T884, O$1&amp;""[\w &amp;]*, (\d+\.\d+)""),"""")
"),"")</f>
        <v/>
      </c>
      <c r="P884" s="2"/>
      <c r="Q884" s="2"/>
      <c r="R884" s="2"/>
      <c r="S884" s="2"/>
      <c r="T884" s="5"/>
    </row>
    <row r="885" customFormat="false" ht="15.75" hidden="false" customHeight="false" outlineLevel="0" collapsed="false">
      <c r="A885" s="4"/>
      <c r="B885" s="2"/>
      <c r="C885" s="2"/>
      <c r="D885" s="2"/>
      <c r="E885" s="2"/>
      <c r="F885" s="3" t="str">
        <f aca="false">IFERROR(__xludf.dummyfunction("if($T885&lt;&gt;"""",REGEXEXTRACT(SUBSTITUTE ($T885,F$1&amp;"" CE"",""""), F$1&amp;""[\w &amp;]*, (\d+\.\d+)""),"""")
"),"")</f>
        <v/>
      </c>
      <c r="G885" s="3" t="str">
        <f aca="false">IFERROR(__xludf.dummyfunction("if($T885&lt;&gt;"""",REGEXEXTRACT($T885, G$1&amp;""[\w &amp;]*, (\d+\.\d+)""),"""")
"),"")</f>
        <v/>
      </c>
      <c r="H885" s="3"/>
      <c r="I885" s="3" t="str">
        <f aca="false">IFERROR(__xludf.dummyfunction("if($T885&lt;&gt;"""",REGEXEXTRACT(SUBSTITUTE ($T885,I$1&amp;"" CE"",""""), I$1&amp;""[\w &amp;]*, (\d+\.\d+)""),"""")
"),"")</f>
        <v/>
      </c>
      <c r="J885" s="3" t="str">
        <f aca="false">IFERROR(__xludf.dummyfunction("if($T885&lt;&gt;"""",REGEXEXTRACT($T885, J$1&amp;""[\w &amp;]*, (\d+\.\d+)""),"""")
"),"")</f>
        <v/>
      </c>
      <c r="K885" s="3"/>
      <c r="L885" s="3" t="str">
        <f aca="false">IFERROR(__xludf.dummyfunction("if($T885&lt;&gt;"""",REGEXEXTRACT(SUBSTITUTE ($T885,L$1&amp;"" CE"",""""), L$1&amp;""[\w &amp;]*, (\d+\.\d+)""),"""")
"),"")</f>
        <v/>
      </c>
      <c r="M885" s="3" t="str">
        <f aca="false">IFERROR(__xludf.dummyfunction("if($T885&lt;&gt;"""",REGEXEXTRACT($T885, M$1&amp;""[\w &amp;]*, (\d+\.\d+)""),"""")
"),"")</f>
        <v/>
      </c>
      <c r="N885" s="3" t="str">
        <f aca="false">IFERROR(__xludf.dummyfunction("if($T885&lt;&gt;"""",REGEXEXTRACT(SUBSTITUTE ($T885,N$1&amp;"" CE"",""""), N$1&amp;""[\w &amp;]*, (\d+\.\d+)""),"""")
"),"")</f>
        <v/>
      </c>
      <c r="O885" s="3" t="str">
        <f aca="false">IFERROR(__xludf.dummyfunction("if($T885&lt;&gt;"""",REGEXEXTRACT($T885, O$1&amp;""[\w &amp;]*, (\d+\.\d+)""),"""")
"),"")</f>
        <v/>
      </c>
      <c r="P885" s="2"/>
      <c r="Q885" s="2"/>
      <c r="R885" s="2"/>
      <c r="S885" s="2"/>
      <c r="T885" s="5"/>
    </row>
    <row r="886" customFormat="false" ht="15.75" hidden="false" customHeight="false" outlineLevel="0" collapsed="false">
      <c r="A886" s="4"/>
      <c r="B886" s="2"/>
      <c r="C886" s="2"/>
      <c r="D886" s="2"/>
      <c r="E886" s="2"/>
      <c r="F886" s="3" t="str">
        <f aca="false">IFERROR(__xludf.dummyfunction("if($T886&lt;&gt;"""",REGEXEXTRACT(SUBSTITUTE ($T886,F$1&amp;"" CE"",""""), F$1&amp;""[\w &amp;]*, (\d+\.\d+)""),"""")
"),"")</f>
        <v/>
      </c>
      <c r="G886" s="3" t="str">
        <f aca="false">IFERROR(__xludf.dummyfunction("if($T886&lt;&gt;"""",REGEXEXTRACT($T886, G$1&amp;""[\w &amp;]*, (\d+\.\d+)""),"""")
"),"")</f>
        <v/>
      </c>
      <c r="H886" s="3"/>
      <c r="I886" s="3" t="str">
        <f aca="false">IFERROR(__xludf.dummyfunction("if($T886&lt;&gt;"""",REGEXEXTRACT(SUBSTITUTE ($T886,I$1&amp;"" CE"",""""), I$1&amp;""[\w &amp;]*, (\d+\.\d+)""),"""")
"),"")</f>
        <v/>
      </c>
      <c r="J886" s="3" t="str">
        <f aca="false">IFERROR(__xludf.dummyfunction("if($T886&lt;&gt;"""",REGEXEXTRACT($T886, J$1&amp;""[\w &amp;]*, (\d+\.\d+)""),"""")
"),"")</f>
        <v/>
      </c>
      <c r="K886" s="3"/>
      <c r="L886" s="3" t="str">
        <f aca="false">IFERROR(__xludf.dummyfunction("if($T886&lt;&gt;"""",REGEXEXTRACT(SUBSTITUTE ($T886,L$1&amp;"" CE"",""""), L$1&amp;""[\w &amp;]*, (\d+\.\d+)""),"""")
"),"")</f>
        <v/>
      </c>
      <c r="M886" s="3" t="str">
        <f aca="false">IFERROR(__xludf.dummyfunction("if($T886&lt;&gt;"""",REGEXEXTRACT($T886, M$1&amp;""[\w &amp;]*, (\d+\.\d+)""),"""")
"),"")</f>
        <v/>
      </c>
      <c r="N886" s="3" t="str">
        <f aca="false">IFERROR(__xludf.dummyfunction("if($T886&lt;&gt;"""",REGEXEXTRACT(SUBSTITUTE ($T886,N$1&amp;"" CE"",""""), N$1&amp;""[\w &amp;]*, (\d+\.\d+)""),"""")
"),"")</f>
        <v/>
      </c>
      <c r="O886" s="3" t="str">
        <f aca="false">IFERROR(__xludf.dummyfunction("if($T886&lt;&gt;"""",REGEXEXTRACT($T886, O$1&amp;""[\w &amp;]*, (\d+\.\d+)""),"""")
"),"")</f>
        <v/>
      </c>
      <c r="P886" s="2"/>
      <c r="Q886" s="2"/>
      <c r="R886" s="2"/>
      <c r="S886" s="2"/>
      <c r="T886" s="5"/>
    </row>
    <row r="887" customFormat="false" ht="15.75" hidden="false" customHeight="false" outlineLevel="0" collapsed="false">
      <c r="A887" s="4"/>
      <c r="B887" s="2"/>
      <c r="C887" s="2"/>
      <c r="D887" s="2"/>
      <c r="E887" s="2"/>
      <c r="F887" s="3" t="str">
        <f aca="false">IFERROR(__xludf.dummyfunction("if($T887&lt;&gt;"""",REGEXEXTRACT(SUBSTITUTE ($T887,F$1&amp;"" CE"",""""), F$1&amp;""[\w &amp;]*, (\d+\.\d+)""),"""")
"),"")</f>
        <v/>
      </c>
      <c r="G887" s="3" t="str">
        <f aca="false">IFERROR(__xludf.dummyfunction("if($T887&lt;&gt;"""",REGEXEXTRACT($T887, G$1&amp;""[\w &amp;]*, (\d+\.\d+)""),"""")
"),"")</f>
        <v/>
      </c>
      <c r="H887" s="3"/>
      <c r="I887" s="3" t="str">
        <f aca="false">IFERROR(__xludf.dummyfunction("if($T887&lt;&gt;"""",REGEXEXTRACT(SUBSTITUTE ($T887,I$1&amp;"" CE"",""""), I$1&amp;""[\w &amp;]*, (\d+\.\d+)""),"""")
"),"")</f>
        <v/>
      </c>
      <c r="J887" s="3" t="str">
        <f aca="false">IFERROR(__xludf.dummyfunction("if($T887&lt;&gt;"""",REGEXEXTRACT($T887, J$1&amp;""[\w &amp;]*, (\d+\.\d+)""),"""")
"),"")</f>
        <v/>
      </c>
      <c r="K887" s="3"/>
      <c r="L887" s="3" t="str">
        <f aca="false">IFERROR(__xludf.dummyfunction("if($T887&lt;&gt;"""",REGEXEXTRACT(SUBSTITUTE ($T887,L$1&amp;"" CE"",""""), L$1&amp;""[\w &amp;]*, (\d+\.\d+)""),"""")
"),"")</f>
        <v/>
      </c>
      <c r="M887" s="3" t="str">
        <f aca="false">IFERROR(__xludf.dummyfunction("if($T887&lt;&gt;"""",REGEXEXTRACT($T887, M$1&amp;""[\w &amp;]*, (\d+\.\d+)""),"""")
"),"")</f>
        <v/>
      </c>
      <c r="N887" s="3" t="str">
        <f aca="false">IFERROR(__xludf.dummyfunction("if($T887&lt;&gt;"""",REGEXEXTRACT(SUBSTITUTE ($T887,N$1&amp;"" CE"",""""), N$1&amp;""[\w &amp;]*, (\d+\.\d+)""),"""")
"),"")</f>
        <v/>
      </c>
      <c r="O887" s="3" t="str">
        <f aca="false">IFERROR(__xludf.dummyfunction("if($T887&lt;&gt;"""",REGEXEXTRACT($T887, O$1&amp;""[\w &amp;]*, (\d+\.\d+)""),"""")
"),"")</f>
        <v/>
      </c>
      <c r="P887" s="2"/>
      <c r="Q887" s="2"/>
      <c r="R887" s="2"/>
      <c r="S887" s="2"/>
      <c r="T887" s="5"/>
    </row>
    <row r="888" customFormat="false" ht="15.75" hidden="false" customHeight="false" outlineLevel="0" collapsed="false">
      <c r="A888" s="4"/>
      <c r="B888" s="2"/>
      <c r="C888" s="2"/>
      <c r="D888" s="2"/>
      <c r="E888" s="2"/>
      <c r="F888" s="3" t="str">
        <f aca="false">IFERROR(__xludf.dummyfunction("if($T888&lt;&gt;"""",REGEXEXTRACT(SUBSTITUTE ($T888,F$1&amp;"" CE"",""""), F$1&amp;""[\w &amp;]*, (\d+\.\d+)""),"""")
"),"")</f>
        <v/>
      </c>
      <c r="G888" s="3" t="str">
        <f aca="false">IFERROR(__xludf.dummyfunction("if($T888&lt;&gt;"""",REGEXEXTRACT($T888, G$1&amp;""[\w &amp;]*, (\d+\.\d+)""),"""")
"),"")</f>
        <v/>
      </c>
      <c r="H888" s="3"/>
      <c r="I888" s="3" t="str">
        <f aca="false">IFERROR(__xludf.dummyfunction("if($T888&lt;&gt;"""",REGEXEXTRACT(SUBSTITUTE ($T888,I$1&amp;"" CE"",""""), I$1&amp;""[\w &amp;]*, (\d+\.\d+)""),"""")
"),"")</f>
        <v/>
      </c>
      <c r="J888" s="3" t="str">
        <f aca="false">IFERROR(__xludf.dummyfunction("if($T888&lt;&gt;"""",REGEXEXTRACT($T888, J$1&amp;""[\w &amp;]*, (\d+\.\d+)""),"""")
"),"")</f>
        <v/>
      </c>
      <c r="K888" s="3"/>
      <c r="L888" s="3" t="str">
        <f aca="false">IFERROR(__xludf.dummyfunction("if($T888&lt;&gt;"""",REGEXEXTRACT(SUBSTITUTE ($T888,L$1&amp;"" CE"",""""), L$1&amp;""[\w &amp;]*, (\d+\.\d+)""),"""")
"),"")</f>
        <v/>
      </c>
      <c r="M888" s="3" t="str">
        <f aca="false">IFERROR(__xludf.dummyfunction("if($T888&lt;&gt;"""",REGEXEXTRACT($T888, M$1&amp;""[\w &amp;]*, (\d+\.\d+)""),"""")
"),"")</f>
        <v/>
      </c>
      <c r="N888" s="3" t="str">
        <f aca="false">IFERROR(__xludf.dummyfunction("if($T888&lt;&gt;"""",REGEXEXTRACT(SUBSTITUTE ($T888,N$1&amp;"" CE"",""""), N$1&amp;""[\w &amp;]*, (\d+\.\d+)""),"""")
"),"")</f>
        <v/>
      </c>
      <c r="O888" s="3" t="str">
        <f aca="false">IFERROR(__xludf.dummyfunction("if($T888&lt;&gt;"""",REGEXEXTRACT($T888, O$1&amp;""[\w &amp;]*, (\d+\.\d+)""),"""")
"),"")</f>
        <v/>
      </c>
      <c r="P888" s="2"/>
      <c r="Q888" s="2"/>
      <c r="R888" s="2"/>
      <c r="S888" s="2"/>
      <c r="T888" s="5"/>
    </row>
    <row r="889" customFormat="false" ht="15.75" hidden="false" customHeight="false" outlineLevel="0" collapsed="false">
      <c r="A889" s="4"/>
      <c r="B889" s="2"/>
      <c r="C889" s="2"/>
      <c r="D889" s="2"/>
      <c r="E889" s="2"/>
      <c r="F889" s="3" t="str">
        <f aca="false">IFERROR(__xludf.dummyfunction("if($T889&lt;&gt;"""",REGEXEXTRACT(SUBSTITUTE ($T889,F$1&amp;"" CE"",""""), F$1&amp;""[\w &amp;]*, (\d+\.\d+)""),"""")
"),"")</f>
        <v/>
      </c>
      <c r="G889" s="3" t="str">
        <f aca="false">IFERROR(__xludf.dummyfunction("if($T889&lt;&gt;"""",REGEXEXTRACT($T889, G$1&amp;""[\w &amp;]*, (\d+\.\d+)""),"""")
"),"")</f>
        <v/>
      </c>
      <c r="H889" s="3"/>
      <c r="I889" s="3" t="str">
        <f aca="false">IFERROR(__xludf.dummyfunction("if($T889&lt;&gt;"""",REGEXEXTRACT(SUBSTITUTE ($T889,I$1&amp;"" CE"",""""), I$1&amp;""[\w &amp;]*, (\d+\.\d+)""),"""")
"),"")</f>
        <v/>
      </c>
      <c r="J889" s="3" t="str">
        <f aca="false">IFERROR(__xludf.dummyfunction("if($T889&lt;&gt;"""",REGEXEXTRACT($T889, J$1&amp;""[\w &amp;]*, (\d+\.\d+)""),"""")
"),"")</f>
        <v/>
      </c>
      <c r="K889" s="3"/>
      <c r="L889" s="3" t="str">
        <f aca="false">IFERROR(__xludf.dummyfunction("if($T889&lt;&gt;"""",REGEXEXTRACT(SUBSTITUTE ($T889,L$1&amp;"" CE"",""""), L$1&amp;""[\w &amp;]*, (\d+\.\d+)""),"""")
"),"")</f>
        <v/>
      </c>
      <c r="M889" s="3" t="str">
        <f aca="false">IFERROR(__xludf.dummyfunction("if($T889&lt;&gt;"""",REGEXEXTRACT($T889, M$1&amp;""[\w &amp;]*, (\d+\.\d+)""),"""")
"),"")</f>
        <v/>
      </c>
      <c r="N889" s="3" t="str">
        <f aca="false">IFERROR(__xludf.dummyfunction("if($T889&lt;&gt;"""",REGEXEXTRACT(SUBSTITUTE ($T889,N$1&amp;"" CE"",""""), N$1&amp;""[\w &amp;]*, (\d+\.\d+)""),"""")
"),"")</f>
        <v/>
      </c>
      <c r="O889" s="3" t="str">
        <f aca="false">IFERROR(__xludf.dummyfunction("if($T889&lt;&gt;"""",REGEXEXTRACT($T889, O$1&amp;""[\w &amp;]*, (\d+\.\d+)""),"""")
"),"")</f>
        <v/>
      </c>
      <c r="P889" s="2"/>
      <c r="Q889" s="2"/>
      <c r="R889" s="2"/>
      <c r="S889" s="2"/>
      <c r="T889" s="5"/>
    </row>
    <row r="890" customFormat="false" ht="15.75" hidden="false" customHeight="false" outlineLevel="0" collapsed="false">
      <c r="A890" s="4"/>
      <c r="B890" s="2"/>
      <c r="C890" s="2"/>
      <c r="D890" s="2"/>
      <c r="E890" s="2"/>
      <c r="F890" s="3" t="str">
        <f aca="false">IFERROR(__xludf.dummyfunction("if($T890&lt;&gt;"""",REGEXEXTRACT(SUBSTITUTE ($T890,F$1&amp;"" CE"",""""), F$1&amp;""[\w &amp;]*, (\d+\.\d+)""),"""")
"),"")</f>
        <v/>
      </c>
      <c r="G890" s="3" t="str">
        <f aca="false">IFERROR(__xludf.dummyfunction("if($T890&lt;&gt;"""",REGEXEXTRACT($T890, G$1&amp;""[\w &amp;]*, (\d+\.\d+)""),"""")
"),"")</f>
        <v/>
      </c>
      <c r="H890" s="3"/>
      <c r="I890" s="3" t="str">
        <f aca="false">IFERROR(__xludf.dummyfunction("if($T890&lt;&gt;"""",REGEXEXTRACT(SUBSTITUTE ($T890,I$1&amp;"" CE"",""""), I$1&amp;""[\w &amp;]*, (\d+\.\d+)""),"""")
"),"")</f>
        <v/>
      </c>
      <c r="J890" s="3" t="str">
        <f aca="false">IFERROR(__xludf.dummyfunction("if($T890&lt;&gt;"""",REGEXEXTRACT($T890, J$1&amp;""[\w &amp;]*, (\d+\.\d+)""),"""")
"),"")</f>
        <v/>
      </c>
      <c r="K890" s="3"/>
      <c r="L890" s="3" t="str">
        <f aca="false">IFERROR(__xludf.dummyfunction("if($T890&lt;&gt;"""",REGEXEXTRACT(SUBSTITUTE ($T890,L$1&amp;"" CE"",""""), L$1&amp;""[\w &amp;]*, (\d+\.\d+)""),"""")
"),"")</f>
        <v/>
      </c>
      <c r="M890" s="3" t="str">
        <f aca="false">IFERROR(__xludf.dummyfunction("if($T890&lt;&gt;"""",REGEXEXTRACT($T890, M$1&amp;""[\w &amp;]*, (\d+\.\d+)""),"""")
"),"")</f>
        <v/>
      </c>
      <c r="N890" s="3" t="str">
        <f aca="false">IFERROR(__xludf.dummyfunction("if($T890&lt;&gt;"""",REGEXEXTRACT(SUBSTITUTE ($T890,N$1&amp;"" CE"",""""), N$1&amp;""[\w &amp;]*, (\d+\.\d+)""),"""")
"),"")</f>
        <v/>
      </c>
      <c r="O890" s="3" t="str">
        <f aca="false">IFERROR(__xludf.dummyfunction("if($T890&lt;&gt;"""",REGEXEXTRACT($T890, O$1&amp;""[\w &amp;]*, (\d+\.\d+)""),"""")
"),"")</f>
        <v/>
      </c>
      <c r="P890" s="2"/>
      <c r="Q890" s="2"/>
      <c r="R890" s="2"/>
      <c r="S890" s="2"/>
      <c r="T890" s="5"/>
    </row>
    <row r="891" customFormat="false" ht="15.75" hidden="false" customHeight="false" outlineLevel="0" collapsed="false">
      <c r="A891" s="4"/>
      <c r="B891" s="2"/>
      <c r="C891" s="2"/>
      <c r="D891" s="2"/>
      <c r="E891" s="2"/>
      <c r="F891" s="3" t="str">
        <f aca="false">IFERROR(__xludf.dummyfunction("if($T891&lt;&gt;"""",REGEXEXTRACT(SUBSTITUTE ($T891,F$1&amp;"" CE"",""""), F$1&amp;""[\w &amp;]*, (\d+\.\d+)""),"""")
"),"")</f>
        <v/>
      </c>
      <c r="G891" s="3" t="str">
        <f aca="false">IFERROR(__xludf.dummyfunction("if($T891&lt;&gt;"""",REGEXEXTRACT($T891, G$1&amp;""[\w &amp;]*, (\d+\.\d+)""),"""")
"),"")</f>
        <v/>
      </c>
      <c r="H891" s="3"/>
      <c r="I891" s="3" t="str">
        <f aca="false">IFERROR(__xludf.dummyfunction("if($T891&lt;&gt;"""",REGEXEXTRACT(SUBSTITUTE ($T891,I$1&amp;"" CE"",""""), I$1&amp;""[\w &amp;]*, (\d+\.\d+)""),"""")
"),"")</f>
        <v/>
      </c>
      <c r="J891" s="3" t="str">
        <f aca="false">IFERROR(__xludf.dummyfunction("if($T891&lt;&gt;"""",REGEXEXTRACT($T891, J$1&amp;""[\w &amp;]*, (\d+\.\d+)""),"""")
"),"")</f>
        <v/>
      </c>
      <c r="K891" s="3"/>
      <c r="L891" s="3" t="str">
        <f aca="false">IFERROR(__xludf.dummyfunction("if($T891&lt;&gt;"""",REGEXEXTRACT(SUBSTITUTE ($T891,L$1&amp;"" CE"",""""), L$1&amp;""[\w &amp;]*, (\d+\.\d+)""),"""")
"),"")</f>
        <v/>
      </c>
      <c r="M891" s="3" t="str">
        <f aca="false">IFERROR(__xludf.dummyfunction("if($T891&lt;&gt;"""",REGEXEXTRACT($T891, M$1&amp;""[\w &amp;]*, (\d+\.\d+)""),"""")
"),"")</f>
        <v/>
      </c>
      <c r="N891" s="3" t="str">
        <f aca="false">IFERROR(__xludf.dummyfunction("if($T891&lt;&gt;"""",REGEXEXTRACT(SUBSTITUTE ($T891,N$1&amp;"" CE"",""""), N$1&amp;""[\w &amp;]*, (\d+\.\d+)""),"""")
"),"")</f>
        <v/>
      </c>
      <c r="O891" s="3" t="str">
        <f aca="false">IFERROR(__xludf.dummyfunction("if($T891&lt;&gt;"""",REGEXEXTRACT($T891, O$1&amp;""[\w &amp;]*, (\d+\.\d+)""),"""")
"),"")</f>
        <v/>
      </c>
      <c r="P891" s="2"/>
      <c r="Q891" s="2"/>
      <c r="R891" s="2"/>
      <c r="S891" s="2"/>
      <c r="T891" s="5"/>
    </row>
    <row r="892" customFormat="false" ht="15.75" hidden="false" customHeight="false" outlineLevel="0" collapsed="false">
      <c r="A892" s="4"/>
      <c r="B892" s="2"/>
      <c r="C892" s="2"/>
      <c r="D892" s="2"/>
      <c r="E892" s="2"/>
      <c r="F892" s="3" t="str">
        <f aca="false">IFERROR(__xludf.dummyfunction("if($T892&lt;&gt;"""",REGEXEXTRACT(SUBSTITUTE ($T892,F$1&amp;"" CE"",""""), F$1&amp;""[\w &amp;]*, (\d+\.\d+)""),"""")
"),"")</f>
        <v/>
      </c>
      <c r="G892" s="3" t="str">
        <f aca="false">IFERROR(__xludf.dummyfunction("if($T892&lt;&gt;"""",REGEXEXTRACT($T892, G$1&amp;""[\w &amp;]*, (\d+\.\d+)""),"""")
"),"")</f>
        <v/>
      </c>
      <c r="H892" s="3"/>
      <c r="I892" s="3" t="str">
        <f aca="false">IFERROR(__xludf.dummyfunction("if($T892&lt;&gt;"""",REGEXEXTRACT(SUBSTITUTE ($T892,I$1&amp;"" CE"",""""), I$1&amp;""[\w &amp;]*, (\d+\.\d+)""),"""")
"),"")</f>
        <v/>
      </c>
      <c r="J892" s="3" t="str">
        <f aca="false">IFERROR(__xludf.dummyfunction("if($T892&lt;&gt;"""",REGEXEXTRACT($T892, J$1&amp;""[\w &amp;]*, (\d+\.\d+)""),"""")
"),"")</f>
        <v/>
      </c>
      <c r="K892" s="3"/>
      <c r="L892" s="3" t="str">
        <f aca="false">IFERROR(__xludf.dummyfunction("if($T892&lt;&gt;"""",REGEXEXTRACT(SUBSTITUTE ($T892,L$1&amp;"" CE"",""""), L$1&amp;""[\w &amp;]*, (\d+\.\d+)""),"""")
"),"")</f>
        <v/>
      </c>
      <c r="M892" s="3" t="str">
        <f aca="false">IFERROR(__xludf.dummyfunction("if($T892&lt;&gt;"""",REGEXEXTRACT($T892, M$1&amp;""[\w &amp;]*, (\d+\.\d+)""),"""")
"),"")</f>
        <v/>
      </c>
      <c r="N892" s="3" t="str">
        <f aca="false">IFERROR(__xludf.dummyfunction("if($T892&lt;&gt;"""",REGEXEXTRACT(SUBSTITUTE ($T892,N$1&amp;"" CE"",""""), N$1&amp;""[\w &amp;]*, (\d+\.\d+)""),"""")
"),"")</f>
        <v/>
      </c>
      <c r="O892" s="3" t="str">
        <f aca="false">IFERROR(__xludf.dummyfunction("if($T892&lt;&gt;"""",REGEXEXTRACT($T892, O$1&amp;""[\w &amp;]*, (\d+\.\d+)""),"""")
"),"")</f>
        <v/>
      </c>
      <c r="P892" s="2"/>
      <c r="Q892" s="2"/>
      <c r="R892" s="2"/>
      <c r="S892" s="2"/>
      <c r="T892" s="5"/>
    </row>
    <row r="893" customFormat="false" ht="15.75" hidden="false" customHeight="false" outlineLevel="0" collapsed="false">
      <c r="A893" s="4"/>
      <c r="B893" s="2"/>
      <c r="C893" s="2"/>
      <c r="D893" s="2"/>
      <c r="E893" s="2"/>
      <c r="F893" s="3" t="str">
        <f aca="false">IFERROR(__xludf.dummyfunction("if($T893&lt;&gt;"""",REGEXEXTRACT(SUBSTITUTE ($T893,F$1&amp;"" CE"",""""), F$1&amp;""[\w &amp;]*, (\d+\.\d+)""),"""")
"),"")</f>
        <v/>
      </c>
      <c r="G893" s="3" t="str">
        <f aca="false">IFERROR(__xludf.dummyfunction("if($T893&lt;&gt;"""",REGEXEXTRACT($T893, G$1&amp;""[\w &amp;]*, (\d+\.\d+)""),"""")
"),"")</f>
        <v/>
      </c>
      <c r="H893" s="3"/>
      <c r="I893" s="3" t="str">
        <f aca="false">IFERROR(__xludf.dummyfunction("if($T893&lt;&gt;"""",REGEXEXTRACT(SUBSTITUTE ($T893,I$1&amp;"" CE"",""""), I$1&amp;""[\w &amp;]*, (\d+\.\d+)""),"""")
"),"")</f>
        <v/>
      </c>
      <c r="J893" s="3" t="str">
        <f aca="false">IFERROR(__xludf.dummyfunction("if($T893&lt;&gt;"""",REGEXEXTRACT($T893, J$1&amp;""[\w &amp;]*, (\d+\.\d+)""),"""")
"),"")</f>
        <v/>
      </c>
      <c r="K893" s="3"/>
      <c r="L893" s="3" t="str">
        <f aca="false">IFERROR(__xludf.dummyfunction("if($T893&lt;&gt;"""",REGEXEXTRACT(SUBSTITUTE ($T893,L$1&amp;"" CE"",""""), L$1&amp;""[\w &amp;]*, (\d+\.\d+)""),"""")
"),"")</f>
        <v/>
      </c>
      <c r="M893" s="3" t="str">
        <f aca="false">IFERROR(__xludf.dummyfunction("if($T893&lt;&gt;"""",REGEXEXTRACT($T893, M$1&amp;""[\w &amp;]*, (\d+\.\d+)""),"""")
"),"")</f>
        <v/>
      </c>
      <c r="N893" s="3" t="str">
        <f aca="false">IFERROR(__xludf.dummyfunction("if($T893&lt;&gt;"""",REGEXEXTRACT(SUBSTITUTE ($T893,N$1&amp;"" CE"",""""), N$1&amp;""[\w &amp;]*, (\d+\.\d+)""),"""")
"),"")</f>
        <v/>
      </c>
      <c r="O893" s="3" t="str">
        <f aca="false">IFERROR(__xludf.dummyfunction("if($T893&lt;&gt;"""",REGEXEXTRACT($T893, O$1&amp;""[\w &amp;]*, (\d+\.\d+)""),"""")
"),"")</f>
        <v/>
      </c>
      <c r="P893" s="2"/>
      <c r="Q893" s="2"/>
      <c r="R893" s="2"/>
      <c r="S893" s="2"/>
      <c r="T893" s="5"/>
    </row>
    <row r="894" customFormat="false" ht="15.75" hidden="false" customHeight="false" outlineLevel="0" collapsed="false">
      <c r="A894" s="4"/>
      <c r="B894" s="2"/>
      <c r="C894" s="2"/>
      <c r="D894" s="2"/>
      <c r="E894" s="2"/>
      <c r="F894" s="3" t="str">
        <f aca="false">IFERROR(__xludf.dummyfunction("if($T894&lt;&gt;"""",REGEXEXTRACT(SUBSTITUTE ($T894,F$1&amp;"" CE"",""""), F$1&amp;""[\w &amp;]*, (\d+\.\d+)""),"""")
"),"")</f>
        <v/>
      </c>
      <c r="G894" s="3" t="str">
        <f aca="false">IFERROR(__xludf.dummyfunction("if($T894&lt;&gt;"""",REGEXEXTRACT($T894, G$1&amp;""[\w &amp;]*, (\d+\.\d+)""),"""")
"),"")</f>
        <v/>
      </c>
      <c r="H894" s="3"/>
      <c r="I894" s="3" t="str">
        <f aca="false">IFERROR(__xludf.dummyfunction("if($T894&lt;&gt;"""",REGEXEXTRACT(SUBSTITUTE ($T894,I$1&amp;"" CE"",""""), I$1&amp;""[\w &amp;]*, (\d+\.\d+)""),"""")
"),"")</f>
        <v/>
      </c>
      <c r="J894" s="3" t="str">
        <f aca="false">IFERROR(__xludf.dummyfunction("if($T894&lt;&gt;"""",REGEXEXTRACT($T894, J$1&amp;""[\w &amp;]*, (\d+\.\d+)""),"""")
"),"")</f>
        <v/>
      </c>
      <c r="K894" s="3"/>
      <c r="L894" s="3" t="str">
        <f aca="false">IFERROR(__xludf.dummyfunction("if($T894&lt;&gt;"""",REGEXEXTRACT(SUBSTITUTE ($T894,L$1&amp;"" CE"",""""), L$1&amp;""[\w &amp;]*, (\d+\.\d+)""),"""")
"),"")</f>
        <v/>
      </c>
      <c r="M894" s="3" t="str">
        <f aca="false">IFERROR(__xludf.dummyfunction("if($T894&lt;&gt;"""",REGEXEXTRACT($T894, M$1&amp;""[\w &amp;]*, (\d+\.\d+)""),"""")
"),"")</f>
        <v/>
      </c>
      <c r="N894" s="3" t="str">
        <f aca="false">IFERROR(__xludf.dummyfunction("if($T894&lt;&gt;"""",REGEXEXTRACT(SUBSTITUTE ($T894,N$1&amp;"" CE"",""""), N$1&amp;""[\w &amp;]*, (\d+\.\d+)""),"""")
"),"")</f>
        <v/>
      </c>
      <c r="O894" s="3" t="str">
        <f aca="false">IFERROR(__xludf.dummyfunction("if($T894&lt;&gt;"""",REGEXEXTRACT($T894, O$1&amp;""[\w &amp;]*, (\d+\.\d+)""),"""")
"),"")</f>
        <v/>
      </c>
      <c r="P894" s="2"/>
      <c r="Q894" s="2"/>
      <c r="R894" s="2"/>
      <c r="S894" s="2"/>
      <c r="T894" s="5"/>
    </row>
    <row r="895" customFormat="false" ht="15.75" hidden="false" customHeight="false" outlineLevel="0" collapsed="false">
      <c r="A895" s="4"/>
      <c r="B895" s="2"/>
      <c r="C895" s="2"/>
      <c r="D895" s="2"/>
      <c r="E895" s="2"/>
      <c r="F895" s="3" t="str">
        <f aca="false">IFERROR(__xludf.dummyfunction("if($T895&lt;&gt;"""",REGEXEXTRACT(SUBSTITUTE ($T895,F$1&amp;"" CE"",""""), F$1&amp;""[\w &amp;]*, (\d+\.\d+)""),"""")
"),"")</f>
        <v/>
      </c>
      <c r="G895" s="3" t="str">
        <f aca="false">IFERROR(__xludf.dummyfunction("if($T895&lt;&gt;"""",REGEXEXTRACT($T895, G$1&amp;""[\w &amp;]*, (\d+\.\d+)""),"""")
"),"")</f>
        <v/>
      </c>
      <c r="H895" s="3"/>
      <c r="I895" s="3" t="str">
        <f aca="false">IFERROR(__xludf.dummyfunction("if($T895&lt;&gt;"""",REGEXEXTRACT(SUBSTITUTE ($T895,I$1&amp;"" CE"",""""), I$1&amp;""[\w &amp;]*, (\d+\.\d+)""),"""")
"),"")</f>
        <v/>
      </c>
      <c r="J895" s="3" t="str">
        <f aca="false">IFERROR(__xludf.dummyfunction("if($T895&lt;&gt;"""",REGEXEXTRACT($T895, J$1&amp;""[\w &amp;]*, (\d+\.\d+)""),"""")
"),"")</f>
        <v/>
      </c>
      <c r="K895" s="3"/>
      <c r="L895" s="3" t="str">
        <f aca="false">IFERROR(__xludf.dummyfunction("if($T895&lt;&gt;"""",REGEXEXTRACT(SUBSTITUTE ($T895,L$1&amp;"" CE"",""""), L$1&amp;""[\w &amp;]*, (\d+\.\d+)""),"""")
"),"")</f>
        <v/>
      </c>
      <c r="M895" s="3" t="str">
        <f aca="false">IFERROR(__xludf.dummyfunction("if($T895&lt;&gt;"""",REGEXEXTRACT($T895, M$1&amp;""[\w &amp;]*, (\d+\.\d+)""),"""")
"),"")</f>
        <v/>
      </c>
      <c r="N895" s="3" t="str">
        <f aca="false">IFERROR(__xludf.dummyfunction("if($T895&lt;&gt;"""",REGEXEXTRACT(SUBSTITUTE ($T895,N$1&amp;"" CE"",""""), N$1&amp;""[\w &amp;]*, (\d+\.\d+)""),"""")
"),"")</f>
        <v/>
      </c>
      <c r="O895" s="3" t="str">
        <f aca="false">IFERROR(__xludf.dummyfunction("if($T895&lt;&gt;"""",REGEXEXTRACT($T895, O$1&amp;""[\w &amp;]*, (\d+\.\d+)""),"""")
"),"")</f>
        <v/>
      </c>
      <c r="P895" s="2"/>
      <c r="Q895" s="2"/>
      <c r="R895" s="2"/>
      <c r="S895" s="2"/>
      <c r="T895" s="5"/>
    </row>
    <row r="896" customFormat="false" ht="15.75" hidden="false" customHeight="false" outlineLevel="0" collapsed="false">
      <c r="A896" s="4"/>
      <c r="B896" s="2"/>
      <c r="C896" s="2"/>
      <c r="D896" s="2"/>
      <c r="E896" s="2"/>
      <c r="F896" s="3" t="str">
        <f aca="false">IFERROR(__xludf.dummyfunction("if($T896&lt;&gt;"""",REGEXEXTRACT(SUBSTITUTE ($T896,F$1&amp;"" CE"",""""), F$1&amp;""[\w &amp;]*, (\d+\.\d+)""),"""")
"),"")</f>
        <v/>
      </c>
      <c r="G896" s="3" t="str">
        <f aca="false">IFERROR(__xludf.dummyfunction("if($T896&lt;&gt;"""",REGEXEXTRACT($T896, G$1&amp;""[\w &amp;]*, (\d+\.\d+)""),"""")
"),"")</f>
        <v/>
      </c>
      <c r="H896" s="3"/>
      <c r="I896" s="3" t="str">
        <f aca="false">IFERROR(__xludf.dummyfunction("if($T896&lt;&gt;"""",REGEXEXTRACT(SUBSTITUTE ($T896,I$1&amp;"" CE"",""""), I$1&amp;""[\w &amp;]*, (\d+\.\d+)""),"""")
"),"")</f>
        <v/>
      </c>
      <c r="J896" s="3" t="str">
        <f aca="false">IFERROR(__xludf.dummyfunction("if($T896&lt;&gt;"""",REGEXEXTRACT($T896, J$1&amp;""[\w &amp;]*, (\d+\.\d+)""),"""")
"),"")</f>
        <v/>
      </c>
      <c r="K896" s="3"/>
      <c r="L896" s="3" t="str">
        <f aca="false">IFERROR(__xludf.dummyfunction("if($T896&lt;&gt;"""",REGEXEXTRACT(SUBSTITUTE ($T896,L$1&amp;"" CE"",""""), L$1&amp;""[\w &amp;]*, (\d+\.\d+)""),"""")
"),"")</f>
        <v/>
      </c>
      <c r="M896" s="3" t="str">
        <f aca="false">IFERROR(__xludf.dummyfunction("if($T896&lt;&gt;"""",REGEXEXTRACT($T896, M$1&amp;""[\w &amp;]*, (\d+\.\d+)""),"""")
"),"")</f>
        <v/>
      </c>
      <c r="N896" s="3" t="str">
        <f aca="false">IFERROR(__xludf.dummyfunction("if($T896&lt;&gt;"""",REGEXEXTRACT(SUBSTITUTE ($T896,N$1&amp;"" CE"",""""), N$1&amp;""[\w &amp;]*, (\d+\.\d+)""),"""")
"),"")</f>
        <v/>
      </c>
      <c r="O896" s="3" t="str">
        <f aca="false">IFERROR(__xludf.dummyfunction("if($T896&lt;&gt;"""",REGEXEXTRACT($T896, O$1&amp;""[\w &amp;]*, (\d+\.\d+)""),"""")
"),"")</f>
        <v/>
      </c>
      <c r="P896" s="2"/>
      <c r="Q896" s="2"/>
      <c r="R896" s="2"/>
      <c r="S896" s="2"/>
      <c r="T896" s="5"/>
    </row>
    <row r="897" customFormat="false" ht="15.75" hidden="false" customHeight="false" outlineLevel="0" collapsed="false">
      <c r="A897" s="4"/>
      <c r="B897" s="2"/>
      <c r="C897" s="2"/>
      <c r="D897" s="2"/>
      <c r="E897" s="2"/>
      <c r="F897" s="3" t="str">
        <f aca="false">IFERROR(__xludf.dummyfunction("if($T897&lt;&gt;"""",REGEXEXTRACT(SUBSTITUTE ($T897,F$1&amp;"" CE"",""""), F$1&amp;""[\w &amp;]*, (\d+\.\d+)""),"""")
"),"")</f>
        <v/>
      </c>
      <c r="G897" s="3" t="str">
        <f aca="false">IFERROR(__xludf.dummyfunction("if($T897&lt;&gt;"""",REGEXEXTRACT($T897, G$1&amp;""[\w &amp;]*, (\d+\.\d+)""),"""")
"),"")</f>
        <v/>
      </c>
      <c r="H897" s="3"/>
      <c r="I897" s="3" t="str">
        <f aca="false">IFERROR(__xludf.dummyfunction("if($T897&lt;&gt;"""",REGEXEXTRACT(SUBSTITUTE ($T897,I$1&amp;"" CE"",""""), I$1&amp;""[\w &amp;]*, (\d+\.\d+)""),"""")
"),"")</f>
        <v/>
      </c>
      <c r="J897" s="3" t="str">
        <f aca="false">IFERROR(__xludf.dummyfunction("if($T897&lt;&gt;"""",REGEXEXTRACT($T897, J$1&amp;""[\w &amp;]*, (\d+\.\d+)""),"""")
"),"")</f>
        <v/>
      </c>
      <c r="K897" s="3"/>
      <c r="L897" s="3" t="str">
        <f aca="false">IFERROR(__xludf.dummyfunction("if($T897&lt;&gt;"""",REGEXEXTRACT(SUBSTITUTE ($T897,L$1&amp;"" CE"",""""), L$1&amp;""[\w &amp;]*, (\d+\.\d+)""),"""")
"),"")</f>
        <v/>
      </c>
      <c r="M897" s="3" t="str">
        <f aca="false">IFERROR(__xludf.dummyfunction("if($T897&lt;&gt;"""",REGEXEXTRACT($T897, M$1&amp;""[\w &amp;]*, (\d+\.\d+)""),"""")
"),"")</f>
        <v/>
      </c>
      <c r="N897" s="3" t="str">
        <f aca="false">IFERROR(__xludf.dummyfunction("if($T897&lt;&gt;"""",REGEXEXTRACT(SUBSTITUTE ($T897,N$1&amp;"" CE"",""""), N$1&amp;""[\w &amp;]*, (\d+\.\d+)""),"""")
"),"")</f>
        <v/>
      </c>
      <c r="O897" s="3" t="str">
        <f aca="false">IFERROR(__xludf.dummyfunction("if($T897&lt;&gt;"""",REGEXEXTRACT($T897, O$1&amp;""[\w &amp;]*, (\d+\.\d+)""),"""")
"),"")</f>
        <v/>
      </c>
      <c r="P897" s="2"/>
      <c r="Q897" s="2"/>
      <c r="R897" s="2"/>
      <c r="S897" s="2"/>
      <c r="T897" s="5"/>
    </row>
    <row r="898" customFormat="false" ht="15.75" hidden="false" customHeight="false" outlineLevel="0" collapsed="false">
      <c r="A898" s="4"/>
      <c r="B898" s="2"/>
      <c r="C898" s="2"/>
      <c r="D898" s="2"/>
      <c r="E898" s="2"/>
      <c r="F898" s="3" t="str">
        <f aca="false">IFERROR(__xludf.dummyfunction("if($T898&lt;&gt;"""",REGEXEXTRACT(SUBSTITUTE ($T898,F$1&amp;"" CE"",""""), F$1&amp;""[\w &amp;]*, (\d+\.\d+)""),"""")
"),"")</f>
        <v/>
      </c>
      <c r="G898" s="3" t="str">
        <f aca="false">IFERROR(__xludf.dummyfunction("if($T898&lt;&gt;"""",REGEXEXTRACT($T898, G$1&amp;""[\w &amp;]*, (\d+\.\d+)""),"""")
"),"")</f>
        <v/>
      </c>
      <c r="H898" s="3"/>
      <c r="I898" s="3" t="str">
        <f aca="false">IFERROR(__xludf.dummyfunction("if($T898&lt;&gt;"""",REGEXEXTRACT(SUBSTITUTE ($T898,I$1&amp;"" CE"",""""), I$1&amp;""[\w &amp;]*, (\d+\.\d+)""),"""")
"),"")</f>
        <v/>
      </c>
      <c r="J898" s="3" t="str">
        <f aca="false">IFERROR(__xludf.dummyfunction("if($T898&lt;&gt;"""",REGEXEXTRACT($T898, J$1&amp;""[\w &amp;]*, (\d+\.\d+)""),"""")
"),"")</f>
        <v/>
      </c>
      <c r="K898" s="3"/>
      <c r="L898" s="3" t="str">
        <f aca="false">IFERROR(__xludf.dummyfunction("if($T898&lt;&gt;"""",REGEXEXTRACT(SUBSTITUTE ($T898,L$1&amp;"" CE"",""""), L$1&amp;""[\w &amp;]*, (\d+\.\d+)""),"""")
"),"")</f>
        <v/>
      </c>
      <c r="M898" s="3" t="str">
        <f aca="false">IFERROR(__xludf.dummyfunction("if($T898&lt;&gt;"""",REGEXEXTRACT($T898, M$1&amp;""[\w &amp;]*, (\d+\.\d+)""),"""")
"),"")</f>
        <v/>
      </c>
      <c r="N898" s="3" t="str">
        <f aca="false">IFERROR(__xludf.dummyfunction("if($T898&lt;&gt;"""",REGEXEXTRACT(SUBSTITUTE ($T898,N$1&amp;"" CE"",""""), N$1&amp;""[\w &amp;]*, (\d+\.\d+)""),"""")
"),"")</f>
        <v/>
      </c>
      <c r="O898" s="3" t="str">
        <f aca="false">IFERROR(__xludf.dummyfunction("if($T898&lt;&gt;"""",REGEXEXTRACT($T898, O$1&amp;""[\w &amp;]*, (\d+\.\d+)""),"""")
"),"")</f>
        <v/>
      </c>
      <c r="P898" s="2"/>
      <c r="Q898" s="2"/>
      <c r="R898" s="2"/>
      <c r="S898" s="2"/>
      <c r="T898" s="5"/>
    </row>
    <row r="899" customFormat="false" ht="15.75" hidden="false" customHeight="false" outlineLevel="0" collapsed="false">
      <c r="A899" s="4"/>
      <c r="B899" s="2"/>
      <c r="C899" s="2"/>
      <c r="D899" s="2"/>
      <c r="E899" s="2"/>
      <c r="F899" s="3" t="str">
        <f aca="false">IFERROR(__xludf.dummyfunction("if($T899&lt;&gt;"""",REGEXEXTRACT(SUBSTITUTE ($T899,F$1&amp;"" CE"",""""), F$1&amp;""[\w &amp;]*, (\d+\.\d+)""),"""")
"),"")</f>
        <v/>
      </c>
      <c r="G899" s="3" t="str">
        <f aca="false">IFERROR(__xludf.dummyfunction("if($T899&lt;&gt;"""",REGEXEXTRACT($T899, G$1&amp;""[\w &amp;]*, (\d+\.\d+)""),"""")
"),"")</f>
        <v/>
      </c>
      <c r="H899" s="3"/>
      <c r="I899" s="3" t="str">
        <f aca="false">IFERROR(__xludf.dummyfunction("if($T899&lt;&gt;"""",REGEXEXTRACT(SUBSTITUTE ($T899,I$1&amp;"" CE"",""""), I$1&amp;""[\w &amp;]*, (\d+\.\d+)""),"""")
"),"")</f>
        <v/>
      </c>
      <c r="J899" s="3" t="str">
        <f aca="false">IFERROR(__xludf.dummyfunction("if($T899&lt;&gt;"""",REGEXEXTRACT($T899, J$1&amp;""[\w &amp;]*, (\d+\.\d+)""),"""")
"),"")</f>
        <v/>
      </c>
      <c r="K899" s="3"/>
      <c r="L899" s="3" t="str">
        <f aca="false">IFERROR(__xludf.dummyfunction("if($T899&lt;&gt;"""",REGEXEXTRACT(SUBSTITUTE ($T899,L$1&amp;"" CE"",""""), L$1&amp;""[\w &amp;]*, (\d+\.\d+)""),"""")
"),"")</f>
        <v/>
      </c>
      <c r="M899" s="3" t="str">
        <f aca="false">IFERROR(__xludf.dummyfunction("if($T899&lt;&gt;"""",REGEXEXTRACT($T899, M$1&amp;""[\w &amp;]*, (\d+\.\d+)""),"""")
"),"")</f>
        <v/>
      </c>
      <c r="N899" s="3" t="str">
        <f aca="false">IFERROR(__xludf.dummyfunction("if($T899&lt;&gt;"""",REGEXEXTRACT(SUBSTITUTE ($T899,N$1&amp;"" CE"",""""), N$1&amp;""[\w &amp;]*, (\d+\.\d+)""),"""")
"),"")</f>
        <v/>
      </c>
      <c r="O899" s="3" t="str">
        <f aca="false">IFERROR(__xludf.dummyfunction("if($T899&lt;&gt;"""",REGEXEXTRACT($T899, O$1&amp;""[\w &amp;]*, (\d+\.\d+)""),"""")
"),"")</f>
        <v/>
      </c>
      <c r="P899" s="2"/>
      <c r="Q899" s="2"/>
      <c r="R899" s="2"/>
      <c r="S899" s="2"/>
      <c r="T899" s="5"/>
    </row>
    <row r="900" customFormat="false" ht="15.75" hidden="false" customHeight="false" outlineLevel="0" collapsed="false">
      <c r="A900" s="4"/>
      <c r="B900" s="2"/>
      <c r="C900" s="2"/>
      <c r="D900" s="2"/>
      <c r="E900" s="2"/>
      <c r="F900" s="3" t="str">
        <f aca="false">IFERROR(__xludf.dummyfunction("if($T900&lt;&gt;"""",REGEXEXTRACT(SUBSTITUTE ($T900,F$1&amp;"" CE"",""""), F$1&amp;""[\w &amp;]*, (\d+\.\d+)""),"""")
"),"")</f>
        <v/>
      </c>
      <c r="G900" s="3" t="str">
        <f aca="false">IFERROR(__xludf.dummyfunction("if($T900&lt;&gt;"""",REGEXEXTRACT($T900, G$1&amp;""[\w &amp;]*, (\d+\.\d+)""),"""")
"),"")</f>
        <v/>
      </c>
      <c r="H900" s="3"/>
      <c r="I900" s="3" t="str">
        <f aca="false">IFERROR(__xludf.dummyfunction("if($T900&lt;&gt;"""",REGEXEXTRACT(SUBSTITUTE ($T900,I$1&amp;"" CE"",""""), I$1&amp;""[\w &amp;]*, (\d+\.\d+)""),"""")
"),"")</f>
        <v/>
      </c>
      <c r="J900" s="3" t="str">
        <f aca="false">IFERROR(__xludf.dummyfunction("if($T900&lt;&gt;"""",REGEXEXTRACT($T900, J$1&amp;""[\w &amp;]*, (\d+\.\d+)""),"""")
"),"")</f>
        <v/>
      </c>
      <c r="K900" s="3"/>
      <c r="L900" s="3" t="str">
        <f aca="false">IFERROR(__xludf.dummyfunction("if($T900&lt;&gt;"""",REGEXEXTRACT(SUBSTITUTE ($T900,L$1&amp;"" CE"",""""), L$1&amp;""[\w &amp;]*, (\d+\.\d+)""),"""")
"),"")</f>
        <v/>
      </c>
      <c r="M900" s="3" t="str">
        <f aca="false">IFERROR(__xludf.dummyfunction("if($T900&lt;&gt;"""",REGEXEXTRACT($T900, M$1&amp;""[\w &amp;]*, (\d+\.\d+)""),"""")
"),"")</f>
        <v/>
      </c>
      <c r="N900" s="3" t="str">
        <f aca="false">IFERROR(__xludf.dummyfunction("if($T900&lt;&gt;"""",REGEXEXTRACT(SUBSTITUTE ($T900,N$1&amp;"" CE"",""""), N$1&amp;""[\w &amp;]*, (\d+\.\d+)""),"""")
"),"")</f>
        <v/>
      </c>
      <c r="O900" s="3" t="str">
        <f aca="false">IFERROR(__xludf.dummyfunction("if($T900&lt;&gt;"""",REGEXEXTRACT($T900, O$1&amp;""[\w &amp;]*, (\d+\.\d+)""),"""")
"),"")</f>
        <v/>
      </c>
      <c r="P900" s="2"/>
      <c r="Q900" s="2"/>
      <c r="R900" s="2"/>
      <c r="S900" s="2"/>
      <c r="T900" s="5"/>
    </row>
    <row r="901" customFormat="false" ht="15.75" hidden="false" customHeight="false" outlineLevel="0" collapsed="false">
      <c r="A901" s="4"/>
      <c r="B901" s="2"/>
      <c r="C901" s="2"/>
      <c r="D901" s="2"/>
      <c r="E901" s="2"/>
      <c r="F901" s="3" t="str">
        <f aca="false">IFERROR(__xludf.dummyfunction("if($T901&lt;&gt;"""",REGEXEXTRACT(SUBSTITUTE ($T901,F$1&amp;"" CE"",""""), F$1&amp;""[\w &amp;]*, (\d+\.\d+)""),"""")
"),"")</f>
        <v/>
      </c>
      <c r="G901" s="3" t="str">
        <f aca="false">IFERROR(__xludf.dummyfunction("if($T901&lt;&gt;"""",REGEXEXTRACT($T901, G$1&amp;""[\w &amp;]*, (\d+\.\d+)""),"""")
"),"")</f>
        <v/>
      </c>
      <c r="H901" s="3"/>
      <c r="I901" s="3" t="str">
        <f aca="false">IFERROR(__xludf.dummyfunction("if($T901&lt;&gt;"""",REGEXEXTRACT(SUBSTITUTE ($T901,I$1&amp;"" CE"",""""), I$1&amp;""[\w &amp;]*, (\d+\.\d+)""),"""")
"),"")</f>
        <v/>
      </c>
      <c r="J901" s="3" t="str">
        <f aca="false">IFERROR(__xludf.dummyfunction("if($T901&lt;&gt;"""",REGEXEXTRACT($T901, J$1&amp;""[\w &amp;]*, (\d+\.\d+)""),"""")
"),"")</f>
        <v/>
      </c>
      <c r="K901" s="3"/>
      <c r="L901" s="3" t="str">
        <f aca="false">IFERROR(__xludf.dummyfunction("if($T901&lt;&gt;"""",REGEXEXTRACT(SUBSTITUTE ($T901,L$1&amp;"" CE"",""""), L$1&amp;""[\w &amp;]*, (\d+\.\d+)""),"""")
"),"")</f>
        <v/>
      </c>
      <c r="M901" s="3" t="str">
        <f aca="false">IFERROR(__xludf.dummyfunction("if($T901&lt;&gt;"""",REGEXEXTRACT($T901, M$1&amp;""[\w &amp;]*, (\d+\.\d+)""),"""")
"),"")</f>
        <v/>
      </c>
      <c r="N901" s="3" t="str">
        <f aca="false">IFERROR(__xludf.dummyfunction("if($T901&lt;&gt;"""",REGEXEXTRACT(SUBSTITUTE ($T901,N$1&amp;"" CE"",""""), N$1&amp;""[\w &amp;]*, (\d+\.\d+)""),"""")
"),"")</f>
        <v/>
      </c>
      <c r="O901" s="3" t="str">
        <f aca="false">IFERROR(__xludf.dummyfunction("if($T901&lt;&gt;"""",REGEXEXTRACT($T901, O$1&amp;""[\w &amp;]*, (\d+\.\d+)""),"""")
"),"")</f>
        <v/>
      </c>
      <c r="P901" s="2"/>
      <c r="Q901" s="2"/>
      <c r="R901" s="2"/>
      <c r="S901" s="2"/>
      <c r="T901" s="5"/>
    </row>
    <row r="902" customFormat="false" ht="15.75" hidden="false" customHeight="false" outlineLevel="0" collapsed="false">
      <c r="A902" s="4"/>
      <c r="B902" s="2"/>
      <c r="C902" s="2"/>
      <c r="D902" s="2"/>
      <c r="E902" s="2"/>
      <c r="F902" s="3" t="str">
        <f aca="false">IFERROR(__xludf.dummyfunction("if($T902&lt;&gt;"""",REGEXEXTRACT(SUBSTITUTE ($T902,F$1&amp;"" CE"",""""), F$1&amp;""[\w &amp;]*, (\d+\.\d+)""),"""")
"),"")</f>
        <v/>
      </c>
      <c r="G902" s="3" t="str">
        <f aca="false">IFERROR(__xludf.dummyfunction("if($T902&lt;&gt;"""",REGEXEXTRACT($T902, G$1&amp;""[\w &amp;]*, (\d+\.\d+)""),"""")
"),"")</f>
        <v/>
      </c>
      <c r="H902" s="3"/>
      <c r="I902" s="3" t="str">
        <f aca="false">IFERROR(__xludf.dummyfunction("if($T902&lt;&gt;"""",REGEXEXTRACT(SUBSTITUTE ($T902,I$1&amp;"" CE"",""""), I$1&amp;""[\w &amp;]*, (\d+\.\d+)""),"""")
"),"")</f>
        <v/>
      </c>
      <c r="J902" s="3" t="str">
        <f aca="false">IFERROR(__xludf.dummyfunction("if($T902&lt;&gt;"""",REGEXEXTRACT($T902, J$1&amp;""[\w &amp;]*, (\d+\.\d+)""),"""")
"),"")</f>
        <v/>
      </c>
      <c r="K902" s="3"/>
      <c r="L902" s="3" t="str">
        <f aca="false">IFERROR(__xludf.dummyfunction("if($T902&lt;&gt;"""",REGEXEXTRACT(SUBSTITUTE ($T902,L$1&amp;"" CE"",""""), L$1&amp;""[\w &amp;]*, (\d+\.\d+)""),"""")
"),"")</f>
        <v/>
      </c>
      <c r="M902" s="3" t="str">
        <f aca="false">IFERROR(__xludf.dummyfunction("if($T902&lt;&gt;"""",REGEXEXTRACT($T902, M$1&amp;""[\w &amp;]*, (\d+\.\d+)""),"""")
"),"")</f>
        <v/>
      </c>
      <c r="N902" s="3" t="str">
        <f aca="false">IFERROR(__xludf.dummyfunction("if($T902&lt;&gt;"""",REGEXEXTRACT(SUBSTITUTE ($T902,N$1&amp;"" CE"",""""), N$1&amp;""[\w &amp;]*, (\d+\.\d+)""),"""")
"),"")</f>
        <v/>
      </c>
      <c r="O902" s="3" t="str">
        <f aca="false">IFERROR(__xludf.dummyfunction("if($T902&lt;&gt;"""",REGEXEXTRACT($T902, O$1&amp;""[\w &amp;]*, (\d+\.\d+)""),"""")
"),"")</f>
        <v/>
      </c>
      <c r="P902" s="2"/>
      <c r="Q902" s="2"/>
      <c r="R902" s="2"/>
      <c r="S902" s="2"/>
      <c r="T902" s="5"/>
    </row>
    <row r="903" customFormat="false" ht="15.75" hidden="false" customHeight="false" outlineLevel="0" collapsed="false">
      <c r="A903" s="4"/>
      <c r="B903" s="2"/>
      <c r="C903" s="2"/>
      <c r="D903" s="2"/>
      <c r="E903" s="2"/>
      <c r="F903" s="3" t="str">
        <f aca="false">IFERROR(__xludf.dummyfunction("if($T903&lt;&gt;"""",REGEXEXTRACT(SUBSTITUTE ($T903,F$1&amp;"" CE"",""""), F$1&amp;""[\w &amp;]*, (\d+\.\d+)""),"""")
"),"")</f>
        <v/>
      </c>
      <c r="G903" s="3" t="str">
        <f aca="false">IFERROR(__xludf.dummyfunction("if($T903&lt;&gt;"""",REGEXEXTRACT($T903, G$1&amp;""[\w &amp;]*, (\d+\.\d+)""),"""")
"),"")</f>
        <v/>
      </c>
      <c r="H903" s="3"/>
      <c r="I903" s="3" t="str">
        <f aca="false">IFERROR(__xludf.dummyfunction("if($T903&lt;&gt;"""",REGEXEXTRACT(SUBSTITUTE ($T903,I$1&amp;"" CE"",""""), I$1&amp;""[\w &amp;]*, (\d+\.\d+)""),"""")
"),"")</f>
        <v/>
      </c>
      <c r="J903" s="3" t="str">
        <f aca="false">IFERROR(__xludf.dummyfunction("if($T903&lt;&gt;"""",REGEXEXTRACT($T903, J$1&amp;""[\w &amp;]*, (\d+\.\d+)""),"""")
"),"")</f>
        <v/>
      </c>
      <c r="K903" s="3"/>
      <c r="L903" s="3" t="str">
        <f aca="false">IFERROR(__xludf.dummyfunction("if($T903&lt;&gt;"""",REGEXEXTRACT(SUBSTITUTE ($T903,L$1&amp;"" CE"",""""), L$1&amp;""[\w &amp;]*, (\d+\.\d+)""),"""")
"),"")</f>
        <v/>
      </c>
      <c r="M903" s="3" t="str">
        <f aca="false">IFERROR(__xludf.dummyfunction("if($T903&lt;&gt;"""",REGEXEXTRACT($T903, M$1&amp;""[\w &amp;]*, (\d+\.\d+)""),"""")
"),"")</f>
        <v/>
      </c>
      <c r="N903" s="3" t="str">
        <f aca="false">IFERROR(__xludf.dummyfunction("if($T903&lt;&gt;"""",REGEXEXTRACT(SUBSTITUTE ($T903,N$1&amp;"" CE"",""""), N$1&amp;""[\w &amp;]*, (\d+\.\d+)""),"""")
"),"")</f>
        <v/>
      </c>
      <c r="O903" s="3" t="str">
        <f aca="false">IFERROR(__xludf.dummyfunction("if($T903&lt;&gt;"""",REGEXEXTRACT($T903, O$1&amp;""[\w &amp;]*, (\d+\.\d+)""),"""")
"),"")</f>
        <v/>
      </c>
      <c r="P903" s="2"/>
      <c r="Q903" s="2"/>
      <c r="R903" s="2"/>
      <c r="S903" s="2"/>
      <c r="T903" s="5"/>
    </row>
    <row r="904" customFormat="false" ht="15.75" hidden="false" customHeight="false" outlineLevel="0" collapsed="false">
      <c r="A904" s="4"/>
      <c r="B904" s="2"/>
      <c r="C904" s="2"/>
      <c r="D904" s="2"/>
      <c r="E904" s="2"/>
      <c r="F904" s="3" t="str">
        <f aca="false">IFERROR(__xludf.dummyfunction("if($T904&lt;&gt;"""",REGEXEXTRACT(SUBSTITUTE ($T904,F$1&amp;"" CE"",""""), F$1&amp;""[\w &amp;]*, (\d+\.\d+)""),"""")
"),"")</f>
        <v/>
      </c>
      <c r="G904" s="3" t="str">
        <f aca="false">IFERROR(__xludf.dummyfunction("if($T904&lt;&gt;"""",REGEXEXTRACT($T904, G$1&amp;""[\w &amp;]*, (\d+\.\d+)""),"""")
"),"")</f>
        <v/>
      </c>
      <c r="H904" s="3"/>
      <c r="I904" s="3" t="str">
        <f aca="false">IFERROR(__xludf.dummyfunction("if($T904&lt;&gt;"""",REGEXEXTRACT(SUBSTITUTE ($T904,I$1&amp;"" CE"",""""), I$1&amp;""[\w &amp;]*, (\d+\.\d+)""),"""")
"),"")</f>
        <v/>
      </c>
      <c r="J904" s="3" t="str">
        <f aca="false">IFERROR(__xludf.dummyfunction("if($T904&lt;&gt;"""",REGEXEXTRACT($T904, J$1&amp;""[\w &amp;]*, (\d+\.\d+)""),"""")
"),"")</f>
        <v/>
      </c>
      <c r="K904" s="3"/>
      <c r="L904" s="3" t="str">
        <f aca="false">IFERROR(__xludf.dummyfunction("if($T904&lt;&gt;"""",REGEXEXTRACT(SUBSTITUTE ($T904,L$1&amp;"" CE"",""""), L$1&amp;""[\w &amp;]*, (\d+\.\d+)""),"""")
"),"")</f>
        <v/>
      </c>
      <c r="M904" s="3" t="str">
        <f aca="false">IFERROR(__xludf.dummyfunction("if($T904&lt;&gt;"""",REGEXEXTRACT($T904, M$1&amp;""[\w &amp;]*, (\d+\.\d+)""),"""")
"),"")</f>
        <v/>
      </c>
      <c r="N904" s="3" t="str">
        <f aca="false">IFERROR(__xludf.dummyfunction("if($T904&lt;&gt;"""",REGEXEXTRACT(SUBSTITUTE ($T904,N$1&amp;"" CE"",""""), N$1&amp;""[\w &amp;]*, (\d+\.\d+)""),"""")
"),"")</f>
        <v/>
      </c>
      <c r="O904" s="3" t="str">
        <f aca="false">IFERROR(__xludf.dummyfunction("if($T904&lt;&gt;"""",REGEXEXTRACT($T904, O$1&amp;""[\w &amp;]*, (\d+\.\d+)""),"""")
"),"")</f>
        <v/>
      </c>
      <c r="P904" s="2"/>
      <c r="Q904" s="2"/>
      <c r="R904" s="2"/>
      <c r="S904" s="2"/>
      <c r="T904" s="5"/>
    </row>
    <row r="905" customFormat="false" ht="15.75" hidden="false" customHeight="false" outlineLevel="0" collapsed="false">
      <c r="A905" s="4"/>
      <c r="B905" s="2"/>
      <c r="C905" s="2"/>
      <c r="D905" s="2"/>
      <c r="E905" s="2"/>
      <c r="F905" s="3" t="str">
        <f aca="false">IFERROR(__xludf.dummyfunction("if($T905&lt;&gt;"""",REGEXEXTRACT(SUBSTITUTE ($T905,F$1&amp;"" CE"",""""), F$1&amp;""[\w &amp;]*, (\d+\.\d+)""),"""")
"),"")</f>
        <v/>
      </c>
      <c r="G905" s="3" t="str">
        <f aca="false">IFERROR(__xludf.dummyfunction("if($T905&lt;&gt;"""",REGEXEXTRACT($T905, G$1&amp;""[\w &amp;]*, (\d+\.\d+)""),"""")
"),"")</f>
        <v/>
      </c>
      <c r="H905" s="3"/>
      <c r="I905" s="3" t="str">
        <f aca="false">IFERROR(__xludf.dummyfunction("if($T905&lt;&gt;"""",REGEXEXTRACT(SUBSTITUTE ($T905,I$1&amp;"" CE"",""""), I$1&amp;""[\w &amp;]*, (\d+\.\d+)""),"""")
"),"")</f>
        <v/>
      </c>
      <c r="J905" s="3" t="str">
        <f aca="false">IFERROR(__xludf.dummyfunction("if($T905&lt;&gt;"""",REGEXEXTRACT($T905, J$1&amp;""[\w &amp;]*, (\d+\.\d+)""),"""")
"),"")</f>
        <v/>
      </c>
      <c r="K905" s="3"/>
      <c r="L905" s="3" t="str">
        <f aca="false">IFERROR(__xludf.dummyfunction("if($T905&lt;&gt;"""",REGEXEXTRACT(SUBSTITUTE ($T905,L$1&amp;"" CE"",""""), L$1&amp;""[\w &amp;]*, (\d+\.\d+)""),"""")
"),"")</f>
        <v/>
      </c>
      <c r="M905" s="3" t="str">
        <f aca="false">IFERROR(__xludf.dummyfunction("if($T905&lt;&gt;"""",REGEXEXTRACT($T905, M$1&amp;""[\w &amp;]*, (\d+\.\d+)""),"""")
"),"")</f>
        <v/>
      </c>
      <c r="N905" s="3" t="str">
        <f aca="false">IFERROR(__xludf.dummyfunction("if($T905&lt;&gt;"""",REGEXEXTRACT(SUBSTITUTE ($T905,N$1&amp;"" CE"",""""), N$1&amp;""[\w &amp;]*, (\d+\.\d+)""),"""")
"),"")</f>
        <v/>
      </c>
      <c r="O905" s="3" t="str">
        <f aca="false">IFERROR(__xludf.dummyfunction("if($T905&lt;&gt;"""",REGEXEXTRACT($T905, O$1&amp;""[\w &amp;]*, (\d+\.\d+)""),"""")
"),"")</f>
        <v/>
      </c>
      <c r="P905" s="2"/>
      <c r="Q905" s="2"/>
      <c r="R905" s="2"/>
      <c r="S905" s="2"/>
      <c r="T905" s="5"/>
    </row>
    <row r="906" customFormat="false" ht="15.75" hidden="false" customHeight="false" outlineLevel="0" collapsed="false">
      <c r="A906" s="4"/>
      <c r="B906" s="2"/>
      <c r="C906" s="2"/>
      <c r="D906" s="2"/>
      <c r="E906" s="2"/>
      <c r="F906" s="3" t="str">
        <f aca="false">IFERROR(__xludf.dummyfunction("if($T906&lt;&gt;"""",REGEXEXTRACT(SUBSTITUTE ($T906,F$1&amp;"" CE"",""""), F$1&amp;""[\w &amp;]*, (\d+\.\d+)""),"""")
"),"")</f>
        <v/>
      </c>
      <c r="G906" s="3" t="str">
        <f aca="false">IFERROR(__xludf.dummyfunction("if($T906&lt;&gt;"""",REGEXEXTRACT($T906, G$1&amp;""[\w &amp;]*, (\d+\.\d+)""),"""")
"),"")</f>
        <v/>
      </c>
      <c r="H906" s="3"/>
      <c r="I906" s="3" t="str">
        <f aca="false">IFERROR(__xludf.dummyfunction("if($T906&lt;&gt;"""",REGEXEXTRACT(SUBSTITUTE ($T906,I$1&amp;"" CE"",""""), I$1&amp;""[\w &amp;]*, (\d+\.\d+)""),"""")
"),"")</f>
        <v/>
      </c>
      <c r="J906" s="3" t="str">
        <f aca="false">IFERROR(__xludf.dummyfunction("if($T906&lt;&gt;"""",REGEXEXTRACT($T906, J$1&amp;""[\w &amp;]*, (\d+\.\d+)""),"""")
"),"")</f>
        <v/>
      </c>
      <c r="K906" s="3"/>
      <c r="L906" s="3" t="str">
        <f aca="false">IFERROR(__xludf.dummyfunction("if($T906&lt;&gt;"""",REGEXEXTRACT(SUBSTITUTE ($T906,L$1&amp;"" CE"",""""), L$1&amp;""[\w &amp;]*, (\d+\.\d+)""),"""")
"),"")</f>
        <v/>
      </c>
      <c r="M906" s="3" t="str">
        <f aca="false">IFERROR(__xludf.dummyfunction("if($T906&lt;&gt;"""",REGEXEXTRACT($T906, M$1&amp;""[\w &amp;]*, (\d+\.\d+)""),"""")
"),"")</f>
        <v/>
      </c>
      <c r="N906" s="3" t="str">
        <f aca="false">IFERROR(__xludf.dummyfunction("if($T906&lt;&gt;"""",REGEXEXTRACT(SUBSTITUTE ($T906,N$1&amp;"" CE"",""""), N$1&amp;""[\w &amp;]*, (\d+\.\d+)""),"""")
"),"")</f>
        <v/>
      </c>
      <c r="O906" s="3" t="str">
        <f aca="false">IFERROR(__xludf.dummyfunction("if($T906&lt;&gt;"""",REGEXEXTRACT($T906, O$1&amp;""[\w &amp;]*, (\d+\.\d+)""),"""")
"),"")</f>
        <v/>
      </c>
      <c r="P906" s="2"/>
      <c r="Q906" s="2"/>
      <c r="R906" s="2"/>
      <c r="S906" s="2"/>
      <c r="T906" s="5"/>
    </row>
    <row r="907" customFormat="false" ht="15.75" hidden="false" customHeight="false" outlineLevel="0" collapsed="false">
      <c r="A907" s="4"/>
      <c r="B907" s="2"/>
      <c r="C907" s="2"/>
      <c r="D907" s="2"/>
      <c r="E907" s="2"/>
      <c r="F907" s="3" t="str">
        <f aca="false">IFERROR(__xludf.dummyfunction("if($T907&lt;&gt;"""",REGEXEXTRACT(SUBSTITUTE ($T907,F$1&amp;"" CE"",""""), F$1&amp;""[\w &amp;]*, (\d+\.\d+)""),"""")
"),"")</f>
        <v/>
      </c>
      <c r="G907" s="3" t="str">
        <f aca="false">IFERROR(__xludf.dummyfunction("if($T907&lt;&gt;"""",REGEXEXTRACT($T907, G$1&amp;""[\w &amp;]*, (\d+\.\d+)""),"""")
"),"")</f>
        <v/>
      </c>
      <c r="H907" s="3"/>
      <c r="I907" s="3" t="str">
        <f aca="false">IFERROR(__xludf.dummyfunction("if($T907&lt;&gt;"""",REGEXEXTRACT(SUBSTITUTE ($T907,I$1&amp;"" CE"",""""), I$1&amp;""[\w &amp;]*, (\d+\.\d+)""),"""")
"),"")</f>
        <v/>
      </c>
      <c r="J907" s="3" t="str">
        <f aca="false">IFERROR(__xludf.dummyfunction("if($T907&lt;&gt;"""",REGEXEXTRACT($T907, J$1&amp;""[\w &amp;]*, (\d+\.\d+)""),"""")
"),"")</f>
        <v/>
      </c>
      <c r="K907" s="3"/>
      <c r="L907" s="3" t="str">
        <f aca="false">IFERROR(__xludf.dummyfunction("if($T907&lt;&gt;"""",REGEXEXTRACT(SUBSTITUTE ($T907,L$1&amp;"" CE"",""""), L$1&amp;""[\w &amp;]*, (\d+\.\d+)""),"""")
"),"")</f>
        <v/>
      </c>
      <c r="M907" s="3" t="str">
        <f aca="false">IFERROR(__xludf.dummyfunction("if($T907&lt;&gt;"""",REGEXEXTRACT($T907, M$1&amp;""[\w &amp;]*, (\d+\.\d+)""),"""")
"),"")</f>
        <v/>
      </c>
      <c r="N907" s="3" t="str">
        <f aca="false">IFERROR(__xludf.dummyfunction("if($T907&lt;&gt;"""",REGEXEXTRACT(SUBSTITUTE ($T907,N$1&amp;"" CE"",""""), N$1&amp;""[\w &amp;]*, (\d+\.\d+)""),"""")
"),"")</f>
        <v/>
      </c>
      <c r="O907" s="3" t="str">
        <f aca="false">IFERROR(__xludf.dummyfunction("if($T907&lt;&gt;"""",REGEXEXTRACT($T907, O$1&amp;""[\w &amp;]*, (\d+\.\d+)""),"""")
"),"")</f>
        <v/>
      </c>
      <c r="P907" s="2"/>
      <c r="Q907" s="2"/>
      <c r="R907" s="2"/>
      <c r="S907" s="2"/>
      <c r="T907" s="5"/>
    </row>
    <row r="908" customFormat="false" ht="15.75" hidden="false" customHeight="false" outlineLevel="0" collapsed="false">
      <c r="A908" s="4"/>
      <c r="B908" s="2"/>
      <c r="C908" s="2"/>
      <c r="D908" s="2"/>
      <c r="E908" s="2"/>
      <c r="F908" s="3" t="str">
        <f aca="false">IFERROR(__xludf.dummyfunction("if($T908&lt;&gt;"""",REGEXEXTRACT(SUBSTITUTE ($T908,F$1&amp;"" CE"",""""), F$1&amp;""[\w &amp;]*, (\d+\.\d+)""),"""")
"),"")</f>
        <v/>
      </c>
      <c r="G908" s="3" t="str">
        <f aca="false">IFERROR(__xludf.dummyfunction("if($T908&lt;&gt;"""",REGEXEXTRACT($T908, G$1&amp;""[\w &amp;]*, (\d+\.\d+)""),"""")
"),"")</f>
        <v/>
      </c>
      <c r="H908" s="3"/>
      <c r="I908" s="3" t="str">
        <f aca="false">IFERROR(__xludf.dummyfunction("if($T908&lt;&gt;"""",REGEXEXTRACT(SUBSTITUTE ($T908,I$1&amp;"" CE"",""""), I$1&amp;""[\w &amp;]*, (\d+\.\d+)""),"""")
"),"")</f>
        <v/>
      </c>
      <c r="J908" s="3" t="str">
        <f aca="false">IFERROR(__xludf.dummyfunction("if($T908&lt;&gt;"""",REGEXEXTRACT($T908, J$1&amp;""[\w &amp;]*, (\d+\.\d+)""),"""")
"),"")</f>
        <v/>
      </c>
      <c r="K908" s="3"/>
      <c r="L908" s="3" t="str">
        <f aca="false">IFERROR(__xludf.dummyfunction("if($T908&lt;&gt;"""",REGEXEXTRACT(SUBSTITUTE ($T908,L$1&amp;"" CE"",""""), L$1&amp;""[\w &amp;]*, (\d+\.\d+)""),"""")
"),"")</f>
        <v/>
      </c>
      <c r="M908" s="3" t="str">
        <f aca="false">IFERROR(__xludf.dummyfunction("if($T908&lt;&gt;"""",REGEXEXTRACT($T908, M$1&amp;""[\w &amp;]*, (\d+\.\d+)""),"""")
"),"")</f>
        <v/>
      </c>
      <c r="N908" s="3" t="str">
        <f aca="false">IFERROR(__xludf.dummyfunction("if($T908&lt;&gt;"""",REGEXEXTRACT(SUBSTITUTE ($T908,N$1&amp;"" CE"",""""), N$1&amp;""[\w &amp;]*, (\d+\.\d+)""),"""")
"),"")</f>
        <v/>
      </c>
      <c r="O908" s="3" t="str">
        <f aca="false">IFERROR(__xludf.dummyfunction("if($T908&lt;&gt;"""",REGEXEXTRACT($T908, O$1&amp;""[\w &amp;]*, (\d+\.\d+)""),"""")
"),"")</f>
        <v/>
      </c>
      <c r="P908" s="2"/>
      <c r="Q908" s="2"/>
      <c r="R908" s="2"/>
      <c r="S908" s="2"/>
      <c r="T908" s="5"/>
    </row>
    <row r="909" customFormat="false" ht="15.75" hidden="false" customHeight="false" outlineLevel="0" collapsed="false">
      <c r="A909" s="4"/>
      <c r="B909" s="2"/>
      <c r="C909" s="2"/>
      <c r="D909" s="2"/>
      <c r="E909" s="2"/>
      <c r="F909" s="3" t="str">
        <f aca="false">IFERROR(__xludf.dummyfunction("if($T909&lt;&gt;"""",REGEXEXTRACT(SUBSTITUTE ($T909,F$1&amp;"" CE"",""""), F$1&amp;""[\w &amp;]*, (\d+\.\d+)""),"""")
"),"")</f>
        <v/>
      </c>
      <c r="G909" s="3" t="str">
        <f aca="false">IFERROR(__xludf.dummyfunction("if($T909&lt;&gt;"""",REGEXEXTRACT($T909, G$1&amp;""[\w &amp;]*, (\d+\.\d+)""),"""")
"),"")</f>
        <v/>
      </c>
      <c r="H909" s="3"/>
      <c r="I909" s="3" t="str">
        <f aca="false">IFERROR(__xludf.dummyfunction("if($T909&lt;&gt;"""",REGEXEXTRACT(SUBSTITUTE ($T909,I$1&amp;"" CE"",""""), I$1&amp;""[\w &amp;]*, (\d+\.\d+)""),"""")
"),"")</f>
        <v/>
      </c>
      <c r="J909" s="3" t="str">
        <f aca="false">IFERROR(__xludf.dummyfunction("if($T909&lt;&gt;"""",REGEXEXTRACT($T909, J$1&amp;""[\w &amp;]*, (\d+\.\d+)""),"""")
"),"")</f>
        <v/>
      </c>
      <c r="K909" s="3"/>
      <c r="L909" s="3" t="str">
        <f aca="false">IFERROR(__xludf.dummyfunction("if($T909&lt;&gt;"""",REGEXEXTRACT(SUBSTITUTE ($T909,L$1&amp;"" CE"",""""), L$1&amp;""[\w &amp;]*, (\d+\.\d+)""),"""")
"),"")</f>
        <v/>
      </c>
      <c r="M909" s="3" t="str">
        <f aca="false">IFERROR(__xludf.dummyfunction("if($T909&lt;&gt;"""",REGEXEXTRACT($T909, M$1&amp;""[\w &amp;]*, (\d+\.\d+)""),"""")
"),"")</f>
        <v/>
      </c>
      <c r="N909" s="3" t="str">
        <f aca="false">IFERROR(__xludf.dummyfunction("if($T909&lt;&gt;"""",REGEXEXTRACT(SUBSTITUTE ($T909,N$1&amp;"" CE"",""""), N$1&amp;""[\w &amp;]*, (\d+\.\d+)""),"""")
"),"")</f>
        <v/>
      </c>
      <c r="O909" s="3" t="str">
        <f aca="false">IFERROR(__xludf.dummyfunction("if($T909&lt;&gt;"""",REGEXEXTRACT($T909, O$1&amp;""[\w &amp;]*, (\d+\.\d+)""),"""")
"),"")</f>
        <v/>
      </c>
      <c r="P909" s="2"/>
      <c r="Q909" s="2"/>
      <c r="R909" s="2"/>
      <c r="S909" s="2"/>
      <c r="T909" s="5"/>
    </row>
    <row r="910" customFormat="false" ht="15.75" hidden="false" customHeight="false" outlineLevel="0" collapsed="false">
      <c r="A910" s="4"/>
      <c r="B910" s="2"/>
      <c r="C910" s="2"/>
      <c r="D910" s="2"/>
      <c r="E910" s="2"/>
      <c r="F910" s="3" t="str">
        <f aca="false">IFERROR(__xludf.dummyfunction("if($T910&lt;&gt;"""",REGEXEXTRACT(SUBSTITUTE ($T910,F$1&amp;"" CE"",""""), F$1&amp;""[\w &amp;]*, (\d+\.\d+)""),"""")
"),"")</f>
        <v/>
      </c>
      <c r="G910" s="3" t="str">
        <f aca="false">IFERROR(__xludf.dummyfunction("if($T910&lt;&gt;"""",REGEXEXTRACT($T910, G$1&amp;""[\w &amp;]*, (\d+\.\d+)""),"""")
"),"")</f>
        <v/>
      </c>
      <c r="H910" s="3"/>
      <c r="I910" s="3" t="str">
        <f aca="false">IFERROR(__xludf.dummyfunction("if($T910&lt;&gt;"""",REGEXEXTRACT(SUBSTITUTE ($T910,I$1&amp;"" CE"",""""), I$1&amp;""[\w &amp;]*, (\d+\.\d+)""),"""")
"),"")</f>
        <v/>
      </c>
      <c r="J910" s="3" t="str">
        <f aca="false">IFERROR(__xludf.dummyfunction("if($T910&lt;&gt;"""",REGEXEXTRACT($T910, J$1&amp;""[\w &amp;]*, (\d+\.\d+)""),"""")
"),"")</f>
        <v/>
      </c>
      <c r="K910" s="3"/>
      <c r="L910" s="3" t="str">
        <f aca="false">IFERROR(__xludf.dummyfunction("if($T910&lt;&gt;"""",REGEXEXTRACT(SUBSTITUTE ($T910,L$1&amp;"" CE"",""""), L$1&amp;""[\w &amp;]*, (\d+\.\d+)""),"""")
"),"")</f>
        <v/>
      </c>
      <c r="M910" s="3" t="str">
        <f aca="false">IFERROR(__xludf.dummyfunction("if($T910&lt;&gt;"""",REGEXEXTRACT($T910, M$1&amp;""[\w &amp;]*, (\d+\.\d+)""),"""")
"),"")</f>
        <v/>
      </c>
      <c r="N910" s="3" t="str">
        <f aca="false">IFERROR(__xludf.dummyfunction("if($T910&lt;&gt;"""",REGEXEXTRACT(SUBSTITUTE ($T910,N$1&amp;"" CE"",""""), N$1&amp;""[\w &amp;]*, (\d+\.\d+)""),"""")
"),"")</f>
        <v/>
      </c>
      <c r="O910" s="3" t="str">
        <f aca="false">IFERROR(__xludf.dummyfunction("if($T910&lt;&gt;"""",REGEXEXTRACT($T910, O$1&amp;""[\w &amp;]*, (\d+\.\d+)""),"""")
"),"")</f>
        <v/>
      </c>
      <c r="P910" s="2"/>
      <c r="Q910" s="2"/>
      <c r="R910" s="2"/>
      <c r="S910" s="2"/>
      <c r="T910" s="5"/>
    </row>
    <row r="911" customFormat="false" ht="15.75" hidden="false" customHeight="false" outlineLevel="0" collapsed="false">
      <c r="A911" s="4"/>
      <c r="B911" s="2"/>
      <c r="C911" s="2"/>
      <c r="D911" s="2"/>
      <c r="E911" s="2"/>
      <c r="F911" s="3" t="str">
        <f aca="false">IFERROR(__xludf.dummyfunction("if($T911&lt;&gt;"""",REGEXEXTRACT(SUBSTITUTE ($T911,F$1&amp;"" CE"",""""), F$1&amp;""[\w &amp;]*, (\d+\.\d+)""),"""")
"),"")</f>
        <v/>
      </c>
      <c r="G911" s="3" t="str">
        <f aca="false">IFERROR(__xludf.dummyfunction("if($T911&lt;&gt;"""",REGEXEXTRACT($T911, G$1&amp;""[\w &amp;]*, (\d+\.\d+)""),"""")
"),"")</f>
        <v/>
      </c>
      <c r="H911" s="3"/>
      <c r="I911" s="3" t="str">
        <f aca="false">IFERROR(__xludf.dummyfunction("if($T911&lt;&gt;"""",REGEXEXTRACT(SUBSTITUTE ($T911,I$1&amp;"" CE"",""""), I$1&amp;""[\w &amp;]*, (\d+\.\d+)""),"""")
"),"")</f>
        <v/>
      </c>
      <c r="J911" s="3" t="str">
        <f aca="false">IFERROR(__xludf.dummyfunction("if($T911&lt;&gt;"""",REGEXEXTRACT($T911, J$1&amp;""[\w &amp;]*, (\d+\.\d+)""),"""")
"),"")</f>
        <v/>
      </c>
      <c r="K911" s="3"/>
      <c r="L911" s="3" t="str">
        <f aca="false">IFERROR(__xludf.dummyfunction("if($T911&lt;&gt;"""",REGEXEXTRACT(SUBSTITUTE ($T911,L$1&amp;"" CE"",""""), L$1&amp;""[\w &amp;]*, (\d+\.\d+)""),"""")
"),"")</f>
        <v/>
      </c>
      <c r="M911" s="3" t="str">
        <f aca="false">IFERROR(__xludf.dummyfunction("if($T911&lt;&gt;"""",REGEXEXTRACT($T911, M$1&amp;""[\w &amp;]*, (\d+\.\d+)""),"""")
"),"")</f>
        <v/>
      </c>
      <c r="N911" s="3" t="str">
        <f aca="false">IFERROR(__xludf.dummyfunction("if($T911&lt;&gt;"""",REGEXEXTRACT(SUBSTITUTE ($T911,N$1&amp;"" CE"",""""), N$1&amp;""[\w &amp;]*, (\d+\.\d+)""),"""")
"),"")</f>
        <v/>
      </c>
      <c r="O911" s="3" t="str">
        <f aca="false">IFERROR(__xludf.dummyfunction("if($T911&lt;&gt;"""",REGEXEXTRACT($T911, O$1&amp;""[\w &amp;]*, (\d+\.\d+)""),"""")
"),"")</f>
        <v/>
      </c>
      <c r="P911" s="2"/>
      <c r="Q911" s="2"/>
      <c r="R911" s="2"/>
      <c r="S911" s="2"/>
      <c r="T911" s="5"/>
    </row>
    <row r="912" customFormat="false" ht="15.75" hidden="false" customHeight="false" outlineLevel="0" collapsed="false">
      <c r="A912" s="4"/>
      <c r="B912" s="2"/>
      <c r="C912" s="2"/>
      <c r="D912" s="2"/>
      <c r="E912" s="2"/>
      <c r="F912" s="3" t="str">
        <f aca="false">IFERROR(__xludf.dummyfunction("if($T912&lt;&gt;"""",REGEXEXTRACT(SUBSTITUTE ($T912,F$1&amp;"" CE"",""""), F$1&amp;""[\w &amp;]*, (\d+\.\d+)""),"""")
"),"")</f>
        <v/>
      </c>
      <c r="G912" s="3" t="str">
        <f aca="false">IFERROR(__xludf.dummyfunction("if($T912&lt;&gt;"""",REGEXEXTRACT($T912, G$1&amp;""[\w &amp;]*, (\d+\.\d+)""),"""")
"),"")</f>
        <v/>
      </c>
      <c r="H912" s="3"/>
      <c r="I912" s="3" t="str">
        <f aca="false">IFERROR(__xludf.dummyfunction("if($T912&lt;&gt;"""",REGEXEXTRACT(SUBSTITUTE ($T912,I$1&amp;"" CE"",""""), I$1&amp;""[\w &amp;]*, (\d+\.\d+)""),"""")
"),"")</f>
        <v/>
      </c>
      <c r="J912" s="3" t="str">
        <f aca="false">IFERROR(__xludf.dummyfunction("if($T912&lt;&gt;"""",REGEXEXTRACT($T912, J$1&amp;""[\w &amp;]*, (\d+\.\d+)""),"""")
"),"")</f>
        <v/>
      </c>
      <c r="K912" s="3"/>
      <c r="L912" s="3" t="str">
        <f aca="false">IFERROR(__xludf.dummyfunction("if($T912&lt;&gt;"""",REGEXEXTRACT(SUBSTITUTE ($T912,L$1&amp;"" CE"",""""), L$1&amp;""[\w &amp;]*, (\d+\.\d+)""),"""")
"),"")</f>
        <v/>
      </c>
      <c r="M912" s="3" t="str">
        <f aca="false">IFERROR(__xludf.dummyfunction("if($T912&lt;&gt;"""",REGEXEXTRACT($T912, M$1&amp;""[\w &amp;]*, (\d+\.\d+)""),"""")
"),"")</f>
        <v/>
      </c>
      <c r="N912" s="3" t="str">
        <f aca="false">IFERROR(__xludf.dummyfunction("if($T912&lt;&gt;"""",REGEXEXTRACT(SUBSTITUTE ($T912,N$1&amp;"" CE"",""""), N$1&amp;""[\w &amp;]*, (\d+\.\d+)""),"""")
"),"")</f>
        <v/>
      </c>
      <c r="O912" s="3" t="str">
        <f aca="false">IFERROR(__xludf.dummyfunction("if($T912&lt;&gt;"""",REGEXEXTRACT($T912, O$1&amp;""[\w &amp;]*, (\d+\.\d+)""),"""")
"),"")</f>
        <v/>
      </c>
      <c r="P912" s="2"/>
      <c r="Q912" s="2"/>
      <c r="R912" s="2"/>
      <c r="S912" s="2"/>
      <c r="T912" s="5"/>
    </row>
    <row r="913" customFormat="false" ht="15.75" hidden="false" customHeight="false" outlineLevel="0" collapsed="false">
      <c r="A913" s="4"/>
      <c r="B913" s="2"/>
      <c r="C913" s="2"/>
      <c r="D913" s="2"/>
      <c r="E913" s="2"/>
      <c r="F913" s="3" t="str">
        <f aca="false">IFERROR(__xludf.dummyfunction("if($T913&lt;&gt;"""",REGEXEXTRACT(SUBSTITUTE ($T913,F$1&amp;"" CE"",""""), F$1&amp;""[\w &amp;]*, (\d+\.\d+)""),"""")
"),"")</f>
        <v/>
      </c>
      <c r="G913" s="3" t="str">
        <f aca="false">IFERROR(__xludf.dummyfunction("if($T913&lt;&gt;"""",REGEXEXTRACT($T913, G$1&amp;""[\w &amp;]*, (\d+\.\d+)""),"""")
"),"")</f>
        <v/>
      </c>
      <c r="H913" s="3"/>
      <c r="I913" s="3" t="str">
        <f aca="false">IFERROR(__xludf.dummyfunction("if($T913&lt;&gt;"""",REGEXEXTRACT(SUBSTITUTE ($T913,I$1&amp;"" CE"",""""), I$1&amp;""[\w &amp;]*, (\d+\.\d+)""),"""")
"),"")</f>
        <v/>
      </c>
      <c r="J913" s="3" t="str">
        <f aca="false">IFERROR(__xludf.dummyfunction("if($T913&lt;&gt;"""",REGEXEXTRACT($T913, J$1&amp;""[\w &amp;]*, (\d+\.\d+)""),"""")
"),"")</f>
        <v/>
      </c>
      <c r="K913" s="3"/>
      <c r="L913" s="3" t="str">
        <f aca="false">IFERROR(__xludf.dummyfunction("if($T913&lt;&gt;"""",REGEXEXTRACT(SUBSTITUTE ($T913,L$1&amp;"" CE"",""""), L$1&amp;""[\w &amp;]*, (\d+\.\d+)""),"""")
"),"")</f>
        <v/>
      </c>
      <c r="M913" s="3" t="str">
        <f aca="false">IFERROR(__xludf.dummyfunction("if($T913&lt;&gt;"""",REGEXEXTRACT($T913, M$1&amp;""[\w &amp;]*, (\d+\.\d+)""),"""")
"),"")</f>
        <v/>
      </c>
      <c r="N913" s="3" t="str">
        <f aca="false">IFERROR(__xludf.dummyfunction("if($T913&lt;&gt;"""",REGEXEXTRACT(SUBSTITUTE ($T913,N$1&amp;"" CE"",""""), N$1&amp;""[\w &amp;]*, (\d+\.\d+)""),"""")
"),"")</f>
        <v/>
      </c>
      <c r="O913" s="3" t="str">
        <f aca="false">IFERROR(__xludf.dummyfunction("if($T913&lt;&gt;"""",REGEXEXTRACT($T913, O$1&amp;""[\w &amp;]*, (\d+\.\d+)""),"""")
"),"")</f>
        <v/>
      </c>
      <c r="P913" s="2"/>
      <c r="Q913" s="2"/>
      <c r="R913" s="2"/>
      <c r="S913" s="2"/>
      <c r="T913" s="5"/>
    </row>
    <row r="914" customFormat="false" ht="15.75" hidden="false" customHeight="false" outlineLevel="0" collapsed="false">
      <c r="A914" s="4"/>
      <c r="B914" s="2"/>
      <c r="C914" s="2"/>
      <c r="D914" s="2"/>
      <c r="E914" s="2"/>
      <c r="F914" s="3" t="str">
        <f aca="false">IFERROR(__xludf.dummyfunction("if($T914&lt;&gt;"""",REGEXEXTRACT(SUBSTITUTE ($T914,F$1&amp;"" CE"",""""), F$1&amp;""[\w &amp;]*, (\d+\.\d+)""),"""")
"),"")</f>
        <v/>
      </c>
      <c r="G914" s="3" t="str">
        <f aca="false">IFERROR(__xludf.dummyfunction("if($T914&lt;&gt;"""",REGEXEXTRACT($T914, G$1&amp;""[\w &amp;]*, (\d+\.\d+)""),"""")
"),"")</f>
        <v/>
      </c>
      <c r="H914" s="3"/>
      <c r="I914" s="3" t="str">
        <f aca="false">IFERROR(__xludf.dummyfunction("if($T914&lt;&gt;"""",REGEXEXTRACT(SUBSTITUTE ($T914,I$1&amp;"" CE"",""""), I$1&amp;""[\w &amp;]*, (\d+\.\d+)""),"""")
"),"")</f>
        <v/>
      </c>
      <c r="J914" s="3" t="str">
        <f aca="false">IFERROR(__xludf.dummyfunction("if($T914&lt;&gt;"""",REGEXEXTRACT($T914, J$1&amp;""[\w &amp;]*, (\d+\.\d+)""),"""")
"),"")</f>
        <v/>
      </c>
      <c r="K914" s="3"/>
      <c r="L914" s="3" t="str">
        <f aca="false">IFERROR(__xludf.dummyfunction("if($T914&lt;&gt;"""",REGEXEXTRACT(SUBSTITUTE ($T914,L$1&amp;"" CE"",""""), L$1&amp;""[\w &amp;]*, (\d+\.\d+)""),"""")
"),"")</f>
        <v/>
      </c>
      <c r="M914" s="3" t="str">
        <f aca="false">IFERROR(__xludf.dummyfunction("if($T914&lt;&gt;"""",REGEXEXTRACT($T914, M$1&amp;""[\w &amp;]*, (\d+\.\d+)""),"""")
"),"")</f>
        <v/>
      </c>
      <c r="N914" s="3" t="str">
        <f aca="false">IFERROR(__xludf.dummyfunction("if($T914&lt;&gt;"""",REGEXEXTRACT(SUBSTITUTE ($T914,N$1&amp;"" CE"",""""), N$1&amp;""[\w &amp;]*, (\d+\.\d+)""),"""")
"),"")</f>
        <v/>
      </c>
      <c r="O914" s="3" t="str">
        <f aca="false">IFERROR(__xludf.dummyfunction("if($T914&lt;&gt;"""",REGEXEXTRACT($T914, O$1&amp;""[\w &amp;]*, (\d+\.\d+)""),"""")
"),"")</f>
        <v/>
      </c>
      <c r="P914" s="2"/>
      <c r="Q914" s="2"/>
      <c r="R914" s="2"/>
      <c r="S914" s="2"/>
      <c r="T914" s="5"/>
    </row>
    <row r="915" customFormat="false" ht="15.75" hidden="false" customHeight="false" outlineLevel="0" collapsed="false">
      <c r="A915" s="4"/>
      <c r="B915" s="2"/>
      <c r="C915" s="2"/>
      <c r="D915" s="2"/>
      <c r="E915" s="2"/>
      <c r="F915" s="3" t="str">
        <f aca="false">IFERROR(__xludf.dummyfunction("if($T915&lt;&gt;"""",REGEXEXTRACT(SUBSTITUTE ($T915,F$1&amp;"" CE"",""""), F$1&amp;""[\w &amp;]*, (\d+\.\d+)""),"""")
"),"")</f>
        <v/>
      </c>
      <c r="G915" s="3" t="str">
        <f aca="false">IFERROR(__xludf.dummyfunction("if($T915&lt;&gt;"""",REGEXEXTRACT($T915, G$1&amp;""[\w &amp;]*, (\d+\.\d+)""),"""")
"),"")</f>
        <v/>
      </c>
      <c r="H915" s="3"/>
      <c r="I915" s="3" t="str">
        <f aca="false">IFERROR(__xludf.dummyfunction("if($T915&lt;&gt;"""",REGEXEXTRACT(SUBSTITUTE ($T915,I$1&amp;"" CE"",""""), I$1&amp;""[\w &amp;]*, (\d+\.\d+)""),"""")
"),"")</f>
        <v/>
      </c>
      <c r="J915" s="3" t="str">
        <f aca="false">IFERROR(__xludf.dummyfunction("if($T915&lt;&gt;"""",REGEXEXTRACT($T915, J$1&amp;""[\w &amp;]*, (\d+\.\d+)""),"""")
"),"")</f>
        <v/>
      </c>
      <c r="K915" s="3"/>
      <c r="L915" s="3" t="str">
        <f aca="false">IFERROR(__xludf.dummyfunction("if($T915&lt;&gt;"""",REGEXEXTRACT(SUBSTITUTE ($T915,L$1&amp;"" CE"",""""), L$1&amp;""[\w &amp;]*, (\d+\.\d+)""),"""")
"),"")</f>
        <v/>
      </c>
      <c r="M915" s="3" t="str">
        <f aca="false">IFERROR(__xludf.dummyfunction("if($T915&lt;&gt;"""",REGEXEXTRACT($T915, M$1&amp;""[\w &amp;]*, (\d+\.\d+)""),"""")
"),"")</f>
        <v/>
      </c>
      <c r="N915" s="3" t="str">
        <f aca="false">IFERROR(__xludf.dummyfunction("if($T915&lt;&gt;"""",REGEXEXTRACT(SUBSTITUTE ($T915,N$1&amp;"" CE"",""""), N$1&amp;""[\w &amp;]*, (\d+\.\d+)""),"""")
"),"")</f>
        <v/>
      </c>
      <c r="O915" s="3" t="str">
        <f aca="false">IFERROR(__xludf.dummyfunction("if($T915&lt;&gt;"""",REGEXEXTRACT($T915, O$1&amp;""[\w &amp;]*, (\d+\.\d+)""),"""")
"),"")</f>
        <v/>
      </c>
      <c r="P915" s="2"/>
      <c r="Q915" s="2"/>
      <c r="R915" s="2"/>
      <c r="S915" s="2"/>
      <c r="T915" s="5"/>
    </row>
    <row r="916" customFormat="false" ht="15.75" hidden="false" customHeight="false" outlineLevel="0" collapsed="false">
      <c r="A916" s="4"/>
      <c r="B916" s="2"/>
      <c r="C916" s="2"/>
      <c r="D916" s="2"/>
      <c r="E916" s="2"/>
      <c r="F916" s="3" t="str">
        <f aca="false">IFERROR(__xludf.dummyfunction("if($T916&lt;&gt;"""",REGEXEXTRACT(SUBSTITUTE ($T916,F$1&amp;"" CE"",""""), F$1&amp;""[\w &amp;]*, (\d+\.\d+)""),"""")
"),"")</f>
        <v/>
      </c>
      <c r="G916" s="3" t="str">
        <f aca="false">IFERROR(__xludf.dummyfunction("if($T916&lt;&gt;"""",REGEXEXTRACT($T916, G$1&amp;""[\w &amp;]*, (\d+\.\d+)""),"""")
"),"")</f>
        <v/>
      </c>
      <c r="H916" s="3"/>
      <c r="I916" s="3" t="str">
        <f aca="false">IFERROR(__xludf.dummyfunction("if($T916&lt;&gt;"""",REGEXEXTRACT(SUBSTITUTE ($T916,I$1&amp;"" CE"",""""), I$1&amp;""[\w &amp;]*, (\d+\.\d+)""),"""")
"),"")</f>
        <v/>
      </c>
      <c r="J916" s="3" t="str">
        <f aca="false">IFERROR(__xludf.dummyfunction("if($T916&lt;&gt;"""",REGEXEXTRACT($T916, J$1&amp;""[\w &amp;]*, (\d+\.\d+)""),"""")
"),"")</f>
        <v/>
      </c>
      <c r="K916" s="3"/>
      <c r="L916" s="3" t="str">
        <f aca="false">IFERROR(__xludf.dummyfunction("if($T916&lt;&gt;"""",REGEXEXTRACT(SUBSTITUTE ($T916,L$1&amp;"" CE"",""""), L$1&amp;""[\w &amp;]*, (\d+\.\d+)""),"""")
"),"")</f>
        <v/>
      </c>
      <c r="M916" s="3" t="str">
        <f aca="false">IFERROR(__xludf.dummyfunction("if($T916&lt;&gt;"""",REGEXEXTRACT($T916, M$1&amp;""[\w &amp;]*, (\d+\.\d+)""),"""")
"),"")</f>
        <v/>
      </c>
      <c r="N916" s="3" t="str">
        <f aca="false">IFERROR(__xludf.dummyfunction("if($T916&lt;&gt;"""",REGEXEXTRACT(SUBSTITUTE ($T916,N$1&amp;"" CE"",""""), N$1&amp;""[\w &amp;]*, (\d+\.\d+)""),"""")
"),"")</f>
        <v/>
      </c>
      <c r="O916" s="3" t="str">
        <f aca="false">IFERROR(__xludf.dummyfunction("if($T916&lt;&gt;"""",REGEXEXTRACT($T916, O$1&amp;""[\w &amp;]*, (\d+\.\d+)""),"""")
"),"")</f>
        <v/>
      </c>
      <c r="P916" s="2"/>
      <c r="Q916" s="2"/>
      <c r="R916" s="2"/>
      <c r="S916" s="2"/>
      <c r="T916" s="5"/>
    </row>
    <row r="917" customFormat="false" ht="15.75" hidden="false" customHeight="false" outlineLevel="0" collapsed="false">
      <c r="A917" s="4"/>
      <c r="B917" s="2"/>
      <c r="C917" s="2"/>
      <c r="D917" s="2"/>
      <c r="E917" s="2"/>
      <c r="F917" s="3" t="str">
        <f aca="false">IFERROR(__xludf.dummyfunction("if($T917&lt;&gt;"""",REGEXEXTRACT(SUBSTITUTE ($T917,F$1&amp;"" CE"",""""), F$1&amp;""[\w &amp;]*, (\d+\.\d+)""),"""")
"),"")</f>
        <v/>
      </c>
      <c r="G917" s="3" t="str">
        <f aca="false">IFERROR(__xludf.dummyfunction("if($T917&lt;&gt;"""",REGEXEXTRACT($T917, G$1&amp;""[\w &amp;]*, (\d+\.\d+)""),"""")
"),"")</f>
        <v/>
      </c>
      <c r="H917" s="3"/>
      <c r="I917" s="3" t="str">
        <f aca="false">IFERROR(__xludf.dummyfunction("if($T917&lt;&gt;"""",REGEXEXTRACT(SUBSTITUTE ($T917,I$1&amp;"" CE"",""""), I$1&amp;""[\w &amp;]*, (\d+\.\d+)""),"""")
"),"")</f>
        <v/>
      </c>
      <c r="J917" s="3" t="str">
        <f aca="false">IFERROR(__xludf.dummyfunction("if($T917&lt;&gt;"""",REGEXEXTRACT($T917, J$1&amp;""[\w &amp;]*, (\d+\.\d+)""),"""")
"),"")</f>
        <v/>
      </c>
      <c r="K917" s="3"/>
      <c r="L917" s="3" t="str">
        <f aca="false">IFERROR(__xludf.dummyfunction("if($T917&lt;&gt;"""",REGEXEXTRACT(SUBSTITUTE ($T917,L$1&amp;"" CE"",""""), L$1&amp;""[\w &amp;]*, (\d+\.\d+)""),"""")
"),"")</f>
        <v/>
      </c>
      <c r="M917" s="3" t="str">
        <f aca="false">IFERROR(__xludf.dummyfunction("if($T917&lt;&gt;"""",REGEXEXTRACT($T917, M$1&amp;""[\w &amp;]*, (\d+\.\d+)""),"""")
"),"")</f>
        <v/>
      </c>
      <c r="N917" s="3" t="str">
        <f aca="false">IFERROR(__xludf.dummyfunction("if($T917&lt;&gt;"""",REGEXEXTRACT(SUBSTITUTE ($T917,N$1&amp;"" CE"",""""), N$1&amp;""[\w &amp;]*, (\d+\.\d+)""),"""")
"),"")</f>
        <v/>
      </c>
      <c r="O917" s="3" t="str">
        <f aca="false">IFERROR(__xludf.dummyfunction("if($T917&lt;&gt;"""",REGEXEXTRACT($T917, O$1&amp;""[\w &amp;]*, (\d+\.\d+)""),"""")
"),"")</f>
        <v/>
      </c>
      <c r="P917" s="2"/>
      <c r="Q917" s="2"/>
      <c r="R917" s="2"/>
      <c r="S917" s="2"/>
      <c r="T917" s="5"/>
    </row>
    <row r="918" customFormat="false" ht="15.75" hidden="false" customHeight="false" outlineLevel="0" collapsed="false">
      <c r="A918" s="4"/>
      <c r="B918" s="2"/>
      <c r="C918" s="2"/>
      <c r="D918" s="2"/>
      <c r="E918" s="2"/>
      <c r="F918" s="3" t="str">
        <f aca="false">IFERROR(__xludf.dummyfunction("if($T918&lt;&gt;"""",REGEXEXTRACT(SUBSTITUTE ($T918,F$1&amp;"" CE"",""""), F$1&amp;""[\w &amp;]*, (\d+\.\d+)""),"""")
"),"")</f>
        <v/>
      </c>
      <c r="G918" s="3" t="str">
        <f aca="false">IFERROR(__xludf.dummyfunction("if($T918&lt;&gt;"""",REGEXEXTRACT($T918, G$1&amp;""[\w &amp;]*, (\d+\.\d+)""),"""")
"),"")</f>
        <v/>
      </c>
      <c r="H918" s="3"/>
      <c r="I918" s="3" t="str">
        <f aca="false">IFERROR(__xludf.dummyfunction("if($T918&lt;&gt;"""",REGEXEXTRACT(SUBSTITUTE ($T918,I$1&amp;"" CE"",""""), I$1&amp;""[\w &amp;]*, (\d+\.\d+)""),"""")
"),"")</f>
        <v/>
      </c>
      <c r="J918" s="3" t="str">
        <f aca="false">IFERROR(__xludf.dummyfunction("if($T918&lt;&gt;"""",REGEXEXTRACT($T918, J$1&amp;""[\w &amp;]*, (\d+\.\d+)""),"""")
"),"")</f>
        <v/>
      </c>
      <c r="K918" s="3"/>
      <c r="L918" s="3" t="str">
        <f aca="false">IFERROR(__xludf.dummyfunction("if($T918&lt;&gt;"""",REGEXEXTRACT(SUBSTITUTE ($T918,L$1&amp;"" CE"",""""), L$1&amp;""[\w &amp;]*, (\d+\.\d+)""),"""")
"),"")</f>
        <v/>
      </c>
      <c r="M918" s="3" t="str">
        <f aca="false">IFERROR(__xludf.dummyfunction("if($T918&lt;&gt;"""",REGEXEXTRACT($T918, M$1&amp;""[\w &amp;]*, (\d+\.\d+)""),"""")
"),"")</f>
        <v/>
      </c>
      <c r="N918" s="3" t="str">
        <f aca="false">IFERROR(__xludf.dummyfunction("if($T918&lt;&gt;"""",REGEXEXTRACT(SUBSTITUTE ($T918,N$1&amp;"" CE"",""""), N$1&amp;""[\w &amp;]*, (\d+\.\d+)""),"""")
"),"")</f>
        <v/>
      </c>
      <c r="O918" s="3" t="str">
        <f aca="false">IFERROR(__xludf.dummyfunction("if($T918&lt;&gt;"""",REGEXEXTRACT($T918, O$1&amp;""[\w &amp;]*, (\d+\.\d+)""),"""")
"),"")</f>
        <v/>
      </c>
      <c r="P918" s="2"/>
      <c r="Q918" s="2"/>
      <c r="R918" s="2"/>
      <c r="S918" s="2"/>
      <c r="T918" s="5"/>
    </row>
    <row r="919" customFormat="false" ht="15.75" hidden="false" customHeight="false" outlineLevel="0" collapsed="false">
      <c r="A919" s="4"/>
      <c r="B919" s="2"/>
      <c r="C919" s="2"/>
      <c r="D919" s="2"/>
      <c r="E919" s="2"/>
      <c r="F919" s="3" t="str">
        <f aca="false">IFERROR(__xludf.dummyfunction("if($T919&lt;&gt;"""",REGEXEXTRACT(SUBSTITUTE ($T919,F$1&amp;"" CE"",""""), F$1&amp;""[\w &amp;]*, (\d+\.\d+)""),"""")
"),"")</f>
        <v/>
      </c>
      <c r="G919" s="3" t="str">
        <f aca="false">IFERROR(__xludf.dummyfunction("if($T919&lt;&gt;"""",REGEXEXTRACT($T919, G$1&amp;""[\w &amp;]*, (\d+\.\d+)""),"""")
"),"")</f>
        <v/>
      </c>
      <c r="H919" s="3"/>
      <c r="I919" s="3" t="str">
        <f aca="false">IFERROR(__xludf.dummyfunction("if($T919&lt;&gt;"""",REGEXEXTRACT(SUBSTITUTE ($T919,I$1&amp;"" CE"",""""), I$1&amp;""[\w &amp;]*, (\d+\.\d+)""),"""")
"),"")</f>
        <v/>
      </c>
      <c r="J919" s="3" t="str">
        <f aca="false">IFERROR(__xludf.dummyfunction("if($T919&lt;&gt;"""",REGEXEXTRACT($T919, J$1&amp;""[\w &amp;]*, (\d+\.\d+)""),"""")
"),"")</f>
        <v/>
      </c>
      <c r="K919" s="3"/>
      <c r="L919" s="3" t="str">
        <f aca="false">IFERROR(__xludf.dummyfunction("if($T919&lt;&gt;"""",REGEXEXTRACT(SUBSTITUTE ($T919,L$1&amp;"" CE"",""""), L$1&amp;""[\w &amp;]*, (\d+\.\d+)""),"""")
"),"")</f>
        <v/>
      </c>
      <c r="M919" s="3" t="str">
        <f aca="false">IFERROR(__xludf.dummyfunction("if($T919&lt;&gt;"""",REGEXEXTRACT($T919, M$1&amp;""[\w &amp;]*, (\d+\.\d+)""),"""")
"),"")</f>
        <v/>
      </c>
      <c r="N919" s="3" t="str">
        <f aca="false">IFERROR(__xludf.dummyfunction("if($T919&lt;&gt;"""",REGEXEXTRACT(SUBSTITUTE ($T919,N$1&amp;"" CE"",""""), N$1&amp;""[\w &amp;]*, (\d+\.\d+)""),"""")
"),"")</f>
        <v/>
      </c>
      <c r="O919" s="3" t="str">
        <f aca="false">IFERROR(__xludf.dummyfunction("if($T919&lt;&gt;"""",REGEXEXTRACT($T919, O$1&amp;""[\w &amp;]*, (\d+\.\d+)""),"""")
"),"")</f>
        <v/>
      </c>
      <c r="P919" s="2"/>
      <c r="Q919" s="2"/>
      <c r="R919" s="2"/>
      <c r="S919" s="2"/>
      <c r="T919" s="5"/>
    </row>
    <row r="920" customFormat="false" ht="15.75" hidden="false" customHeight="false" outlineLevel="0" collapsed="false">
      <c r="A920" s="4"/>
      <c r="B920" s="2"/>
      <c r="C920" s="2"/>
      <c r="D920" s="2"/>
      <c r="E920" s="2"/>
      <c r="F920" s="3" t="str">
        <f aca="false">IFERROR(__xludf.dummyfunction("if($T920&lt;&gt;"""",REGEXEXTRACT(SUBSTITUTE ($T920,F$1&amp;"" CE"",""""), F$1&amp;""[\w &amp;]*, (\d+\.\d+)""),"""")
"),"")</f>
        <v/>
      </c>
      <c r="G920" s="3" t="str">
        <f aca="false">IFERROR(__xludf.dummyfunction("if($T920&lt;&gt;"""",REGEXEXTRACT($T920, G$1&amp;""[\w &amp;]*, (\d+\.\d+)""),"""")
"),"")</f>
        <v/>
      </c>
      <c r="H920" s="3"/>
      <c r="I920" s="3" t="str">
        <f aca="false">IFERROR(__xludf.dummyfunction("if($T920&lt;&gt;"""",REGEXEXTRACT(SUBSTITUTE ($T920,I$1&amp;"" CE"",""""), I$1&amp;""[\w &amp;]*, (\d+\.\d+)""),"""")
"),"")</f>
        <v/>
      </c>
      <c r="J920" s="3" t="str">
        <f aca="false">IFERROR(__xludf.dummyfunction("if($T920&lt;&gt;"""",REGEXEXTRACT($T920, J$1&amp;""[\w &amp;]*, (\d+\.\d+)""),"""")
"),"")</f>
        <v/>
      </c>
      <c r="K920" s="3"/>
      <c r="L920" s="3" t="str">
        <f aca="false">IFERROR(__xludf.dummyfunction("if($T920&lt;&gt;"""",REGEXEXTRACT(SUBSTITUTE ($T920,L$1&amp;"" CE"",""""), L$1&amp;""[\w &amp;]*, (\d+\.\d+)""),"""")
"),"")</f>
        <v/>
      </c>
      <c r="M920" s="3" t="str">
        <f aca="false">IFERROR(__xludf.dummyfunction("if($T920&lt;&gt;"""",REGEXEXTRACT($T920, M$1&amp;""[\w &amp;]*, (\d+\.\d+)""),"""")
"),"")</f>
        <v/>
      </c>
      <c r="N920" s="3" t="str">
        <f aca="false">IFERROR(__xludf.dummyfunction("if($T920&lt;&gt;"""",REGEXEXTRACT(SUBSTITUTE ($T920,N$1&amp;"" CE"",""""), N$1&amp;""[\w &amp;]*, (\d+\.\d+)""),"""")
"),"")</f>
        <v/>
      </c>
      <c r="O920" s="3" t="str">
        <f aca="false">IFERROR(__xludf.dummyfunction("if($T920&lt;&gt;"""",REGEXEXTRACT($T920, O$1&amp;""[\w &amp;]*, (\d+\.\d+)""),"""")
"),"")</f>
        <v/>
      </c>
      <c r="P920" s="2"/>
      <c r="Q920" s="2"/>
      <c r="R920" s="2"/>
      <c r="S920" s="2"/>
      <c r="T920" s="5"/>
    </row>
    <row r="921" customFormat="false" ht="15.75" hidden="false" customHeight="false" outlineLevel="0" collapsed="false">
      <c r="A921" s="4"/>
      <c r="B921" s="2"/>
      <c r="C921" s="2"/>
      <c r="D921" s="2"/>
      <c r="E921" s="2"/>
      <c r="F921" s="3" t="str">
        <f aca="false">IFERROR(__xludf.dummyfunction("if($T921&lt;&gt;"""",REGEXEXTRACT(SUBSTITUTE ($T921,F$1&amp;"" CE"",""""), F$1&amp;""[\w &amp;]*, (\d+\.\d+)""),"""")
"),"")</f>
        <v/>
      </c>
      <c r="G921" s="3" t="str">
        <f aca="false">IFERROR(__xludf.dummyfunction("if($T921&lt;&gt;"""",REGEXEXTRACT($T921, G$1&amp;""[\w &amp;]*, (\d+\.\d+)""),"""")
"),"")</f>
        <v/>
      </c>
      <c r="H921" s="3"/>
      <c r="I921" s="3" t="str">
        <f aca="false">IFERROR(__xludf.dummyfunction("if($T921&lt;&gt;"""",REGEXEXTRACT(SUBSTITUTE ($T921,I$1&amp;"" CE"",""""), I$1&amp;""[\w &amp;]*, (\d+\.\d+)""),"""")
"),"")</f>
        <v/>
      </c>
      <c r="J921" s="3" t="str">
        <f aca="false">IFERROR(__xludf.dummyfunction("if($T921&lt;&gt;"""",REGEXEXTRACT($T921, J$1&amp;""[\w &amp;]*, (\d+\.\d+)""),"""")
"),"")</f>
        <v/>
      </c>
      <c r="K921" s="3"/>
      <c r="L921" s="3" t="str">
        <f aca="false">IFERROR(__xludf.dummyfunction("if($T921&lt;&gt;"""",REGEXEXTRACT(SUBSTITUTE ($T921,L$1&amp;"" CE"",""""), L$1&amp;""[\w &amp;]*, (\d+\.\d+)""),"""")
"),"")</f>
        <v/>
      </c>
      <c r="M921" s="3" t="str">
        <f aca="false">IFERROR(__xludf.dummyfunction("if($T921&lt;&gt;"""",REGEXEXTRACT($T921, M$1&amp;""[\w &amp;]*, (\d+\.\d+)""),"""")
"),"")</f>
        <v/>
      </c>
      <c r="N921" s="3" t="str">
        <f aca="false">IFERROR(__xludf.dummyfunction("if($T921&lt;&gt;"""",REGEXEXTRACT(SUBSTITUTE ($T921,N$1&amp;"" CE"",""""), N$1&amp;""[\w &amp;]*, (\d+\.\d+)""),"""")
"),"")</f>
        <v/>
      </c>
      <c r="O921" s="3" t="str">
        <f aca="false">IFERROR(__xludf.dummyfunction("if($T921&lt;&gt;"""",REGEXEXTRACT($T921, O$1&amp;""[\w &amp;]*, (\d+\.\d+)""),"""")
"),"")</f>
        <v/>
      </c>
      <c r="P921" s="2"/>
      <c r="Q921" s="2"/>
      <c r="R921" s="2"/>
      <c r="S921" s="2"/>
      <c r="T921" s="5"/>
    </row>
    <row r="922" customFormat="false" ht="15.75" hidden="false" customHeight="false" outlineLevel="0" collapsed="false">
      <c r="A922" s="4"/>
      <c r="B922" s="2"/>
      <c r="C922" s="2"/>
      <c r="D922" s="2"/>
      <c r="E922" s="2"/>
      <c r="F922" s="3" t="str">
        <f aca="false">IFERROR(__xludf.dummyfunction("if($T922&lt;&gt;"""",REGEXEXTRACT(SUBSTITUTE ($T922,F$1&amp;"" CE"",""""), F$1&amp;""[\w &amp;]*, (\d+\.\d+)""),"""")
"),"")</f>
        <v/>
      </c>
      <c r="G922" s="3" t="str">
        <f aca="false">IFERROR(__xludf.dummyfunction("if($T922&lt;&gt;"""",REGEXEXTRACT($T922, G$1&amp;""[\w &amp;]*, (\d+\.\d+)""),"""")
"),"")</f>
        <v/>
      </c>
      <c r="H922" s="3"/>
      <c r="I922" s="3" t="str">
        <f aca="false">IFERROR(__xludf.dummyfunction("if($T922&lt;&gt;"""",REGEXEXTRACT(SUBSTITUTE ($T922,I$1&amp;"" CE"",""""), I$1&amp;""[\w &amp;]*, (\d+\.\d+)""),"""")
"),"")</f>
        <v/>
      </c>
      <c r="J922" s="3" t="str">
        <f aca="false">IFERROR(__xludf.dummyfunction("if($T922&lt;&gt;"""",REGEXEXTRACT($T922, J$1&amp;""[\w &amp;]*, (\d+\.\d+)""),"""")
"),"")</f>
        <v/>
      </c>
      <c r="K922" s="3"/>
      <c r="L922" s="3" t="str">
        <f aca="false">IFERROR(__xludf.dummyfunction("if($T922&lt;&gt;"""",REGEXEXTRACT(SUBSTITUTE ($T922,L$1&amp;"" CE"",""""), L$1&amp;""[\w &amp;]*, (\d+\.\d+)""),"""")
"),"")</f>
        <v/>
      </c>
      <c r="M922" s="3" t="str">
        <f aca="false">IFERROR(__xludf.dummyfunction("if($T922&lt;&gt;"""",REGEXEXTRACT($T922, M$1&amp;""[\w &amp;]*, (\d+\.\d+)""),"""")
"),"")</f>
        <v/>
      </c>
      <c r="N922" s="3" t="str">
        <f aca="false">IFERROR(__xludf.dummyfunction("if($T922&lt;&gt;"""",REGEXEXTRACT(SUBSTITUTE ($T922,N$1&amp;"" CE"",""""), N$1&amp;""[\w &amp;]*, (\d+\.\d+)""),"""")
"),"")</f>
        <v/>
      </c>
      <c r="O922" s="3" t="str">
        <f aca="false">IFERROR(__xludf.dummyfunction("if($T922&lt;&gt;"""",REGEXEXTRACT($T922, O$1&amp;""[\w &amp;]*, (\d+\.\d+)""),"""")
"),"")</f>
        <v/>
      </c>
      <c r="P922" s="2"/>
      <c r="Q922" s="2"/>
      <c r="R922" s="2"/>
      <c r="S922" s="2"/>
      <c r="T922" s="5"/>
    </row>
    <row r="923" customFormat="false" ht="15.75" hidden="false" customHeight="false" outlineLevel="0" collapsed="false">
      <c r="A923" s="4"/>
      <c r="B923" s="2"/>
      <c r="C923" s="2"/>
      <c r="D923" s="2"/>
      <c r="E923" s="2"/>
      <c r="F923" s="3" t="str">
        <f aca="false">IFERROR(__xludf.dummyfunction("if($T923&lt;&gt;"""",REGEXEXTRACT(SUBSTITUTE ($T923,F$1&amp;"" CE"",""""), F$1&amp;""[\w &amp;]*, (\d+\.\d+)""),"""")
"),"")</f>
        <v/>
      </c>
      <c r="G923" s="3" t="str">
        <f aca="false">IFERROR(__xludf.dummyfunction("if($T923&lt;&gt;"""",REGEXEXTRACT($T923, G$1&amp;""[\w &amp;]*, (\d+\.\d+)""),"""")
"),"")</f>
        <v/>
      </c>
      <c r="H923" s="3"/>
      <c r="I923" s="3" t="str">
        <f aca="false">IFERROR(__xludf.dummyfunction("if($T923&lt;&gt;"""",REGEXEXTRACT(SUBSTITUTE ($T923,I$1&amp;"" CE"",""""), I$1&amp;""[\w &amp;]*, (\d+\.\d+)""),"""")
"),"")</f>
        <v/>
      </c>
      <c r="J923" s="3" t="str">
        <f aca="false">IFERROR(__xludf.dummyfunction("if($T923&lt;&gt;"""",REGEXEXTRACT($T923, J$1&amp;""[\w &amp;]*, (\d+\.\d+)""),"""")
"),"")</f>
        <v/>
      </c>
      <c r="K923" s="3"/>
      <c r="L923" s="3" t="str">
        <f aca="false">IFERROR(__xludf.dummyfunction("if($T923&lt;&gt;"""",REGEXEXTRACT(SUBSTITUTE ($T923,L$1&amp;"" CE"",""""), L$1&amp;""[\w &amp;]*, (\d+\.\d+)""),"""")
"),"")</f>
        <v/>
      </c>
      <c r="M923" s="3" t="str">
        <f aca="false">IFERROR(__xludf.dummyfunction("if($T923&lt;&gt;"""",REGEXEXTRACT($T923, M$1&amp;""[\w &amp;]*, (\d+\.\d+)""),"""")
"),"")</f>
        <v/>
      </c>
      <c r="N923" s="3" t="str">
        <f aca="false">IFERROR(__xludf.dummyfunction("if($T923&lt;&gt;"""",REGEXEXTRACT(SUBSTITUTE ($T923,N$1&amp;"" CE"",""""), N$1&amp;""[\w &amp;]*, (\d+\.\d+)""),"""")
"),"")</f>
        <v/>
      </c>
      <c r="O923" s="3" t="str">
        <f aca="false">IFERROR(__xludf.dummyfunction("if($T923&lt;&gt;"""",REGEXEXTRACT($T923, O$1&amp;""[\w &amp;]*, (\d+\.\d+)""),"""")
"),"")</f>
        <v/>
      </c>
      <c r="P923" s="2"/>
      <c r="Q923" s="2"/>
      <c r="R923" s="2"/>
      <c r="S923" s="2"/>
      <c r="T923" s="5"/>
    </row>
    <row r="924" customFormat="false" ht="15.75" hidden="false" customHeight="false" outlineLevel="0" collapsed="false">
      <c r="A924" s="4"/>
      <c r="B924" s="2"/>
      <c r="C924" s="2"/>
      <c r="D924" s="2"/>
      <c r="E924" s="2"/>
      <c r="F924" s="3" t="str">
        <f aca="false">IFERROR(__xludf.dummyfunction("if($T924&lt;&gt;"""",REGEXEXTRACT(SUBSTITUTE ($T924,F$1&amp;"" CE"",""""), F$1&amp;""[\w &amp;]*, (\d+\.\d+)""),"""")
"),"")</f>
        <v/>
      </c>
      <c r="G924" s="3" t="str">
        <f aca="false">IFERROR(__xludf.dummyfunction("if($T924&lt;&gt;"""",REGEXEXTRACT($T924, G$1&amp;""[\w &amp;]*, (\d+\.\d+)""),"""")
"),"")</f>
        <v/>
      </c>
      <c r="H924" s="3"/>
      <c r="I924" s="3" t="str">
        <f aca="false">IFERROR(__xludf.dummyfunction("if($T924&lt;&gt;"""",REGEXEXTRACT(SUBSTITUTE ($T924,I$1&amp;"" CE"",""""), I$1&amp;""[\w &amp;]*, (\d+\.\d+)""),"""")
"),"")</f>
        <v/>
      </c>
      <c r="J924" s="3" t="str">
        <f aca="false">IFERROR(__xludf.dummyfunction("if($T924&lt;&gt;"""",REGEXEXTRACT($T924, J$1&amp;""[\w &amp;]*, (\d+\.\d+)""),"""")
"),"")</f>
        <v/>
      </c>
      <c r="K924" s="3"/>
      <c r="L924" s="3" t="str">
        <f aca="false">IFERROR(__xludf.dummyfunction("if($T924&lt;&gt;"""",REGEXEXTRACT(SUBSTITUTE ($T924,L$1&amp;"" CE"",""""), L$1&amp;""[\w &amp;]*, (\d+\.\d+)""),"""")
"),"")</f>
        <v/>
      </c>
      <c r="M924" s="3" t="str">
        <f aca="false">IFERROR(__xludf.dummyfunction("if($T924&lt;&gt;"""",REGEXEXTRACT($T924, M$1&amp;""[\w &amp;]*, (\d+\.\d+)""),"""")
"),"")</f>
        <v/>
      </c>
      <c r="N924" s="3" t="str">
        <f aca="false">IFERROR(__xludf.dummyfunction("if($T924&lt;&gt;"""",REGEXEXTRACT(SUBSTITUTE ($T924,N$1&amp;"" CE"",""""), N$1&amp;""[\w &amp;]*, (\d+\.\d+)""),"""")
"),"")</f>
        <v/>
      </c>
      <c r="O924" s="3" t="str">
        <f aca="false">IFERROR(__xludf.dummyfunction("if($T924&lt;&gt;"""",REGEXEXTRACT($T924, O$1&amp;""[\w &amp;]*, (\d+\.\d+)""),"""")
"),"")</f>
        <v/>
      </c>
      <c r="P924" s="2"/>
      <c r="Q924" s="2"/>
      <c r="R924" s="2"/>
      <c r="S924" s="2"/>
      <c r="T924" s="5"/>
    </row>
    <row r="925" customFormat="false" ht="15.75" hidden="false" customHeight="false" outlineLevel="0" collapsed="false">
      <c r="A925" s="4"/>
      <c r="B925" s="2"/>
      <c r="C925" s="2"/>
      <c r="D925" s="2"/>
      <c r="E925" s="2"/>
      <c r="F925" s="3" t="str">
        <f aca="false">IFERROR(__xludf.dummyfunction("if($T925&lt;&gt;"""",REGEXEXTRACT(SUBSTITUTE ($T925,F$1&amp;"" CE"",""""), F$1&amp;""[\w &amp;]*, (\d+\.\d+)""),"""")
"),"")</f>
        <v/>
      </c>
      <c r="G925" s="3" t="str">
        <f aca="false">IFERROR(__xludf.dummyfunction("if($T925&lt;&gt;"""",REGEXEXTRACT($T925, G$1&amp;""[\w &amp;]*, (\d+\.\d+)""),"""")
"),"")</f>
        <v/>
      </c>
      <c r="H925" s="3"/>
      <c r="I925" s="3" t="str">
        <f aca="false">IFERROR(__xludf.dummyfunction("if($T925&lt;&gt;"""",REGEXEXTRACT(SUBSTITUTE ($T925,I$1&amp;"" CE"",""""), I$1&amp;""[\w &amp;]*, (\d+\.\d+)""),"""")
"),"")</f>
        <v/>
      </c>
      <c r="J925" s="3" t="str">
        <f aca="false">IFERROR(__xludf.dummyfunction("if($T925&lt;&gt;"""",REGEXEXTRACT($T925, J$1&amp;""[\w &amp;]*, (\d+\.\d+)""),"""")
"),"")</f>
        <v/>
      </c>
      <c r="K925" s="3"/>
      <c r="L925" s="3" t="str">
        <f aca="false">IFERROR(__xludf.dummyfunction("if($T925&lt;&gt;"""",REGEXEXTRACT(SUBSTITUTE ($T925,L$1&amp;"" CE"",""""), L$1&amp;""[\w &amp;]*, (\d+\.\d+)""),"""")
"),"")</f>
        <v/>
      </c>
      <c r="M925" s="3" t="str">
        <f aca="false">IFERROR(__xludf.dummyfunction("if($T925&lt;&gt;"""",REGEXEXTRACT($T925, M$1&amp;""[\w &amp;]*, (\d+\.\d+)""),"""")
"),"")</f>
        <v/>
      </c>
      <c r="N925" s="3" t="str">
        <f aca="false">IFERROR(__xludf.dummyfunction("if($T925&lt;&gt;"""",REGEXEXTRACT(SUBSTITUTE ($T925,N$1&amp;"" CE"",""""), N$1&amp;""[\w &amp;]*, (\d+\.\d+)""),"""")
"),"")</f>
        <v/>
      </c>
      <c r="O925" s="3" t="str">
        <f aca="false">IFERROR(__xludf.dummyfunction("if($T925&lt;&gt;"""",REGEXEXTRACT($T925, O$1&amp;""[\w &amp;]*, (\d+\.\d+)""),"""")
"),"")</f>
        <v/>
      </c>
      <c r="P925" s="2"/>
      <c r="Q925" s="2"/>
      <c r="R925" s="2"/>
      <c r="S925" s="2"/>
      <c r="T925" s="5"/>
    </row>
    <row r="926" customFormat="false" ht="15.75" hidden="false" customHeight="false" outlineLevel="0" collapsed="false">
      <c r="A926" s="4"/>
      <c r="B926" s="2"/>
      <c r="C926" s="2"/>
      <c r="D926" s="2"/>
      <c r="E926" s="2"/>
      <c r="F926" s="3" t="str">
        <f aca="false">IFERROR(__xludf.dummyfunction("if($T926&lt;&gt;"""",REGEXEXTRACT(SUBSTITUTE ($T926,F$1&amp;"" CE"",""""), F$1&amp;""[\w &amp;]*, (\d+\.\d+)""),"""")
"),"")</f>
        <v/>
      </c>
      <c r="G926" s="3" t="str">
        <f aca="false">IFERROR(__xludf.dummyfunction("if($T926&lt;&gt;"""",REGEXEXTRACT($T926, G$1&amp;""[\w &amp;]*, (\d+\.\d+)""),"""")
"),"")</f>
        <v/>
      </c>
      <c r="H926" s="3"/>
      <c r="I926" s="3" t="str">
        <f aca="false">IFERROR(__xludf.dummyfunction("if($T926&lt;&gt;"""",REGEXEXTRACT(SUBSTITUTE ($T926,I$1&amp;"" CE"",""""), I$1&amp;""[\w &amp;]*, (\d+\.\d+)""),"""")
"),"")</f>
        <v/>
      </c>
      <c r="J926" s="3" t="str">
        <f aca="false">IFERROR(__xludf.dummyfunction("if($T926&lt;&gt;"""",REGEXEXTRACT($T926, J$1&amp;""[\w &amp;]*, (\d+\.\d+)""),"""")
"),"")</f>
        <v/>
      </c>
      <c r="K926" s="3"/>
      <c r="L926" s="3" t="str">
        <f aca="false">IFERROR(__xludf.dummyfunction("if($T926&lt;&gt;"""",REGEXEXTRACT(SUBSTITUTE ($T926,L$1&amp;"" CE"",""""), L$1&amp;""[\w &amp;]*, (\d+\.\d+)""),"""")
"),"")</f>
        <v/>
      </c>
      <c r="M926" s="3" t="str">
        <f aca="false">IFERROR(__xludf.dummyfunction("if($T926&lt;&gt;"""",REGEXEXTRACT($T926, M$1&amp;""[\w &amp;]*, (\d+\.\d+)""),"""")
"),"")</f>
        <v/>
      </c>
      <c r="N926" s="3" t="str">
        <f aca="false">IFERROR(__xludf.dummyfunction("if($T926&lt;&gt;"""",REGEXEXTRACT(SUBSTITUTE ($T926,N$1&amp;"" CE"",""""), N$1&amp;""[\w &amp;]*, (\d+\.\d+)""),"""")
"),"")</f>
        <v/>
      </c>
      <c r="O926" s="3" t="str">
        <f aca="false">IFERROR(__xludf.dummyfunction("if($T926&lt;&gt;"""",REGEXEXTRACT($T926, O$1&amp;""[\w &amp;]*, (\d+\.\d+)""),"""")
"),"")</f>
        <v/>
      </c>
      <c r="P926" s="2"/>
      <c r="Q926" s="2"/>
      <c r="R926" s="2"/>
      <c r="S926" s="2"/>
      <c r="T926" s="5"/>
    </row>
    <row r="927" customFormat="false" ht="15.75" hidden="false" customHeight="false" outlineLevel="0" collapsed="false">
      <c r="A927" s="4"/>
      <c r="B927" s="2"/>
      <c r="C927" s="2"/>
      <c r="D927" s="2"/>
      <c r="E927" s="2"/>
      <c r="F927" s="3" t="str">
        <f aca="false">IFERROR(__xludf.dummyfunction("if($T927&lt;&gt;"""",REGEXEXTRACT(SUBSTITUTE ($T927,F$1&amp;"" CE"",""""), F$1&amp;""[\w &amp;]*, (\d+\.\d+)""),"""")
"),"")</f>
        <v/>
      </c>
      <c r="G927" s="3" t="str">
        <f aca="false">IFERROR(__xludf.dummyfunction("if($T927&lt;&gt;"""",REGEXEXTRACT($T927, G$1&amp;""[\w &amp;]*, (\d+\.\d+)""),"""")
"),"")</f>
        <v/>
      </c>
      <c r="H927" s="3"/>
      <c r="I927" s="3" t="str">
        <f aca="false">IFERROR(__xludf.dummyfunction("if($T927&lt;&gt;"""",REGEXEXTRACT(SUBSTITUTE ($T927,I$1&amp;"" CE"",""""), I$1&amp;""[\w &amp;]*, (\d+\.\d+)""),"""")
"),"")</f>
        <v/>
      </c>
      <c r="J927" s="3" t="str">
        <f aca="false">IFERROR(__xludf.dummyfunction("if($T927&lt;&gt;"""",REGEXEXTRACT($T927, J$1&amp;""[\w &amp;]*, (\d+\.\d+)""),"""")
"),"")</f>
        <v/>
      </c>
      <c r="K927" s="3"/>
      <c r="L927" s="3" t="str">
        <f aca="false">IFERROR(__xludf.dummyfunction("if($T927&lt;&gt;"""",REGEXEXTRACT(SUBSTITUTE ($T927,L$1&amp;"" CE"",""""), L$1&amp;""[\w &amp;]*, (\d+\.\d+)""),"""")
"),"")</f>
        <v/>
      </c>
      <c r="M927" s="3" t="str">
        <f aca="false">IFERROR(__xludf.dummyfunction("if($T927&lt;&gt;"""",REGEXEXTRACT($T927, M$1&amp;""[\w &amp;]*, (\d+\.\d+)""),"""")
"),"")</f>
        <v/>
      </c>
      <c r="N927" s="3" t="str">
        <f aca="false">IFERROR(__xludf.dummyfunction("if($T927&lt;&gt;"""",REGEXEXTRACT(SUBSTITUTE ($T927,N$1&amp;"" CE"",""""), N$1&amp;""[\w &amp;]*, (\d+\.\d+)""),"""")
"),"")</f>
        <v/>
      </c>
      <c r="O927" s="3" t="str">
        <f aca="false">IFERROR(__xludf.dummyfunction("if($T927&lt;&gt;"""",REGEXEXTRACT($T927, O$1&amp;""[\w &amp;]*, (\d+\.\d+)""),"""")
"),"")</f>
        <v/>
      </c>
      <c r="P927" s="2"/>
      <c r="Q927" s="2"/>
      <c r="R927" s="2"/>
      <c r="S927" s="2"/>
      <c r="T927" s="5"/>
    </row>
    <row r="928" customFormat="false" ht="15.75" hidden="false" customHeight="false" outlineLevel="0" collapsed="false">
      <c r="A928" s="4"/>
      <c r="B928" s="2"/>
      <c r="C928" s="2"/>
      <c r="D928" s="2"/>
      <c r="E928" s="2"/>
      <c r="F928" s="3" t="str">
        <f aca="false">IFERROR(__xludf.dummyfunction("if($T928&lt;&gt;"""",REGEXEXTRACT(SUBSTITUTE ($T928,F$1&amp;"" CE"",""""), F$1&amp;""[\w &amp;]*, (\d+\.\d+)""),"""")
"),"")</f>
        <v/>
      </c>
      <c r="G928" s="3" t="str">
        <f aca="false">IFERROR(__xludf.dummyfunction("if($T928&lt;&gt;"""",REGEXEXTRACT($T928, G$1&amp;""[\w &amp;]*, (\d+\.\d+)""),"""")
"),"")</f>
        <v/>
      </c>
      <c r="H928" s="3"/>
      <c r="I928" s="3" t="str">
        <f aca="false">IFERROR(__xludf.dummyfunction("if($T928&lt;&gt;"""",REGEXEXTRACT(SUBSTITUTE ($T928,I$1&amp;"" CE"",""""), I$1&amp;""[\w &amp;]*, (\d+\.\d+)""),"""")
"),"")</f>
        <v/>
      </c>
      <c r="J928" s="3" t="str">
        <f aca="false">IFERROR(__xludf.dummyfunction("if($T928&lt;&gt;"""",REGEXEXTRACT($T928, J$1&amp;""[\w &amp;]*, (\d+\.\d+)""),"""")
"),"")</f>
        <v/>
      </c>
      <c r="K928" s="3"/>
      <c r="L928" s="3" t="str">
        <f aca="false">IFERROR(__xludf.dummyfunction("if($T928&lt;&gt;"""",REGEXEXTRACT(SUBSTITUTE ($T928,L$1&amp;"" CE"",""""), L$1&amp;""[\w &amp;]*, (\d+\.\d+)""),"""")
"),"")</f>
        <v/>
      </c>
      <c r="M928" s="3" t="str">
        <f aca="false">IFERROR(__xludf.dummyfunction("if($T928&lt;&gt;"""",REGEXEXTRACT($T928, M$1&amp;""[\w &amp;]*, (\d+\.\d+)""),"""")
"),"")</f>
        <v/>
      </c>
      <c r="N928" s="3" t="str">
        <f aca="false">IFERROR(__xludf.dummyfunction("if($T928&lt;&gt;"""",REGEXEXTRACT(SUBSTITUTE ($T928,N$1&amp;"" CE"",""""), N$1&amp;""[\w &amp;]*, (\d+\.\d+)""),"""")
"),"")</f>
        <v/>
      </c>
      <c r="O928" s="3" t="str">
        <f aca="false">IFERROR(__xludf.dummyfunction("if($T928&lt;&gt;"""",REGEXEXTRACT($T928, O$1&amp;""[\w &amp;]*, (\d+\.\d+)""),"""")
"),"")</f>
        <v/>
      </c>
      <c r="P928" s="2"/>
      <c r="Q928" s="2"/>
      <c r="R928" s="2"/>
      <c r="S928" s="2"/>
      <c r="T928" s="5"/>
    </row>
    <row r="929" customFormat="false" ht="15.75" hidden="false" customHeight="false" outlineLevel="0" collapsed="false">
      <c r="A929" s="4"/>
      <c r="B929" s="2"/>
      <c r="C929" s="2"/>
      <c r="D929" s="2"/>
      <c r="E929" s="2"/>
      <c r="F929" s="3" t="str">
        <f aca="false">IFERROR(__xludf.dummyfunction("if($T929&lt;&gt;"""",REGEXEXTRACT(SUBSTITUTE ($T929,F$1&amp;"" CE"",""""), F$1&amp;""[\w &amp;]*, (\d+\.\d+)""),"""")
"),"")</f>
        <v/>
      </c>
      <c r="G929" s="3" t="str">
        <f aca="false">IFERROR(__xludf.dummyfunction("if($T929&lt;&gt;"""",REGEXEXTRACT($T929, G$1&amp;""[\w &amp;]*, (\d+\.\d+)""),"""")
"),"")</f>
        <v/>
      </c>
      <c r="H929" s="3"/>
      <c r="I929" s="3" t="str">
        <f aca="false">IFERROR(__xludf.dummyfunction("if($T929&lt;&gt;"""",REGEXEXTRACT(SUBSTITUTE ($T929,I$1&amp;"" CE"",""""), I$1&amp;""[\w &amp;]*, (\d+\.\d+)""),"""")
"),"")</f>
        <v/>
      </c>
      <c r="J929" s="3" t="str">
        <f aca="false">IFERROR(__xludf.dummyfunction("if($T929&lt;&gt;"""",REGEXEXTRACT($T929, J$1&amp;""[\w &amp;]*, (\d+\.\d+)""),"""")
"),"")</f>
        <v/>
      </c>
      <c r="K929" s="3"/>
      <c r="L929" s="3" t="str">
        <f aca="false">IFERROR(__xludf.dummyfunction("if($T929&lt;&gt;"""",REGEXEXTRACT(SUBSTITUTE ($T929,L$1&amp;"" CE"",""""), L$1&amp;""[\w &amp;]*, (\d+\.\d+)""),"""")
"),"")</f>
        <v/>
      </c>
      <c r="M929" s="3" t="str">
        <f aca="false">IFERROR(__xludf.dummyfunction("if($T929&lt;&gt;"""",REGEXEXTRACT($T929, M$1&amp;""[\w &amp;]*, (\d+\.\d+)""),"""")
"),"")</f>
        <v/>
      </c>
      <c r="N929" s="3" t="str">
        <f aca="false">IFERROR(__xludf.dummyfunction("if($T929&lt;&gt;"""",REGEXEXTRACT(SUBSTITUTE ($T929,N$1&amp;"" CE"",""""), N$1&amp;""[\w &amp;]*, (\d+\.\d+)""),"""")
"),"")</f>
        <v/>
      </c>
      <c r="O929" s="3" t="str">
        <f aca="false">IFERROR(__xludf.dummyfunction("if($T929&lt;&gt;"""",REGEXEXTRACT($T929, O$1&amp;""[\w &amp;]*, (\d+\.\d+)""),"""")
"),"")</f>
        <v/>
      </c>
      <c r="P929" s="2"/>
      <c r="Q929" s="2"/>
      <c r="R929" s="2"/>
      <c r="S929" s="2"/>
      <c r="T929" s="5"/>
    </row>
    <row r="930" customFormat="false" ht="15.75" hidden="false" customHeight="false" outlineLevel="0" collapsed="false">
      <c r="A930" s="4"/>
      <c r="B930" s="2"/>
      <c r="C930" s="2"/>
      <c r="D930" s="2"/>
      <c r="E930" s="2"/>
      <c r="F930" s="3" t="str">
        <f aca="false">IFERROR(__xludf.dummyfunction("if($T930&lt;&gt;"""",REGEXEXTRACT(SUBSTITUTE ($T930,F$1&amp;"" CE"",""""), F$1&amp;""[\w &amp;]*, (\d+\.\d+)""),"""")
"),"")</f>
        <v/>
      </c>
      <c r="G930" s="3" t="str">
        <f aca="false">IFERROR(__xludf.dummyfunction("if($T930&lt;&gt;"""",REGEXEXTRACT($T930, G$1&amp;""[\w &amp;]*, (\d+\.\d+)""),"""")
"),"")</f>
        <v/>
      </c>
      <c r="H930" s="3"/>
      <c r="I930" s="3" t="str">
        <f aca="false">IFERROR(__xludf.dummyfunction("if($T930&lt;&gt;"""",REGEXEXTRACT(SUBSTITUTE ($T930,I$1&amp;"" CE"",""""), I$1&amp;""[\w &amp;]*, (\d+\.\d+)""),"""")
"),"")</f>
        <v/>
      </c>
      <c r="J930" s="3" t="str">
        <f aca="false">IFERROR(__xludf.dummyfunction("if($T930&lt;&gt;"""",REGEXEXTRACT($T930, J$1&amp;""[\w &amp;]*, (\d+\.\d+)""),"""")
"),"")</f>
        <v/>
      </c>
      <c r="K930" s="3"/>
      <c r="L930" s="3" t="str">
        <f aca="false">IFERROR(__xludf.dummyfunction("if($T930&lt;&gt;"""",REGEXEXTRACT(SUBSTITUTE ($T930,L$1&amp;"" CE"",""""), L$1&amp;""[\w &amp;]*, (\d+\.\d+)""),"""")
"),"")</f>
        <v/>
      </c>
      <c r="M930" s="3" t="str">
        <f aca="false">IFERROR(__xludf.dummyfunction("if($T930&lt;&gt;"""",REGEXEXTRACT($T930, M$1&amp;""[\w &amp;]*, (\d+\.\d+)""),"""")
"),"")</f>
        <v/>
      </c>
      <c r="N930" s="3" t="str">
        <f aca="false">IFERROR(__xludf.dummyfunction("if($T930&lt;&gt;"""",REGEXEXTRACT(SUBSTITUTE ($T930,N$1&amp;"" CE"",""""), N$1&amp;""[\w &amp;]*, (\d+\.\d+)""),"""")
"),"")</f>
        <v/>
      </c>
      <c r="O930" s="3" t="str">
        <f aca="false">IFERROR(__xludf.dummyfunction("if($T930&lt;&gt;"""",REGEXEXTRACT($T930, O$1&amp;""[\w &amp;]*, (\d+\.\d+)""),"""")
"),"")</f>
        <v/>
      </c>
      <c r="P930" s="2"/>
      <c r="Q930" s="2"/>
      <c r="R930" s="2"/>
      <c r="S930" s="2"/>
      <c r="T930" s="5"/>
    </row>
    <row r="931" customFormat="false" ht="15.75" hidden="false" customHeight="false" outlineLevel="0" collapsed="false">
      <c r="A931" s="4"/>
      <c r="B931" s="2"/>
      <c r="C931" s="2"/>
      <c r="D931" s="2"/>
      <c r="E931" s="2"/>
      <c r="F931" s="3" t="str">
        <f aca="false">IFERROR(__xludf.dummyfunction("if($T931&lt;&gt;"""",REGEXEXTRACT(SUBSTITUTE ($T931,F$1&amp;"" CE"",""""), F$1&amp;""[\w &amp;]*, (\d+\.\d+)""),"""")
"),"")</f>
        <v/>
      </c>
      <c r="G931" s="3" t="str">
        <f aca="false">IFERROR(__xludf.dummyfunction("if($T931&lt;&gt;"""",REGEXEXTRACT($T931, G$1&amp;""[\w &amp;]*, (\d+\.\d+)""),"""")
"),"")</f>
        <v/>
      </c>
      <c r="H931" s="3"/>
      <c r="I931" s="3" t="str">
        <f aca="false">IFERROR(__xludf.dummyfunction("if($T931&lt;&gt;"""",REGEXEXTRACT(SUBSTITUTE ($T931,I$1&amp;"" CE"",""""), I$1&amp;""[\w &amp;]*, (\d+\.\d+)""),"""")
"),"")</f>
        <v/>
      </c>
      <c r="J931" s="3" t="str">
        <f aca="false">IFERROR(__xludf.dummyfunction("if($T931&lt;&gt;"""",REGEXEXTRACT($T931, J$1&amp;""[\w &amp;]*, (\d+\.\d+)""),"""")
"),"")</f>
        <v/>
      </c>
      <c r="K931" s="3"/>
      <c r="L931" s="3" t="str">
        <f aca="false">IFERROR(__xludf.dummyfunction("if($T931&lt;&gt;"""",REGEXEXTRACT(SUBSTITUTE ($T931,L$1&amp;"" CE"",""""), L$1&amp;""[\w &amp;]*, (\d+\.\d+)""),"""")
"),"")</f>
        <v/>
      </c>
      <c r="M931" s="3" t="str">
        <f aca="false">IFERROR(__xludf.dummyfunction("if($T931&lt;&gt;"""",REGEXEXTRACT($T931, M$1&amp;""[\w &amp;]*, (\d+\.\d+)""),"""")
"),"")</f>
        <v/>
      </c>
      <c r="N931" s="3" t="str">
        <f aca="false">IFERROR(__xludf.dummyfunction("if($T931&lt;&gt;"""",REGEXEXTRACT(SUBSTITUTE ($T931,N$1&amp;"" CE"",""""), N$1&amp;""[\w &amp;]*, (\d+\.\d+)""),"""")
"),"")</f>
        <v/>
      </c>
      <c r="O931" s="3" t="str">
        <f aca="false">IFERROR(__xludf.dummyfunction("if($T931&lt;&gt;"""",REGEXEXTRACT($T931, O$1&amp;""[\w &amp;]*, (\d+\.\d+)""),"""")
"),"")</f>
        <v/>
      </c>
      <c r="P931" s="2"/>
      <c r="Q931" s="2"/>
      <c r="R931" s="2"/>
      <c r="S931" s="2"/>
      <c r="T931" s="5"/>
    </row>
    <row r="932" customFormat="false" ht="15.75" hidden="false" customHeight="false" outlineLevel="0" collapsed="false">
      <c r="A932" s="4"/>
      <c r="B932" s="2"/>
      <c r="C932" s="2"/>
      <c r="D932" s="2"/>
      <c r="E932" s="2"/>
      <c r="F932" s="3" t="str">
        <f aca="false">IFERROR(__xludf.dummyfunction("if($T932&lt;&gt;"""",REGEXEXTRACT(SUBSTITUTE ($T932,F$1&amp;"" CE"",""""), F$1&amp;""[\w &amp;]*, (\d+\.\d+)""),"""")
"),"")</f>
        <v/>
      </c>
      <c r="G932" s="3" t="str">
        <f aca="false">IFERROR(__xludf.dummyfunction("if($T932&lt;&gt;"""",REGEXEXTRACT($T932, G$1&amp;""[\w &amp;]*, (\d+\.\d+)""),"""")
"),"")</f>
        <v/>
      </c>
      <c r="H932" s="3"/>
      <c r="I932" s="3" t="str">
        <f aca="false">IFERROR(__xludf.dummyfunction("if($T932&lt;&gt;"""",REGEXEXTRACT(SUBSTITUTE ($T932,I$1&amp;"" CE"",""""), I$1&amp;""[\w &amp;]*, (\d+\.\d+)""),"""")
"),"")</f>
        <v/>
      </c>
      <c r="J932" s="3" t="str">
        <f aca="false">IFERROR(__xludf.dummyfunction("if($T932&lt;&gt;"""",REGEXEXTRACT($T932, J$1&amp;""[\w &amp;]*, (\d+\.\d+)""),"""")
"),"")</f>
        <v/>
      </c>
      <c r="K932" s="3"/>
      <c r="L932" s="3" t="str">
        <f aca="false">IFERROR(__xludf.dummyfunction("if($T932&lt;&gt;"""",REGEXEXTRACT(SUBSTITUTE ($T932,L$1&amp;"" CE"",""""), L$1&amp;""[\w &amp;]*, (\d+\.\d+)""),"""")
"),"")</f>
        <v/>
      </c>
      <c r="M932" s="3" t="str">
        <f aca="false">IFERROR(__xludf.dummyfunction("if($T932&lt;&gt;"""",REGEXEXTRACT($T932, M$1&amp;""[\w &amp;]*, (\d+\.\d+)""),"""")
"),"")</f>
        <v/>
      </c>
      <c r="N932" s="3" t="str">
        <f aca="false">IFERROR(__xludf.dummyfunction("if($T932&lt;&gt;"""",REGEXEXTRACT(SUBSTITUTE ($T932,N$1&amp;"" CE"",""""), N$1&amp;""[\w &amp;]*, (\d+\.\d+)""),"""")
"),"")</f>
        <v/>
      </c>
      <c r="O932" s="3" t="str">
        <f aca="false">IFERROR(__xludf.dummyfunction("if($T932&lt;&gt;"""",REGEXEXTRACT($T932, O$1&amp;""[\w &amp;]*, (\d+\.\d+)""),"""")
"),"")</f>
        <v/>
      </c>
      <c r="P932" s="2"/>
      <c r="Q932" s="2"/>
      <c r="R932" s="2"/>
      <c r="S932" s="2"/>
      <c r="T932" s="5"/>
    </row>
    <row r="933" customFormat="false" ht="15.75" hidden="false" customHeight="false" outlineLevel="0" collapsed="false">
      <c r="A933" s="4"/>
      <c r="B933" s="2"/>
      <c r="C933" s="2"/>
      <c r="D933" s="2"/>
      <c r="E933" s="2"/>
      <c r="F933" s="3" t="str">
        <f aca="false">IFERROR(__xludf.dummyfunction("if($T933&lt;&gt;"""",REGEXEXTRACT(SUBSTITUTE ($T933,F$1&amp;"" CE"",""""), F$1&amp;""[\w &amp;]*, (\d+\.\d+)""),"""")
"),"")</f>
        <v/>
      </c>
      <c r="G933" s="3" t="str">
        <f aca="false">IFERROR(__xludf.dummyfunction("if($T933&lt;&gt;"""",REGEXEXTRACT($T933, G$1&amp;""[\w &amp;]*, (\d+\.\d+)""),"""")
"),"")</f>
        <v/>
      </c>
      <c r="H933" s="3"/>
      <c r="I933" s="3" t="str">
        <f aca="false">IFERROR(__xludf.dummyfunction("if($T933&lt;&gt;"""",REGEXEXTRACT(SUBSTITUTE ($T933,I$1&amp;"" CE"",""""), I$1&amp;""[\w &amp;]*, (\d+\.\d+)""),"""")
"),"")</f>
        <v/>
      </c>
      <c r="J933" s="3" t="str">
        <f aca="false">IFERROR(__xludf.dummyfunction("if($T933&lt;&gt;"""",REGEXEXTRACT($T933, J$1&amp;""[\w &amp;]*, (\d+\.\d+)""),"""")
"),"")</f>
        <v/>
      </c>
      <c r="K933" s="3"/>
      <c r="L933" s="3" t="str">
        <f aca="false">IFERROR(__xludf.dummyfunction("if($T933&lt;&gt;"""",REGEXEXTRACT(SUBSTITUTE ($T933,L$1&amp;"" CE"",""""), L$1&amp;""[\w &amp;]*, (\d+\.\d+)""),"""")
"),"")</f>
        <v/>
      </c>
      <c r="M933" s="3" t="str">
        <f aca="false">IFERROR(__xludf.dummyfunction("if($T933&lt;&gt;"""",REGEXEXTRACT($T933, M$1&amp;""[\w &amp;]*, (\d+\.\d+)""),"""")
"),"")</f>
        <v/>
      </c>
      <c r="N933" s="3" t="str">
        <f aca="false">IFERROR(__xludf.dummyfunction("if($T933&lt;&gt;"""",REGEXEXTRACT(SUBSTITUTE ($T933,N$1&amp;"" CE"",""""), N$1&amp;""[\w &amp;]*, (\d+\.\d+)""),"""")
"),"")</f>
        <v/>
      </c>
      <c r="O933" s="3" t="str">
        <f aca="false">IFERROR(__xludf.dummyfunction("if($T933&lt;&gt;"""",REGEXEXTRACT($T933, O$1&amp;""[\w &amp;]*, (\d+\.\d+)""),"""")
"),"")</f>
        <v/>
      </c>
      <c r="P933" s="2"/>
      <c r="Q933" s="2"/>
      <c r="R933" s="2"/>
      <c r="S933" s="2"/>
      <c r="T933" s="5"/>
    </row>
    <row r="934" customFormat="false" ht="15.75" hidden="false" customHeight="false" outlineLevel="0" collapsed="false">
      <c r="A934" s="4"/>
      <c r="B934" s="2"/>
      <c r="C934" s="2"/>
      <c r="D934" s="2"/>
      <c r="E934" s="2"/>
      <c r="F934" s="3" t="str">
        <f aca="false">IFERROR(__xludf.dummyfunction("if($T934&lt;&gt;"""",REGEXEXTRACT(SUBSTITUTE ($T934,F$1&amp;"" CE"",""""), F$1&amp;""[\w &amp;]*, (\d+\.\d+)""),"""")
"),"")</f>
        <v/>
      </c>
      <c r="G934" s="3" t="str">
        <f aca="false">IFERROR(__xludf.dummyfunction("if($T934&lt;&gt;"""",REGEXEXTRACT($T934, G$1&amp;""[\w &amp;]*, (\d+\.\d+)""),"""")
"),"")</f>
        <v/>
      </c>
      <c r="H934" s="3"/>
      <c r="I934" s="3" t="str">
        <f aca="false">IFERROR(__xludf.dummyfunction("if($T934&lt;&gt;"""",REGEXEXTRACT(SUBSTITUTE ($T934,I$1&amp;"" CE"",""""), I$1&amp;""[\w &amp;]*, (\d+\.\d+)""),"""")
"),"")</f>
        <v/>
      </c>
      <c r="J934" s="3" t="str">
        <f aca="false">IFERROR(__xludf.dummyfunction("if($T934&lt;&gt;"""",REGEXEXTRACT($T934, J$1&amp;""[\w &amp;]*, (\d+\.\d+)""),"""")
"),"")</f>
        <v/>
      </c>
      <c r="K934" s="3"/>
      <c r="L934" s="3" t="str">
        <f aca="false">IFERROR(__xludf.dummyfunction("if($T934&lt;&gt;"""",REGEXEXTRACT(SUBSTITUTE ($T934,L$1&amp;"" CE"",""""), L$1&amp;""[\w &amp;]*, (\d+\.\d+)""),"""")
"),"")</f>
        <v/>
      </c>
      <c r="M934" s="3" t="str">
        <f aca="false">IFERROR(__xludf.dummyfunction("if($T934&lt;&gt;"""",REGEXEXTRACT($T934, M$1&amp;""[\w &amp;]*, (\d+\.\d+)""),"""")
"),"")</f>
        <v/>
      </c>
      <c r="N934" s="3" t="str">
        <f aca="false">IFERROR(__xludf.dummyfunction("if($T934&lt;&gt;"""",REGEXEXTRACT(SUBSTITUTE ($T934,N$1&amp;"" CE"",""""), N$1&amp;""[\w &amp;]*, (\d+\.\d+)""),"""")
"),"")</f>
        <v/>
      </c>
      <c r="O934" s="3" t="str">
        <f aca="false">IFERROR(__xludf.dummyfunction("if($T934&lt;&gt;"""",REGEXEXTRACT($T934, O$1&amp;""[\w &amp;]*, (\d+\.\d+)""),"""")
"),"")</f>
        <v/>
      </c>
      <c r="P934" s="2"/>
      <c r="Q934" s="2"/>
      <c r="R934" s="2"/>
      <c r="S934" s="2"/>
      <c r="T934" s="5"/>
    </row>
    <row r="935" customFormat="false" ht="15.75" hidden="false" customHeight="false" outlineLevel="0" collapsed="false">
      <c r="A935" s="4"/>
      <c r="B935" s="2"/>
      <c r="C935" s="2"/>
      <c r="D935" s="2"/>
      <c r="E935" s="2"/>
      <c r="F935" s="3" t="str">
        <f aca="false">IFERROR(__xludf.dummyfunction("if($T935&lt;&gt;"""",REGEXEXTRACT(SUBSTITUTE ($T935,F$1&amp;"" CE"",""""), F$1&amp;""[\w &amp;]*, (\d+\.\d+)""),"""")
"),"")</f>
        <v/>
      </c>
      <c r="G935" s="3" t="str">
        <f aca="false">IFERROR(__xludf.dummyfunction("if($T935&lt;&gt;"""",REGEXEXTRACT($T935, G$1&amp;""[\w &amp;]*, (\d+\.\d+)""),"""")
"),"")</f>
        <v/>
      </c>
      <c r="H935" s="3"/>
      <c r="I935" s="3" t="str">
        <f aca="false">IFERROR(__xludf.dummyfunction("if($T935&lt;&gt;"""",REGEXEXTRACT(SUBSTITUTE ($T935,I$1&amp;"" CE"",""""), I$1&amp;""[\w &amp;]*, (\d+\.\d+)""),"""")
"),"")</f>
        <v/>
      </c>
      <c r="J935" s="3" t="str">
        <f aca="false">IFERROR(__xludf.dummyfunction("if($T935&lt;&gt;"""",REGEXEXTRACT($T935, J$1&amp;""[\w &amp;]*, (\d+\.\d+)""),"""")
"),"")</f>
        <v/>
      </c>
      <c r="K935" s="3"/>
      <c r="L935" s="3" t="str">
        <f aca="false">IFERROR(__xludf.dummyfunction("if($T935&lt;&gt;"""",REGEXEXTRACT(SUBSTITUTE ($T935,L$1&amp;"" CE"",""""), L$1&amp;""[\w &amp;]*, (\d+\.\d+)""),"""")
"),"")</f>
        <v/>
      </c>
      <c r="M935" s="3" t="str">
        <f aca="false">IFERROR(__xludf.dummyfunction("if($T935&lt;&gt;"""",REGEXEXTRACT($T935, M$1&amp;""[\w &amp;]*, (\d+\.\d+)""),"""")
"),"")</f>
        <v/>
      </c>
      <c r="N935" s="3" t="str">
        <f aca="false">IFERROR(__xludf.dummyfunction("if($T935&lt;&gt;"""",REGEXEXTRACT(SUBSTITUTE ($T935,N$1&amp;"" CE"",""""), N$1&amp;""[\w &amp;]*, (\d+\.\d+)""),"""")
"),"")</f>
        <v/>
      </c>
      <c r="O935" s="3" t="str">
        <f aca="false">IFERROR(__xludf.dummyfunction("if($T935&lt;&gt;"""",REGEXEXTRACT($T935, O$1&amp;""[\w &amp;]*, (\d+\.\d+)""),"""")
"),"")</f>
        <v/>
      </c>
      <c r="P935" s="2"/>
      <c r="Q935" s="2"/>
      <c r="R935" s="2"/>
      <c r="S935" s="2"/>
      <c r="T935" s="5"/>
    </row>
    <row r="936" customFormat="false" ht="15.75" hidden="false" customHeight="false" outlineLevel="0" collapsed="false">
      <c r="A936" s="4"/>
      <c r="B936" s="2"/>
      <c r="C936" s="2"/>
      <c r="D936" s="2"/>
      <c r="E936" s="2"/>
      <c r="F936" s="3" t="str">
        <f aca="false">IFERROR(__xludf.dummyfunction("if($T936&lt;&gt;"""",REGEXEXTRACT(SUBSTITUTE ($T936,F$1&amp;"" CE"",""""), F$1&amp;""[\w &amp;]*, (\d+\.\d+)""),"""")
"),"")</f>
        <v/>
      </c>
      <c r="G936" s="3" t="str">
        <f aca="false">IFERROR(__xludf.dummyfunction("if($T936&lt;&gt;"""",REGEXEXTRACT($T936, G$1&amp;""[\w &amp;]*, (\d+\.\d+)""),"""")
"),"")</f>
        <v/>
      </c>
      <c r="H936" s="3"/>
      <c r="I936" s="3" t="str">
        <f aca="false">IFERROR(__xludf.dummyfunction("if($T936&lt;&gt;"""",REGEXEXTRACT(SUBSTITUTE ($T936,I$1&amp;"" CE"",""""), I$1&amp;""[\w &amp;]*, (\d+\.\d+)""),"""")
"),"")</f>
        <v/>
      </c>
      <c r="J936" s="3" t="str">
        <f aca="false">IFERROR(__xludf.dummyfunction("if($T936&lt;&gt;"""",REGEXEXTRACT($T936, J$1&amp;""[\w &amp;]*, (\d+\.\d+)""),"""")
"),"")</f>
        <v/>
      </c>
      <c r="K936" s="3"/>
      <c r="L936" s="3" t="str">
        <f aca="false">IFERROR(__xludf.dummyfunction("if($T936&lt;&gt;"""",REGEXEXTRACT(SUBSTITUTE ($T936,L$1&amp;"" CE"",""""), L$1&amp;""[\w &amp;]*, (\d+\.\d+)""),"""")
"),"")</f>
        <v/>
      </c>
      <c r="M936" s="3" t="str">
        <f aca="false">IFERROR(__xludf.dummyfunction("if($T936&lt;&gt;"""",REGEXEXTRACT($T936, M$1&amp;""[\w &amp;]*, (\d+\.\d+)""),"""")
"),"")</f>
        <v/>
      </c>
      <c r="N936" s="3" t="str">
        <f aca="false">IFERROR(__xludf.dummyfunction("if($T936&lt;&gt;"""",REGEXEXTRACT(SUBSTITUTE ($T936,N$1&amp;"" CE"",""""), N$1&amp;""[\w &amp;]*, (\d+\.\d+)""),"""")
"),"")</f>
        <v/>
      </c>
      <c r="O936" s="3" t="str">
        <f aca="false">IFERROR(__xludf.dummyfunction("if($T936&lt;&gt;"""",REGEXEXTRACT($T936, O$1&amp;""[\w &amp;]*, (\d+\.\d+)""),"""")
"),"")</f>
        <v/>
      </c>
      <c r="P936" s="2"/>
      <c r="Q936" s="2"/>
      <c r="R936" s="2"/>
      <c r="S936" s="2"/>
      <c r="T936" s="5"/>
    </row>
    <row r="937" customFormat="false" ht="15.75" hidden="false" customHeight="false" outlineLevel="0" collapsed="false">
      <c r="A937" s="4"/>
      <c r="B937" s="2"/>
      <c r="C937" s="2"/>
      <c r="D937" s="2"/>
      <c r="E937" s="2"/>
      <c r="F937" s="3" t="str">
        <f aca="false">IFERROR(__xludf.dummyfunction("if($T937&lt;&gt;"""",REGEXEXTRACT(SUBSTITUTE ($T937,F$1&amp;"" CE"",""""), F$1&amp;""[\w &amp;]*, (\d+\.\d+)""),"""")
"),"")</f>
        <v/>
      </c>
      <c r="G937" s="3" t="str">
        <f aca="false">IFERROR(__xludf.dummyfunction("if($T937&lt;&gt;"""",REGEXEXTRACT($T937, G$1&amp;""[\w &amp;]*, (\d+\.\d+)""),"""")
"),"")</f>
        <v/>
      </c>
      <c r="H937" s="3"/>
      <c r="I937" s="3" t="str">
        <f aca="false">IFERROR(__xludf.dummyfunction("if($T937&lt;&gt;"""",REGEXEXTRACT(SUBSTITUTE ($T937,I$1&amp;"" CE"",""""), I$1&amp;""[\w &amp;]*, (\d+\.\d+)""),"""")
"),"")</f>
        <v/>
      </c>
      <c r="J937" s="3" t="str">
        <f aca="false">IFERROR(__xludf.dummyfunction("if($T937&lt;&gt;"""",REGEXEXTRACT($T937, J$1&amp;""[\w &amp;]*, (\d+\.\d+)""),"""")
"),"")</f>
        <v/>
      </c>
      <c r="K937" s="3"/>
      <c r="L937" s="3" t="str">
        <f aca="false">IFERROR(__xludf.dummyfunction("if($T937&lt;&gt;"""",REGEXEXTRACT(SUBSTITUTE ($T937,L$1&amp;"" CE"",""""), L$1&amp;""[\w &amp;]*, (\d+\.\d+)""),"""")
"),"")</f>
        <v/>
      </c>
      <c r="M937" s="3" t="str">
        <f aca="false">IFERROR(__xludf.dummyfunction("if($T937&lt;&gt;"""",REGEXEXTRACT($T937, M$1&amp;""[\w &amp;]*, (\d+\.\d+)""),"""")
"),"")</f>
        <v/>
      </c>
      <c r="N937" s="3" t="str">
        <f aca="false">IFERROR(__xludf.dummyfunction("if($T937&lt;&gt;"""",REGEXEXTRACT(SUBSTITUTE ($T937,N$1&amp;"" CE"",""""), N$1&amp;""[\w &amp;]*, (\d+\.\d+)""),"""")
"),"")</f>
        <v/>
      </c>
      <c r="O937" s="3" t="str">
        <f aca="false">IFERROR(__xludf.dummyfunction("if($T937&lt;&gt;"""",REGEXEXTRACT($T937, O$1&amp;""[\w &amp;]*, (\d+\.\d+)""),"""")
"),"")</f>
        <v/>
      </c>
      <c r="P937" s="2"/>
      <c r="Q937" s="2"/>
      <c r="R937" s="2"/>
      <c r="S937" s="2"/>
      <c r="T937" s="5"/>
    </row>
    <row r="938" customFormat="false" ht="15.75" hidden="false" customHeight="false" outlineLevel="0" collapsed="false">
      <c r="A938" s="4"/>
      <c r="B938" s="2"/>
      <c r="C938" s="2"/>
      <c r="D938" s="2"/>
      <c r="E938" s="2"/>
      <c r="F938" s="3" t="str">
        <f aca="false">IFERROR(__xludf.dummyfunction("if($T938&lt;&gt;"""",REGEXEXTRACT(SUBSTITUTE ($T938,F$1&amp;"" CE"",""""), F$1&amp;""[\w &amp;]*, (\d+\.\d+)""),"""")
"),"")</f>
        <v/>
      </c>
      <c r="G938" s="3" t="str">
        <f aca="false">IFERROR(__xludf.dummyfunction("if($T938&lt;&gt;"""",REGEXEXTRACT($T938, G$1&amp;""[\w &amp;]*, (\d+\.\d+)""),"""")
"),"")</f>
        <v/>
      </c>
      <c r="H938" s="3"/>
      <c r="I938" s="3" t="str">
        <f aca="false">IFERROR(__xludf.dummyfunction("if($T938&lt;&gt;"""",REGEXEXTRACT(SUBSTITUTE ($T938,I$1&amp;"" CE"",""""), I$1&amp;""[\w &amp;]*, (\d+\.\d+)""),"""")
"),"")</f>
        <v/>
      </c>
      <c r="J938" s="3" t="str">
        <f aca="false">IFERROR(__xludf.dummyfunction("if($T938&lt;&gt;"""",REGEXEXTRACT($T938, J$1&amp;""[\w &amp;]*, (\d+\.\d+)""),"""")
"),"")</f>
        <v/>
      </c>
      <c r="K938" s="3"/>
      <c r="L938" s="3" t="str">
        <f aca="false">IFERROR(__xludf.dummyfunction("if($T938&lt;&gt;"""",REGEXEXTRACT(SUBSTITUTE ($T938,L$1&amp;"" CE"",""""), L$1&amp;""[\w &amp;]*, (\d+\.\d+)""),"""")
"),"")</f>
        <v/>
      </c>
      <c r="M938" s="3" t="str">
        <f aca="false">IFERROR(__xludf.dummyfunction("if($T938&lt;&gt;"""",REGEXEXTRACT($T938, M$1&amp;""[\w &amp;]*, (\d+\.\d+)""),"""")
"),"")</f>
        <v/>
      </c>
      <c r="N938" s="3" t="str">
        <f aca="false">IFERROR(__xludf.dummyfunction("if($T938&lt;&gt;"""",REGEXEXTRACT(SUBSTITUTE ($T938,N$1&amp;"" CE"",""""), N$1&amp;""[\w &amp;]*, (\d+\.\d+)""),"""")
"),"")</f>
        <v/>
      </c>
      <c r="O938" s="3" t="str">
        <f aca="false">IFERROR(__xludf.dummyfunction("if($T938&lt;&gt;"""",REGEXEXTRACT($T938, O$1&amp;""[\w &amp;]*, (\d+\.\d+)""),"""")
"),"")</f>
        <v/>
      </c>
      <c r="P938" s="2"/>
      <c r="Q938" s="2"/>
      <c r="R938" s="2"/>
      <c r="S938" s="2"/>
      <c r="T938" s="5"/>
    </row>
    <row r="939" customFormat="false" ht="15.75" hidden="false" customHeight="false" outlineLevel="0" collapsed="false">
      <c r="A939" s="4"/>
      <c r="B939" s="2"/>
      <c r="C939" s="2"/>
      <c r="D939" s="2"/>
      <c r="E939" s="2"/>
      <c r="F939" s="3" t="str">
        <f aca="false">IFERROR(__xludf.dummyfunction("if($T939&lt;&gt;"""",REGEXEXTRACT(SUBSTITUTE ($T939,F$1&amp;"" CE"",""""), F$1&amp;""[\w &amp;]*, (\d+\.\d+)""),"""")
"),"")</f>
        <v/>
      </c>
      <c r="G939" s="3" t="str">
        <f aca="false">IFERROR(__xludf.dummyfunction("if($T939&lt;&gt;"""",REGEXEXTRACT($T939, G$1&amp;""[\w &amp;]*, (\d+\.\d+)""),"""")
"),"")</f>
        <v/>
      </c>
      <c r="H939" s="3"/>
      <c r="I939" s="3" t="str">
        <f aca="false">IFERROR(__xludf.dummyfunction("if($T939&lt;&gt;"""",REGEXEXTRACT(SUBSTITUTE ($T939,I$1&amp;"" CE"",""""), I$1&amp;""[\w &amp;]*, (\d+\.\d+)""),"""")
"),"")</f>
        <v/>
      </c>
      <c r="J939" s="3" t="str">
        <f aca="false">IFERROR(__xludf.dummyfunction("if($T939&lt;&gt;"""",REGEXEXTRACT($T939, J$1&amp;""[\w &amp;]*, (\d+\.\d+)""),"""")
"),"")</f>
        <v/>
      </c>
      <c r="K939" s="3"/>
      <c r="L939" s="3" t="str">
        <f aca="false">IFERROR(__xludf.dummyfunction("if($T939&lt;&gt;"""",REGEXEXTRACT(SUBSTITUTE ($T939,L$1&amp;"" CE"",""""), L$1&amp;""[\w &amp;]*, (\d+\.\d+)""),"""")
"),"")</f>
        <v/>
      </c>
      <c r="M939" s="3" t="str">
        <f aca="false">IFERROR(__xludf.dummyfunction("if($T939&lt;&gt;"""",REGEXEXTRACT($T939, M$1&amp;""[\w &amp;]*, (\d+\.\d+)""),"""")
"),"")</f>
        <v/>
      </c>
      <c r="N939" s="3" t="str">
        <f aca="false">IFERROR(__xludf.dummyfunction("if($T939&lt;&gt;"""",REGEXEXTRACT(SUBSTITUTE ($T939,N$1&amp;"" CE"",""""), N$1&amp;""[\w &amp;]*, (\d+\.\d+)""),"""")
"),"")</f>
        <v/>
      </c>
      <c r="O939" s="3" t="str">
        <f aca="false">IFERROR(__xludf.dummyfunction("if($T939&lt;&gt;"""",REGEXEXTRACT($T939, O$1&amp;""[\w &amp;]*, (\d+\.\d+)""),"""")
"),"")</f>
        <v/>
      </c>
      <c r="P939" s="2"/>
      <c r="Q939" s="2"/>
      <c r="R939" s="2"/>
      <c r="S939" s="2"/>
      <c r="T939" s="5"/>
    </row>
    <row r="940" customFormat="false" ht="15.75" hidden="false" customHeight="false" outlineLevel="0" collapsed="false">
      <c r="A940" s="4"/>
      <c r="B940" s="2"/>
      <c r="C940" s="2"/>
      <c r="D940" s="2"/>
      <c r="E940" s="2"/>
      <c r="F940" s="3" t="str">
        <f aca="false">IFERROR(__xludf.dummyfunction("if($T940&lt;&gt;"""",REGEXEXTRACT(SUBSTITUTE ($T940,F$1&amp;"" CE"",""""), F$1&amp;""[\w &amp;]*, (\d+\.\d+)""),"""")
"),"")</f>
        <v/>
      </c>
      <c r="G940" s="3" t="str">
        <f aca="false">IFERROR(__xludf.dummyfunction("if($T940&lt;&gt;"""",REGEXEXTRACT($T940, G$1&amp;""[\w &amp;]*, (\d+\.\d+)""),"""")
"),"")</f>
        <v/>
      </c>
      <c r="H940" s="3"/>
      <c r="I940" s="3" t="str">
        <f aca="false">IFERROR(__xludf.dummyfunction("if($T940&lt;&gt;"""",REGEXEXTRACT(SUBSTITUTE ($T940,I$1&amp;"" CE"",""""), I$1&amp;""[\w &amp;]*, (\d+\.\d+)""),"""")
"),"")</f>
        <v/>
      </c>
      <c r="J940" s="3" t="str">
        <f aca="false">IFERROR(__xludf.dummyfunction("if($T940&lt;&gt;"""",REGEXEXTRACT($T940, J$1&amp;""[\w &amp;]*, (\d+\.\d+)""),"""")
"),"")</f>
        <v/>
      </c>
      <c r="K940" s="3"/>
      <c r="L940" s="3" t="str">
        <f aca="false">IFERROR(__xludf.dummyfunction("if($T940&lt;&gt;"""",REGEXEXTRACT(SUBSTITUTE ($T940,L$1&amp;"" CE"",""""), L$1&amp;""[\w &amp;]*, (\d+\.\d+)""),"""")
"),"")</f>
        <v/>
      </c>
      <c r="M940" s="3" t="str">
        <f aca="false">IFERROR(__xludf.dummyfunction("if($T940&lt;&gt;"""",REGEXEXTRACT($T940, M$1&amp;""[\w &amp;]*, (\d+\.\d+)""),"""")
"),"")</f>
        <v/>
      </c>
      <c r="N940" s="3" t="str">
        <f aca="false">IFERROR(__xludf.dummyfunction("if($T940&lt;&gt;"""",REGEXEXTRACT(SUBSTITUTE ($T940,N$1&amp;"" CE"",""""), N$1&amp;""[\w &amp;]*, (\d+\.\d+)""),"""")
"),"")</f>
        <v/>
      </c>
      <c r="O940" s="3" t="str">
        <f aca="false">IFERROR(__xludf.dummyfunction("if($T940&lt;&gt;"""",REGEXEXTRACT($T940, O$1&amp;""[\w &amp;]*, (\d+\.\d+)""),"""")
"),"")</f>
        <v/>
      </c>
      <c r="P940" s="2"/>
      <c r="Q940" s="2"/>
      <c r="R940" s="2"/>
      <c r="S940" s="2"/>
      <c r="T940" s="5"/>
    </row>
    <row r="941" customFormat="false" ht="15.75" hidden="false" customHeight="false" outlineLevel="0" collapsed="false">
      <c r="A941" s="4"/>
      <c r="B941" s="2"/>
      <c r="C941" s="2"/>
      <c r="D941" s="2"/>
      <c r="E941" s="2"/>
      <c r="F941" s="3" t="str">
        <f aca="false">IFERROR(__xludf.dummyfunction("if($T941&lt;&gt;"""",REGEXEXTRACT(SUBSTITUTE ($T941,F$1&amp;"" CE"",""""), F$1&amp;""[\w &amp;]*, (\d+\.\d+)""),"""")
"),"")</f>
        <v/>
      </c>
      <c r="G941" s="3" t="str">
        <f aca="false">IFERROR(__xludf.dummyfunction("if($T941&lt;&gt;"""",REGEXEXTRACT($T941, G$1&amp;""[\w &amp;]*, (\d+\.\d+)""),"""")
"),"")</f>
        <v/>
      </c>
      <c r="H941" s="3"/>
      <c r="I941" s="3" t="str">
        <f aca="false">IFERROR(__xludf.dummyfunction("if($T941&lt;&gt;"""",REGEXEXTRACT(SUBSTITUTE ($T941,I$1&amp;"" CE"",""""), I$1&amp;""[\w &amp;]*, (\d+\.\d+)""),"""")
"),"")</f>
        <v/>
      </c>
      <c r="J941" s="3" t="str">
        <f aca="false">IFERROR(__xludf.dummyfunction("if($T941&lt;&gt;"""",REGEXEXTRACT($T941, J$1&amp;""[\w &amp;]*, (\d+\.\d+)""),"""")
"),"")</f>
        <v/>
      </c>
      <c r="K941" s="3"/>
      <c r="L941" s="3" t="str">
        <f aca="false">IFERROR(__xludf.dummyfunction("if($T941&lt;&gt;"""",REGEXEXTRACT(SUBSTITUTE ($T941,L$1&amp;"" CE"",""""), L$1&amp;""[\w &amp;]*, (\d+\.\d+)""),"""")
"),"")</f>
        <v/>
      </c>
      <c r="M941" s="3" t="str">
        <f aca="false">IFERROR(__xludf.dummyfunction("if($T941&lt;&gt;"""",REGEXEXTRACT($T941, M$1&amp;""[\w &amp;]*, (\d+\.\d+)""),"""")
"),"")</f>
        <v/>
      </c>
      <c r="N941" s="3" t="str">
        <f aca="false">IFERROR(__xludf.dummyfunction("if($T941&lt;&gt;"""",REGEXEXTRACT(SUBSTITUTE ($T941,N$1&amp;"" CE"",""""), N$1&amp;""[\w &amp;]*, (\d+\.\d+)""),"""")
"),"")</f>
        <v/>
      </c>
      <c r="O941" s="3" t="str">
        <f aca="false">IFERROR(__xludf.dummyfunction("if($T941&lt;&gt;"""",REGEXEXTRACT($T941, O$1&amp;""[\w &amp;]*, (\d+\.\d+)""),"""")
"),"")</f>
        <v/>
      </c>
      <c r="P941" s="2"/>
      <c r="Q941" s="2"/>
      <c r="R941" s="2"/>
      <c r="S941" s="2"/>
      <c r="T941" s="5"/>
    </row>
    <row r="942" customFormat="false" ht="15.75" hidden="false" customHeight="false" outlineLevel="0" collapsed="false">
      <c r="A942" s="4"/>
      <c r="B942" s="2"/>
      <c r="C942" s="2"/>
      <c r="D942" s="2"/>
      <c r="E942" s="2"/>
      <c r="F942" s="3" t="str">
        <f aca="false">IFERROR(__xludf.dummyfunction("if($T942&lt;&gt;"""",REGEXEXTRACT(SUBSTITUTE ($T942,F$1&amp;"" CE"",""""), F$1&amp;""[\w &amp;]*, (\d+\.\d+)""),"""")
"),"")</f>
        <v/>
      </c>
      <c r="G942" s="3" t="str">
        <f aca="false">IFERROR(__xludf.dummyfunction("if($T942&lt;&gt;"""",REGEXEXTRACT($T942, G$1&amp;""[\w &amp;]*, (\d+\.\d+)""),"""")
"),"")</f>
        <v/>
      </c>
      <c r="H942" s="3"/>
      <c r="I942" s="3" t="str">
        <f aca="false">IFERROR(__xludf.dummyfunction("if($T942&lt;&gt;"""",REGEXEXTRACT(SUBSTITUTE ($T942,I$1&amp;"" CE"",""""), I$1&amp;""[\w &amp;]*, (\d+\.\d+)""),"""")
"),"")</f>
        <v/>
      </c>
      <c r="J942" s="3" t="str">
        <f aca="false">IFERROR(__xludf.dummyfunction("if($T942&lt;&gt;"""",REGEXEXTRACT($T942, J$1&amp;""[\w &amp;]*, (\d+\.\d+)""),"""")
"),"")</f>
        <v/>
      </c>
      <c r="K942" s="3"/>
      <c r="L942" s="3" t="str">
        <f aca="false">IFERROR(__xludf.dummyfunction("if($T942&lt;&gt;"""",REGEXEXTRACT(SUBSTITUTE ($T942,L$1&amp;"" CE"",""""), L$1&amp;""[\w &amp;]*, (\d+\.\d+)""),"""")
"),"")</f>
        <v/>
      </c>
      <c r="M942" s="3" t="str">
        <f aca="false">IFERROR(__xludf.dummyfunction("if($T942&lt;&gt;"""",REGEXEXTRACT($T942, M$1&amp;""[\w &amp;]*, (\d+\.\d+)""),"""")
"),"")</f>
        <v/>
      </c>
      <c r="N942" s="3" t="str">
        <f aca="false">IFERROR(__xludf.dummyfunction("if($T942&lt;&gt;"""",REGEXEXTRACT(SUBSTITUTE ($T942,N$1&amp;"" CE"",""""), N$1&amp;""[\w &amp;]*, (\d+\.\d+)""),"""")
"),"")</f>
        <v/>
      </c>
      <c r="O942" s="3" t="str">
        <f aca="false">IFERROR(__xludf.dummyfunction("if($T942&lt;&gt;"""",REGEXEXTRACT($T942, O$1&amp;""[\w &amp;]*, (\d+\.\d+)""),"""")
"),"")</f>
        <v/>
      </c>
      <c r="P942" s="2"/>
      <c r="Q942" s="2"/>
      <c r="R942" s="2"/>
      <c r="S942" s="2"/>
      <c r="T942" s="5"/>
    </row>
    <row r="943" customFormat="false" ht="15.75" hidden="false" customHeight="false" outlineLevel="0" collapsed="false">
      <c r="A943" s="4"/>
      <c r="B943" s="2"/>
      <c r="C943" s="2"/>
      <c r="D943" s="2"/>
      <c r="E943" s="2"/>
      <c r="F943" s="3" t="str">
        <f aca="false">IFERROR(__xludf.dummyfunction("if($T943&lt;&gt;"""",REGEXEXTRACT(SUBSTITUTE ($T943,F$1&amp;"" CE"",""""), F$1&amp;""[\w &amp;]*, (\d+\.\d+)""),"""")
"),"")</f>
        <v/>
      </c>
      <c r="G943" s="3" t="str">
        <f aca="false">IFERROR(__xludf.dummyfunction("if($T943&lt;&gt;"""",REGEXEXTRACT($T943, G$1&amp;""[\w &amp;]*, (\d+\.\d+)""),"""")
"),"")</f>
        <v/>
      </c>
      <c r="H943" s="3"/>
      <c r="I943" s="3" t="str">
        <f aca="false">IFERROR(__xludf.dummyfunction("if($T943&lt;&gt;"""",REGEXEXTRACT(SUBSTITUTE ($T943,I$1&amp;"" CE"",""""), I$1&amp;""[\w &amp;]*, (\d+\.\d+)""),"""")
"),"")</f>
        <v/>
      </c>
      <c r="J943" s="3" t="str">
        <f aca="false">IFERROR(__xludf.dummyfunction("if($T943&lt;&gt;"""",REGEXEXTRACT($T943, J$1&amp;""[\w &amp;]*, (\d+\.\d+)""),"""")
"),"")</f>
        <v/>
      </c>
      <c r="K943" s="3"/>
      <c r="L943" s="3" t="str">
        <f aca="false">IFERROR(__xludf.dummyfunction("if($T943&lt;&gt;"""",REGEXEXTRACT(SUBSTITUTE ($T943,L$1&amp;"" CE"",""""), L$1&amp;""[\w &amp;]*, (\d+\.\d+)""),"""")
"),"")</f>
        <v/>
      </c>
      <c r="M943" s="3" t="str">
        <f aca="false">IFERROR(__xludf.dummyfunction("if($T943&lt;&gt;"""",REGEXEXTRACT($T943, M$1&amp;""[\w &amp;]*, (\d+\.\d+)""),"""")
"),"")</f>
        <v/>
      </c>
      <c r="N943" s="3" t="str">
        <f aca="false">IFERROR(__xludf.dummyfunction("if($T943&lt;&gt;"""",REGEXEXTRACT(SUBSTITUTE ($T943,N$1&amp;"" CE"",""""), N$1&amp;""[\w &amp;]*, (\d+\.\d+)""),"""")
"),"")</f>
        <v/>
      </c>
      <c r="O943" s="3" t="str">
        <f aca="false">IFERROR(__xludf.dummyfunction("if($T943&lt;&gt;"""",REGEXEXTRACT($T943, O$1&amp;""[\w &amp;]*, (\d+\.\d+)""),"""")
"),"")</f>
        <v/>
      </c>
      <c r="P943" s="2"/>
      <c r="Q943" s="2"/>
      <c r="R943" s="2"/>
      <c r="S943" s="2"/>
      <c r="T943" s="5"/>
    </row>
    <row r="944" customFormat="false" ht="15.75" hidden="false" customHeight="false" outlineLevel="0" collapsed="false">
      <c r="A944" s="4"/>
      <c r="B944" s="2"/>
      <c r="C944" s="2"/>
      <c r="D944" s="2"/>
      <c r="E944" s="2"/>
      <c r="F944" s="3" t="str">
        <f aca="false">IFERROR(__xludf.dummyfunction("if($T944&lt;&gt;"""",REGEXEXTRACT(SUBSTITUTE ($T944,F$1&amp;"" CE"",""""), F$1&amp;""[\w &amp;]*, (\d+\.\d+)""),"""")
"),"")</f>
        <v/>
      </c>
      <c r="G944" s="3" t="str">
        <f aca="false">IFERROR(__xludf.dummyfunction("if($T944&lt;&gt;"""",REGEXEXTRACT($T944, G$1&amp;""[\w &amp;]*, (\d+\.\d+)""),"""")
"),"")</f>
        <v/>
      </c>
      <c r="H944" s="3"/>
      <c r="I944" s="3" t="str">
        <f aca="false">IFERROR(__xludf.dummyfunction("if($T944&lt;&gt;"""",REGEXEXTRACT(SUBSTITUTE ($T944,I$1&amp;"" CE"",""""), I$1&amp;""[\w &amp;]*, (\d+\.\d+)""),"""")
"),"")</f>
        <v/>
      </c>
      <c r="J944" s="3" t="str">
        <f aca="false">IFERROR(__xludf.dummyfunction("if($T944&lt;&gt;"""",REGEXEXTRACT($T944, J$1&amp;""[\w &amp;]*, (\d+\.\d+)""),"""")
"),"")</f>
        <v/>
      </c>
      <c r="K944" s="3"/>
      <c r="L944" s="3" t="str">
        <f aca="false">IFERROR(__xludf.dummyfunction("if($T944&lt;&gt;"""",REGEXEXTRACT(SUBSTITUTE ($T944,L$1&amp;"" CE"",""""), L$1&amp;""[\w &amp;]*, (\d+\.\d+)""),"""")
"),"")</f>
        <v/>
      </c>
      <c r="M944" s="3" t="str">
        <f aca="false">IFERROR(__xludf.dummyfunction("if($T944&lt;&gt;"""",REGEXEXTRACT($T944, M$1&amp;""[\w &amp;]*, (\d+\.\d+)""),"""")
"),"")</f>
        <v/>
      </c>
      <c r="N944" s="3" t="str">
        <f aca="false">IFERROR(__xludf.dummyfunction("if($T944&lt;&gt;"""",REGEXEXTRACT(SUBSTITUTE ($T944,N$1&amp;"" CE"",""""), N$1&amp;""[\w &amp;]*, (\d+\.\d+)""),"""")
"),"")</f>
        <v/>
      </c>
      <c r="O944" s="3" t="str">
        <f aca="false">IFERROR(__xludf.dummyfunction("if($T944&lt;&gt;"""",REGEXEXTRACT($T944, O$1&amp;""[\w &amp;]*, (\d+\.\d+)""),"""")
"),"")</f>
        <v/>
      </c>
      <c r="P944" s="2"/>
      <c r="Q944" s="2"/>
      <c r="R944" s="2"/>
      <c r="S944" s="2"/>
      <c r="T944" s="5"/>
    </row>
    <row r="945" customFormat="false" ht="15.75" hidden="false" customHeight="false" outlineLevel="0" collapsed="false">
      <c r="A945" s="4"/>
      <c r="B945" s="2"/>
      <c r="C945" s="2"/>
      <c r="D945" s="2"/>
      <c r="E945" s="2"/>
      <c r="F945" s="3" t="str">
        <f aca="false">IFERROR(__xludf.dummyfunction("if($T945&lt;&gt;"""",REGEXEXTRACT(SUBSTITUTE ($T945,F$1&amp;"" CE"",""""), F$1&amp;""[\w &amp;]*, (\d+\.\d+)""),"""")
"),"")</f>
        <v/>
      </c>
      <c r="G945" s="3" t="str">
        <f aca="false">IFERROR(__xludf.dummyfunction("if($T945&lt;&gt;"""",REGEXEXTRACT($T945, G$1&amp;""[\w &amp;]*, (\d+\.\d+)""),"""")
"),"")</f>
        <v/>
      </c>
      <c r="H945" s="3"/>
      <c r="I945" s="3" t="str">
        <f aca="false">IFERROR(__xludf.dummyfunction("if($T945&lt;&gt;"""",REGEXEXTRACT(SUBSTITUTE ($T945,I$1&amp;"" CE"",""""), I$1&amp;""[\w &amp;]*, (\d+\.\d+)""),"""")
"),"")</f>
        <v/>
      </c>
      <c r="J945" s="3" t="str">
        <f aca="false">IFERROR(__xludf.dummyfunction("if($T945&lt;&gt;"""",REGEXEXTRACT($T945, J$1&amp;""[\w &amp;]*, (\d+\.\d+)""),"""")
"),"")</f>
        <v/>
      </c>
      <c r="K945" s="3"/>
      <c r="L945" s="3" t="str">
        <f aca="false">IFERROR(__xludf.dummyfunction("if($T945&lt;&gt;"""",REGEXEXTRACT(SUBSTITUTE ($T945,L$1&amp;"" CE"",""""), L$1&amp;""[\w &amp;]*, (\d+\.\d+)""),"""")
"),"")</f>
        <v/>
      </c>
      <c r="M945" s="3" t="str">
        <f aca="false">IFERROR(__xludf.dummyfunction("if($T945&lt;&gt;"""",REGEXEXTRACT($T945, M$1&amp;""[\w &amp;]*, (\d+\.\d+)""),"""")
"),"")</f>
        <v/>
      </c>
      <c r="N945" s="3" t="str">
        <f aca="false">IFERROR(__xludf.dummyfunction("if($T945&lt;&gt;"""",REGEXEXTRACT(SUBSTITUTE ($T945,N$1&amp;"" CE"",""""), N$1&amp;""[\w &amp;]*, (\d+\.\d+)""),"""")
"),"")</f>
        <v/>
      </c>
      <c r="O945" s="3" t="str">
        <f aca="false">IFERROR(__xludf.dummyfunction("if($T945&lt;&gt;"""",REGEXEXTRACT($T945, O$1&amp;""[\w &amp;]*, (\d+\.\d+)""),"""")
"),"")</f>
        <v/>
      </c>
      <c r="P945" s="2"/>
      <c r="Q945" s="2"/>
      <c r="R945" s="2"/>
      <c r="S945" s="2"/>
      <c r="T945" s="5"/>
    </row>
    <row r="946" customFormat="false" ht="15.75" hidden="false" customHeight="false" outlineLevel="0" collapsed="false">
      <c r="A946" s="4"/>
      <c r="B946" s="2"/>
      <c r="C946" s="2"/>
      <c r="D946" s="2"/>
      <c r="E946" s="2"/>
      <c r="F946" s="3" t="str">
        <f aca="false">IFERROR(__xludf.dummyfunction("if($T946&lt;&gt;"""",REGEXEXTRACT(SUBSTITUTE ($T946,F$1&amp;"" CE"",""""), F$1&amp;""[\w &amp;]*, (\d+\.\d+)""),"""")
"),"")</f>
        <v/>
      </c>
      <c r="G946" s="3" t="str">
        <f aca="false">IFERROR(__xludf.dummyfunction("if($T946&lt;&gt;"""",REGEXEXTRACT($T946, G$1&amp;""[\w &amp;]*, (\d+\.\d+)""),"""")
"),"")</f>
        <v/>
      </c>
      <c r="H946" s="3"/>
      <c r="I946" s="3" t="str">
        <f aca="false">IFERROR(__xludf.dummyfunction("if($T946&lt;&gt;"""",REGEXEXTRACT(SUBSTITUTE ($T946,I$1&amp;"" CE"",""""), I$1&amp;""[\w &amp;]*, (\d+\.\d+)""),"""")
"),"")</f>
        <v/>
      </c>
      <c r="J946" s="3" t="str">
        <f aca="false">IFERROR(__xludf.dummyfunction("if($T946&lt;&gt;"""",REGEXEXTRACT($T946, J$1&amp;""[\w &amp;]*, (\d+\.\d+)""),"""")
"),"")</f>
        <v/>
      </c>
      <c r="K946" s="3"/>
      <c r="L946" s="3" t="str">
        <f aca="false">IFERROR(__xludf.dummyfunction("if($T946&lt;&gt;"""",REGEXEXTRACT(SUBSTITUTE ($T946,L$1&amp;"" CE"",""""), L$1&amp;""[\w &amp;]*, (\d+\.\d+)""),"""")
"),"")</f>
        <v/>
      </c>
      <c r="M946" s="3" t="str">
        <f aca="false">IFERROR(__xludf.dummyfunction("if($T946&lt;&gt;"""",REGEXEXTRACT($T946, M$1&amp;""[\w &amp;]*, (\d+\.\d+)""),"""")
"),"")</f>
        <v/>
      </c>
      <c r="N946" s="3" t="str">
        <f aca="false">IFERROR(__xludf.dummyfunction("if($T946&lt;&gt;"""",REGEXEXTRACT(SUBSTITUTE ($T946,N$1&amp;"" CE"",""""), N$1&amp;""[\w &amp;]*, (\d+\.\d+)""),"""")
"),"")</f>
        <v/>
      </c>
      <c r="O946" s="3" t="str">
        <f aca="false">IFERROR(__xludf.dummyfunction("if($T946&lt;&gt;"""",REGEXEXTRACT($T946, O$1&amp;""[\w &amp;]*, (\d+\.\d+)""),"""")
"),"")</f>
        <v/>
      </c>
      <c r="P946" s="2"/>
      <c r="Q946" s="2"/>
      <c r="R946" s="2"/>
      <c r="S946" s="2"/>
      <c r="T946" s="5"/>
    </row>
    <row r="947" customFormat="false" ht="15.75" hidden="false" customHeight="false" outlineLevel="0" collapsed="false">
      <c r="A947" s="4"/>
      <c r="B947" s="2"/>
      <c r="C947" s="2"/>
      <c r="D947" s="2"/>
      <c r="E947" s="2"/>
      <c r="F947" s="3" t="str">
        <f aca="false">IFERROR(__xludf.dummyfunction("if($T947&lt;&gt;"""",REGEXEXTRACT(SUBSTITUTE ($T947,F$1&amp;"" CE"",""""), F$1&amp;""[\w &amp;]*, (\d+\.\d+)""),"""")
"),"")</f>
        <v/>
      </c>
      <c r="G947" s="3" t="str">
        <f aca="false">IFERROR(__xludf.dummyfunction("if($T947&lt;&gt;"""",REGEXEXTRACT($T947, G$1&amp;""[\w &amp;]*, (\d+\.\d+)""),"""")
"),"")</f>
        <v/>
      </c>
      <c r="H947" s="3"/>
      <c r="I947" s="3" t="str">
        <f aca="false">IFERROR(__xludf.dummyfunction("if($T947&lt;&gt;"""",REGEXEXTRACT(SUBSTITUTE ($T947,I$1&amp;"" CE"",""""), I$1&amp;""[\w &amp;]*, (\d+\.\d+)""),"""")
"),"")</f>
        <v/>
      </c>
      <c r="J947" s="3" t="str">
        <f aca="false">IFERROR(__xludf.dummyfunction("if($T947&lt;&gt;"""",REGEXEXTRACT($T947, J$1&amp;""[\w &amp;]*, (\d+\.\d+)""),"""")
"),"")</f>
        <v/>
      </c>
      <c r="K947" s="3"/>
      <c r="L947" s="3" t="str">
        <f aca="false">IFERROR(__xludf.dummyfunction("if($T947&lt;&gt;"""",REGEXEXTRACT(SUBSTITUTE ($T947,L$1&amp;"" CE"",""""), L$1&amp;""[\w &amp;]*, (\d+\.\d+)""),"""")
"),"")</f>
        <v/>
      </c>
      <c r="M947" s="3" t="str">
        <f aca="false">IFERROR(__xludf.dummyfunction("if($T947&lt;&gt;"""",REGEXEXTRACT($T947, M$1&amp;""[\w &amp;]*, (\d+\.\d+)""),"""")
"),"")</f>
        <v/>
      </c>
      <c r="N947" s="3" t="str">
        <f aca="false">IFERROR(__xludf.dummyfunction("if($T947&lt;&gt;"""",REGEXEXTRACT(SUBSTITUTE ($T947,N$1&amp;"" CE"",""""), N$1&amp;""[\w &amp;]*, (\d+\.\d+)""),"""")
"),"")</f>
        <v/>
      </c>
      <c r="O947" s="3" t="str">
        <f aca="false">IFERROR(__xludf.dummyfunction("if($T947&lt;&gt;"""",REGEXEXTRACT($T947, O$1&amp;""[\w &amp;]*, (\d+\.\d+)""),"""")
"),"")</f>
        <v/>
      </c>
      <c r="P947" s="2"/>
      <c r="Q947" s="2"/>
      <c r="R947" s="2"/>
      <c r="S947" s="2"/>
      <c r="T947" s="5"/>
    </row>
    <row r="948" customFormat="false" ht="15.75" hidden="false" customHeight="false" outlineLevel="0" collapsed="false">
      <c r="A948" s="4"/>
      <c r="B948" s="2"/>
      <c r="C948" s="2"/>
      <c r="D948" s="2"/>
      <c r="E948" s="2"/>
      <c r="F948" s="3" t="str">
        <f aca="false">IFERROR(__xludf.dummyfunction("if($T948&lt;&gt;"""",REGEXEXTRACT(SUBSTITUTE ($T948,F$1&amp;"" CE"",""""), F$1&amp;""[\w &amp;]*, (\d+\.\d+)""),"""")
"),"")</f>
        <v/>
      </c>
      <c r="G948" s="3" t="str">
        <f aca="false">IFERROR(__xludf.dummyfunction("if($T948&lt;&gt;"""",REGEXEXTRACT($T948, G$1&amp;""[\w &amp;]*, (\d+\.\d+)""),"""")
"),"")</f>
        <v/>
      </c>
      <c r="H948" s="3"/>
      <c r="I948" s="3" t="str">
        <f aca="false">IFERROR(__xludf.dummyfunction("if($T948&lt;&gt;"""",REGEXEXTRACT(SUBSTITUTE ($T948,I$1&amp;"" CE"",""""), I$1&amp;""[\w &amp;]*, (\d+\.\d+)""),"""")
"),"")</f>
        <v/>
      </c>
      <c r="J948" s="3" t="str">
        <f aca="false">IFERROR(__xludf.dummyfunction("if($T948&lt;&gt;"""",REGEXEXTRACT($T948, J$1&amp;""[\w &amp;]*, (\d+\.\d+)""),"""")
"),"")</f>
        <v/>
      </c>
      <c r="K948" s="3"/>
      <c r="L948" s="3" t="str">
        <f aca="false">IFERROR(__xludf.dummyfunction("if($T948&lt;&gt;"""",REGEXEXTRACT(SUBSTITUTE ($T948,L$1&amp;"" CE"",""""), L$1&amp;""[\w &amp;]*, (\d+\.\d+)""),"""")
"),"")</f>
        <v/>
      </c>
      <c r="M948" s="3" t="str">
        <f aca="false">IFERROR(__xludf.dummyfunction("if($T948&lt;&gt;"""",REGEXEXTRACT($T948, M$1&amp;""[\w &amp;]*, (\d+\.\d+)""),"""")
"),"")</f>
        <v/>
      </c>
      <c r="N948" s="3" t="str">
        <f aca="false">IFERROR(__xludf.dummyfunction("if($T948&lt;&gt;"""",REGEXEXTRACT(SUBSTITUTE ($T948,N$1&amp;"" CE"",""""), N$1&amp;""[\w &amp;]*, (\d+\.\d+)""),"""")
"),"")</f>
        <v/>
      </c>
      <c r="O948" s="3" t="str">
        <f aca="false">IFERROR(__xludf.dummyfunction("if($T948&lt;&gt;"""",REGEXEXTRACT($T948, O$1&amp;""[\w &amp;]*, (\d+\.\d+)""),"""")
"),"")</f>
        <v/>
      </c>
      <c r="P948" s="2"/>
      <c r="Q948" s="2"/>
      <c r="R948" s="2"/>
      <c r="S948" s="2"/>
      <c r="T948" s="5"/>
    </row>
    <row r="949" customFormat="false" ht="15.75" hidden="false" customHeight="false" outlineLevel="0" collapsed="false">
      <c r="A949" s="4"/>
      <c r="B949" s="2"/>
      <c r="C949" s="2"/>
      <c r="D949" s="2"/>
      <c r="E949" s="2"/>
      <c r="F949" s="3" t="str">
        <f aca="false">IFERROR(__xludf.dummyfunction("if($T949&lt;&gt;"""",REGEXEXTRACT(SUBSTITUTE ($T949,F$1&amp;"" CE"",""""), F$1&amp;""[\w &amp;]*, (\d+\.\d+)""),"""")
"),"")</f>
        <v/>
      </c>
      <c r="G949" s="3" t="str">
        <f aca="false">IFERROR(__xludf.dummyfunction("if($T949&lt;&gt;"""",REGEXEXTRACT($T949, G$1&amp;""[\w &amp;]*, (\d+\.\d+)""),"""")
"),"")</f>
        <v/>
      </c>
      <c r="H949" s="3"/>
      <c r="I949" s="3" t="str">
        <f aca="false">IFERROR(__xludf.dummyfunction("if($T949&lt;&gt;"""",REGEXEXTRACT(SUBSTITUTE ($T949,I$1&amp;"" CE"",""""), I$1&amp;""[\w &amp;]*, (\d+\.\d+)""),"""")
"),"")</f>
        <v/>
      </c>
      <c r="J949" s="3" t="str">
        <f aca="false">IFERROR(__xludf.dummyfunction("if($T949&lt;&gt;"""",REGEXEXTRACT($T949, J$1&amp;""[\w &amp;]*, (\d+\.\d+)""),"""")
"),"")</f>
        <v/>
      </c>
      <c r="K949" s="3"/>
      <c r="L949" s="3" t="str">
        <f aca="false">IFERROR(__xludf.dummyfunction("if($T949&lt;&gt;"""",REGEXEXTRACT(SUBSTITUTE ($T949,L$1&amp;"" CE"",""""), L$1&amp;""[\w &amp;]*, (\d+\.\d+)""),"""")
"),"")</f>
        <v/>
      </c>
      <c r="M949" s="3" t="str">
        <f aca="false">IFERROR(__xludf.dummyfunction("if($T949&lt;&gt;"""",REGEXEXTRACT($T949, M$1&amp;""[\w &amp;]*, (\d+\.\d+)""),"""")
"),"")</f>
        <v/>
      </c>
      <c r="N949" s="3" t="str">
        <f aca="false">IFERROR(__xludf.dummyfunction("if($T949&lt;&gt;"""",REGEXEXTRACT(SUBSTITUTE ($T949,N$1&amp;"" CE"",""""), N$1&amp;""[\w &amp;]*, (\d+\.\d+)""),"""")
"),"")</f>
        <v/>
      </c>
      <c r="O949" s="3" t="str">
        <f aca="false">IFERROR(__xludf.dummyfunction("if($T949&lt;&gt;"""",REGEXEXTRACT($T949, O$1&amp;""[\w &amp;]*, (\d+\.\d+)""),"""")
"),"")</f>
        <v/>
      </c>
      <c r="P949" s="2"/>
      <c r="Q949" s="2"/>
      <c r="R949" s="2"/>
      <c r="S949" s="2"/>
      <c r="T949" s="5"/>
    </row>
    <row r="950" customFormat="false" ht="15.75" hidden="false" customHeight="false" outlineLevel="0" collapsed="false">
      <c r="A950" s="4"/>
      <c r="B950" s="2"/>
      <c r="C950" s="2"/>
      <c r="D950" s="2"/>
      <c r="E950" s="2"/>
      <c r="F950" s="3" t="str">
        <f aca="false">IFERROR(__xludf.dummyfunction("if($T950&lt;&gt;"""",REGEXEXTRACT(SUBSTITUTE ($T950,F$1&amp;"" CE"",""""), F$1&amp;""[\w &amp;]*, (\d+\.\d+)""),"""")
"),"")</f>
        <v/>
      </c>
      <c r="G950" s="3" t="str">
        <f aca="false">IFERROR(__xludf.dummyfunction("if($T950&lt;&gt;"""",REGEXEXTRACT($T950, G$1&amp;""[\w &amp;]*, (\d+\.\d+)""),"""")
"),"")</f>
        <v/>
      </c>
      <c r="H950" s="3"/>
      <c r="I950" s="3" t="str">
        <f aca="false">IFERROR(__xludf.dummyfunction("if($T950&lt;&gt;"""",REGEXEXTRACT(SUBSTITUTE ($T950,I$1&amp;"" CE"",""""), I$1&amp;""[\w &amp;]*, (\d+\.\d+)""),"""")
"),"")</f>
        <v/>
      </c>
      <c r="J950" s="3" t="str">
        <f aca="false">IFERROR(__xludf.dummyfunction("if($T950&lt;&gt;"""",REGEXEXTRACT($T950, J$1&amp;""[\w &amp;]*, (\d+\.\d+)""),"""")
"),"")</f>
        <v/>
      </c>
      <c r="K950" s="3"/>
      <c r="L950" s="3" t="str">
        <f aca="false">IFERROR(__xludf.dummyfunction("if($T950&lt;&gt;"""",REGEXEXTRACT(SUBSTITUTE ($T950,L$1&amp;"" CE"",""""), L$1&amp;""[\w &amp;]*, (\d+\.\d+)""),"""")
"),"")</f>
        <v/>
      </c>
      <c r="M950" s="3" t="str">
        <f aca="false">IFERROR(__xludf.dummyfunction("if($T950&lt;&gt;"""",REGEXEXTRACT($T950, M$1&amp;""[\w &amp;]*, (\d+\.\d+)""),"""")
"),"")</f>
        <v/>
      </c>
      <c r="N950" s="3" t="str">
        <f aca="false">IFERROR(__xludf.dummyfunction("if($T950&lt;&gt;"""",REGEXEXTRACT(SUBSTITUTE ($T950,N$1&amp;"" CE"",""""), N$1&amp;""[\w &amp;]*, (\d+\.\d+)""),"""")
"),"")</f>
        <v/>
      </c>
      <c r="O950" s="3" t="str">
        <f aca="false">IFERROR(__xludf.dummyfunction("if($T950&lt;&gt;"""",REGEXEXTRACT($T950, O$1&amp;""[\w &amp;]*, (\d+\.\d+)""),"""")
"),"")</f>
        <v/>
      </c>
      <c r="P950" s="2"/>
      <c r="Q950" s="2"/>
      <c r="R950" s="2"/>
      <c r="S950" s="2"/>
      <c r="T950" s="5"/>
    </row>
    <row r="951" customFormat="false" ht="15.75" hidden="false" customHeight="false" outlineLevel="0" collapsed="false">
      <c r="A951" s="4"/>
      <c r="B951" s="2"/>
      <c r="C951" s="2"/>
      <c r="D951" s="2"/>
      <c r="E951" s="2"/>
      <c r="F951" s="3" t="str">
        <f aca="false">IFERROR(__xludf.dummyfunction("if($T951&lt;&gt;"""",REGEXEXTRACT(SUBSTITUTE ($T951,F$1&amp;"" CE"",""""), F$1&amp;""[\w &amp;]*, (\d+\.\d+)""),"""")
"),"")</f>
        <v/>
      </c>
      <c r="G951" s="3" t="str">
        <f aca="false">IFERROR(__xludf.dummyfunction("if($T951&lt;&gt;"""",REGEXEXTRACT($T951, G$1&amp;""[\w &amp;]*, (\d+\.\d+)""),"""")
"),"")</f>
        <v/>
      </c>
      <c r="H951" s="3"/>
      <c r="I951" s="3" t="str">
        <f aca="false">IFERROR(__xludf.dummyfunction("if($T951&lt;&gt;"""",REGEXEXTRACT(SUBSTITUTE ($T951,I$1&amp;"" CE"",""""), I$1&amp;""[\w &amp;]*, (\d+\.\d+)""),"""")
"),"")</f>
        <v/>
      </c>
      <c r="J951" s="3" t="str">
        <f aca="false">IFERROR(__xludf.dummyfunction("if($T951&lt;&gt;"""",REGEXEXTRACT($T951, J$1&amp;""[\w &amp;]*, (\d+\.\d+)""),"""")
"),"")</f>
        <v/>
      </c>
      <c r="K951" s="3"/>
      <c r="L951" s="3" t="str">
        <f aca="false">IFERROR(__xludf.dummyfunction("if($T951&lt;&gt;"""",REGEXEXTRACT(SUBSTITUTE ($T951,L$1&amp;"" CE"",""""), L$1&amp;""[\w &amp;]*, (\d+\.\d+)""),"""")
"),"")</f>
        <v/>
      </c>
      <c r="M951" s="3" t="str">
        <f aca="false">IFERROR(__xludf.dummyfunction("if($T951&lt;&gt;"""",REGEXEXTRACT($T951, M$1&amp;""[\w &amp;]*, (\d+\.\d+)""),"""")
"),"")</f>
        <v/>
      </c>
      <c r="N951" s="3" t="str">
        <f aca="false">IFERROR(__xludf.dummyfunction("if($T951&lt;&gt;"""",REGEXEXTRACT(SUBSTITUTE ($T951,N$1&amp;"" CE"",""""), N$1&amp;""[\w &amp;]*, (\d+\.\d+)""),"""")
"),"")</f>
        <v/>
      </c>
      <c r="O951" s="3" t="str">
        <f aca="false">IFERROR(__xludf.dummyfunction("if($T951&lt;&gt;"""",REGEXEXTRACT($T951, O$1&amp;""[\w &amp;]*, (\d+\.\d+)""),"""")
"),"")</f>
        <v/>
      </c>
      <c r="P951" s="2"/>
      <c r="Q951" s="2"/>
      <c r="R951" s="2"/>
      <c r="S951" s="2"/>
      <c r="T951" s="5"/>
    </row>
    <row r="952" customFormat="false" ht="15.75" hidden="false" customHeight="false" outlineLevel="0" collapsed="false">
      <c r="A952" s="4"/>
      <c r="B952" s="2"/>
      <c r="C952" s="2"/>
      <c r="D952" s="2"/>
      <c r="E952" s="2"/>
      <c r="F952" s="3" t="str">
        <f aca="false">IFERROR(__xludf.dummyfunction("if($T952&lt;&gt;"""",REGEXEXTRACT(SUBSTITUTE ($T952,F$1&amp;"" CE"",""""), F$1&amp;""[\w &amp;]*, (\d+\.\d+)""),"""")
"),"")</f>
        <v/>
      </c>
      <c r="G952" s="3" t="str">
        <f aca="false">IFERROR(__xludf.dummyfunction("if($T952&lt;&gt;"""",REGEXEXTRACT($T952, G$1&amp;""[\w &amp;]*, (\d+\.\d+)""),"""")
"),"")</f>
        <v/>
      </c>
      <c r="H952" s="3"/>
      <c r="I952" s="3" t="str">
        <f aca="false">IFERROR(__xludf.dummyfunction("if($T952&lt;&gt;"""",REGEXEXTRACT(SUBSTITUTE ($T952,I$1&amp;"" CE"",""""), I$1&amp;""[\w &amp;]*, (\d+\.\d+)""),"""")
"),"")</f>
        <v/>
      </c>
      <c r="J952" s="3" t="str">
        <f aca="false">IFERROR(__xludf.dummyfunction("if($T952&lt;&gt;"""",REGEXEXTRACT($T952, J$1&amp;""[\w &amp;]*, (\d+\.\d+)""),"""")
"),"")</f>
        <v/>
      </c>
      <c r="K952" s="3"/>
      <c r="L952" s="3" t="str">
        <f aca="false">IFERROR(__xludf.dummyfunction("if($T952&lt;&gt;"""",REGEXEXTRACT(SUBSTITUTE ($T952,L$1&amp;"" CE"",""""), L$1&amp;""[\w &amp;]*, (\d+\.\d+)""),"""")
"),"")</f>
        <v/>
      </c>
      <c r="M952" s="3" t="str">
        <f aca="false">IFERROR(__xludf.dummyfunction("if($T952&lt;&gt;"""",REGEXEXTRACT($T952, M$1&amp;""[\w &amp;]*, (\d+\.\d+)""),"""")
"),"")</f>
        <v/>
      </c>
      <c r="N952" s="3" t="str">
        <f aca="false">IFERROR(__xludf.dummyfunction("if($T952&lt;&gt;"""",REGEXEXTRACT(SUBSTITUTE ($T952,N$1&amp;"" CE"",""""), N$1&amp;""[\w &amp;]*, (\d+\.\d+)""),"""")
"),"")</f>
        <v/>
      </c>
      <c r="O952" s="3" t="str">
        <f aca="false">IFERROR(__xludf.dummyfunction("if($T952&lt;&gt;"""",REGEXEXTRACT($T952, O$1&amp;""[\w &amp;]*, (\d+\.\d+)""),"""")
"),"")</f>
        <v/>
      </c>
      <c r="P952" s="2"/>
      <c r="Q952" s="2"/>
      <c r="R952" s="2"/>
      <c r="S952" s="2"/>
      <c r="T952" s="5"/>
    </row>
    <row r="953" customFormat="false" ht="15.75" hidden="false" customHeight="false" outlineLevel="0" collapsed="false">
      <c r="A953" s="4"/>
      <c r="B953" s="2"/>
      <c r="C953" s="2"/>
      <c r="D953" s="2"/>
      <c r="E953" s="2"/>
      <c r="F953" s="3" t="str">
        <f aca="false">IFERROR(__xludf.dummyfunction("if($T953&lt;&gt;"""",REGEXEXTRACT(SUBSTITUTE ($T953,F$1&amp;"" CE"",""""), F$1&amp;""[\w &amp;]*, (\d+\.\d+)""),"""")
"),"")</f>
        <v/>
      </c>
      <c r="G953" s="3" t="str">
        <f aca="false">IFERROR(__xludf.dummyfunction("if($T953&lt;&gt;"""",REGEXEXTRACT($T953, G$1&amp;""[\w &amp;]*, (\d+\.\d+)""),"""")
"),"")</f>
        <v/>
      </c>
      <c r="H953" s="3"/>
      <c r="I953" s="3" t="str">
        <f aca="false">IFERROR(__xludf.dummyfunction("if($T953&lt;&gt;"""",REGEXEXTRACT(SUBSTITUTE ($T953,I$1&amp;"" CE"",""""), I$1&amp;""[\w &amp;]*, (\d+\.\d+)""),"""")
"),"")</f>
        <v/>
      </c>
      <c r="J953" s="3" t="str">
        <f aca="false">IFERROR(__xludf.dummyfunction("if($T953&lt;&gt;"""",REGEXEXTRACT($T953, J$1&amp;""[\w &amp;]*, (\d+\.\d+)""),"""")
"),"")</f>
        <v/>
      </c>
      <c r="K953" s="3"/>
      <c r="L953" s="3" t="str">
        <f aca="false">IFERROR(__xludf.dummyfunction("if($T953&lt;&gt;"""",REGEXEXTRACT(SUBSTITUTE ($T953,L$1&amp;"" CE"",""""), L$1&amp;""[\w &amp;]*, (\d+\.\d+)""),"""")
"),"")</f>
        <v/>
      </c>
      <c r="M953" s="3" t="str">
        <f aca="false">IFERROR(__xludf.dummyfunction("if($T953&lt;&gt;"""",REGEXEXTRACT($T953, M$1&amp;""[\w &amp;]*, (\d+\.\d+)""),"""")
"),"")</f>
        <v/>
      </c>
      <c r="N953" s="3" t="str">
        <f aca="false">IFERROR(__xludf.dummyfunction("if($T953&lt;&gt;"""",REGEXEXTRACT(SUBSTITUTE ($T953,N$1&amp;"" CE"",""""), N$1&amp;""[\w &amp;]*, (\d+\.\d+)""),"""")
"),"")</f>
        <v/>
      </c>
      <c r="O953" s="3" t="str">
        <f aca="false">IFERROR(__xludf.dummyfunction("if($T953&lt;&gt;"""",REGEXEXTRACT($T953, O$1&amp;""[\w &amp;]*, (\d+\.\d+)""),"""")
"),"")</f>
        <v/>
      </c>
      <c r="P953" s="2"/>
      <c r="Q953" s="2"/>
      <c r="R953" s="2"/>
      <c r="S953" s="2"/>
      <c r="T953" s="5"/>
    </row>
    <row r="954" customFormat="false" ht="15.75" hidden="false" customHeight="false" outlineLevel="0" collapsed="false">
      <c r="A954" s="4"/>
      <c r="B954" s="2"/>
      <c r="C954" s="2"/>
      <c r="D954" s="2"/>
      <c r="E954" s="2"/>
      <c r="F954" s="3" t="str">
        <f aca="false">IFERROR(__xludf.dummyfunction("if($T954&lt;&gt;"""",REGEXEXTRACT(SUBSTITUTE ($T954,F$1&amp;"" CE"",""""), F$1&amp;""[\w &amp;]*, (\d+\.\d+)""),"""")
"),"")</f>
        <v/>
      </c>
      <c r="G954" s="3" t="str">
        <f aca="false">IFERROR(__xludf.dummyfunction("if($T954&lt;&gt;"""",REGEXEXTRACT($T954, G$1&amp;""[\w &amp;]*, (\d+\.\d+)""),"""")
"),"")</f>
        <v/>
      </c>
      <c r="H954" s="3"/>
      <c r="I954" s="3" t="str">
        <f aca="false">IFERROR(__xludf.dummyfunction("if($T954&lt;&gt;"""",REGEXEXTRACT(SUBSTITUTE ($T954,I$1&amp;"" CE"",""""), I$1&amp;""[\w &amp;]*, (\d+\.\d+)""),"""")
"),"")</f>
        <v/>
      </c>
      <c r="J954" s="3" t="str">
        <f aca="false">IFERROR(__xludf.dummyfunction("if($T954&lt;&gt;"""",REGEXEXTRACT($T954, J$1&amp;""[\w &amp;]*, (\d+\.\d+)""),"""")
"),"")</f>
        <v/>
      </c>
      <c r="K954" s="3"/>
      <c r="L954" s="3" t="str">
        <f aca="false">IFERROR(__xludf.dummyfunction("if($T954&lt;&gt;"""",REGEXEXTRACT(SUBSTITUTE ($T954,L$1&amp;"" CE"",""""), L$1&amp;""[\w &amp;]*, (\d+\.\d+)""),"""")
"),"")</f>
        <v/>
      </c>
      <c r="M954" s="3" t="str">
        <f aca="false">IFERROR(__xludf.dummyfunction("if($T954&lt;&gt;"""",REGEXEXTRACT($T954, M$1&amp;""[\w &amp;]*, (\d+\.\d+)""),"""")
"),"")</f>
        <v/>
      </c>
      <c r="N954" s="3" t="str">
        <f aca="false">IFERROR(__xludf.dummyfunction("if($T954&lt;&gt;"""",REGEXEXTRACT(SUBSTITUTE ($T954,N$1&amp;"" CE"",""""), N$1&amp;""[\w &amp;]*, (\d+\.\d+)""),"""")
"),"")</f>
        <v/>
      </c>
      <c r="O954" s="3" t="str">
        <f aca="false">IFERROR(__xludf.dummyfunction("if($T954&lt;&gt;"""",REGEXEXTRACT($T954, O$1&amp;""[\w &amp;]*, (\d+\.\d+)""),"""")
"),"")</f>
        <v/>
      </c>
      <c r="P954" s="2"/>
      <c r="Q954" s="2"/>
      <c r="R954" s="2"/>
      <c r="S954" s="2"/>
      <c r="T954" s="5"/>
    </row>
    <row r="955" customFormat="false" ht="15.75" hidden="false" customHeight="false" outlineLevel="0" collapsed="false">
      <c r="A955" s="4"/>
      <c r="B955" s="2"/>
      <c r="C955" s="2"/>
      <c r="D955" s="2"/>
      <c r="E955" s="2"/>
      <c r="F955" s="3" t="str">
        <f aca="false">IFERROR(__xludf.dummyfunction("if($T955&lt;&gt;"""",REGEXEXTRACT(SUBSTITUTE ($T955,F$1&amp;"" CE"",""""), F$1&amp;""[\w &amp;]*, (\d+\.\d+)""),"""")
"),"")</f>
        <v/>
      </c>
      <c r="G955" s="3" t="str">
        <f aca="false">IFERROR(__xludf.dummyfunction("if($T955&lt;&gt;"""",REGEXEXTRACT($T955, G$1&amp;""[\w &amp;]*, (\d+\.\d+)""),"""")
"),"")</f>
        <v/>
      </c>
      <c r="H955" s="3"/>
      <c r="I955" s="3" t="str">
        <f aca="false">IFERROR(__xludf.dummyfunction("if($T955&lt;&gt;"""",REGEXEXTRACT(SUBSTITUTE ($T955,I$1&amp;"" CE"",""""), I$1&amp;""[\w &amp;]*, (\d+\.\d+)""),"""")
"),"")</f>
        <v/>
      </c>
      <c r="J955" s="3" t="str">
        <f aca="false">IFERROR(__xludf.dummyfunction("if($T955&lt;&gt;"""",REGEXEXTRACT($T955, J$1&amp;""[\w &amp;]*, (\d+\.\d+)""),"""")
"),"")</f>
        <v/>
      </c>
      <c r="K955" s="3"/>
      <c r="L955" s="3" t="str">
        <f aca="false">IFERROR(__xludf.dummyfunction("if($T955&lt;&gt;"""",REGEXEXTRACT(SUBSTITUTE ($T955,L$1&amp;"" CE"",""""), L$1&amp;""[\w &amp;]*, (\d+\.\d+)""),"""")
"),"")</f>
        <v/>
      </c>
      <c r="M955" s="3" t="str">
        <f aca="false">IFERROR(__xludf.dummyfunction("if($T955&lt;&gt;"""",REGEXEXTRACT($T955, M$1&amp;""[\w &amp;]*, (\d+\.\d+)""),"""")
"),"")</f>
        <v/>
      </c>
      <c r="N955" s="3" t="str">
        <f aca="false">IFERROR(__xludf.dummyfunction("if($T955&lt;&gt;"""",REGEXEXTRACT(SUBSTITUTE ($T955,N$1&amp;"" CE"",""""), N$1&amp;""[\w &amp;]*, (\d+\.\d+)""),"""")
"),"")</f>
        <v/>
      </c>
      <c r="O955" s="3" t="str">
        <f aca="false">IFERROR(__xludf.dummyfunction("if($T955&lt;&gt;"""",REGEXEXTRACT($T955, O$1&amp;""[\w &amp;]*, (\d+\.\d+)""),"""")
"),"")</f>
        <v/>
      </c>
      <c r="P955" s="2"/>
      <c r="Q955" s="2"/>
      <c r="R955" s="2"/>
      <c r="S955" s="2"/>
      <c r="T955" s="5"/>
    </row>
    <row r="956" customFormat="false" ht="15.75" hidden="false" customHeight="false" outlineLevel="0" collapsed="false">
      <c r="A956" s="4"/>
      <c r="B956" s="2"/>
      <c r="C956" s="2"/>
      <c r="D956" s="2"/>
      <c r="E956" s="2"/>
      <c r="F956" s="3" t="str">
        <f aca="false">IFERROR(__xludf.dummyfunction("if($T956&lt;&gt;"""",REGEXEXTRACT(SUBSTITUTE ($T956,F$1&amp;"" CE"",""""), F$1&amp;""[\w &amp;]*, (\d+\.\d+)""),"""")
"),"")</f>
        <v/>
      </c>
      <c r="G956" s="3" t="str">
        <f aca="false">IFERROR(__xludf.dummyfunction("if($T956&lt;&gt;"""",REGEXEXTRACT($T956, G$1&amp;""[\w &amp;]*, (\d+\.\d+)""),"""")
"),"")</f>
        <v/>
      </c>
      <c r="H956" s="3"/>
      <c r="I956" s="3" t="str">
        <f aca="false">IFERROR(__xludf.dummyfunction("if($T956&lt;&gt;"""",REGEXEXTRACT(SUBSTITUTE ($T956,I$1&amp;"" CE"",""""), I$1&amp;""[\w &amp;]*, (\d+\.\d+)""),"""")
"),"")</f>
        <v/>
      </c>
      <c r="J956" s="3" t="str">
        <f aca="false">IFERROR(__xludf.dummyfunction("if($T956&lt;&gt;"""",REGEXEXTRACT($T956, J$1&amp;""[\w &amp;]*, (\d+\.\d+)""),"""")
"),"")</f>
        <v/>
      </c>
      <c r="K956" s="3"/>
      <c r="L956" s="3" t="str">
        <f aca="false">IFERROR(__xludf.dummyfunction("if($T956&lt;&gt;"""",REGEXEXTRACT(SUBSTITUTE ($T956,L$1&amp;"" CE"",""""), L$1&amp;""[\w &amp;]*, (\d+\.\d+)""),"""")
"),"")</f>
        <v/>
      </c>
      <c r="M956" s="3" t="str">
        <f aca="false">IFERROR(__xludf.dummyfunction("if($T956&lt;&gt;"""",REGEXEXTRACT($T956, M$1&amp;""[\w &amp;]*, (\d+\.\d+)""),"""")
"),"")</f>
        <v/>
      </c>
      <c r="N956" s="3" t="str">
        <f aca="false">IFERROR(__xludf.dummyfunction("if($T956&lt;&gt;"""",REGEXEXTRACT(SUBSTITUTE ($T956,N$1&amp;"" CE"",""""), N$1&amp;""[\w &amp;]*, (\d+\.\d+)""),"""")
"),"")</f>
        <v/>
      </c>
      <c r="O956" s="3" t="str">
        <f aca="false">IFERROR(__xludf.dummyfunction("if($T956&lt;&gt;"""",REGEXEXTRACT($T956, O$1&amp;""[\w &amp;]*, (\d+\.\d+)""),"""")
"),"")</f>
        <v/>
      </c>
      <c r="P956" s="2"/>
      <c r="Q956" s="2"/>
      <c r="R956" s="2"/>
      <c r="S956" s="2"/>
      <c r="T956" s="5"/>
    </row>
    <row r="957" customFormat="false" ht="15.75" hidden="false" customHeight="false" outlineLevel="0" collapsed="false">
      <c r="A957" s="4"/>
      <c r="B957" s="2"/>
      <c r="C957" s="2"/>
      <c r="D957" s="2"/>
      <c r="E957" s="2"/>
      <c r="F957" s="3" t="str">
        <f aca="false">IFERROR(__xludf.dummyfunction("if($T957&lt;&gt;"""",REGEXEXTRACT(SUBSTITUTE ($T957,F$1&amp;"" CE"",""""), F$1&amp;""[\w &amp;]*, (\d+\.\d+)""),"""")
"),"")</f>
        <v/>
      </c>
      <c r="G957" s="3" t="str">
        <f aca="false">IFERROR(__xludf.dummyfunction("if($T957&lt;&gt;"""",REGEXEXTRACT($T957, G$1&amp;""[\w &amp;]*, (\d+\.\d+)""),"""")
"),"")</f>
        <v/>
      </c>
      <c r="H957" s="3"/>
      <c r="I957" s="3" t="str">
        <f aca="false">IFERROR(__xludf.dummyfunction("if($T957&lt;&gt;"""",REGEXEXTRACT(SUBSTITUTE ($T957,I$1&amp;"" CE"",""""), I$1&amp;""[\w &amp;]*, (\d+\.\d+)""),"""")
"),"")</f>
        <v/>
      </c>
      <c r="J957" s="3" t="str">
        <f aca="false">IFERROR(__xludf.dummyfunction("if($T957&lt;&gt;"""",REGEXEXTRACT($T957, J$1&amp;""[\w &amp;]*, (\d+\.\d+)""),"""")
"),"")</f>
        <v/>
      </c>
      <c r="K957" s="3"/>
      <c r="L957" s="3" t="str">
        <f aca="false">IFERROR(__xludf.dummyfunction("if($T957&lt;&gt;"""",REGEXEXTRACT(SUBSTITUTE ($T957,L$1&amp;"" CE"",""""), L$1&amp;""[\w &amp;]*, (\d+\.\d+)""),"""")
"),"")</f>
        <v/>
      </c>
      <c r="M957" s="3" t="str">
        <f aca="false">IFERROR(__xludf.dummyfunction("if($T957&lt;&gt;"""",REGEXEXTRACT($T957, M$1&amp;""[\w &amp;]*, (\d+\.\d+)""),"""")
"),"")</f>
        <v/>
      </c>
      <c r="N957" s="3" t="str">
        <f aca="false">IFERROR(__xludf.dummyfunction("if($T957&lt;&gt;"""",REGEXEXTRACT(SUBSTITUTE ($T957,N$1&amp;"" CE"",""""), N$1&amp;""[\w &amp;]*, (\d+\.\d+)""),"""")
"),"")</f>
        <v/>
      </c>
      <c r="O957" s="3" t="str">
        <f aca="false">IFERROR(__xludf.dummyfunction("if($T957&lt;&gt;"""",REGEXEXTRACT($T957, O$1&amp;""[\w &amp;]*, (\d+\.\d+)""),"""")
"),"")</f>
        <v/>
      </c>
      <c r="P957" s="2"/>
      <c r="Q957" s="2"/>
      <c r="R957" s="2"/>
      <c r="S957" s="2"/>
      <c r="T957" s="5"/>
    </row>
    <row r="958" customFormat="false" ht="15.75" hidden="false" customHeight="false" outlineLevel="0" collapsed="false">
      <c r="A958" s="4"/>
      <c r="B958" s="2"/>
      <c r="C958" s="2"/>
      <c r="D958" s="2"/>
      <c r="E958" s="2"/>
      <c r="F958" s="3" t="str">
        <f aca="false">IFERROR(__xludf.dummyfunction("if($T958&lt;&gt;"""",REGEXEXTRACT(SUBSTITUTE ($T958,F$1&amp;"" CE"",""""), F$1&amp;""[\w &amp;]*, (\d+\.\d+)""),"""")
"),"")</f>
        <v/>
      </c>
      <c r="G958" s="3" t="str">
        <f aca="false">IFERROR(__xludf.dummyfunction("if($T958&lt;&gt;"""",REGEXEXTRACT($T958, G$1&amp;""[\w &amp;]*, (\d+\.\d+)""),"""")
"),"")</f>
        <v/>
      </c>
      <c r="H958" s="3"/>
      <c r="I958" s="3" t="str">
        <f aca="false">IFERROR(__xludf.dummyfunction("if($T958&lt;&gt;"""",REGEXEXTRACT(SUBSTITUTE ($T958,I$1&amp;"" CE"",""""), I$1&amp;""[\w &amp;]*, (\d+\.\d+)""),"""")
"),"")</f>
        <v/>
      </c>
      <c r="J958" s="3" t="str">
        <f aca="false">IFERROR(__xludf.dummyfunction("if($T958&lt;&gt;"""",REGEXEXTRACT($T958, J$1&amp;""[\w &amp;]*, (\d+\.\d+)""),"""")
"),"")</f>
        <v/>
      </c>
      <c r="K958" s="3"/>
      <c r="L958" s="3" t="str">
        <f aca="false">IFERROR(__xludf.dummyfunction("if($T958&lt;&gt;"""",REGEXEXTRACT(SUBSTITUTE ($T958,L$1&amp;"" CE"",""""), L$1&amp;""[\w &amp;]*, (\d+\.\d+)""),"""")
"),"")</f>
        <v/>
      </c>
      <c r="M958" s="3" t="str">
        <f aca="false">IFERROR(__xludf.dummyfunction("if($T958&lt;&gt;"""",REGEXEXTRACT($T958, M$1&amp;""[\w &amp;]*, (\d+\.\d+)""),"""")
"),"")</f>
        <v/>
      </c>
      <c r="N958" s="3" t="str">
        <f aca="false">IFERROR(__xludf.dummyfunction("if($T958&lt;&gt;"""",REGEXEXTRACT(SUBSTITUTE ($T958,N$1&amp;"" CE"",""""), N$1&amp;""[\w &amp;]*, (\d+\.\d+)""),"""")
"),"")</f>
        <v/>
      </c>
      <c r="O958" s="3" t="str">
        <f aca="false">IFERROR(__xludf.dummyfunction("if($T958&lt;&gt;"""",REGEXEXTRACT($T958, O$1&amp;""[\w &amp;]*, (\d+\.\d+)""),"""")
"),"")</f>
        <v/>
      </c>
      <c r="P958" s="2"/>
      <c r="Q958" s="2"/>
      <c r="R958" s="2"/>
      <c r="S958" s="2"/>
      <c r="T958" s="5"/>
    </row>
    <row r="959" customFormat="false" ht="15.75" hidden="false" customHeight="false" outlineLevel="0" collapsed="false">
      <c r="A959" s="4"/>
      <c r="B959" s="2"/>
      <c r="C959" s="2"/>
      <c r="D959" s="2"/>
      <c r="E959" s="2"/>
      <c r="F959" s="3" t="str">
        <f aca="false">IFERROR(__xludf.dummyfunction("if($T959&lt;&gt;"""",REGEXEXTRACT(SUBSTITUTE ($T959,F$1&amp;"" CE"",""""), F$1&amp;""[\w &amp;]*, (\d+\.\d+)""),"""")
"),"")</f>
        <v/>
      </c>
      <c r="G959" s="3" t="str">
        <f aca="false">IFERROR(__xludf.dummyfunction("if($T959&lt;&gt;"""",REGEXEXTRACT($T959, G$1&amp;""[\w &amp;]*, (\d+\.\d+)""),"""")
"),"")</f>
        <v/>
      </c>
      <c r="H959" s="3"/>
      <c r="I959" s="3" t="str">
        <f aca="false">IFERROR(__xludf.dummyfunction("if($T959&lt;&gt;"""",REGEXEXTRACT(SUBSTITUTE ($T959,I$1&amp;"" CE"",""""), I$1&amp;""[\w &amp;]*, (\d+\.\d+)""),"""")
"),"")</f>
        <v/>
      </c>
      <c r="J959" s="3" t="str">
        <f aca="false">IFERROR(__xludf.dummyfunction("if($T959&lt;&gt;"""",REGEXEXTRACT($T959, J$1&amp;""[\w &amp;]*, (\d+\.\d+)""),"""")
"),"")</f>
        <v/>
      </c>
      <c r="K959" s="3"/>
      <c r="L959" s="3" t="str">
        <f aca="false">IFERROR(__xludf.dummyfunction("if($T959&lt;&gt;"""",REGEXEXTRACT(SUBSTITUTE ($T959,L$1&amp;"" CE"",""""), L$1&amp;""[\w &amp;]*, (\d+\.\d+)""),"""")
"),"")</f>
        <v/>
      </c>
      <c r="M959" s="3" t="str">
        <f aca="false">IFERROR(__xludf.dummyfunction("if($T959&lt;&gt;"""",REGEXEXTRACT($T959, M$1&amp;""[\w &amp;]*, (\d+\.\d+)""),"""")
"),"")</f>
        <v/>
      </c>
      <c r="N959" s="3" t="str">
        <f aca="false">IFERROR(__xludf.dummyfunction("if($T959&lt;&gt;"""",REGEXEXTRACT(SUBSTITUTE ($T959,N$1&amp;"" CE"",""""), N$1&amp;""[\w &amp;]*, (\d+\.\d+)""),"""")
"),"")</f>
        <v/>
      </c>
      <c r="O959" s="3" t="str">
        <f aca="false">IFERROR(__xludf.dummyfunction("if($T959&lt;&gt;"""",REGEXEXTRACT($T959, O$1&amp;""[\w &amp;]*, (\d+\.\d+)""),"""")
"),"")</f>
        <v/>
      </c>
      <c r="P959" s="2"/>
      <c r="Q959" s="2"/>
      <c r="R959" s="2"/>
      <c r="S959" s="2"/>
      <c r="T959" s="5"/>
    </row>
    <row r="960" customFormat="false" ht="15.75" hidden="false" customHeight="false" outlineLevel="0" collapsed="false">
      <c r="A960" s="4"/>
      <c r="B960" s="2"/>
      <c r="C960" s="2"/>
      <c r="D960" s="2"/>
      <c r="E960" s="2"/>
      <c r="F960" s="3" t="str">
        <f aca="false">IFERROR(__xludf.dummyfunction("if($T960&lt;&gt;"""",REGEXEXTRACT(SUBSTITUTE ($T960,F$1&amp;"" CE"",""""), F$1&amp;""[\w &amp;]*, (\d+\.\d+)""),"""")
"),"")</f>
        <v/>
      </c>
      <c r="G960" s="3" t="str">
        <f aca="false">IFERROR(__xludf.dummyfunction("if($T960&lt;&gt;"""",REGEXEXTRACT($T960, G$1&amp;""[\w &amp;]*, (\d+\.\d+)""),"""")
"),"")</f>
        <v/>
      </c>
      <c r="H960" s="3"/>
      <c r="I960" s="3" t="str">
        <f aca="false">IFERROR(__xludf.dummyfunction("if($T960&lt;&gt;"""",REGEXEXTRACT(SUBSTITUTE ($T960,I$1&amp;"" CE"",""""), I$1&amp;""[\w &amp;]*, (\d+\.\d+)""),"""")
"),"")</f>
        <v/>
      </c>
      <c r="J960" s="3" t="str">
        <f aca="false">IFERROR(__xludf.dummyfunction("if($T960&lt;&gt;"""",REGEXEXTRACT($T960, J$1&amp;""[\w &amp;]*, (\d+\.\d+)""),"""")
"),"")</f>
        <v/>
      </c>
      <c r="K960" s="3"/>
      <c r="L960" s="3" t="str">
        <f aca="false">IFERROR(__xludf.dummyfunction("if($T960&lt;&gt;"""",REGEXEXTRACT(SUBSTITUTE ($T960,L$1&amp;"" CE"",""""), L$1&amp;""[\w &amp;]*, (\d+\.\d+)""),"""")
"),"")</f>
        <v/>
      </c>
      <c r="M960" s="3" t="str">
        <f aca="false">IFERROR(__xludf.dummyfunction("if($T960&lt;&gt;"""",REGEXEXTRACT($T960, M$1&amp;""[\w &amp;]*, (\d+\.\d+)""),"""")
"),"")</f>
        <v/>
      </c>
      <c r="N960" s="3" t="str">
        <f aca="false">IFERROR(__xludf.dummyfunction("if($T960&lt;&gt;"""",REGEXEXTRACT(SUBSTITUTE ($T960,N$1&amp;"" CE"",""""), N$1&amp;""[\w &amp;]*, (\d+\.\d+)""),"""")
"),"")</f>
        <v/>
      </c>
      <c r="O960" s="3" t="str">
        <f aca="false">IFERROR(__xludf.dummyfunction("if($T960&lt;&gt;"""",REGEXEXTRACT($T960, O$1&amp;""[\w &amp;]*, (\d+\.\d+)""),"""")
"),"")</f>
        <v/>
      </c>
      <c r="P960" s="2"/>
      <c r="Q960" s="2"/>
      <c r="R960" s="2"/>
      <c r="S960" s="2"/>
      <c r="T960" s="5"/>
    </row>
    <row r="961" customFormat="false" ht="15.75" hidden="false" customHeight="false" outlineLevel="0" collapsed="false">
      <c r="A961" s="4"/>
      <c r="B961" s="2"/>
      <c r="C961" s="2"/>
      <c r="D961" s="2"/>
      <c r="E961" s="2"/>
      <c r="F961" s="3" t="str">
        <f aca="false">IFERROR(__xludf.dummyfunction("if($T961&lt;&gt;"""",REGEXEXTRACT(SUBSTITUTE ($T961,F$1&amp;"" CE"",""""), F$1&amp;""[\w &amp;]*, (\d+\.\d+)""),"""")
"),"")</f>
        <v/>
      </c>
      <c r="G961" s="3" t="str">
        <f aca="false">IFERROR(__xludf.dummyfunction("if($T961&lt;&gt;"""",REGEXEXTRACT($T961, G$1&amp;""[\w &amp;]*, (\d+\.\d+)""),"""")
"),"")</f>
        <v/>
      </c>
      <c r="H961" s="3"/>
      <c r="I961" s="3" t="str">
        <f aca="false">IFERROR(__xludf.dummyfunction("if($T961&lt;&gt;"""",REGEXEXTRACT(SUBSTITUTE ($T961,I$1&amp;"" CE"",""""), I$1&amp;""[\w &amp;]*, (\d+\.\d+)""),"""")
"),"")</f>
        <v/>
      </c>
      <c r="J961" s="3" t="str">
        <f aca="false">IFERROR(__xludf.dummyfunction("if($T961&lt;&gt;"""",REGEXEXTRACT($T961, J$1&amp;""[\w &amp;]*, (\d+\.\d+)""),"""")
"),"")</f>
        <v/>
      </c>
      <c r="K961" s="3"/>
      <c r="L961" s="3" t="str">
        <f aca="false">IFERROR(__xludf.dummyfunction("if($T961&lt;&gt;"""",REGEXEXTRACT(SUBSTITUTE ($T961,L$1&amp;"" CE"",""""), L$1&amp;""[\w &amp;]*, (\d+\.\d+)""),"""")
"),"")</f>
        <v/>
      </c>
      <c r="M961" s="3" t="str">
        <f aca="false">IFERROR(__xludf.dummyfunction("if($T961&lt;&gt;"""",REGEXEXTRACT($T961, M$1&amp;""[\w &amp;]*, (\d+\.\d+)""),"""")
"),"")</f>
        <v/>
      </c>
      <c r="N961" s="3" t="str">
        <f aca="false">IFERROR(__xludf.dummyfunction("if($T961&lt;&gt;"""",REGEXEXTRACT(SUBSTITUTE ($T961,N$1&amp;"" CE"",""""), N$1&amp;""[\w &amp;]*, (\d+\.\d+)""),"""")
"),"")</f>
        <v/>
      </c>
      <c r="O961" s="3" t="str">
        <f aca="false">IFERROR(__xludf.dummyfunction("if($T961&lt;&gt;"""",REGEXEXTRACT($T961, O$1&amp;""[\w &amp;]*, (\d+\.\d+)""),"""")
"),"")</f>
        <v/>
      </c>
      <c r="P961" s="2"/>
      <c r="Q961" s="2"/>
      <c r="R961" s="2"/>
      <c r="S961" s="2"/>
      <c r="T961" s="5"/>
    </row>
    <row r="962" customFormat="false" ht="15.75" hidden="false" customHeight="false" outlineLevel="0" collapsed="false">
      <c r="A962" s="4"/>
      <c r="B962" s="2"/>
      <c r="C962" s="2"/>
      <c r="D962" s="2"/>
      <c r="E962" s="2"/>
      <c r="F962" s="3" t="str">
        <f aca="false">IFERROR(__xludf.dummyfunction("if($T962&lt;&gt;"""",REGEXEXTRACT(SUBSTITUTE ($T962,F$1&amp;"" CE"",""""), F$1&amp;""[\w &amp;]*, (\d+\.\d+)""),"""")
"),"")</f>
        <v/>
      </c>
      <c r="G962" s="3" t="str">
        <f aca="false">IFERROR(__xludf.dummyfunction("if($T962&lt;&gt;"""",REGEXEXTRACT($T962, G$1&amp;""[\w &amp;]*, (\d+\.\d+)""),"""")
"),"")</f>
        <v/>
      </c>
      <c r="H962" s="3"/>
      <c r="I962" s="3" t="str">
        <f aca="false">IFERROR(__xludf.dummyfunction("if($T962&lt;&gt;"""",REGEXEXTRACT(SUBSTITUTE ($T962,I$1&amp;"" CE"",""""), I$1&amp;""[\w &amp;]*, (\d+\.\d+)""),"""")
"),"")</f>
        <v/>
      </c>
      <c r="J962" s="3" t="str">
        <f aca="false">IFERROR(__xludf.dummyfunction("if($T962&lt;&gt;"""",REGEXEXTRACT($T962, J$1&amp;""[\w &amp;]*, (\d+\.\d+)""),"""")
"),"")</f>
        <v/>
      </c>
      <c r="K962" s="3"/>
      <c r="L962" s="3" t="str">
        <f aca="false">IFERROR(__xludf.dummyfunction("if($T962&lt;&gt;"""",REGEXEXTRACT(SUBSTITUTE ($T962,L$1&amp;"" CE"",""""), L$1&amp;""[\w &amp;]*, (\d+\.\d+)""),"""")
"),"")</f>
        <v/>
      </c>
      <c r="M962" s="3" t="str">
        <f aca="false">IFERROR(__xludf.dummyfunction("if($T962&lt;&gt;"""",REGEXEXTRACT($T962, M$1&amp;""[\w &amp;]*, (\d+\.\d+)""),"""")
"),"")</f>
        <v/>
      </c>
      <c r="N962" s="3" t="str">
        <f aca="false">IFERROR(__xludf.dummyfunction("if($T962&lt;&gt;"""",REGEXEXTRACT(SUBSTITUTE ($T962,N$1&amp;"" CE"",""""), N$1&amp;""[\w &amp;]*, (\d+\.\d+)""),"""")
"),"")</f>
        <v/>
      </c>
      <c r="O962" s="3" t="str">
        <f aca="false">IFERROR(__xludf.dummyfunction("if($T962&lt;&gt;"""",REGEXEXTRACT($T962, O$1&amp;""[\w &amp;]*, (\d+\.\d+)""),"""")
"),"")</f>
        <v/>
      </c>
      <c r="P962" s="2"/>
      <c r="Q962" s="2"/>
      <c r="R962" s="2"/>
      <c r="S962" s="2"/>
      <c r="T962" s="5"/>
    </row>
    <row r="963" customFormat="false" ht="15.75" hidden="false" customHeight="false" outlineLevel="0" collapsed="false">
      <c r="A963" s="4"/>
      <c r="B963" s="2"/>
      <c r="C963" s="2"/>
      <c r="D963" s="2"/>
      <c r="E963" s="2"/>
      <c r="F963" s="3" t="str">
        <f aca="false">IFERROR(__xludf.dummyfunction("if($T963&lt;&gt;"""",REGEXEXTRACT(SUBSTITUTE ($T963,F$1&amp;"" CE"",""""), F$1&amp;""[\w &amp;]*, (\d+\.\d+)""),"""")
"),"")</f>
        <v/>
      </c>
      <c r="G963" s="3" t="str">
        <f aca="false">IFERROR(__xludf.dummyfunction("if($T963&lt;&gt;"""",REGEXEXTRACT($T963, G$1&amp;""[\w &amp;]*, (\d+\.\d+)""),"""")
"),"")</f>
        <v/>
      </c>
      <c r="H963" s="3"/>
      <c r="I963" s="3" t="str">
        <f aca="false">IFERROR(__xludf.dummyfunction("if($T963&lt;&gt;"""",REGEXEXTRACT(SUBSTITUTE ($T963,I$1&amp;"" CE"",""""), I$1&amp;""[\w &amp;]*, (\d+\.\d+)""),"""")
"),"")</f>
        <v/>
      </c>
      <c r="J963" s="3" t="str">
        <f aca="false">IFERROR(__xludf.dummyfunction("if($T963&lt;&gt;"""",REGEXEXTRACT($T963, J$1&amp;""[\w &amp;]*, (\d+\.\d+)""),"""")
"),"")</f>
        <v/>
      </c>
      <c r="K963" s="3"/>
      <c r="L963" s="3" t="str">
        <f aca="false">IFERROR(__xludf.dummyfunction("if($T963&lt;&gt;"""",REGEXEXTRACT(SUBSTITUTE ($T963,L$1&amp;"" CE"",""""), L$1&amp;""[\w &amp;]*, (\d+\.\d+)""),"""")
"),"")</f>
        <v/>
      </c>
      <c r="M963" s="3" t="str">
        <f aca="false">IFERROR(__xludf.dummyfunction("if($T963&lt;&gt;"""",REGEXEXTRACT($T963, M$1&amp;""[\w &amp;]*, (\d+\.\d+)""),"""")
"),"")</f>
        <v/>
      </c>
      <c r="N963" s="3" t="str">
        <f aca="false">IFERROR(__xludf.dummyfunction("if($T963&lt;&gt;"""",REGEXEXTRACT(SUBSTITUTE ($T963,N$1&amp;"" CE"",""""), N$1&amp;""[\w &amp;]*, (\d+\.\d+)""),"""")
"),"")</f>
        <v/>
      </c>
      <c r="O963" s="3" t="str">
        <f aca="false">IFERROR(__xludf.dummyfunction("if($T963&lt;&gt;"""",REGEXEXTRACT($T963, O$1&amp;""[\w &amp;]*, (\d+\.\d+)""),"""")
"),"")</f>
        <v/>
      </c>
      <c r="P963" s="2"/>
      <c r="Q963" s="2"/>
      <c r="R963" s="2"/>
      <c r="S963" s="2"/>
      <c r="T963" s="5"/>
    </row>
    <row r="964" customFormat="false" ht="15.75" hidden="false" customHeight="false" outlineLevel="0" collapsed="false">
      <c r="A964" s="4"/>
      <c r="B964" s="2"/>
      <c r="C964" s="2"/>
      <c r="D964" s="2"/>
      <c r="E964" s="2"/>
      <c r="F964" s="3" t="str">
        <f aca="false">IFERROR(__xludf.dummyfunction("if($T964&lt;&gt;"""",REGEXEXTRACT(SUBSTITUTE ($T964,F$1&amp;"" CE"",""""), F$1&amp;""[\w &amp;]*, (\d+\.\d+)""),"""")
"),"")</f>
        <v/>
      </c>
      <c r="G964" s="3" t="str">
        <f aca="false">IFERROR(__xludf.dummyfunction("if($T964&lt;&gt;"""",REGEXEXTRACT($T964, G$1&amp;""[\w &amp;]*, (\d+\.\d+)""),"""")
"),"")</f>
        <v/>
      </c>
      <c r="H964" s="3"/>
      <c r="I964" s="3" t="str">
        <f aca="false">IFERROR(__xludf.dummyfunction("if($T964&lt;&gt;"""",REGEXEXTRACT(SUBSTITUTE ($T964,I$1&amp;"" CE"",""""), I$1&amp;""[\w &amp;]*, (\d+\.\d+)""),"""")
"),"")</f>
        <v/>
      </c>
      <c r="J964" s="3" t="str">
        <f aca="false">IFERROR(__xludf.dummyfunction("if($T964&lt;&gt;"""",REGEXEXTRACT($T964, J$1&amp;""[\w &amp;]*, (\d+\.\d+)""),"""")
"),"")</f>
        <v/>
      </c>
      <c r="K964" s="3"/>
      <c r="L964" s="3" t="str">
        <f aca="false">IFERROR(__xludf.dummyfunction("if($T964&lt;&gt;"""",REGEXEXTRACT(SUBSTITUTE ($T964,L$1&amp;"" CE"",""""), L$1&amp;""[\w &amp;]*, (\d+\.\d+)""),"""")
"),"")</f>
        <v/>
      </c>
      <c r="M964" s="3" t="str">
        <f aca="false">IFERROR(__xludf.dummyfunction("if($T964&lt;&gt;"""",REGEXEXTRACT($T964, M$1&amp;""[\w &amp;]*, (\d+\.\d+)""),"""")
"),"")</f>
        <v/>
      </c>
      <c r="N964" s="3" t="str">
        <f aca="false">IFERROR(__xludf.dummyfunction("if($T964&lt;&gt;"""",REGEXEXTRACT(SUBSTITUTE ($T964,N$1&amp;"" CE"",""""), N$1&amp;""[\w &amp;]*, (\d+\.\d+)""),"""")
"),"")</f>
        <v/>
      </c>
      <c r="O964" s="3" t="str">
        <f aca="false">IFERROR(__xludf.dummyfunction("if($T964&lt;&gt;"""",REGEXEXTRACT($T964, O$1&amp;""[\w &amp;]*, (\d+\.\d+)""),"""")
"),"")</f>
        <v/>
      </c>
      <c r="P964" s="2"/>
      <c r="Q964" s="2"/>
      <c r="R964" s="2"/>
      <c r="S964" s="2"/>
      <c r="T964" s="5"/>
    </row>
    <row r="965" customFormat="false" ht="15.75" hidden="false" customHeight="false" outlineLevel="0" collapsed="false">
      <c r="A965" s="4"/>
      <c r="B965" s="2"/>
      <c r="C965" s="2"/>
      <c r="D965" s="2"/>
      <c r="E965" s="2"/>
      <c r="F965" s="3" t="str">
        <f aca="false">IFERROR(__xludf.dummyfunction("if($T965&lt;&gt;"""",REGEXEXTRACT(SUBSTITUTE ($T965,F$1&amp;"" CE"",""""), F$1&amp;""[\w &amp;]*, (\d+\.\d+)""),"""")
"),"")</f>
        <v/>
      </c>
      <c r="G965" s="3" t="str">
        <f aca="false">IFERROR(__xludf.dummyfunction("if($T965&lt;&gt;"""",REGEXEXTRACT($T965, G$1&amp;""[\w &amp;]*, (\d+\.\d+)""),"""")
"),"")</f>
        <v/>
      </c>
      <c r="H965" s="3"/>
      <c r="I965" s="3" t="str">
        <f aca="false">IFERROR(__xludf.dummyfunction("if($T965&lt;&gt;"""",REGEXEXTRACT(SUBSTITUTE ($T965,I$1&amp;"" CE"",""""), I$1&amp;""[\w &amp;]*, (\d+\.\d+)""),"""")
"),"")</f>
        <v/>
      </c>
      <c r="J965" s="3" t="str">
        <f aca="false">IFERROR(__xludf.dummyfunction("if($T965&lt;&gt;"""",REGEXEXTRACT($T965, J$1&amp;""[\w &amp;]*, (\d+\.\d+)""),"""")
"),"")</f>
        <v/>
      </c>
      <c r="K965" s="3"/>
      <c r="L965" s="3" t="str">
        <f aca="false">IFERROR(__xludf.dummyfunction("if($T965&lt;&gt;"""",REGEXEXTRACT(SUBSTITUTE ($T965,L$1&amp;"" CE"",""""), L$1&amp;""[\w &amp;]*, (\d+\.\d+)""),"""")
"),"")</f>
        <v/>
      </c>
      <c r="M965" s="3" t="str">
        <f aca="false">IFERROR(__xludf.dummyfunction("if($T965&lt;&gt;"""",REGEXEXTRACT($T965, M$1&amp;""[\w &amp;]*, (\d+\.\d+)""),"""")
"),"")</f>
        <v/>
      </c>
      <c r="N965" s="3" t="str">
        <f aca="false">IFERROR(__xludf.dummyfunction("if($T965&lt;&gt;"""",REGEXEXTRACT(SUBSTITUTE ($T965,N$1&amp;"" CE"",""""), N$1&amp;""[\w &amp;]*, (\d+\.\d+)""),"""")
"),"")</f>
        <v/>
      </c>
      <c r="O965" s="3" t="str">
        <f aca="false">IFERROR(__xludf.dummyfunction("if($T965&lt;&gt;"""",REGEXEXTRACT($T965, O$1&amp;""[\w &amp;]*, (\d+\.\d+)""),"""")
"),"")</f>
        <v/>
      </c>
      <c r="P965" s="2"/>
      <c r="Q965" s="2"/>
      <c r="R965" s="2"/>
      <c r="S965" s="2"/>
      <c r="T965" s="5"/>
    </row>
    <row r="966" customFormat="false" ht="15.75" hidden="false" customHeight="false" outlineLevel="0" collapsed="false">
      <c r="A966" s="4"/>
      <c r="B966" s="2"/>
      <c r="C966" s="2"/>
      <c r="D966" s="2"/>
      <c r="E966" s="2"/>
      <c r="F966" s="3" t="str">
        <f aca="false">IFERROR(__xludf.dummyfunction("if($T966&lt;&gt;"""",REGEXEXTRACT(SUBSTITUTE ($T966,F$1&amp;"" CE"",""""), F$1&amp;""[\w &amp;]*, (\d+\.\d+)""),"""")
"),"")</f>
        <v/>
      </c>
      <c r="G966" s="3" t="str">
        <f aca="false">IFERROR(__xludf.dummyfunction("if($T966&lt;&gt;"""",REGEXEXTRACT($T966, G$1&amp;""[\w &amp;]*, (\d+\.\d+)""),"""")
"),"")</f>
        <v/>
      </c>
      <c r="H966" s="3"/>
      <c r="I966" s="3" t="str">
        <f aca="false">IFERROR(__xludf.dummyfunction("if($T966&lt;&gt;"""",REGEXEXTRACT(SUBSTITUTE ($T966,I$1&amp;"" CE"",""""), I$1&amp;""[\w &amp;]*, (\d+\.\d+)""),"""")
"),"")</f>
        <v/>
      </c>
      <c r="J966" s="3" t="str">
        <f aca="false">IFERROR(__xludf.dummyfunction("if($T966&lt;&gt;"""",REGEXEXTRACT($T966, J$1&amp;""[\w &amp;]*, (\d+\.\d+)""),"""")
"),"")</f>
        <v/>
      </c>
      <c r="K966" s="3"/>
      <c r="L966" s="3" t="str">
        <f aca="false">IFERROR(__xludf.dummyfunction("if($T966&lt;&gt;"""",REGEXEXTRACT(SUBSTITUTE ($T966,L$1&amp;"" CE"",""""), L$1&amp;""[\w &amp;]*, (\d+\.\d+)""),"""")
"),"")</f>
        <v/>
      </c>
      <c r="M966" s="3" t="str">
        <f aca="false">IFERROR(__xludf.dummyfunction("if($T966&lt;&gt;"""",REGEXEXTRACT($T966, M$1&amp;""[\w &amp;]*, (\d+\.\d+)""),"""")
"),"")</f>
        <v/>
      </c>
      <c r="N966" s="3" t="str">
        <f aca="false">IFERROR(__xludf.dummyfunction("if($T966&lt;&gt;"""",REGEXEXTRACT(SUBSTITUTE ($T966,N$1&amp;"" CE"",""""), N$1&amp;""[\w &amp;]*, (\d+\.\d+)""),"""")
"),"")</f>
        <v/>
      </c>
      <c r="O966" s="3" t="str">
        <f aca="false">IFERROR(__xludf.dummyfunction("if($T966&lt;&gt;"""",REGEXEXTRACT($T966, O$1&amp;""[\w &amp;]*, (\d+\.\d+)""),"""")
"),"")</f>
        <v/>
      </c>
      <c r="P966" s="2"/>
      <c r="Q966" s="2"/>
      <c r="R966" s="2"/>
      <c r="S966" s="2"/>
      <c r="T966" s="5"/>
    </row>
    <row r="967" customFormat="false" ht="15.75" hidden="false" customHeight="false" outlineLevel="0" collapsed="false">
      <c r="A967" s="4"/>
      <c r="B967" s="2"/>
      <c r="C967" s="2"/>
      <c r="D967" s="2"/>
      <c r="E967" s="2"/>
      <c r="F967" s="3" t="str">
        <f aca="false">IFERROR(__xludf.dummyfunction("if($T967&lt;&gt;"""",REGEXEXTRACT(SUBSTITUTE ($T967,F$1&amp;"" CE"",""""), F$1&amp;""[\w &amp;]*, (\d+\.\d+)""),"""")
"),"")</f>
        <v/>
      </c>
      <c r="G967" s="3" t="str">
        <f aca="false">IFERROR(__xludf.dummyfunction("if($T967&lt;&gt;"""",REGEXEXTRACT($T967, G$1&amp;""[\w &amp;]*, (\d+\.\d+)""),"""")
"),"")</f>
        <v/>
      </c>
      <c r="H967" s="3"/>
      <c r="I967" s="3" t="str">
        <f aca="false">IFERROR(__xludf.dummyfunction("if($T967&lt;&gt;"""",REGEXEXTRACT(SUBSTITUTE ($T967,I$1&amp;"" CE"",""""), I$1&amp;""[\w &amp;]*, (\d+\.\d+)""),"""")
"),"")</f>
        <v/>
      </c>
      <c r="J967" s="3" t="str">
        <f aca="false">IFERROR(__xludf.dummyfunction("if($T967&lt;&gt;"""",REGEXEXTRACT($T967, J$1&amp;""[\w &amp;]*, (\d+\.\d+)""),"""")
"),"")</f>
        <v/>
      </c>
      <c r="K967" s="3"/>
      <c r="L967" s="3" t="str">
        <f aca="false">IFERROR(__xludf.dummyfunction("if($T967&lt;&gt;"""",REGEXEXTRACT(SUBSTITUTE ($T967,L$1&amp;"" CE"",""""), L$1&amp;""[\w &amp;]*, (\d+\.\d+)""),"""")
"),"")</f>
        <v/>
      </c>
      <c r="M967" s="3" t="str">
        <f aca="false">IFERROR(__xludf.dummyfunction("if($T967&lt;&gt;"""",REGEXEXTRACT($T967, M$1&amp;""[\w &amp;]*, (\d+\.\d+)""),"""")
"),"")</f>
        <v/>
      </c>
      <c r="N967" s="3" t="str">
        <f aca="false">IFERROR(__xludf.dummyfunction("if($T967&lt;&gt;"""",REGEXEXTRACT(SUBSTITUTE ($T967,N$1&amp;"" CE"",""""), N$1&amp;""[\w &amp;]*, (\d+\.\d+)""),"""")
"),"")</f>
        <v/>
      </c>
      <c r="O967" s="3" t="str">
        <f aca="false">IFERROR(__xludf.dummyfunction("if($T967&lt;&gt;"""",REGEXEXTRACT($T967, O$1&amp;""[\w &amp;]*, (\d+\.\d+)""),"""")
"),"")</f>
        <v/>
      </c>
      <c r="P967" s="2"/>
      <c r="Q967" s="2"/>
      <c r="R967" s="2"/>
      <c r="S967" s="2"/>
      <c r="T967" s="5"/>
    </row>
    <row r="968" customFormat="false" ht="15.75" hidden="false" customHeight="false" outlineLevel="0" collapsed="false">
      <c r="A968" s="4"/>
      <c r="B968" s="2"/>
      <c r="C968" s="2"/>
      <c r="D968" s="2"/>
      <c r="E968" s="2"/>
      <c r="F968" s="3" t="str">
        <f aca="false">IFERROR(__xludf.dummyfunction("if($T968&lt;&gt;"""",REGEXEXTRACT(SUBSTITUTE ($T968,F$1&amp;"" CE"",""""), F$1&amp;""[\w &amp;]*, (\d+\.\d+)""),"""")
"),"")</f>
        <v/>
      </c>
      <c r="G968" s="3" t="str">
        <f aca="false">IFERROR(__xludf.dummyfunction("if($T968&lt;&gt;"""",REGEXEXTRACT($T968, G$1&amp;""[\w &amp;]*, (\d+\.\d+)""),"""")
"),"")</f>
        <v/>
      </c>
      <c r="H968" s="3"/>
      <c r="I968" s="3" t="str">
        <f aca="false">IFERROR(__xludf.dummyfunction("if($T968&lt;&gt;"""",REGEXEXTRACT(SUBSTITUTE ($T968,I$1&amp;"" CE"",""""), I$1&amp;""[\w &amp;]*, (\d+\.\d+)""),"""")
"),"")</f>
        <v/>
      </c>
      <c r="J968" s="3" t="str">
        <f aca="false">IFERROR(__xludf.dummyfunction("if($T968&lt;&gt;"""",REGEXEXTRACT($T968, J$1&amp;""[\w &amp;]*, (\d+\.\d+)""),"""")
"),"")</f>
        <v/>
      </c>
      <c r="K968" s="3"/>
      <c r="L968" s="3" t="str">
        <f aca="false">IFERROR(__xludf.dummyfunction("if($T968&lt;&gt;"""",REGEXEXTRACT(SUBSTITUTE ($T968,L$1&amp;"" CE"",""""), L$1&amp;""[\w &amp;]*, (\d+\.\d+)""),"""")
"),"")</f>
        <v/>
      </c>
      <c r="M968" s="3" t="str">
        <f aca="false">IFERROR(__xludf.dummyfunction("if($T968&lt;&gt;"""",REGEXEXTRACT($T968, M$1&amp;""[\w &amp;]*, (\d+\.\d+)""),"""")
"),"")</f>
        <v/>
      </c>
      <c r="N968" s="3" t="str">
        <f aca="false">IFERROR(__xludf.dummyfunction("if($T968&lt;&gt;"""",REGEXEXTRACT(SUBSTITUTE ($T968,N$1&amp;"" CE"",""""), N$1&amp;""[\w &amp;]*, (\d+\.\d+)""),"""")
"),"")</f>
        <v/>
      </c>
      <c r="O968" s="3" t="str">
        <f aca="false">IFERROR(__xludf.dummyfunction("if($T968&lt;&gt;"""",REGEXEXTRACT($T968, O$1&amp;""[\w &amp;]*, (\d+\.\d+)""),"""")
"),"")</f>
        <v/>
      </c>
      <c r="P968" s="2"/>
      <c r="Q968" s="2"/>
      <c r="R968" s="2"/>
      <c r="S968" s="2"/>
      <c r="T968" s="5"/>
    </row>
    <row r="969" customFormat="false" ht="15.75" hidden="false" customHeight="false" outlineLevel="0" collapsed="false">
      <c r="A969" s="4"/>
      <c r="B969" s="2"/>
      <c r="C969" s="2"/>
      <c r="D969" s="2"/>
      <c r="E969" s="2"/>
      <c r="F969" s="3" t="str">
        <f aca="false">IFERROR(__xludf.dummyfunction("if($T969&lt;&gt;"""",REGEXEXTRACT(SUBSTITUTE ($T969,F$1&amp;"" CE"",""""), F$1&amp;""[\w &amp;]*, (\d+\.\d+)""),"""")
"),"")</f>
        <v/>
      </c>
      <c r="G969" s="3" t="str">
        <f aca="false">IFERROR(__xludf.dummyfunction("if($T969&lt;&gt;"""",REGEXEXTRACT($T969, G$1&amp;""[\w &amp;]*, (\d+\.\d+)""),"""")
"),"")</f>
        <v/>
      </c>
      <c r="H969" s="3"/>
      <c r="I969" s="3" t="str">
        <f aca="false">IFERROR(__xludf.dummyfunction("if($T969&lt;&gt;"""",REGEXEXTRACT(SUBSTITUTE ($T969,I$1&amp;"" CE"",""""), I$1&amp;""[\w &amp;]*, (\d+\.\d+)""),"""")
"),"")</f>
        <v/>
      </c>
      <c r="J969" s="3" t="str">
        <f aca="false">IFERROR(__xludf.dummyfunction("if($T969&lt;&gt;"""",REGEXEXTRACT($T969, J$1&amp;""[\w &amp;]*, (\d+\.\d+)""),"""")
"),"")</f>
        <v/>
      </c>
      <c r="K969" s="3"/>
      <c r="L969" s="3" t="str">
        <f aca="false">IFERROR(__xludf.dummyfunction("if($T969&lt;&gt;"""",REGEXEXTRACT(SUBSTITUTE ($T969,L$1&amp;"" CE"",""""), L$1&amp;""[\w &amp;]*, (\d+\.\d+)""),"""")
"),"")</f>
        <v/>
      </c>
      <c r="M969" s="3" t="str">
        <f aca="false">IFERROR(__xludf.dummyfunction("if($T969&lt;&gt;"""",REGEXEXTRACT($T969, M$1&amp;""[\w &amp;]*, (\d+\.\d+)""),"""")
"),"")</f>
        <v/>
      </c>
      <c r="N969" s="3" t="str">
        <f aca="false">IFERROR(__xludf.dummyfunction("if($T969&lt;&gt;"""",REGEXEXTRACT(SUBSTITUTE ($T969,N$1&amp;"" CE"",""""), N$1&amp;""[\w &amp;]*, (\d+\.\d+)""),"""")
"),"")</f>
        <v/>
      </c>
      <c r="O969" s="3" t="str">
        <f aca="false">IFERROR(__xludf.dummyfunction("if($T969&lt;&gt;"""",REGEXEXTRACT($T969, O$1&amp;""[\w &amp;]*, (\d+\.\d+)""),"""")
"),"")</f>
        <v/>
      </c>
      <c r="P969" s="2"/>
      <c r="Q969" s="2"/>
      <c r="R969" s="2"/>
      <c r="S969" s="2"/>
      <c r="T969" s="5"/>
    </row>
    <row r="970" customFormat="false" ht="15.75" hidden="false" customHeight="false" outlineLevel="0" collapsed="false">
      <c r="A970" s="4"/>
      <c r="B970" s="2"/>
      <c r="C970" s="2"/>
      <c r="D970" s="2"/>
      <c r="E970" s="2"/>
      <c r="F970" s="3" t="str">
        <f aca="false">IFERROR(__xludf.dummyfunction("if($T970&lt;&gt;"""",REGEXEXTRACT(SUBSTITUTE ($T970,F$1&amp;"" CE"",""""), F$1&amp;""[\w &amp;]*, (\d+\.\d+)""),"""")
"),"")</f>
        <v/>
      </c>
      <c r="G970" s="3" t="str">
        <f aca="false">IFERROR(__xludf.dummyfunction("if($T970&lt;&gt;"""",REGEXEXTRACT($T970, G$1&amp;""[\w &amp;]*, (\d+\.\d+)""),"""")
"),"")</f>
        <v/>
      </c>
      <c r="H970" s="3"/>
      <c r="I970" s="3" t="str">
        <f aca="false">IFERROR(__xludf.dummyfunction("if($T970&lt;&gt;"""",REGEXEXTRACT(SUBSTITUTE ($T970,I$1&amp;"" CE"",""""), I$1&amp;""[\w &amp;]*, (\d+\.\d+)""),"""")
"),"")</f>
        <v/>
      </c>
      <c r="J970" s="3" t="str">
        <f aca="false">IFERROR(__xludf.dummyfunction("if($T970&lt;&gt;"""",REGEXEXTRACT($T970, J$1&amp;""[\w &amp;]*, (\d+\.\d+)""),"""")
"),"")</f>
        <v/>
      </c>
      <c r="K970" s="3"/>
      <c r="L970" s="3" t="str">
        <f aca="false">IFERROR(__xludf.dummyfunction("if($T970&lt;&gt;"""",REGEXEXTRACT(SUBSTITUTE ($T970,L$1&amp;"" CE"",""""), L$1&amp;""[\w &amp;]*, (\d+\.\d+)""),"""")
"),"")</f>
        <v/>
      </c>
      <c r="M970" s="3" t="str">
        <f aca="false">IFERROR(__xludf.dummyfunction("if($T970&lt;&gt;"""",REGEXEXTRACT($T970, M$1&amp;""[\w &amp;]*, (\d+\.\d+)""),"""")
"),"")</f>
        <v/>
      </c>
      <c r="N970" s="3" t="str">
        <f aca="false">IFERROR(__xludf.dummyfunction("if($T970&lt;&gt;"""",REGEXEXTRACT(SUBSTITUTE ($T970,N$1&amp;"" CE"",""""), N$1&amp;""[\w &amp;]*, (\d+\.\d+)""),"""")
"),"")</f>
        <v/>
      </c>
      <c r="O970" s="3" t="str">
        <f aca="false">IFERROR(__xludf.dummyfunction("if($T970&lt;&gt;"""",REGEXEXTRACT($T970, O$1&amp;""[\w &amp;]*, (\d+\.\d+)""),"""")
"),"")</f>
        <v/>
      </c>
      <c r="P970" s="2"/>
      <c r="Q970" s="2"/>
      <c r="R970" s="2"/>
      <c r="S970" s="2"/>
      <c r="T970" s="5"/>
    </row>
    <row r="971" customFormat="false" ht="15.75" hidden="false" customHeight="false" outlineLevel="0" collapsed="false">
      <c r="A971" s="4"/>
      <c r="B971" s="2"/>
      <c r="C971" s="2"/>
      <c r="D971" s="2"/>
      <c r="E971" s="2"/>
      <c r="F971" s="3" t="str">
        <f aca="false">IFERROR(__xludf.dummyfunction("if($T971&lt;&gt;"""",REGEXEXTRACT(SUBSTITUTE ($T971,F$1&amp;"" CE"",""""), F$1&amp;""[\w &amp;]*, (\d+\.\d+)""),"""")
"),"")</f>
        <v/>
      </c>
      <c r="G971" s="3" t="str">
        <f aca="false">IFERROR(__xludf.dummyfunction("if($T971&lt;&gt;"""",REGEXEXTRACT($T971, G$1&amp;""[\w &amp;]*, (\d+\.\d+)""),"""")
"),"")</f>
        <v/>
      </c>
      <c r="H971" s="3"/>
      <c r="I971" s="3" t="str">
        <f aca="false">IFERROR(__xludf.dummyfunction("if($T971&lt;&gt;"""",REGEXEXTRACT(SUBSTITUTE ($T971,I$1&amp;"" CE"",""""), I$1&amp;""[\w &amp;]*, (\d+\.\d+)""),"""")
"),"")</f>
        <v/>
      </c>
      <c r="J971" s="3" t="str">
        <f aca="false">IFERROR(__xludf.dummyfunction("if($T971&lt;&gt;"""",REGEXEXTRACT($T971, J$1&amp;""[\w &amp;]*, (\d+\.\d+)""),"""")
"),"")</f>
        <v/>
      </c>
      <c r="K971" s="3"/>
      <c r="L971" s="3" t="str">
        <f aca="false">IFERROR(__xludf.dummyfunction("if($T971&lt;&gt;"""",REGEXEXTRACT(SUBSTITUTE ($T971,L$1&amp;"" CE"",""""), L$1&amp;""[\w &amp;]*, (\d+\.\d+)""),"""")
"),"")</f>
        <v/>
      </c>
      <c r="M971" s="3" t="str">
        <f aca="false">IFERROR(__xludf.dummyfunction("if($T971&lt;&gt;"""",REGEXEXTRACT($T971, M$1&amp;""[\w &amp;]*, (\d+\.\d+)""),"""")
"),"")</f>
        <v/>
      </c>
      <c r="N971" s="3" t="str">
        <f aca="false">IFERROR(__xludf.dummyfunction("if($T971&lt;&gt;"""",REGEXEXTRACT(SUBSTITUTE ($T971,N$1&amp;"" CE"",""""), N$1&amp;""[\w &amp;]*, (\d+\.\d+)""),"""")
"),"")</f>
        <v/>
      </c>
      <c r="O971" s="3" t="str">
        <f aca="false">IFERROR(__xludf.dummyfunction("if($T971&lt;&gt;"""",REGEXEXTRACT($T971, O$1&amp;""[\w &amp;]*, (\d+\.\d+)""),"""")
"),"")</f>
        <v/>
      </c>
      <c r="P971" s="2"/>
      <c r="Q971" s="2"/>
      <c r="R971" s="2"/>
      <c r="S971" s="2"/>
      <c r="T971" s="5"/>
    </row>
    <row r="972" customFormat="false" ht="15.75" hidden="false" customHeight="false" outlineLevel="0" collapsed="false">
      <c r="A972" s="4"/>
      <c r="B972" s="2"/>
      <c r="C972" s="2"/>
      <c r="D972" s="2"/>
      <c r="E972" s="2"/>
      <c r="F972" s="3" t="str">
        <f aca="false">IFERROR(__xludf.dummyfunction("if($T972&lt;&gt;"""",REGEXEXTRACT(SUBSTITUTE ($T972,F$1&amp;"" CE"",""""), F$1&amp;""[\w &amp;]*, (\d+\.\d+)""),"""")
"),"")</f>
        <v/>
      </c>
      <c r="G972" s="3" t="str">
        <f aca="false">IFERROR(__xludf.dummyfunction("if($T972&lt;&gt;"""",REGEXEXTRACT($T972, G$1&amp;""[\w &amp;]*, (\d+\.\d+)""),"""")
"),"")</f>
        <v/>
      </c>
      <c r="H972" s="3"/>
      <c r="I972" s="3" t="str">
        <f aca="false">IFERROR(__xludf.dummyfunction("if($T972&lt;&gt;"""",REGEXEXTRACT(SUBSTITUTE ($T972,I$1&amp;"" CE"",""""), I$1&amp;""[\w &amp;]*, (\d+\.\d+)""),"""")
"),"")</f>
        <v/>
      </c>
      <c r="J972" s="3" t="str">
        <f aca="false">IFERROR(__xludf.dummyfunction("if($T972&lt;&gt;"""",REGEXEXTRACT($T972, J$1&amp;""[\w &amp;]*, (\d+\.\d+)""),"""")
"),"")</f>
        <v/>
      </c>
      <c r="K972" s="3"/>
      <c r="L972" s="3" t="str">
        <f aca="false">IFERROR(__xludf.dummyfunction("if($T972&lt;&gt;"""",REGEXEXTRACT(SUBSTITUTE ($T972,L$1&amp;"" CE"",""""), L$1&amp;""[\w &amp;]*, (\d+\.\d+)""),"""")
"),"")</f>
        <v/>
      </c>
      <c r="M972" s="3" t="str">
        <f aca="false">IFERROR(__xludf.dummyfunction("if($T972&lt;&gt;"""",REGEXEXTRACT($T972, M$1&amp;""[\w &amp;]*, (\d+\.\d+)""),"""")
"),"")</f>
        <v/>
      </c>
      <c r="N972" s="3" t="str">
        <f aca="false">IFERROR(__xludf.dummyfunction("if($T972&lt;&gt;"""",REGEXEXTRACT(SUBSTITUTE ($T972,N$1&amp;"" CE"",""""), N$1&amp;""[\w &amp;]*, (\d+\.\d+)""),"""")
"),"")</f>
        <v/>
      </c>
      <c r="O972" s="3" t="str">
        <f aca="false">IFERROR(__xludf.dummyfunction("if($T972&lt;&gt;"""",REGEXEXTRACT($T972, O$1&amp;""[\w &amp;]*, (\d+\.\d+)""),"""")
"),"")</f>
        <v/>
      </c>
      <c r="P972" s="2"/>
      <c r="Q972" s="2"/>
      <c r="R972" s="2"/>
      <c r="S972" s="2"/>
      <c r="T972" s="5"/>
    </row>
    <row r="973" customFormat="false" ht="15.75" hidden="false" customHeight="false" outlineLevel="0" collapsed="false">
      <c r="A973" s="4"/>
      <c r="B973" s="2"/>
      <c r="C973" s="2"/>
      <c r="D973" s="2"/>
      <c r="E973" s="2"/>
      <c r="F973" s="3" t="str">
        <f aca="false">IFERROR(__xludf.dummyfunction("if($T973&lt;&gt;"""",REGEXEXTRACT(SUBSTITUTE ($T973,F$1&amp;"" CE"",""""), F$1&amp;""[\w &amp;]*, (\d+\.\d+)""),"""")
"),"")</f>
        <v/>
      </c>
      <c r="G973" s="3" t="str">
        <f aca="false">IFERROR(__xludf.dummyfunction("if($T973&lt;&gt;"""",REGEXEXTRACT($T973, G$1&amp;""[\w &amp;]*, (\d+\.\d+)""),"""")
"),"")</f>
        <v/>
      </c>
      <c r="H973" s="3"/>
      <c r="I973" s="3" t="str">
        <f aca="false">IFERROR(__xludf.dummyfunction("if($T973&lt;&gt;"""",REGEXEXTRACT(SUBSTITUTE ($T973,I$1&amp;"" CE"",""""), I$1&amp;""[\w &amp;]*, (\d+\.\d+)""),"""")
"),"")</f>
        <v/>
      </c>
      <c r="J973" s="3" t="str">
        <f aca="false">IFERROR(__xludf.dummyfunction("if($T973&lt;&gt;"""",REGEXEXTRACT($T973, J$1&amp;""[\w &amp;]*, (\d+\.\d+)""),"""")
"),"")</f>
        <v/>
      </c>
      <c r="K973" s="3"/>
      <c r="L973" s="3" t="str">
        <f aca="false">IFERROR(__xludf.dummyfunction("if($T973&lt;&gt;"""",REGEXEXTRACT(SUBSTITUTE ($T973,L$1&amp;"" CE"",""""), L$1&amp;""[\w &amp;]*, (\d+\.\d+)""),"""")
"),"")</f>
        <v/>
      </c>
      <c r="M973" s="3" t="str">
        <f aca="false">IFERROR(__xludf.dummyfunction("if($T973&lt;&gt;"""",REGEXEXTRACT($T973, M$1&amp;""[\w &amp;]*, (\d+\.\d+)""),"""")
"),"")</f>
        <v/>
      </c>
      <c r="N973" s="3" t="str">
        <f aca="false">IFERROR(__xludf.dummyfunction("if($T973&lt;&gt;"""",REGEXEXTRACT(SUBSTITUTE ($T973,N$1&amp;"" CE"",""""), N$1&amp;""[\w &amp;]*, (\d+\.\d+)""),"""")
"),"")</f>
        <v/>
      </c>
      <c r="O973" s="3" t="str">
        <f aca="false">IFERROR(__xludf.dummyfunction("if($T973&lt;&gt;"""",REGEXEXTRACT($T973, O$1&amp;""[\w &amp;]*, (\d+\.\d+)""),"""")
"),"")</f>
        <v/>
      </c>
      <c r="P973" s="2"/>
      <c r="Q973" s="2"/>
      <c r="R973" s="2"/>
      <c r="S973" s="2"/>
      <c r="T973" s="5"/>
    </row>
    <row r="974" customFormat="false" ht="15.75" hidden="false" customHeight="false" outlineLevel="0" collapsed="false">
      <c r="A974" s="4"/>
      <c r="B974" s="2"/>
      <c r="C974" s="2"/>
      <c r="D974" s="2"/>
      <c r="E974" s="2"/>
      <c r="F974" s="3" t="str">
        <f aca="false">IFERROR(__xludf.dummyfunction("if($T974&lt;&gt;"""",REGEXEXTRACT(SUBSTITUTE ($T974,F$1&amp;"" CE"",""""), F$1&amp;""[\w &amp;]*, (\d+\.\d+)""),"""")
"),"")</f>
        <v/>
      </c>
      <c r="G974" s="3" t="str">
        <f aca="false">IFERROR(__xludf.dummyfunction("if($T974&lt;&gt;"""",REGEXEXTRACT($T974, G$1&amp;""[\w &amp;]*, (\d+\.\d+)""),"""")
"),"")</f>
        <v/>
      </c>
      <c r="H974" s="3"/>
      <c r="I974" s="3" t="str">
        <f aca="false">IFERROR(__xludf.dummyfunction("if($T974&lt;&gt;"""",REGEXEXTRACT(SUBSTITUTE ($T974,I$1&amp;"" CE"",""""), I$1&amp;""[\w &amp;]*, (\d+\.\d+)""),"""")
"),"")</f>
        <v/>
      </c>
      <c r="J974" s="3" t="str">
        <f aca="false">IFERROR(__xludf.dummyfunction("if($T974&lt;&gt;"""",REGEXEXTRACT($T974, J$1&amp;""[\w &amp;]*, (\d+\.\d+)""),"""")
"),"")</f>
        <v/>
      </c>
      <c r="K974" s="3"/>
      <c r="L974" s="3" t="str">
        <f aca="false">IFERROR(__xludf.dummyfunction("if($T974&lt;&gt;"""",REGEXEXTRACT(SUBSTITUTE ($T974,L$1&amp;"" CE"",""""), L$1&amp;""[\w &amp;]*, (\d+\.\d+)""),"""")
"),"")</f>
        <v/>
      </c>
      <c r="M974" s="3" t="str">
        <f aca="false">IFERROR(__xludf.dummyfunction("if($T974&lt;&gt;"""",REGEXEXTRACT($T974, M$1&amp;""[\w &amp;]*, (\d+\.\d+)""),"""")
"),"")</f>
        <v/>
      </c>
      <c r="N974" s="3" t="str">
        <f aca="false">IFERROR(__xludf.dummyfunction("if($T974&lt;&gt;"""",REGEXEXTRACT(SUBSTITUTE ($T974,N$1&amp;"" CE"",""""), N$1&amp;""[\w &amp;]*, (\d+\.\d+)""),"""")
"),"")</f>
        <v/>
      </c>
      <c r="O974" s="3" t="str">
        <f aca="false">IFERROR(__xludf.dummyfunction("if($T974&lt;&gt;"""",REGEXEXTRACT($T974, O$1&amp;""[\w &amp;]*, (\d+\.\d+)""),"""")
"),"")</f>
        <v/>
      </c>
      <c r="P974" s="2"/>
      <c r="Q974" s="2"/>
      <c r="R974" s="2"/>
      <c r="S974" s="2"/>
      <c r="T974" s="5"/>
    </row>
    <row r="975" customFormat="false" ht="15.75" hidden="false" customHeight="false" outlineLevel="0" collapsed="false">
      <c r="A975" s="4"/>
      <c r="B975" s="2"/>
      <c r="C975" s="2"/>
      <c r="D975" s="2"/>
      <c r="E975" s="2"/>
      <c r="F975" s="3" t="str">
        <f aca="false">IFERROR(__xludf.dummyfunction("if($T975&lt;&gt;"""",REGEXEXTRACT(SUBSTITUTE ($T975,F$1&amp;"" CE"",""""), F$1&amp;""[\w &amp;]*, (\d+\.\d+)""),"""")
"),"")</f>
        <v/>
      </c>
      <c r="G975" s="3" t="str">
        <f aca="false">IFERROR(__xludf.dummyfunction("if($T975&lt;&gt;"""",REGEXEXTRACT($T975, G$1&amp;""[\w &amp;]*, (\d+\.\d+)""),"""")
"),"")</f>
        <v/>
      </c>
      <c r="H975" s="3"/>
      <c r="I975" s="3" t="str">
        <f aca="false">IFERROR(__xludf.dummyfunction("if($T975&lt;&gt;"""",REGEXEXTRACT(SUBSTITUTE ($T975,I$1&amp;"" CE"",""""), I$1&amp;""[\w &amp;]*, (\d+\.\d+)""),"""")
"),"")</f>
        <v/>
      </c>
      <c r="J975" s="3" t="str">
        <f aca="false">IFERROR(__xludf.dummyfunction("if($T975&lt;&gt;"""",REGEXEXTRACT($T975, J$1&amp;""[\w &amp;]*, (\d+\.\d+)""),"""")
"),"")</f>
        <v/>
      </c>
      <c r="K975" s="3"/>
      <c r="L975" s="3" t="str">
        <f aca="false">IFERROR(__xludf.dummyfunction("if($T975&lt;&gt;"""",REGEXEXTRACT(SUBSTITUTE ($T975,L$1&amp;"" CE"",""""), L$1&amp;""[\w &amp;]*, (\d+\.\d+)""),"""")
"),"")</f>
        <v/>
      </c>
      <c r="M975" s="3" t="str">
        <f aca="false">IFERROR(__xludf.dummyfunction("if($T975&lt;&gt;"""",REGEXEXTRACT($T975, M$1&amp;""[\w &amp;]*, (\d+\.\d+)""),"""")
"),"")</f>
        <v/>
      </c>
      <c r="N975" s="3" t="str">
        <f aca="false">IFERROR(__xludf.dummyfunction("if($T975&lt;&gt;"""",REGEXEXTRACT(SUBSTITUTE ($T975,N$1&amp;"" CE"",""""), N$1&amp;""[\w &amp;]*, (\d+\.\d+)""),"""")
"),"")</f>
        <v/>
      </c>
      <c r="O975" s="3" t="str">
        <f aca="false">IFERROR(__xludf.dummyfunction("if($T975&lt;&gt;"""",REGEXEXTRACT($T975, O$1&amp;""[\w &amp;]*, (\d+\.\d+)""),"""")
"),"")</f>
        <v/>
      </c>
      <c r="P975" s="2"/>
      <c r="Q975" s="2"/>
      <c r="R975" s="2"/>
      <c r="S975" s="2"/>
      <c r="T975" s="5"/>
    </row>
    <row r="976" customFormat="false" ht="15.75" hidden="false" customHeight="false" outlineLevel="0" collapsed="false">
      <c r="A976" s="4"/>
      <c r="B976" s="2"/>
      <c r="C976" s="2"/>
      <c r="D976" s="2"/>
      <c r="E976" s="2"/>
      <c r="F976" s="3" t="str">
        <f aca="false">IFERROR(__xludf.dummyfunction("if($T976&lt;&gt;"""",REGEXEXTRACT(SUBSTITUTE ($T976,F$1&amp;"" CE"",""""), F$1&amp;""[\w &amp;]*, (\d+\.\d+)""),"""")
"),"")</f>
        <v/>
      </c>
      <c r="G976" s="3" t="str">
        <f aca="false">IFERROR(__xludf.dummyfunction("if($T976&lt;&gt;"""",REGEXEXTRACT($T976, G$1&amp;""[\w &amp;]*, (\d+\.\d+)""),"""")
"),"")</f>
        <v/>
      </c>
      <c r="H976" s="3"/>
      <c r="I976" s="3" t="str">
        <f aca="false">IFERROR(__xludf.dummyfunction("if($T976&lt;&gt;"""",REGEXEXTRACT(SUBSTITUTE ($T976,I$1&amp;"" CE"",""""), I$1&amp;""[\w &amp;]*, (\d+\.\d+)""),"""")
"),"")</f>
        <v/>
      </c>
      <c r="J976" s="3" t="str">
        <f aca="false">IFERROR(__xludf.dummyfunction("if($T976&lt;&gt;"""",REGEXEXTRACT($T976, J$1&amp;""[\w &amp;]*, (\d+\.\d+)""),"""")
"),"")</f>
        <v/>
      </c>
      <c r="K976" s="3"/>
      <c r="L976" s="3" t="str">
        <f aca="false">IFERROR(__xludf.dummyfunction("if($T976&lt;&gt;"""",REGEXEXTRACT(SUBSTITUTE ($T976,L$1&amp;"" CE"",""""), L$1&amp;""[\w &amp;]*, (\d+\.\d+)""),"""")
"),"")</f>
        <v/>
      </c>
      <c r="M976" s="3" t="str">
        <f aca="false">IFERROR(__xludf.dummyfunction("if($T976&lt;&gt;"""",REGEXEXTRACT($T976, M$1&amp;""[\w &amp;]*, (\d+\.\d+)""),"""")
"),"")</f>
        <v/>
      </c>
      <c r="N976" s="3" t="str">
        <f aca="false">IFERROR(__xludf.dummyfunction("if($T976&lt;&gt;"""",REGEXEXTRACT(SUBSTITUTE ($T976,N$1&amp;"" CE"",""""), N$1&amp;""[\w &amp;]*, (\d+\.\d+)""),"""")
"),"")</f>
        <v/>
      </c>
      <c r="O976" s="3" t="str">
        <f aca="false">IFERROR(__xludf.dummyfunction("if($T976&lt;&gt;"""",REGEXEXTRACT($T976, O$1&amp;""[\w &amp;]*, (\d+\.\d+)""),"""")
"),"")</f>
        <v/>
      </c>
      <c r="P976" s="2"/>
      <c r="Q976" s="2"/>
      <c r="R976" s="2"/>
      <c r="S976" s="2"/>
      <c r="T976" s="5"/>
    </row>
    <row r="977" customFormat="false" ht="15.75" hidden="false" customHeight="false" outlineLevel="0" collapsed="false">
      <c r="A977" s="4"/>
      <c r="B977" s="2"/>
      <c r="C977" s="2"/>
      <c r="D977" s="2"/>
      <c r="E977" s="2"/>
      <c r="F977" s="3" t="str">
        <f aca="false">IFERROR(__xludf.dummyfunction("if($T977&lt;&gt;"""",REGEXEXTRACT(SUBSTITUTE ($T977,F$1&amp;"" CE"",""""), F$1&amp;""[\w &amp;]*, (\d+\.\d+)""),"""")
"),"")</f>
        <v/>
      </c>
      <c r="G977" s="3" t="str">
        <f aca="false">IFERROR(__xludf.dummyfunction("if($T977&lt;&gt;"""",REGEXEXTRACT($T977, G$1&amp;""[\w &amp;]*, (\d+\.\d+)""),"""")
"),"")</f>
        <v/>
      </c>
      <c r="H977" s="3"/>
      <c r="I977" s="3" t="str">
        <f aca="false">IFERROR(__xludf.dummyfunction("if($T977&lt;&gt;"""",REGEXEXTRACT(SUBSTITUTE ($T977,I$1&amp;"" CE"",""""), I$1&amp;""[\w &amp;]*, (\d+\.\d+)""),"""")
"),"")</f>
        <v/>
      </c>
      <c r="J977" s="3" t="str">
        <f aca="false">IFERROR(__xludf.dummyfunction("if($T977&lt;&gt;"""",REGEXEXTRACT($T977, J$1&amp;""[\w &amp;]*, (\d+\.\d+)""),"""")
"),"")</f>
        <v/>
      </c>
      <c r="K977" s="3"/>
      <c r="L977" s="3" t="str">
        <f aca="false">IFERROR(__xludf.dummyfunction("if($T977&lt;&gt;"""",REGEXEXTRACT(SUBSTITUTE ($T977,L$1&amp;"" CE"",""""), L$1&amp;""[\w &amp;]*, (\d+\.\d+)""),"""")
"),"")</f>
        <v/>
      </c>
      <c r="M977" s="3" t="str">
        <f aca="false">IFERROR(__xludf.dummyfunction("if($T977&lt;&gt;"""",REGEXEXTRACT($T977, M$1&amp;""[\w &amp;]*, (\d+\.\d+)""),"""")
"),"")</f>
        <v/>
      </c>
      <c r="N977" s="3" t="str">
        <f aca="false">IFERROR(__xludf.dummyfunction("if($T977&lt;&gt;"""",REGEXEXTRACT(SUBSTITUTE ($T977,N$1&amp;"" CE"",""""), N$1&amp;""[\w &amp;]*, (\d+\.\d+)""),"""")
"),"")</f>
        <v/>
      </c>
      <c r="O977" s="3" t="str">
        <f aca="false">IFERROR(__xludf.dummyfunction("if($T977&lt;&gt;"""",REGEXEXTRACT($T977, O$1&amp;""[\w &amp;]*, (\d+\.\d+)""),"""")
"),"")</f>
        <v/>
      </c>
      <c r="P977" s="2"/>
      <c r="Q977" s="2"/>
      <c r="R977" s="2"/>
      <c r="S977" s="2"/>
      <c r="T977" s="5"/>
    </row>
    <row r="978" customFormat="false" ht="15.75" hidden="false" customHeight="false" outlineLevel="0" collapsed="false">
      <c r="A978" s="4"/>
      <c r="B978" s="2"/>
      <c r="C978" s="2"/>
      <c r="D978" s="2"/>
      <c r="E978" s="2"/>
      <c r="F978" s="3" t="str">
        <f aca="false">IFERROR(__xludf.dummyfunction("if($T978&lt;&gt;"""",REGEXEXTRACT(SUBSTITUTE ($T978,F$1&amp;"" CE"",""""), F$1&amp;""[\w &amp;]*, (\d+\.\d+)""),"""")
"),"")</f>
        <v/>
      </c>
      <c r="G978" s="3" t="str">
        <f aca="false">IFERROR(__xludf.dummyfunction("if($T978&lt;&gt;"""",REGEXEXTRACT($T978, G$1&amp;""[\w &amp;]*, (\d+\.\d+)""),"""")
"),"")</f>
        <v/>
      </c>
      <c r="H978" s="3"/>
      <c r="I978" s="3" t="str">
        <f aca="false">IFERROR(__xludf.dummyfunction("if($T978&lt;&gt;"""",REGEXEXTRACT(SUBSTITUTE ($T978,I$1&amp;"" CE"",""""), I$1&amp;""[\w &amp;]*, (\d+\.\d+)""),"""")
"),"")</f>
        <v/>
      </c>
      <c r="J978" s="3" t="str">
        <f aca="false">IFERROR(__xludf.dummyfunction("if($T978&lt;&gt;"""",REGEXEXTRACT($T978, J$1&amp;""[\w &amp;]*, (\d+\.\d+)""),"""")
"),"")</f>
        <v/>
      </c>
      <c r="K978" s="3"/>
      <c r="L978" s="3" t="str">
        <f aca="false">IFERROR(__xludf.dummyfunction("if($T978&lt;&gt;"""",REGEXEXTRACT(SUBSTITUTE ($T978,L$1&amp;"" CE"",""""), L$1&amp;""[\w &amp;]*, (\d+\.\d+)""),"""")
"),"")</f>
        <v/>
      </c>
      <c r="M978" s="3" t="str">
        <f aca="false">IFERROR(__xludf.dummyfunction("if($T978&lt;&gt;"""",REGEXEXTRACT($T978, M$1&amp;""[\w &amp;]*, (\d+\.\d+)""),"""")
"),"")</f>
        <v/>
      </c>
      <c r="N978" s="3" t="str">
        <f aca="false">IFERROR(__xludf.dummyfunction("if($T978&lt;&gt;"""",REGEXEXTRACT(SUBSTITUTE ($T978,N$1&amp;"" CE"",""""), N$1&amp;""[\w &amp;]*, (\d+\.\d+)""),"""")
"),"")</f>
        <v/>
      </c>
      <c r="O978" s="3" t="str">
        <f aca="false">IFERROR(__xludf.dummyfunction("if($T978&lt;&gt;"""",REGEXEXTRACT($T978, O$1&amp;""[\w &amp;]*, (\d+\.\d+)""),"""")
"),"")</f>
        <v/>
      </c>
      <c r="P978" s="2"/>
      <c r="Q978" s="2"/>
      <c r="R978" s="2"/>
      <c r="S978" s="2"/>
      <c r="T978" s="5"/>
    </row>
    <row r="979" customFormat="false" ht="15.75" hidden="false" customHeight="false" outlineLevel="0" collapsed="false">
      <c r="A979" s="4"/>
      <c r="B979" s="2"/>
      <c r="C979" s="2"/>
      <c r="D979" s="2"/>
      <c r="E979" s="2"/>
      <c r="F979" s="3" t="str">
        <f aca="false">IFERROR(__xludf.dummyfunction("if($T979&lt;&gt;"""",REGEXEXTRACT(SUBSTITUTE ($T979,F$1&amp;"" CE"",""""), F$1&amp;""[\w &amp;]*, (\d+\.\d+)""),"""")
"),"")</f>
        <v/>
      </c>
      <c r="G979" s="3" t="str">
        <f aca="false">IFERROR(__xludf.dummyfunction("if($T979&lt;&gt;"""",REGEXEXTRACT($T979, G$1&amp;""[\w &amp;]*, (\d+\.\d+)""),"""")
"),"")</f>
        <v/>
      </c>
      <c r="H979" s="3"/>
      <c r="I979" s="3" t="str">
        <f aca="false">IFERROR(__xludf.dummyfunction("if($T979&lt;&gt;"""",REGEXEXTRACT(SUBSTITUTE ($T979,I$1&amp;"" CE"",""""), I$1&amp;""[\w &amp;]*, (\d+\.\d+)""),"""")
"),"")</f>
        <v/>
      </c>
      <c r="J979" s="3" t="str">
        <f aca="false">IFERROR(__xludf.dummyfunction("if($T979&lt;&gt;"""",REGEXEXTRACT($T979, J$1&amp;""[\w &amp;]*, (\d+\.\d+)""),"""")
"),"")</f>
        <v/>
      </c>
      <c r="K979" s="3"/>
      <c r="L979" s="3" t="str">
        <f aca="false">IFERROR(__xludf.dummyfunction("if($T979&lt;&gt;"""",REGEXEXTRACT(SUBSTITUTE ($T979,L$1&amp;"" CE"",""""), L$1&amp;""[\w &amp;]*, (\d+\.\d+)""),"""")
"),"")</f>
        <v/>
      </c>
      <c r="M979" s="3" t="str">
        <f aca="false">IFERROR(__xludf.dummyfunction("if($T979&lt;&gt;"""",REGEXEXTRACT($T979, M$1&amp;""[\w &amp;]*, (\d+\.\d+)""),"""")
"),"")</f>
        <v/>
      </c>
      <c r="N979" s="3" t="str">
        <f aca="false">IFERROR(__xludf.dummyfunction("if($T979&lt;&gt;"""",REGEXEXTRACT(SUBSTITUTE ($T979,N$1&amp;"" CE"",""""), N$1&amp;""[\w &amp;]*, (\d+\.\d+)""),"""")
"),"")</f>
        <v/>
      </c>
      <c r="O979" s="3" t="str">
        <f aca="false">IFERROR(__xludf.dummyfunction("if($T979&lt;&gt;"""",REGEXEXTRACT($T979, O$1&amp;""[\w &amp;]*, (\d+\.\d+)""),"""")
"),"")</f>
        <v/>
      </c>
      <c r="P979" s="2"/>
      <c r="Q979" s="2"/>
      <c r="R979" s="2"/>
      <c r="S979" s="2"/>
      <c r="T979" s="5"/>
    </row>
    <row r="980" customFormat="false" ht="15.75" hidden="false" customHeight="false" outlineLevel="0" collapsed="false">
      <c r="A980" s="4"/>
      <c r="B980" s="2"/>
      <c r="C980" s="2"/>
      <c r="D980" s="2"/>
      <c r="E980" s="2"/>
      <c r="F980" s="3" t="str">
        <f aca="false">IFERROR(__xludf.dummyfunction("if($T980&lt;&gt;"""",REGEXEXTRACT(SUBSTITUTE ($T980,F$1&amp;"" CE"",""""), F$1&amp;""[\w &amp;]*, (\d+\.\d+)""),"""")
"),"")</f>
        <v/>
      </c>
      <c r="G980" s="3" t="str">
        <f aca="false">IFERROR(__xludf.dummyfunction("if($T980&lt;&gt;"""",REGEXEXTRACT($T980, G$1&amp;""[\w &amp;]*, (\d+\.\d+)""),"""")
"),"")</f>
        <v/>
      </c>
      <c r="H980" s="3"/>
      <c r="I980" s="3" t="str">
        <f aca="false">IFERROR(__xludf.dummyfunction("if($T980&lt;&gt;"""",REGEXEXTRACT(SUBSTITUTE ($T980,I$1&amp;"" CE"",""""), I$1&amp;""[\w &amp;]*, (\d+\.\d+)""),"""")
"),"")</f>
        <v/>
      </c>
      <c r="J980" s="3" t="str">
        <f aca="false">IFERROR(__xludf.dummyfunction("if($T980&lt;&gt;"""",REGEXEXTRACT($T980, J$1&amp;""[\w &amp;]*, (\d+\.\d+)""),"""")
"),"")</f>
        <v/>
      </c>
      <c r="K980" s="3"/>
      <c r="L980" s="3" t="str">
        <f aca="false">IFERROR(__xludf.dummyfunction("if($T980&lt;&gt;"""",REGEXEXTRACT(SUBSTITUTE ($T980,L$1&amp;"" CE"",""""), L$1&amp;""[\w &amp;]*, (\d+\.\d+)""),"""")
"),"")</f>
        <v/>
      </c>
      <c r="M980" s="3" t="str">
        <f aca="false">IFERROR(__xludf.dummyfunction("if($T980&lt;&gt;"""",REGEXEXTRACT($T980, M$1&amp;""[\w &amp;]*, (\d+\.\d+)""),"""")
"),"")</f>
        <v/>
      </c>
      <c r="N980" s="3" t="str">
        <f aca="false">IFERROR(__xludf.dummyfunction("if($T980&lt;&gt;"""",REGEXEXTRACT(SUBSTITUTE ($T980,N$1&amp;"" CE"",""""), N$1&amp;""[\w &amp;]*, (\d+\.\d+)""),"""")
"),"")</f>
        <v/>
      </c>
      <c r="O980" s="3" t="str">
        <f aca="false">IFERROR(__xludf.dummyfunction("if($T980&lt;&gt;"""",REGEXEXTRACT($T980, O$1&amp;""[\w &amp;]*, (\d+\.\d+)""),"""")
"),"")</f>
        <v/>
      </c>
      <c r="P980" s="2"/>
      <c r="Q980" s="2"/>
      <c r="R980" s="2"/>
      <c r="S980" s="2"/>
      <c r="T980" s="5"/>
    </row>
    <row r="981" customFormat="false" ht="15.75" hidden="false" customHeight="false" outlineLevel="0" collapsed="false">
      <c r="A981" s="4"/>
      <c r="B981" s="2"/>
      <c r="C981" s="2"/>
      <c r="D981" s="2"/>
      <c r="E981" s="2"/>
      <c r="F981" s="3" t="str">
        <f aca="false">IFERROR(__xludf.dummyfunction("if($T981&lt;&gt;"""",REGEXEXTRACT(SUBSTITUTE ($T981,F$1&amp;"" CE"",""""), F$1&amp;""[\w &amp;]*, (\d+\.\d+)""),"""")
"),"")</f>
        <v/>
      </c>
      <c r="G981" s="3" t="str">
        <f aca="false">IFERROR(__xludf.dummyfunction("if($T981&lt;&gt;"""",REGEXEXTRACT($T981, G$1&amp;""[\w &amp;]*, (\d+\.\d+)""),"""")
"),"")</f>
        <v/>
      </c>
      <c r="H981" s="3"/>
      <c r="I981" s="3" t="str">
        <f aca="false">IFERROR(__xludf.dummyfunction("if($T981&lt;&gt;"""",REGEXEXTRACT(SUBSTITUTE ($T981,I$1&amp;"" CE"",""""), I$1&amp;""[\w &amp;]*, (\d+\.\d+)""),"""")
"),"")</f>
        <v/>
      </c>
      <c r="J981" s="3" t="str">
        <f aca="false">IFERROR(__xludf.dummyfunction("if($T981&lt;&gt;"""",REGEXEXTRACT($T981, J$1&amp;""[\w &amp;]*, (\d+\.\d+)""),"""")
"),"")</f>
        <v/>
      </c>
      <c r="K981" s="3"/>
      <c r="L981" s="3" t="str">
        <f aca="false">IFERROR(__xludf.dummyfunction("if($T981&lt;&gt;"""",REGEXEXTRACT(SUBSTITUTE ($T981,L$1&amp;"" CE"",""""), L$1&amp;""[\w &amp;]*, (\d+\.\d+)""),"""")
"),"")</f>
        <v/>
      </c>
      <c r="M981" s="3" t="str">
        <f aca="false">IFERROR(__xludf.dummyfunction("if($T981&lt;&gt;"""",REGEXEXTRACT($T981, M$1&amp;""[\w &amp;]*, (\d+\.\d+)""),"""")
"),"")</f>
        <v/>
      </c>
      <c r="N981" s="3" t="str">
        <f aca="false">IFERROR(__xludf.dummyfunction("if($T981&lt;&gt;"""",REGEXEXTRACT(SUBSTITUTE ($T981,N$1&amp;"" CE"",""""), N$1&amp;""[\w &amp;]*, (\d+\.\d+)""),"""")
"),"")</f>
        <v/>
      </c>
      <c r="O981" s="3" t="str">
        <f aca="false">IFERROR(__xludf.dummyfunction("if($T981&lt;&gt;"""",REGEXEXTRACT($T981, O$1&amp;""[\w &amp;]*, (\d+\.\d+)""),"""")
"),"")</f>
        <v/>
      </c>
      <c r="P981" s="2"/>
      <c r="Q981" s="2"/>
      <c r="R981" s="2"/>
      <c r="S981" s="2"/>
      <c r="T981" s="5"/>
    </row>
    <row r="982" customFormat="false" ht="15.75" hidden="false" customHeight="false" outlineLevel="0" collapsed="false">
      <c r="A982" s="4"/>
      <c r="B982" s="2"/>
      <c r="C982" s="2"/>
      <c r="D982" s="2"/>
      <c r="E982" s="2"/>
      <c r="F982" s="3" t="str">
        <f aca="false">IFERROR(__xludf.dummyfunction("if($T982&lt;&gt;"""",REGEXEXTRACT(SUBSTITUTE ($T982,F$1&amp;"" CE"",""""), F$1&amp;""[\w &amp;]*, (\d+\.\d+)""),"""")
"),"")</f>
        <v/>
      </c>
      <c r="G982" s="3" t="str">
        <f aca="false">IFERROR(__xludf.dummyfunction("if($T982&lt;&gt;"""",REGEXEXTRACT($T982, G$1&amp;""[\w &amp;]*, (\d+\.\d+)""),"""")
"),"")</f>
        <v/>
      </c>
      <c r="H982" s="3"/>
      <c r="I982" s="3" t="str">
        <f aca="false">IFERROR(__xludf.dummyfunction("if($T982&lt;&gt;"""",REGEXEXTRACT(SUBSTITUTE ($T982,I$1&amp;"" CE"",""""), I$1&amp;""[\w &amp;]*, (\d+\.\d+)""),"""")
"),"")</f>
        <v/>
      </c>
      <c r="J982" s="3" t="str">
        <f aca="false">IFERROR(__xludf.dummyfunction("if($T982&lt;&gt;"""",REGEXEXTRACT($T982, J$1&amp;""[\w &amp;]*, (\d+\.\d+)""),"""")
"),"")</f>
        <v/>
      </c>
      <c r="K982" s="3"/>
      <c r="L982" s="3" t="str">
        <f aca="false">IFERROR(__xludf.dummyfunction("if($T982&lt;&gt;"""",REGEXEXTRACT(SUBSTITUTE ($T982,L$1&amp;"" CE"",""""), L$1&amp;""[\w &amp;]*, (\d+\.\d+)""),"""")
"),"")</f>
        <v/>
      </c>
      <c r="M982" s="3" t="str">
        <f aca="false">IFERROR(__xludf.dummyfunction("if($T982&lt;&gt;"""",REGEXEXTRACT($T982, M$1&amp;""[\w &amp;]*, (\d+\.\d+)""),"""")
"),"")</f>
        <v/>
      </c>
      <c r="N982" s="3" t="str">
        <f aca="false">IFERROR(__xludf.dummyfunction("if($T982&lt;&gt;"""",REGEXEXTRACT(SUBSTITUTE ($T982,N$1&amp;"" CE"",""""), N$1&amp;""[\w &amp;]*, (\d+\.\d+)""),"""")
"),"")</f>
        <v/>
      </c>
      <c r="O982" s="3" t="str">
        <f aca="false">IFERROR(__xludf.dummyfunction("if($T982&lt;&gt;"""",REGEXEXTRACT($T982, O$1&amp;""[\w &amp;]*, (\d+\.\d+)""),"""")
"),"")</f>
        <v/>
      </c>
      <c r="P982" s="2"/>
      <c r="Q982" s="2"/>
      <c r="R982" s="2"/>
      <c r="S982" s="2"/>
      <c r="T982" s="5"/>
    </row>
    <row r="983" customFormat="false" ht="15.75" hidden="false" customHeight="false" outlineLevel="0" collapsed="false">
      <c r="A983" s="4"/>
      <c r="B983" s="2"/>
      <c r="C983" s="2"/>
      <c r="D983" s="2"/>
      <c r="E983" s="2"/>
      <c r="F983" s="3" t="str">
        <f aca="false">IFERROR(__xludf.dummyfunction("if($T983&lt;&gt;"""",REGEXEXTRACT(SUBSTITUTE ($T983,F$1&amp;"" CE"",""""), F$1&amp;""[\w &amp;]*, (\d+\.\d+)""),"""")
"),"")</f>
        <v/>
      </c>
      <c r="G983" s="3" t="str">
        <f aca="false">IFERROR(__xludf.dummyfunction("if($T983&lt;&gt;"""",REGEXEXTRACT($T983, G$1&amp;""[\w &amp;]*, (\d+\.\d+)""),"""")
"),"")</f>
        <v/>
      </c>
      <c r="H983" s="3"/>
      <c r="I983" s="3" t="str">
        <f aca="false">IFERROR(__xludf.dummyfunction("if($T983&lt;&gt;"""",REGEXEXTRACT(SUBSTITUTE ($T983,I$1&amp;"" CE"",""""), I$1&amp;""[\w &amp;]*, (\d+\.\d+)""),"""")
"),"")</f>
        <v/>
      </c>
      <c r="J983" s="3" t="str">
        <f aca="false">IFERROR(__xludf.dummyfunction("if($T983&lt;&gt;"""",REGEXEXTRACT($T983, J$1&amp;""[\w &amp;]*, (\d+\.\d+)""),"""")
"),"")</f>
        <v/>
      </c>
      <c r="K983" s="3"/>
      <c r="L983" s="3" t="str">
        <f aca="false">IFERROR(__xludf.dummyfunction("if($T983&lt;&gt;"""",REGEXEXTRACT(SUBSTITUTE ($T983,L$1&amp;"" CE"",""""), L$1&amp;""[\w &amp;]*, (\d+\.\d+)""),"""")
"),"")</f>
        <v/>
      </c>
      <c r="M983" s="3" t="str">
        <f aca="false">IFERROR(__xludf.dummyfunction("if($T983&lt;&gt;"""",REGEXEXTRACT($T983, M$1&amp;""[\w &amp;]*, (\d+\.\d+)""),"""")
"),"")</f>
        <v/>
      </c>
      <c r="N983" s="3" t="str">
        <f aca="false">IFERROR(__xludf.dummyfunction("if($T983&lt;&gt;"""",REGEXEXTRACT(SUBSTITUTE ($T983,N$1&amp;"" CE"",""""), N$1&amp;""[\w &amp;]*, (\d+\.\d+)""),"""")
"),"")</f>
        <v/>
      </c>
      <c r="O983" s="3" t="str">
        <f aca="false">IFERROR(__xludf.dummyfunction("if($T983&lt;&gt;"""",REGEXEXTRACT($T983, O$1&amp;""[\w &amp;]*, (\d+\.\d+)""),"""")
"),"")</f>
        <v/>
      </c>
      <c r="P983" s="2"/>
      <c r="Q983" s="2"/>
      <c r="R983" s="2"/>
      <c r="S983" s="2"/>
      <c r="T983" s="5"/>
    </row>
    <row r="984" customFormat="false" ht="15.75" hidden="false" customHeight="false" outlineLevel="0" collapsed="false">
      <c r="A984" s="4"/>
      <c r="B984" s="2"/>
      <c r="C984" s="2"/>
      <c r="D984" s="2"/>
      <c r="E984" s="2"/>
      <c r="F984" s="3" t="str">
        <f aca="false">IFERROR(__xludf.dummyfunction("if($T984&lt;&gt;"""",REGEXEXTRACT(SUBSTITUTE ($T984,F$1&amp;"" CE"",""""), F$1&amp;""[\w &amp;]*, (\d+\.\d+)""),"""")
"),"")</f>
        <v/>
      </c>
      <c r="G984" s="3" t="str">
        <f aca="false">IFERROR(__xludf.dummyfunction("if($T984&lt;&gt;"""",REGEXEXTRACT($T984, G$1&amp;""[\w &amp;]*, (\d+\.\d+)""),"""")
"),"")</f>
        <v/>
      </c>
      <c r="H984" s="3"/>
      <c r="I984" s="3" t="str">
        <f aca="false">IFERROR(__xludf.dummyfunction("if($T984&lt;&gt;"""",REGEXEXTRACT(SUBSTITUTE ($T984,I$1&amp;"" CE"",""""), I$1&amp;""[\w &amp;]*, (\d+\.\d+)""),"""")
"),"")</f>
        <v/>
      </c>
      <c r="J984" s="3" t="str">
        <f aca="false">IFERROR(__xludf.dummyfunction("if($T984&lt;&gt;"""",REGEXEXTRACT($T984, J$1&amp;""[\w &amp;]*, (\d+\.\d+)""),"""")
"),"")</f>
        <v/>
      </c>
      <c r="K984" s="3"/>
      <c r="L984" s="3" t="str">
        <f aca="false">IFERROR(__xludf.dummyfunction("if($T984&lt;&gt;"""",REGEXEXTRACT(SUBSTITUTE ($T984,L$1&amp;"" CE"",""""), L$1&amp;""[\w &amp;]*, (\d+\.\d+)""),"""")
"),"")</f>
        <v/>
      </c>
      <c r="M984" s="3" t="str">
        <f aca="false">IFERROR(__xludf.dummyfunction("if($T984&lt;&gt;"""",REGEXEXTRACT($T984, M$1&amp;""[\w &amp;]*, (\d+\.\d+)""),"""")
"),"")</f>
        <v/>
      </c>
      <c r="N984" s="3" t="str">
        <f aca="false">IFERROR(__xludf.dummyfunction("if($T984&lt;&gt;"""",REGEXEXTRACT(SUBSTITUTE ($T984,N$1&amp;"" CE"",""""), N$1&amp;""[\w &amp;]*, (\d+\.\d+)""),"""")
"),"")</f>
        <v/>
      </c>
      <c r="O984" s="3" t="str">
        <f aca="false">IFERROR(__xludf.dummyfunction("if($T984&lt;&gt;"""",REGEXEXTRACT($T984, O$1&amp;""[\w &amp;]*, (\d+\.\d+)""),"""")
"),"")</f>
        <v/>
      </c>
      <c r="P984" s="2"/>
      <c r="Q984" s="2"/>
      <c r="R984" s="2"/>
      <c r="S984" s="2"/>
      <c r="T984" s="5"/>
    </row>
    <row r="985" customFormat="false" ht="15.75" hidden="false" customHeight="false" outlineLevel="0" collapsed="false">
      <c r="A985" s="4"/>
      <c r="B985" s="2"/>
      <c r="C985" s="2"/>
      <c r="D985" s="2"/>
      <c r="E985" s="2"/>
      <c r="F985" s="3" t="str">
        <f aca="false">IFERROR(__xludf.dummyfunction("if($T985&lt;&gt;"""",REGEXEXTRACT(SUBSTITUTE ($T985,F$1&amp;"" CE"",""""), F$1&amp;""[\w &amp;]*, (\d+\.\d+)""),"""")
"),"")</f>
        <v/>
      </c>
      <c r="G985" s="3" t="str">
        <f aca="false">IFERROR(__xludf.dummyfunction("if($T985&lt;&gt;"""",REGEXEXTRACT($T985, G$1&amp;""[\w &amp;]*, (\d+\.\d+)""),"""")
"),"")</f>
        <v/>
      </c>
      <c r="H985" s="3"/>
      <c r="I985" s="3" t="str">
        <f aca="false">IFERROR(__xludf.dummyfunction("if($T985&lt;&gt;"""",REGEXEXTRACT(SUBSTITUTE ($T985,I$1&amp;"" CE"",""""), I$1&amp;""[\w &amp;]*, (\d+\.\d+)""),"""")
"),"")</f>
        <v/>
      </c>
      <c r="J985" s="3" t="str">
        <f aca="false">IFERROR(__xludf.dummyfunction("if($T985&lt;&gt;"""",REGEXEXTRACT($T985, J$1&amp;""[\w &amp;]*, (\d+\.\d+)""),"""")
"),"")</f>
        <v/>
      </c>
      <c r="K985" s="3"/>
      <c r="L985" s="3" t="str">
        <f aca="false">IFERROR(__xludf.dummyfunction("if($T985&lt;&gt;"""",REGEXEXTRACT(SUBSTITUTE ($T985,L$1&amp;"" CE"",""""), L$1&amp;""[\w &amp;]*, (\d+\.\d+)""),"""")
"),"")</f>
        <v/>
      </c>
      <c r="M985" s="3" t="str">
        <f aca="false">IFERROR(__xludf.dummyfunction("if($T985&lt;&gt;"""",REGEXEXTRACT($T985, M$1&amp;""[\w &amp;]*, (\d+\.\d+)""),"""")
"),"")</f>
        <v/>
      </c>
      <c r="N985" s="3" t="str">
        <f aca="false">IFERROR(__xludf.dummyfunction("if($T985&lt;&gt;"""",REGEXEXTRACT(SUBSTITUTE ($T985,N$1&amp;"" CE"",""""), N$1&amp;""[\w &amp;]*, (\d+\.\d+)""),"""")
"),"")</f>
        <v/>
      </c>
      <c r="O985" s="3" t="str">
        <f aca="false">IFERROR(__xludf.dummyfunction("if($T985&lt;&gt;"""",REGEXEXTRACT($T985, O$1&amp;""[\w &amp;]*, (\d+\.\d+)""),"""")
"),"")</f>
        <v/>
      </c>
      <c r="P985" s="2"/>
      <c r="Q985" s="2"/>
      <c r="R985" s="2"/>
      <c r="S985" s="2"/>
      <c r="T985" s="5"/>
    </row>
    <row r="986" customFormat="false" ht="15.75" hidden="false" customHeight="false" outlineLevel="0" collapsed="false">
      <c r="A986" s="4"/>
      <c r="B986" s="2"/>
      <c r="C986" s="2"/>
      <c r="D986" s="2"/>
      <c r="E986" s="2"/>
      <c r="F986" s="3" t="str">
        <f aca="false">IFERROR(__xludf.dummyfunction("if($T986&lt;&gt;"""",REGEXEXTRACT(SUBSTITUTE ($T986,F$1&amp;"" CE"",""""), F$1&amp;""[\w &amp;]*, (\d+\.\d+)""),"""")
"),"")</f>
        <v/>
      </c>
      <c r="G986" s="3" t="str">
        <f aca="false">IFERROR(__xludf.dummyfunction("if($T986&lt;&gt;"""",REGEXEXTRACT($T986, G$1&amp;""[\w &amp;]*, (\d+\.\d+)""),"""")
"),"")</f>
        <v/>
      </c>
      <c r="H986" s="3"/>
      <c r="I986" s="3" t="str">
        <f aca="false">IFERROR(__xludf.dummyfunction("if($T986&lt;&gt;"""",REGEXEXTRACT(SUBSTITUTE ($T986,I$1&amp;"" CE"",""""), I$1&amp;""[\w &amp;]*, (\d+\.\d+)""),"""")
"),"")</f>
        <v/>
      </c>
      <c r="J986" s="3" t="str">
        <f aca="false">IFERROR(__xludf.dummyfunction("if($T986&lt;&gt;"""",REGEXEXTRACT($T986, J$1&amp;""[\w &amp;]*, (\d+\.\d+)""),"""")
"),"")</f>
        <v/>
      </c>
      <c r="K986" s="3"/>
      <c r="L986" s="3" t="str">
        <f aca="false">IFERROR(__xludf.dummyfunction("if($T986&lt;&gt;"""",REGEXEXTRACT(SUBSTITUTE ($T986,L$1&amp;"" CE"",""""), L$1&amp;""[\w &amp;]*, (\d+\.\d+)""),"""")
"),"")</f>
        <v/>
      </c>
      <c r="M986" s="3" t="str">
        <f aca="false">IFERROR(__xludf.dummyfunction("if($T986&lt;&gt;"""",REGEXEXTRACT($T986, M$1&amp;""[\w &amp;]*, (\d+\.\d+)""),"""")
"),"")</f>
        <v/>
      </c>
      <c r="N986" s="3" t="str">
        <f aca="false">IFERROR(__xludf.dummyfunction("if($T986&lt;&gt;"""",REGEXEXTRACT(SUBSTITUTE ($T986,N$1&amp;"" CE"",""""), N$1&amp;""[\w &amp;]*, (\d+\.\d+)""),"""")
"),"")</f>
        <v/>
      </c>
      <c r="O986" s="3" t="str">
        <f aca="false">IFERROR(__xludf.dummyfunction("if($T986&lt;&gt;"""",REGEXEXTRACT($T986, O$1&amp;""[\w &amp;]*, (\d+\.\d+)""),"""")
"),"")</f>
        <v/>
      </c>
      <c r="P986" s="2"/>
      <c r="Q986" s="2"/>
      <c r="R986" s="2"/>
      <c r="S986" s="2"/>
      <c r="T986" s="5"/>
    </row>
    <row r="987" customFormat="false" ht="15.75" hidden="false" customHeight="false" outlineLevel="0" collapsed="false">
      <c r="A987" s="4"/>
      <c r="B987" s="2"/>
      <c r="C987" s="2"/>
      <c r="D987" s="2"/>
      <c r="E987" s="2"/>
      <c r="F987" s="3" t="str">
        <f aca="false">IFERROR(__xludf.dummyfunction("if($T987&lt;&gt;"""",REGEXEXTRACT(SUBSTITUTE ($T987,F$1&amp;"" CE"",""""), F$1&amp;""[\w &amp;]*, (\d+\.\d+)""),"""")
"),"")</f>
        <v/>
      </c>
      <c r="G987" s="3" t="str">
        <f aca="false">IFERROR(__xludf.dummyfunction("if($T987&lt;&gt;"""",REGEXEXTRACT($T987, G$1&amp;""[\w &amp;]*, (\d+\.\d+)""),"""")
"),"")</f>
        <v/>
      </c>
      <c r="H987" s="3"/>
      <c r="I987" s="3" t="str">
        <f aca="false">IFERROR(__xludf.dummyfunction("if($T987&lt;&gt;"""",REGEXEXTRACT(SUBSTITUTE ($T987,I$1&amp;"" CE"",""""), I$1&amp;""[\w &amp;]*, (\d+\.\d+)""),"""")
"),"")</f>
        <v/>
      </c>
      <c r="J987" s="3" t="str">
        <f aca="false">IFERROR(__xludf.dummyfunction("if($T987&lt;&gt;"""",REGEXEXTRACT($T987, J$1&amp;""[\w &amp;]*, (\d+\.\d+)""),"""")
"),"")</f>
        <v/>
      </c>
      <c r="K987" s="3"/>
      <c r="L987" s="3" t="str">
        <f aca="false">IFERROR(__xludf.dummyfunction("if($T987&lt;&gt;"""",REGEXEXTRACT(SUBSTITUTE ($T987,L$1&amp;"" CE"",""""), L$1&amp;""[\w &amp;]*, (\d+\.\d+)""),"""")
"),"")</f>
        <v/>
      </c>
      <c r="M987" s="3" t="str">
        <f aca="false">IFERROR(__xludf.dummyfunction("if($T987&lt;&gt;"""",REGEXEXTRACT($T987, M$1&amp;""[\w &amp;]*, (\d+\.\d+)""),"""")
"),"")</f>
        <v/>
      </c>
      <c r="N987" s="3" t="str">
        <f aca="false">IFERROR(__xludf.dummyfunction("if($T987&lt;&gt;"""",REGEXEXTRACT(SUBSTITUTE ($T987,N$1&amp;"" CE"",""""), N$1&amp;""[\w &amp;]*, (\d+\.\d+)""),"""")
"),"")</f>
        <v/>
      </c>
      <c r="O987" s="3" t="str">
        <f aca="false">IFERROR(__xludf.dummyfunction("if($T987&lt;&gt;"""",REGEXEXTRACT($T987, O$1&amp;""[\w &amp;]*, (\d+\.\d+)""),"""")
"),"")</f>
        <v/>
      </c>
      <c r="P987" s="2"/>
      <c r="Q987" s="2"/>
      <c r="R987" s="2"/>
      <c r="S987" s="2"/>
      <c r="T987" s="5"/>
    </row>
    <row r="988" customFormat="false" ht="15.75" hidden="false" customHeight="false" outlineLevel="0" collapsed="false">
      <c r="A988" s="4"/>
      <c r="B988" s="2"/>
      <c r="C988" s="2"/>
      <c r="D988" s="2"/>
      <c r="E988" s="2"/>
      <c r="F988" s="3" t="str">
        <f aca="false">IFERROR(__xludf.dummyfunction("if($T988&lt;&gt;"""",REGEXEXTRACT(SUBSTITUTE ($T988,F$1&amp;"" CE"",""""), F$1&amp;""[\w &amp;]*, (\d+\.\d+)""),"""")
"),"")</f>
        <v/>
      </c>
      <c r="G988" s="3" t="str">
        <f aca="false">IFERROR(__xludf.dummyfunction("if($T988&lt;&gt;"""",REGEXEXTRACT($T988, G$1&amp;""[\w &amp;]*, (\d+\.\d+)""),"""")
"),"")</f>
        <v/>
      </c>
      <c r="H988" s="3"/>
      <c r="I988" s="3" t="str">
        <f aca="false">IFERROR(__xludf.dummyfunction("if($T988&lt;&gt;"""",REGEXEXTRACT(SUBSTITUTE ($T988,I$1&amp;"" CE"",""""), I$1&amp;""[\w &amp;]*, (\d+\.\d+)""),"""")
"),"")</f>
        <v/>
      </c>
      <c r="J988" s="3" t="str">
        <f aca="false">IFERROR(__xludf.dummyfunction("if($T988&lt;&gt;"""",REGEXEXTRACT($T988, J$1&amp;""[\w &amp;]*, (\d+\.\d+)""),"""")
"),"")</f>
        <v/>
      </c>
      <c r="K988" s="3"/>
      <c r="L988" s="3" t="str">
        <f aca="false">IFERROR(__xludf.dummyfunction("if($T988&lt;&gt;"""",REGEXEXTRACT(SUBSTITUTE ($T988,L$1&amp;"" CE"",""""), L$1&amp;""[\w &amp;]*, (\d+\.\d+)""),"""")
"),"")</f>
        <v/>
      </c>
      <c r="M988" s="3" t="str">
        <f aca="false">IFERROR(__xludf.dummyfunction("if($T988&lt;&gt;"""",REGEXEXTRACT($T988, M$1&amp;""[\w &amp;]*, (\d+\.\d+)""),"""")
"),"")</f>
        <v/>
      </c>
      <c r="N988" s="3" t="str">
        <f aca="false">IFERROR(__xludf.dummyfunction("if($T988&lt;&gt;"""",REGEXEXTRACT(SUBSTITUTE ($T988,N$1&amp;"" CE"",""""), N$1&amp;""[\w &amp;]*, (\d+\.\d+)""),"""")
"),"")</f>
        <v/>
      </c>
      <c r="O988" s="3" t="str">
        <f aca="false">IFERROR(__xludf.dummyfunction("if($T988&lt;&gt;"""",REGEXEXTRACT($T988, O$1&amp;""[\w &amp;]*, (\d+\.\d+)""),"""")
"),"")</f>
        <v/>
      </c>
      <c r="P988" s="2"/>
      <c r="Q988" s="2"/>
      <c r="R988" s="2"/>
      <c r="S988" s="2"/>
      <c r="T988" s="5"/>
    </row>
    <row r="989" customFormat="false" ht="15.75" hidden="false" customHeight="false" outlineLevel="0" collapsed="false">
      <c r="A989" s="4"/>
      <c r="B989" s="2"/>
      <c r="C989" s="2"/>
      <c r="D989" s="2"/>
      <c r="E989" s="2"/>
      <c r="F989" s="3" t="str">
        <f aca="false">IFERROR(__xludf.dummyfunction("if($T989&lt;&gt;"""",REGEXEXTRACT(SUBSTITUTE ($T989,F$1&amp;"" CE"",""""), F$1&amp;""[\w &amp;]*, (\d+\.\d+)""),"""")
"),"")</f>
        <v/>
      </c>
      <c r="G989" s="3" t="str">
        <f aca="false">IFERROR(__xludf.dummyfunction("if($T989&lt;&gt;"""",REGEXEXTRACT($T989, G$1&amp;""[\w &amp;]*, (\d+\.\d+)""),"""")
"),"")</f>
        <v/>
      </c>
      <c r="H989" s="3"/>
      <c r="I989" s="3" t="str">
        <f aca="false">IFERROR(__xludf.dummyfunction("if($T989&lt;&gt;"""",REGEXEXTRACT(SUBSTITUTE ($T989,I$1&amp;"" CE"",""""), I$1&amp;""[\w &amp;]*, (\d+\.\d+)""),"""")
"),"")</f>
        <v/>
      </c>
      <c r="J989" s="3" t="str">
        <f aca="false">IFERROR(__xludf.dummyfunction("if($T989&lt;&gt;"""",REGEXEXTRACT($T989, J$1&amp;""[\w &amp;]*, (\d+\.\d+)""),"""")
"),"")</f>
        <v/>
      </c>
      <c r="K989" s="3"/>
      <c r="L989" s="3" t="str">
        <f aca="false">IFERROR(__xludf.dummyfunction("if($T989&lt;&gt;"""",REGEXEXTRACT(SUBSTITUTE ($T989,L$1&amp;"" CE"",""""), L$1&amp;""[\w &amp;]*, (\d+\.\d+)""),"""")
"),"")</f>
        <v/>
      </c>
      <c r="M989" s="3" t="str">
        <f aca="false">IFERROR(__xludf.dummyfunction("if($T989&lt;&gt;"""",REGEXEXTRACT($T989, M$1&amp;""[\w &amp;]*, (\d+\.\d+)""),"""")
"),"")</f>
        <v/>
      </c>
      <c r="N989" s="3" t="str">
        <f aca="false">IFERROR(__xludf.dummyfunction("if($T989&lt;&gt;"""",REGEXEXTRACT(SUBSTITUTE ($T989,N$1&amp;"" CE"",""""), N$1&amp;""[\w &amp;]*, (\d+\.\d+)""),"""")
"),"")</f>
        <v/>
      </c>
      <c r="O989" s="3" t="str">
        <f aca="false">IFERROR(__xludf.dummyfunction("if($T989&lt;&gt;"""",REGEXEXTRACT($T989, O$1&amp;""[\w &amp;]*, (\d+\.\d+)""),"""")
"),"")</f>
        <v/>
      </c>
      <c r="P989" s="2"/>
      <c r="Q989" s="2"/>
      <c r="R989" s="2"/>
      <c r="S989" s="2"/>
      <c r="T989" s="5"/>
    </row>
    <row r="990" customFormat="false" ht="15.75" hidden="false" customHeight="false" outlineLevel="0" collapsed="false">
      <c r="A990" s="4"/>
      <c r="B990" s="2"/>
      <c r="C990" s="2"/>
      <c r="D990" s="2"/>
      <c r="E990" s="2"/>
      <c r="F990" s="3" t="str">
        <f aca="false">IFERROR(__xludf.dummyfunction("if($T990&lt;&gt;"""",REGEXEXTRACT(SUBSTITUTE ($T990,F$1&amp;"" CE"",""""), F$1&amp;""[\w &amp;]*, (\d+\.\d+)""),"""")
"),"")</f>
        <v/>
      </c>
      <c r="G990" s="3" t="str">
        <f aca="false">IFERROR(__xludf.dummyfunction("if($T990&lt;&gt;"""",REGEXEXTRACT($T990, G$1&amp;""[\w &amp;]*, (\d+\.\d+)""),"""")
"),"")</f>
        <v/>
      </c>
      <c r="H990" s="3"/>
      <c r="I990" s="3" t="str">
        <f aca="false">IFERROR(__xludf.dummyfunction("if($T990&lt;&gt;"""",REGEXEXTRACT(SUBSTITUTE ($T990,I$1&amp;"" CE"",""""), I$1&amp;""[\w &amp;]*, (\d+\.\d+)""),"""")
"),"")</f>
        <v/>
      </c>
      <c r="J990" s="3" t="str">
        <f aca="false">IFERROR(__xludf.dummyfunction("if($T990&lt;&gt;"""",REGEXEXTRACT($T990, J$1&amp;""[\w &amp;]*, (\d+\.\d+)""),"""")
"),"")</f>
        <v/>
      </c>
      <c r="K990" s="3"/>
      <c r="L990" s="3" t="str">
        <f aca="false">IFERROR(__xludf.dummyfunction("if($T990&lt;&gt;"""",REGEXEXTRACT(SUBSTITUTE ($T990,L$1&amp;"" CE"",""""), L$1&amp;""[\w &amp;]*, (\d+\.\d+)""),"""")
"),"")</f>
        <v/>
      </c>
      <c r="M990" s="3" t="str">
        <f aca="false">IFERROR(__xludf.dummyfunction("if($T990&lt;&gt;"""",REGEXEXTRACT($T990, M$1&amp;""[\w &amp;]*, (\d+\.\d+)""),"""")
"),"")</f>
        <v/>
      </c>
      <c r="N990" s="3" t="str">
        <f aca="false">IFERROR(__xludf.dummyfunction("if($T990&lt;&gt;"""",REGEXEXTRACT(SUBSTITUTE ($T990,N$1&amp;"" CE"",""""), N$1&amp;""[\w &amp;]*, (\d+\.\d+)""),"""")
"),"")</f>
        <v/>
      </c>
      <c r="O990" s="3" t="str">
        <f aca="false">IFERROR(__xludf.dummyfunction("if($T990&lt;&gt;"""",REGEXEXTRACT($T990, O$1&amp;""[\w &amp;]*, (\d+\.\d+)""),"""")
"),"")</f>
        <v/>
      </c>
      <c r="P990" s="2"/>
      <c r="Q990" s="2"/>
      <c r="R990" s="2"/>
      <c r="S990" s="2"/>
      <c r="T990" s="5"/>
    </row>
    <row r="991" customFormat="false" ht="15.75" hidden="false" customHeight="false" outlineLevel="0" collapsed="false">
      <c r="A991" s="4"/>
      <c r="B991" s="2"/>
      <c r="C991" s="2"/>
      <c r="D991" s="2"/>
      <c r="E991" s="2"/>
      <c r="F991" s="3" t="str">
        <f aca="false">IFERROR(__xludf.dummyfunction("if($T991&lt;&gt;"""",REGEXEXTRACT(SUBSTITUTE ($T991,F$1&amp;"" CE"",""""), F$1&amp;""[\w &amp;]*, (\d+\.\d+)""),"""")
"),"")</f>
        <v/>
      </c>
      <c r="G991" s="3" t="str">
        <f aca="false">IFERROR(__xludf.dummyfunction("if($T991&lt;&gt;"""",REGEXEXTRACT($T991, G$1&amp;""[\w &amp;]*, (\d+\.\d+)""),"""")
"),"")</f>
        <v/>
      </c>
      <c r="H991" s="3"/>
      <c r="I991" s="3" t="str">
        <f aca="false">IFERROR(__xludf.dummyfunction("if($T991&lt;&gt;"""",REGEXEXTRACT(SUBSTITUTE ($T991,I$1&amp;"" CE"",""""), I$1&amp;""[\w &amp;]*, (\d+\.\d+)""),"""")
"),"")</f>
        <v/>
      </c>
      <c r="J991" s="3" t="str">
        <f aca="false">IFERROR(__xludf.dummyfunction("if($T991&lt;&gt;"""",REGEXEXTRACT($T991, J$1&amp;""[\w &amp;]*, (\d+\.\d+)""),"""")
"),"")</f>
        <v/>
      </c>
      <c r="K991" s="3"/>
      <c r="L991" s="3" t="str">
        <f aca="false">IFERROR(__xludf.dummyfunction("if($T991&lt;&gt;"""",REGEXEXTRACT(SUBSTITUTE ($T991,L$1&amp;"" CE"",""""), L$1&amp;""[\w &amp;]*, (\d+\.\d+)""),"""")
"),"")</f>
        <v/>
      </c>
      <c r="M991" s="3" t="str">
        <f aca="false">IFERROR(__xludf.dummyfunction("if($T991&lt;&gt;"""",REGEXEXTRACT($T991, M$1&amp;""[\w &amp;]*, (\d+\.\d+)""),"""")
"),"")</f>
        <v/>
      </c>
      <c r="N991" s="3" t="str">
        <f aca="false">IFERROR(__xludf.dummyfunction("if($T991&lt;&gt;"""",REGEXEXTRACT(SUBSTITUTE ($T991,N$1&amp;"" CE"",""""), N$1&amp;""[\w &amp;]*, (\d+\.\d+)""),"""")
"),"")</f>
        <v/>
      </c>
      <c r="O991" s="3" t="str">
        <f aca="false">IFERROR(__xludf.dummyfunction("if($T991&lt;&gt;"""",REGEXEXTRACT($T991, O$1&amp;""[\w &amp;]*, (\d+\.\d+)""),"""")
"),"")</f>
        <v/>
      </c>
      <c r="P991" s="2"/>
      <c r="Q991" s="2"/>
      <c r="R991" s="2"/>
      <c r="S991" s="2"/>
      <c r="T991" s="5"/>
    </row>
    <row r="992" customFormat="false" ht="15.75" hidden="false" customHeight="false" outlineLevel="0" collapsed="false">
      <c r="A992" s="4"/>
      <c r="B992" s="2"/>
      <c r="C992" s="2"/>
      <c r="D992" s="2"/>
      <c r="E992" s="2"/>
      <c r="F992" s="3" t="str">
        <f aca="false">IFERROR(__xludf.dummyfunction("if($T992&lt;&gt;"""",REGEXEXTRACT(SUBSTITUTE ($T992,F$1&amp;"" CE"",""""), F$1&amp;""[\w &amp;]*, (\d+\.\d+)""),"""")
"),"")</f>
        <v/>
      </c>
      <c r="G992" s="3" t="str">
        <f aca="false">IFERROR(__xludf.dummyfunction("if($T992&lt;&gt;"""",REGEXEXTRACT($T992, G$1&amp;""[\w &amp;]*, (\d+\.\d+)""),"""")
"),"")</f>
        <v/>
      </c>
      <c r="H992" s="3"/>
      <c r="I992" s="3" t="str">
        <f aca="false">IFERROR(__xludf.dummyfunction("if($T992&lt;&gt;"""",REGEXEXTRACT(SUBSTITUTE ($T992,I$1&amp;"" CE"",""""), I$1&amp;""[\w &amp;]*, (\d+\.\d+)""),"""")
"),"")</f>
        <v/>
      </c>
      <c r="J992" s="3" t="str">
        <f aca="false">IFERROR(__xludf.dummyfunction("if($T992&lt;&gt;"""",REGEXEXTRACT($T992, J$1&amp;""[\w &amp;]*, (\d+\.\d+)""),"""")
"),"")</f>
        <v/>
      </c>
      <c r="K992" s="3"/>
      <c r="L992" s="3" t="str">
        <f aca="false">IFERROR(__xludf.dummyfunction("if($T992&lt;&gt;"""",REGEXEXTRACT(SUBSTITUTE ($T992,L$1&amp;"" CE"",""""), L$1&amp;""[\w &amp;]*, (\d+\.\d+)""),"""")
"),"")</f>
        <v/>
      </c>
      <c r="M992" s="3" t="str">
        <f aca="false">IFERROR(__xludf.dummyfunction("if($T992&lt;&gt;"""",REGEXEXTRACT($T992, M$1&amp;""[\w &amp;]*, (\d+\.\d+)""),"""")
"),"")</f>
        <v/>
      </c>
      <c r="N992" s="3" t="str">
        <f aca="false">IFERROR(__xludf.dummyfunction("if($T992&lt;&gt;"""",REGEXEXTRACT(SUBSTITUTE ($T992,N$1&amp;"" CE"",""""), N$1&amp;""[\w &amp;]*, (\d+\.\d+)""),"""")
"),"")</f>
        <v/>
      </c>
      <c r="O992" s="3" t="str">
        <f aca="false">IFERROR(__xludf.dummyfunction("if($T992&lt;&gt;"""",REGEXEXTRACT($T992, O$1&amp;""[\w &amp;]*, (\d+\.\d+)""),"""")
"),"")</f>
        <v/>
      </c>
      <c r="P992" s="2"/>
      <c r="Q992" s="2"/>
      <c r="R992" s="2"/>
      <c r="S992" s="2"/>
      <c r="T992" s="5"/>
    </row>
    <row r="993" customFormat="false" ht="15.75" hidden="false" customHeight="false" outlineLevel="0" collapsed="false">
      <c r="A993" s="4"/>
      <c r="B993" s="2"/>
      <c r="C993" s="2"/>
      <c r="D993" s="2"/>
      <c r="E993" s="2"/>
      <c r="F993" s="3" t="str">
        <f aca="false">IFERROR(__xludf.dummyfunction("if($T993&lt;&gt;"""",REGEXEXTRACT(SUBSTITUTE ($T993,F$1&amp;"" CE"",""""), F$1&amp;""[\w &amp;]*, (\d+\.\d+)""),"""")
"),"")</f>
        <v/>
      </c>
      <c r="G993" s="3" t="str">
        <f aca="false">IFERROR(__xludf.dummyfunction("if($T993&lt;&gt;"""",REGEXEXTRACT($T993, G$1&amp;""[\w &amp;]*, (\d+\.\d+)""),"""")
"),"")</f>
        <v/>
      </c>
      <c r="H993" s="3"/>
      <c r="I993" s="3" t="str">
        <f aca="false">IFERROR(__xludf.dummyfunction("if($T993&lt;&gt;"""",REGEXEXTRACT(SUBSTITUTE ($T993,I$1&amp;"" CE"",""""), I$1&amp;""[\w &amp;]*, (\d+\.\d+)""),"""")
"),"")</f>
        <v/>
      </c>
      <c r="J993" s="3" t="str">
        <f aca="false">IFERROR(__xludf.dummyfunction("if($T993&lt;&gt;"""",REGEXEXTRACT($T993, J$1&amp;""[\w &amp;]*, (\d+\.\d+)""),"""")
"),"")</f>
        <v/>
      </c>
      <c r="K993" s="3"/>
      <c r="L993" s="3" t="str">
        <f aca="false">IFERROR(__xludf.dummyfunction("if($T993&lt;&gt;"""",REGEXEXTRACT(SUBSTITUTE ($T993,L$1&amp;"" CE"",""""), L$1&amp;""[\w &amp;]*, (\d+\.\d+)""),"""")
"),"")</f>
        <v/>
      </c>
      <c r="M993" s="3" t="str">
        <f aca="false">IFERROR(__xludf.dummyfunction("if($T993&lt;&gt;"""",REGEXEXTRACT($T993, M$1&amp;""[\w &amp;]*, (\d+\.\d+)""),"""")
"),"")</f>
        <v/>
      </c>
      <c r="N993" s="3" t="str">
        <f aca="false">IFERROR(__xludf.dummyfunction("if($T993&lt;&gt;"""",REGEXEXTRACT(SUBSTITUTE ($T993,N$1&amp;"" CE"",""""), N$1&amp;""[\w &amp;]*, (\d+\.\d+)""),"""")
"),"")</f>
        <v/>
      </c>
      <c r="O993" s="3" t="str">
        <f aca="false">IFERROR(__xludf.dummyfunction("if($T993&lt;&gt;"""",REGEXEXTRACT($T993, O$1&amp;""[\w &amp;]*, (\d+\.\d+)""),"""")
"),"")</f>
        <v/>
      </c>
      <c r="P993" s="2"/>
      <c r="Q993" s="2"/>
      <c r="R993" s="2"/>
      <c r="S993" s="2"/>
      <c r="T993" s="5"/>
    </row>
    <row r="994" customFormat="false" ht="15.75" hidden="false" customHeight="false" outlineLevel="0" collapsed="false">
      <c r="A994" s="4"/>
      <c r="B994" s="2"/>
      <c r="C994" s="2"/>
      <c r="D994" s="2"/>
      <c r="E994" s="2"/>
      <c r="F994" s="3" t="str">
        <f aca="false">IFERROR(__xludf.dummyfunction("if($T994&lt;&gt;"""",REGEXEXTRACT(SUBSTITUTE ($T994,F$1&amp;"" CE"",""""), F$1&amp;""[\w &amp;]*, (\d+\.\d+)""),"""")
"),"")</f>
        <v/>
      </c>
      <c r="G994" s="3" t="str">
        <f aca="false">IFERROR(__xludf.dummyfunction("if($T994&lt;&gt;"""",REGEXEXTRACT($T994, G$1&amp;""[\w &amp;]*, (\d+\.\d+)""),"""")
"),"")</f>
        <v/>
      </c>
      <c r="H994" s="3"/>
      <c r="I994" s="3" t="str">
        <f aca="false">IFERROR(__xludf.dummyfunction("if($T994&lt;&gt;"""",REGEXEXTRACT(SUBSTITUTE ($T994,I$1&amp;"" CE"",""""), I$1&amp;""[\w &amp;]*, (\d+\.\d+)""),"""")
"),"")</f>
        <v/>
      </c>
      <c r="J994" s="3" t="str">
        <f aca="false">IFERROR(__xludf.dummyfunction("if($T994&lt;&gt;"""",REGEXEXTRACT($T994, J$1&amp;""[\w &amp;]*, (\d+\.\d+)""),"""")
"),"")</f>
        <v/>
      </c>
      <c r="K994" s="3"/>
      <c r="L994" s="3" t="str">
        <f aca="false">IFERROR(__xludf.dummyfunction("if($T994&lt;&gt;"""",REGEXEXTRACT(SUBSTITUTE ($T994,L$1&amp;"" CE"",""""), L$1&amp;""[\w &amp;]*, (\d+\.\d+)""),"""")
"),"")</f>
        <v/>
      </c>
      <c r="M994" s="3" t="str">
        <f aca="false">IFERROR(__xludf.dummyfunction("if($T994&lt;&gt;"""",REGEXEXTRACT($T994, M$1&amp;""[\w &amp;]*, (\d+\.\d+)""),"""")
"),"")</f>
        <v/>
      </c>
      <c r="N994" s="3" t="str">
        <f aca="false">IFERROR(__xludf.dummyfunction("if($T994&lt;&gt;"""",REGEXEXTRACT(SUBSTITUTE ($T994,N$1&amp;"" CE"",""""), N$1&amp;""[\w &amp;]*, (\d+\.\d+)""),"""")
"),"")</f>
        <v/>
      </c>
      <c r="O994" s="3" t="str">
        <f aca="false">IFERROR(__xludf.dummyfunction("if($T994&lt;&gt;"""",REGEXEXTRACT($T994, O$1&amp;""[\w &amp;]*, (\d+\.\d+)""),"""")
"),"")</f>
        <v/>
      </c>
      <c r="P994" s="2"/>
      <c r="Q994" s="2"/>
      <c r="R994" s="2"/>
      <c r="S994" s="2"/>
      <c r="T994" s="5"/>
    </row>
    <row r="995" customFormat="false" ht="15.75" hidden="false" customHeight="false" outlineLevel="0" collapsed="false">
      <c r="A995" s="4"/>
      <c r="B995" s="2"/>
      <c r="C995" s="2"/>
      <c r="D995" s="2"/>
      <c r="E995" s="2"/>
      <c r="F995" s="3" t="str">
        <f aca="false">IFERROR(__xludf.dummyfunction("if($T995&lt;&gt;"""",REGEXEXTRACT(SUBSTITUTE ($T995,F$1&amp;"" CE"",""""), F$1&amp;""[\w &amp;]*, (\d+\.\d+)""),"""")
"),"")</f>
        <v/>
      </c>
      <c r="G995" s="3" t="str">
        <f aca="false">IFERROR(__xludf.dummyfunction("if($T995&lt;&gt;"""",REGEXEXTRACT($T995, G$1&amp;""[\w &amp;]*, (\d+\.\d+)""),"""")
"),"")</f>
        <v/>
      </c>
      <c r="H995" s="3"/>
      <c r="I995" s="3" t="str">
        <f aca="false">IFERROR(__xludf.dummyfunction("if($T995&lt;&gt;"""",REGEXEXTRACT(SUBSTITUTE ($T995,I$1&amp;"" CE"",""""), I$1&amp;""[\w &amp;]*, (\d+\.\d+)""),"""")
"),"")</f>
        <v/>
      </c>
      <c r="J995" s="3" t="str">
        <f aca="false">IFERROR(__xludf.dummyfunction("if($T995&lt;&gt;"""",REGEXEXTRACT($T995, J$1&amp;""[\w &amp;]*, (\d+\.\d+)""),"""")
"),"")</f>
        <v/>
      </c>
      <c r="K995" s="3"/>
      <c r="L995" s="3" t="str">
        <f aca="false">IFERROR(__xludf.dummyfunction("if($T995&lt;&gt;"""",REGEXEXTRACT(SUBSTITUTE ($T995,L$1&amp;"" CE"",""""), L$1&amp;""[\w &amp;]*, (\d+\.\d+)""),"""")
"),"")</f>
        <v/>
      </c>
      <c r="M995" s="3" t="str">
        <f aca="false">IFERROR(__xludf.dummyfunction("if($T995&lt;&gt;"""",REGEXEXTRACT($T995, M$1&amp;""[\w &amp;]*, (\d+\.\d+)""),"""")
"),"")</f>
        <v/>
      </c>
      <c r="N995" s="3" t="str">
        <f aca="false">IFERROR(__xludf.dummyfunction("if($T995&lt;&gt;"""",REGEXEXTRACT(SUBSTITUTE ($T995,N$1&amp;"" CE"",""""), N$1&amp;""[\w &amp;]*, (\d+\.\d+)""),"""")
"),"")</f>
        <v/>
      </c>
      <c r="O995" s="3" t="str">
        <f aca="false">IFERROR(__xludf.dummyfunction("if($T995&lt;&gt;"""",REGEXEXTRACT($T995, O$1&amp;""[\w &amp;]*, (\d+\.\d+)""),"""")
"),"")</f>
        <v/>
      </c>
      <c r="P995" s="2"/>
      <c r="Q995" s="2"/>
      <c r="R995" s="2"/>
      <c r="S995" s="2"/>
      <c r="T995" s="5"/>
    </row>
    <row r="996" customFormat="false" ht="15.75" hidden="false" customHeight="false" outlineLevel="0" collapsed="false">
      <c r="A996" s="4"/>
      <c r="B996" s="2"/>
      <c r="C996" s="2"/>
      <c r="D996" s="2"/>
      <c r="E996" s="2"/>
      <c r="F996" s="3" t="str">
        <f aca="false">IFERROR(__xludf.dummyfunction("if($T996&lt;&gt;"""",REGEXEXTRACT(SUBSTITUTE ($T996,F$1&amp;"" CE"",""""), F$1&amp;""[\w &amp;]*, (\d+\.\d+)""),"""")
"),"")</f>
        <v/>
      </c>
      <c r="G996" s="3" t="str">
        <f aca="false">IFERROR(__xludf.dummyfunction("if($T996&lt;&gt;"""",REGEXEXTRACT($T996, G$1&amp;""[\w &amp;]*, (\d+\.\d+)""),"""")
"),"")</f>
        <v/>
      </c>
      <c r="H996" s="3"/>
      <c r="I996" s="3" t="str">
        <f aca="false">IFERROR(__xludf.dummyfunction("if($T996&lt;&gt;"""",REGEXEXTRACT(SUBSTITUTE ($T996,I$1&amp;"" CE"",""""), I$1&amp;""[\w &amp;]*, (\d+\.\d+)""),"""")
"),"")</f>
        <v/>
      </c>
      <c r="J996" s="3" t="str">
        <f aca="false">IFERROR(__xludf.dummyfunction("if($T996&lt;&gt;"""",REGEXEXTRACT($T996, J$1&amp;""[\w &amp;]*, (\d+\.\d+)""),"""")
"),"")</f>
        <v/>
      </c>
      <c r="K996" s="3"/>
      <c r="L996" s="3" t="str">
        <f aca="false">IFERROR(__xludf.dummyfunction("if($T996&lt;&gt;"""",REGEXEXTRACT(SUBSTITUTE ($T996,L$1&amp;"" CE"",""""), L$1&amp;""[\w &amp;]*, (\d+\.\d+)""),"""")
"),"")</f>
        <v/>
      </c>
      <c r="M996" s="3" t="str">
        <f aca="false">IFERROR(__xludf.dummyfunction("if($T996&lt;&gt;"""",REGEXEXTRACT($T996, M$1&amp;""[\w &amp;]*, (\d+\.\d+)""),"""")
"),"")</f>
        <v/>
      </c>
      <c r="N996" s="3" t="str">
        <f aca="false">IFERROR(__xludf.dummyfunction("if($T996&lt;&gt;"""",REGEXEXTRACT(SUBSTITUTE ($T996,N$1&amp;"" CE"",""""), N$1&amp;""[\w &amp;]*, (\d+\.\d+)""),"""")
"),"")</f>
        <v/>
      </c>
      <c r="O996" s="3" t="str">
        <f aca="false">IFERROR(__xludf.dummyfunction("if($T996&lt;&gt;"""",REGEXEXTRACT($T996, O$1&amp;""[\w &amp;]*, (\d+\.\d+)""),"""")
"),"")</f>
        <v/>
      </c>
      <c r="P996" s="2"/>
      <c r="Q996" s="2"/>
      <c r="R996" s="2"/>
      <c r="S996" s="2"/>
      <c r="T996" s="5"/>
    </row>
    <row r="997" customFormat="false" ht="15.75" hidden="false" customHeight="false" outlineLevel="0" collapsed="false">
      <c r="A997" s="4"/>
      <c r="B997" s="2"/>
      <c r="C997" s="2"/>
      <c r="D997" s="2"/>
      <c r="E997" s="2"/>
      <c r="F997" s="3" t="str">
        <f aca="false">IFERROR(__xludf.dummyfunction("if($T997&lt;&gt;"""",REGEXEXTRACT(SUBSTITUTE ($T997,F$1&amp;"" CE"",""""), F$1&amp;""[\w &amp;]*, (\d+\.\d+)""),"""")
"),"")</f>
        <v/>
      </c>
      <c r="G997" s="3" t="str">
        <f aca="false">IFERROR(__xludf.dummyfunction("if($T997&lt;&gt;"""",REGEXEXTRACT($T997, G$1&amp;""[\w &amp;]*, (\d+\.\d+)""),"""")
"),"")</f>
        <v/>
      </c>
      <c r="H997" s="3"/>
      <c r="I997" s="3" t="str">
        <f aca="false">IFERROR(__xludf.dummyfunction("if($T997&lt;&gt;"""",REGEXEXTRACT(SUBSTITUTE ($T997,I$1&amp;"" CE"",""""), I$1&amp;""[\w &amp;]*, (\d+\.\d+)""),"""")
"),"")</f>
        <v/>
      </c>
      <c r="J997" s="3" t="str">
        <f aca="false">IFERROR(__xludf.dummyfunction("if($T997&lt;&gt;"""",REGEXEXTRACT($T997, J$1&amp;""[\w &amp;]*, (\d+\.\d+)""),"""")
"),"")</f>
        <v/>
      </c>
      <c r="K997" s="3"/>
      <c r="L997" s="3" t="str">
        <f aca="false">IFERROR(__xludf.dummyfunction("if($T997&lt;&gt;"""",REGEXEXTRACT(SUBSTITUTE ($T997,L$1&amp;"" CE"",""""), L$1&amp;""[\w &amp;]*, (\d+\.\d+)""),"""")
"),"")</f>
        <v/>
      </c>
      <c r="M997" s="3" t="str">
        <f aca="false">IFERROR(__xludf.dummyfunction("if($T997&lt;&gt;"""",REGEXEXTRACT($T997, M$1&amp;""[\w &amp;]*, (\d+\.\d+)""),"""")
"),"")</f>
        <v/>
      </c>
      <c r="N997" s="3" t="str">
        <f aca="false">IFERROR(__xludf.dummyfunction("if($T997&lt;&gt;"""",REGEXEXTRACT(SUBSTITUTE ($T997,N$1&amp;"" CE"",""""), N$1&amp;""[\w &amp;]*, (\d+\.\d+)""),"""")
"),"")</f>
        <v/>
      </c>
      <c r="O997" s="3" t="str">
        <f aca="false">IFERROR(__xludf.dummyfunction("if($T997&lt;&gt;"""",REGEXEXTRACT($T997, O$1&amp;""[\w &amp;]*, (\d+\.\d+)""),"""")
"),"")</f>
        <v/>
      </c>
      <c r="P997" s="2"/>
      <c r="Q997" s="2"/>
      <c r="R997" s="2"/>
      <c r="S997" s="2"/>
      <c r="T997" s="5"/>
    </row>
    <row r="998" customFormat="false" ht="15.75" hidden="false" customHeight="false" outlineLevel="0" collapsed="false">
      <c r="A998" s="4"/>
      <c r="B998" s="2"/>
      <c r="C998" s="2"/>
      <c r="D998" s="2"/>
      <c r="E998" s="2"/>
      <c r="F998" s="3" t="str">
        <f aca="false">IFERROR(__xludf.dummyfunction("if($T998&lt;&gt;"""",REGEXEXTRACT(SUBSTITUTE ($T998,F$1&amp;"" CE"",""""), F$1&amp;""[\w &amp;]*, (\d+\.\d+)""),"""")
"),"")</f>
        <v/>
      </c>
      <c r="G998" s="3" t="str">
        <f aca="false">IFERROR(__xludf.dummyfunction("if($T998&lt;&gt;"""",REGEXEXTRACT($T998, G$1&amp;""[\w &amp;]*, (\d+\.\d+)""),"""")
"),"")</f>
        <v/>
      </c>
      <c r="H998" s="3"/>
      <c r="I998" s="3" t="str">
        <f aca="false">IFERROR(__xludf.dummyfunction("if($T998&lt;&gt;"""",REGEXEXTRACT(SUBSTITUTE ($T998,I$1&amp;"" CE"",""""), I$1&amp;""[\w &amp;]*, (\d+\.\d+)""),"""")
"),"")</f>
        <v/>
      </c>
      <c r="J998" s="3" t="str">
        <f aca="false">IFERROR(__xludf.dummyfunction("if($T998&lt;&gt;"""",REGEXEXTRACT($T998, J$1&amp;""[\w &amp;]*, (\d+\.\d+)""),"""")
"),"")</f>
        <v/>
      </c>
      <c r="K998" s="3"/>
      <c r="L998" s="3" t="str">
        <f aca="false">IFERROR(__xludf.dummyfunction("if($T998&lt;&gt;"""",REGEXEXTRACT(SUBSTITUTE ($T998,L$1&amp;"" CE"",""""), L$1&amp;""[\w &amp;]*, (\d+\.\d+)""),"""")
"),"")</f>
        <v/>
      </c>
      <c r="M998" s="3" t="str">
        <f aca="false">IFERROR(__xludf.dummyfunction("if($T998&lt;&gt;"""",REGEXEXTRACT($T998, M$1&amp;""[\w &amp;]*, (\d+\.\d+)""),"""")
"),"")</f>
        <v/>
      </c>
      <c r="N998" s="3" t="str">
        <f aca="false">IFERROR(__xludf.dummyfunction("if($T998&lt;&gt;"""",REGEXEXTRACT(SUBSTITUTE ($T998,N$1&amp;"" CE"",""""), N$1&amp;""[\w &amp;]*, (\d+\.\d+)""),"""")
"),"")</f>
        <v/>
      </c>
      <c r="O998" s="3" t="str">
        <f aca="false">IFERROR(__xludf.dummyfunction("if($T998&lt;&gt;"""",REGEXEXTRACT($T998, O$1&amp;""[\w &amp;]*, (\d+\.\d+)""),"""")
"),"")</f>
        <v/>
      </c>
      <c r="P998" s="2"/>
      <c r="Q998" s="2"/>
      <c r="R998" s="2"/>
      <c r="S998" s="2"/>
      <c r="T998" s="5"/>
    </row>
    <row r="999" customFormat="false" ht="15.75" hidden="false" customHeight="false" outlineLevel="0" collapsed="false">
      <c r="A999" s="4"/>
      <c r="B999" s="2"/>
      <c r="C999" s="2"/>
      <c r="D999" s="2"/>
      <c r="E999" s="2"/>
      <c r="F999" s="3" t="str">
        <f aca="false">IFERROR(__xludf.dummyfunction("if($T999&lt;&gt;"""",REGEXEXTRACT(SUBSTITUTE ($T999,F$1&amp;"" CE"",""""), F$1&amp;""[\w &amp;]*, (\d+\.\d+)""),"""")
"),"")</f>
        <v/>
      </c>
      <c r="G999" s="3" t="str">
        <f aca="false">IFERROR(__xludf.dummyfunction("if($T999&lt;&gt;"""",REGEXEXTRACT($T999, G$1&amp;""[\w &amp;]*, (\d+\.\d+)""),"""")
"),"")</f>
        <v/>
      </c>
      <c r="H999" s="3"/>
      <c r="I999" s="3" t="str">
        <f aca="false">IFERROR(__xludf.dummyfunction("if($T999&lt;&gt;"""",REGEXEXTRACT(SUBSTITUTE ($T999,I$1&amp;"" CE"",""""), I$1&amp;""[\w &amp;]*, (\d+\.\d+)""),"""")
"),"")</f>
        <v/>
      </c>
      <c r="J999" s="3" t="str">
        <f aca="false">IFERROR(__xludf.dummyfunction("if($T999&lt;&gt;"""",REGEXEXTRACT($T999, J$1&amp;""[\w &amp;]*, (\d+\.\d+)""),"""")
"),"")</f>
        <v/>
      </c>
      <c r="K999" s="3"/>
      <c r="L999" s="3" t="str">
        <f aca="false">IFERROR(__xludf.dummyfunction("if($T999&lt;&gt;"""",REGEXEXTRACT(SUBSTITUTE ($T999,L$1&amp;"" CE"",""""), L$1&amp;""[\w &amp;]*, (\d+\.\d+)""),"""")
"),"")</f>
        <v/>
      </c>
      <c r="M999" s="3" t="str">
        <f aca="false">IFERROR(__xludf.dummyfunction("if($T999&lt;&gt;"""",REGEXEXTRACT($T999, M$1&amp;""[\w &amp;]*, (\d+\.\d+)""),"""")
"),"")</f>
        <v/>
      </c>
      <c r="N999" s="3" t="str">
        <f aca="false">IFERROR(__xludf.dummyfunction("if($T999&lt;&gt;"""",REGEXEXTRACT(SUBSTITUTE ($T999,N$1&amp;"" CE"",""""), N$1&amp;""[\w &amp;]*, (\d+\.\d+)""),"""")
"),"")</f>
        <v/>
      </c>
      <c r="O999" s="3" t="str">
        <f aca="false">IFERROR(__xludf.dummyfunction("if($T999&lt;&gt;"""",REGEXEXTRACT($T999, O$1&amp;""[\w &amp;]*, (\d+\.\d+)""),"""")
"),"")</f>
        <v/>
      </c>
      <c r="P999" s="2"/>
      <c r="Q999" s="2"/>
      <c r="R999" s="2"/>
      <c r="S999" s="2"/>
      <c r="T999" s="5"/>
    </row>
    <row r="1000" customFormat="false" ht="15.75" hidden="false" customHeight="false" outlineLevel="0" collapsed="false">
      <c r="A1000" s="4"/>
      <c r="B1000" s="2"/>
      <c r="C1000" s="2"/>
      <c r="D1000" s="2"/>
      <c r="E1000" s="2"/>
      <c r="F1000" s="3" t="str">
        <f aca="false">IFERROR(__xludf.dummyfunction("if($T1000&lt;&gt;"""",REGEXEXTRACT(SUBSTITUTE ($T1000,F$1&amp;"" CE"",""""), F$1&amp;""[\w &amp;]*, (\d+\.\d+)""),"""")
"),"")</f>
        <v/>
      </c>
      <c r="G1000" s="3" t="str">
        <f aca="false">IFERROR(__xludf.dummyfunction("if($T1000&lt;&gt;"""",REGEXEXTRACT($T1000, G$1&amp;""[\w &amp;]*, (\d+\.\d+)""),"""")
"),"")</f>
        <v/>
      </c>
      <c r="H1000" s="3"/>
      <c r="I1000" s="3" t="str">
        <f aca="false">IFERROR(__xludf.dummyfunction("if($T1000&lt;&gt;"""",REGEXEXTRACT(SUBSTITUTE ($T1000,I$1&amp;"" CE"",""""), I$1&amp;""[\w &amp;]*, (\d+\.\d+)""),"""")
"),"")</f>
        <v/>
      </c>
      <c r="J1000" s="3" t="str">
        <f aca="false">IFERROR(__xludf.dummyfunction("if($T1000&lt;&gt;"""",REGEXEXTRACT($T1000, J$1&amp;""[\w &amp;]*, (\d+\.\d+)""),"""")
"),"")</f>
        <v/>
      </c>
      <c r="K1000" s="3"/>
      <c r="L1000" s="3" t="str">
        <f aca="false">IFERROR(__xludf.dummyfunction("if($T1000&lt;&gt;"""",REGEXEXTRACT(SUBSTITUTE ($T1000,L$1&amp;"" CE"",""""), L$1&amp;""[\w &amp;]*, (\d+\.\d+)""),"""")
"),"")</f>
        <v/>
      </c>
      <c r="M1000" s="3" t="str">
        <f aca="false">IFERROR(__xludf.dummyfunction("if($T1000&lt;&gt;"""",REGEXEXTRACT($T1000, M$1&amp;""[\w &amp;]*, (\d+\.\d+)""),"""")
"),"")</f>
        <v/>
      </c>
      <c r="N1000" s="3" t="str">
        <f aca="false">IFERROR(__xludf.dummyfunction("if($T1000&lt;&gt;"""",REGEXEXTRACT(SUBSTITUTE ($T1000,N$1&amp;"" CE"",""""), N$1&amp;""[\w &amp;]*, (\d+\.\d+)""),"""")
"),"")</f>
        <v/>
      </c>
      <c r="O1000" s="3" t="str">
        <f aca="false">IFERROR(__xludf.dummyfunction("if($T1000&lt;&gt;"""",REGEXEXTRACT($T1000, O$1&amp;""[\w &amp;]*, (\d+\.\d+)""),"""")
"),"")</f>
        <v/>
      </c>
      <c r="P1000" s="2"/>
      <c r="Q1000" s="2"/>
      <c r="R1000" s="2"/>
      <c r="S1000" s="2"/>
      <c r="T1000" s="5"/>
    </row>
    <row r="1001" customFormat="false" ht="15.75" hidden="false" customHeight="false" outlineLevel="0" collapsed="false">
      <c r="A1001" s="4"/>
      <c r="B1001" s="2"/>
      <c r="C1001" s="2"/>
      <c r="D1001" s="2"/>
      <c r="E1001" s="2"/>
      <c r="F1001" s="3" t="str">
        <f aca="false">IFERROR(__xludf.dummyfunction("if($T1001&lt;&gt;"""",REGEXEXTRACT(SUBSTITUTE ($T1001,F$1&amp;"" CE"",""""), F$1&amp;""[\w &amp;]*, (\d+\.\d+)""),"""")
"),"")</f>
        <v/>
      </c>
      <c r="G1001" s="3" t="str">
        <f aca="false">IFERROR(__xludf.dummyfunction("if($T1001&lt;&gt;"""",REGEXEXTRACT($T1001, G$1&amp;""[\w &amp;]*, (\d+\.\d+)""),"""")
"),"")</f>
        <v/>
      </c>
      <c r="H1001" s="3"/>
      <c r="I1001" s="3" t="str">
        <f aca="false">IFERROR(__xludf.dummyfunction("if($T1001&lt;&gt;"""",REGEXEXTRACT(SUBSTITUTE ($T1001,I$1&amp;"" CE"",""""), I$1&amp;""[\w &amp;]*, (\d+\.\d+)""),"""")
"),"")</f>
        <v/>
      </c>
      <c r="J1001" s="3" t="str">
        <f aca="false">IFERROR(__xludf.dummyfunction("if($T1001&lt;&gt;"""",REGEXEXTRACT($T1001, J$1&amp;""[\w &amp;]*, (\d+\.\d+)""),"""")
"),"")</f>
        <v/>
      </c>
      <c r="K1001" s="3"/>
      <c r="L1001" s="3" t="str">
        <f aca="false">IFERROR(__xludf.dummyfunction("if($T1001&lt;&gt;"""",REGEXEXTRACT(SUBSTITUTE ($T1001,L$1&amp;"" CE"",""""), L$1&amp;""[\w &amp;]*, (\d+\.\d+)""),"""")
"),"")</f>
        <v/>
      </c>
      <c r="M1001" s="3" t="str">
        <f aca="false">IFERROR(__xludf.dummyfunction("if($T1001&lt;&gt;"""",REGEXEXTRACT($T1001, M$1&amp;""[\w &amp;]*, (\d+\.\d+)""),"""")
"),"")</f>
        <v/>
      </c>
      <c r="N1001" s="3" t="str">
        <f aca="false">IFERROR(__xludf.dummyfunction("if($T1001&lt;&gt;"""",REGEXEXTRACT(SUBSTITUTE ($T1001,N$1&amp;"" CE"",""""), N$1&amp;""[\w &amp;]*, (\d+\.\d+)""),"""")
"),"")</f>
        <v/>
      </c>
      <c r="O1001" s="3" t="str">
        <f aca="false">IFERROR(__xludf.dummyfunction("if($T1001&lt;&gt;"""",REGEXEXTRACT($T1001, O$1&amp;""[\w &amp;]*, (\d+\.\d+)""),"""")
"),"")</f>
        <v/>
      </c>
      <c r="P1001" s="2"/>
      <c r="Q1001" s="2"/>
      <c r="R1001" s="2"/>
      <c r="S1001" s="2"/>
      <c r="T1001" s="5"/>
    </row>
    <row r="1002" customFormat="false" ht="15.75" hidden="false" customHeight="false" outlineLevel="0" collapsed="false">
      <c r="A1002" s="4"/>
      <c r="B1002" s="2"/>
      <c r="C1002" s="2"/>
      <c r="D1002" s="2"/>
      <c r="E1002" s="2"/>
      <c r="F1002" s="3" t="str">
        <f aca="false">IFERROR(__xludf.dummyfunction("if($T1002&lt;&gt;"""",REGEXEXTRACT(SUBSTITUTE ($T1002,F$1&amp;"" CE"",""""), F$1&amp;""[\w &amp;]*, (\d+\.\d+)""),"""")
"),"")</f>
        <v/>
      </c>
      <c r="G1002" s="3" t="str">
        <f aca="false">IFERROR(__xludf.dummyfunction("if($T1002&lt;&gt;"""",REGEXEXTRACT($T1002, G$1&amp;""[\w &amp;]*, (\d+\.\d+)""),"""")
"),"")</f>
        <v/>
      </c>
      <c r="H1002" s="3"/>
      <c r="I1002" s="3" t="str">
        <f aca="false">IFERROR(__xludf.dummyfunction("if($T1002&lt;&gt;"""",REGEXEXTRACT(SUBSTITUTE ($T1002,I$1&amp;"" CE"",""""), I$1&amp;""[\w &amp;]*, (\d+\.\d+)""),"""")
"),"")</f>
        <v/>
      </c>
      <c r="J1002" s="3" t="str">
        <f aca="false">IFERROR(__xludf.dummyfunction("if($T1002&lt;&gt;"""",REGEXEXTRACT($T1002, J$1&amp;""[\w &amp;]*, (\d+\.\d+)""),"""")
"),"")</f>
        <v/>
      </c>
      <c r="K1002" s="3"/>
      <c r="L1002" s="3" t="str">
        <f aca="false">IFERROR(__xludf.dummyfunction("if($T1002&lt;&gt;"""",REGEXEXTRACT(SUBSTITUTE ($T1002,L$1&amp;"" CE"",""""), L$1&amp;""[\w &amp;]*, (\d+\.\d+)""),"""")
"),"")</f>
        <v/>
      </c>
      <c r="M1002" s="3" t="str">
        <f aca="false">IFERROR(__xludf.dummyfunction("if($T1002&lt;&gt;"""",REGEXEXTRACT($T1002, M$1&amp;""[\w &amp;]*, (\d+\.\d+)""),"""")
"),"")</f>
        <v/>
      </c>
      <c r="N1002" s="3" t="str">
        <f aca="false">IFERROR(__xludf.dummyfunction("if($T1002&lt;&gt;"""",REGEXEXTRACT(SUBSTITUTE ($T1002,N$1&amp;"" CE"",""""), N$1&amp;""[\w &amp;]*, (\d+\.\d+)""),"""")
"),"")</f>
        <v/>
      </c>
      <c r="O1002" s="3" t="str">
        <f aca="false">IFERROR(__xludf.dummyfunction("if($T1002&lt;&gt;"""",REGEXEXTRACT($T1002, O$1&amp;""[\w &amp;]*, (\d+\.\d+)""),"""")
"),"")</f>
        <v/>
      </c>
      <c r="P1002" s="2"/>
      <c r="Q1002" s="2"/>
      <c r="R1002" s="2"/>
      <c r="S1002" s="2"/>
      <c r="T1002" s="5"/>
    </row>
    <row r="1003" customFormat="false" ht="15.75" hidden="false" customHeight="false" outlineLevel="0" collapsed="false">
      <c r="A1003" s="4"/>
      <c r="B1003" s="2"/>
      <c r="C1003" s="2"/>
      <c r="D1003" s="2"/>
      <c r="E1003" s="2"/>
      <c r="F1003" s="3" t="str">
        <f aca="false">IFERROR(__xludf.dummyfunction("if($T1003&lt;&gt;"""",REGEXEXTRACT(SUBSTITUTE ($T1003,F$1&amp;"" CE"",""""), F$1&amp;""[\w &amp;]*, (\d+\.\d+)""),"""")
"),"")</f>
        <v/>
      </c>
      <c r="G1003" s="3" t="str">
        <f aca="false">IFERROR(__xludf.dummyfunction("if($T1003&lt;&gt;"""",REGEXEXTRACT($T1003, G$1&amp;""[\w &amp;]*, (\d+\.\d+)""),"""")
"),"")</f>
        <v/>
      </c>
      <c r="H1003" s="3"/>
      <c r="I1003" s="3" t="str">
        <f aca="false">IFERROR(__xludf.dummyfunction("if($T1003&lt;&gt;"""",REGEXEXTRACT(SUBSTITUTE ($T1003,I$1&amp;"" CE"",""""), I$1&amp;""[\w &amp;]*, (\d+\.\d+)""),"""")
"),"")</f>
        <v/>
      </c>
      <c r="J1003" s="3" t="str">
        <f aca="false">IFERROR(__xludf.dummyfunction("if($T1003&lt;&gt;"""",REGEXEXTRACT($T1003, J$1&amp;""[\w &amp;]*, (\d+\.\d+)""),"""")
"),"")</f>
        <v/>
      </c>
      <c r="K1003" s="3"/>
      <c r="L1003" s="3" t="str">
        <f aca="false">IFERROR(__xludf.dummyfunction("if($T1003&lt;&gt;"""",REGEXEXTRACT(SUBSTITUTE ($T1003,L$1&amp;"" CE"",""""), L$1&amp;""[\w &amp;]*, (\d+\.\d+)""),"""")
"),"")</f>
        <v/>
      </c>
      <c r="M1003" s="3" t="str">
        <f aca="false">IFERROR(__xludf.dummyfunction("if($T1003&lt;&gt;"""",REGEXEXTRACT($T1003, M$1&amp;""[\w &amp;]*, (\d+\.\d+)""),"""")
"),"")</f>
        <v/>
      </c>
      <c r="N1003" s="3" t="str">
        <f aca="false">IFERROR(__xludf.dummyfunction("if($T1003&lt;&gt;"""",REGEXEXTRACT(SUBSTITUTE ($T1003,N$1&amp;"" CE"",""""), N$1&amp;""[\w &amp;]*, (\d+\.\d+)""),"""")
"),"")</f>
        <v/>
      </c>
      <c r="O1003" s="3" t="str">
        <f aca="false">IFERROR(__xludf.dummyfunction("if($T1003&lt;&gt;"""",REGEXEXTRACT($T1003, O$1&amp;""[\w &amp;]*, (\d+\.\d+)""),"""")
"),"")</f>
        <v/>
      </c>
      <c r="P1003" s="2"/>
      <c r="Q1003" s="2"/>
      <c r="R1003" s="2"/>
      <c r="S1003" s="2"/>
      <c r="T1003" s="5"/>
    </row>
    <row r="1004" customFormat="false" ht="15.75" hidden="false" customHeight="false" outlineLevel="0" collapsed="false">
      <c r="A1004" s="4"/>
      <c r="B1004" s="2"/>
      <c r="C1004" s="2"/>
      <c r="D1004" s="2"/>
      <c r="E1004" s="2"/>
      <c r="F1004" s="3" t="str">
        <f aca="false">IFERROR(__xludf.dummyfunction("if($T1004&lt;&gt;"""",REGEXEXTRACT(SUBSTITUTE ($T1004,F$1&amp;"" CE"",""""), F$1&amp;""[\w &amp;]*, (\d+\.\d+)""),"""")
"),"")</f>
        <v/>
      </c>
      <c r="G1004" s="3" t="str">
        <f aca="false">IFERROR(__xludf.dummyfunction("if($T1004&lt;&gt;"""",REGEXEXTRACT($T1004, G$1&amp;""[\w &amp;]*, (\d+\.\d+)""),"""")
"),"")</f>
        <v/>
      </c>
      <c r="H1004" s="3"/>
      <c r="I1004" s="3" t="str">
        <f aca="false">IFERROR(__xludf.dummyfunction("if($T1004&lt;&gt;"""",REGEXEXTRACT(SUBSTITUTE ($T1004,I$1&amp;"" CE"",""""), I$1&amp;""[\w &amp;]*, (\d+\.\d+)""),"""")
"),"")</f>
        <v/>
      </c>
      <c r="J1004" s="3" t="str">
        <f aca="false">IFERROR(__xludf.dummyfunction("if($T1004&lt;&gt;"""",REGEXEXTRACT($T1004, J$1&amp;""[\w &amp;]*, (\d+\.\d+)""),"""")
"),"")</f>
        <v/>
      </c>
      <c r="K1004" s="3"/>
      <c r="L1004" s="3" t="str">
        <f aca="false">IFERROR(__xludf.dummyfunction("if($T1004&lt;&gt;"""",REGEXEXTRACT(SUBSTITUTE ($T1004,L$1&amp;"" CE"",""""), L$1&amp;""[\w &amp;]*, (\d+\.\d+)""),"""")
"),"")</f>
        <v/>
      </c>
      <c r="M1004" s="3" t="str">
        <f aca="false">IFERROR(__xludf.dummyfunction("if($T1004&lt;&gt;"""",REGEXEXTRACT($T1004, M$1&amp;""[\w &amp;]*, (\d+\.\d+)""),"""")
"),"")</f>
        <v/>
      </c>
      <c r="N1004" s="3" t="str">
        <f aca="false">IFERROR(__xludf.dummyfunction("if($T1004&lt;&gt;"""",REGEXEXTRACT(SUBSTITUTE ($T1004,N$1&amp;"" CE"",""""), N$1&amp;""[\w &amp;]*, (\d+\.\d+)""),"""")
"),"")</f>
        <v/>
      </c>
      <c r="O1004" s="3" t="str">
        <f aca="false">IFERROR(__xludf.dummyfunction("if($T1004&lt;&gt;"""",REGEXEXTRACT($T1004, O$1&amp;""[\w &amp;]*, (\d+\.\d+)""),"""")
"),"")</f>
        <v/>
      </c>
      <c r="P1004" s="2"/>
      <c r="Q1004" s="2"/>
      <c r="R1004" s="2"/>
      <c r="S1004" s="2"/>
      <c r="T1004" s="5"/>
    </row>
    <row r="1005" customFormat="false" ht="15.75" hidden="false" customHeight="false" outlineLevel="0" collapsed="false">
      <c r="A1005" s="4"/>
      <c r="B1005" s="2"/>
      <c r="C1005" s="2"/>
      <c r="D1005" s="2"/>
      <c r="E1005" s="2"/>
      <c r="F1005" s="3" t="str">
        <f aca="false">IFERROR(__xludf.dummyfunction("if($T1005&lt;&gt;"""",REGEXEXTRACT(SUBSTITUTE ($T1005,F$1&amp;"" CE"",""""), F$1&amp;""[\w &amp;]*, (\d+\.\d+)""),"""")
"),"")</f>
        <v/>
      </c>
      <c r="G1005" s="3" t="str">
        <f aca="false">IFERROR(__xludf.dummyfunction("if($T1005&lt;&gt;"""",REGEXEXTRACT($T1005, G$1&amp;""[\w &amp;]*, (\d+\.\d+)""),"""")
"),"")</f>
        <v/>
      </c>
      <c r="H1005" s="3"/>
      <c r="I1005" s="3" t="str">
        <f aca="false">IFERROR(__xludf.dummyfunction("if($T1005&lt;&gt;"""",REGEXEXTRACT(SUBSTITUTE ($T1005,I$1&amp;"" CE"",""""), I$1&amp;""[\w &amp;]*, (\d+\.\d+)""),"""")
"),"")</f>
        <v/>
      </c>
      <c r="J1005" s="3" t="str">
        <f aca="false">IFERROR(__xludf.dummyfunction("if($T1005&lt;&gt;"""",REGEXEXTRACT($T1005, J$1&amp;""[\w &amp;]*, (\d+\.\d+)""),"""")
"),"")</f>
        <v/>
      </c>
      <c r="K1005" s="3"/>
      <c r="L1005" s="3" t="str">
        <f aca="false">IFERROR(__xludf.dummyfunction("if($T1005&lt;&gt;"""",REGEXEXTRACT(SUBSTITUTE ($T1005,L$1&amp;"" CE"",""""), L$1&amp;""[\w &amp;]*, (\d+\.\d+)""),"""")
"),"")</f>
        <v/>
      </c>
      <c r="M1005" s="3" t="str">
        <f aca="false">IFERROR(__xludf.dummyfunction("if($T1005&lt;&gt;"""",REGEXEXTRACT($T1005, M$1&amp;""[\w &amp;]*, (\d+\.\d+)""),"""")
"),"")</f>
        <v/>
      </c>
      <c r="N1005" s="3" t="str">
        <f aca="false">IFERROR(__xludf.dummyfunction("if($T1005&lt;&gt;"""",REGEXEXTRACT(SUBSTITUTE ($T1005,N$1&amp;"" CE"",""""), N$1&amp;""[\w &amp;]*, (\d+\.\d+)""),"""")
"),"")</f>
        <v/>
      </c>
      <c r="O1005" s="3" t="str">
        <f aca="false">IFERROR(__xludf.dummyfunction("if($T1005&lt;&gt;"""",REGEXEXTRACT($T1005, O$1&amp;""[\w &amp;]*, (\d+\.\d+)""),"""")
"),"")</f>
        <v/>
      </c>
      <c r="P1005" s="2"/>
      <c r="Q1005" s="2"/>
      <c r="R1005" s="2"/>
      <c r="S1005" s="2"/>
      <c r="T1005" s="5"/>
    </row>
    <row r="1006" customFormat="false" ht="15.75" hidden="false" customHeight="false" outlineLevel="0" collapsed="false">
      <c r="A1006" s="4"/>
      <c r="B1006" s="2"/>
      <c r="C1006" s="2"/>
      <c r="D1006" s="2"/>
      <c r="E1006" s="2"/>
      <c r="F1006" s="3" t="str">
        <f aca="false">IFERROR(__xludf.dummyfunction("if($T1006&lt;&gt;"""",REGEXEXTRACT(SUBSTITUTE ($T1006,F$1&amp;"" CE"",""""), F$1&amp;""[\w &amp;]*, (\d+\.\d+)""),"""")
"),"")</f>
        <v/>
      </c>
      <c r="G1006" s="3" t="str">
        <f aca="false">IFERROR(__xludf.dummyfunction("if($T1006&lt;&gt;"""",REGEXEXTRACT($T1006, G$1&amp;""[\w &amp;]*, (\d+\.\d+)""),"""")
"),"")</f>
        <v/>
      </c>
      <c r="H1006" s="3"/>
      <c r="I1006" s="3" t="str">
        <f aca="false">IFERROR(__xludf.dummyfunction("if($T1006&lt;&gt;"""",REGEXEXTRACT(SUBSTITUTE ($T1006,I$1&amp;"" CE"",""""), I$1&amp;""[\w &amp;]*, (\d+\.\d+)""),"""")
"),"")</f>
        <v/>
      </c>
      <c r="J1006" s="3" t="str">
        <f aca="false">IFERROR(__xludf.dummyfunction("if($T1006&lt;&gt;"""",REGEXEXTRACT($T1006, J$1&amp;""[\w &amp;]*, (\d+\.\d+)""),"""")
"),"")</f>
        <v/>
      </c>
      <c r="K1006" s="3"/>
      <c r="L1006" s="3" t="str">
        <f aca="false">IFERROR(__xludf.dummyfunction("if($T1006&lt;&gt;"""",REGEXEXTRACT(SUBSTITUTE ($T1006,L$1&amp;"" CE"",""""), L$1&amp;""[\w &amp;]*, (\d+\.\d+)""),"""")
"),"")</f>
        <v/>
      </c>
      <c r="M1006" s="3" t="str">
        <f aca="false">IFERROR(__xludf.dummyfunction("if($T1006&lt;&gt;"""",REGEXEXTRACT($T1006, M$1&amp;""[\w &amp;]*, (\d+\.\d+)""),"""")
"),"")</f>
        <v/>
      </c>
      <c r="N1006" s="3" t="str">
        <f aca="false">IFERROR(__xludf.dummyfunction("if($T1006&lt;&gt;"""",REGEXEXTRACT(SUBSTITUTE ($T1006,N$1&amp;"" CE"",""""), N$1&amp;""[\w &amp;]*, (\d+\.\d+)""),"""")
"),"")</f>
        <v/>
      </c>
      <c r="O1006" s="3" t="str">
        <f aca="false">IFERROR(__xludf.dummyfunction("if($T1006&lt;&gt;"""",REGEXEXTRACT($T1006, O$1&amp;""[\w &amp;]*, (\d+\.\d+)""),"""")
"),"")</f>
        <v/>
      </c>
      <c r="P1006" s="2"/>
      <c r="Q1006" s="2"/>
      <c r="R1006" s="2"/>
      <c r="S1006" s="2"/>
      <c r="T1006" s="5"/>
    </row>
    <row r="1007" customFormat="false" ht="15.75" hidden="false" customHeight="false" outlineLevel="0" collapsed="false">
      <c r="A1007" s="4"/>
      <c r="B1007" s="2"/>
      <c r="C1007" s="2"/>
      <c r="D1007" s="2"/>
      <c r="E1007" s="2"/>
      <c r="F1007" s="3" t="str">
        <f aca="false">IFERROR(__xludf.dummyfunction("if($T1007&lt;&gt;"""",REGEXEXTRACT(SUBSTITUTE ($T1007,F$1&amp;"" CE"",""""), F$1&amp;""[\w &amp;]*, (\d+\.\d+)""),"""")
"),"")</f>
        <v/>
      </c>
      <c r="G1007" s="3" t="str">
        <f aca="false">IFERROR(__xludf.dummyfunction("if($T1007&lt;&gt;"""",REGEXEXTRACT($T1007, G$1&amp;""[\w &amp;]*, (\d+\.\d+)""),"""")
"),"")</f>
        <v/>
      </c>
      <c r="H1007" s="3"/>
      <c r="I1007" s="3" t="str">
        <f aca="false">IFERROR(__xludf.dummyfunction("if($T1007&lt;&gt;"""",REGEXEXTRACT(SUBSTITUTE ($T1007,I$1&amp;"" CE"",""""), I$1&amp;""[\w &amp;]*, (\d+\.\d+)""),"""")
"),"")</f>
        <v/>
      </c>
      <c r="J1007" s="3" t="str">
        <f aca="false">IFERROR(__xludf.dummyfunction("if($T1007&lt;&gt;"""",REGEXEXTRACT($T1007, J$1&amp;""[\w &amp;]*, (\d+\.\d+)""),"""")
"),"")</f>
        <v/>
      </c>
      <c r="K1007" s="3"/>
      <c r="L1007" s="3" t="str">
        <f aca="false">IFERROR(__xludf.dummyfunction("if($T1007&lt;&gt;"""",REGEXEXTRACT(SUBSTITUTE ($T1007,L$1&amp;"" CE"",""""), L$1&amp;""[\w &amp;]*, (\d+\.\d+)""),"""")
"),"")</f>
        <v/>
      </c>
      <c r="M1007" s="3" t="str">
        <f aca="false">IFERROR(__xludf.dummyfunction("if($T1007&lt;&gt;"""",REGEXEXTRACT($T1007, M$1&amp;""[\w &amp;]*, (\d+\.\d+)""),"""")
"),"")</f>
        <v/>
      </c>
      <c r="N1007" s="3" t="str">
        <f aca="false">IFERROR(__xludf.dummyfunction("if($T1007&lt;&gt;"""",REGEXEXTRACT(SUBSTITUTE ($T1007,N$1&amp;"" CE"",""""), N$1&amp;""[\w &amp;]*, (\d+\.\d+)""),"""")
"),"")</f>
        <v/>
      </c>
      <c r="O1007" s="3" t="str">
        <f aca="false">IFERROR(__xludf.dummyfunction("if($T1007&lt;&gt;"""",REGEXEXTRACT($T1007, O$1&amp;""[\w &amp;]*, (\d+\.\d+)""),"""")
"),"")</f>
        <v/>
      </c>
      <c r="P1007" s="2"/>
      <c r="Q1007" s="2"/>
      <c r="R1007" s="2"/>
      <c r="S1007" s="2"/>
      <c r="T1007" s="5"/>
    </row>
    <row r="1008" customFormat="false" ht="15.75" hidden="false" customHeight="false" outlineLevel="0" collapsed="false">
      <c r="A1008" s="4"/>
      <c r="B1008" s="2"/>
      <c r="C1008" s="2"/>
      <c r="D1008" s="2"/>
      <c r="E1008" s="2"/>
      <c r="F1008" s="3" t="str">
        <f aca="false">IFERROR(__xludf.dummyfunction("if($T1008&lt;&gt;"""",REGEXEXTRACT(SUBSTITUTE ($T1008,F$1&amp;"" CE"",""""), F$1&amp;""[\w &amp;]*, (\d+\.\d+)""),"""")
"),"")</f>
        <v/>
      </c>
      <c r="G1008" s="3" t="str">
        <f aca="false">IFERROR(__xludf.dummyfunction("if($T1008&lt;&gt;"""",REGEXEXTRACT($T1008, G$1&amp;""[\w &amp;]*, (\d+\.\d+)""),"""")
"),"")</f>
        <v/>
      </c>
      <c r="H1008" s="3"/>
      <c r="I1008" s="3" t="str">
        <f aca="false">IFERROR(__xludf.dummyfunction("if($T1008&lt;&gt;"""",REGEXEXTRACT(SUBSTITUTE ($T1008,I$1&amp;"" CE"",""""), I$1&amp;""[\w &amp;]*, (\d+\.\d+)""),"""")
"),"")</f>
        <v/>
      </c>
      <c r="J1008" s="3" t="str">
        <f aca="false">IFERROR(__xludf.dummyfunction("if($T1008&lt;&gt;"""",REGEXEXTRACT($T1008, J$1&amp;""[\w &amp;]*, (\d+\.\d+)""),"""")
"),"")</f>
        <v/>
      </c>
      <c r="K1008" s="3"/>
      <c r="L1008" s="3" t="str">
        <f aca="false">IFERROR(__xludf.dummyfunction("if($T1008&lt;&gt;"""",REGEXEXTRACT(SUBSTITUTE ($T1008,L$1&amp;"" CE"",""""), L$1&amp;""[\w &amp;]*, (\d+\.\d+)""),"""")
"),"")</f>
        <v/>
      </c>
      <c r="M1008" s="3" t="str">
        <f aca="false">IFERROR(__xludf.dummyfunction("if($T1008&lt;&gt;"""",REGEXEXTRACT($T1008, M$1&amp;""[\w &amp;]*, (\d+\.\d+)""),"""")
"),"")</f>
        <v/>
      </c>
      <c r="N1008" s="3" t="str">
        <f aca="false">IFERROR(__xludf.dummyfunction("if($T1008&lt;&gt;"""",REGEXEXTRACT(SUBSTITUTE ($T1008,N$1&amp;"" CE"",""""), N$1&amp;""[\w &amp;]*, (\d+\.\d+)""),"""")
"),"")</f>
        <v/>
      </c>
      <c r="O1008" s="3" t="str">
        <f aca="false">IFERROR(__xludf.dummyfunction("if($T1008&lt;&gt;"""",REGEXEXTRACT($T1008, O$1&amp;""[\w &amp;]*, (\d+\.\d+)""),"""")
"),"")</f>
        <v/>
      </c>
      <c r="P1008" s="2"/>
      <c r="Q1008" s="2"/>
      <c r="R1008" s="2"/>
      <c r="S1008" s="2"/>
      <c r="T1008" s="5"/>
    </row>
    <row r="1009" customFormat="false" ht="15.75" hidden="false" customHeight="false" outlineLevel="0" collapsed="false">
      <c r="A1009" s="4"/>
      <c r="B1009" s="2"/>
      <c r="C1009" s="2"/>
      <c r="D1009" s="2"/>
      <c r="E1009" s="2"/>
      <c r="F1009" s="3" t="str">
        <f aca="false">IFERROR(__xludf.dummyfunction("if($T1009&lt;&gt;"""",REGEXEXTRACT(SUBSTITUTE ($T1009,F$1&amp;"" CE"",""""), F$1&amp;""[\w &amp;]*, (\d+\.\d+)""),"""")
"),"")</f>
        <v/>
      </c>
      <c r="G1009" s="3" t="str">
        <f aca="false">IFERROR(__xludf.dummyfunction("if($T1009&lt;&gt;"""",REGEXEXTRACT($T1009, G$1&amp;""[\w &amp;]*, (\d+\.\d+)""),"""")
"),"")</f>
        <v/>
      </c>
      <c r="H1009" s="3"/>
      <c r="I1009" s="3" t="str">
        <f aca="false">IFERROR(__xludf.dummyfunction("if($T1009&lt;&gt;"""",REGEXEXTRACT(SUBSTITUTE ($T1009,I$1&amp;"" CE"",""""), I$1&amp;""[\w &amp;]*, (\d+\.\d+)""),"""")
"),"")</f>
        <v/>
      </c>
      <c r="J1009" s="3" t="str">
        <f aca="false">IFERROR(__xludf.dummyfunction("if($T1009&lt;&gt;"""",REGEXEXTRACT($T1009, J$1&amp;""[\w &amp;]*, (\d+\.\d+)""),"""")
"),"")</f>
        <v/>
      </c>
      <c r="K1009" s="3"/>
      <c r="L1009" s="3" t="str">
        <f aca="false">IFERROR(__xludf.dummyfunction("if($T1009&lt;&gt;"""",REGEXEXTRACT(SUBSTITUTE ($T1009,L$1&amp;"" CE"",""""), L$1&amp;""[\w &amp;]*, (\d+\.\d+)""),"""")
"),"")</f>
        <v/>
      </c>
      <c r="M1009" s="3" t="str">
        <f aca="false">IFERROR(__xludf.dummyfunction("if($T1009&lt;&gt;"""",REGEXEXTRACT($T1009, M$1&amp;""[\w &amp;]*, (\d+\.\d+)""),"""")
"),"")</f>
        <v/>
      </c>
      <c r="N1009" s="3" t="str">
        <f aca="false">IFERROR(__xludf.dummyfunction("if($T1009&lt;&gt;"""",REGEXEXTRACT(SUBSTITUTE ($T1009,N$1&amp;"" CE"",""""), N$1&amp;""[\w &amp;]*, (\d+\.\d+)""),"""")
"),"")</f>
        <v/>
      </c>
      <c r="O1009" s="3" t="str">
        <f aca="false">IFERROR(__xludf.dummyfunction("if($T1009&lt;&gt;"""",REGEXEXTRACT($T1009, O$1&amp;""[\w &amp;]*, (\d+\.\d+)""),"""")
"),"")</f>
        <v/>
      </c>
      <c r="P1009" s="2"/>
      <c r="Q1009" s="2"/>
      <c r="R1009" s="2"/>
      <c r="S1009" s="2"/>
      <c r="T1009" s="5"/>
    </row>
    <row r="1010" customFormat="false" ht="15.75" hidden="false" customHeight="false" outlineLevel="0" collapsed="false">
      <c r="A1010" s="4"/>
      <c r="B1010" s="2"/>
      <c r="C1010" s="2"/>
      <c r="D1010" s="2"/>
      <c r="E1010" s="2"/>
      <c r="F1010" s="3" t="str">
        <f aca="false">IFERROR(__xludf.dummyfunction("if($T1010&lt;&gt;"""",REGEXEXTRACT(SUBSTITUTE ($T1010,F$1&amp;"" CE"",""""), F$1&amp;""[\w &amp;]*, (\d+\.\d+)""),"""")
"),"")</f>
        <v/>
      </c>
      <c r="G1010" s="3" t="str">
        <f aca="false">IFERROR(__xludf.dummyfunction("if($T1010&lt;&gt;"""",REGEXEXTRACT($T1010, G$1&amp;""[\w &amp;]*, (\d+\.\d+)""),"""")
"),"")</f>
        <v/>
      </c>
      <c r="H1010" s="3"/>
      <c r="I1010" s="3" t="str">
        <f aca="false">IFERROR(__xludf.dummyfunction("if($T1010&lt;&gt;"""",REGEXEXTRACT(SUBSTITUTE ($T1010,I$1&amp;"" CE"",""""), I$1&amp;""[\w &amp;]*, (\d+\.\d+)""),"""")
"),"")</f>
        <v/>
      </c>
      <c r="J1010" s="3" t="str">
        <f aca="false">IFERROR(__xludf.dummyfunction("if($T1010&lt;&gt;"""",REGEXEXTRACT($T1010, J$1&amp;""[\w &amp;]*, (\d+\.\d+)""),"""")
"),"")</f>
        <v/>
      </c>
      <c r="K1010" s="3"/>
      <c r="L1010" s="3" t="str">
        <f aca="false">IFERROR(__xludf.dummyfunction("if($T1010&lt;&gt;"""",REGEXEXTRACT(SUBSTITUTE ($T1010,L$1&amp;"" CE"",""""), L$1&amp;""[\w &amp;]*, (\d+\.\d+)""),"""")
"),"")</f>
        <v/>
      </c>
      <c r="M1010" s="3" t="str">
        <f aca="false">IFERROR(__xludf.dummyfunction("if($T1010&lt;&gt;"""",REGEXEXTRACT($T1010, M$1&amp;""[\w &amp;]*, (\d+\.\d+)""),"""")
"),"")</f>
        <v/>
      </c>
      <c r="N1010" s="3" t="str">
        <f aca="false">IFERROR(__xludf.dummyfunction("if($T1010&lt;&gt;"""",REGEXEXTRACT(SUBSTITUTE ($T1010,N$1&amp;"" CE"",""""), N$1&amp;""[\w &amp;]*, (\d+\.\d+)""),"""")
"),"")</f>
        <v/>
      </c>
      <c r="O1010" s="3" t="str">
        <f aca="false">IFERROR(__xludf.dummyfunction("if($T1010&lt;&gt;"""",REGEXEXTRACT($T1010, O$1&amp;""[\w &amp;]*, (\d+\.\d+)""),"""")
"),"")</f>
        <v/>
      </c>
      <c r="P1010" s="2"/>
      <c r="Q1010" s="2"/>
      <c r="R1010" s="2"/>
      <c r="S1010" s="2"/>
      <c r="T1010" s="5"/>
    </row>
    <row r="1011" customFormat="false" ht="15.75" hidden="false" customHeight="false" outlineLevel="0" collapsed="false">
      <c r="A1011" s="4"/>
      <c r="B1011" s="2"/>
      <c r="C1011" s="2"/>
      <c r="D1011" s="2"/>
      <c r="E1011" s="2"/>
      <c r="F1011" s="3" t="str">
        <f aca="false">IFERROR(__xludf.dummyfunction("if($T1011&lt;&gt;"""",REGEXEXTRACT(SUBSTITUTE ($T1011,F$1&amp;"" CE"",""""), F$1&amp;""[\w &amp;]*, (\d+\.\d+)""),"""")
"),"")</f>
        <v/>
      </c>
      <c r="G1011" s="3" t="str">
        <f aca="false">IFERROR(__xludf.dummyfunction("if($T1011&lt;&gt;"""",REGEXEXTRACT($T1011, G$1&amp;""[\w &amp;]*, (\d+\.\d+)""),"""")
"),"")</f>
        <v/>
      </c>
      <c r="H1011" s="3"/>
      <c r="I1011" s="3" t="str">
        <f aca="false">IFERROR(__xludf.dummyfunction("if($T1011&lt;&gt;"""",REGEXEXTRACT(SUBSTITUTE ($T1011,I$1&amp;"" CE"",""""), I$1&amp;""[\w &amp;]*, (\d+\.\d+)""),"""")
"),"")</f>
        <v/>
      </c>
      <c r="J1011" s="3" t="str">
        <f aca="false">IFERROR(__xludf.dummyfunction("if($T1011&lt;&gt;"""",REGEXEXTRACT($T1011, J$1&amp;""[\w &amp;]*, (\d+\.\d+)""),"""")
"),"")</f>
        <v/>
      </c>
      <c r="K1011" s="3"/>
      <c r="L1011" s="3" t="str">
        <f aca="false">IFERROR(__xludf.dummyfunction("if($T1011&lt;&gt;"""",REGEXEXTRACT(SUBSTITUTE ($T1011,L$1&amp;"" CE"",""""), L$1&amp;""[\w &amp;]*, (\d+\.\d+)""),"""")
"),"")</f>
        <v/>
      </c>
      <c r="M1011" s="3" t="str">
        <f aca="false">IFERROR(__xludf.dummyfunction("if($T1011&lt;&gt;"""",REGEXEXTRACT($T1011, M$1&amp;""[\w &amp;]*, (\d+\.\d+)""),"""")
"),"")</f>
        <v/>
      </c>
      <c r="N1011" s="3" t="str">
        <f aca="false">IFERROR(__xludf.dummyfunction("if($T1011&lt;&gt;"""",REGEXEXTRACT(SUBSTITUTE ($T1011,N$1&amp;"" CE"",""""), N$1&amp;""[\w &amp;]*, (\d+\.\d+)""),"""")
"),"")</f>
        <v/>
      </c>
      <c r="O1011" s="3" t="str">
        <f aca="false">IFERROR(__xludf.dummyfunction("if($T1011&lt;&gt;"""",REGEXEXTRACT($T1011, O$1&amp;""[\w &amp;]*, (\d+\.\d+)""),"""")
"),"")</f>
        <v/>
      </c>
      <c r="P1011" s="2"/>
      <c r="Q1011" s="2"/>
      <c r="R1011" s="2"/>
      <c r="S1011" s="2"/>
      <c r="T1011" s="5"/>
    </row>
    <row r="1012" customFormat="false" ht="15.75" hidden="false" customHeight="false" outlineLevel="0" collapsed="false">
      <c r="A1012" s="4"/>
      <c r="B1012" s="2"/>
      <c r="C1012" s="2"/>
      <c r="D1012" s="2"/>
      <c r="E1012" s="2"/>
      <c r="F1012" s="3" t="str">
        <f aca="false">IFERROR(__xludf.dummyfunction("if($T1012&lt;&gt;"""",REGEXEXTRACT(SUBSTITUTE ($T1012,F$1&amp;"" CE"",""""), F$1&amp;""[\w &amp;]*, (\d+\.\d+)""),"""")
"),"")</f>
        <v/>
      </c>
      <c r="G1012" s="3" t="str">
        <f aca="false">IFERROR(__xludf.dummyfunction("if($T1012&lt;&gt;"""",REGEXEXTRACT($T1012, G$1&amp;""[\w &amp;]*, (\d+\.\d+)""),"""")
"),"")</f>
        <v/>
      </c>
      <c r="H1012" s="3"/>
      <c r="I1012" s="3" t="str">
        <f aca="false">IFERROR(__xludf.dummyfunction("if($T1012&lt;&gt;"""",REGEXEXTRACT(SUBSTITUTE ($T1012,I$1&amp;"" CE"",""""), I$1&amp;""[\w &amp;]*, (\d+\.\d+)""),"""")
"),"")</f>
        <v/>
      </c>
      <c r="J1012" s="3" t="str">
        <f aca="false">IFERROR(__xludf.dummyfunction("if($T1012&lt;&gt;"""",REGEXEXTRACT($T1012, J$1&amp;""[\w &amp;]*, (\d+\.\d+)""),"""")
"),"")</f>
        <v/>
      </c>
      <c r="K1012" s="3"/>
      <c r="L1012" s="3" t="str">
        <f aca="false">IFERROR(__xludf.dummyfunction("if($T1012&lt;&gt;"""",REGEXEXTRACT(SUBSTITUTE ($T1012,L$1&amp;"" CE"",""""), L$1&amp;""[\w &amp;]*, (\d+\.\d+)""),"""")
"),"")</f>
        <v/>
      </c>
      <c r="M1012" s="3" t="str">
        <f aca="false">IFERROR(__xludf.dummyfunction("if($T1012&lt;&gt;"""",REGEXEXTRACT($T1012, M$1&amp;""[\w &amp;]*, (\d+\.\d+)""),"""")
"),"")</f>
        <v/>
      </c>
      <c r="N1012" s="3" t="str">
        <f aca="false">IFERROR(__xludf.dummyfunction("if($T1012&lt;&gt;"""",REGEXEXTRACT(SUBSTITUTE ($T1012,N$1&amp;"" CE"",""""), N$1&amp;""[\w &amp;]*, (\d+\.\d+)""),"""")
"),"")</f>
        <v/>
      </c>
      <c r="O1012" s="3" t="str">
        <f aca="false">IFERROR(__xludf.dummyfunction("if($T1012&lt;&gt;"""",REGEXEXTRACT($T1012, O$1&amp;""[\w &amp;]*, (\d+\.\d+)""),"""")
"),"")</f>
        <v/>
      </c>
      <c r="P1012" s="2"/>
      <c r="Q1012" s="2"/>
      <c r="R1012" s="2"/>
      <c r="S1012" s="2"/>
      <c r="T1012" s="5"/>
    </row>
    <row r="1013" customFormat="false" ht="15.75" hidden="false" customHeight="false" outlineLevel="0" collapsed="false">
      <c r="A1013" s="4"/>
      <c r="B1013" s="2"/>
      <c r="C1013" s="2"/>
      <c r="D1013" s="2"/>
      <c r="E1013" s="2"/>
      <c r="F1013" s="3" t="str">
        <f aca="false">IFERROR(__xludf.dummyfunction("if($T1013&lt;&gt;"""",REGEXEXTRACT(SUBSTITUTE ($T1013,F$1&amp;"" CE"",""""), F$1&amp;""[\w &amp;]*, (\d+\.\d+)""),"""")
"),"")</f>
        <v/>
      </c>
      <c r="G1013" s="3" t="str">
        <f aca="false">IFERROR(__xludf.dummyfunction("if($T1013&lt;&gt;"""",REGEXEXTRACT($T1013, G$1&amp;""[\w &amp;]*, (\d+\.\d+)""),"""")
"),"")</f>
        <v/>
      </c>
      <c r="H1013" s="3"/>
      <c r="I1013" s="3" t="str">
        <f aca="false">IFERROR(__xludf.dummyfunction("if($T1013&lt;&gt;"""",REGEXEXTRACT(SUBSTITUTE ($T1013,I$1&amp;"" CE"",""""), I$1&amp;""[\w &amp;]*, (\d+\.\d+)""),"""")
"),"")</f>
        <v/>
      </c>
      <c r="J1013" s="3" t="str">
        <f aca="false">IFERROR(__xludf.dummyfunction("if($T1013&lt;&gt;"""",REGEXEXTRACT($T1013, J$1&amp;""[\w &amp;]*, (\d+\.\d+)""),"""")
"),"")</f>
        <v/>
      </c>
      <c r="K1013" s="3"/>
      <c r="L1013" s="3" t="str">
        <f aca="false">IFERROR(__xludf.dummyfunction("if($T1013&lt;&gt;"""",REGEXEXTRACT(SUBSTITUTE ($T1013,L$1&amp;"" CE"",""""), L$1&amp;""[\w &amp;]*, (\d+\.\d+)""),"""")
"),"")</f>
        <v/>
      </c>
      <c r="M1013" s="3" t="str">
        <f aca="false">IFERROR(__xludf.dummyfunction("if($T1013&lt;&gt;"""",REGEXEXTRACT($T1013, M$1&amp;""[\w &amp;]*, (\d+\.\d+)""),"""")
"),"")</f>
        <v/>
      </c>
      <c r="N1013" s="3" t="str">
        <f aca="false">IFERROR(__xludf.dummyfunction("if($T1013&lt;&gt;"""",REGEXEXTRACT(SUBSTITUTE ($T1013,N$1&amp;"" CE"",""""), N$1&amp;""[\w &amp;]*, (\d+\.\d+)""),"""")
"),"")</f>
        <v/>
      </c>
      <c r="O1013" s="3" t="str">
        <f aca="false">IFERROR(__xludf.dummyfunction("if($T1013&lt;&gt;"""",REGEXEXTRACT($T1013, O$1&amp;""[\w &amp;]*, (\d+\.\d+)""),"""")
"),"")</f>
        <v/>
      </c>
      <c r="P1013" s="2"/>
      <c r="Q1013" s="2"/>
      <c r="R1013" s="2"/>
      <c r="S1013" s="2"/>
      <c r="T1013" s="5"/>
    </row>
    <row r="1014" customFormat="false" ht="15.75" hidden="false" customHeight="false" outlineLevel="0" collapsed="false">
      <c r="A1014" s="4"/>
      <c r="B1014" s="2"/>
      <c r="C1014" s="2"/>
      <c r="D1014" s="2"/>
      <c r="E1014" s="2"/>
      <c r="F1014" s="3" t="str">
        <f aca="false">IFERROR(__xludf.dummyfunction("if($T1014&lt;&gt;"""",REGEXEXTRACT(SUBSTITUTE ($T1014,F$1&amp;"" CE"",""""), F$1&amp;""[\w &amp;]*, (\d+\.\d+)""),"""")
"),"")</f>
        <v/>
      </c>
      <c r="G1014" s="3" t="str">
        <f aca="false">IFERROR(__xludf.dummyfunction("if($T1014&lt;&gt;"""",REGEXEXTRACT($T1014, G$1&amp;""[\w &amp;]*, (\d+\.\d+)""),"""")
"),"")</f>
        <v/>
      </c>
      <c r="H1014" s="3"/>
      <c r="I1014" s="3" t="str">
        <f aca="false">IFERROR(__xludf.dummyfunction("if($T1014&lt;&gt;"""",REGEXEXTRACT(SUBSTITUTE ($T1014,I$1&amp;"" CE"",""""), I$1&amp;""[\w &amp;]*, (\d+\.\d+)""),"""")
"),"")</f>
        <v/>
      </c>
      <c r="J1014" s="3" t="str">
        <f aca="false">IFERROR(__xludf.dummyfunction("if($T1014&lt;&gt;"""",REGEXEXTRACT($T1014, J$1&amp;""[\w &amp;]*, (\d+\.\d+)""),"""")
"),"")</f>
        <v/>
      </c>
      <c r="K1014" s="3"/>
      <c r="L1014" s="3" t="str">
        <f aca="false">IFERROR(__xludf.dummyfunction("if($T1014&lt;&gt;"""",REGEXEXTRACT(SUBSTITUTE ($T1014,L$1&amp;"" CE"",""""), L$1&amp;""[\w &amp;]*, (\d+\.\d+)""),"""")
"),"")</f>
        <v/>
      </c>
      <c r="M1014" s="3" t="str">
        <f aca="false">IFERROR(__xludf.dummyfunction("if($T1014&lt;&gt;"""",REGEXEXTRACT($T1014, M$1&amp;""[\w &amp;]*, (\d+\.\d+)""),"""")
"),"")</f>
        <v/>
      </c>
      <c r="N1014" s="3" t="str">
        <f aca="false">IFERROR(__xludf.dummyfunction("if($T1014&lt;&gt;"""",REGEXEXTRACT(SUBSTITUTE ($T1014,N$1&amp;"" CE"",""""), N$1&amp;""[\w &amp;]*, (\d+\.\d+)""),"""")
"),"")</f>
        <v/>
      </c>
      <c r="O1014" s="3" t="str">
        <f aca="false">IFERROR(__xludf.dummyfunction("if($T1014&lt;&gt;"""",REGEXEXTRACT($T1014, O$1&amp;""[\w &amp;]*, (\d+\.\d+)""),"""")
"),"")</f>
        <v/>
      </c>
      <c r="P1014" s="2"/>
      <c r="Q1014" s="2"/>
      <c r="R1014" s="2"/>
      <c r="S1014" s="2"/>
      <c r="T1014" s="5"/>
    </row>
    <row r="1015" customFormat="false" ht="15.75" hidden="false" customHeight="false" outlineLevel="0" collapsed="false">
      <c r="A1015" s="4"/>
      <c r="B1015" s="2"/>
      <c r="C1015" s="2"/>
      <c r="D1015" s="2"/>
      <c r="E1015" s="2"/>
      <c r="F1015" s="3" t="str">
        <f aca="false">IFERROR(__xludf.dummyfunction("if($T1015&lt;&gt;"""",REGEXEXTRACT(SUBSTITUTE ($T1015,F$1&amp;"" CE"",""""), F$1&amp;""[\w &amp;]*, (\d+\.\d+)""),"""")
"),"")</f>
        <v/>
      </c>
      <c r="G1015" s="3" t="str">
        <f aca="false">IFERROR(__xludf.dummyfunction("if($T1015&lt;&gt;"""",REGEXEXTRACT($T1015, G$1&amp;""[\w &amp;]*, (\d+\.\d+)""),"""")
"),"")</f>
        <v/>
      </c>
      <c r="H1015" s="3"/>
      <c r="I1015" s="3" t="str">
        <f aca="false">IFERROR(__xludf.dummyfunction("if($T1015&lt;&gt;"""",REGEXEXTRACT(SUBSTITUTE ($T1015,I$1&amp;"" CE"",""""), I$1&amp;""[\w &amp;]*, (\d+\.\d+)""),"""")
"),"")</f>
        <v/>
      </c>
      <c r="J1015" s="3" t="str">
        <f aca="false">IFERROR(__xludf.dummyfunction("if($T1015&lt;&gt;"""",REGEXEXTRACT($T1015, J$1&amp;""[\w &amp;]*, (\d+\.\d+)""),"""")
"),"")</f>
        <v/>
      </c>
      <c r="K1015" s="3"/>
      <c r="L1015" s="3" t="str">
        <f aca="false">IFERROR(__xludf.dummyfunction("if($T1015&lt;&gt;"""",REGEXEXTRACT(SUBSTITUTE ($T1015,L$1&amp;"" CE"",""""), L$1&amp;""[\w &amp;]*, (\d+\.\d+)""),"""")
"),"")</f>
        <v/>
      </c>
      <c r="M1015" s="3" t="str">
        <f aca="false">IFERROR(__xludf.dummyfunction("if($T1015&lt;&gt;"""",REGEXEXTRACT($T1015, M$1&amp;""[\w &amp;]*, (\d+\.\d+)""),"""")
"),"")</f>
        <v/>
      </c>
      <c r="N1015" s="3" t="str">
        <f aca="false">IFERROR(__xludf.dummyfunction("if($T1015&lt;&gt;"""",REGEXEXTRACT(SUBSTITUTE ($T1015,N$1&amp;"" CE"",""""), N$1&amp;""[\w &amp;]*, (\d+\.\d+)""),"""")
"),"")</f>
        <v/>
      </c>
      <c r="O1015" s="3" t="str">
        <f aca="false">IFERROR(__xludf.dummyfunction("if($T1015&lt;&gt;"""",REGEXEXTRACT($T1015, O$1&amp;""[\w &amp;]*, (\d+\.\d+)""),"""")
"),"")</f>
        <v/>
      </c>
      <c r="P1015" s="2"/>
      <c r="Q1015" s="2"/>
      <c r="R1015" s="2"/>
      <c r="S1015" s="2"/>
      <c r="T1015" s="5"/>
    </row>
    <row r="1016" customFormat="false" ht="15.75" hidden="false" customHeight="false" outlineLevel="0" collapsed="false">
      <c r="A1016" s="4"/>
      <c r="B1016" s="2"/>
      <c r="C1016" s="2"/>
      <c r="D1016" s="2"/>
      <c r="E1016" s="2"/>
      <c r="F1016" s="3" t="str">
        <f aca="false">IFERROR(__xludf.dummyfunction("if($T1016&lt;&gt;"""",REGEXEXTRACT(SUBSTITUTE ($T1016,F$1&amp;"" CE"",""""), F$1&amp;""[\w &amp;]*, (\d+\.\d+)""),"""")
"),"")</f>
        <v/>
      </c>
      <c r="G1016" s="3" t="str">
        <f aca="false">IFERROR(__xludf.dummyfunction("if($T1016&lt;&gt;"""",REGEXEXTRACT($T1016, G$1&amp;""[\w &amp;]*, (\d+\.\d+)""),"""")
"),"")</f>
        <v/>
      </c>
      <c r="H1016" s="3"/>
      <c r="I1016" s="3" t="str">
        <f aca="false">IFERROR(__xludf.dummyfunction("if($T1016&lt;&gt;"""",REGEXEXTRACT(SUBSTITUTE ($T1016,I$1&amp;"" CE"",""""), I$1&amp;""[\w &amp;]*, (\d+\.\d+)""),"""")
"),"")</f>
        <v/>
      </c>
      <c r="J1016" s="3" t="str">
        <f aca="false">IFERROR(__xludf.dummyfunction("if($T1016&lt;&gt;"""",REGEXEXTRACT($T1016, J$1&amp;""[\w &amp;]*, (\d+\.\d+)""),"""")
"),"")</f>
        <v/>
      </c>
      <c r="K1016" s="3"/>
      <c r="L1016" s="3" t="str">
        <f aca="false">IFERROR(__xludf.dummyfunction("if($T1016&lt;&gt;"""",REGEXEXTRACT(SUBSTITUTE ($T1016,L$1&amp;"" CE"",""""), L$1&amp;""[\w &amp;]*, (\d+\.\d+)""),"""")
"),"")</f>
        <v/>
      </c>
      <c r="M1016" s="3" t="str">
        <f aca="false">IFERROR(__xludf.dummyfunction("if($T1016&lt;&gt;"""",REGEXEXTRACT($T1016, M$1&amp;""[\w &amp;]*, (\d+\.\d+)""),"""")
"),"")</f>
        <v/>
      </c>
      <c r="N1016" s="3" t="str">
        <f aca="false">IFERROR(__xludf.dummyfunction("if($T1016&lt;&gt;"""",REGEXEXTRACT(SUBSTITUTE ($T1016,N$1&amp;"" CE"",""""), N$1&amp;""[\w &amp;]*, (\d+\.\d+)""),"""")
"),"")</f>
        <v/>
      </c>
      <c r="O1016" s="3" t="str">
        <f aca="false">IFERROR(__xludf.dummyfunction("if($T1016&lt;&gt;"""",REGEXEXTRACT($T1016, O$1&amp;""[\w &amp;]*, (\d+\.\d+)""),"""")
"),"")</f>
        <v/>
      </c>
      <c r="P1016" s="2"/>
      <c r="Q1016" s="2"/>
      <c r="R1016" s="2"/>
      <c r="S1016" s="2"/>
      <c r="T1016" s="5"/>
    </row>
    <row r="1017" customFormat="false" ht="15.75" hidden="false" customHeight="false" outlineLevel="0" collapsed="false">
      <c r="A1017" s="4"/>
      <c r="B1017" s="2"/>
      <c r="C1017" s="2"/>
      <c r="D1017" s="2"/>
      <c r="E1017" s="2"/>
      <c r="F1017" s="3" t="str">
        <f aca="false">IFERROR(__xludf.dummyfunction("if($T1017&lt;&gt;"""",REGEXEXTRACT(SUBSTITUTE ($T1017,F$1&amp;"" CE"",""""), F$1&amp;""[\w &amp;]*, (\d+\.\d+)""),"""")
"),"")</f>
        <v/>
      </c>
      <c r="G1017" s="3" t="str">
        <f aca="false">IFERROR(__xludf.dummyfunction("if($T1017&lt;&gt;"""",REGEXEXTRACT($T1017, G$1&amp;""[\w &amp;]*, (\d+\.\d+)""),"""")
"),"")</f>
        <v/>
      </c>
      <c r="H1017" s="3"/>
      <c r="I1017" s="3" t="str">
        <f aca="false">IFERROR(__xludf.dummyfunction("if($T1017&lt;&gt;"""",REGEXEXTRACT(SUBSTITUTE ($T1017,I$1&amp;"" CE"",""""), I$1&amp;""[\w &amp;]*, (\d+\.\d+)""),"""")
"),"")</f>
        <v/>
      </c>
      <c r="J1017" s="3" t="str">
        <f aca="false">IFERROR(__xludf.dummyfunction("if($T1017&lt;&gt;"""",REGEXEXTRACT($T1017, J$1&amp;""[\w &amp;]*, (\d+\.\d+)""),"""")
"),"")</f>
        <v/>
      </c>
      <c r="K1017" s="3"/>
      <c r="L1017" s="3" t="str">
        <f aca="false">IFERROR(__xludf.dummyfunction("if($T1017&lt;&gt;"""",REGEXEXTRACT(SUBSTITUTE ($T1017,L$1&amp;"" CE"",""""), L$1&amp;""[\w &amp;]*, (\d+\.\d+)""),"""")
"),"")</f>
        <v/>
      </c>
      <c r="M1017" s="3" t="str">
        <f aca="false">IFERROR(__xludf.dummyfunction("if($T1017&lt;&gt;"""",REGEXEXTRACT($T1017, M$1&amp;""[\w &amp;]*, (\d+\.\d+)""),"""")
"),"")</f>
        <v/>
      </c>
      <c r="N1017" s="3" t="str">
        <f aca="false">IFERROR(__xludf.dummyfunction("if($T1017&lt;&gt;"""",REGEXEXTRACT(SUBSTITUTE ($T1017,N$1&amp;"" CE"",""""), N$1&amp;""[\w &amp;]*, (\d+\.\d+)""),"""")
"),"")</f>
        <v/>
      </c>
      <c r="O1017" s="3" t="str">
        <f aca="false">IFERROR(__xludf.dummyfunction("if($T1017&lt;&gt;"""",REGEXEXTRACT($T1017, O$1&amp;""[\w &amp;]*, (\d+\.\d+)""),"""")
"),"")</f>
        <v/>
      </c>
      <c r="P1017" s="2"/>
      <c r="Q1017" s="2"/>
      <c r="R1017" s="2"/>
      <c r="S1017" s="2"/>
      <c r="T1017" s="5"/>
    </row>
    <row r="1018" customFormat="false" ht="15.75" hidden="false" customHeight="false" outlineLevel="0" collapsed="false">
      <c r="A1018" s="4"/>
      <c r="B1018" s="2"/>
      <c r="C1018" s="2"/>
      <c r="D1018" s="2"/>
      <c r="E1018" s="2"/>
      <c r="F1018" s="3" t="str">
        <f aca="false">IFERROR(__xludf.dummyfunction("if($T1018&lt;&gt;"""",REGEXEXTRACT(SUBSTITUTE ($T1018,F$1&amp;"" CE"",""""), F$1&amp;""[\w &amp;]*, (\d+\.\d+)""),"""")
"),"")</f>
        <v/>
      </c>
      <c r="G1018" s="3" t="str">
        <f aca="false">IFERROR(__xludf.dummyfunction("if($T1018&lt;&gt;"""",REGEXEXTRACT($T1018, G$1&amp;""[\w &amp;]*, (\d+\.\d+)""),"""")
"),"")</f>
        <v/>
      </c>
      <c r="H1018" s="3"/>
      <c r="I1018" s="3" t="str">
        <f aca="false">IFERROR(__xludf.dummyfunction("if($T1018&lt;&gt;"""",REGEXEXTRACT(SUBSTITUTE ($T1018,I$1&amp;"" CE"",""""), I$1&amp;""[\w &amp;]*, (\d+\.\d+)""),"""")
"),"")</f>
        <v/>
      </c>
      <c r="J1018" s="3" t="str">
        <f aca="false">IFERROR(__xludf.dummyfunction("if($T1018&lt;&gt;"""",REGEXEXTRACT($T1018, J$1&amp;""[\w &amp;]*, (\d+\.\d+)""),"""")
"),"")</f>
        <v/>
      </c>
      <c r="K1018" s="3"/>
      <c r="L1018" s="3" t="str">
        <f aca="false">IFERROR(__xludf.dummyfunction("if($T1018&lt;&gt;"""",REGEXEXTRACT(SUBSTITUTE ($T1018,L$1&amp;"" CE"",""""), L$1&amp;""[\w &amp;]*, (\d+\.\d+)""),"""")
"),"")</f>
        <v/>
      </c>
      <c r="M1018" s="3" t="str">
        <f aca="false">IFERROR(__xludf.dummyfunction("if($T1018&lt;&gt;"""",REGEXEXTRACT($T1018, M$1&amp;""[\w &amp;]*, (\d+\.\d+)""),"""")
"),"")</f>
        <v/>
      </c>
      <c r="N1018" s="3" t="str">
        <f aca="false">IFERROR(__xludf.dummyfunction("if($T1018&lt;&gt;"""",REGEXEXTRACT(SUBSTITUTE ($T1018,N$1&amp;"" CE"",""""), N$1&amp;""[\w &amp;]*, (\d+\.\d+)""),"""")
"),"")</f>
        <v/>
      </c>
      <c r="O1018" s="3" t="str">
        <f aca="false">IFERROR(__xludf.dummyfunction("if($T1018&lt;&gt;"""",REGEXEXTRACT($T1018, O$1&amp;""[\w &amp;]*, (\d+\.\d+)""),"""")
"),"")</f>
        <v/>
      </c>
      <c r="P1018" s="2"/>
      <c r="Q1018" s="2"/>
      <c r="R1018" s="2"/>
      <c r="S1018" s="2"/>
      <c r="T1018" s="5"/>
    </row>
    <row r="1019" customFormat="false" ht="15.75" hidden="false" customHeight="false" outlineLevel="0" collapsed="false">
      <c r="A1019" s="4"/>
      <c r="B1019" s="2"/>
      <c r="C1019" s="2"/>
      <c r="D1019" s="2"/>
      <c r="E1019" s="2"/>
      <c r="F1019" s="3" t="str">
        <f aca="false">IFERROR(__xludf.dummyfunction("if($T1019&lt;&gt;"""",REGEXEXTRACT(SUBSTITUTE ($T1019,F$1&amp;"" CE"",""""), F$1&amp;""[\w &amp;]*, (\d+\.\d+)""),"""")
"),"")</f>
        <v/>
      </c>
      <c r="G1019" s="3" t="str">
        <f aca="false">IFERROR(__xludf.dummyfunction("if($T1019&lt;&gt;"""",REGEXEXTRACT($T1019, G$1&amp;""[\w &amp;]*, (\d+\.\d+)""),"""")
"),"")</f>
        <v/>
      </c>
      <c r="H1019" s="3"/>
      <c r="I1019" s="3" t="str">
        <f aca="false">IFERROR(__xludf.dummyfunction("if($T1019&lt;&gt;"""",REGEXEXTRACT(SUBSTITUTE ($T1019,I$1&amp;"" CE"",""""), I$1&amp;""[\w &amp;]*, (\d+\.\d+)""),"""")
"),"")</f>
        <v/>
      </c>
      <c r="J1019" s="3" t="str">
        <f aca="false">IFERROR(__xludf.dummyfunction("if($T1019&lt;&gt;"""",REGEXEXTRACT($T1019, J$1&amp;""[\w &amp;]*, (\d+\.\d+)""),"""")
"),"")</f>
        <v/>
      </c>
      <c r="K1019" s="3"/>
      <c r="L1019" s="3" t="str">
        <f aca="false">IFERROR(__xludf.dummyfunction("if($T1019&lt;&gt;"""",REGEXEXTRACT(SUBSTITUTE ($T1019,L$1&amp;"" CE"",""""), L$1&amp;""[\w &amp;]*, (\d+\.\d+)""),"""")
"),"")</f>
        <v/>
      </c>
      <c r="M1019" s="3" t="str">
        <f aca="false">IFERROR(__xludf.dummyfunction("if($T1019&lt;&gt;"""",REGEXEXTRACT($T1019, M$1&amp;""[\w &amp;]*, (\d+\.\d+)""),"""")
"),"")</f>
        <v/>
      </c>
      <c r="N1019" s="3" t="str">
        <f aca="false">IFERROR(__xludf.dummyfunction("if($T1019&lt;&gt;"""",REGEXEXTRACT(SUBSTITUTE ($T1019,N$1&amp;"" CE"",""""), N$1&amp;""[\w &amp;]*, (\d+\.\d+)""),"""")
"),"")</f>
        <v/>
      </c>
      <c r="O1019" s="3" t="str">
        <f aca="false">IFERROR(__xludf.dummyfunction("if($T1019&lt;&gt;"""",REGEXEXTRACT($T1019, O$1&amp;""[\w &amp;]*, (\d+\.\d+)""),"""")
"),"")</f>
        <v/>
      </c>
      <c r="P1019" s="2"/>
      <c r="Q1019" s="2"/>
      <c r="R1019" s="2"/>
      <c r="S1019" s="2"/>
      <c r="T1019" s="5"/>
    </row>
    <row r="1020" customFormat="false" ht="15.75" hidden="false" customHeight="false" outlineLevel="0" collapsed="false">
      <c r="A1020" s="4"/>
      <c r="B1020" s="2"/>
      <c r="C1020" s="2"/>
      <c r="D1020" s="2"/>
      <c r="E1020" s="2"/>
      <c r="F1020" s="3" t="str">
        <f aca="false">IFERROR(__xludf.dummyfunction("if($T1020&lt;&gt;"""",REGEXEXTRACT(SUBSTITUTE ($T1020,F$1&amp;"" CE"",""""), F$1&amp;""[\w &amp;]*, (\d+\.\d+)""),"""")
"),"")</f>
        <v/>
      </c>
      <c r="G1020" s="3" t="str">
        <f aca="false">IFERROR(__xludf.dummyfunction("if($T1020&lt;&gt;"""",REGEXEXTRACT($T1020, G$1&amp;""[\w &amp;]*, (\d+\.\d+)""),"""")
"),"")</f>
        <v/>
      </c>
      <c r="H1020" s="3"/>
      <c r="I1020" s="3" t="str">
        <f aca="false">IFERROR(__xludf.dummyfunction("if($T1020&lt;&gt;"""",REGEXEXTRACT(SUBSTITUTE ($T1020,I$1&amp;"" CE"",""""), I$1&amp;""[\w &amp;]*, (\d+\.\d+)""),"""")
"),"")</f>
        <v/>
      </c>
      <c r="J1020" s="3" t="str">
        <f aca="false">IFERROR(__xludf.dummyfunction("if($T1020&lt;&gt;"""",REGEXEXTRACT($T1020, J$1&amp;""[\w &amp;]*, (\d+\.\d+)""),"""")
"),"")</f>
        <v/>
      </c>
      <c r="K1020" s="3"/>
      <c r="L1020" s="3" t="str">
        <f aca="false">IFERROR(__xludf.dummyfunction("if($T1020&lt;&gt;"""",REGEXEXTRACT(SUBSTITUTE ($T1020,L$1&amp;"" CE"",""""), L$1&amp;""[\w &amp;]*, (\d+\.\d+)""),"""")
"),"")</f>
        <v/>
      </c>
      <c r="M1020" s="3" t="str">
        <f aca="false">IFERROR(__xludf.dummyfunction("if($T1020&lt;&gt;"""",REGEXEXTRACT($T1020, M$1&amp;""[\w &amp;]*, (\d+\.\d+)""),"""")
"),"")</f>
        <v/>
      </c>
      <c r="N1020" s="3" t="str">
        <f aca="false">IFERROR(__xludf.dummyfunction("if($T1020&lt;&gt;"""",REGEXEXTRACT(SUBSTITUTE ($T1020,N$1&amp;"" CE"",""""), N$1&amp;""[\w &amp;]*, (\d+\.\d+)""),"""")
"),"")</f>
        <v/>
      </c>
      <c r="O1020" s="3" t="str">
        <f aca="false">IFERROR(__xludf.dummyfunction("if($T1020&lt;&gt;"""",REGEXEXTRACT($T1020, O$1&amp;""[\w &amp;]*, (\d+\.\d+)""),"""")
"),"")</f>
        <v/>
      </c>
      <c r="P1020" s="2"/>
      <c r="Q1020" s="2"/>
      <c r="R1020" s="2"/>
      <c r="S1020" s="2"/>
      <c r="T1020" s="5"/>
    </row>
    <row r="1021" customFormat="false" ht="15.75" hidden="false" customHeight="false" outlineLevel="0" collapsed="false">
      <c r="A1021" s="4"/>
      <c r="B1021" s="2"/>
      <c r="C1021" s="2"/>
      <c r="D1021" s="2"/>
      <c r="E1021" s="2"/>
      <c r="F1021" s="3" t="str">
        <f aca="false">IFERROR(__xludf.dummyfunction("if($T1021&lt;&gt;"""",REGEXEXTRACT(SUBSTITUTE ($T1021,F$1&amp;"" CE"",""""), F$1&amp;""[\w &amp;]*, (\d+\.\d+)""),"""")
"),"")</f>
        <v/>
      </c>
      <c r="G1021" s="3" t="str">
        <f aca="false">IFERROR(__xludf.dummyfunction("if($T1021&lt;&gt;"""",REGEXEXTRACT($T1021, G$1&amp;""[\w &amp;]*, (\d+\.\d+)""),"""")
"),"")</f>
        <v/>
      </c>
      <c r="H1021" s="3"/>
      <c r="I1021" s="3" t="str">
        <f aca="false">IFERROR(__xludf.dummyfunction("if($T1021&lt;&gt;"""",REGEXEXTRACT(SUBSTITUTE ($T1021,I$1&amp;"" CE"",""""), I$1&amp;""[\w &amp;]*, (\d+\.\d+)""),"""")
"),"")</f>
        <v/>
      </c>
      <c r="J1021" s="3" t="str">
        <f aca="false">IFERROR(__xludf.dummyfunction("if($T1021&lt;&gt;"""",REGEXEXTRACT($T1021, J$1&amp;""[\w &amp;]*, (\d+\.\d+)""),"""")
"),"")</f>
        <v/>
      </c>
      <c r="K1021" s="3"/>
      <c r="L1021" s="3" t="str">
        <f aca="false">IFERROR(__xludf.dummyfunction("if($T1021&lt;&gt;"""",REGEXEXTRACT(SUBSTITUTE ($T1021,L$1&amp;"" CE"",""""), L$1&amp;""[\w &amp;]*, (\d+\.\d+)""),"""")
"),"")</f>
        <v/>
      </c>
      <c r="M1021" s="3" t="str">
        <f aca="false">IFERROR(__xludf.dummyfunction("if($T1021&lt;&gt;"""",REGEXEXTRACT($T1021, M$1&amp;""[\w &amp;]*, (\d+\.\d+)""),"""")
"),"")</f>
        <v/>
      </c>
      <c r="N1021" s="3" t="str">
        <f aca="false">IFERROR(__xludf.dummyfunction("if($T1021&lt;&gt;"""",REGEXEXTRACT(SUBSTITUTE ($T1021,N$1&amp;"" CE"",""""), N$1&amp;""[\w &amp;]*, (\d+\.\d+)""),"""")
"),"")</f>
        <v/>
      </c>
      <c r="O1021" s="3" t="str">
        <f aca="false">IFERROR(__xludf.dummyfunction("if($T1021&lt;&gt;"""",REGEXEXTRACT($T1021, O$1&amp;""[\w &amp;]*, (\d+\.\d+)""),"""")
"),"")</f>
        <v/>
      </c>
      <c r="P1021" s="2"/>
      <c r="Q1021" s="2"/>
      <c r="R1021" s="2"/>
      <c r="S1021" s="2"/>
      <c r="T1021" s="5"/>
    </row>
    <row r="1022" customFormat="false" ht="15.75" hidden="false" customHeight="false" outlineLevel="0" collapsed="false">
      <c r="A1022" s="4"/>
      <c r="B1022" s="2"/>
      <c r="C1022" s="2"/>
      <c r="D1022" s="2"/>
      <c r="E1022" s="2"/>
      <c r="F1022" s="3" t="str">
        <f aca="false">IFERROR(__xludf.dummyfunction("if($T1022&lt;&gt;"""",REGEXEXTRACT(SUBSTITUTE ($T1022,F$1&amp;"" CE"",""""), F$1&amp;""[\w &amp;]*, (\d+\.\d+)""),"""")
"),"")</f>
        <v/>
      </c>
      <c r="G1022" s="3" t="str">
        <f aca="false">IFERROR(__xludf.dummyfunction("if($T1022&lt;&gt;"""",REGEXEXTRACT($T1022, G$1&amp;""[\w &amp;]*, (\d+\.\d+)""),"""")
"),"")</f>
        <v/>
      </c>
      <c r="H1022" s="3"/>
      <c r="I1022" s="3" t="str">
        <f aca="false">IFERROR(__xludf.dummyfunction("if($T1022&lt;&gt;"""",REGEXEXTRACT(SUBSTITUTE ($T1022,I$1&amp;"" CE"",""""), I$1&amp;""[\w &amp;]*, (\d+\.\d+)""),"""")
"),"")</f>
        <v/>
      </c>
      <c r="J1022" s="3" t="str">
        <f aca="false">IFERROR(__xludf.dummyfunction("if($T1022&lt;&gt;"""",REGEXEXTRACT($T1022, J$1&amp;""[\w &amp;]*, (\d+\.\d+)""),"""")
"),"")</f>
        <v/>
      </c>
      <c r="K1022" s="3"/>
      <c r="L1022" s="3" t="str">
        <f aca="false">IFERROR(__xludf.dummyfunction("if($T1022&lt;&gt;"""",REGEXEXTRACT(SUBSTITUTE ($T1022,L$1&amp;"" CE"",""""), L$1&amp;""[\w &amp;]*, (\d+\.\d+)""),"""")
"),"")</f>
        <v/>
      </c>
      <c r="M1022" s="3" t="str">
        <f aca="false">IFERROR(__xludf.dummyfunction("if($T1022&lt;&gt;"""",REGEXEXTRACT($T1022, M$1&amp;""[\w &amp;]*, (\d+\.\d+)""),"""")
"),"")</f>
        <v/>
      </c>
      <c r="N1022" s="3" t="str">
        <f aca="false">IFERROR(__xludf.dummyfunction("if($T1022&lt;&gt;"""",REGEXEXTRACT(SUBSTITUTE ($T1022,N$1&amp;"" CE"",""""), N$1&amp;""[\w &amp;]*, (\d+\.\d+)""),"""")
"),"")</f>
        <v/>
      </c>
      <c r="O1022" s="3" t="str">
        <f aca="false">IFERROR(__xludf.dummyfunction("if($T1022&lt;&gt;"""",REGEXEXTRACT($T1022, O$1&amp;""[\w &amp;]*, (\d+\.\d+)""),"""")
"),"")</f>
        <v/>
      </c>
      <c r="P1022" s="2"/>
      <c r="Q1022" s="2"/>
      <c r="R1022" s="2"/>
      <c r="S1022" s="2"/>
      <c r="T1022" s="5"/>
    </row>
    <row r="1023" customFormat="false" ht="15.75" hidden="false" customHeight="false" outlineLevel="0" collapsed="false">
      <c r="A1023" s="4"/>
      <c r="B1023" s="2"/>
      <c r="C1023" s="2"/>
      <c r="D1023" s="2"/>
      <c r="E1023" s="2"/>
      <c r="F1023" s="3" t="str">
        <f aca="false">IFERROR(__xludf.dummyfunction("if($T1023&lt;&gt;"""",REGEXEXTRACT(SUBSTITUTE ($T1023,F$1&amp;"" CE"",""""), F$1&amp;""[\w &amp;]*, (\d+\.\d+)""),"""")
"),"")</f>
        <v/>
      </c>
      <c r="G1023" s="3" t="str">
        <f aca="false">IFERROR(__xludf.dummyfunction("if($T1023&lt;&gt;"""",REGEXEXTRACT($T1023, G$1&amp;""[\w &amp;]*, (\d+\.\d+)""),"""")
"),"")</f>
        <v/>
      </c>
      <c r="H1023" s="3"/>
      <c r="I1023" s="3" t="str">
        <f aca="false">IFERROR(__xludf.dummyfunction("if($T1023&lt;&gt;"""",REGEXEXTRACT(SUBSTITUTE ($T1023,I$1&amp;"" CE"",""""), I$1&amp;""[\w &amp;]*, (\d+\.\d+)""),"""")
"),"")</f>
        <v/>
      </c>
      <c r="J1023" s="3" t="str">
        <f aca="false">IFERROR(__xludf.dummyfunction("if($T1023&lt;&gt;"""",REGEXEXTRACT($T1023, J$1&amp;""[\w &amp;]*, (\d+\.\d+)""),"""")
"),"")</f>
        <v/>
      </c>
      <c r="K1023" s="3"/>
      <c r="L1023" s="3" t="str">
        <f aca="false">IFERROR(__xludf.dummyfunction("if($T1023&lt;&gt;"""",REGEXEXTRACT(SUBSTITUTE ($T1023,L$1&amp;"" CE"",""""), L$1&amp;""[\w &amp;]*, (\d+\.\d+)""),"""")
"),"")</f>
        <v/>
      </c>
      <c r="M1023" s="3" t="str">
        <f aca="false">IFERROR(__xludf.dummyfunction("if($T1023&lt;&gt;"""",REGEXEXTRACT($T1023, M$1&amp;""[\w &amp;]*, (\d+\.\d+)""),"""")
"),"")</f>
        <v/>
      </c>
      <c r="N1023" s="3" t="str">
        <f aca="false">IFERROR(__xludf.dummyfunction("if($T1023&lt;&gt;"""",REGEXEXTRACT(SUBSTITUTE ($T1023,N$1&amp;"" CE"",""""), N$1&amp;""[\w &amp;]*, (\d+\.\d+)""),"""")
"),"")</f>
        <v/>
      </c>
      <c r="O1023" s="3" t="str">
        <f aca="false">IFERROR(__xludf.dummyfunction("if($T1023&lt;&gt;"""",REGEXEXTRACT($T1023, O$1&amp;""[\w &amp;]*, (\d+\.\d+)""),"""")
"),"")</f>
        <v/>
      </c>
      <c r="P1023" s="2"/>
      <c r="Q1023" s="2"/>
      <c r="R1023" s="2"/>
      <c r="S1023" s="2"/>
      <c r="T1023" s="5"/>
    </row>
    <row r="1024" customFormat="false" ht="15.75" hidden="false" customHeight="false" outlineLevel="0" collapsed="false">
      <c r="A1024" s="4"/>
      <c r="B1024" s="2"/>
      <c r="C1024" s="2"/>
      <c r="D1024" s="2"/>
      <c r="E1024" s="2"/>
      <c r="F1024" s="3" t="str">
        <f aca="false">IFERROR(__xludf.dummyfunction("if($T1024&lt;&gt;"""",REGEXEXTRACT(SUBSTITUTE ($T1024,F$1&amp;"" CE"",""""), F$1&amp;""[\w &amp;]*, (\d+\.\d+)""),"""")
"),"")</f>
        <v/>
      </c>
      <c r="G1024" s="3" t="str">
        <f aca="false">IFERROR(__xludf.dummyfunction("if($T1024&lt;&gt;"""",REGEXEXTRACT($T1024, G$1&amp;""[\w &amp;]*, (\d+\.\d+)""),"""")
"),"")</f>
        <v/>
      </c>
      <c r="H1024" s="3"/>
      <c r="I1024" s="3" t="str">
        <f aca="false">IFERROR(__xludf.dummyfunction("if($T1024&lt;&gt;"""",REGEXEXTRACT(SUBSTITUTE ($T1024,I$1&amp;"" CE"",""""), I$1&amp;""[\w &amp;]*, (\d+\.\d+)""),"""")
"),"")</f>
        <v/>
      </c>
      <c r="J1024" s="3" t="str">
        <f aca="false">IFERROR(__xludf.dummyfunction("if($T1024&lt;&gt;"""",REGEXEXTRACT($T1024, J$1&amp;""[\w &amp;]*, (\d+\.\d+)""),"""")
"),"")</f>
        <v/>
      </c>
      <c r="K1024" s="3"/>
      <c r="L1024" s="3" t="str">
        <f aca="false">IFERROR(__xludf.dummyfunction("if($T1024&lt;&gt;"""",REGEXEXTRACT(SUBSTITUTE ($T1024,L$1&amp;"" CE"",""""), L$1&amp;""[\w &amp;]*, (\d+\.\d+)""),"""")
"),"")</f>
        <v/>
      </c>
      <c r="M1024" s="3" t="str">
        <f aca="false">IFERROR(__xludf.dummyfunction("if($T1024&lt;&gt;"""",REGEXEXTRACT($T1024, M$1&amp;""[\w &amp;]*, (\d+\.\d+)""),"""")
"),"")</f>
        <v/>
      </c>
      <c r="N1024" s="3" t="str">
        <f aca="false">IFERROR(__xludf.dummyfunction("if($T1024&lt;&gt;"""",REGEXEXTRACT(SUBSTITUTE ($T1024,N$1&amp;"" CE"",""""), N$1&amp;""[\w &amp;]*, (\d+\.\d+)""),"""")
"),"")</f>
        <v/>
      </c>
      <c r="O1024" s="3" t="str">
        <f aca="false">IFERROR(__xludf.dummyfunction("if($T1024&lt;&gt;"""",REGEXEXTRACT($T1024, O$1&amp;""[\w &amp;]*, (\d+\.\d+)""),"""")
"),"")</f>
        <v/>
      </c>
      <c r="P1024" s="2"/>
      <c r="Q1024" s="2"/>
      <c r="R1024" s="2"/>
      <c r="S1024" s="2"/>
      <c r="T1024" s="5"/>
    </row>
    <row r="1025" customFormat="false" ht="15.75" hidden="false" customHeight="false" outlineLevel="0" collapsed="false">
      <c r="A1025" s="4"/>
      <c r="B1025" s="2"/>
      <c r="C1025" s="2"/>
      <c r="D1025" s="2"/>
      <c r="E1025" s="2"/>
      <c r="F1025" s="3" t="str">
        <f aca="false">IFERROR(__xludf.dummyfunction("if($T1025&lt;&gt;"""",REGEXEXTRACT(SUBSTITUTE ($T1025,F$1&amp;"" CE"",""""), F$1&amp;""[\w &amp;]*, (\d+\.\d+)""),"""")
"),"")</f>
        <v/>
      </c>
      <c r="G1025" s="3" t="str">
        <f aca="false">IFERROR(__xludf.dummyfunction("if($T1025&lt;&gt;"""",REGEXEXTRACT($T1025, G$1&amp;""[\w &amp;]*, (\d+\.\d+)""),"""")
"),"")</f>
        <v/>
      </c>
      <c r="H1025" s="3"/>
      <c r="I1025" s="3" t="str">
        <f aca="false">IFERROR(__xludf.dummyfunction("if($T1025&lt;&gt;"""",REGEXEXTRACT(SUBSTITUTE ($T1025,I$1&amp;"" CE"",""""), I$1&amp;""[\w &amp;]*, (\d+\.\d+)""),"""")
"),"")</f>
        <v/>
      </c>
      <c r="J1025" s="3" t="str">
        <f aca="false">IFERROR(__xludf.dummyfunction("if($T1025&lt;&gt;"""",REGEXEXTRACT($T1025, J$1&amp;""[\w &amp;]*, (\d+\.\d+)""),"""")
"),"")</f>
        <v/>
      </c>
      <c r="K1025" s="3"/>
      <c r="L1025" s="3" t="str">
        <f aca="false">IFERROR(__xludf.dummyfunction("if($T1025&lt;&gt;"""",REGEXEXTRACT(SUBSTITUTE ($T1025,L$1&amp;"" CE"",""""), L$1&amp;""[\w &amp;]*, (\d+\.\d+)""),"""")
"),"")</f>
        <v/>
      </c>
      <c r="M1025" s="3" t="str">
        <f aca="false">IFERROR(__xludf.dummyfunction("if($T1025&lt;&gt;"""",REGEXEXTRACT($T1025, M$1&amp;""[\w &amp;]*, (\d+\.\d+)""),"""")
"),"")</f>
        <v/>
      </c>
      <c r="N1025" s="3" t="str">
        <f aca="false">IFERROR(__xludf.dummyfunction("if($T1025&lt;&gt;"""",REGEXEXTRACT(SUBSTITUTE ($T1025,N$1&amp;"" CE"",""""), N$1&amp;""[\w &amp;]*, (\d+\.\d+)""),"""")
"),"")</f>
        <v/>
      </c>
      <c r="O1025" s="3" t="str">
        <f aca="false">IFERROR(__xludf.dummyfunction("if($T1025&lt;&gt;"""",REGEXEXTRACT($T1025, O$1&amp;""[\w &amp;]*, (\d+\.\d+)""),"""")
"),"")</f>
        <v/>
      </c>
      <c r="P1025" s="2"/>
      <c r="Q1025" s="2"/>
      <c r="R1025" s="2"/>
      <c r="S1025" s="2"/>
      <c r="T1025" s="5"/>
    </row>
    <row r="1026" customFormat="false" ht="15.75" hidden="false" customHeight="false" outlineLevel="0" collapsed="false">
      <c r="A1026" s="4"/>
      <c r="B1026" s="2"/>
      <c r="C1026" s="2"/>
      <c r="D1026" s="2"/>
      <c r="E1026" s="2"/>
      <c r="F1026" s="3" t="str">
        <f aca="false">IFERROR(__xludf.dummyfunction("if($T1026&lt;&gt;"""",REGEXEXTRACT(SUBSTITUTE ($T1026,F$1&amp;"" CE"",""""), F$1&amp;""[\w &amp;]*, (\d+\.\d+)""),"""")
"),"")</f>
        <v/>
      </c>
      <c r="G1026" s="3" t="str">
        <f aca="false">IFERROR(__xludf.dummyfunction("if($T1026&lt;&gt;"""",REGEXEXTRACT($T1026, G$1&amp;""[\w &amp;]*, (\d+\.\d+)""),"""")
"),"")</f>
        <v/>
      </c>
      <c r="H1026" s="3"/>
      <c r="I1026" s="3" t="str">
        <f aca="false">IFERROR(__xludf.dummyfunction("if($T1026&lt;&gt;"""",REGEXEXTRACT(SUBSTITUTE ($T1026,I$1&amp;"" CE"",""""), I$1&amp;""[\w &amp;]*, (\d+\.\d+)""),"""")
"),"")</f>
        <v/>
      </c>
      <c r="J1026" s="3" t="str">
        <f aca="false">IFERROR(__xludf.dummyfunction("if($T1026&lt;&gt;"""",REGEXEXTRACT($T1026, J$1&amp;""[\w &amp;]*, (\d+\.\d+)""),"""")
"),"")</f>
        <v/>
      </c>
      <c r="K1026" s="3"/>
      <c r="L1026" s="3" t="str">
        <f aca="false">IFERROR(__xludf.dummyfunction("if($T1026&lt;&gt;"""",REGEXEXTRACT(SUBSTITUTE ($T1026,L$1&amp;"" CE"",""""), L$1&amp;""[\w &amp;]*, (\d+\.\d+)""),"""")
"),"")</f>
        <v/>
      </c>
      <c r="M1026" s="3" t="str">
        <f aca="false">IFERROR(__xludf.dummyfunction("if($T1026&lt;&gt;"""",REGEXEXTRACT($T1026, M$1&amp;""[\w &amp;]*, (\d+\.\d+)""),"""")
"),"")</f>
        <v/>
      </c>
      <c r="N1026" s="3" t="str">
        <f aca="false">IFERROR(__xludf.dummyfunction("if($T1026&lt;&gt;"""",REGEXEXTRACT(SUBSTITUTE ($T1026,N$1&amp;"" CE"",""""), N$1&amp;""[\w &amp;]*, (\d+\.\d+)""),"""")
"),"")</f>
        <v/>
      </c>
      <c r="O1026" s="3" t="str">
        <f aca="false">IFERROR(__xludf.dummyfunction("if($T1026&lt;&gt;"""",REGEXEXTRACT($T1026, O$1&amp;""[\w &amp;]*, (\d+\.\d+)""),"""")
"),"")</f>
        <v/>
      </c>
      <c r="P1026" s="2"/>
      <c r="Q1026" s="2"/>
      <c r="R1026" s="2"/>
      <c r="S1026" s="2"/>
      <c r="T1026" s="5"/>
    </row>
    <row r="1027" customFormat="false" ht="15.75" hidden="false" customHeight="false" outlineLevel="0" collapsed="false">
      <c r="A1027" s="4"/>
      <c r="B1027" s="2"/>
      <c r="C1027" s="2"/>
      <c r="D1027" s="2"/>
      <c r="E1027" s="2"/>
      <c r="F1027" s="3" t="str">
        <f aca="false">IFERROR(__xludf.dummyfunction("if($T1027&lt;&gt;"""",REGEXEXTRACT(SUBSTITUTE ($T1027,F$1&amp;"" CE"",""""), F$1&amp;""[\w &amp;]*, (\d+\.\d+)""),"""")
"),"")</f>
        <v/>
      </c>
      <c r="G1027" s="3" t="str">
        <f aca="false">IFERROR(__xludf.dummyfunction("if($T1027&lt;&gt;"""",REGEXEXTRACT($T1027, G$1&amp;""[\w &amp;]*, (\d+\.\d+)""),"""")
"),"")</f>
        <v/>
      </c>
      <c r="H1027" s="3"/>
      <c r="I1027" s="3" t="str">
        <f aca="false">IFERROR(__xludf.dummyfunction("if($T1027&lt;&gt;"""",REGEXEXTRACT(SUBSTITUTE ($T1027,I$1&amp;"" CE"",""""), I$1&amp;""[\w &amp;]*, (\d+\.\d+)""),"""")
"),"")</f>
        <v/>
      </c>
      <c r="J1027" s="3" t="str">
        <f aca="false">IFERROR(__xludf.dummyfunction("if($T1027&lt;&gt;"""",REGEXEXTRACT($T1027, J$1&amp;""[\w &amp;]*, (\d+\.\d+)""),"""")
"),"")</f>
        <v/>
      </c>
      <c r="K1027" s="3"/>
      <c r="L1027" s="3" t="str">
        <f aca="false">IFERROR(__xludf.dummyfunction("if($T1027&lt;&gt;"""",REGEXEXTRACT(SUBSTITUTE ($T1027,L$1&amp;"" CE"",""""), L$1&amp;""[\w &amp;]*, (\d+\.\d+)""),"""")
"),"")</f>
        <v/>
      </c>
      <c r="M1027" s="3" t="str">
        <f aca="false">IFERROR(__xludf.dummyfunction("if($T1027&lt;&gt;"""",REGEXEXTRACT($T1027, M$1&amp;""[\w &amp;]*, (\d+\.\d+)""),"""")
"),"")</f>
        <v/>
      </c>
      <c r="N1027" s="3" t="str">
        <f aca="false">IFERROR(__xludf.dummyfunction("if($T1027&lt;&gt;"""",REGEXEXTRACT(SUBSTITUTE ($T1027,N$1&amp;"" CE"",""""), N$1&amp;""[\w &amp;]*, (\d+\.\d+)""),"""")
"),"")</f>
        <v/>
      </c>
      <c r="O1027" s="3" t="str">
        <f aca="false">IFERROR(__xludf.dummyfunction("if($T1027&lt;&gt;"""",REGEXEXTRACT($T1027, O$1&amp;""[\w &amp;]*, (\d+\.\d+)""),"""")
"),"")</f>
        <v/>
      </c>
      <c r="P1027" s="2"/>
      <c r="Q1027" s="2"/>
      <c r="R1027" s="2"/>
      <c r="S1027" s="2"/>
      <c r="T1027" s="5"/>
    </row>
    <row r="1028" customFormat="false" ht="15.75" hidden="false" customHeight="false" outlineLevel="0" collapsed="false">
      <c r="A1028" s="4"/>
      <c r="B1028" s="2"/>
      <c r="C1028" s="2"/>
      <c r="D1028" s="2"/>
      <c r="E1028" s="2"/>
      <c r="F1028" s="3" t="str">
        <f aca="false">IFERROR(__xludf.dummyfunction("if($T1028&lt;&gt;"""",REGEXEXTRACT(SUBSTITUTE ($T1028,F$1&amp;"" CE"",""""), F$1&amp;""[\w &amp;]*, (\d+\.\d+)""),"""")
"),"")</f>
        <v/>
      </c>
      <c r="G1028" s="3" t="str">
        <f aca="false">IFERROR(__xludf.dummyfunction("if($T1028&lt;&gt;"""",REGEXEXTRACT($T1028, G$1&amp;""[\w &amp;]*, (\d+\.\d+)""),"""")
"),"")</f>
        <v/>
      </c>
      <c r="H1028" s="3"/>
      <c r="I1028" s="3" t="str">
        <f aca="false">IFERROR(__xludf.dummyfunction("if($T1028&lt;&gt;"""",REGEXEXTRACT(SUBSTITUTE ($T1028,I$1&amp;"" CE"",""""), I$1&amp;""[\w &amp;]*, (\d+\.\d+)""),"""")
"),"")</f>
        <v/>
      </c>
      <c r="J1028" s="3" t="str">
        <f aca="false">IFERROR(__xludf.dummyfunction("if($T1028&lt;&gt;"""",REGEXEXTRACT($T1028, J$1&amp;""[\w &amp;]*, (\d+\.\d+)""),"""")
"),"")</f>
        <v/>
      </c>
      <c r="K1028" s="3"/>
      <c r="L1028" s="3" t="str">
        <f aca="false">IFERROR(__xludf.dummyfunction("if($T1028&lt;&gt;"""",REGEXEXTRACT(SUBSTITUTE ($T1028,L$1&amp;"" CE"",""""), L$1&amp;""[\w &amp;]*, (\d+\.\d+)""),"""")
"),"")</f>
        <v/>
      </c>
      <c r="M1028" s="3" t="str">
        <f aca="false">IFERROR(__xludf.dummyfunction("if($T1028&lt;&gt;"""",REGEXEXTRACT($T1028, M$1&amp;""[\w &amp;]*, (\d+\.\d+)""),"""")
"),"")</f>
        <v/>
      </c>
      <c r="N1028" s="3" t="str">
        <f aca="false">IFERROR(__xludf.dummyfunction("if($T1028&lt;&gt;"""",REGEXEXTRACT(SUBSTITUTE ($T1028,N$1&amp;"" CE"",""""), N$1&amp;""[\w &amp;]*, (\d+\.\d+)""),"""")
"),"")</f>
        <v/>
      </c>
      <c r="O1028" s="3" t="str">
        <f aca="false">IFERROR(__xludf.dummyfunction("if($T1028&lt;&gt;"""",REGEXEXTRACT($T1028, O$1&amp;""[\w &amp;]*, (\d+\.\d+)""),"""")
"),"")</f>
        <v/>
      </c>
      <c r="P1028" s="2"/>
      <c r="Q1028" s="2"/>
      <c r="R1028" s="2"/>
      <c r="S1028" s="2"/>
      <c r="T1028" s="5"/>
    </row>
    <row r="1029" customFormat="false" ht="15.75" hidden="false" customHeight="false" outlineLevel="0" collapsed="false">
      <c r="A1029" s="4"/>
      <c r="B1029" s="2"/>
      <c r="C1029" s="2"/>
      <c r="D1029" s="2"/>
      <c r="E1029" s="2"/>
      <c r="F1029" s="3" t="str">
        <f aca="false">IFERROR(__xludf.dummyfunction("if($T1029&lt;&gt;"""",REGEXEXTRACT(SUBSTITUTE ($T1029,F$1&amp;"" CE"",""""), F$1&amp;""[\w &amp;]*, (\d+\.\d+)""),"""")
"),"")</f>
        <v/>
      </c>
      <c r="G1029" s="3" t="str">
        <f aca="false">IFERROR(__xludf.dummyfunction("if($T1029&lt;&gt;"""",REGEXEXTRACT($T1029, G$1&amp;""[\w &amp;]*, (\d+\.\d+)""),"""")
"),"")</f>
        <v/>
      </c>
      <c r="H1029" s="3"/>
      <c r="I1029" s="3" t="str">
        <f aca="false">IFERROR(__xludf.dummyfunction("if($T1029&lt;&gt;"""",REGEXEXTRACT(SUBSTITUTE ($T1029,I$1&amp;"" CE"",""""), I$1&amp;""[\w &amp;]*, (\d+\.\d+)""),"""")
"),"")</f>
        <v/>
      </c>
      <c r="J1029" s="3" t="str">
        <f aca="false">IFERROR(__xludf.dummyfunction("if($T1029&lt;&gt;"""",REGEXEXTRACT($T1029, J$1&amp;""[\w &amp;]*, (\d+\.\d+)""),"""")
"),"")</f>
        <v/>
      </c>
      <c r="K1029" s="3"/>
      <c r="L1029" s="3" t="str">
        <f aca="false">IFERROR(__xludf.dummyfunction("if($T1029&lt;&gt;"""",REGEXEXTRACT(SUBSTITUTE ($T1029,L$1&amp;"" CE"",""""), L$1&amp;""[\w &amp;]*, (\d+\.\d+)""),"""")
"),"")</f>
        <v/>
      </c>
      <c r="M1029" s="3" t="str">
        <f aca="false">IFERROR(__xludf.dummyfunction("if($T1029&lt;&gt;"""",REGEXEXTRACT($T1029, M$1&amp;""[\w &amp;]*, (\d+\.\d+)""),"""")
"),"")</f>
        <v/>
      </c>
      <c r="N1029" s="3" t="str">
        <f aca="false">IFERROR(__xludf.dummyfunction("if($T1029&lt;&gt;"""",REGEXEXTRACT(SUBSTITUTE ($T1029,N$1&amp;"" CE"",""""), N$1&amp;""[\w &amp;]*, (\d+\.\d+)""),"""")
"),"")</f>
        <v/>
      </c>
      <c r="O1029" s="3" t="str">
        <f aca="false">IFERROR(__xludf.dummyfunction("if($T1029&lt;&gt;"""",REGEXEXTRACT($T1029, O$1&amp;""[\w &amp;]*, (\d+\.\d+)""),"""")
"),"")</f>
        <v/>
      </c>
      <c r="P1029" s="2"/>
      <c r="Q1029" s="2"/>
      <c r="R1029" s="2"/>
      <c r="S1029" s="2"/>
      <c r="T1029" s="5"/>
    </row>
    <row r="1030" customFormat="false" ht="15.75" hidden="false" customHeight="false" outlineLevel="0" collapsed="false">
      <c r="A1030" s="4"/>
      <c r="B1030" s="2"/>
      <c r="C1030" s="2"/>
      <c r="D1030" s="2"/>
      <c r="E1030" s="2"/>
      <c r="F1030" s="3" t="str">
        <f aca="false">IFERROR(__xludf.dummyfunction("if($T1030&lt;&gt;"""",REGEXEXTRACT(SUBSTITUTE ($T1030,F$1&amp;"" CE"",""""), F$1&amp;""[\w &amp;]*, (\d+\.\d+)""),"""")
"),"")</f>
        <v/>
      </c>
      <c r="G1030" s="3" t="str">
        <f aca="false">IFERROR(__xludf.dummyfunction("if($T1030&lt;&gt;"""",REGEXEXTRACT($T1030, G$1&amp;""[\w &amp;]*, (\d+\.\d+)""),"""")
"),"")</f>
        <v/>
      </c>
      <c r="H1030" s="3"/>
      <c r="I1030" s="3" t="str">
        <f aca="false">IFERROR(__xludf.dummyfunction("if($T1030&lt;&gt;"""",REGEXEXTRACT(SUBSTITUTE ($T1030,I$1&amp;"" CE"",""""), I$1&amp;""[\w &amp;]*, (\d+\.\d+)""),"""")
"),"")</f>
        <v/>
      </c>
      <c r="J1030" s="3" t="str">
        <f aca="false">IFERROR(__xludf.dummyfunction("if($T1030&lt;&gt;"""",REGEXEXTRACT($T1030, J$1&amp;""[\w &amp;]*, (\d+\.\d+)""),"""")
"),"")</f>
        <v/>
      </c>
      <c r="K1030" s="3"/>
      <c r="L1030" s="3" t="str">
        <f aca="false">IFERROR(__xludf.dummyfunction("if($T1030&lt;&gt;"""",REGEXEXTRACT(SUBSTITUTE ($T1030,L$1&amp;"" CE"",""""), L$1&amp;""[\w &amp;]*, (\d+\.\d+)""),"""")
"),"")</f>
        <v/>
      </c>
      <c r="M1030" s="3" t="str">
        <f aca="false">IFERROR(__xludf.dummyfunction("if($T1030&lt;&gt;"""",REGEXEXTRACT($T1030, M$1&amp;""[\w &amp;]*, (\d+\.\d+)""),"""")
"),"")</f>
        <v/>
      </c>
      <c r="N1030" s="3" t="str">
        <f aca="false">IFERROR(__xludf.dummyfunction("if($T1030&lt;&gt;"""",REGEXEXTRACT(SUBSTITUTE ($T1030,N$1&amp;"" CE"",""""), N$1&amp;""[\w &amp;]*, (\d+\.\d+)""),"""")
"),"")</f>
        <v/>
      </c>
      <c r="O1030" s="3" t="str">
        <f aca="false">IFERROR(__xludf.dummyfunction("if($T1030&lt;&gt;"""",REGEXEXTRACT($T1030, O$1&amp;""[\w &amp;]*, (\d+\.\d+)""),"""")
"),"")</f>
        <v/>
      </c>
      <c r="P1030" s="2"/>
      <c r="Q1030" s="2"/>
      <c r="R1030" s="2"/>
      <c r="S1030" s="2"/>
      <c r="T1030" s="5"/>
    </row>
    <row r="1031" customFormat="false" ht="15.75" hidden="false" customHeight="false" outlineLevel="0" collapsed="false">
      <c r="A1031" s="4"/>
      <c r="B1031" s="2"/>
      <c r="C1031" s="2"/>
      <c r="D1031" s="2"/>
      <c r="E1031" s="2"/>
      <c r="F1031" s="3" t="str">
        <f aca="false">IFERROR(__xludf.dummyfunction("if($T1031&lt;&gt;"""",REGEXEXTRACT(SUBSTITUTE ($T1031,F$1&amp;"" CE"",""""), F$1&amp;""[\w &amp;]*, (\d+\.\d+)""),"""")
"),"")</f>
        <v/>
      </c>
      <c r="G1031" s="3" t="str">
        <f aca="false">IFERROR(__xludf.dummyfunction("if($T1031&lt;&gt;"""",REGEXEXTRACT($T1031, G$1&amp;""[\w &amp;]*, (\d+\.\d+)""),"""")
"),"")</f>
        <v/>
      </c>
      <c r="H1031" s="3"/>
      <c r="I1031" s="3" t="str">
        <f aca="false">IFERROR(__xludf.dummyfunction("if($T1031&lt;&gt;"""",REGEXEXTRACT(SUBSTITUTE ($T1031,I$1&amp;"" CE"",""""), I$1&amp;""[\w &amp;]*, (\d+\.\d+)""),"""")
"),"")</f>
        <v/>
      </c>
      <c r="J1031" s="3" t="str">
        <f aca="false">IFERROR(__xludf.dummyfunction("if($T1031&lt;&gt;"""",REGEXEXTRACT($T1031, J$1&amp;""[\w &amp;]*, (\d+\.\d+)""),"""")
"),"")</f>
        <v/>
      </c>
      <c r="K1031" s="3"/>
      <c r="L1031" s="3" t="str">
        <f aca="false">IFERROR(__xludf.dummyfunction("if($T1031&lt;&gt;"""",REGEXEXTRACT(SUBSTITUTE ($T1031,L$1&amp;"" CE"",""""), L$1&amp;""[\w &amp;]*, (\d+\.\d+)""),"""")
"),"")</f>
        <v/>
      </c>
      <c r="M1031" s="3" t="str">
        <f aca="false">IFERROR(__xludf.dummyfunction("if($T1031&lt;&gt;"""",REGEXEXTRACT($T1031, M$1&amp;""[\w &amp;]*, (\d+\.\d+)""),"""")
"),"")</f>
        <v/>
      </c>
      <c r="N1031" s="3" t="str">
        <f aca="false">IFERROR(__xludf.dummyfunction("if($T1031&lt;&gt;"""",REGEXEXTRACT(SUBSTITUTE ($T1031,N$1&amp;"" CE"",""""), N$1&amp;""[\w &amp;]*, (\d+\.\d+)""),"""")
"),"")</f>
        <v/>
      </c>
      <c r="O1031" s="3" t="str">
        <f aca="false">IFERROR(__xludf.dummyfunction("if($T1031&lt;&gt;"""",REGEXEXTRACT($T1031, O$1&amp;""[\w &amp;]*, (\d+\.\d+)""),"""")
"),"")</f>
        <v/>
      </c>
      <c r="P1031" s="2"/>
      <c r="Q1031" s="2"/>
      <c r="R1031" s="2"/>
      <c r="S1031" s="2"/>
      <c r="T1031" s="5"/>
    </row>
    <row r="1032" customFormat="false" ht="15.75" hidden="false" customHeight="false" outlineLevel="0" collapsed="false">
      <c r="A1032" s="4"/>
      <c r="B1032" s="2"/>
      <c r="C1032" s="2"/>
      <c r="D1032" s="2"/>
      <c r="E1032" s="2"/>
      <c r="F1032" s="3" t="str">
        <f aca="false">IFERROR(__xludf.dummyfunction("if($T1032&lt;&gt;"""",REGEXEXTRACT(SUBSTITUTE ($T1032,F$1&amp;"" CE"",""""), F$1&amp;""[\w &amp;]*, (\d+\.\d+)""),"""")
"),"")</f>
        <v/>
      </c>
      <c r="G1032" s="3" t="str">
        <f aca="false">IFERROR(__xludf.dummyfunction("if($T1032&lt;&gt;"""",REGEXEXTRACT($T1032, G$1&amp;""[\w &amp;]*, (\d+\.\d+)""),"""")
"),"")</f>
        <v/>
      </c>
      <c r="H1032" s="3"/>
      <c r="I1032" s="3" t="str">
        <f aca="false">IFERROR(__xludf.dummyfunction("if($T1032&lt;&gt;"""",REGEXEXTRACT(SUBSTITUTE ($T1032,I$1&amp;"" CE"",""""), I$1&amp;""[\w &amp;]*, (\d+\.\d+)""),"""")
"),"")</f>
        <v/>
      </c>
      <c r="J1032" s="3" t="str">
        <f aca="false">IFERROR(__xludf.dummyfunction("if($T1032&lt;&gt;"""",REGEXEXTRACT($T1032, J$1&amp;""[\w &amp;]*, (\d+\.\d+)""),"""")
"),"")</f>
        <v/>
      </c>
      <c r="K1032" s="3"/>
      <c r="L1032" s="3" t="str">
        <f aca="false">IFERROR(__xludf.dummyfunction("if($T1032&lt;&gt;"""",REGEXEXTRACT(SUBSTITUTE ($T1032,L$1&amp;"" CE"",""""), L$1&amp;""[\w &amp;]*, (\d+\.\d+)""),"""")
"),"")</f>
        <v/>
      </c>
      <c r="M1032" s="3" t="str">
        <f aca="false">IFERROR(__xludf.dummyfunction("if($T1032&lt;&gt;"""",REGEXEXTRACT($T1032, M$1&amp;""[\w &amp;]*, (\d+\.\d+)""),"""")
"),"")</f>
        <v/>
      </c>
      <c r="N1032" s="3" t="str">
        <f aca="false">IFERROR(__xludf.dummyfunction("if($T1032&lt;&gt;"""",REGEXEXTRACT(SUBSTITUTE ($T1032,N$1&amp;"" CE"",""""), N$1&amp;""[\w &amp;]*, (\d+\.\d+)""),"""")
"),"")</f>
        <v/>
      </c>
      <c r="O1032" s="3" t="str">
        <f aca="false">IFERROR(__xludf.dummyfunction("if($T1032&lt;&gt;"""",REGEXEXTRACT($T1032, O$1&amp;""[\w &amp;]*, (\d+\.\d+)""),"""")
"),"")</f>
        <v/>
      </c>
      <c r="P1032" s="2"/>
      <c r="Q1032" s="2"/>
      <c r="R1032" s="2"/>
      <c r="S1032" s="2"/>
      <c r="T1032" s="5"/>
    </row>
    <row r="1033" customFormat="false" ht="15.75" hidden="false" customHeight="false" outlineLevel="0" collapsed="false">
      <c r="A1033" s="4"/>
      <c r="B1033" s="2"/>
      <c r="C1033" s="2"/>
      <c r="D1033" s="2"/>
      <c r="E1033" s="2"/>
      <c r="F1033" s="3" t="str">
        <f aca="false">IFERROR(__xludf.dummyfunction("if($T1033&lt;&gt;"""",REGEXEXTRACT(SUBSTITUTE ($T1033,F$1&amp;"" CE"",""""), F$1&amp;""[\w &amp;]*, (\d+\.\d+)""),"""")
"),"")</f>
        <v/>
      </c>
      <c r="G1033" s="3" t="str">
        <f aca="false">IFERROR(__xludf.dummyfunction("if($T1033&lt;&gt;"""",REGEXEXTRACT($T1033, G$1&amp;""[\w &amp;]*, (\d+\.\d+)""),"""")
"),"")</f>
        <v/>
      </c>
      <c r="H1033" s="3"/>
      <c r="I1033" s="3" t="str">
        <f aca="false">IFERROR(__xludf.dummyfunction("if($T1033&lt;&gt;"""",REGEXEXTRACT(SUBSTITUTE ($T1033,I$1&amp;"" CE"",""""), I$1&amp;""[\w &amp;]*, (\d+\.\d+)""),"""")
"),"")</f>
        <v/>
      </c>
      <c r="J1033" s="3" t="str">
        <f aca="false">IFERROR(__xludf.dummyfunction("if($T1033&lt;&gt;"""",REGEXEXTRACT($T1033, J$1&amp;""[\w &amp;]*, (\d+\.\d+)""),"""")
"),"")</f>
        <v/>
      </c>
      <c r="K1033" s="3"/>
      <c r="L1033" s="3" t="str">
        <f aca="false">IFERROR(__xludf.dummyfunction("if($T1033&lt;&gt;"""",REGEXEXTRACT(SUBSTITUTE ($T1033,L$1&amp;"" CE"",""""), L$1&amp;""[\w &amp;]*, (\d+\.\d+)""),"""")
"),"")</f>
        <v/>
      </c>
      <c r="M1033" s="3" t="str">
        <f aca="false">IFERROR(__xludf.dummyfunction("if($T1033&lt;&gt;"""",REGEXEXTRACT($T1033, M$1&amp;""[\w &amp;]*, (\d+\.\d+)""),"""")
"),"")</f>
        <v/>
      </c>
      <c r="N1033" s="3" t="str">
        <f aca="false">IFERROR(__xludf.dummyfunction("if($T1033&lt;&gt;"""",REGEXEXTRACT(SUBSTITUTE ($T1033,N$1&amp;"" CE"",""""), N$1&amp;""[\w &amp;]*, (\d+\.\d+)""),"""")
"),"")</f>
        <v/>
      </c>
      <c r="O1033" s="3" t="str">
        <f aca="false">IFERROR(__xludf.dummyfunction("if($T1033&lt;&gt;"""",REGEXEXTRACT($T1033, O$1&amp;""[\w &amp;]*, (\d+\.\d+)""),"""")
"),"")</f>
        <v/>
      </c>
      <c r="P1033" s="2"/>
      <c r="Q1033" s="2"/>
      <c r="R1033" s="2"/>
      <c r="S1033" s="2"/>
      <c r="T1033" s="5"/>
    </row>
    <row r="1034" customFormat="false" ht="15.75" hidden="false" customHeight="false" outlineLevel="0" collapsed="false">
      <c r="A1034" s="4"/>
      <c r="B1034" s="2"/>
      <c r="C1034" s="2"/>
      <c r="D1034" s="2"/>
      <c r="E1034" s="2"/>
      <c r="F1034" s="3" t="str">
        <f aca="false">IFERROR(__xludf.dummyfunction("if($T1034&lt;&gt;"""",REGEXEXTRACT(SUBSTITUTE ($T1034,F$1&amp;"" CE"",""""), F$1&amp;""[\w &amp;]*, (\d+\.\d+)""),"""")
"),"")</f>
        <v/>
      </c>
      <c r="G1034" s="3" t="str">
        <f aca="false">IFERROR(__xludf.dummyfunction("if($T1034&lt;&gt;"""",REGEXEXTRACT($T1034, G$1&amp;""[\w &amp;]*, (\d+\.\d+)""),"""")
"),"")</f>
        <v/>
      </c>
      <c r="H1034" s="3"/>
      <c r="I1034" s="3" t="str">
        <f aca="false">IFERROR(__xludf.dummyfunction("if($T1034&lt;&gt;"""",REGEXEXTRACT(SUBSTITUTE ($T1034,I$1&amp;"" CE"",""""), I$1&amp;""[\w &amp;]*, (\d+\.\d+)""),"""")
"),"")</f>
        <v/>
      </c>
      <c r="J1034" s="3" t="str">
        <f aca="false">IFERROR(__xludf.dummyfunction("if($T1034&lt;&gt;"""",REGEXEXTRACT($T1034, J$1&amp;""[\w &amp;]*, (\d+\.\d+)""),"""")
"),"")</f>
        <v/>
      </c>
      <c r="K1034" s="3"/>
      <c r="L1034" s="3" t="str">
        <f aca="false">IFERROR(__xludf.dummyfunction("if($T1034&lt;&gt;"""",REGEXEXTRACT(SUBSTITUTE ($T1034,L$1&amp;"" CE"",""""), L$1&amp;""[\w &amp;]*, (\d+\.\d+)""),"""")
"),"")</f>
        <v/>
      </c>
      <c r="M1034" s="3" t="str">
        <f aca="false">IFERROR(__xludf.dummyfunction("if($T1034&lt;&gt;"""",REGEXEXTRACT($T1034, M$1&amp;""[\w &amp;]*, (\d+\.\d+)""),"""")
"),"")</f>
        <v/>
      </c>
      <c r="N1034" s="3" t="str">
        <f aca="false">IFERROR(__xludf.dummyfunction("if($T1034&lt;&gt;"""",REGEXEXTRACT(SUBSTITUTE ($T1034,N$1&amp;"" CE"",""""), N$1&amp;""[\w &amp;]*, (\d+\.\d+)""),"""")
"),"")</f>
        <v/>
      </c>
      <c r="O1034" s="3" t="str">
        <f aca="false">IFERROR(__xludf.dummyfunction("if($T1034&lt;&gt;"""",REGEXEXTRACT($T1034, O$1&amp;""[\w &amp;]*, (\d+\.\d+)""),"""")
"),"")</f>
        <v/>
      </c>
      <c r="P1034" s="2"/>
      <c r="Q1034" s="2"/>
      <c r="R1034" s="2"/>
      <c r="S1034" s="2"/>
      <c r="T1034" s="5"/>
    </row>
    <row r="1035" customFormat="false" ht="15.75" hidden="false" customHeight="false" outlineLevel="0" collapsed="false">
      <c r="A1035" s="4"/>
      <c r="B1035" s="2"/>
      <c r="C1035" s="2"/>
      <c r="D1035" s="2"/>
      <c r="E1035" s="2"/>
      <c r="F1035" s="3" t="str">
        <f aca="false">IFERROR(__xludf.dummyfunction("if($T1035&lt;&gt;"""",REGEXEXTRACT(SUBSTITUTE ($T1035,F$1&amp;"" CE"",""""), F$1&amp;""[\w &amp;]*, (\d+\.\d+)""),"""")
"),"")</f>
        <v/>
      </c>
      <c r="G1035" s="3" t="str">
        <f aca="false">IFERROR(__xludf.dummyfunction("if($T1035&lt;&gt;"""",REGEXEXTRACT($T1035, G$1&amp;""[\w &amp;]*, (\d+\.\d+)""),"""")
"),"")</f>
        <v/>
      </c>
      <c r="H1035" s="3"/>
      <c r="I1035" s="3" t="str">
        <f aca="false">IFERROR(__xludf.dummyfunction("if($T1035&lt;&gt;"""",REGEXEXTRACT(SUBSTITUTE ($T1035,I$1&amp;"" CE"",""""), I$1&amp;""[\w &amp;]*, (\d+\.\d+)""),"""")
"),"")</f>
        <v/>
      </c>
      <c r="J1035" s="3" t="str">
        <f aca="false">IFERROR(__xludf.dummyfunction("if($T1035&lt;&gt;"""",REGEXEXTRACT($T1035, J$1&amp;""[\w &amp;]*, (\d+\.\d+)""),"""")
"),"")</f>
        <v/>
      </c>
      <c r="K1035" s="3"/>
      <c r="L1035" s="3" t="str">
        <f aca="false">IFERROR(__xludf.dummyfunction("if($T1035&lt;&gt;"""",REGEXEXTRACT(SUBSTITUTE ($T1035,L$1&amp;"" CE"",""""), L$1&amp;""[\w &amp;]*, (\d+\.\d+)""),"""")
"),"")</f>
        <v/>
      </c>
      <c r="M1035" s="3" t="str">
        <f aca="false">IFERROR(__xludf.dummyfunction("if($T1035&lt;&gt;"""",REGEXEXTRACT($T1035, M$1&amp;""[\w &amp;]*, (\d+\.\d+)""),"""")
"),"")</f>
        <v/>
      </c>
      <c r="N1035" s="3" t="str">
        <f aca="false">IFERROR(__xludf.dummyfunction("if($T1035&lt;&gt;"""",REGEXEXTRACT(SUBSTITUTE ($T1035,N$1&amp;"" CE"",""""), N$1&amp;""[\w &amp;]*, (\d+\.\d+)""),"""")
"),"")</f>
        <v/>
      </c>
      <c r="O1035" s="3" t="str">
        <f aca="false">IFERROR(__xludf.dummyfunction("if($T1035&lt;&gt;"""",REGEXEXTRACT($T1035, O$1&amp;""[\w &amp;]*, (\d+\.\d+)""),"""")
"),"")</f>
        <v/>
      </c>
      <c r="P1035" s="2"/>
      <c r="Q1035" s="2"/>
      <c r="R1035" s="2"/>
      <c r="S1035" s="2"/>
      <c r="T1035" s="5"/>
    </row>
    <row r="1036" customFormat="false" ht="15.75" hidden="false" customHeight="false" outlineLevel="0" collapsed="false">
      <c r="A1036" s="4"/>
      <c r="B1036" s="2"/>
      <c r="C1036" s="2"/>
      <c r="D1036" s="2"/>
      <c r="E1036" s="2"/>
      <c r="F1036" s="3" t="str">
        <f aca="false">IFERROR(__xludf.dummyfunction("if($T1036&lt;&gt;"""",REGEXEXTRACT(SUBSTITUTE ($T1036,F$1&amp;"" CE"",""""), F$1&amp;""[\w &amp;]*, (\d+\.\d+)""),"""")
"),"")</f>
        <v/>
      </c>
      <c r="G1036" s="3" t="str">
        <f aca="false">IFERROR(__xludf.dummyfunction("if($T1036&lt;&gt;"""",REGEXEXTRACT($T1036, G$1&amp;""[\w &amp;]*, (\d+\.\d+)""),"""")
"),"")</f>
        <v/>
      </c>
      <c r="H1036" s="3"/>
      <c r="I1036" s="3" t="str">
        <f aca="false">IFERROR(__xludf.dummyfunction("if($T1036&lt;&gt;"""",REGEXEXTRACT(SUBSTITUTE ($T1036,I$1&amp;"" CE"",""""), I$1&amp;""[\w &amp;]*, (\d+\.\d+)""),"""")
"),"")</f>
        <v/>
      </c>
      <c r="J1036" s="3" t="str">
        <f aca="false">IFERROR(__xludf.dummyfunction("if($T1036&lt;&gt;"""",REGEXEXTRACT($T1036, J$1&amp;""[\w &amp;]*, (\d+\.\d+)""),"""")
"),"")</f>
        <v/>
      </c>
      <c r="K1036" s="3"/>
      <c r="L1036" s="3" t="str">
        <f aca="false">IFERROR(__xludf.dummyfunction("if($T1036&lt;&gt;"""",REGEXEXTRACT(SUBSTITUTE ($T1036,L$1&amp;"" CE"",""""), L$1&amp;""[\w &amp;]*, (\d+\.\d+)""),"""")
"),"")</f>
        <v/>
      </c>
      <c r="M1036" s="3" t="str">
        <f aca="false">IFERROR(__xludf.dummyfunction("if($T1036&lt;&gt;"""",REGEXEXTRACT($T1036, M$1&amp;""[\w &amp;]*, (\d+\.\d+)""),"""")
"),"")</f>
        <v/>
      </c>
      <c r="N1036" s="3" t="str">
        <f aca="false">IFERROR(__xludf.dummyfunction("if($T1036&lt;&gt;"""",REGEXEXTRACT(SUBSTITUTE ($T1036,N$1&amp;"" CE"",""""), N$1&amp;""[\w &amp;]*, (\d+\.\d+)""),"""")
"),"")</f>
        <v/>
      </c>
      <c r="O1036" s="3" t="str">
        <f aca="false">IFERROR(__xludf.dummyfunction("if($T1036&lt;&gt;"""",REGEXEXTRACT($T1036, O$1&amp;""[\w &amp;]*, (\d+\.\d+)""),"""")
"),"")</f>
        <v/>
      </c>
      <c r="P1036" s="2"/>
      <c r="Q1036" s="2"/>
      <c r="R1036" s="2"/>
      <c r="S1036" s="2"/>
      <c r="T1036" s="5"/>
    </row>
    <row r="1037" customFormat="false" ht="15.75" hidden="false" customHeight="false" outlineLevel="0" collapsed="false">
      <c r="A1037" s="4"/>
      <c r="B1037" s="2"/>
      <c r="C1037" s="2"/>
      <c r="D1037" s="2"/>
      <c r="E1037" s="2"/>
      <c r="F1037" s="3" t="str">
        <f aca="false">IFERROR(__xludf.dummyfunction("if($T1037&lt;&gt;"""",REGEXEXTRACT(SUBSTITUTE ($T1037,F$1&amp;"" CE"",""""), F$1&amp;""[\w &amp;]*, (\d+\.\d+)""),"""")
"),"")</f>
        <v/>
      </c>
      <c r="G1037" s="3" t="str">
        <f aca="false">IFERROR(__xludf.dummyfunction("if($T1037&lt;&gt;"""",REGEXEXTRACT($T1037, G$1&amp;""[\w &amp;]*, (\d+\.\d+)""),"""")
"),"")</f>
        <v/>
      </c>
      <c r="H1037" s="3"/>
      <c r="I1037" s="3" t="str">
        <f aca="false">IFERROR(__xludf.dummyfunction("if($T1037&lt;&gt;"""",REGEXEXTRACT(SUBSTITUTE ($T1037,I$1&amp;"" CE"",""""), I$1&amp;""[\w &amp;]*, (\d+\.\d+)""),"""")
"),"")</f>
        <v/>
      </c>
      <c r="J1037" s="3" t="str">
        <f aca="false">IFERROR(__xludf.dummyfunction("if($T1037&lt;&gt;"""",REGEXEXTRACT($T1037, J$1&amp;""[\w &amp;]*, (\d+\.\d+)""),"""")
"),"")</f>
        <v/>
      </c>
      <c r="K1037" s="3"/>
      <c r="L1037" s="3" t="str">
        <f aca="false">IFERROR(__xludf.dummyfunction("if($T1037&lt;&gt;"""",REGEXEXTRACT(SUBSTITUTE ($T1037,L$1&amp;"" CE"",""""), L$1&amp;""[\w &amp;]*, (\d+\.\d+)""),"""")
"),"")</f>
        <v/>
      </c>
      <c r="M1037" s="3" t="str">
        <f aca="false">IFERROR(__xludf.dummyfunction("if($T1037&lt;&gt;"""",REGEXEXTRACT($T1037, M$1&amp;""[\w &amp;]*, (\d+\.\d+)""),"""")
"),"")</f>
        <v/>
      </c>
      <c r="N1037" s="3" t="str">
        <f aca="false">IFERROR(__xludf.dummyfunction("if($T1037&lt;&gt;"""",REGEXEXTRACT(SUBSTITUTE ($T1037,N$1&amp;"" CE"",""""), N$1&amp;""[\w &amp;]*, (\d+\.\d+)""),"""")
"),"")</f>
        <v/>
      </c>
      <c r="O1037" s="3" t="str">
        <f aca="false">IFERROR(__xludf.dummyfunction("if($T1037&lt;&gt;"""",REGEXEXTRACT($T1037, O$1&amp;""[\w &amp;]*, (\d+\.\d+)""),"""")
"),"")</f>
        <v/>
      </c>
      <c r="P1037" s="2"/>
      <c r="Q1037" s="2"/>
      <c r="R1037" s="2"/>
      <c r="S1037" s="2"/>
      <c r="T1037" s="5"/>
    </row>
    <row r="1038" customFormat="false" ht="15.75" hidden="false" customHeight="false" outlineLevel="0" collapsed="false">
      <c r="A1038" s="4"/>
      <c r="B1038" s="2"/>
      <c r="C1038" s="2"/>
      <c r="D1038" s="2"/>
      <c r="E1038" s="2"/>
      <c r="F1038" s="3" t="str">
        <f aca="false">IFERROR(__xludf.dummyfunction("if($T1038&lt;&gt;"""",REGEXEXTRACT(SUBSTITUTE ($T1038,F$1&amp;"" CE"",""""), F$1&amp;""[\w &amp;]*, (\d+\.\d+)""),"""")
"),"")</f>
        <v/>
      </c>
      <c r="G1038" s="3" t="str">
        <f aca="false">IFERROR(__xludf.dummyfunction("if($T1038&lt;&gt;"""",REGEXEXTRACT($T1038, G$1&amp;""[\w &amp;]*, (\d+\.\d+)""),"""")
"),"")</f>
        <v/>
      </c>
      <c r="H1038" s="3"/>
      <c r="I1038" s="3" t="str">
        <f aca="false">IFERROR(__xludf.dummyfunction("if($T1038&lt;&gt;"""",REGEXEXTRACT(SUBSTITUTE ($T1038,I$1&amp;"" CE"",""""), I$1&amp;""[\w &amp;]*, (\d+\.\d+)""),"""")
"),"")</f>
        <v/>
      </c>
      <c r="J1038" s="3" t="str">
        <f aca="false">IFERROR(__xludf.dummyfunction("if($T1038&lt;&gt;"""",REGEXEXTRACT($T1038, J$1&amp;""[\w &amp;]*, (\d+\.\d+)""),"""")
"),"")</f>
        <v/>
      </c>
      <c r="K1038" s="3"/>
      <c r="L1038" s="3" t="str">
        <f aca="false">IFERROR(__xludf.dummyfunction("if($T1038&lt;&gt;"""",REGEXEXTRACT(SUBSTITUTE ($T1038,L$1&amp;"" CE"",""""), L$1&amp;""[\w &amp;]*, (\d+\.\d+)""),"""")
"),"")</f>
        <v/>
      </c>
      <c r="M1038" s="3" t="str">
        <f aca="false">IFERROR(__xludf.dummyfunction("if($T1038&lt;&gt;"""",REGEXEXTRACT($T1038, M$1&amp;""[\w &amp;]*, (\d+\.\d+)""),"""")
"),"")</f>
        <v/>
      </c>
      <c r="N1038" s="3" t="str">
        <f aca="false">IFERROR(__xludf.dummyfunction("if($T1038&lt;&gt;"""",REGEXEXTRACT(SUBSTITUTE ($T1038,N$1&amp;"" CE"",""""), N$1&amp;""[\w &amp;]*, (\d+\.\d+)""),"""")
"),"")</f>
        <v/>
      </c>
      <c r="O1038" s="3" t="str">
        <f aca="false">IFERROR(__xludf.dummyfunction("if($T1038&lt;&gt;"""",REGEXEXTRACT($T1038, O$1&amp;""[\w &amp;]*, (\d+\.\d+)""),"""")
"),"")</f>
        <v/>
      </c>
      <c r="P1038" s="2"/>
      <c r="Q1038" s="2"/>
      <c r="R1038" s="2"/>
      <c r="S1038" s="2"/>
      <c r="T1038" s="5"/>
    </row>
    <row r="1039" customFormat="false" ht="15.75" hidden="false" customHeight="false" outlineLevel="0" collapsed="false">
      <c r="A1039" s="4"/>
      <c r="B1039" s="2"/>
      <c r="C1039" s="2"/>
      <c r="D1039" s="2"/>
      <c r="E1039" s="2"/>
      <c r="F1039" s="3" t="str">
        <f aca="false">IFERROR(__xludf.dummyfunction("if($T1039&lt;&gt;"""",REGEXEXTRACT(SUBSTITUTE ($T1039,F$1&amp;"" CE"",""""), F$1&amp;""[\w &amp;]*, (\d+\.\d+)""),"""")
"),"")</f>
        <v/>
      </c>
      <c r="G1039" s="3" t="str">
        <f aca="false">IFERROR(__xludf.dummyfunction("if($T1039&lt;&gt;"""",REGEXEXTRACT($T1039, G$1&amp;""[\w &amp;]*, (\d+\.\d+)""),"""")
"),"")</f>
        <v/>
      </c>
      <c r="H1039" s="3"/>
      <c r="I1039" s="3" t="str">
        <f aca="false">IFERROR(__xludf.dummyfunction("if($T1039&lt;&gt;"""",REGEXEXTRACT(SUBSTITUTE ($T1039,I$1&amp;"" CE"",""""), I$1&amp;""[\w &amp;]*, (\d+\.\d+)""),"""")
"),"")</f>
        <v/>
      </c>
      <c r="J1039" s="3" t="str">
        <f aca="false">IFERROR(__xludf.dummyfunction("if($T1039&lt;&gt;"""",REGEXEXTRACT($T1039, J$1&amp;""[\w &amp;]*, (\d+\.\d+)""),"""")
"),"")</f>
        <v/>
      </c>
      <c r="K1039" s="3"/>
      <c r="L1039" s="3" t="str">
        <f aca="false">IFERROR(__xludf.dummyfunction("if($T1039&lt;&gt;"""",REGEXEXTRACT(SUBSTITUTE ($T1039,L$1&amp;"" CE"",""""), L$1&amp;""[\w &amp;]*, (\d+\.\d+)""),"""")
"),"")</f>
        <v/>
      </c>
      <c r="M1039" s="3" t="str">
        <f aca="false">IFERROR(__xludf.dummyfunction("if($T1039&lt;&gt;"""",REGEXEXTRACT($T1039, M$1&amp;""[\w &amp;]*, (\d+\.\d+)""),"""")
"),"")</f>
        <v/>
      </c>
      <c r="N1039" s="3" t="str">
        <f aca="false">IFERROR(__xludf.dummyfunction("if($T1039&lt;&gt;"""",REGEXEXTRACT(SUBSTITUTE ($T1039,N$1&amp;"" CE"",""""), N$1&amp;""[\w &amp;]*, (\d+\.\d+)""),"""")
"),"")</f>
        <v/>
      </c>
      <c r="O1039" s="3" t="str">
        <f aca="false">IFERROR(__xludf.dummyfunction("if($T1039&lt;&gt;"""",REGEXEXTRACT($T1039, O$1&amp;""[\w &amp;]*, (\d+\.\d+)""),"""")
"),"")</f>
        <v/>
      </c>
      <c r="P1039" s="2"/>
      <c r="Q1039" s="2"/>
      <c r="R1039" s="2"/>
      <c r="S1039" s="2"/>
      <c r="T1039" s="5"/>
    </row>
    <row r="1040" customFormat="false" ht="15.75" hidden="false" customHeight="false" outlineLevel="0" collapsed="false">
      <c r="A1040" s="4"/>
      <c r="B1040" s="2"/>
      <c r="C1040" s="2"/>
      <c r="D1040" s="2"/>
      <c r="E1040" s="2"/>
      <c r="F1040" s="3" t="str">
        <f aca="false">IFERROR(__xludf.dummyfunction("if($T1040&lt;&gt;"""",REGEXEXTRACT(SUBSTITUTE ($T1040,F$1&amp;"" CE"",""""), F$1&amp;""[\w &amp;]*, (\d+\.\d+)""),"""")
"),"")</f>
        <v/>
      </c>
      <c r="G1040" s="3" t="str">
        <f aca="false">IFERROR(__xludf.dummyfunction("if($T1040&lt;&gt;"""",REGEXEXTRACT($T1040, G$1&amp;""[\w &amp;]*, (\d+\.\d+)""),"""")
"),"")</f>
        <v/>
      </c>
      <c r="H1040" s="3"/>
      <c r="I1040" s="3" t="str">
        <f aca="false">IFERROR(__xludf.dummyfunction("if($T1040&lt;&gt;"""",REGEXEXTRACT(SUBSTITUTE ($T1040,I$1&amp;"" CE"",""""), I$1&amp;""[\w &amp;]*, (\d+\.\d+)""),"""")
"),"")</f>
        <v/>
      </c>
      <c r="J1040" s="3" t="str">
        <f aca="false">IFERROR(__xludf.dummyfunction("if($T1040&lt;&gt;"""",REGEXEXTRACT($T1040, J$1&amp;""[\w &amp;]*, (\d+\.\d+)""),"""")
"),"")</f>
        <v/>
      </c>
      <c r="K1040" s="3"/>
      <c r="L1040" s="3" t="str">
        <f aca="false">IFERROR(__xludf.dummyfunction("if($T1040&lt;&gt;"""",REGEXEXTRACT(SUBSTITUTE ($T1040,L$1&amp;"" CE"",""""), L$1&amp;""[\w &amp;]*, (\d+\.\d+)""),"""")
"),"")</f>
        <v/>
      </c>
      <c r="M1040" s="3" t="str">
        <f aca="false">IFERROR(__xludf.dummyfunction("if($T1040&lt;&gt;"""",REGEXEXTRACT($T1040, M$1&amp;""[\w &amp;]*, (\d+\.\d+)""),"""")
"),"")</f>
        <v/>
      </c>
      <c r="N1040" s="3" t="str">
        <f aca="false">IFERROR(__xludf.dummyfunction("if($T1040&lt;&gt;"""",REGEXEXTRACT(SUBSTITUTE ($T1040,N$1&amp;"" CE"",""""), N$1&amp;""[\w &amp;]*, (\d+\.\d+)""),"""")
"),"")</f>
        <v/>
      </c>
      <c r="O1040" s="3" t="str">
        <f aca="false">IFERROR(__xludf.dummyfunction("if($T1040&lt;&gt;"""",REGEXEXTRACT($T1040, O$1&amp;""[\w &amp;]*, (\d+\.\d+)""),"""")
"),"")</f>
        <v/>
      </c>
      <c r="P1040" s="2"/>
      <c r="Q1040" s="2"/>
      <c r="R1040" s="2"/>
      <c r="S1040" s="2"/>
      <c r="T1040" s="5"/>
    </row>
    <row r="1041" customFormat="false" ht="15.75" hidden="false" customHeight="false" outlineLevel="0" collapsed="false">
      <c r="A1041" s="4"/>
      <c r="B1041" s="2"/>
      <c r="C1041" s="2"/>
      <c r="D1041" s="2"/>
      <c r="E1041" s="2"/>
      <c r="F1041" s="3" t="str">
        <f aca="false">IFERROR(__xludf.dummyfunction("if($T1041&lt;&gt;"""",REGEXEXTRACT(SUBSTITUTE ($T1041,F$1&amp;"" CE"",""""), F$1&amp;""[\w &amp;]*, (\d+\.\d+)""),"""")
"),"")</f>
        <v/>
      </c>
      <c r="G1041" s="3" t="str">
        <f aca="false">IFERROR(__xludf.dummyfunction("if($T1041&lt;&gt;"""",REGEXEXTRACT($T1041, G$1&amp;""[\w &amp;]*, (\d+\.\d+)""),"""")
"),"")</f>
        <v/>
      </c>
      <c r="H1041" s="3"/>
      <c r="I1041" s="3" t="str">
        <f aca="false">IFERROR(__xludf.dummyfunction("if($T1041&lt;&gt;"""",REGEXEXTRACT(SUBSTITUTE ($T1041,I$1&amp;"" CE"",""""), I$1&amp;""[\w &amp;]*, (\d+\.\d+)""),"""")
"),"")</f>
        <v/>
      </c>
      <c r="J1041" s="3" t="str">
        <f aca="false">IFERROR(__xludf.dummyfunction("if($T1041&lt;&gt;"""",REGEXEXTRACT($T1041, J$1&amp;""[\w &amp;]*, (\d+\.\d+)""),"""")
"),"")</f>
        <v/>
      </c>
      <c r="K1041" s="3"/>
      <c r="L1041" s="3" t="str">
        <f aca="false">IFERROR(__xludf.dummyfunction("if($T1041&lt;&gt;"""",REGEXEXTRACT(SUBSTITUTE ($T1041,L$1&amp;"" CE"",""""), L$1&amp;""[\w &amp;]*, (\d+\.\d+)""),"""")
"),"")</f>
        <v/>
      </c>
      <c r="M1041" s="3" t="str">
        <f aca="false">IFERROR(__xludf.dummyfunction("if($T1041&lt;&gt;"""",REGEXEXTRACT($T1041, M$1&amp;""[\w &amp;]*, (\d+\.\d+)""),"""")
"),"")</f>
        <v/>
      </c>
      <c r="N1041" s="3" t="str">
        <f aca="false">IFERROR(__xludf.dummyfunction("if($T1041&lt;&gt;"""",REGEXEXTRACT(SUBSTITUTE ($T1041,N$1&amp;"" CE"",""""), N$1&amp;""[\w &amp;]*, (\d+\.\d+)""),"""")
"),"")</f>
        <v/>
      </c>
      <c r="O1041" s="3" t="str">
        <f aca="false">IFERROR(__xludf.dummyfunction("if($T1041&lt;&gt;"""",REGEXEXTRACT($T1041, O$1&amp;""[\w &amp;]*, (\d+\.\d+)""),"""")
"),"")</f>
        <v/>
      </c>
      <c r="P1041" s="2"/>
      <c r="Q1041" s="2"/>
      <c r="R1041" s="2"/>
      <c r="S1041" s="2"/>
      <c r="T1041" s="5"/>
    </row>
    <row r="1042" customFormat="false" ht="15.75" hidden="false" customHeight="false" outlineLevel="0" collapsed="false">
      <c r="A1042" s="4"/>
      <c r="B1042" s="2"/>
      <c r="C1042" s="2"/>
      <c r="D1042" s="2"/>
      <c r="E1042" s="2"/>
      <c r="F1042" s="3" t="str">
        <f aca="false">IFERROR(__xludf.dummyfunction("if($T1042&lt;&gt;"""",REGEXEXTRACT(SUBSTITUTE ($T1042,F$1&amp;"" CE"",""""), F$1&amp;""[\w &amp;]*, (\d+\.\d+)""),"""")
"),"")</f>
        <v/>
      </c>
      <c r="G1042" s="3" t="str">
        <f aca="false">IFERROR(__xludf.dummyfunction("if($T1042&lt;&gt;"""",REGEXEXTRACT($T1042, G$1&amp;""[\w &amp;]*, (\d+\.\d+)""),"""")
"),"")</f>
        <v/>
      </c>
      <c r="H1042" s="3"/>
      <c r="I1042" s="3" t="str">
        <f aca="false">IFERROR(__xludf.dummyfunction("if($T1042&lt;&gt;"""",REGEXEXTRACT(SUBSTITUTE ($T1042,I$1&amp;"" CE"",""""), I$1&amp;""[\w &amp;]*, (\d+\.\d+)""),"""")
"),"")</f>
        <v/>
      </c>
      <c r="J1042" s="3" t="str">
        <f aca="false">IFERROR(__xludf.dummyfunction("if($T1042&lt;&gt;"""",REGEXEXTRACT($T1042, J$1&amp;""[\w &amp;]*, (\d+\.\d+)""),"""")
"),"")</f>
        <v/>
      </c>
      <c r="K1042" s="3"/>
      <c r="L1042" s="3" t="str">
        <f aca="false">IFERROR(__xludf.dummyfunction("if($T1042&lt;&gt;"""",REGEXEXTRACT(SUBSTITUTE ($T1042,L$1&amp;"" CE"",""""), L$1&amp;""[\w &amp;]*, (\d+\.\d+)""),"""")
"),"")</f>
        <v/>
      </c>
      <c r="M1042" s="3" t="str">
        <f aca="false">IFERROR(__xludf.dummyfunction("if($T1042&lt;&gt;"""",REGEXEXTRACT($T1042, M$1&amp;""[\w &amp;]*, (\d+\.\d+)""),"""")
"),"")</f>
        <v/>
      </c>
      <c r="N1042" s="3" t="str">
        <f aca="false">IFERROR(__xludf.dummyfunction("if($T1042&lt;&gt;"""",REGEXEXTRACT(SUBSTITUTE ($T1042,N$1&amp;"" CE"",""""), N$1&amp;""[\w &amp;]*, (\d+\.\d+)""),"""")
"),"")</f>
        <v/>
      </c>
      <c r="O1042" s="3" t="str">
        <f aca="false">IFERROR(__xludf.dummyfunction("if($T1042&lt;&gt;"""",REGEXEXTRACT($T1042, O$1&amp;""[\w &amp;]*, (\d+\.\d+)""),"""")
"),"")</f>
        <v/>
      </c>
      <c r="P1042" s="2"/>
      <c r="Q1042" s="2"/>
      <c r="R1042" s="2"/>
      <c r="S1042" s="2"/>
      <c r="T1042" s="5"/>
    </row>
    <row r="1043" customFormat="false" ht="15.75" hidden="false" customHeight="false" outlineLevel="0" collapsed="false">
      <c r="A1043" s="4"/>
      <c r="B1043" s="2"/>
      <c r="C1043" s="2"/>
      <c r="D1043" s="2"/>
      <c r="E1043" s="2"/>
      <c r="F1043" s="3" t="str">
        <f aca="false">IFERROR(__xludf.dummyfunction("if($T1043&lt;&gt;"""",REGEXEXTRACT(SUBSTITUTE ($T1043,F$1&amp;"" CE"",""""), F$1&amp;""[\w &amp;]*, (\d+\.\d+)""),"""")
"),"")</f>
        <v/>
      </c>
      <c r="G1043" s="3" t="str">
        <f aca="false">IFERROR(__xludf.dummyfunction("if($T1043&lt;&gt;"""",REGEXEXTRACT($T1043, G$1&amp;""[\w &amp;]*, (\d+\.\d+)""),"""")
"),"")</f>
        <v/>
      </c>
      <c r="H1043" s="3"/>
      <c r="I1043" s="3" t="str">
        <f aca="false">IFERROR(__xludf.dummyfunction("if($T1043&lt;&gt;"""",REGEXEXTRACT(SUBSTITUTE ($T1043,I$1&amp;"" CE"",""""), I$1&amp;""[\w &amp;]*, (\d+\.\d+)""),"""")
"),"")</f>
        <v/>
      </c>
      <c r="J1043" s="3" t="str">
        <f aca="false">IFERROR(__xludf.dummyfunction("if($T1043&lt;&gt;"""",REGEXEXTRACT($T1043, J$1&amp;""[\w &amp;]*, (\d+\.\d+)""),"""")
"),"")</f>
        <v/>
      </c>
      <c r="K1043" s="3"/>
      <c r="L1043" s="3" t="str">
        <f aca="false">IFERROR(__xludf.dummyfunction("if($T1043&lt;&gt;"""",REGEXEXTRACT(SUBSTITUTE ($T1043,L$1&amp;"" CE"",""""), L$1&amp;""[\w &amp;]*, (\d+\.\d+)""),"""")
"),"")</f>
        <v/>
      </c>
      <c r="M1043" s="3" t="str">
        <f aca="false">IFERROR(__xludf.dummyfunction("if($T1043&lt;&gt;"""",REGEXEXTRACT($T1043, M$1&amp;""[\w &amp;]*, (\d+\.\d+)""),"""")
"),"")</f>
        <v/>
      </c>
      <c r="N1043" s="3" t="str">
        <f aca="false">IFERROR(__xludf.dummyfunction("if($T1043&lt;&gt;"""",REGEXEXTRACT(SUBSTITUTE ($T1043,N$1&amp;"" CE"",""""), N$1&amp;""[\w &amp;]*, (\d+\.\d+)""),"""")
"),"")</f>
        <v/>
      </c>
      <c r="O1043" s="3" t="str">
        <f aca="false">IFERROR(__xludf.dummyfunction("if($T1043&lt;&gt;"""",REGEXEXTRACT($T1043, O$1&amp;""[\w &amp;]*, (\d+\.\d+)""),"""")
"),"")</f>
        <v/>
      </c>
      <c r="P1043" s="2"/>
      <c r="Q1043" s="2"/>
      <c r="R1043" s="2"/>
      <c r="S1043" s="2"/>
      <c r="T1043" s="5"/>
    </row>
    <row r="1044" customFormat="false" ht="15.75" hidden="false" customHeight="false" outlineLevel="0" collapsed="false">
      <c r="A1044" s="4"/>
      <c r="B1044" s="2"/>
      <c r="C1044" s="2"/>
      <c r="D1044" s="2"/>
      <c r="E1044" s="2"/>
      <c r="F1044" s="3" t="str">
        <f aca="false">IFERROR(__xludf.dummyfunction("if($T1044&lt;&gt;"""",REGEXEXTRACT(SUBSTITUTE ($T1044,F$1&amp;"" CE"",""""), F$1&amp;""[\w &amp;]*, (\d+\.\d+)""),"""")
"),"")</f>
        <v/>
      </c>
      <c r="G1044" s="3" t="str">
        <f aca="false">IFERROR(__xludf.dummyfunction("if($T1044&lt;&gt;"""",REGEXEXTRACT($T1044, G$1&amp;""[\w &amp;]*, (\d+\.\d+)""),"""")
"),"")</f>
        <v/>
      </c>
      <c r="H1044" s="3"/>
      <c r="I1044" s="3" t="str">
        <f aca="false">IFERROR(__xludf.dummyfunction("if($T1044&lt;&gt;"""",REGEXEXTRACT(SUBSTITUTE ($T1044,I$1&amp;"" CE"",""""), I$1&amp;""[\w &amp;]*, (\d+\.\d+)""),"""")
"),"")</f>
        <v/>
      </c>
      <c r="J1044" s="3" t="str">
        <f aca="false">IFERROR(__xludf.dummyfunction("if($T1044&lt;&gt;"""",REGEXEXTRACT($T1044, J$1&amp;""[\w &amp;]*, (\d+\.\d+)""),"""")
"),"")</f>
        <v/>
      </c>
      <c r="K1044" s="3"/>
      <c r="L1044" s="3" t="str">
        <f aca="false">IFERROR(__xludf.dummyfunction("if($T1044&lt;&gt;"""",REGEXEXTRACT(SUBSTITUTE ($T1044,L$1&amp;"" CE"",""""), L$1&amp;""[\w &amp;]*, (\d+\.\d+)""),"""")
"),"")</f>
        <v/>
      </c>
      <c r="M1044" s="3" t="str">
        <f aca="false">IFERROR(__xludf.dummyfunction("if($T1044&lt;&gt;"""",REGEXEXTRACT($T1044, M$1&amp;""[\w &amp;]*, (\d+\.\d+)""),"""")
"),"")</f>
        <v/>
      </c>
      <c r="N1044" s="3" t="str">
        <f aca="false">IFERROR(__xludf.dummyfunction("if($T1044&lt;&gt;"""",REGEXEXTRACT(SUBSTITUTE ($T1044,N$1&amp;"" CE"",""""), N$1&amp;""[\w &amp;]*, (\d+\.\d+)""),"""")
"),"")</f>
        <v/>
      </c>
      <c r="O1044" s="3" t="str">
        <f aca="false">IFERROR(__xludf.dummyfunction("if($T1044&lt;&gt;"""",REGEXEXTRACT($T1044, O$1&amp;""[\w &amp;]*, (\d+\.\d+)""),"""")
"),"")</f>
        <v/>
      </c>
      <c r="P1044" s="2"/>
      <c r="Q1044" s="2"/>
      <c r="R1044" s="2"/>
      <c r="S1044" s="2"/>
      <c r="T1044" s="5"/>
    </row>
    <row r="1045" customFormat="false" ht="15.75" hidden="false" customHeight="false" outlineLevel="0" collapsed="false">
      <c r="A1045" s="4"/>
      <c r="B1045" s="2"/>
      <c r="C1045" s="2"/>
      <c r="D1045" s="2"/>
      <c r="E1045" s="2"/>
      <c r="F1045" s="3" t="str">
        <f aca="false">IFERROR(__xludf.dummyfunction("if($T1045&lt;&gt;"""",REGEXEXTRACT(SUBSTITUTE ($T1045,F$1&amp;"" CE"",""""), F$1&amp;""[\w &amp;]*, (\d+\.\d+)""),"""")
"),"")</f>
        <v/>
      </c>
      <c r="G1045" s="3" t="str">
        <f aca="false">IFERROR(__xludf.dummyfunction("if($T1045&lt;&gt;"""",REGEXEXTRACT($T1045, G$1&amp;""[\w &amp;]*, (\d+\.\d+)""),"""")
"),"")</f>
        <v/>
      </c>
      <c r="H1045" s="3"/>
      <c r="I1045" s="3" t="str">
        <f aca="false">IFERROR(__xludf.dummyfunction("if($T1045&lt;&gt;"""",REGEXEXTRACT(SUBSTITUTE ($T1045,I$1&amp;"" CE"",""""), I$1&amp;""[\w &amp;]*, (\d+\.\d+)""),"""")
"),"")</f>
        <v/>
      </c>
      <c r="J1045" s="3" t="str">
        <f aca="false">IFERROR(__xludf.dummyfunction("if($T1045&lt;&gt;"""",REGEXEXTRACT($T1045, J$1&amp;""[\w &amp;]*, (\d+\.\d+)""),"""")
"),"")</f>
        <v/>
      </c>
      <c r="K1045" s="3"/>
      <c r="L1045" s="3" t="str">
        <f aca="false">IFERROR(__xludf.dummyfunction("if($T1045&lt;&gt;"""",REGEXEXTRACT(SUBSTITUTE ($T1045,L$1&amp;"" CE"",""""), L$1&amp;""[\w &amp;]*, (\d+\.\d+)""),"""")
"),"")</f>
        <v/>
      </c>
      <c r="M1045" s="3" t="str">
        <f aca="false">IFERROR(__xludf.dummyfunction("if($T1045&lt;&gt;"""",REGEXEXTRACT($T1045, M$1&amp;""[\w &amp;]*, (\d+\.\d+)""),"""")
"),"")</f>
        <v/>
      </c>
      <c r="N1045" s="3" t="str">
        <f aca="false">IFERROR(__xludf.dummyfunction("if($T1045&lt;&gt;"""",REGEXEXTRACT(SUBSTITUTE ($T1045,N$1&amp;"" CE"",""""), N$1&amp;""[\w &amp;]*, (\d+\.\d+)""),"""")
"),"")</f>
        <v/>
      </c>
      <c r="O1045" s="3" t="str">
        <f aca="false">IFERROR(__xludf.dummyfunction("if($T1045&lt;&gt;"""",REGEXEXTRACT($T1045, O$1&amp;""[\w &amp;]*, (\d+\.\d+)""),"""")
"),"")</f>
        <v/>
      </c>
      <c r="P1045" s="2"/>
      <c r="Q1045" s="2"/>
      <c r="R1045" s="2"/>
      <c r="S1045" s="2"/>
      <c r="T1045" s="5"/>
    </row>
    <row r="1046" customFormat="false" ht="15.75" hidden="false" customHeight="false" outlineLevel="0" collapsed="false">
      <c r="A1046" s="4"/>
      <c r="B1046" s="2"/>
      <c r="C1046" s="2"/>
      <c r="D1046" s="2"/>
      <c r="E1046" s="2"/>
      <c r="F1046" s="3" t="str">
        <f aca="false">IFERROR(__xludf.dummyfunction("if($T1046&lt;&gt;"""",REGEXEXTRACT(SUBSTITUTE ($T1046,F$1&amp;"" CE"",""""), F$1&amp;""[\w &amp;]*, (\d+\.\d+)""),"""")
"),"")</f>
        <v/>
      </c>
      <c r="G1046" s="3" t="str">
        <f aca="false">IFERROR(__xludf.dummyfunction("if($T1046&lt;&gt;"""",REGEXEXTRACT($T1046, G$1&amp;""[\w &amp;]*, (\d+\.\d+)""),"""")
"),"")</f>
        <v/>
      </c>
      <c r="H1046" s="3"/>
      <c r="I1046" s="3" t="str">
        <f aca="false">IFERROR(__xludf.dummyfunction("if($T1046&lt;&gt;"""",REGEXEXTRACT(SUBSTITUTE ($T1046,I$1&amp;"" CE"",""""), I$1&amp;""[\w &amp;]*, (\d+\.\d+)""),"""")
"),"")</f>
        <v/>
      </c>
      <c r="J1046" s="3" t="str">
        <f aca="false">IFERROR(__xludf.dummyfunction("if($T1046&lt;&gt;"""",REGEXEXTRACT($T1046, J$1&amp;""[\w &amp;]*, (\d+\.\d+)""),"""")
"),"")</f>
        <v/>
      </c>
      <c r="K1046" s="3"/>
      <c r="L1046" s="3" t="str">
        <f aca="false">IFERROR(__xludf.dummyfunction("if($T1046&lt;&gt;"""",REGEXEXTRACT(SUBSTITUTE ($T1046,L$1&amp;"" CE"",""""), L$1&amp;""[\w &amp;]*, (\d+\.\d+)""),"""")
"),"")</f>
        <v/>
      </c>
      <c r="M1046" s="3" t="str">
        <f aca="false">IFERROR(__xludf.dummyfunction("if($T1046&lt;&gt;"""",REGEXEXTRACT($T1046, M$1&amp;""[\w &amp;]*, (\d+\.\d+)""),"""")
"),"")</f>
        <v/>
      </c>
      <c r="N1046" s="3" t="str">
        <f aca="false">IFERROR(__xludf.dummyfunction("if($T1046&lt;&gt;"""",REGEXEXTRACT(SUBSTITUTE ($T1046,N$1&amp;"" CE"",""""), N$1&amp;""[\w &amp;]*, (\d+\.\d+)""),"""")
"),"")</f>
        <v/>
      </c>
      <c r="O1046" s="3" t="str">
        <f aca="false">IFERROR(__xludf.dummyfunction("if($T1046&lt;&gt;"""",REGEXEXTRACT($T1046, O$1&amp;""[\w &amp;]*, (\d+\.\d+)""),"""")
"),"")</f>
        <v/>
      </c>
      <c r="P1046" s="2"/>
      <c r="Q1046" s="2"/>
      <c r="R1046" s="2"/>
      <c r="S1046" s="2"/>
      <c r="T1046" s="5"/>
    </row>
    <row r="1047" customFormat="false" ht="15.75" hidden="false" customHeight="false" outlineLevel="0" collapsed="false">
      <c r="A1047" s="4"/>
      <c r="B1047" s="2"/>
      <c r="C1047" s="2"/>
      <c r="D1047" s="2"/>
      <c r="E1047" s="2"/>
      <c r="F1047" s="3" t="str">
        <f aca="false">IFERROR(__xludf.dummyfunction("if($T1047&lt;&gt;"""",REGEXEXTRACT(SUBSTITUTE ($T1047,F$1&amp;"" CE"",""""), F$1&amp;""[\w &amp;]*, (\d+\.\d+)""),"""")
"),"")</f>
        <v/>
      </c>
      <c r="G1047" s="3" t="str">
        <f aca="false">IFERROR(__xludf.dummyfunction("if($T1047&lt;&gt;"""",REGEXEXTRACT($T1047, G$1&amp;""[\w &amp;]*, (\d+\.\d+)""),"""")
"),"")</f>
        <v/>
      </c>
      <c r="H1047" s="3"/>
      <c r="I1047" s="3" t="str">
        <f aca="false">IFERROR(__xludf.dummyfunction("if($T1047&lt;&gt;"""",REGEXEXTRACT(SUBSTITUTE ($T1047,I$1&amp;"" CE"",""""), I$1&amp;""[\w &amp;]*, (\d+\.\d+)""),"""")
"),"")</f>
        <v/>
      </c>
      <c r="J1047" s="3" t="str">
        <f aca="false">IFERROR(__xludf.dummyfunction("if($T1047&lt;&gt;"""",REGEXEXTRACT($T1047, J$1&amp;""[\w &amp;]*, (\d+\.\d+)""),"""")
"),"")</f>
        <v/>
      </c>
      <c r="K1047" s="3"/>
      <c r="L1047" s="3" t="str">
        <f aca="false">IFERROR(__xludf.dummyfunction("if($T1047&lt;&gt;"""",REGEXEXTRACT(SUBSTITUTE ($T1047,L$1&amp;"" CE"",""""), L$1&amp;""[\w &amp;]*, (\d+\.\d+)""),"""")
"),"")</f>
        <v/>
      </c>
      <c r="M1047" s="3" t="str">
        <f aca="false">IFERROR(__xludf.dummyfunction("if($T1047&lt;&gt;"""",REGEXEXTRACT($T1047, M$1&amp;""[\w &amp;]*, (\d+\.\d+)""),"""")
"),"")</f>
        <v/>
      </c>
      <c r="N1047" s="3" t="str">
        <f aca="false">IFERROR(__xludf.dummyfunction("if($T1047&lt;&gt;"""",REGEXEXTRACT(SUBSTITUTE ($T1047,N$1&amp;"" CE"",""""), N$1&amp;""[\w &amp;]*, (\d+\.\d+)""),"""")
"),"")</f>
        <v/>
      </c>
      <c r="O1047" s="3" t="str">
        <f aca="false">IFERROR(__xludf.dummyfunction("if($T1047&lt;&gt;"""",REGEXEXTRACT($T1047, O$1&amp;""[\w &amp;]*, (\d+\.\d+)""),"""")
"),"")</f>
        <v/>
      </c>
      <c r="P1047" s="2"/>
      <c r="Q1047" s="2"/>
      <c r="R1047" s="2"/>
      <c r="S1047" s="2"/>
      <c r="T1047" s="5"/>
    </row>
    <row r="1048" customFormat="false" ht="15.75" hidden="false" customHeight="false" outlineLevel="0" collapsed="false">
      <c r="A1048" s="4"/>
      <c r="B1048" s="2"/>
      <c r="C1048" s="2"/>
      <c r="D1048" s="2"/>
      <c r="E1048" s="2"/>
      <c r="F1048" s="3" t="str">
        <f aca="false">IFERROR(__xludf.dummyfunction("if($T1048&lt;&gt;"""",REGEXEXTRACT(SUBSTITUTE ($T1048,F$1&amp;"" CE"",""""), F$1&amp;""[\w &amp;]*, (\d+\.\d+)""),"""")
"),"")</f>
        <v/>
      </c>
      <c r="G1048" s="3" t="str">
        <f aca="false">IFERROR(__xludf.dummyfunction("if($T1048&lt;&gt;"""",REGEXEXTRACT($T1048, G$1&amp;""[\w &amp;]*, (\d+\.\d+)""),"""")
"),"")</f>
        <v/>
      </c>
      <c r="H1048" s="3"/>
      <c r="I1048" s="3" t="str">
        <f aca="false">IFERROR(__xludf.dummyfunction("if($T1048&lt;&gt;"""",REGEXEXTRACT(SUBSTITUTE ($T1048,I$1&amp;"" CE"",""""), I$1&amp;""[\w &amp;]*, (\d+\.\d+)""),"""")
"),"")</f>
        <v/>
      </c>
      <c r="J1048" s="3" t="str">
        <f aca="false">IFERROR(__xludf.dummyfunction("if($T1048&lt;&gt;"""",REGEXEXTRACT($T1048, J$1&amp;""[\w &amp;]*, (\d+\.\d+)""),"""")
"),"")</f>
        <v/>
      </c>
      <c r="K1048" s="3"/>
      <c r="L1048" s="3" t="str">
        <f aca="false">IFERROR(__xludf.dummyfunction("if($T1048&lt;&gt;"""",REGEXEXTRACT(SUBSTITUTE ($T1048,L$1&amp;"" CE"",""""), L$1&amp;""[\w &amp;]*, (\d+\.\d+)""),"""")
"),"")</f>
        <v/>
      </c>
      <c r="M1048" s="3" t="str">
        <f aca="false">IFERROR(__xludf.dummyfunction("if($T1048&lt;&gt;"""",REGEXEXTRACT($T1048, M$1&amp;""[\w &amp;]*, (\d+\.\d+)""),"""")
"),"")</f>
        <v/>
      </c>
      <c r="N1048" s="3" t="str">
        <f aca="false">IFERROR(__xludf.dummyfunction("if($T1048&lt;&gt;"""",REGEXEXTRACT(SUBSTITUTE ($T1048,N$1&amp;"" CE"",""""), N$1&amp;""[\w &amp;]*, (\d+\.\d+)""),"""")
"),"")</f>
        <v/>
      </c>
      <c r="O1048" s="3" t="str">
        <f aca="false">IFERROR(__xludf.dummyfunction("if($T1048&lt;&gt;"""",REGEXEXTRACT($T1048, O$1&amp;""[\w &amp;]*, (\d+\.\d+)""),"""")
"),"")</f>
        <v/>
      </c>
      <c r="P1048" s="2"/>
      <c r="Q1048" s="2"/>
      <c r="R1048" s="2"/>
      <c r="S1048" s="2"/>
      <c r="T1048" s="5"/>
    </row>
    <row r="1049" customFormat="false" ht="15.75" hidden="false" customHeight="false" outlineLevel="0" collapsed="false">
      <c r="A1049" s="4"/>
      <c r="B1049" s="2"/>
      <c r="C1049" s="2"/>
      <c r="D1049" s="2"/>
      <c r="E1049" s="2"/>
      <c r="F1049" s="3" t="str">
        <f aca="false">IFERROR(__xludf.dummyfunction("if($T1049&lt;&gt;"""",REGEXEXTRACT(SUBSTITUTE ($T1049,F$1&amp;"" CE"",""""), F$1&amp;""[\w &amp;]*, (\d+\.\d+)""),"""")
"),"")</f>
        <v/>
      </c>
      <c r="G1049" s="3" t="str">
        <f aca="false">IFERROR(__xludf.dummyfunction("if($T1049&lt;&gt;"""",REGEXEXTRACT($T1049, G$1&amp;""[\w &amp;]*, (\d+\.\d+)""),"""")
"),"")</f>
        <v/>
      </c>
      <c r="H1049" s="3"/>
      <c r="I1049" s="3" t="str">
        <f aca="false">IFERROR(__xludf.dummyfunction("if($T1049&lt;&gt;"""",REGEXEXTRACT(SUBSTITUTE ($T1049,I$1&amp;"" CE"",""""), I$1&amp;""[\w &amp;]*, (\d+\.\d+)""),"""")
"),"")</f>
        <v/>
      </c>
      <c r="J1049" s="3" t="str">
        <f aca="false">IFERROR(__xludf.dummyfunction("if($T1049&lt;&gt;"""",REGEXEXTRACT($T1049, J$1&amp;""[\w &amp;]*, (\d+\.\d+)""),"""")
"),"")</f>
        <v/>
      </c>
      <c r="K1049" s="3"/>
      <c r="L1049" s="3" t="str">
        <f aca="false">IFERROR(__xludf.dummyfunction("if($T1049&lt;&gt;"""",REGEXEXTRACT(SUBSTITUTE ($T1049,L$1&amp;"" CE"",""""), L$1&amp;""[\w &amp;]*, (\d+\.\d+)""),"""")
"),"")</f>
        <v/>
      </c>
      <c r="M1049" s="3" t="str">
        <f aca="false">IFERROR(__xludf.dummyfunction("if($T1049&lt;&gt;"""",REGEXEXTRACT($T1049, M$1&amp;""[\w &amp;]*, (\d+\.\d+)""),"""")
"),"")</f>
        <v/>
      </c>
      <c r="N1049" s="3" t="str">
        <f aca="false">IFERROR(__xludf.dummyfunction("if($T1049&lt;&gt;"""",REGEXEXTRACT(SUBSTITUTE ($T1049,N$1&amp;"" CE"",""""), N$1&amp;""[\w &amp;]*, (\d+\.\d+)""),"""")
"),"")</f>
        <v/>
      </c>
      <c r="O1049" s="3" t="str">
        <f aca="false">IFERROR(__xludf.dummyfunction("if($T1049&lt;&gt;"""",REGEXEXTRACT($T1049, O$1&amp;""[\w &amp;]*, (\d+\.\d+)""),"""")
"),"")</f>
        <v/>
      </c>
      <c r="P1049" s="2"/>
      <c r="Q1049" s="2"/>
      <c r="R1049" s="2"/>
      <c r="S1049" s="2"/>
      <c r="T1049" s="5"/>
    </row>
    <row r="1050" customFormat="false" ht="15.75" hidden="false" customHeight="false" outlineLevel="0" collapsed="false">
      <c r="A1050" s="4"/>
      <c r="B1050" s="2"/>
      <c r="C1050" s="2"/>
      <c r="D1050" s="2"/>
      <c r="E1050" s="2"/>
      <c r="F1050" s="3" t="str">
        <f aca="false">IFERROR(__xludf.dummyfunction("if($T1050&lt;&gt;"""",REGEXEXTRACT(SUBSTITUTE ($T1050,F$1&amp;"" CE"",""""), F$1&amp;""[\w &amp;]*, (\d+\.\d+)""),"""")
"),"")</f>
        <v/>
      </c>
      <c r="G1050" s="3" t="str">
        <f aca="false">IFERROR(__xludf.dummyfunction("if($T1050&lt;&gt;"""",REGEXEXTRACT($T1050, G$1&amp;""[\w &amp;]*, (\d+\.\d+)""),"""")
"),"")</f>
        <v/>
      </c>
      <c r="H1050" s="3"/>
      <c r="I1050" s="3" t="str">
        <f aca="false">IFERROR(__xludf.dummyfunction("if($T1050&lt;&gt;"""",REGEXEXTRACT(SUBSTITUTE ($T1050,I$1&amp;"" CE"",""""), I$1&amp;""[\w &amp;]*, (\d+\.\d+)""),"""")
"),"")</f>
        <v/>
      </c>
      <c r="J1050" s="3" t="str">
        <f aca="false">IFERROR(__xludf.dummyfunction("if($T1050&lt;&gt;"""",REGEXEXTRACT($T1050, J$1&amp;""[\w &amp;]*, (\d+\.\d+)""),"""")
"),"")</f>
        <v/>
      </c>
      <c r="K1050" s="3"/>
      <c r="L1050" s="3" t="str">
        <f aca="false">IFERROR(__xludf.dummyfunction("if($T1050&lt;&gt;"""",REGEXEXTRACT(SUBSTITUTE ($T1050,L$1&amp;"" CE"",""""), L$1&amp;""[\w &amp;]*, (\d+\.\d+)""),"""")
"),"")</f>
        <v/>
      </c>
      <c r="M1050" s="3" t="str">
        <f aca="false">IFERROR(__xludf.dummyfunction("if($T1050&lt;&gt;"""",REGEXEXTRACT($T1050, M$1&amp;""[\w &amp;]*, (\d+\.\d+)""),"""")
"),"")</f>
        <v/>
      </c>
      <c r="N1050" s="3" t="str">
        <f aca="false">IFERROR(__xludf.dummyfunction("if($T1050&lt;&gt;"""",REGEXEXTRACT(SUBSTITUTE ($T1050,N$1&amp;"" CE"",""""), N$1&amp;""[\w &amp;]*, (\d+\.\d+)""),"""")
"),"")</f>
        <v/>
      </c>
      <c r="O1050" s="3" t="str">
        <f aca="false">IFERROR(__xludf.dummyfunction("if($T1050&lt;&gt;"""",REGEXEXTRACT($T1050, O$1&amp;""[\w &amp;]*, (\d+\.\d+)""),"""")
"),"")</f>
        <v/>
      </c>
      <c r="P1050" s="2"/>
      <c r="Q1050" s="2"/>
      <c r="R1050" s="2"/>
      <c r="S1050" s="2"/>
      <c r="T1050" s="5"/>
    </row>
    <row r="1051" customFormat="false" ht="15.75" hidden="false" customHeight="false" outlineLevel="0" collapsed="false">
      <c r="A1051" s="4"/>
      <c r="B1051" s="2"/>
      <c r="C1051" s="2"/>
      <c r="D1051" s="2"/>
      <c r="E1051" s="2"/>
      <c r="F1051" s="3" t="str">
        <f aca="false">IFERROR(__xludf.dummyfunction("if($T1051&lt;&gt;"""",REGEXEXTRACT(SUBSTITUTE ($T1051,F$1&amp;"" CE"",""""), F$1&amp;""[\w &amp;]*, (\d+\.\d+)""),"""")
"),"")</f>
        <v/>
      </c>
      <c r="G1051" s="3" t="str">
        <f aca="false">IFERROR(__xludf.dummyfunction("if($T1051&lt;&gt;"""",REGEXEXTRACT($T1051, G$1&amp;""[\w &amp;]*, (\d+\.\d+)""),"""")
"),"")</f>
        <v/>
      </c>
      <c r="H1051" s="3"/>
      <c r="I1051" s="3" t="str">
        <f aca="false">IFERROR(__xludf.dummyfunction("if($T1051&lt;&gt;"""",REGEXEXTRACT(SUBSTITUTE ($T1051,I$1&amp;"" CE"",""""), I$1&amp;""[\w &amp;]*, (\d+\.\d+)""),"""")
"),"")</f>
        <v/>
      </c>
      <c r="J1051" s="3" t="str">
        <f aca="false">IFERROR(__xludf.dummyfunction("if($T1051&lt;&gt;"""",REGEXEXTRACT($T1051, J$1&amp;""[\w &amp;]*, (\d+\.\d+)""),"""")
"),"")</f>
        <v/>
      </c>
      <c r="K1051" s="3"/>
      <c r="L1051" s="3" t="str">
        <f aca="false">IFERROR(__xludf.dummyfunction("if($T1051&lt;&gt;"""",REGEXEXTRACT(SUBSTITUTE ($T1051,L$1&amp;"" CE"",""""), L$1&amp;""[\w &amp;]*, (\d+\.\d+)""),"""")
"),"")</f>
        <v/>
      </c>
      <c r="M1051" s="3" t="str">
        <f aca="false">IFERROR(__xludf.dummyfunction("if($T1051&lt;&gt;"""",REGEXEXTRACT($T1051, M$1&amp;""[\w &amp;]*, (\d+\.\d+)""),"""")
"),"")</f>
        <v/>
      </c>
      <c r="N1051" s="3" t="str">
        <f aca="false">IFERROR(__xludf.dummyfunction("if($T1051&lt;&gt;"""",REGEXEXTRACT(SUBSTITUTE ($T1051,N$1&amp;"" CE"",""""), N$1&amp;""[\w &amp;]*, (\d+\.\d+)""),"""")
"),"")</f>
        <v/>
      </c>
      <c r="O1051" s="3" t="str">
        <f aca="false">IFERROR(__xludf.dummyfunction("if($T1051&lt;&gt;"""",REGEXEXTRACT($T1051, O$1&amp;""[\w &amp;]*, (\d+\.\d+)""),"""")
"),"")</f>
        <v/>
      </c>
      <c r="P1051" s="2"/>
      <c r="Q1051" s="2"/>
      <c r="R1051" s="2"/>
      <c r="S1051" s="2"/>
      <c r="T1051" s="5"/>
    </row>
    <row r="1052" customFormat="false" ht="15.75" hidden="false" customHeight="false" outlineLevel="0" collapsed="false">
      <c r="A1052" s="4"/>
      <c r="B1052" s="2"/>
      <c r="C1052" s="2"/>
      <c r="D1052" s="2"/>
      <c r="E1052" s="2"/>
      <c r="F1052" s="3" t="str">
        <f aca="false">IFERROR(__xludf.dummyfunction("if($T1052&lt;&gt;"""",REGEXEXTRACT(SUBSTITUTE ($T1052,F$1&amp;"" CE"",""""), F$1&amp;""[\w &amp;]*, (\d+\.\d+)""),"""")
"),"")</f>
        <v/>
      </c>
      <c r="G1052" s="3" t="str">
        <f aca="false">IFERROR(__xludf.dummyfunction("if($T1052&lt;&gt;"""",REGEXEXTRACT($T1052, G$1&amp;""[\w &amp;]*, (\d+\.\d+)""),"""")
"),"")</f>
        <v/>
      </c>
      <c r="H1052" s="3"/>
      <c r="I1052" s="3" t="str">
        <f aca="false">IFERROR(__xludf.dummyfunction("if($T1052&lt;&gt;"""",REGEXEXTRACT(SUBSTITUTE ($T1052,I$1&amp;"" CE"",""""), I$1&amp;""[\w &amp;]*, (\d+\.\d+)""),"""")
"),"")</f>
        <v/>
      </c>
      <c r="J1052" s="3" t="str">
        <f aca="false">IFERROR(__xludf.dummyfunction("if($T1052&lt;&gt;"""",REGEXEXTRACT($T1052, J$1&amp;""[\w &amp;]*, (\d+\.\d+)""),"""")
"),"")</f>
        <v/>
      </c>
      <c r="K1052" s="3"/>
      <c r="L1052" s="3" t="str">
        <f aca="false">IFERROR(__xludf.dummyfunction("if($T1052&lt;&gt;"""",REGEXEXTRACT(SUBSTITUTE ($T1052,L$1&amp;"" CE"",""""), L$1&amp;""[\w &amp;]*, (\d+\.\d+)""),"""")
"),"")</f>
        <v/>
      </c>
      <c r="M1052" s="3" t="str">
        <f aca="false">IFERROR(__xludf.dummyfunction("if($T1052&lt;&gt;"""",REGEXEXTRACT($T1052, M$1&amp;""[\w &amp;]*, (\d+\.\d+)""),"""")
"),"")</f>
        <v/>
      </c>
      <c r="N1052" s="3" t="str">
        <f aca="false">IFERROR(__xludf.dummyfunction("if($T1052&lt;&gt;"""",REGEXEXTRACT(SUBSTITUTE ($T1052,N$1&amp;"" CE"",""""), N$1&amp;""[\w &amp;]*, (\d+\.\d+)""),"""")
"),"")</f>
        <v/>
      </c>
      <c r="O1052" s="3" t="str">
        <f aca="false">IFERROR(__xludf.dummyfunction("if($T1052&lt;&gt;"""",REGEXEXTRACT($T1052, O$1&amp;""[\w &amp;]*, (\d+\.\d+)""),"""")
"),"")</f>
        <v/>
      </c>
      <c r="P1052" s="2"/>
      <c r="Q1052" s="2"/>
      <c r="R1052" s="2"/>
      <c r="S1052" s="2"/>
      <c r="T1052" s="5"/>
    </row>
    <row r="1053" customFormat="false" ht="15.75" hidden="false" customHeight="false" outlineLevel="0" collapsed="false">
      <c r="A1053" s="4"/>
      <c r="B1053" s="2"/>
      <c r="C1053" s="2"/>
      <c r="D1053" s="2"/>
      <c r="E1053" s="2"/>
      <c r="F1053" s="3" t="str">
        <f aca="false">IFERROR(__xludf.dummyfunction("if($T1053&lt;&gt;"""",REGEXEXTRACT(SUBSTITUTE ($T1053,F$1&amp;"" CE"",""""), F$1&amp;""[\w &amp;]*, (\d+\.\d+)""),"""")
"),"")</f>
        <v/>
      </c>
      <c r="G1053" s="3" t="str">
        <f aca="false">IFERROR(__xludf.dummyfunction("if($T1053&lt;&gt;"""",REGEXEXTRACT($T1053, G$1&amp;""[\w &amp;]*, (\d+\.\d+)""),"""")
"),"")</f>
        <v/>
      </c>
      <c r="H1053" s="3"/>
      <c r="I1053" s="3" t="str">
        <f aca="false">IFERROR(__xludf.dummyfunction("if($T1053&lt;&gt;"""",REGEXEXTRACT(SUBSTITUTE ($T1053,I$1&amp;"" CE"",""""), I$1&amp;""[\w &amp;]*, (\d+\.\d+)""),"""")
"),"")</f>
        <v/>
      </c>
      <c r="J1053" s="3" t="str">
        <f aca="false">IFERROR(__xludf.dummyfunction("if($T1053&lt;&gt;"""",REGEXEXTRACT($T1053, J$1&amp;""[\w &amp;]*, (\d+\.\d+)""),"""")
"),"")</f>
        <v/>
      </c>
      <c r="K1053" s="3"/>
      <c r="L1053" s="3" t="str">
        <f aca="false">IFERROR(__xludf.dummyfunction("if($T1053&lt;&gt;"""",REGEXEXTRACT(SUBSTITUTE ($T1053,L$1&amp;"" CE"",""""), L$1&amp;""[\w &amp;]*, (\d+\.\d+)""),"""")
"),"")</f>
        <v/>
      </c>
      <c r="M1053" s="3" t="str">
        <f aca="false">IFERROR(__xludf.dummyfunction("if($T1053&lt;&gt;"""",REGEXEXTRACT($T1053, M$1&amp;""[\w &amp;]*, (\d+\.\d+)""),"""")
"),"")</f>
        <v/>
      </c>
      <c r="N1053" s="3" t="str">
        <f aca="false">IFERROR(__xludf.dummyfunction("if($T1053&lt;&gt;"""",REGEXEXTRACT(SUBSTITUTE ($T1053,N$1&amp;"" CE"",""""), N$1&amp;""[\w &amp;]*, (\d+\.\d+)""),"""")
"),"")</f>
        <v/>
      </c>
      <c r="O1053" s="3" t="str">
        <f aca="false">IFERROR(__xludf.dummyfunction("if($T1053&lt;&gt;"""",REGEXEXTRACT($T1053, O$1&amp;""[\w &amp;]*, (\d+\.\d+)""),"""")
"),"")</f>
        <v/>
      </c>
      <c r="P1053" s="2"/>
      <c r="Q1053" s="2"/>
      <c r="R1053" s="2"/>
      <c r="S1053" s="2"/>
      <c r="T1053" s="5"/>
    </row>
    <row r="1054" customFormat="false" ht="15.75" hidden="false" customHeight="false" outlineLevel="0" collapsed="false">
      <c r="A1054" s="4"/>
      <c r="B1054" s="2"/>
      <c r="C1054" s="2"/>
      <c r="D1054" s="2"/>
      <c r="E1054" s="2"/>
      <c r="F1054" s="3" t="str">
        <f aca="false">IFERROR(__xludf.dummyfunction("if($T1054&lt;&gt;"""",REGEXEXTRACT(SUBSTITUTE ($T1054,F$1&amp;"" CE"",""""), F$1&amp;""[\w &amp;]*, (\d+\.\d+)""),"""")
"),"")</f>
        <v/>
      </c>
      <c r="G1054" s="3" t="str">
        <f aca="false">IFERROR(__xludf.dummyfunction("if($T1054&lt;&gt;"""",REGEXEXTRACT($T1054, G$1&amp;""[\w &amp;]*, (\d+\.\d+)""),"""")
"),"")</f>
        <v/>
      </c>
      <c r="H1054" s="3"/>
      <c r="I1054" s="3" t="str">
        <f aca="false">IFERROR(__xludf.dummyfunction("if($T1054&lt;&gt;"""",REGEXEXTRACT(SUBSTITUTE ($T1054,I$1&amp;"" CE"",""""), I$1&amp;""[\w &amp;]*, (\d+\.\d+)""),"""")
"),"")</f>
        <v/>
      </c>
      <c r="J1054" s="3" t="str">
        <f aca="false">IFERROR(__xludf.dummyfunction("if($T1054&lt;&gt;"""",REGEXEXTRACT($T1054, J$1&amp;""[\w &amp;]*, (\d+\.\d+)""),"""")
"),"")</f>
        <v/>
      </c>
      <c r="K1054" s="3"/>
      <c r="L1054" s="3" t="str">
        <f aca="false">IFERROR(__xludf.dummyfunction("if($T1054&lt;&gt;"""",REGEXEXTRACT(SUBSTITUTE ($T1054,L$1&amp;"" CE"",""""), L$1&amp;""[\w &amp;]*, (\d+\.\d+)""),"""")
"),"")</f>
        <v/>
      </c>
      <c r="M1054" s="3" t="str">
        <f aca="false">IFERROR(__xludf.dummyfunction("if($T1054&lt;&gt;"""",REGEXEXTRACT($T1054, M$1&amp;""[\w &amp;]*, (\d+\.\d+)""),"""")
"),"")</f>
        <v/>
      </c>
      <c r="N1054" s="3" t="str">
        <f aca="false">IFERROR(__xludf.dummyfunction("if($T1054&lt;&gt;"""",REGEXEXTRACT(SUBSTITUTE ($T1054,N$1&amp;"" CE"",""""), N$1&amp;""[\w &amp;]*, (\d+\.\d+)""),"""")
"),"")</f>
        <v/>
      </c>
      <c r="O1054" s="3" t="str">
        <f aca="false">IFERROR(__xludf.dummyfunction("if($T1054&lt;&gt;"""",REGEXEXTRACT($T1054, O$1&amp;""[\w &amp;]*, (\d+\.\d+)""),"""")
"),"")</f>
        <v/>
      </c>
      <c r="P1054" s="2"/>
      <c r="Q1054" s="2"/>
      <c r="R1054" s="2"/>
      <c r="S1054" s="2"/>
      <c r="T1054" s="5"/>
    </row>
    <row r="1055" customFormat="false" ht="15.75" hidden="false" customHeight="false" outlineLevel="0" collapsed="false">
      <c r="A1055" s="4"/>
      <c r="B1055" s="2"/>
      <c r="C1055" s="2"/>
      <c r="D1055" s="2"/>
      <c r="E1055" s="2"/>
      <c r="F1055" s="3" t="str">
        <f aca="false">IFERROR(__xludf.dummyfunction("if($T1055&lt;&gt;"""",REGEXEXTRACT(SUBSTITUTE ($T1055,F$1&amp;"" CE"",""""), F$1&amp;""[\w &amp;]*, (\d+\.\d+)""),"""")
"),"")</f>
        <v/>
      </c>
      <c r="G1055" s="3" t="str">
        <f aca="false">IFERROR(__xludf.dummyfunction("if($T1055&lt;&gt;"""",REGEXEXTRACT($T1055, G$1&amp;""[\w &amp;]*, (\d+\.\d+)""),"""")
"),"")</f>
        <v/>
      </c>
      <c r="H1055" s="3"/>
      <c r="I1055" s="3" t="str">
        <f aca="false">IFERROR(__xludf.dummyfunction("if($T1055&lt;&gt;"""",REGEXEXTRACT(SUBSTITUTE ($T1055,I$1&amp;"" CE"",""""), I$1&amp;""[\w &amp;]*, (\d+\.\d+)""),"""")
"),"")</f>
        <v/>
      </c>
      <c r="J1055" s="3" t="str">
        <f aca="false">IFERROR(__xludf.dummyfunction("if($T1055&lt;&gt;"""",REGEXEXTRACT($T1055, J$1&amp;""[\w &amp;]*, (\d+\.\d+)""),"""")
"),"")</f>
        <v/>
      </c>
      <c r="K1055" s="3"/>
      <c r="L1055" s="3" t="str">
        <f aca="false">IFERROR(__xludf.dummyfunction("if($T1055&lt;&gt;"""",REGEXEXTRACT(SUBSTITUTE ($T1055,L$1&amp;"" CE"",""""), L$1&amp;""[\w &amp;]*, (\d+\.\d+)""),"""")
"),"")</f>
        <v/>
      </c>
      <c r="M1055" s="3" t="str">
        <f aca="false">IFERROR(__xludf.dummyfunction("if($T1055&lt;&gt;"""",REGEXEXTRACT($T1055, M$1&amp;""[\w &amp;]*, (\d+\.\d+)""),"""")
"),"")</f>
        <v/>
      </c>
      <c r="N1055" s="3" t="str">
        <f aca="false">IFERROR(__xludf.dummyfunction("if($T1055&lt;&gt;"""",REGEXEXTRACT(SUBSTITUTE ($T1055,N$1&amp;"" CE"",""""), N$1&amp;""[\w &amp;]*, (\d+\.\d+)""),"""")
"),"")</f>
        <v/>
      </c>
      <c r="O1055" s="3" t="str">
        <f aca="false">IFERROR(__xludf.dummyfunction("if($T1055&lt;&gt;"""",REGEXEXTRACT($T1055, O$1&amp;""[\w &amp;]*, (\d+\.\d+)""),"""")
"),"")</f>
        <v/>
      </c>
      <c r="P1055" s="2"/>
      <c r="Q1055" s="2"/>
      <c r="R1055" s="2"/>
      <c r="S1055" s="2"/>
      <c r="T1055" s="5"/>
    </row>
    <row r="1056" customFormat="false" ht="15.75" hidden="false" customHeight="false" outlineLevel="0" collapsed="false">
      <c r="A1056" s="4"/>
      <c r="B1056" s="2"/>
      <c r="C1056" s="2"/>
      <c r="D1056" s="2"/>
      <c r="E1056" s="2"/>
      <c r="F1056" s="3" t="str">
        <f aca="false">IFERROR(__xludf.dummyfunction("if($T1056&lt;&gt;"""",REGEXEXTRACT(SUBSTITUTE ($T1056,F$1&amp;"" CE"",""""), F$1&amp;""[\w &amp;]*, (\d+\.\d+)""),"""")
"),"")</f>
        <v/>
      </c>
      <c r="G1056" s="3" t="str">
        <f aca="false">IFERROR(__xludf.dummyfunction("if($T1056&lt;&gt;"""",REGEXEXTRACT($T1056, G$1&amp;""[\w &amp;]*, (\d+\.\d+)""),"""")
"),"")</f>
        <v/>
      </c>
      <c r="H1056" s="3"/>
      <c r="I1056" s="3" t="str">
        <f aca="false">IFERROR(__xludf.dummyfunction("if($T1056&lt;&gt;"""",REGEXEXTRACT(SUBSTITUTE ($T1056,I$1&amp;"" CE"",""""), I$1&amp;""[\w &amp;]*, (\d+\.\d+)""),"""")
"),"")</f>
        <v/>
      </c>
      <c r="J1056" s="3" t="str">
        <f aca="false">IFERROR(__xludf.dummyfunction("if($T1056&lt;&gt;"""",REGEXEXTRACT($T1056, J$1&amp;""[\w &amp;]*, (\d+\.\d+)""),"""")
"),"")</f>
        <v/>
      </c>
      <c r="K1056" s="3"/>
      <c r="L1056" s="3" t="str">
        <f aca="false">IFERROR(__xludf.dummyfunction("if($T1056&lt;&gt;"""",REGEXEXTRACT(SUBSTITUTE ($T1056,L$1&amp;"" CE"",""""), L$1&amp;""[\w &amp;]*, (\d+\.\d+)""),"""")
"),"")</f>
        <v/>
      </c>
      <c r="M1056" s="3" t="str">
        <f aca="false">IFERROR(__xludf.dummyfunction("if($T1056&lt;&gt;"""",REGEXEXTRACT($T1056, M$1&amp;""[\w &amp;]*, (\d+\.\d+)""),"""")
"),"")</f>
        <v/>
      </c>
      <c r="N1056" s="3" t="str">
        <f aca="false">IFERROR(__xludf.dummyfunction("if($T1056&lt;&gt;"""",REGEXEXTRACT(SUBSTITUTE ($T1056,N$1&amp;"" CE"",""""), N$1&amp;""[\w &amp;]*, (\d+\.\d+)""),"""")
"),"")</f>
        <v/>
      </c>
      <c r="O1056" s="3" t="str">
        <f aca="false">IFERROR(__xludf.dummyfunction("if($T1056&lt;&gt;"""",REGEXEXTRACT($T1056, O$1&amp;""[\w &amp;]*, (\d+\.\d+)""),"""")
"),"")</f>
        <v/>
      </c>
      <c r="P1056" s="2"/>
      <c r="Q1056" s="2"/>
      <c r="R1056" s="2"/>
      <c r="S1056" s="2"/>
      <c r="T1056" s="5"/>
    </row>
    <row r="1057" customFormat="false" ht="15.75" hidden="false" customHeight="false" outlineLevel="0" collapsed="false">
      <c r="A1057" s="4"/>
      <c r="B1057" s="2"/>
      <c r="C1057" s="2"/>
      <c r="D1057" s="2"/>
      <c r="E1057" s="2"/>
      <c r="F1057" s="3" t="str">
        <f aca="false">IFERROR(__xludf.dummyfunction("if($T1057&lt;&gt;"""",REGEXEXTRACT(SUBSTITUTE ($T1057,F$1&amp;"" CE"",""""), F$1&amp;""[\w &amp;]*, (\d+\.\d+)""),"""")
"),"")</f>
        <v/>
      </c>
      <c r="G1057" s="3" t="str">
        <f aca="false">IFERROR(__xludf.dummyfunction("if($T1057&lt;&gt;"""",REGEXEXTRACT($T1057, G$1&amp;""[\w &amp;]*, (\d+\.\d+)""),"""")
"),"")</f>
        <v/>
      </c>
      <c r="H1057" s="3"/>
      <c r="I1057" s="3" t="str">
        <f aca="false">IFERROR(__xludf.dummyfunction("if($T1057&lt;&gt;"""",REGEXEXTRACT(SUBSTITUTE ($T1057,I$1&amp;"" CE"",""""), I$1&amp;""[\w &amp;]*, (\d+\.\d+)""),"""")
"),"")</f>
        <v/>
      </c>
      <c r="J1057" s="3" t="str">
        <f aca="false">IFERROR(__xludf.dummyfunction("if($T1057&lt;&gt;"""",REGEXEXTRACT($T1057, J$1&amp;""[\w &amp;]*, (\d+\.\d+)""),"""")
"),"")</f>
        <v/>
      </c>
      <c r="K1057" s="3"/>
      <c r="L1057" s="3" t="str">
        <f aca="false">IFERROR(__xludf.dummyfunction("if($T1057&lt;&gt;"""",REGEXEXTRACT(SUBSTITUTE ($T1057,L$1&amp;"" CE"",""""), L$1&amp;""[\w &amp;]*, (\d+\.\d+)""),"""")
"),"")</f>
        <v/>
      </c>
      <c r="M1057" s="3" t="str">
        <f aca="false">IFERROR(__xludf.dummyfunction("if($T1057&lt;&gt;"""",REGEXEXTRACT($T1057, M$1&amp;""[\w &amp;]*, (\d+\.\d+)""),"""")
"),"")</f>
        <v/>
      </c>
      <c r="N1057" s="3" t="str">
        <f aca="false">IFERROR(__xludf.dummyfunction("if($T1057&lt;&gt;"""",REGEXEXTRACT(SUBSTITUTE ($T1057,N$1&amp;"" CE"",""""), N$1&amp;""[\w &amp;]*, (\d+\.\d+)""),"""")
"),"")</f>
        <v/>
      </c>
      <c r="O1057" s="3" t="str">
        <f aca="false">IFERROR(__xludf.dummyfunction("if($T1057&lt;&gt;"""",REGEXEXTRACT($T1057, O$1&amp;""[\w &amp;]*, (\d+\.\d+)""),"""")
"),"")</f>
        <v/>
      </c>
      <c r="P1057" s="2"/>
      <c r="Q1057" s="2"/>
      <c r="R1057" s="2"/>
      <c r="S1057" s="2"/>
      <c r="T1057" s="5"/>
    </row>
    <row r="1058" customFormat="false" ht="15.75" hidden="false" customHeight="false" outlineLevel="0" collapsed="false">
      <c r="A1058" s="4"/>
      <c r="B1058" s="2"/>
      <c r="C1058" s="2"/>
      <c r="D1058" s="2"/>
      <c r="E1058" s="2"/>
      <c r="F1058" s="3" t="str">
        <f aca="false">IFERROR(__xludf.dummyfunction("if($T1058&lt;&gt;"""",REGEXEXTRACT(SUBSTITUTE ($T1058,F$1&amp;"" CE"",""""), F$1&amp;""[\w &amp;]*, (\d+\.\d+)""),"""")
"),"")</f>
        <v/>
      </c>
      <c r="G1058" s="3" t="str">
        <f aca="false">IFERROR(__xludf.dummyfunction("if($T1058&lt;&gt;"""",REGEXEXTRACT($T1058, G$1&amp;""[\w &amp;]*, (\d+\.\d+)""),"""")
"),"")</f>
        <v/>
      </c>
      <c r="H1058" s="3"/>
      <c r="I1058" s="3" t="str">
        <f aca="false">IFERROR(__xludf.dummyfunction("if($T1058&lt;&gt;"""",REGEXEXTRACT(SUBSTITUTE ($T1058,I$1&amp;"" CE"",""""), I$1&amp;""[\w &amp;]*, (\d+\.\d+)""),"""")
"),"")</f>
        <v/>
      </c>
      <c r="J1058" s="3" t="str">
        <f aca="false">IFERROR(__xludf.dummyfunction("if($T1058&lt;&gt;"""",REGEXEXTRACT($T1058, J$1&amp;""[\w &amp;]*, (\d+\.\d+)""),"""")
"),"")</f>
        <v/>
      </c>
      <c r="K1058" s="3"/>
      <c r="L1058" s="3" t="str">
        <f aca="false">IFERROR(__xludf.dummyfunction("if($T1058&lt;&gt;"""",REGEXEXTRACT(SUBSTITUTE ($T1058,L$1&amp;"" CE"",""""), L$1&amp;""[\w &amp;]*, (\d+\.\d+)""),"""")
"),"")</f>
        <v/>
      </c>
      <c r="M1058" s="3" t="str">
        <f aca="false">IFERROR(__xludf.dummyfunction("if($T1058&lt;&gt;"""",REGEXEXTRACT($T1058, M$1&amp;""[\w &amp;]*, (\d+\.\d+)""),"""")
"),"")</f>
        <v/>
      </c>
      <c r="N1058" s="3" t="str">
        <f aca="false">IFERROR(__xludf.dummyfunction("if($T1058&lt;&gt;"""",REGEXEXTRACT(SUBSTITUTE ($T1058,N$1&amp;"" CE"",""""), N$1&amp;""[\w &amp;]*, (\d+\.\d+)""),"""")
"),"")</f>
        <v/>
      </c>
      <c r="O1058" s="3" t="str">
        <f aca="false">IFERROR(__xludf.dummyfunction("if($T1058&lt;&gt;"""",REGEXEXTRACT($T1058, O$1&amp;""[\w &amp;]*, (\d+\.\d+)""),"""")
"),"")</f>
        <v/>
      </c>
      <c r="P1058" s="2"/>
      <c r="Q1058" s="2"/>
      <c r="R1058" s="2"/>
      <c r="S1058" s="2"/>
      <c r="T1058" s="5"/>
    </row>
    <row r="1059" customFormat="false" ht="15.75" hidden="false" customHeight="false" outlineLevel="0" collapsed="false">
      <c r="A1059" s="4"/>
      <c r="B1059" s="2"/>
      <c r="C1059" s="2"/>
      <c r="D1059" s="2"/>
      <c r="E1059" s="2"/>
      <c r="F1059" s="3" t="str">
        <f aca="false">IFERROR(__xludf.dummyfunction("if($T1059&lt;&gt;"""",REGEXEXTRACT(SUBSTITUTE ($T1059,F$1&amp;"" CE"",""""), F$1&amp;""[\w &amp;]*, (\d+\.\d+)""),"""")
"),"")</f>
        <v/>
      </c>
      <c r="G1059" s="3" t="str">
        <f aca="false">IFERROR(__xludf.dummyfunction("if($T1059&lt;&gt;"""",REGEXEXTRACT($T1059, G$1&amp;""[\w &amp;]*, (\d+\.\d+)""),"""")
"),"")</f>
        <v/>
      </c>
      <c r="H1059" s="3"/>
      <c r="I1059" s="3" t="str">
        <f aca="false">IFERROR(__xludf.dummyfunction("if($T1059&lt;&gt;"""",REGEXEXTRACT(SUBSTITUTE ($T1059,I$1&amp;"" CE"",""""), I$1&amp;""[\w &amp;]*, (\d+\.\d+)""),"""")
"),"")</f>
        <v/>
      </c>
      <c r="J1059" s="3" t="str">
        <f aca="false">IFERROR(__xludf.dummyfunction("if($T1059&lt;&gt;"""",REGEXEXTRACT($T1059, J$1&amp;""[\w &amp;]*, (\d+\.\d+)""),"""")
"),"")</f>
        <v/>
      </c>
      <c r="K1059" s="3"/>
      <c r="L1059" s="3" t="str">
        <f aca="false">IFERROR(__xludf.dummyfunction("if($T1059&lt;&gt;"""",REGEXEXTRACT(SUBSTITUTE ($T1059,L$1&amp;"" CE"",""""), L$1&amp;""[\w &amp;]*, (\d+\.\d+)""),"""")
"),"")</f>
        <v/>
      </c>
      <c r="M1059" s="3" t="str">
        <f aca="false">IFERROR(__xludf.dummyfunction("if($T1059&lt;&gt;"""",REGEXEXTRACT($T1059, M$1&amp;""[\w &amp;]*, (\d+\.\d+)""),"""")
"),"")</f>
        <v/>
      </c>
      <c r="N1059" s="3" t="str">
        <f aca="false">IFERROR(__xludf.dummyfunction("if($T1059&lt;&gt;"""",REGEXEXTRACT(SUBSTITUTE ($T1059,N$1&amp;"" CE"",""""), N$1&amp;""[\w &amp;]*, (\d+\.\d+)""),"""")
"),"")</f>
        <v/>
      </c>
      <c r="O1059" s="3" t="str">
        <f aca="false">IFERROR(__xludf.dummyfunction("if($T1059&lt;&gt;"""",REGEXEXTRACT($T1059, O$1&amp;""[\w &amp;]*, (\d+\.\d+)""),"""")
"),"")</f>
        <v/>
      </c>
      <c r="P1059" s="2"/>
      <c r="Q1059" s="2"/>
      <c r="R1059" s="2"/>
      <c r="S1059" s="2"/>
      <c r="T1059" s="5"/>
    </row>
    <row r="1060" customFormat="false" ht="15.75" hidden="false" customHeight="false" outlineLevel="0" collapsed="false">
      <c r="A1060" s="4"/>
      <c r="B1060" s="2"/>
      <c r="C1060" s="2"/>
      <c r="D1060" s="2"/>
      <c r="E1060" s="2"/>
      <c r="F1060" s="3" t="str">
        <f aca="false">IFERROR(__xludf.dummyfunction("if($T1060&lt;&gt;"""",REGEXEXTRACT(SUBSTITUTE ($T1060,F$1&amp;"" CE"",""""), F$1&amp;""[\w &amp;]*, (\d+\.\d+)""),"""")
"),"")</f>
        <v/>
      </c>
      <c r="G1060" s="3" t="str">
        <f aca="false">IFERROR(__xludf.dummyfunction("if($T1060&lt;&gt;"""",REGEXEXTRACT($T1060, G$1&amp;""[\w &amp;]*, (\d+\.\d+)""),"""")
"),"")</f>
        <v/>
      </c>
      <c r="H1060" s="3"/>
      <c r="I1060" s="3" t="str">
        <f aca="false">IFERROR(__xludf.dummyfunction("if($T1060&lt;&gt;"""",REGEXEXTRACT(SUBSTITUTE ($T1060,I$1&amp;"" CE"",""""), I$1&amp;""[\w &amp;]*, (\d+\.\d+)""),"""")
"),"")</f>
        <v/>
      </c>
      <c r="J1060" s="3" t="str">
        <f aca="false">IFERROR(__xludf.dummyfunction("if($T1060&lt;&gt;"""",REGEXEXTRACT($T1060, J$1&amp;""[\w &amp;]*, (\d+\.\d+)""),"""")
"),"")</f>
        <v/>
      </c>
      <c r="K1060" s="3"/>
      <c r="L1060" s="3" t="str">
        <f aca="false">IFERROR(__xludf.dummyfunction("if($T1060&lt;&gt;"""",REGEXEXTRACT(SUBSTITUTE ($T1060,L$1&amp;"" CE"",""""), L$1&amp;""[\w &amp;]*, (\d+\.\d+)""),"""")
"),"")</f>
        <v/>
      </c>
      <c r="M1060" s="3" t="str">
        <f aca="false">IFERROR(__xludf.dummyfunction("if($T1060&lt;&gt;"""",REGEXEXTRACT($T1060, M$1&amp;""[\w &amp;]*, (\d+\.\d+)""),"""")
"),"")</f>
        <v/>
      </c>
      <c r="N1060" s="3" t="str">
        <f aca="false">IFERROR(__xludf.dummyfunction("if($T1060&lt;&gt;"""",REGEXEXTRACT(SUBSTITUTE ($T1060,N$1&amp;"" CE"",""""), N$1&amp;""[\w &amp;]*, (\d+\.\d+)""),"""")
"),"")</f>
        <v/>
      </c>
      <c r="O1060" s="3" t="str">
        <f aca="false">IFERROR(__xludf.dummyfunction("if($T1060&lt;&gt;"""",REGEXEXTRACT($T1060, O$1&amp;""[\w &amp;]*, (\d+\.\d+)""),"""")
"),"")</f>
        <v/>
      </c>
      <c r="P1060" s="2"/>
      <c r="Q1060" s="2"/>
      <c r="R1060" s="2"/>
      <c r="S1060" s="2"/>
      <c r="T1060" s="5"/>
    </row>
    <row r="1061" customFormat="false" ht="15.75" hidden="false" customHeight="false" outlineLevel="0" collapsed="false">
      <c r="A1061" s="4"/>
      <c r="B1061" s="2"/>
      <c r="C1061" s="2"/>
      <c r="D1061" s="2"/>
      <c r="E1061" s="2"/>
      <c r="F1061" s="3" t="str">
        <f aca="false">IFERROR(__xludf.dummyfunction("if($T1061&lt;&gt;"""",REGEXEXTRACT(SUBSTITUTE ($T1061,F$1&amp;"" CE"",""""), F$1&amp;""[\w &amp;]*, (\d+\.\d+)""),"""")
"),"")</f>
        <v/>
      </c>
      <c r="G1061" s="3" t="str">
        <f aca="false">IFERROR(__xludf.dummyfunction("if($T1061&lt;&gt;"""",REGEXEXTRACT($T1061, G$1&amp;""[\w &amp;]*, (\d+\.\d+)""),"""")
"),"")</f>
        <v/>
      </c>
      <c r="H1061" s="3"/>
      <c r="I1061" s="3" t="str">
        <f aca="false">IFERROR(__xludf.dummyfunction("if($T1061&lt;&gt;"""",REGEXEXTRACT(SUBSTITUTE ($T1061,I$1&amp;"" CE"",""""), I$1&amp;""[\w &amp;]*, (\d+\.\d+)""),"""")
"),"")</f>
        <v/>
      </c>
      <c r="J1061" s="3" t="str">
        <f aca="false">IFERROR(__xludf.dummyfunction("if($T1061&lt;&gt;"""",REGEXEXTRACT($T1061, J$1&amp;""[\w &amp;]*, (\d+\.\d+)""),"""")
"),"")</f>
        <v/>
      </c>
      <c r="K1061" s="3"/>
      <c r="L1061" s="3" t="str">
        <f aca="false">IFERROR(__xludf.dummyfunction("if($T1061&lt;&gt;"""",REGEXEXTRACT(SUBSTITUTE ($T1061,L$1&amp;"" CE"",""""), L$1&amp;""[\w &amp;]*, (\d+\.\d+)""),"""")
"),"")</f>
        <v/>
      </c>
      <c r="M1061" s="3" t="str">
        <f aca="false">IFERROR(__xludf.dummyfunction("if($T1061&lt;&gt;"""",REGEXEXTRACT($T1061, M$1&amp;""[\w &amp;]*, (\d+\.\d+)""),"""")
"),"")</f>
        <v/>
      </c>
      <c r="N1061" s="3" t="str">
        <f aca="false">IFERROR(__xludf.dummyfunction("if($T1061&lt;&gt;"""",REGEXEXTRACT(SUBSTITUTE ($T1061,N$1&amp;"" CE"",""""), N$1&amp;""[\w &amp;]*, (\d+\.\d+)""),"""")
"),"")</f>
        <v/>
      </c>
      <c r="O1061" s="3" t="str">
        <f aca="false">IFERROR(__xludf.dummyfunction("if($T1061&lt;&gt;"""",REGEXEXTRACT($T1061, O$1&amp;""[\w &amp;]*, (\d+\.\d+)""),"""")
"),"")</f>
        <v/>
      </c>
      <c r="P1061" s="2"/>
      <c r="Q1061" s="2"/>
      <c r="R1061" s="2"/>
      <c r="S1061" s="2"/>
      <c r="T1061" s="5"/>
    </row>
    <row r="1062" customFormat="false" ht="15.75" hidden="false" customHeight="false" outlineLevel="0" collapsed="false">
      <c r="A1062" s="4"/>
      <c r="B1062" s="2"/>
      <c r="C1062" s="2"/>
      <c r="D1062" s="2"/>
      <c r="E1062" s="2"/>
      <c r="F1062" s="3" t="str">
        <f aca="false">IFERROR(__xludf.dummyfunction("if($T1062&lt;&gt;"""",REGEXEXTRACT(SUBSTITUTE ($T1062,F$1&amp;"" CE"",""""), F$1&amp;""[\w &amp;]*, (\d+\.\d+)""),"""")
"),"")</f>
        <v/>
      </c>
      <c r="G1062" s="3" t="str">
        <f aca="false">IFERROR(__xludf.dummyfunction("if($T1062&lt;&gt;"""",REGEXEXTRACT($T1062, G$1&amp;""[\w &amp;]*, (\d+\.\d+)""),"""")
"),"")</f>
        <v/>
      </c>
      <c r="H1062" s="3"/>
      <c r="I1062" s="3" t="str">
        <f aca="false">IFERROR(__xludf.dummyfunction("if($T1062&lt;&gt;"""",REGEXEXTRACT(SUBSTITUTE ($T1062,I$1&amp;"" CE"",""""), I$1&amp;""[\w &amp;]*, (\d+\.\d+)""),"""")
"),"")</f>
        <v/>
      </c>
      <c r="J1062" s="3" t="str">
        <f aca="false">IFERROR(__xludf.dummyfunction("if($T1062&lt;&gt;"""",REGEXEXTRACT($T1062, J$1&amp;""[\w &amp;]*, (\d+\.\d+)""),"""")
"),"")</f>
        <v/>
      </c>
      <c r="K1062" s="3"/>
      <c r="L1062" s="3" t="str">
        <f aca="false">IFERROR(__xludf.dummyfunction("if($T1062&lt;&gt;"""",REGEXEXTRACT(SUBSTITUTE ($T1062,L$1&amp;"" CE"",""""), L$1&amp;""[\w &amp;]*, (\d+\.\d+)""),"""")
"),"")</f>
        <v/>
      </c>
      <c r="M1062" s="3" t="str">
        <f aca="false">IFERROR(__xludf.dummyfunction("if($T1062&lt;&gt;"""",REGEXEXTRACT($T1062, M$1&amp;""[\w &amp;]*, (\d+\.\d+)""),"""")
"),"")</f>
        <v/>
      </c>
      <c r="N1062" s="3" t="str">
        <f aca="false">IFERROR(__xludf.dummyfunction("if($T1062&lt;&gt;"""",REGEXEXTRACT(SUBSTITUTE ($T1062,N$1&amp;"" CE"",""""), N$1&amp;""[\w &amp;]*, (\d+\.\d+)""),"""")
"),"")</f>
        <v/>
      </c>
      <c r="O1062" s="3" t="str">
        <f aca="false">IFERROR(__xludf.dummyfunction("if($T1062&lt;&gt;"""",REGEXEXTRACT($T1062, O$1&amp;""[\w &amp;]*, (\d+\.\d+)""),"""")
"),"")</f>
        <v/>
      </c>
      <c r="P1062" s="2"/>
      <c r="Q1062" s="2"/>
      <c r="R1062" s="2"/>
      <c r="S1062" s="2"/>
      <c r="T1062" s="5"/>
    </row>
    <row r="1063" customFormat="false" ht="15.75" hidden="false" customHeight="false" outlineLevel="0" collapsed="false">
      <c r="A1063" s="4"/>
      <c r="B1063" s="2"/>
      <c r="C1063" s="2"/>
      <c r="D1063" s="2"/>
      <c r="E1063" s="2"/>
      <c r="F1063" s="3" t="str">
        <f aca="false">IFERROR(__xludf.dummyfunction("if($T1063&lt;&gt;"""",REGEXEXTRACT(SUBSTITUTE ($T1063,F$1&amp;"" CE"",""""), F$1&amp;""[\w &amp;]*, (\d+\.\d+)""),"""")
"),"")</f>
        <v/>
      </c>
      <c r="G1063" s="3" t="str">
        <f aca="false">IFERROR(__xludf.dummyfunction("if($T1063&lt;&gt;"""",REGEXEXTRACT($T1063, G$1&amp;""[\w &amp;]*, (\d+\.\d+)""),"""")
"),"")</f>
        <v/>
      </c>
      <c r="H1063" s="3"/>
      <c r="I1063" s="3" t="str">
        <f aca="false">IFERROR(__xludf.dummyfunction("if($T1063&lt;&gt;"""",REGEXEXTRACT(SUBSTITUTE ($T1063,I$1&amp;"" CE"",""""), I$1&amp;""[\w &amp;]*, (\d+\.\d+)""),"""")
"),"")</f>
        <v/>
      </c>
      <c r="J1063" s="3" t="str">
        <f aca="false">IFERROR(__xludf.dummyfunction("if($T1063&lt;&gt;"""",REGEXEXTRACT($T1063, J$1&amp;""[\w &amp;]*, (\d+\.\d+)""),"""")
"),"")</f>
        <v/>
      </c>
      <c r="K1063" s="3"/>
      <c r="L1063" s="3" t="str">
        <f aca="false">IFERROR(__xludf.dummyfunction("if($T1063&lt;&gt;"""",REGEXEXTRACT(SUBSTITUTE ($T1063,L$1&amp;"" CE"",""""), L$1&amp;""[\w &amp;]*, (\d+\.\d+)""),"""")
"),"")</f>
        <v/>
      </c>
      <c r="M1063" s="3" t="str">
        <f aca="false">IFERROR(__xludf.dummyfunction("if($T1063&lt;&gt;"""",REGEXEXTRACT($T1063, M$1&amp;""[\w &amp;]*, (\d+\.\d+)""),"""")
"),"")</f>
        <v/>
      </c>
      <c r="N1063" s="3" t="str">
        <f aca="false">IFERROR(__xludf.dummyfunction("if($T1063&lt;&gt;"""",REGEXEXTRACT(SUBSTITUTE ($T1063,N$1&amp;"" CE"",""""), N$1&amp;""[\w &amp;]*, (\d+\.\d+)""),"""")
"),"")</f>
        <v/>
      </c>
      <c r="O1063" s="3" t="str">
        <f aca="false">IFERROR(__xludf.dummyfunction("if($T1063&lt;&gt;"""",REGEXEXTRACT($T1063, O$1&amp;""[\w &amp;]*, (\d+\.\d+)""),"""")
"),"")</f>
        <v/>
      </c>
      <c r="P1063" s="2"/>
      <c r="Q1063" s="2"/>
      <c r="R1063" s="2"/>
      <c r="S1063" s="2"/>
      <c r="T1063" s="5"/>
    </row>
    <row r="1064" customFormat="false" ht="15.75" hidden="false" customHeight="false" outlineLevel="0" collapsed="false">
      <c r="A1064" s="4"/>
      <c r="B1064" s="2"/>
      <c r="C1064" s="2"/>
      <c r="D1064" s="2"/>
      <c r="E1064" s="2"/>
      <c r="F1064" s="3" t="str">
        <f aca="false">IFERROR(__xludf.dummyfunction("if($T1064&lt;&gt;"""",REGEXEXTRACT(SUBSTITUTE ($T1064,F$1&amp;"" CE"",""""), F$1&amp;""[\w &amp;]*, (\d+\.\d+)""),"""")
"),"")</f>
        <v/>
      </c>
      <c r="G1064" s="3" t="str">
        <f aca="false">IFERROR(__xludf.dummyfunction("if($T1064&lt;&gt;"""",REGEXEXTRACT($T1064, G$1&amp;""[\w &amp;]*, (\d+\.\d+)""),"""")
"),"")</f>
        <v/>
      </c>
      <c r="H1064" s="3"/>
      <c r="I1064" s="3" t="str">
        <f aca="false">IFERROR(__xludf.dummyfunction("if($T1064&lt;&gt;"""",REGEXEXTRACT(SUBSTITUTE ($T1064,I$1&amp;"" CE"",""""), I$1&amp;""[\w &amp;]*, (\d+\.\d+)""),"""")
"),"")</f>
        <v/>
      </c>
      <c r="J1064" s="3" t="str">
        <f aca="false">IFERROR(__xludf.dummyfunction("if($T1064&lt;&gt;"""",REGEXEXTRACT($T1064, J$1&amp;""[\w &amp;]*, (\d+\.\d+)""),"""")
"),"")</f>
        <v/>
      </c>
      <c r="K1064" s="3"/>
      <c r="L1064" s="3" t="str">
        <f aca="false">IFERROR(__xludf.dummyfunction("if($T1064&lt;&gt;"""",REGEXEXTRACT(SUBSTITUTE ($T1064,L$1&amp;"" CE"",""""), L$1&amp;""[\w &amp;]*, (\d+\.\d+)""),"""")
"),"")</f>
        <v/>
      </c>
      <c r="M1064" s="3" t="str">
        <f aca="false">IFERROR(__xludf.dummyfunction("if($T1064&lt;&gt;"""",REGEXEXTRACT($T1064, M$1&amp;""[\w &amp;]*, (\d+\.\d+)""),"""")
"),"")</f>
        <v/>
      </c>
      <c r="N1064" s="3" t="str">
        <f aca="false">IFERROR(__xludf.dummyfunction("if($T1064&lt;&gt;"""",REGEXEXTRACT(SUBSTITUTE ($T1064,N$1&amp;"" CE"",""""), N$1&amp;""[\w &amp;]*, (\d+\.\d+)""),"""")
"),"")</f>
        <v/>
      </c>
      <c r="O1064" s="3" t="str">
        <f aca="false">IFERROR(__xludf.dummyfunction("if($T1064&lt;&gt;"""",REGEXEXTRACT($T1064, O$1&amp;""[\w &amp;]*, (\d+\.\d+)""),"""")
"),"")</f>
        <v/>
      </c>
      <c r="P1064" s="2"/>
      <c r="Q1064" s="2"/>
      <c r="R1064" s="2"/>
      <c r="S1064" s="2"/>
      <c r="T1064" s="5"/>
    </row>
    <row r="1065" customFormat="false" ht="15.75" hidden="false" customHeight="false" outlineLevel="0" collapsed="false">
      <c r="A1065" s="4"/>
      <c r="B1065" s="2"/>
      <c r="C1065" s="2"/>
      <c r="D1065" s="2"/>
      <c r="E1065" s="2"/>
      <c r="F1065" s="3" t="str">
        <f aca="false">IFERROR(__xludf.dummyfunction("if($T1065&lt;&gt;"""",REGEXEXTRACT(SUBSTITUTE ($T1065,F$1&amp;"" CE"",""""), F$1&amp;""[\w &amp;]*, (\d+\.\d+)""),"""")
"),"")</f>
        <v/>
      </c>
      <c r="G1065" s="3" t="str">
        <f aca="false">IFERROR(__xludf.dummyfunction("if($T1065&lt;&gt;"""",REGEXEXTRACT($T1065, G$1&amp;""[\w &amp;]*, (\d+\.\d+)""),"""")
"),"")</f>
        <v/>
      </c>
      <c r="H1065" s="3"/>
      <c r="I1065" s="3" t="str">
        <f aca="false">IFERROR(__xludf.dummyfunction("if($T1065&lt;&gt;"""",REGEXEXTRACT(SUBSTITUTE ($T1065,I$1&amp;"" CE"",""""), I$1&amp;""[\w &amp;]*, (\d+\.\d+)""),"""")
"),"")</f>
        <v/>
      </c>
      <c r="J1065" s="3" t="str">
        <f aca="false">IFERROR(__xludf.dummyfunction("if($T1065&lt;&gt;"""",REGEXEXTRACT($T1065, J$1&amp;""[\w &amp;]*, (\d+\.\d+)""),"""")
"),"")</f>
        <v/>
      </c>
      <c r="K1065" s="3"/>
      <c r="L1065" s="3" t="str">
        <f aca="false">IFERROR(__xludf.dummyfunction("if($T1065&lt;&gt;"""",REGEXEXTRACT(SUBSTITUTE ($T1065,L$1&amp;"" CE"",""""), L$1&amp;""[\w &amp;]*, (\d+\.\d+)""),"""")
"),"")</f>
        <v/>
      </c>
      <c r="M1065" s="3" t="str">
        <f aca="false">IFERROR(__xludf.dummyfunction("if($T1065&lt;&gt;"""",REGEXEXTRACT($T1065, M$1&amp;""[\w &amp;]*, (\d+\.\d+)""),"""")
"),"")</f>
        <v/>
      </c>
      <c r="N1065" s="3" t="str">
        <f aca="false">IFERROR(__xludf.dummyfunction("if($T1065&lt;&gt;"""",REGEXEXTRACT(SUBSTITUTE ($T1065,N$1&amp;"" CE"",""""), N$1&amp;""[\w &amp;]*, (\d+\.\d+)""),"""")
"),"")</f>
        <v/>
      </c>
      <c r="O1065" s="3" t="str">
        <f aca="false">IFERROR(__xludf.dummyfunction("if($T1065&lt;&gt;"""",REGEXEXTRACT($T1065, O$1&amp;""[\w &amp;]*, (\d+\.\d+)""),"""")
"),"")</f>
        <v/>
      </c>
      <c r="P1065" s="2"/>
      <c r="Q1065" s="2"/>
      <c r="R1065" s="2"/>
      <c r="S1065" s="2"/>
      <c r="T1065" s="5"/>
    </row>
    <row r="1066" customFormat="false" ht="15.75" hidden="false" customHeight="false" outlineLevel="0" collapsed="false">
      <c r="A1066" s="4"/>
      <c r="B1066" s="2"/>
      <c r="C1066" s="2"/>
      <c r="D1066" s="2"/>
      <c r="E1066" s="2"/>
      <c r="F1066" s="3" t="str">
        <f aca="false">IFERROR(__xludf.dummyfunction("if($T1066&lt;&gt;"""",REGEXEXTRACT(SUBSTITUTE ($T1066,F$1&amp;"" CE"",""""), F$1&amp;""[\w &amp;]*, (\d+\.\d+)""),"""")
"),"")</f>
        <v/>
      </c>
      <c r="G1066" s="3" t="str">
        <f aca="false">IFERROR(__xludf.dummyfunction("if($T1066&lt;&gt;"""",REGEXEXTRACT($T1066, G$1&amp;""[\w &amp;]*, (\d+\.\d+)""),"""")
"),"")</f>
        <v/>
      </c>
      <c r="H1066" s="3"/>
      <c r="I1066" s="3" t="str">
        <f aca="false">IFERROR(__xludf.dummyfunction("if($T1066&lt;&gt;"""",REGEXEXTRACT(SUBSTITUTE ($T1066,I$1&amp;"" CE"",""""), I$1&amp;""[\w &amp;]*, (\d+\.\d+)""),"""")
"),"")</f>
        <v/>
      </c>
      <c r="J1066" s="3" t="str">
        <f aca="false">IFERROR(__xludf.dummyfunction("if($T1066&lt;&gt;"""",REGEXEXTRACT($T1066, J$1&amp;""[\w &amp;]*, (\d+\.\d+)""),"""")
"),"")</f>
        <v/>
      </c>
      <c r="K1066" s="3"/>
      <c r="L1066" s="3" t="str">
        <f aca="false">IFERROR(__xludf.dummyfunction("if($T1066&lt;&gt;"""",REGEXEXTRACT(SUBSTITUTE ($T1066,L$1&amp;"" CE"",""""), L$1&amp;""[\w &amp;]*, (\d+\.\d+)""),"""")
"),"")</f>
        <v/>
      </c>
      <c r="M1066" s="3" t="str">
        <f aca="false">IFERROR(__xludf.dummyfunction("if($T1066&lt;&gt;"""",REGEXEXTRACT($T1066, M$1&amp;""[\w &amp;]*, (\d+\.\d+)""),"""")
"),"")</f>
        <v/>
      </c>
      <c r="N1066" s="3" t="str">
        <f aca="false">IFERROR(__xludf.dummyfunction("if($T1066&lt;&gt;"""",REGEXEXTRACT(SUBSTITUTE ($T1066,N$1&amp;"" CE"",""""), N$1&amp;""[\w &amp;]*, (\d+\.\d+)""),"""")
"),"")</f>
        <v/>
      </c>
      <c r="O1066" s="3" t="str">
        <f aca="false">IFERROR(__xludf.dummyfunction("if($T1066&lt;&gt;"""",REGEXEXTRACT($T1066, O$1&amp;""[\w &amp;]*, (\d+\.\d+)""),"""")
"),"")</f>
        <v/>
      </c>
      <c r="P1066" s="2"/>
      <c r="Q1066" s="2"/>
      <c r="R1066" s="2"/>
      <c r="S1066" s="2"/>
      <c r="T1066" s="5"/>
    </row>
    <row r="1067" customFormat="false" ht="15.75" hidden="false" customHeight="false" outlineLevel="0" collapsed="false">
      <c r="A1067" s="4"/>
      <c r="B1067" s="2"/>
      <c r="C1067" s="2"/>
      <c r="D1067" s="2"/>
      <c r="E1067" s="2"/>
      <c r="F1067" s="3" t="str">
        <f aca="false">IFERROR(__xludf.dummyfunction("if($T1067&lt;&gt;"""",REGEXEXTRACT(SUBSTITUTE ($T1067,F$1&amp;"" CE"",""""), F$1&amp;""[\w &amp;]*, (\d+\.\d+)""),"""")
"),"")</f>
        <v/>
      </c>
      <c r="G1067" s="3" t="str">
        <f aca="false">IFERROR(__xludf.dummyfunction("if($T1067&lt;&gt;"""",REGEXEXTRACT($T1067, G$1&amp;""[\w &amp;]*, (\d+\.\d+)""),"""")
"),"")</f>
        <v/>
      </c>
      <c r="H1067" s="3"/>
      <c r="I1067" s="3" t="str">
        <f aca="false">IFERROR(__xludf.dummyfunction("if($T1067&lt;&gt;"""",REGEXEXTRACT(SUBSTITUTE ($T1067,I$1&amp;"" CE"",""""), I$1&amp;""[\w &amp;]*, (\d+\.\d+)""),"""")
"),"")</f>
        <v/>
      </c>
      <c r="J1067" s="3" t="str">
        <f aca="false">IFERROR(__xludf.dummyfunction("if($T1067&lt;&gt;"""",REGEXEXTRACT($T1067, J$1&amp;""[\w &amp;]*, (\d+\.\d+)""),"""")
"),"")</f>
        <v/>
      </c>
      <c r="K1067" s="3"/>
      <c r="L1067" s="3" t="str">
        <f aca="false">IFERROR(__xludf.dummyfunction("if($T1067&lt;&gt;"""",REGEXEXTRACT(SUBSTITUTE ($T1067,L$1&amp;"" CE"",""""), L$1&amp;""[\w &amp;]*, (\d+\.\d+)""),"""")
"),"")</f>
        <v/>
      </c>
      <c r="M1067" s="3" t="str">
        <f aca="false">IFERROR(__xludf.dummyfunction("if($T1067&lt;&gt;"""",REGEXEXTRACT($T1067, M$1&amp;""[\w &amp;]*, (\d+\.\d+)""),"""")
"),"")</f>
        <v/>
      </c>
      <c r="N1067" s="3" t="str">
        <f aca="false">IFERROR(__xludf.dummyfunction("if($T1067&lt;&gt;"""",REGEXEXTRACT(SUBSTITUTE ($T1067,N$1&amp;"" CE"",""""), N$1&amp;""[\w &amp;]*, (\d+\.\d+)""),"""")
"),"")</f>
        <v/>
      </c>
      <c r="O1067" s="3" t="str">
        <f aca="false">IFERROR(__xludf.dummyfunction("if($T1067&lt;&gt;"""",REGEXEXTRACT($T1067, O$1&amp;""[\w &amp;]*, (\d+\.\d+)""),"""")
"),"")</f>
        <v/>
      </c>
      <c r="P1067" s="2"/>
      <c r="Q1067" s="2"/>
      <c r="R1067" s="2"/>
      <c r="S1067" s="2"/>
      <c r="T1067" s="5"/>
    </row>
    <row r="1068" customFormat="false" ht="15.75" hidden="false" customHeight="false" outlineLevel="0" collapsed="false">
      <c r="A1068" s="4"/>
      <c r="B1068" s="2"/>
      <c r="C1068" s="2"/>
      <c r="D1068" s="2"/>
      <c r="E1068" s="2"/>
      <c r="F1068" s="3" t="str">
        <f aca="false">IFERROR(__xludf.dummyfunction("if($T1068&lt;&gt;"""",REGEXEXTRACT(SUBSTITUTE ($T1068,F$1&amp;"" CE"",""""), F$1&amp;""[\w &amp;]*, (\d+\.\d+)""),"""")
"),"")</f>
        <v/>
      </c>
      <c r="G1068" s="3" t="str">
        <f aca="false">IFERROR(__xludf.dummyfunction("if($T1068&lt;&gt;"""",REGEXEXTRACT($T1068, G$1&amp;""[\w &amp;]*, (\d+\.\d+)""),"""")
"),"")</f>
        <v/>
      </c>
      <c r="H1068" s="3"/>
      <c r="I1068" s="3" t="str">
        <f aca="false">IFERROR(__xludf.dummyfunction("if($T1068&lt;&gt;"""",REGEXEXTRACT(SUBSTITUTE ($T1068,I$1&amp;"" CE"",""""), I$1&amp;""[\w &amp;]*, (\d+\.\d+)""),"""")
"),"")</f>
        <v/>
      </c>
      <c r="J1068" s="3" t="str">
        <f aca="false">IFERROR(__xludf.dummyfunction("if($T1068&lt;&gt;"""",REGEXEXTRACT($T1068, J$1&amp;""[\w &amp;]*, (\d+\.\d+)""),"""")
"),"")</f>
        <v/>
      </c>
      <c r="K1068" s="3"/>
      <c r="L1068" s="3" t="str">
        <f aca="false">IFERROR(__xludf.dummyfunction("if($T1068&lt;&gt;"""",REGEXEXTRACT(SUBSTITUTE ($T1068,L$1&amp;"" CE"",""""), L$1&amp;""[\w &amp;]*, (\d+\.\d+)""),"""")
"),"")</f>
        <v/>
      </c>
      <c r="M1068" s="3" t="str">
        <f aca="false">IFERROR(__xludf.dummyfunction("if($T1068&lt;&gt;"""",REGEXEXTRACT($T1068, M$1&amp;""[\w &amp;]*, (\d+\.\d+)""),"""")
"),"")</f>
        <v/>
      </c>
      <c r="N1068" s="3" t="str">
        <f aca="false">IFERROR(__xludf.dummyfunction("if($T1068&lt;&gt;"""",REGEXEXTRACT(SUBSTITUTE ($T1068,N$1&amp;"" CE"",""""), N$1&amp;""[\w &amp;]*, (\d+\.\d+)""),"""")
"),"")</f>
        <v/>
      </c>
      <c r="O1068" s="3" t="str">
        <f aca="false">IFERROR(__xludf.dummyfunction("if($T1068&lt;&gt;"""",REGEXEXTRACT($T1068, O$1&amp;""[\w &amp;]*, (\d+\.\d+)""),"""")
"),"")</f>
        <v/>
      </c>
      <c r="P1068" s="2"/>
      <c r="Q1068" s="2"/>
      <c r="R1068" s="2"/>
      <c r="S1068" s="2"/>
      <c r="T1068" s="5"/>
    </row>
    <row r="1069" customFormat="false" ht="15.75" hidden="false" customHeight="false" outlineLevel="0" collapsed="false">
      <c r="A1069" s="4"/>
      <c r="B1069" s="2"/>
      <c r="C1069" s="2"/>
      <c r="D1069" s="2"/>
      <c r="E1069" s="2"/>
      <c r="F1069" s="3" t="str">
        <f aca="false">IFERROR(__xludf.dummyfunction("if($T1069&lt;&gt;"""",REGEXEXTRACT(SUBSTITUTE ($T1069,F$1&amp;"" CE"",""""), F$1&amp;""[\w &amp;]*, (\d+\.\d+)""),"""")
"),"")</f>
        <v/>
      </c>
      <c r="G1069" s="3" t="str">
        <f aca="false">IFERROR(__xludf.dummyfunction("if($T1069&lt;&gt;"""",REGEXEXTRACT($T1069, G$1&amp;""[\w &amp;]*, (\d+\.\d+)""),"""")
"),"")</f>
        <v/>
      </c>
      <c r="H1069" s="3"/>
      <c r="I1069" s="3" t="str">
        <f aca="false">IFERROR(__xludf.dummyfunction("if($T1069&lt;&gt;"""",REGEXEXTRACT(SUBSTITUTE ($T1069,I$1&amp;"" CE"",""""), I$1&amp;""[\w &amp;]*, (\d+\.\d+)""),"""")
"),"")</f>
        <v/>
      </c>
      <c r="J1069" s="3" t="str">
        <f aca="false">IFERROR(__xludf.dummyfunction("if($T1069&lt;&gt;"""",REGEXEXTRACT($T1069, J$1&amp;""[\w &amp;]*, (\d+\.\d+)""),"""")
"),"")</f>
        <v/>
      </c>
      <c r="K1069" s="3"/>
      <c r="L1069" s="3" t="str">
        <f aca="false">IFERROR(__xludf.dummyfunction("if($T1069&lt;&gt;"""",REGEXEXTRACT(SUBSTITUTE ($T1069,L$1&amp;"" CE"",""""), L$1&amp;""[\w &amp;]*, (\d+\.\d+)""),"""")
"),"")</f>
        <v/>
      </c>
      <c r="M1069" s="3" t="str">
        <f aca="false">IFERROR(__xludf.dummyfunction("if($T1069&lt;&gt;"""",REGEXEXTRACT($T1069, M$1&amp;""[\w &amp;]*, (\d+\.\d+)""),"""")
"),"")</f>
        <v/>
      </c>
      <c r="N1069" s="3" t="str">
        <f aca="false">IFERROR(__xludf.dummyfunction("if($T1069&lt;&gt;"""",REGEXEXTRACT(SUBSTITUTE ($T1069,N$1&amp;"" CE"",""""), N$1&amp;""[\w &amp;]*, (\d+\.\d+)""),"""")
"),"")</f>
        <v/>
      </c>
      <c r="O1069" s="3" t="str">
        <f aca="false">IFERROR(__xludf.dummyfunction("if($T1069&lt;&gt;"""",REGEXEXTRACT($T1069, O$1&amp;""[\w &amp;]*, (\d+\.\d+)""),"""")
"),"")</f>
        <v/>
      </c>
      <c r="P1069" s="2"/>
      <c r="Q1069" s="2"/>
      <c r="R1069" s="2"/>
      <c r="S1069" s="2"/>
      <c r="T1069" s="5"/>
    </row>
    <row r="1070" customFormat="false" ht="15.75" hidden="false" customHeight="false" outlineLevel="0" collapsed="false">
      <c r="A1070" s="4"/>
      <c r="B1070" s="2"/>
      <c r="C1070" s="2"/>
      <c r="D1070" s="2"/>
      <c r="E1070" s="2"/>
      <c r="F1070" s="3" t="str">
        <f aca="false">IFERROR(__xludf.dummyfunction("if($T1070&lt;&gt;"""",REGEXEXTRACT(SUBSTITUTE ($T1070,F$1&amp;"" CE"",""""), F$1&amp;""[\w &amp;]*, (\d+\.\d+)""),"""")
"),"")</f>
        <v/>
      </c>
      <c r="G1070" s="3" t="str">
        <f aca="false">IFERROR(__xludf.dummyfunction("if($T1070&lt;&gt;"""",REGEXEXTRACT($T1070, G$1&amp;""[\w &amp;]*, (\d+\.\d+)""),"""")
"),"")</f>
        <v/>
      </c>
      <c r="H1070" s="3"/>
      <c r="I1070" s="3" t="str">
        <f aca="false">IFERROR(__xludf.dummyfunction("if($T1070&lt;&gt;"""",REGEXEXTRACT(SUBSTITUTE ($T1070,I$1&amp;"" CE"",""""), I$1&amp;""[\w &amp;]*, (\d+\.\d+)""),"""")
"),"")</f>
        <v/>
      </c>
      <c r="J1070" s="3" t="str">
        <f aca="false">IFERROR(__xludf.dummyfunction("if($T1070&lt;&gt;"""",REGEXEXTRACT($T1070, J$1&amp;""[\w &amp;]*, (\d+\.\d+)""),"""")
"),"")</f>
        <v/>
      </c>
      <c r="K1070" s="3"/>
      <c r="L1070" s="3" t="str">
        <f aca="false">IFERROR(__xludf.dummyfunction("if($T1070&lt;&gt;"""",REGEXEXTRACT(SUBSTITUTE ($T1070,L$1&amp;"" CE"",""""), L$1&amp;""[\w &amp;]*, (\d+\.\d+)""),"""")
"),"")</f>
        <v/>
      </c>
      <c r="M1070" s="3" t="str">
        <f aca="false">IFERROR(__xludf.dummyfunction("if($T1070&lt;&gt;"""",REGEXEXTRACT($T1070, M$1&amp;""[\w &amp;]*, (\d+\.\d+)""),"""")
"),"")</f>
        <v/>
      </c>
      <c r="N1070" s="3" t="str">
        <f aca="false">IFERROR(__xludf.dummyfunction("if($T1070&lt;&gt;"""",REGEXEXTRACT(SUBSTITUTE ($T1070,N$1&amp;"" CE"",""""), N$1&amp;""[\w &amp;]*, (\d+\.\d+)""),"""")
"),"")</f>
        <v/>
      </c>
      <c r="O1070" s="3" t="str">
        <f aca="false">IFERROR(__xludf.dummyfunction("if($T1070&lt;&gt;"""",REGEXEXTRACT($T1070, O$1&amp;""[\w &amp;]*, (\d+\.\d+)""),"""")
"),"")</f>
        <v/>
      </c>
      <c r="P1070" s="2"/>
      <c r="Q1070" s="2"/>
      <c r="R1070" s="2"/>
      <c r="S1070" s="2"/>
      <c r="T1070" s="5"/>
    </row>
    <row r="1071" customFormat="false" ht="15.75" hidden="false" customHeight="false" outlineLevel="0" collapsed="false">
      <c r="A1071" s="4"/>
      <c r="B1071" s="2"/>
      <c r="C1071" s="2"/>
      <c r="D1071" s="2"/>
      <c r="E1071" s="2"/>
      <c r="F1071" s="3" t="str">
        <f aca="false">IFERROR(__xludf.dummyfunction("if($T1071&lt;&gt;"""",REGEXEXTRACT(SUBSTITUTE ($T1071,F$1&amp;"" CE"",""""), F$1&amp;""[\w &amp;]*, (\d+\.\d+)""),"""")
"),"")</f>
        <v/>
      </c>
      <c r="G1071" s="3" t="str">
        <f aca="false">IFERROR(__xludf.dummyfunction("if($T1071&lt;&gt;"""",REGEXEXTRACT($T1071, G$1&amp;""[\w &amp;]*, (\d+\.\d+)""),"""")
"),"")</f>
        <v/>
      </c>
      <c r="H1071" s="3"/>
      <c r="I1071" s="3" t="str">
        <f aca="false">IFERROR(__xludf.dummyfunction("if($T1071&lt;&gt;"""",REGEXEXTRACT(SUBSTITUTE ($T1071,I$1&amp;"" CE"",""""), I$1&amp;""[\w &amp;]*, (\d+\.\d+)""),"""")
"),"")</f>
        <v/>
      </c>
      <c r="J1071" s="3" t="str">
        <f aca="false">IFERROR(__xludf.dummyfunction("if($T1071&lt;&gt;"""",REGEXEXTRACT($T1071, J$1&amp;""[\w &amp;]*, (\d+\.\d+)""),"""")
"),"")</f>
        <v/>
      </c>
      <c r="K1071" s="3"/>
      <c r="L1071" s="3" t="str">
        <f aca="false">IFERROR(__xludf.dummyfunction("if($T1071&lt;&gt;"""",REGEXEXTRACT(SUBSTITUTE ($T1071,L$1&amp;"" CE"",""""), L$1&amp;""[\w &amp;]*, (\d+\.\d+)""),"""")
"),"")</f>
        <v/>
      </c>
      <c r="M1071" s="3" t="str">
        <f aca="false">IFERROR(__xludf.dummyfunction("if($T1071&lt;&gt;"""",REGEXEXTRACT($T1071, M$1&amp;""[\w &amp;]*, (\d+\.\d+)""),"""")
"),"")</f>
        <v/>
      </c>
      <c r="N1071" s="3" t="str">
        <f aca="false">IFERROR(__xludf.dummyfunction("if($T1071&lt;&gt;"""",REGEXEXTRACT(SUBSTITUTE ($T1071,N$1&amp;"" CE"",""""), N$1&amp;""[\w &amp;]*, (\d+\.\d+)""),"""")
"),"")</f>
        <v/>
      </c>
      <c r="O1071" s="3" t="str">
        <f aca="false">IFERROR(__xludf.dummyfunction("if($T1071&lt;&gt;"""",REGEXEXTRACT($T1071, O$1&amp;""[\w &amp;]*, (\d+\.\d+)""),"""")
"),"")</f>
        <v/>
      </c>
      <c r="P1071" s="2"/>
      <c r="Q1071" s="2"/>
      <c r="R1071" s="2"/>
      <c r="S1071" s="2"/>
      <c r="T1071" s="5"/>
    </row>
    <row r="1072" customFormat="false" ht="15.75" hidden="false" customHeight="false" outlineLevel="0" collapsed="false">
      <c r="A1072" s="4"/>
      <c r="B1072" s="2"/>
      <c r="C1072" s="2"/>
      <c r="D1072" s="2"/>
      <c r="E1072" s="2"/>
      <c r="F1072" s="3" t="str">
        <f aca="false">IFERROR(__xludf.dummyfunction("if($T1072&lt;&gt;"""",REGEXEXTRACT(SUBSTITUTE ($T1072,F$1&amp;"" CE"",""""), F$1&amp;""[\w &amp;]*, (\d+\.\d+)""),"""")
"),"")</f>
        <v/>
      </c>
      <c r="G1072" s="3" t="str">
        <f aca="false">IFERROR(__xludf.dummyfunction("if($T1072&lt;&gt;"""",REGEXEXTRACT($T1072, G$1&amp;""[\w &amp;]*, (\d+\.\d+)""),"""")
"),"")</f>
        <v/>
      </c>
      <c r="H1072" s="3"/>
      <c r="I1072" s="3" t="str">
        <f aca="false">IFERROR(__xludf.dummyfunction("if($T1072&lt;&gt;"""",REGEXEXTRACT(SUBSTITUTE ($T1072,I$1&amp;"" CE"",""""), I$1&amp;""[\w &amp;]*, (\d+\.\d+)""),"""")
"),"")</f>
        <v/>
      </c>
      <c r="J1072" s="3" t="str">
        <f aca="false">IFERROR(__xludf.dummyfunction("if($T1072&lt;&gt;"""",REGEXEXTRACT($T1072, J$1&amp;""[\w &amp;]*, (\d+\.\d+)""),"""")
"),"")</f>
        <v/>
      </c>
      <c r="K1072" s="3"/>
      <c r="L1072" s="3" t="str">
        <f aca="false">IFERROR(__xludf.dummyfunction("if($T1072&lt;&gt;"""",REGEXEXTRACT(SUBSTITUTE ($T1072,L$1&amp;"" CE"",""""), L$1&amp;""[\w &amp;]*, (\d+\.\d+)""),"""")
"),"")</f>
        <v/>
      </c>
      <c r="M1072" s="3" t="str">
        <f aca="false">IFERROR(__xludf.dummyfunction("if($T1072&lt;&gt;"""",REGEXEXTRACT($T1072, M$1&amp;""[\w &amp;]*, (\d+\.\d+)""),"""")
"),"")</f>
        <v/>
      </c>
      <c r="N1072" s="3" t="str">
        <f aca="false">IFERROR(__xludf.dummyfunction("if($T1072&lt;&gt;"""",REGEXEXTRACT(SUBSTITUTE ($T1072,N$1&amp;"" CE"",""""), N$1&amp;""[\w &amp;]*, (\d+\.\d+)""),"""")
"),"")</f>
        <v/>
      </c>
      <c r="O1072" s="3" t="str">
        <f aca="false">IFERROR(__xludf.dummyfunction("if($T1072&lt;&gt;"""",REGEXEXTRACT($T1072, O$1&amp;""[\w &amp;]*, (\d+\.\d+)""),"""")
"),"")</f>
        <v/>
      </c>
      <c r="P1072" s="2"/>
      <c r="Q1072" s="2"/>
      <c r="R1072" s="2"/>
      <c r="S1072" s="2"/>
      <c r="T1072" s="5"/>
    </row>
    <row r="1073" customFormat="false" ht="15.75" hidden="false" customHeight="false" outlineLevel="0" collapsed="false">
      <c r="A1073" s="4"/>
      <c r="B1073" s="2"/>
      <c r="C1073" s="2"/>
      <c r="D1073" s="2"/>
      <c r="E1073" s="2"/>
      <c r="F1073" s="3" t="str">
        <f aca="false">IFERROR(__xludf.dummyfunction("if($T1073&lt;&gt;"""",REGEXEXTRACT(SUBSTITUTE ($T1073,F$1&amp;"" CE"",""""), F$1&amp;""[\w &amp;]*, (\d+\.\d+)""),"""")
"),"")</f>
        <v/>
      </c>
      <c r="G1073" s="3" t="str">
        <f aca="false">IFERROR(__xludf.dummyfunction("if($T1073&lt;&gt;"""",REGEXEXTRACT($T1073, G$1&amp;""[\w &amp;]*, (\d+\.\d+)""),"""")
"),"")</f>
        <v/>
      </c>
      <c r="H1073" s="3"/>
      <c r="I1073" s="3" t="str">
        <f aca="false">IFERROR(__xludf.dummyfunction("if($T1073&lt;&gt;"""",REGEXEXTRACT(SUBSTITUTE ($T1073,I$1&amp;"" CE"",""""), I$1&amp;""[\w &amp;]*, (\d+\.\d+)""),"""")
"),"")</f>
        <v/>
      </c>
      <c r="J1073" s="3" t="str">
        <f aca="false">IFERROR(__xludf.dummyfunction("if($T1073&lt;&gt;"""",REGEXEXTRACT($T1073, J$1&amp;""[\w &amp;]*, (\d+\.\d+)""),"""")
"),"")</f>
        <v/>
      </c>
      <c r="K1073" s="3"/>
      <c r="L1073" s="3" t="str">
        <f aca="false">IFERROR(__xludf.dummyfunction("if($T1073&lt;&gt;"""",REGEXEXTRACT(SUBSTITUTE ($T1073,L$1&amp;"" CE"",""""), L$1&amp;""[\w &amp;]*, (\d+\.\d+)""),"""")
"),"")</f>
        <v/>
      </c>
      <c r="M1073" s="3" t="str">
        <f aca="false">IFERROR(__xludf.dummyfunction("if($T1073&lt;&gt;"""",REGEXEXTRACT($T1073, M$1&amp;""[\w &amp;]*, (\d+\.\d+)""),"""")
"),"")</f>
        <v/>
      </c>
      <c r="N1073" s="3" t="str">
        <f aca="false">IFERROR(__xludf.dummyfunction("if($T1073&lt;&gt;"""",REGEXEXTRACT(SUBSTITUTE ($T1073,N$1&amp;"" CE"",""""), N$1&amp;""[\w &amp;]*, (\d+\.\d+)""),"""")
"),"")</f>
        <v/>
      </c>
      <c r="O1073" s="3" t="str">
        <f aca="false">IFERROR(__xludf.dummyfunction("if($T1073&lt;&gt;"""",REGEXEXTRACT($T1073, O$1&amp;""[\w &amp;]*, (\d+\.\d+)""),"""")
"),"")</f>
        <v/>
      </c>
      <c r="P1073" s="2"/>
      <c r="Q1073" s="2"/>
      <c r="R1073" s="2"/>
      <c r="S1073" s="2"/>
      <c r="T1073" s="5"/>
    </row>
    <row r="1074" customFormat="false" ht="15.75" hidden="false" customHeight="false" outlineLevel="0" collapsed="false">
      <c r="A1074" s="4"/>
      <c r="B1074" s="2"/>
      <c r="C1074" s="2"/>
      <c r="D1074" s="2"/>
      <c r="E1074" s="2"/>
      <c r="F1074" s="3" t="str">
        <f aca="false">IFERROR(__xludf.dummyfunction("if($T1074&lt;&gt;"""",REGEXEXTRACT(SUBSTITUTE ($T1074,F$1&amp;"" CE"",""""), F$1&amp;""[\w &amp;]*, (\d+\.\d+)""),"""")
"),"")</f>
        <v/>
      </c>
      <c r="G1074" s="3" t="str">
        <f aca="false">IFERROR(__xludf.dummyfunction("if($T1074&lt;&gt;"""",REGEXEXTRACT($T1074, G$1&amp;""[\w &amp;]*, (\d+\.\d+)""),"""")
"),"")</f>
        <v/>
      </c>
      <c r="H1074" s="3"/>
      <c r="I1074" s="3" t="str">
        <f aca="false">IFERROR(__xludf.dummyfunction("if($T1074&lt;&gt;"""",REGEXEXTRACT(SUBSTITUTE ($T1074,I$1&amp;"" CE"",""""), I$1&amp;""[\w &amp;]*, (\d+\.\d+)""),"""")
"),"")</f>
        <v/>
      </c>
      <c r="J1074" s="3" t="str">
        <f aca="false">IFERROR(__xludf.dummyfunction("if($T1074&lt;&gt;"""",REGEXEXTRACT($T1074, J$1&amp;""[\w &amp;]*, (\d+\.\d+)""),"""")
"),"")</f>
        <v/>
      </c>
      <c r="K1074" s="3"/>
      <c r="L1074" s="3" t="str">
        <f aca="false">IFERROR(__xludf.dummyfunction("if($T1074&lt;&gt;"""",REGEXEXTRACT(SUBSTITUTE ($T1074,L$1&amp;"" CE"",""""), L$1&amp;""[\w &amp;]*, (\d+\.\d+)""),"""")
"),"")</f>
        <v/>
      </c>
      <c r="M1074" s="3" t="str">
        <f aca="false">IFERROR(__xludf.dummyfunction("if($T1074&lt;&gt;"""",REGEXEXTRACT($T1074, M$1&amp;""[\w &amp;]*, (\d+\.\d+)""),"""")
"),"")</f>
        <v/>
      </c>
      <c r="N1074" s="3" t="str">
        <f aca="false">IFERROR(__xludf.dummyfunction("if($T1074&lt;&gt;"""",REGEXEXTRACT(SUBSTITUTE ($T1074,N$1&amp;"" CE"",""""), N$1&amp;""[\w &amp;]*, (\d+\.\d+)""),"""")
"),"")</f>
        <v/>
      </c>
      <c r="O1074" s="3" t="str">
        <f aca="false">IFERROR(__xludf.dummyfunction("if($T1074&lt;&gt;"""",REGEXEXTRACT($T1074, O$1&amp;""[\w &amp;]*, (\d+\.\d+)""),"""")
"),"")</f>
        <v/>
      </c>
      <c r="P1074" s="2"/>
      <c r="Q1074" s="2"/>
      <c r="R1074" s="2"/>
      <c r="S1074" s="2"/>
      <c r="T1074" s="5"/>
    </row>
    <row r="1075" customFormat="false" ht="15.75" hidden="false" customHeight="false" outlineLevel="0" collapsed="false">
      <c r="A1075" s="4"/>
      <c r="B1075" s="2"/>
      <c r="C1075" s="2"/>
      <c r="D1075" s="2"/>
      <c r="E1075" s="2"/>
      <c r="F1075" s="3" t="str">
        <f aca="false">IFERROR(__xludf.dummyfunction("if($T1075&lt;&gt;"""",REGEXEXTRACT(SUBSTITUTE ($T1075,F$1&amp;"" CE"",""""), F$1&amp;""[\w &amp;]*, (\d+\.\d+)""),"""")
"),"")</f>
        <v/>
      </c>
      <c r="G1075" s="3" t="str">
        <f aca="false">IFERROR(__xludf.dummyfunction("if($T1075&lt;&gt;"""",REGEXEXTRACT($T1075, G$1&amp;""[\w &amp;]*, (\d+\.\d+)""),"""")
"),"")</f>
        <v/>
      </c>
      <c r="H1075" s="3"/>
      <c r="I1075" s="3" t="str">
        <f aca="false">IFERROR(__xludf.dummyfunction("if($T1075&lt;&gt;"""",REGEXEXTRACT(SUBSTITUTE ($T1075,I$1&amp;"" CE"",""""), I$1&amp;""[\w &amp;]*, (\d+\.\d+)""),"""")
"),"")</f>
        <v/>
      </c>
      <c r="J1075" s="3" t="str">
        <f aca="false">IFERROR(__xludf.dummyfunction("if($T1075&lt;&gt;"""",REGEXEXTRACT($T1075, J$1&amp;""[\w &amp;]*, (\d+\.\d+)""),"""")
"),"")</f>
        <v/>
      </c>
      <c r="K1075" s="3"/>
      <c r="L1075" s="3" t="str">
        <f aca="false">IFERROR(__xludf.dummyfunction("if($T1075&lt;&gt;"""",REGEXEXTRACT(SUBSTITUTE ($T1075,L$1&amp;"" CE"",""""), L$1&amp;""[\w &amp;]*, (\d+\.\d+)""),"""")
"),"")</f>
        <v/>
      </c>
      <c r="M1075" s="3" t="str">
        <f aca="false">IFERROR(__xludf.dummyfunction("if($T1075&lt;&gt;"""",REGEXEXTRACT($T1075, M$1&amp;""[\w &amp;]*, (\d+\.\d+)""),"""")
"),"")</f>
        <v/>
      </c>
      <c r="N1075" s="3" t="str">
        <f aca="false">IFERROR(__xludf.dummyfunction("if($T1075&lt;&gt;"""",REGEXEXTRACT(SUBSTITUTE ($T1075,N$1&amp;"" CE"",""""), N$1&amp;""[\w &amp;]*, (\d+\.\d+)""),"""")
"),"")</f>
        <v/>
      </c>
      <c r="O1075" s="3" t="str">
        <f aca="false">IFERROR(__xludf.dummyfunction("if($T1075&lt;&gt;"""",REGEXEXTRACT($T1075, O$1&amp;""[\w &amp;]*, (\d+\.\d+)""),"""")
"),"")</f>
        <v/>
      </c>
      <c r="P1075" s="2"/>
      <c r="Q1075" s="2"/>
      <c r="R1075" s="2"/>
      <c r="S1075" s="2"/>
      <c r="T1075" s="5"/>
    </row>
    <row r="1076" customFormat="false" ht="15.75" hidden="false" customHeight="false" outlineLevel="0" collapsed="false">
      <c r="A1076" s="4"/>
      <c r="B1076" s="2"/>
      <c r="C1076" s="2"/>
      <c r="D1076" s="2"/>
      <c r="E1076" s="2"/>
      <c r="F1076" s="3" t="str">
        <f aca="false">IFERROR(__xludf.dummyfunction("if($T1076&lt;&gt;"""",REGEXEXTRACT(SUBSTITUTE ($T1076,F$1&amp;"" CE"",""""), F$1&amp;""[\w &amp;]*, (\d+\.\d+)""),"""")
"),"")</f>
        <v/>
      </c>
      <c r="G1076" s="3" t="str">
        <f aca="false">IFERROR(__xludf.dummyfunction("if($T1076&lt;&gt;"""",REGEXEXTRACT($T1076, G$1&amp;""[\w &amp;]*, (\d+\.\d+)""),"""")
"),"")</f>
        <v/>
      </c>
      <c r="H1076" s="3"/>
      <c r="I1076" s="3" t="str">
        <f aca="false">IFERROR(__xludf.dummyfunction("if($T1076&lt;&gt;"""",REGEXEXTRACT(SUBSTITUTE ($T1076,I$1&amp;"" CE"",""""), I$1&amp;""[\w &amp;]*, (\d+\.\d+)""),"""")
"),"")</f>
        <v/>
      </c>
      <c r="J1076" s="3" t="str">
        <f aca="false">IFERROR(__xludf.dummyfunction("if($T1076&lt;&gt;"""",REGEXEXTRACT($T1076, J$1&amp;""[\w &amp;]*, (\d+\.\d+)""),"""")
"),"")</f>
        <v/>
      </c>
      <c r="K1076" s="3"/>
      <c r="L1076" s="3" t="str">
        <f aca="false">IFERROR(__xludf.dummyfunction("if($T1076&lt;&gt;"""",REGEXEXTRACT(SUBSTITUTE ($T1076,L$1&amp;"" CE"",""""), L$1&amp;""[\w &amp;]*, (\d+\.\d+)""),"""")
"),"")</f>
        <v/>
      </c>
      <c r="M1076" s="3" t="str">
        <f aca="false">IFERROR(__xludf.dummyfunction("if($T1076&lt;&gt;"""",REGEXEXTRACT($T1076, M$1&amp;""[\w &amp;]*, (\d+\.\d+)""),"""")
"),"")</f>
        <v/>
      </c>
      <c r="N1076" s="3" t="str">
        <f aca="false">IFERROR(__xludf.dummyfunction("if($T1076&lt;&gt;"""",REGEXEXTRACT(SUBSTITUTE ($T1076,N$1&amp;"" CE"",""""), N$1&amp;""[\w &amp;]*, (\d+\.\d+)""),"""")
"),"")</f>
        <v/>
      </c>
      <c r="O1076" s="3" t="str">
        <f aca="false">IFERROR(__xludf.dummyfunction("if($T1076&lt;&gt;"""",REGEXEXTRACT($T1076, O$1&amp;""[\w &amp;]*, (\d+\.\d+)""),"""")
"),"")</f>
        <v/>
      </c>
      <c r="P1076" s="2"/>
      <c r="Q1076" s="2"/>
      <c r="R1076" s="2"/>
      <c r="S1076" s="2"/>
      <c r="T1076" s="5"/>
    </row>
    <row r="1077" customFormat="false" ht="15.75" hidden="false" customHeight="false" outlineLevel="0" collapsed="false">
      <c r="A1077" s="4"/>
      <c r="B1077" s="2"/>
      <c r="C1077" s="2"/>
      <c r="D1077" s="2"/>
      <c r="E1077" s="2"/>
      <c r="F1077" s="3" t="str">
        <f aca="false">IFERROR(__xludf.dummyfunction("if($T1077&lt;&gt;"""",REGEXEXTRACT(SUBSTITUTE ($T1077,F$1&amp;"" CE"",""""), F$1&amp;""[\w &amp;]*, (\d+\.\d+)""),"""")
"),"")</f>
        <v/>
      </c>
      <c r="G1077" s="3" t="str">
        <f aca="false">IFERROR(__xludf.dummyfunction("if($T1077&lt;&gt;"""",REGEXEXTRACT($T1077, G$1&amp;""[\w &amp;]*, (\d+\.\d+)""),"""")
"),"")</f>
        <v/>
      </c>
      <c r="H1077" s="3"/>
      <c r="I1077" s="3" t="str">
        <f aca="false">IFERROR(__xludf.dummyfunction("if($T1077&lt;&gt;"""",REGEXEXTRACT(SUBSTITUTE ($T1077,I$1&amp;"" CE"",""""), I$1&amp;""[\w &amp;]*, (\d+\.\d+)""),"""")
"),"")</f>
        <v/>
      </c>
      <c r="J1077" s="3" t="str">
        <f aca="false">IFERROR(__xludf.dummyfunction("if($T1077&lt;&gt;"""",REGEXEXTRACT($T1077, J$1&amp;""[\w &amp;]*, (\d+\.\d+)""),"""")
"),"")</f>
        <v/>
      </c>
      <c r="K1077" s="3"/>
      <c r="L1077" s="3" t="str">
        <f aca="false">IFERROR(__xludf.dummyfunction("if($T1077&lt;&gt;"""",REGEXEXTRACT(SUBSTITUTE ($T1077,L$1&amp;"" CE"",""""), L$1&amp;""[\w &amp;]*, (\d+\.\d+)""),"""")
"),"")</f>
        <v/>
      </c>
      <c r="M1077" s="3" t="str">
        <f aca="false">IFERROR(__xludf.dummyfunction("if($T1077&lt;&gt;"""",REGEXEXTRACT($T1077, M$1&amp;""[\w &amp;]*, (\d+\.\d+)""),"""")
"),"")</f>
        <v/>
      </c>
      <c r="N1077" s="3" t="str">
        <f aca="false">IFERROR(__xludf.dummyfunction("if($T1077&lt;&gt;"""",REGEXEXTRACT(SUBSTITUTE ($T1077,N$1&amp;"" CE"",""""), N$1&amp;""[\w &amp;]*, (\d+\.\d+)""),"""")
"),"")</f>
        <v/>
      </c>
      <c r="O1077" s="3" t="str">
        <f aca="false">IFERROR(__xludf.dummyfunction("if($T1077&lt;&gt;"""",REGEXEXTRACT($T1077, O$1&amp;""[\w &amp;]*, (\d+\.\d+)""),"""")
"),"")</f>
        <v/>
      </c>
      <c r="P1077" s="2"/>
      <c r="Q1077" s="2"/>
      <c r="R1077" s="2"/>
      <c r="S1077" s="2"/>
      <c r="T1077" s="5"/>
    </row>
    <row r="1078" customFormat="false" ht="15.75" hidden="false" customHeight="false" outlineLevel="0" collapsed="false">
      <c r="A1078" s="4"/>
      <c r="B1078" s="2"/>
      <c r="C1078" s="2"/>
      <c r="D1078" s="2"/>
      <c r="E1078" s="2"/>
      <c r="F1078" s="3" t="str">
        <f aca="false">IFERROR(__xludf.dummyfunction("if($T1078&lt;&gt;"""",REGEXEXTRACT(SUBSTITUTE ($T1078,F$1&amp;"" CE"",""""), F$1&amp;""[\w &amp;]*, (\d+\.\d+)""),"""")
"),"")</f>
        <v/>
      </c>
      <c r="G1078" s="3" t="str">
        <f aca="false">IFERROR(__xludf.dummyfunction("if($T1078&lt;&gt;"""",REGEXEXTRACT($T1078, G$1&amp;""[\w &amp;]*, (\d+\.\d+)""),"""")
"),"")</f>
        <v/>
      </c>
      <c r="H1078" s="3"/>
      <c r="I1078" s="3" t="str">
        <f aca="false">IFERROR(__xludf.dummyfunction("if($T1078&lt;&gt;"""",REGEXEXTRACT(SUBSTITUTE ($T1078,I$1&amp;"" CE"",""""), I$1&amp;""[\w &amp;]*, (\d+\.\d+)""),"""")
"),"")</f>
        <v/>
      </c>
      <c r="J1078" s="3" t="str">
        <f aca="false">IFERROR(__xludf.dummyfunction("if($T1078&lt;&gt;"""",REGEXEXTRACT($T1078, J$1&amp;""[\w &amp;]*, (\d+\.\d+)""),"""")
"),"")</f>
        <v/>
      </c>
      <c r="K1078" s="3"/>
      <c r="L1078" s="3" t="str">
        <f aca="false">IFERROR(__xludf.dummyfunction("if($T1078&lt;&gt;"""",REGEXEXTRACT(SUBSTITUTE ($T1078,L$1&amp;"" CE"",""""), L$1&amp;""[\w &amp;]*, (\d+\.\d+)""),"""")
"),"")</f>
        <v/>
      </c>
      <c r="M1078" s="3" t="str">
        <f aca="false">IFERROR(__xludf.dummyfunction("if($T1078&lt;&gt;"""",REGEXEXTRACT($T1078, M$1&amp;""[\w &amp;]*, (\d+\.\d+)""),"""")
"),"")</f>
        <v/>
      </c>
      <c r="N1078" s="3" t="str">
        <f aca="false">IFERROR(__xludf.dummyfunction("if($T1078&lt;&gt;"""",REGEXEXTRACT(SUBSTITUTE ($T1078,N$1&amp;"" CE"",""""), N$1&amp;""[\w &amp;]*, (\d+\.\d+)""),"""")
"),"")</f>
        <v/>
      </c>
      <c r="O1078" s="3" t="str">
        <f aca="false">IFERROR(__xludf.dummyfunction("if($T1078&lt;&gt;"""",REGEXEXTRACT($T1078, O$1&amp;""[\w &amp;]*, (\d+\.\d+)""),"""")
"),"")</f>
        <v/>
      </c>
      <c r="P1078" s="2"/>
      <c r="Q1078" s="2"/>
      <c r="R1078" s="2"/>
      <c r="S1078" s="2"/>
      <c r="T1078" s="5"/>
    </row>
    <row r="1079" customFormat="false" ht="15.75" hidden="false" customHeight="false" outlineLevel="0" collapsed="false">
      <c r="A1079" s="4"/>
      <c r="B1079" s="2"/>
      <c r="C1079" s="2"/>
      <c r="D1079" s="2"/>
      <c r="E1079" s="2"/>
      <c r="F1079" s="3" t="str">
        <f aca="false">IFERROR(__xludf.dummyfunction("if($T1079&lt;&gt;"""",REGEXEXTRACT(SUBSTITUTE ($T1079,F$1&amp;"" CE"",""""), F$1&amp;""[\w &amp;]*, (\d+\.\d+)""),"""")
"),"")</f>
        <v/>
      </c>
      <c r="G1079" s="3" t="str">
        <f aca="false">IFERROR(__xludf.dummyfunction("if($T1079&lt;&gt;"""",REGEXEXTRACT($T1079, G$1&amp;""[\w &amp;]*, (\d+\.\d+)""),"""")
"),"")</f>
        <v/>
      </c>
      <c r="H1079" s="3"/>
      <c r="I1079" s="3" t="str">
        <f aca="false">IFERROR(__xludf.dummyfunction("if($T1079&lt;&gt;"""",REGEXEXTRACT(SUBSTITUTE ($T1079,I$1&amp;"" CE"",""""), I$1&amp;""[\w &amp;]*, (\d+\.\d+)""),"""")
"),"")</f>
        <v/>
      </c>
      <c r="J1079" s="3" t="str">
        <f aca="false">IFERROR(__xludf.dummyfunction("if($T1079&lt;&gt;"""",REGEXEXTRACT($T1079, J$1&amp;""[\w &amp;]*, (\d+\.\d+)""),"""")
"),"")</f>
        <v/>
      </c>
      <c r="K1079" s="3"/>
      <c r="L1079" s="3" t="str">
        <f aca="false">IFERROR(__xludf.dummyfunction("if($T1079&lt;&gt;"""",REGEXEXTRACT(SUBSTITUTE ($T1079,L$1&amp;"" CE"",""""), L$1&amp;""[\w &amp;]*, (\d+\.\d+)""),"""")
"),"")</f>
        <v/>
      </c>
      <c r="M1079" s="3" t="str">
        <f aca="false">IFERROR(__xludf.dummyfunction("if($T1079&lt;&gt;"""",REGEXEXTRACT($T1079, M$1&amp;""[\w &amp;]*, (\d+\.\d+)""),"""")
"),"")</f>
        <v/>
      </c>
      <c r="N1079" s="3" t="str">
        <f aca="false">IFERROR(__xludf.dummyfunction("if($T1079&lt;&gt;"""",REGEXEXTRACT(SUBSTITUTE ($T1079,N$1&amp;"" CE"",""""), N$1&amp;""[\w &amp;]*, (\d+\.\d+)""),"""")
"),"")</f>
        <v/>
      </c>
      <c r="O1079" s="3" t="str">
        <f aca="false">IFERROR(__xludf.dummyfunction("if($T1079&lt;&gt;"""",REGEXEXTRACT($T1079, O$1&amp;""[\w &amp;]*, (\d+\.\d+)""),"""")
"),"")</f>
        <v/>
      </c>
      <c r="P1079" s="2"/>
      <c r="Q1079" s="2"/>
      <c r="R1079" s="2"/>
      <c r="S1079" s="2"/>
      <c r="T1079" s="5"/>
    </row>
    <row r="1080" customFormat="false" ht="15.75" hidden="false" customHeight="false" outlineLevel="0" collapsed="false">
      <c r="A1080" s="4"/>
      <c r="B1080" s="2"/>
      <c r="C1080" s="2"/>
      <c r="D1080" s="2"/>
      <c r="E1080" s="2"/>
      <c r="F1080" s="3" t="str">
        <f aca="false">IFERROR(__xludf.dummyfunction("if($T1080&lt;&gt;"""",REGEXEXTRACT(SUBSTITUTE ($T1080,F$1&amp;"" CE"",""""), F$1&amp;""[\w &amp;]*, (\d+\.\d+)""),"""")
"),"")</f>
        <v/>
      </c>
      <c r="G1080" s="3" t="str">
        <f aca="false">IFERROR(__xludf.dummyfunction("if($T1080&lt;&gt;"""",REGEXEXTRACT($T1080, G$1&amp;""[\w &amp;]*, (\d+\.\d+)""),"""")
"),"")</f>
        <v/>
      </c>
      <c r="H1080" s="3"/>
      <c r="I1080" s="3" t="str">
        <f aca="false">IFERROR(__xludf.dummyfunction("if($T1080&lt;&gt;"""",REGEXEXTRACT(SUBSTITUTE ($T1080,I$1&amp;"" CE"",""""), I$1&amp;""[\w &amp;]*, (\d+\.\d+)""),"""")
"),"")</f>
        <v/>
      </c>
      <c r="J1080" s="3" t="str">
        <f aca="false">IFERROR(__xludf.dummyfunction("if($T1080&lt;&gt;"""",REGEXEXTRACT($T1080, J$1&amp;""[\w &amp;]*, (\d+\.\d+)""),"""")
"),"")</f>
        <v/>
      </c>
      <c r="K1080" s="3"/>
      <c r="L1080" s="3" t="str">
        <f aca="false">IFERROR(__xludf.dummyfunction("if($T1080&lt;&gt;"""",REGEXEXTRACT(SUBSTITUTE ($T1080,L$1&amp;"" CE"",""""), L$1&amp;""[\w &amp;]*, (\d+\.\d+)""),"""")
"),"")</f>
        <v/>
      </c>
      <c r="M1080" s="3" t="str">
        <f aca="false">IFERROR(__xludf.dummyfunction("if($T1080&lt;&gt;"""",REGEXEXTRACT($T1080, M$1&amp;""[\w &amp;]*, (\d+\.\d+)""),"""")
"),"")</f>
        <v/>
      </c>
      <c r="N1080" s="3" t="str">
        <f aca="false">IFERROR(__xludf.dummyfunction("if($T1080&lt;&gt;"""",REGEXEXTRACT(SUBSTITUTE ($T1080,N$1&amp;"" CE"",""""), N$1&amp;""[\w &amp;]*, (\d+\.\d+)""),"""")
"),"")</f>
        <v/>
      </c>
      <c r="O1080" s="3" t="str">
        <f aca="false">IFERROR(__xludf.dummyfunction("if($T1080&lt;&gt;"""",REGEXEXTRACT($T1080, O$1&amp;""[\w &amp;]*, (\d+\.\d+)""),"""")
"),"")</f>
        <v/>
      </c>
      <c r="P1080" s="2"/>
      <c r="Q1080" s="2"/>
      <c r="R1080" s="2"/>
      <c r="S1080" s="2"/>
      <c r="T1080" s="5"/>
    </row>
    <row r="1081" customFormat="false" ht="15.75" hidden="false" customHeight="false" outlineLevel="0" collapsed="false">
      <c r="A1081" s="4"/>
      <c r="B1081" s="2"/>
      <c r="C1081" s="2"/>
      <c r="D1081" s="2"/>
      <c r="E1081" s="2"/>
      <c r="F1081" s="3" t="str">
        <f aca="false">IFERROR(__xludf.dummyfunction("if($T1081&lt;&gt;"""",REGEXEXTRACT(SUBSTITUTE ($T1081,F$1&amp;"" CE"",""""), F$1&amp;""[\w &amp;]*, (\d+\.\d+)""),"""")
"),"")</f>
        <v/>
      </c>
      <c r="G1081" s="3" t="str">
        <f aca="false">IFERROR(__xludf.dummyfunction("if($T1081&lt;&gt;"""",REGEXEXTRACT($T1081, G$1&amp;""[\w &amp;]*, (\d+\.\d+)""),"""")
"),"")</f>
        <v/>
      </c>
      <c r="H1081" s="3"/>
      <c r="I1081" s="3" t="str">
        <f aca="false">IFERROR(__xludf.dummyfunction("if($T1081&lt;&gt;"""",REGEXEXTRACT(SUBSTITUTE ($T1081,I$1&amp;"" CE"",""""), I$1&amp;""[\w &amp;]*, (\d+\.\d+)""),"""")
"),"")</f>
        <v/>
      </c>
      <c r="J1081" s="3" t="str">
        <f aca="false">IFERROR(__xludf.dummyfunction("if($T1081&lt;&gt;"""",REGEXEXTRACT($T1081, J$1&amp;""[\w &amp;]*, (\d+\.\d+)""),"""")
"),"")</f>
        <v/>
      </c>
      <c r="K1081" s="3"/>
      <c r="L1081" s="3" t="str">
        <f aca="false">IFERROR(__xludf.dummyfunction("if($T1081&lt;&gt;"""",REGEXEXTRACT(SUBSTITUTE ($T1081,L$1&amp;"" CE"",""""), L$1&amp;""[\w &amp;]*, (\d+\.\d+)""),"""")
"),"")</f>
        <v/>
      </c>
      <c r="M1081" s="3" t="str">
        <f aca="false">IFERROR(__xludf.dummyfunction("if($T1081&lt;&gt;"""",REGEXEXTRACT($T1081, M$1&amp;""[\w &amp;]*, (\d+\.\d+)""),"""")
"),"")</f>
        <v/>
      </c>
      <c r="N1081" s="3" t="str">
        <f aca="false">IFERROR(__xludf.dummyfunction("if($T1081&lt;&gt;"""",REGEXEXTRACT(SUBSTITUTE ($T1081,N$1&amp;"" CE"",""""), N$1&amp;""[\w &amp;]*, (\d+\.\d+)""),"""")
"),"")</f>
        <v/>
      </c>
      <c r="O1081" s="3" t="str">
        <f aca="false">IFERROR(__xludf.dummyfunction("if($T1081&lt;&gt;"""",REGEXEXTRACT($T1081, O$1&amp;""[\w &amp;]*, (\d+\.\d+)""),"""")
"),"")</f>
        <v/>
      </c>
      <c r="P1081" s="2"/>
      <c r="Q1081" s="2"/>
      <c r="R1081" s="2"/>
      <c r="S1081" s="2"/>
      <c r="T1081" s="5"/>
    </row>
    <row r="1082" customFormat="false" ht="15.75" hidden="false" customHeight="false" outlineLevel="0" collapsed="false">
      <c r="A1082" s="4"/>
      <c r="B1082" s="2"/>
      <c r="C1082" s="2"/>
      <c r="D1082" s="2"/>
      <c r="E1082" s="2"/>
      <c r="F1082" s="3" t="str">
        <f aca="false">IFERROR(__xludf.dummyfunction("if($T1082&lt;&gt;"""",REGEXEXTRACT(SUBSTITUTE ($T1082,F$1&amp;"" CE"",""""), F$1&amp;""[\w &amp;]*, (\d+\.\d+)""),"""")
"),"")</f>
        <v/>
      </c>
      <c r="G1082" s="3" t="str">
        <f aca="false">IFERROR(__xludf.dummyfunction("if($T1082&lt;&gt;"""",REGEXEXTRACT($T1082, G$1&amp;""[\w &amp;]*, (\d+\.\d+)""),"""")
"),"")</f>
        <v/>
      </c>
      <c r="H1082" s="3"/>
      <c r="I1082" s="3" t="str">
        <f aca="false">IFERROR(__xludf.dummyfunction("if($T1082&lt;&gt;"""",REGEXEXTRACT(SUBSTITUTE ($T1082,I$1&amp;"" CE"",""""), I$1&amp;""[\w &amp;]*, (\d+\.\d+)""),"""")
"),"")</f>
        <v/>
      </c>
      <c r="J1082" s="3" t="str">
        <f aca="false">IFERROR(__xludf.dummyfunction("if($T1082&lt;&gt;"""",REGEXEXTRACT($T1082, J$1&amp;""[\w &amp;]*, (\d+\.\d+)""),"""")
"),"")</f>
        <v/>
      </c>
      <c r="K1082" s="3"/>
      <c r="L1082" s="3" t="str">
        <f aca="false">IFERROR(__xludf.dummyfunction("if($T1082&lt;&gt;"""",REGEXEXTRACT(SUBSTITUTE ($T1082,L$1&amp;"" CE"",""""), L$1&amp;""[\w &amp;]*, (\d+\.\d+)""),"""")
"),"")</f>
        <v/>
      </c>
      <c r="M1082" s="3" t="str">
        <f aca="false">IFERROR(__xludf.dummyfunction("if($T1082&lt;&gt;"""",REGEXEXTRACT($T1082, M$1&amp;""[\w &amp;]*, (\d+\.\d+)""),"""")
"),"")</f>
        <v/>
      </c>
      <c r="N1082" s="3" t="str">
        <f aca="false">IFERROR(__xludf.dummyfunction("if($T1082&lt;&gt;"""",REGEXEXTRACT(SUBSTITUTE ($T1082,N$1&amp;"" CE"",""""), N$1&amp;""[\w &amp;]*, (\d+\.\d+)""),"""")
"),"")</f>
        <v/>
      </c>
      <c r="O1082" s="3" t="str">
        <f aca="false">IFERROR(__xludf.dummyfunction("if($T1082&lt;&gt;"""",REGEXEXTRACT($T1082, O$1&amp;""[\w &amp;]*, (\d+\.\d+)""),"""")
"),"")</f>
        <v/>
      </c>
      <c r="P1082" s="2"/>
      <c r="Q1082" s="2"/>
      <c r="R1082" s="2"/>
      <c r="S1082" s="2"/>
      <c r="T1082" s="5"/>
    </row>
    <row r="1083" customFormat="false" ht="15.75" hidden="false" customHeight="false" outlineLevel="0" collapsed="false">
      <c r="A1083" s="4"/>
      <c r="B1083" s="2"/>
      <c r="C1083" s="2"/>
      <c r="D1083" s="2"/>
      <c r="E1083" s="2"/>
      <c r="F1083" s="3" t="str">
        <f aca="false">IFERROR(__xludf.dummyfunction("if($T1083&lt;&gt;"""",REGEXEXTRACT(SUBSTITUTE ($T1083,F$1&amp;"" CE"",""""), F$1&amp;""[\w &amp;]*, (\d+\.\d+)""),"""")
"),"")</f>
        <v/>
      </c>
      <c r="G1083" s="3" t="str">
        <f aca="false">IFERROR(__xludf.dummyfunction("if($T1083&lt;&gt;"""",REGEXEXTRACT($T1083, G$1&amp;""[\w &amp;]*, (\d+\.\d+)""),"""")
"),"")</f>
        <v/>
      </c>
      <c r="H1083" s="3"/>
      <c r="I1083" s="3" t="str">
        <f aca="false">IFERROR(__xludf.dummyfunction("if($T1083&lt;&gt;"""",REGEXEXTRACT(SUBSTITUTE ($T1083,I$1&amp;"" CE"",""""), I$1&amp;""[\w &amp;]*, (\d+\.\d+)""),"""")
"),"")</f>
        <v/>
      </c>
      <c r="J1083" s="3" t="str">
        <f aca="false">IFERROR(__xludf.dummyfunction("if($T1083&lt;&gt;"""",REGEXEXTRACT($T1083, J$1&amp;""[\w &amp;]*, (\d+\.\d+)""),"""")
"),"")</f>
        <v/>
      </c>
      <c r="K1083" s="3"/>
      <c r="L1083" s="3" t="str">
        <f aca="false">IFERROR(__xludf.dummyfunction("if($T1083&lt;&gt;"""",REGEXEXTRACT(SUBSTITUTE ($T1083,L$1&amp;"" CE"",""""), L$1&amp;""[\w &amp;]*, (\d+\.\d+)""),"""")
"),"")</f>
        <v/>
      </c>
      <c r="M1083" s="3" t="str">
        <f aca="false">IFERROR(__xludf.dummyfunction("if($T1083&lt;&gt;"""",REGEXEXTRACT($T1083, M$1&amp;""[\w &amp;]*, (\d+\.\d+)""),"""")
"),"")</f>
        <v/>
      </c>
      <c r="N1083" s="3" t="str">
        <f aca="false">IFERROR(__xludf.dummyfunction("if($T1083&lt;&gt;"""",REGEXEXTRACT(SUBSTITUTE ($T1083,N$1&amp;"" CE"",""""), N$1&amp;""[\w &amp;]*, (\d+\.\d+)""),"""")
"),"")</f>
        <v/>
      </c>
      <c r="O1083" s="3" t="str">
        <f aca="false">IFERROR(__xludf.dummyfunction("if($T1083&lt;&gt;"""",REGEXEXTRACT($T1083, O$1&amp;""[\w &amp;]*, (\d+\.\d+)""),"""")
"),"")</f>
        <v/>
      </c>
      <c r="P1083" s="2"/>
      <c r="Q1083" s="2"/>
      <c r="R1083" s="2"/>
      <c r="S1083" s="2"/>
      <c r="T1083" s="5"/>
    </row>
    <row r="1084" customFormat="false" ht="15.75" hidden="false" customHeight="false" outlineLevel="0" collapsed="false">
      <c r="A1084" s="4"/>
      <c r="B1084" s="2"/>
      <c r="C1084" s="2"/>
      <c r="D1084" s="2"/>
      <c r="E1084" s="2"/>
      <c r="F1084" s="3" t="str">
        <f aca="false">IFERROR(__xludf.dummyfunction("if($T1084&lt;&gt;"""",REGEXEXTRACT(SUBSTITUTE ($T1084,F$1&amp;"" CE"",""""), F$1&amp;""[\w &amp;]*, (\d+\.\d+)""),"""")
"),"")</f>
        <v/>
      </c>
      <c r="G1084" s="3" t="str">
        <f aca="false">IFERROR(__xludf.dummyfunction("if($T1084&lt;&gt;"""",REGEXEXTRACT($T1084, G$1&amp;""[\w &amp;]*, (\d+\.\d+)""),"""")
"),"")</f>
        <v/>
      </c>
      <c r="H1084" s="3"/>
      <c r="I1084" s="3" t="str">
        <f aca="false">IFERROR(__xludf.dummyfunction("if($T1084&lt;&gt;"""",REGEXEXTRACT(SUBSTITUTE ($T1084,I$1&amp;"" CE"",""""), I$1&amp;""[\w &amp;]*, (\d+\.\d+)""),"""")
"),"")</f>
        <v/>
      </c>
      <c r="J1084" s="3" t="str">
        <f aca="false">IFERROR(__xludf.dummyfunction("if($T1084&lt;&gt;"""",REGEXEXTRACT($T1084, J$1&amp;""[\w &amp;]*, (\d+\.\d+)""),"""")
"),"")</f>
        <v/>
      </c>
      <c r="K1084" s="3"/>
      <c r="L1084" s="3" t="str">
        <f aca="false">IFERROR(__xludf.dummyfunction("if($T1084&lt;&gt;"""",REGEXEXTRACT(SUBSTITUTE ($T1084,L$1&amp;"" CE"",""""), L$1&amp;""[\w &amp;]*, (\d+\.\d+)""),"""")
"),"")</f>
        <v/>
      </c>
      <c r="M1084" s="3" t="str">
        <f aca="false">IFERROR(__xludf.dummyfunction("if($T1084&lt;&gt;"""",REGEXEXTRACT($T1084, M$1&amp;""[\w &amp;]*, (\d+\.\d+)""),"""")
"),"")</f>
        <v/>
      </c>
      <c r="N1084" s="3" t="str">
        <f aca="false">IFERROR(__xludf.dummyfunction("if($T1084&lt;&gt;"""",REGEXEXTRACT(SUBSTITUTE ($T1084,N$1&amp;"" CE"",""""), N$1&amp;""[\w &amp;]*, (\d+\.\d+)""),"""")
"),"")</f>
        <v/>
      </c>
      <c r="O1084" s="3" t="str">
        <f aca="false">IFERROR(__xludf.dummyfunction("if($T1084&lt;&gt;"""",REGEXEXTRACT($T1084, O$1&amp;""[\w &amp;]*, (\d+\.\d+)""),"""")
"),"")</f>
        <v/>
      </c>
      <c r="P1084" s="2"/>
      <c r="Q1084" s="2"/>
      <c r="R1084" s="2"/>
      <c r="S1084" s="2"/>
      <c r="T1084" s="5"/>
    </row>
    <row r="1085" customFormat="false" ht="15.75" hidden="false" customHeight="false" outlineLevel="0" collapsed="false">
      <c r="A1085" s="4"/>
      <c r="B1085" s="2"/>
      <c r="C1085" s="2"/>
      <c r="D1085" s="2"/>
      <c r="E1085" s="2"/>
      <c r="F1085" s="3" t="str">
        <f aca="false">IFERROR(__xludf.dummyfunction("if($T1085&lt;&gt;"""",REGEXEXTRACT(SUBSTITUTE ($T1085,F$1&amp;"" CE"",""""), F$1&amp;""[\w &amp;]*, (\d+\.\d+)""),"""")
"),"")</f>
        <v/>
      </c>
      <c r="G1085" s="3" t="str">
        <f aca="false">IFERROR(__xludf.dummyfunction("if($T1085&lt;&gt;"""",REGEXEXTRACT($T1085, G$1&amp;""[\w &amp;]*, (\d+\.\d+)""),"""")
"),"")</f>
        <v/>
      </c>
      <c r="H1085" s="3"/>
      <c r="I1085" s="3" t="str">
        <f aca="false">IFERROR(__xludf.dummyfunction("if($T1085&lt;&gt;"""",REGEXEXTRACT(SUBSTITUTE ($T1085,I$1&amp;"" CE"",""""), I$1&amp;""[\w &amp;]*, (\d+\.\d+)""),"""")
"),"")</f>
        <v/>
      </c>
      <c r="J1085" s="3" t="str">
        <f aca="false">IFERROR(__xludf.dummyfunction("if($T1085&lt;&gt;"""",REGEXEXTRACT($T1085, J$1&amp;""[\w &amp;]*, (\d+\.\d+)""),"""")
"),"")</f>
        <v/>
      </c>
      <c r="K1085" s="3"/>
      <c r="L1085" s="3" t="str">
        <f aca="false">IFERROR(__xludf.dummyfunction("if($T1085&lt;&gt;"""",REGEXEXTRACT(SUBSTITUTE ($T1085,L$1&amp;"" CE"",""""), L$1&amp;""[\w &amp;]*, (\d+\.\d+)""),"""")
"),"")</f>
        <v/>
      </c>
      <c r="M1085" s="3" t="str">
        <f aca="false">IFERROR(__xludf.dummyfunction("if($T1085&lt;&gt;"""",REGEXEXTRACT($T1085, M$1&amp;""[\w &amp;]*, (\d+\.\d+)""),"""")
"),"")</f>
        <v/>
      </c>
      <c r="N1085" s="3" t="str">
        <f aca="false">IFERROR(__xludf.dummyfunction("if($T1085&lt;&gt;"""",REGEXEXTRACT(SUBSTITUTE ($T1085,N$1&amp;"" CE"",""""), N$1&amp;""[\w &amp;]*, (\d+\.\d+)""),"""")
"),"")</f>
        <v/>
      </c>
      <c r="O1085" s="3" t="str">
        <f aca="false">IFERROR(__xludf.dummyfunction("if($T1085&lt;&gt;"""",REGEXEXTRACT($T1085, O$1&amp;""[\w &amp;]*, (\d+\.\d+)""),"""")
"),"")</f>
        <v/>
      </c>
      <c r="P1085" s="2"/>
      <c r="Q1085" s="2"/>
      <c r="R1085" s="2"/>
      <c r="S1085" s="2"/>
      <c r="T1085" s="5"/>
    </row>
    <row r="1086" customFormat="false" ht="15.75" hidden="false" customHeight="false" outlineLevel="0" collapsed="false">
      <c r="A1086" s="4"/>
      <c r="B1086" s="2"/>
      <c r="C1086" s="2"/>
      <c r="D1086" s="2"/>
      <c r="E1086" s="2"/>
      <c r="F1086" s="3" t="str">
        <f aca="false">IFERROR(__xludf.dummyfunction("if($T1086&lt;&gt;"""",REGEXEXTRACT(SUBSTITUTE ($T1086,F$1&amp;"" CE"",""""), F$1&amp;""[\w &amp;]*, (\d+\.\d+)""),"""")
"),"")</f>
        <v/>
      </c>
      <c r="G1086" s="3" t="str">
        <f aca="false">IFERROR(__xludf.dummyfunction("if($T1086&lt;&gt;"""",REGEXEXTRACT($T1086, G$1&amp;""[\w &amp;]*, (\d+\.\d+)""),"""")
"),"")</f>
        <v/>
      </c>
      <c r="H1086" s="3"/>
      <c r="I1086" s="3" t="str">
        <f aca="false">IFERROR(__xludf.dummyfunction("if($T1086&lt;&gt;"""",REGEXEXTRACT(SUBSTITUTE ($T1086,I$1&amp;"" CE"",""""), I$1&amp;""[\w &amp;]*, (\d+\.\d+)""),"""")
"),"")</f>
        <v/>
      </c>
      <c r="J1086" s="3" t="str">
        <f aca="false">IFERROR(__xludf.dummyfunction("if($T1086&lt;&gt;"""",REGEXEXTRACT($T1086, J$1&amp;""[\w &amp;]*, (\d+\.\d+)""),"""")
"),"")</f>
        <v/>
      </c>
      <c r="K1086" s="3"/>
      <c r="L1086" s="3" t="str">
        <f aca="false">IFERROR(__xludf.dummyfunction("if($T1086&lt;&gt;"""",REGEXEXTRACT(SUBSTITUTE ($T1086,L$1&amp;"" CE"",""""), L$1&amp;""[\w &amp;]*, (\d+\.\d+)""),"""")
"),"")</f>
        <v/>
      </c>
      <c r="M1086" s="3" t="str">
        <f aca="false">IFERROR(__xludf.dummyfunction("if($T1086&lt;&gt;"""",REGEXEXTRACT($T1086, M$1&amp;""[\w &amp;]*, (\d+\.\d+)""),"""")
"),"")</f>
        <v/>
      </c>
      <c r="N1086" s="3" t="str">
        <f aca="false">IFERROR(__xludf.dummyfunction("if($T1086&lt;&gt;"""",REGEXEXTRACT(SUBSTITUTE ($T1086,N$1&amp;"" CE"",""""), N$1&amp;""[\w &amp;]*, (\d+\.\d+)""),"""")
"),"")</f>
        <v/>
      </c>
      <c r="O1086" s="3" t="str">
        <f aca="false">IFERROR(__xludf.dummyfunction("if($T1086&lt;&gt;"""",REGEXEXTRACT($T1086, O$1&amp;""[\w &amp;]*, (\d+\.\d+)""),"""")
"),"")</f>
        <v/>
      </c>
      <c r="P1086" s="2"/>
      <c r="Q1086" s="2"/>
      <c r="R1086" s="2"/>
      <c r="S1086" s="2"/>
      <c r="T1086" s="5"/>
    </row>
    <row r="1087" customFormat="false" ht="15.75" hidden="false" customHeight="false" outlineLevel="0" collapsed="false">
      <c r="A1087" s="4"/>
      <c r="B1087" s="2"/>
      <c r="C1087" s="2"/>
      <c r="D1087" s="2"/>
      <c r="E1087" s="2"/>
      <c r="F1087" s="3" t="str">
        <f aca="false">IFERROR(__xludf.dummyfunction("if($T1087&lt;&gt;"""",REGEXEXTRACT(SUBSTITUTE ($T1087,F$1&amp;"" CE"",""""), F$1&amp;""[\w &amp;]*, (\d+\.\d+)""),"""")
"),"")</f>
        <v/>
      </c>
      <c r="G1087" s="3" t="str">
        <f aca="false">IFERROR(__xludf.dummyfunction("if($T1087&lt;&gt;"""",REGEXEXTRACT($T1087, G$1&amp;""[\w &amp;]*, (\d+\.\d+)""),"""")
"),"")</f>
        <v/>
      </c>
      <c r="H1087" s="3"/>
      <c r="I1087" s="3" t="str">
        <f aca="false">IFERROR(__xludf.dummyfunction("if($T1087&lt;&gt;"""",REGEXEXTRACT(SUBSTITUTE ($T1087,I$1&amp;"" CE"",""""), I$1&amp;""[\w &amp;]*, (\d+\.\d+)""),"""")
"),"")</f>
        <v/>
      </c>
      <c r="J1087" s="3" t="str">
        <f aca="false">IFERROR(__xludf.dummyfunction("if($T1087&lt;&gt;"""",REGEXEXTRACT($T1087, J$1&amp;""[\w &amp;]*, (\d+\.\d+)""),"""")
"),"")</f>
        <v/>
      </c>
      <c r="K1087" s="3"/>
      <c r="L1087" s="3" t="str">
        <f aca="false">IFERROR(__xludf.dummyfunction("if($T1087&lt;&gt;"""",REGEXEXTRACT(SUBSTITUTE ($T1087,L$1&amp;"" CE"",""""), L$1&amp;""[\w &amp;]*, (\d+\.\d+)""),"""")
"),"")</f>
        <v/>
      </c>
      <c r="M1087" s="3" t="str">
        <f aca="false">IFERROR(__xludf.dummyfunction("if($T1087&lt;&gt;"""",REGEXEXTRACT($T1087, M$1&amp;""[\w &amp;]*, (\d+\.\d+)""),"""")
"),"")</f>
        <v/>
      </c>
      <c r="N1087" s="3" t="str">
        <f aca="false">IFERROR(__xludf.dummyfunction("if($T1087&lt;&gt;"""",REGEXEXTRACT(SUBSTITUTE ($T1087,N$1&amp;"" CE"",""""), N$1&amp;""[\w &amp;]*, (\d+\.\d+)""),"""")
"),"")</f>
        <v/>
      </c>
      <c r="O1087" s="3" t="str">
        <f aca="false">IFERROR(__xludf.dummyfunction("if($T1087&lt;&gt;"""",REGEXEXTRACT($T1087, O$1&amp;""[\w &amp;]*, (\d+\.\d+)""),"""")
"),"")</f>
        <v/>
      </c>
      <c r="P1087" s="2"/>
      <c r="Q1087" s="2"/>
      <c r="R1087" s="2"/>
      <c r="S1087" s="2"/>
      <c r="T1087" s="5"/>
    </row>
    <row r="1088" customFormat="false" ht="15.75" hidden="false" customHeight="false" outlineLevel="0" collapsed="false">
      <c r="A1088" s="4"/>
      <c r="B1088" s="2"/>
      <c r="C1088" s="2"/>
      <c r="D1088" s="2"/>
      <c r="E1088" s="2"/>
      <c r="F1088" s="3" t="str">
        <f aca="false">IFERROR(__xludf.dummyfunction("if($T1088&lt;&gt;"""",REGEXEXTRACT(SUBSTITUTE ($T1088,F$1&amp;"" CE"",""""), F$1&amp;""[\w &amp;]*, (\d+\.\d+)""),"""")
"),"")</f>
        <v/>
      </c>
      <c r="G1088" s="3" t="str">
        <f aca="false">IFERROR(__xludf.dummyfunction("if($T1088&lt;&gt;"""",REGEXEXTRACT($T1088, G$1&amp;""[\w &amp;]*, (\d+\.\d+)""),"""")
"),"")</f>
        <v/>
      </c>
      <c r="H1088" s="3"/>
      <c r="I1088" s="3" t="str">
        <f aca="false">IFERROR(__xludf.dummyfunction("if($T1088&lt;&gt;"""",REGEXEXTRACT(SUBSTITUTE ($T1088,I$1&amp;"" CE"",""""), I$1&amp;""[\w &amp;]*, (\d+\.\d+)""),"""")
"),"")</f>
        <v/>
      </c>
      <c r="J1088" s="3" t="str">
        <f aca="false">IFERROR(__xludf.dummyfunction("if($T1088&lt;&gt;"""",REGEXEXTRACT($T1088, J$1&amp;""[\w &amp;]*, (\d+\.\d+)""),"""")
"),"")</f>
        <v/>
      </c>
      <c r="K1088" s="3"/>
      <c r="L1088" s="3" t="str">
        <f aca="false">IFERROR(__xludf.dummyfunction("if($T1088&lt;&gt;"""",REGEXEXTRACT(SUBSTITUTE ($T1088,L$1&amp;"" CE"",""""), L$1&amp;""[\w &amp;]*, (\d+\.\d+)""),"""")
"),"")</f>
        <v/>
      </c>
      <c r="M1088" s="3" t="str">
        <f aca="false">IFERROR(__xludf.dummyfunction("if($T1088&lt;&gt;"""",REGEXEXTRACT($T1088, M$1&amp;""[\w &amp;]*, (\d+\.\d+)""),"""")
"),"")</f>
        <v/>
      </c>
      <c r="N1088" s="3" t="str">
        <f aca="false">IFERROR(__xludf.dummyfunction("if($T1088&lt;&gt;"""",REGEXEXTRACT(SUBSTITUTE ($T1088,N$1&amp;"" CE"",""""), N$1&amp;""[\w &amp;]*, (\d+\.\d+)""),"""")
"),"")</f>
        <v/>
      </c>
      <c r="O1088" s="3" t="str">
        <f aca="false">IFERROR(__xludf.dummyfunction("if($T1088&lt;&gt;"""",REGEXEXTRACT($T1088, O$1&amp;""[\w &amp;]*, (\d+\.\d+)""),"""")
"),"")</f>
        <v/>
      </c>
      <c r="P1088" s="2"/>
      <c r="Q1088" s="2"/>
      <c r="R1088" s="2"/>
      <c r="S1088" s="2"/>
      <c r="T1088" s="5"/>
    </row>
    <row r="1089" customFormat="false" ht="15.75" hidden="false" customHeight="false" outlineLevel="0" collapsed="false">
      <c r="A1089" s="4"/>
      <c r="B1089" s="2"/>
      <c r="C1089" s="2"/>
      <c r="D1089" s="2"/>
      <c r="E1089" s="2"/>
      <c r="F1089" s="3" t="str">
        <f aca="false">IFERROR(__xludf.dummyfunction("if($T1089&lt;&gt;"""",REGEXEXTRACT(SUBSTITUTE ($T1089,F$1&amp;"" CE"",""""), F$1&amp;""[\w &amp;]*, (\d+\.\d+)""),"""")
"),"")</f>
        <v/>
      </c>
      <c r="G1089" s="3" t="str">
        <f aca="false">IFERROR(__xludf.dummyfunction("if($T1089&lt;&gt;"""",REGEXEXTRACT($T1089, G$1&amp;""[\w &amp;]*, (\d+\.\d+)""),"""")
"),"")</f>
        <v/>
      </c>
      <c r="H1089" s="3"/>
      <c r="I1089" s="3" t="str">
        <f aca="false">IFERROR(__xludf.dummyfunction("if($T1089&lt;&gt;"""",REGEXEXTRACT(SUBSTITUTE ($T1089,I$1&amp;"" CE"",""""), I$1&amp;""[\w &amp;]*, (\d+\.\d+)""),"""")
"),"")</f>
        <v/>
      </c>
      <c r="J1089" s="3" t="str">
        <f aca="false">IFERROR(__xludf.dummyfunction("if($T1089&lt;&gt;"""",REGEXEXTRACT($T1089, J$1&amp;""[\w &amp;]*, (\d+\.\d+)""),"""")
"),"")</f>
        <v/>
      </c>
      <c r="K1089" s="3"/>
      <c r="L1089" s="3" t="str">
        <f aca="false">IFERROR(__xludf.dummyfunction("if($T1089&lt;&gt;"""",REGEXEXTRACT(SUBSTITUTE ($T1089,L$1&amp;"" CE"",""""), L$1&amp;""[\w &amp;]*, (\d+\.\d+)""),"""")
"),"")</f>
        <v/>
      </c>
      <c r="M1089" s="3" t="str">
        <f aca="false">IFERROR(__xludf.dummyfunction("if($T1089&lt;&gt;"""",REGEXEXTRACT($T1089, M$1&amp;""[\w &amp;]*, (\d+\.\d+)""),"""")
"),"")</f>
        <v/>
      </c>
      <c r="N1089" s="3" t="str">
        <f aca="false">IFERROR(__xludf.dummyfunction("if($T1089&lt;&gt;"""",REGEXEXTRACT(SUBSTITUTE ($T1089,N$1&amp;"" CE"",""""), N$1&amp;""[\w &amp;]*, (\d+\.\d+)""),"""")
"),"")</f>
        <v/>
      </c>
      <c r="O1089" s="3" t="str">
        <f aca="false">IFERROR(__xludf.dummyfunction("if($T1089&lt;&gt;"""",REGEXEXTRACT($T1089, O$1&amp;""[\w &amp;]*, (\d+\.\d+)""),"""")
"),"")</f>
        <v/>
      </c>
      <c r="P1089" s="2"/>
      <c r="Q1089" s="2"/>
      <c r="R1089" s="2"/>
      <c r="S1089" s="2"/>
      <c r="T1089" s="5"/>
    </row>
    <row r="1090" customFormat="false" ht="15.75" hidden="false" customHeight="false" outlineLevel="0" collapsed="false">
      <c r="A1090" s="4"/>
      <c r="B1090" s="2"/>
      <c r="C1090" s="2"/>
      <c r="D1090" s="2"/>
      <c r="E1090" s="2"/>
      <c r="F1090" s="3" t="str">
        <f aca="false">IFERROR(__xludf.dummyfunction("if($T1090&lt;&gt;"""",REGEXEXTRACT(SUBSTITUTE ($T1090,F$1&amp;"" CE"",""""), F$1&amp;""[\w &amp;]*, (\d+\.\d+)""),"""")
"),"")</f>
        <v/>
      </c>
      <c r="G1090" s="3" t="str">
        <f aca="false">IFERROR(__xludf.dummyfunction("if($T1090&lt;&gt;"""",REGEXEXTRACT($T1090, G$1&amp;""[\w &amp;]*, (\d+\.\d+)""),"""")
"),"")</f>
        <v/>
      </c>
      <c r="H1090" s="3"/>
      <c r="I1090" s="3" t="str">
        <f aca="false">IFERROR(__xludf.dummyfunction("if($T1090&lt;&gt;"""",REGEXEXTRACT(SUBSTITUTE ($T1090,I$1&amp;"" CE"",""""), I$1&amp;""[\w &amp;]*, (\d+\.\d+)""),"""")
"),"")</f>
        <v/>
      </c>
      <c r="J1090" s="3" t="str">
        <f aca="false">IFERROR(__xludf.dummyfunction("if($T1090&lt;&gt;"""",REGEXEXTRACT($T1090, J$1&amp;""[\w &amp;]*, (\d+\.\d+)""),"""")
"),"")</f>
        <v/>
      </c>
      <c r="K1090" s="3"/>
      <c r="L1090" s="3" t="str">
        <f aca="false">IFERROR(__xludf.dummyfunction("if($T1090&lt;&gt;"""",REGEXEXTRACT(SUBSTITUTE ($T1090,L$1&amp;"" CE"",""""), L$1&amp;""[\w &amp;]*, (\d+\.\d+)""),"""")
"),"")</f>
        <v/>
      </c>
      <c r="M1090" s="3" t="str">
        <f aca="false">IFERROR(__xludf.dummyfunction("if($T1090&lt;&gt;"""",REGEXEXTRACT($T1090, M$1&amp;""[\w &amp;]*, (\d+\.\d+)""),"""")
"),"")</f>
        <v/>
      </c>
      <c r="N1090" s="3" t="str">
        <f aca="false">IFERROR(__xludf.dummyfunction("if($T1090&lt;&gt;"""",REGEXEXTRACT(SUBSTITUTE ($T1090,N$1&amp;"" CE"",""""), N$1&amp;""[\w &amp;]*, (\d+\.\d+)""),"""")
"),"")</f>
        <v/>
      </c>
      <c r="O1090" s="3" t="str">
        <f aca="false">IFERROR(__xludf.dummyfunction("if($T1090&lt;&gt;"""",REGEXEXTRACT($T1090, O$1&amp;""[\w &amp;]*, (\d+\.\d+)""),"""")
"),"")</f>
        <v/>
      </c>
      <c r="P1090" s="2"/>
      <c r="Q1090" s="2"/>
      <c r="R1090" s="2"/>
      <c r="S1090" s="2"/>
      <c r="T1090" s="5"/>
    </row>
    <row r="1091" customFormat="false" ht="15.75" hidden="false" customHeight="false" outlineLevel="0" collapsed="false">
      <c r="A1091" s="4"/>
      <c r="B1091" s="2"/>
      <c r="C1091" s="2"/>
      <c r="D1091" s="2"/>
      <c r="E1091" s="2"/>
      <c r="F1091" s="3" t="str">
        <f aca="false">IFERROR(__xludf.dummyfunction("if($T1091&lt;&gt;"""",REGEXEXTRACT(SUBSTITUTE ($T1091,F$1&amp;"" CE"",""""), F$1&amp;""[\w &amp;]*, (\d+\.\d+)""),"""")
"),"")</f>
        <v/>
      </c>
      <c r="G1091" s="3" t="str">
        <f aca="false">IFERROR(__xludf.dummyfunction("if($T1091&lt;&gt;"""",REGEXEXTRACT($T1091, G$1&amp;""[\w &amp;]*, (\d+\.\d+)""),"""")
"),"")</f>
        <v/>
      </c>
      <c r="H1091" s="3"/>
      <c r="I1091" s="3" t="str">
        <f aca="false">IFERROR(__xludf.dummyfunction("if($T1091&lt;&gt;"""",REGEXEXTRACT(SUBSTITUTE ($T1091,I$1&amp;"" CE"",""""), I$1&amp;""[\w &amp;]*, (\d+\.\d+)""),"""")
"),"")</f>
        <v/>
      </c>
      <c r="J1091" s="3" t="str">
        <f aca="false">IFERROR(__xludf.dummyfunction("if($T1091&lt;&gt;"""",REGEXEXTRACT($T1091, J$1&amp;""[\w &amp;]*, (\d+\.\d+)""),"""")
"),"")</f>
        <v/>
      </c>
      <c r="K1091" s="3"/>
      <c r="L1091" s="3" t="str">
        <f aca="false">IFERROR(__xludf.dummyfunction("if($T1091&lt;&gt;"""",REGEXEXTRACT(SUBSTITUTE ($T1091,L$1&amp;"" CE"",""""), L$1&amp;""[\w &amp;]*, (\d+\.\d+)""),"""")
"),"")</f>
        <v/>
      </c>
      <c r="M1091" s="3" t="str">
        <f aca="false">IFERROR(__xludf.dummyfunction("if($T1091&lt;&gt;"""",REGEXEXTRACT($T1091, M$1&amp;""[\w &amp;]*, (\d+\.\d+)""),"""")
"),"")</f>
        <v/>
      </c>
      <c r="N1091" s="3" t="str">
        <f aca="false">IFERROR(__xludf.dummyfunction("if($T1091&lt;&gt;"""",REGEXEXTRACT(SUBSTITUTE ($T1091,N$1&amp;"" CE"",""""), N$1&amp;""[\w &amp;]*, (\d+\.\d+)""),"""")
"),"")</f>
        <v/>
      </c>
      <c r="O1091" s="3" t="str">
        <f aca="false">IFERROR(__xludf.dummyfunction("if($T1091&lt;&gt;"""",REGEXEXTRACT($T1091, O$1&amp;""[\w &amp;]*, (\d+\.\d+)""),"""")
"),"")</f>
        <v/>
      </c>
      <c r="P1091" s="2"/>
      <c r="Q1091" s="2"/>
      <c r="R1091" s="2"/>
      <c r="S1091" s="2"/>
      <c r="T1091" s="5"/>
    </row>
    <row r="1092" customFormat="false" ht="15.75" hidden="false" customHeight="false" outlineLevel="0" collapsed="false">
      <c r="A1092" s="4"/>
      <c r="B1092" s="2"/>
      <c r="C1092" s="2"/>
      <c r="D1092" s="2"/>
      <c r="E1092" s="2"/>
      <c r="F1092" s="3" t="str">
        <f aca="false">IFERROR(__xludf.dummyfunction("if($T1092&lt;&gt;"""",REGEXEXTRACT(SUBSTITUTE ($T1092,F$1&amp;"" CE"",""""), F$1&amp;""[\w &amp;]*, (\d+\.\d+)""),"""")
"),"")</f>
        <v/>
      </c>
      <c r="G1092" s="3" t="str">
        <f aca="false">IFERROR(__xludf.dummyfunction("if($T1092&lt;&gt;"""",REGEXEXTRACT($T1092, G$1&amp;""[\w &amp;]*, (\d+\.\d+)""),"""")
"),"")</f>
        <v/>
      </c>
      <c r="H1092" s="3"/>
      <c r="I1092" s="3" t="str">
        <f aca="false">IFERROR(__xludf.dummyfunction("if($T1092&lt;&gt;"""",REGEXEXTRACT(SUBSTITUTE ($T1092,I$1&amp;"" CE"",""""), I$1&amp;""[\w &amp;]*, (\d+\.\d+)""),"""")
"),"")</f>
        <v/>
      </c>
      <c r="J1092" s="3" t="str">
        <f aca="false">IFERROR(__xludf.dummyfunction("if($T1092&lt;&gt;"""",REGEXEXTRACT($T1092, J$1&amp;""[\w &amp;]*, (\d+\.\d+)""),"""")
"),"")</f>
        <v/>
      </c>
      <c r="K1092" s="3"/>
      <c r="L1092" s="3" t="str">
        <f aca="false">IFERROR(__xludf.dummyfunction("if($T1092&lt;&gt;"""",REGEXEXTRACT(SUBSTITUTE ($T1092,L$1&amp;"" CE"",""""), L$1&amp;""[\w &amp;]*, (\d+\.\d+)""),"""")
"),"")</f>
        <v/>
      </c>
      <c r="M1092" s="3" t="str">
        <f aca="false">IFERROR(__xludf.dummyfunction("if($T1092&lt;&gt;"""",REGEXEXTRACT($T1092, M$1&amp;""[\w &amp;]*, (\d+\.\d+)""),"""")
"),"")</f>
        <v/>
      </c>
      <c r="N1092" s="3" t="str">
        <f aca="false">IFERROR(__xludf.dummyfunction("if($T1092&lt;&gt;"""",REGEXEXTRACT(SUBSTITUTE ($T1092,N$1&amp;"" CE"",""""), N$1&amp;""[\w &amp;]*, (\d+\.\d+)""),"""")
"),"")</f>
        <v/>
      </c>
      <c r="O1092" s="3" t="str">
        <f aca="false">IFERROR(__xludf.dummyfunction("if($T1092&lt;&gt;"""",REGEXEXTRACT($T1092, O$1&amp;""[\w &amp;]*, (\d+\.\d+)""),"""")
"),"")</f>
        <v/>
      </c>
      <c r="P1092" s="2"/>
      <c r="Q1092" s="2"/>
      <c r="R1092" s="2"/>
      <c r="S1092" s="2"/>
      <c r="T1092" s="5"/>
    </row>
    <row r="1093" customFormat="false" ht="15.75" hidden="false" customHeight="false" outlineLevel="0" collapsed="false">
      <c r="A1093" s="4"/>
      <c r="B1093" s="2"/>
      <c r="C1093" s="2"/>
      <c r="D1093" s="2"/>
      <c r="E1093" s="2"/>
      <c r="F1093" s="3" t="str">
        <f aca="false">IFERROR(__xludf.dummyfunction("if($T1093&lt;&gt;"""",REGEXEXTRACT(SUBSTITUTE ($T1093,F$1&amp;"" CE"",""""), F$1&amp;""[\w &amp;]*, (\d+\.\d+)""),"""")
"),"")</f>
        <v/>
      </c>
      <c r="G1093" s="3" t="str">
        <f aca="false">IFERROR(__xludf.dummyfunction("if($T1093&lt;&gt;"""",REGEXEXTRACT($T1093, G$1&amp;""[\w &amp;]*, (\d+\.\d+)""),"""")
"),"")</f>
        <v/>
      </c>
      <c r="H1093" s="3"/>
      <c r="I1093" s="3" t="str">
        <f aca="false">IFERROR(__xludf.dummyfunction("if($T1093&lt;&gt;"""",REGEXEXTRACT(SUBSTITUTE ($T1093,I$1&amp;"" CE"",""""), I$1&amp;""[\w &amp;]*, (\d+\.\d+)""),"""")
"),"")</f>
        <v/>
      </c>
      <c r="J1093" s="3" t="str">
        <f aca="false">IFERROR(__xludf.dummyfunction("if($T1093&lt;&gt;"""",REGEXEXTRACT($T1093, J$1&amp;""[\w &amp;]*, (\d+\.\d+)""),"""")
"),"")</f>
        <v/>
      </c>
      <c r="K1093" s="3"/>
      <c r="L1093" s="3" t="str">
        <f aca="false">IFERROR(__xludf.dummyfunction("if($T1093&lt;&gt;"""",REGEXEXTRACT(SUBSTITUTE ($T1093,L$1&amp;"" CE"",""""), L$1&amp;""[\w &amp;]*, (\d+\.\d+)""),"""")
"),"")</f>
        <v/>
      </c>
      <c r="M1093" s="3" t="str">
        <f aca="false">IFERROR(__xludf.dummyfunction("if($T1093&lt;&gt;"""",REGEXEXTRACT($T1093, M$1&amp;""[\w &amp;]*, (\d+\.\d+)""),"""")
"),"")</f>
        <v/>
      </c>
      <c r="N1093" s="3" t="str">
        <f aca="false">IFERROR(__xludf.dummyfunction("if($T1093&lt;&gt;"""",REGEXEXTRACT(SUBSTITUTE ($T1093,N$1&amp;"" CE"",""""), N$1&amp;""[\w &amp;]*, (\d+\.\d+)""),"""")
"),"")</f>
        <v/>
      </c>
      <c r="O1093" s="3" t="str">
        <f aca="false">IFERROR(__xludf.dummyfunction("if($T1093&lt;&gt;"""",REGEXEXTRACT($T1093, O$1&amp;""[\w &amp;]*, (\d+\.\d+)""),"""")
"),"")</f>
        <v/>
      </c>
      <c r="P1093" s="2"/>
      <c r="Q1093" s="2"/>
      <c r="R1093" s="2"/>
      <c r="S1093" s="2"/>
      <c r="T1093" s="5"/>
    </row>
    <row r="1094" customFormat="false" ht="15.75" hidden="false" customHeight="false" outlineLevel="0" collapsed="false">
      <c r="A1094" s="4"/>
      <c r="B1094" s="2"/>
      <c r="C1094" s="2"/>
      <c r="D1094" s="2"/>
      <c r="E1094" s="2"/>
      <c r="F1094" s="3" t="str">
        <f aca="false">IFERROR(__xludf.dummyfunction("if($T1094&lt;&gt;"""",REGEXEXTRACT(SUBSTITUTE ($T1094,F$1&amp;"" CE"",""""), F$1&amp;""[\w &amp;]*, (\d+\.\d+)""),"""")
"),"")</f>
        <v/>
      </c>
      <c r="G1094" s="3" t="str">
        <f aca="false">IFERROR(__xludf.dummyfunction("if($T1094&lt;&gt;"""",REGEXEXTRACT($T1094, G$1&amp;""[\w &amp;]*, (\d+\.\d+)""),"""")
"),"")</f>
        <v/>
      </c>
      <c r="H1094" s="3"/>
      <c r="I1094" s="3" t="str">
        <f aca="false">IFERROR(__xludf.dummyfunction("if($T1094&lt;&gt;"""",REGEXEXTRACT(SUBSTITUTE ($T1094,I$1&amp;"" CE"",""""), I$1&amp;""[\w &amp;]*, (\d+\.\d+)""),"""")
"),"")</f>
        <v/>
      </c>
      <c r="J1094" s="3" t="str">
        <f aca="false">IFERROR(__xludf.dummyfunction("if($T1094&lt;&gt;"""",REGEXEXTRACT($T1094, J$1&amp;""[\w &amp;]*, (\d+\.\d+)""),"""")
"),"")</f>
        <v/>
      </c>
      <c r="K1094" s="3"/>
      <c r="L1094" s="3" t="str">
        <f aca="false">IFERROR(__xludf.dummyfunction("if($T1094&lt;&gt;"""",REGEXEXTRACT(SUBSTITUTE ($T1094,L$1&amp;"" CE"",""""), L$1&amp;""[\w &amp;]*, (\d+\.\d+)""),"""")
"),"")</f>
        <v/>
      </c>
      <c r="M1094" s="3" t="str">
        <f aca="false">IFERROR(__xludf.dummyfunction("if($T1094&lt;&gt;"""",REGEXEXTRACT($T1094, M$1&amp;""[\w &amp;]*, (\d+\.\d+)""),"""")
"),"")</f>
        <v/>
      </c>
      <c r="N1094" s="3" t="str">
        <f aca="false">IFERROR(__xludf.dummyfunction("if($T1094&lt;&gt;"""",REGEXEXTRACT(SUBSTITUTE ($T1094,N$1&amp;"" CE"",""""), N$1&amp;""[\w &amp;]*, (\d+\.\d+)""),"""")
"),"")</f>
        <v/>
      </c>
      <c r="O1094" s="3" t="str">
        <f aca="false">IFERROR(__xludf.dummyfunction("if($T1094&lt;&gt;"""",REGEXEXTRACT($T1094, O$1&amp;""[\w &amp;]*, (\d+\.\d+)""),"""")
"),"")</f>
        <v/>
      </c>
      <c r="P1094" s="2"/>
      <c r="Q1094" s="2"/>
      <c r="R1094" s="2"/>
      <c r="S1094" s="2"/>
      <c r="T1094" s="5"/>
    </row>
    <row r="1095" customFormat="false" ht="15.75" hidden="false" customHeight="false" outlineLevel="0" collapsed="false">
      <c r="A1095" s="4"/>
      <c r="B1095" s="2"/>
      <c r="C1095" s="2"/>
      <c r="D1095" s="2"/>
      <c r="E1095" s="2"/>
      <c r="F1095" s="3" t="str">
        <f aca="false">IFERROR(__xludf.dummyfunction("if($T1095&lt;&gt;"""",REGEXEXTRACT(SUBSTITUTE ($T1095,F$1&amp;"" CE"",""""), F$1&amp;""[\w &amp;]*, (\d+\.\d+)""),"""")
"),"")</f>
        <v/>
      </c>
      <c r="G1095" s="3" t="str">
        <f aca="false">IFERROR(__xludf.dummyfunction("if($T1095&lt;&gt;"""",REGEXEXTRACT($T1095, G$1&amp;""[\w &amp;]*, (\d+\.\d+)""),"""")
"),"")</f>
        <v/>
      </c>
      <c r="H1095" s="3"/>
      <c r="I1095" s="3" t="str">
        <f aca="false">IFERROR(__xludf.dummyfunction("if($T1095&lt;&gt;"""",REGEXEXTRACT(SUBSTITUTE ($T1095,I$1&amp;"" CE"",""""), I$1&amp;""[\w &amp;]*, (\d+\.\d+)""),"""")
"),"")</f>
        <v/>
      </c>
      <c r="J1095" s="3" t="str">
        <f aca="false">IFERROR(__xludf.dummyfunction("if($T1095&lt;&gt;"""",REGEXEXTRACT($T1095, J$1&amp;""[\w &amp;]*, (\d+\.\d+)""),"""")
"),"")</f>
        <v/>
      </c>
      <c r="K1095" s="3"/>
      <c r="L1095" s="3" t="str">
        <f aca="false">IFERROR(__xludf.dummyfunction("if($T1095&lt;&gt;"""",REGEXEXTRACT(SUBSTITUTE ($T1095,L$1&amp;"" CE"",""""), L$1&amp;""[\w &amp;]*, (\d+\.\d+)""),"""")
"),"")</f>
        <v/>
      </c>
      <c r="M1095" s="3" t="str">
        <f aca="false">IFERROR(__xludf.dummyfunction("if($T1095&lt;&gt;"""",REGEXEXTRACT($T1095, M$1&amp;""[\w &amp;]*, (\d+\.\d+)""),"""")
"),"")</f>
        <v/>
      </c>
      <c r="N1095" s="3" t="str">
        <f aca="false">IFERROR(__xludf.dummyfunction("if($T1095&lt;&gt;"""",REGEXEXTRACT(SUBSTITUTE ($T1095,N$1&amp;"" CE"",""""), N$1&amp;""[\w &amp;]*, (\d+\.\d+)""),"""")
"),"")</f>
        <v/>
      </c>
      <c r="O1095" s="3" t="str">
        <f aca="false">IFERROR(__xludf.dummyfunction("if($T1095&lt;&gt;"""",REGEXEXTRACT($T1095, O$1&amp;""[\w &amp;]*, (\d+\.\d+)""),"""")
"),"")</f>
        <v/>
      </c>
      <c r="P1095" s="2"/>
      <c r="Q1095" s="2"/>
      <c r="R1095" s="2"/>
      <c r="S1095" s="2"/>
      <c r="T1095" s="5"/>
    </row>
    <row r="1096" customFormat="false" ht="15.75" hidden="false" customHeight="false" outlineLevel="0" collapsed="false">
      <c r="A1096" s="4"/>
      <c r="B1096" s="2"/>
      <c r="C1096" s="2"/>
      <c r="D1096" s="2"/>
      <c r="E1096" s="2"/>
      <c r="F1096" s="3" t="str">
        <f aca="false">IFERROR(__xludf.dummyfunction("if($T1096&lt;&gt;"""",REGEXEXTRACT(SUBSTITUTE ($T1096,F$1&amp;"" CE"",""""), F$1&amp;""[\w &amp;]*, (\d+\.\d+)""),"""")
"),"")</f>
        <v/>
      </c>
      <c r="G1096" s="3" t="str">
        <f aca="false">IFERROR(__xludf.dummyfunction("if($T1096&lt;&gt;"""",REGEXEXTRACT($T1096, G$1&amp;""[\w &amp;]*, (\d+\.\d+)""),"""")
"),"")</f>
        <v/>
      </c>
      <c r="H1096" s="3"/>
      <c r="I1096" s="3" t="str">
        <f aca="false">IFERROR(__xludf.dummyfunction("if($T1096&lt;&gt;"""",REGEXEXTRACT(SUBSTITUTE ($T1096,I$1&amp;"" CE"",""""), I$1&amp;""[\w &amp;]*, (\d+\.\d+)""),"""")
"),"")</f>
        <v/>
      </c>
      <c r="J1096" s="3" t="str">
        <f aca="false">IFERROR(__xludf.dummyfunction("if($T1096&lt;&gt;"""",REGEXEXTRACT($T1096, J$1&amp;""[\w &amp;]*, (\d+\.\d+)""),"""")
"),"")</f>
        <v/>
      </c>
      <c r="K1096" s="3"/>
      <c r="L1096" s="3" t="str">
        <f aca="false">IFERROR(__xludf.dummyfunction("if($T1096&lt;&gt;"""",REGEXEXTRACT(SUBSTITUTE ($T1096,L$1&amp;"" CE"",""""), L$1&amp;""[\w &amp;]*, (\d+\.\d+)""),"""")
"),"")</f>
        <v/>
      </c>
      <c r="M1096" s="3" t="str">
        <f aca="false">IFERROR(__xludf.dummyfunction("if($T1096&lt;&gt;"""",REGEXEXTRACT($T1096, M$1&amp;""[\w &amp;]*, (\d+\.\d+)""),"""")
"),"")</f>
        <v/>
      </c>
      <c r="N1096" s="3" t="str">
        <f aca="false">IFERROR(__xludf.dummyfunction("if($T1096&lt;&gt;"""",REGEXEXTRACT(SUBSTITUTE ($T1096,N$1&amp;"" CE"",""""), N$1&amp;""[\w &amp;]*, (\d+\.\d+)""),"""")
"),"")</f>
        <v/>
      </c>
      <c r="O1096" s="3" t="str">
        <f aca="false">IFERROR(__xludf.dummyfunction("if($T1096&lt;&gt;"""",REGEXEXTRACT($T1096, O$1&amp;""[\w &amp;]*, (\d+\.\d+)""),"""")
"),"")</f>
        <v/>
      </c>
      <c r="P1096" s="2"/>
      <c r="Q1096" s="2"/>
      <c r="R1096" s="2"/>
      <c r="S1096" s="2"/>
      <c r="T1096" s="5"/>
    </row>
    <row r="1097" customFormat="false" ht="15.75" hidden="false" customHeight="false" outlineLevel="0" collapsed="false">
      <c r="A1097" s="4"/>
      <c r="B1097" s="2"/>
      <c r="C1097" s="2"/>
      <c r="D1097" s="2"/>
      <c r="E1097" s="2"/>
      <c r="F1097" s="3" t="str">
        <f aca="false">IFERROR(__xludf.dummyfunction("if($T1097&lt;&gt;"""",REGEXEXTRACT(SUBSTITUTE ($T1097,F$1&amp;"" CE"",""""), F$1&amp;""[\w &amp;]*, (\d+\.\d+)""),"""")
"),"")</f>
        <v/>
      </c>
      <c r="G1097" s="3" t="str">
        <f aca="false">IFERROR(__xludf.dummyfunction("if($T1097&lt;&gt;"""",REGEXEXTRACT($T1097, G$1&amp;""[\w &amp;]*, (\d+\.\d+)""),"""")
"),"")</f>
        <v/>
      </c>
      <c r="H1097" s="3"/>
      <c r="I1097" s="3" t="str">
        <f aca="false">IFERROR(__xludf.dummyfunction("if($T1097&lt;&gt;"""",REGEXEXTRACT(SUBSTITUTE ($T1097,I$1&amp;"" CE"",""""), I$1&amp;""[\w &amp;]*, (\d+\.\d+)""),"""")
"),"")</f>
        <v/>
      </c>
      <c r="J1097" s="3" t="str">
        <f aca="false">IFERROR(__xludf.dummyfunction("if($T1097&lt;&gt;"""",REGEXEXTRACT($T1097, J$1&amp;""[\w &amp;]*, (\d+\.\d+)""),"""")
"),"")</f>
        <v/>
      </c>
      <c r="K1097" s="3"/>
      <c r="L1097" s="3" t="str">
        <f aca="false">IFERROR(__xludf.dummyfunction("if($T1097&lt;&gt;"""",REGEXEXTRACT(SUBSTITUTE ($T1097,L$1&amp;"" CE"",""""), L$1&amp;""[\w &amp;]*, (\d+\.\d+)""),"""")
"),"")</f>
        <v/>
      </c>
      <c r="M1097" s="3" t="str">
        <f aca="false">IFERROR(__xludf.dummyfunction("if($T1097&lt;&gt;"""",REGEXEXTRACT($T1097, M$1&amp;""[\w &amp;]*, (\d+\.\d+)""),"""")
"),"")</f>
        <v/>
      </c>
      <c r="N1097" s="3" t="str">
        <f aca="false">IFERROR(__xludf.dummyfunction("if($T1097&lt;&gt;"""",REGEXEXTRACT(SUBSTITUTE ($T1097,N$1&amp;"" CE"",""""), N$1&amp;""[\w &amp;]*, (\d+\.\d+)""),"""")
"),"")</f>
        <v/>
      </c>
      <c r="O1097" s="3" t="str">
        <f aca="false">IFERROR(__xludf.dummyfunction("if($T1097&lt;&gt;"""",REGEXEXTRACT($T1097, O$1&amp;""[\w &amp;]*, (\d+\.\d+)""),"""")
"),"")</f>
        <v/>
      </c>
      <c r="P1097" s="2"/>
      <c r="Q1097" s="2"/>
      <c r="R1097" s="2"/>
      <c r="S1097" s="2"/>
      <c r="T1097" s="5"/>
    </row>
    <row r="1098" customFormat="false" ht="15.75" hidden="false" customHeight="false" outlineLevel="0" collapsed="false">
      <c r="A1098" s="4"/>
      <c r="B1098" s="2"/>
      <c r="C1098" s="2"/>
      <c r="D1098" s="2"/>
      <c r="E1098" s="2"/>
      <c r="F1098" s="3" t="str">
        <f aca="false">IFERROR(__xludf.dummyfunction("if($T1098&lt;&gt;"""",REGEXEXTRACT(SUBSTITUTE ($T1098,F$1&amp;"" CE"",""""), F$1&amp;""[\w &amp;]*, (\d+\.\d+)""),"""")
"),"")</f>
        <v/>
      </c>
      <c r="G1098" s="3" t="str">
        <f aca="false">IFERROR(__xludf.dummyfunction("if($T1098&lt;&gt;"""",REGEXEXTRACT($T1098, G$1&amp;""[\w &amp;]*, (\d+\.\d+)""),"""")
"),"")</f>
        <v/>
      </c>
      <c r="H1098" s="3"/>
      <c r="I1098" s="3" t="str">
        <f aca="false">IFERROR(__xludf.dummyfunction("if($T1098&lt;&gt;"""",REGEXEXTRACT(SUBSTITUTE ($T1098,I$1&amp;"" CE"",""""), I$1&amp;""[\w &amp;]*, (\d+\.\d+)""),"""")
"),"")</f>
        <v/>
      </c>
      <c r="J1098" s="3" t="str">
        <f aca="false">IFERROR(__xludf.dummyfunction("if($T1098&lt;&gt;"""",REGEXEXTRACT($T1098, J$1&amp;""[\w &amp;]*, (\d+\.\d+)""),"""")
"),"")</f>
        <v/>
      </c>
      <c r="K1098" s="3"/>
      <c r="L1098" s="3" t="str">
        <f aca="false">IFERROR(__xludf.dummyfunction("if($T1098&lt;&gt;"""",REGEXEXTRACT(SUBSTITUTE ($T1098,L$1&amp;"" CE"",""""), L$1&amp;""[\w &amp;]*, (\d+\.\d+)""),"""")
"),"")</f>
        <v/>
      </c>
      <c r="M1098" s="3" t="str">
        <f aca="false">IFERROR(__xludf.dummyfunction("if($T1098&lt;&gt;"""",REGEXEXTRACT($T1098, M$1&amp;""[\w &amp;]*, (\d+\.\d+)""),"""")
"),"")</f>
        <v/>
      </c>
      <c r="N1098" s="3" t="str">
        <f aca="false">IFERROR(__xludf.dummyfunction("if($T1098&lt;&gt;"""",REGEXEXTRACT(SUBSTITUTE ($T1098,N$1&amp;"" CE"",""""), N$1&amp;""[\w &amp;]*, (\d+\.\d+)""),"""")
"),"")</f>
        <v/>
      </c>
      <c r="O1098" s="3" t="str">
        <f aca="false">IFERROR(__xludf.dummyfunction("if($T1098&lt;&gt;"""",REGEXEXTRACT($T1098, O$1&amp;""[\w &amp;]*, (\d+\.\d+)""),"""")
"),"")</f>
        <v/>
      </c>
      <c r="P1098" s="2"/>
      <c r="Q1098" s="2"/>
      <c r="R1098" s="2"/>
      <c r="S1098" s="2"/>
      <c r="T1098" s="5"/>
    </row>
    <row r="1099" customFormat="false" ht="15.75" hidden="false" customHeight="false" outlineLevel="0" collapsed="false">
      <c r="A1099" s="4"/>
      <c r="B1099" s="2"/>
      <c r="C1099" s="2"/>
      <c r="D1099" s="2"/>
      <c r="E1099" s="2"/>
      <c r="F1099" s="3" t="str">
        <f aca="false">IFERROR(__xludf.dummyfunction("if($T1099&lt;&gt;"""",REGEXEXTRACT(SUBSTITUTE ($T1099,F$1&amp;"" CE"",""""), F$1&amp;""[\w &amp;]*, (\d+\.\d+)""),"""")
"),"")</f>
        <v/>
      </c>
      <c r="G1099" s="3" t="str">
        <f aca="false">IFERROR(__xludf.dummyfunction("if($T1099&lt;&gt;"""",REGEXEXTRACT($T1099, G$1&amp;""[\w &amp;]*, (\d+\.\d+)""),"""")
"),"")</f>
        <v/>
      </c>
      <c r="H1099" s="3"/>
      <c r="I1099" s="3" t="str">
        <f aca="false">IFERROR(__xludf.dummyfunction("if($T1099&lt;&gt;"""",REGEXEXTRACT(SUBSTITUTE ($T1099,I$1&amp;"" CE"",""""), I$1&amp;""[\w &amp;]*, (\d+\.\d+)""),"""")
"),"")</f>
        <v/>
      </c>
      <c r="J1099" s="3" t="str">
        <f aca="false">IFERROR(__xludf.dummyfunction("if($T1099&lt;&gt;"""",REGEXEXTRACT($T1099, J$1&amp;""[\w &amp;]*, (\d+\.\d+)""),"""")
"),"")</f>
        <v/>
      </c>
      <c r="K1099" s="3"/>
      <c r="L1099" s="3" t="str">
        <f aca="false">IFERROR(__xludf.dummyfunction("if($T1099&lt;&gt;"""",REGEXEXTRACT(SUBSTITUTE ($T1099,L$1&amp;"" CE"",""""), L$1&amp;""[\w &amp;]*, (\d+\.\d+)""),"""")
"),"")</f>
        <v/>
      </c>
      <c r="M1099" s="3" t="str">
        <f aca="false">IFERROR(__xludf.dummyfunction("if($T1099&lt;&gt;"""",REGEXEXTRACT($T1099, M$1&amp;""[\w &amp;]*, (\d+\.\d+)""),"""")
"),"")</f>
        <v/>
      </c>
      <c r="N1099" s="3" t="str">
        <f aca="false">IFERROR(__xludf.dummyfunction("if($T1099&lt;&gt;"""",REGEXEXTRACT(SUBSTITUTE ($T1099,N$1&amp;"" CE"",""""), N$1&amp;""[\w &amp;]*, (\d+\.\d+)""),"""")
"),"")</f>
        <v/>
      </c>
      <c r="O1099" s="3" t="str">
        <f aca="false">IFERROR(__xludf.dummyfunction("if($T1099&lt;&gt;"""",REGEXEXTRACT($T1099, O$1&amp;""[\w &amp;]*, (\d+\.\d+)""),"""")
"),"")</f>
        <v/>
      </c>
      <c r="P1099" s="2"/>
      <c r="Q1099" s="2"/>
      <c r="R1099" s="2"/>
      <c r="S1099" s="2"/>
      <c r="T1099" s="5"/>
    </row>
    <row r="1100" customFormat="false" ht="15.75" hidden="false" customHeight="false" outlineLevel="0" collapsed="false">
      <c r="A1100" s="4"/>
      <c r="B1100" s="2"/>
      <c r="C1100" s="2"/>
      <c r="D1100" s="2"/>
      <c r="E1100" s="2"/>
      <c r="F1100" s="3" t="str">
        <f aca="false">IFERROR(__xludf.dummyfunction("if($T1100&lt;&gt;"""",REGEXEXTRACT(SUBSTITUTE ($T1100,F$1&amp;"" CE"",""""), F$1&amp;""[\w &amp;]*, (\d+\.\d+)""),"""")
"),"")</f>
        <v/>
      </c>
      <c r="G1100" s="3" t="str">
        <f aca="false">IFERROR(__xludf.dummyfunction("if($T1100&lt;&gt;"""",REGEXEXTRACT($T1100, G$1&amp;""[\w &amp;]*, (\d+\.\d+)""),"""")
"),"")</f>
        <v/>
      </c>
      <c r="H1100" s="3"/>
      <c r="I1100" s="3" t="str">
        <f aca="false">IFERROR(__xludf.dummyfunction("if($T1100&lt;&gt;"""",REGEXEXTRACT(SUBSTITUTE ($T1100,I$1&amp;"" CE"",""""), I$1&amp;""[\w &amp;]*, (\d+\.\d+)""),"""")
"),"")</f>
        <v/>
      </c>
      <c r="J1100" s="3" t="str">
        <f aca="false">IFERROR(__xludf.dummyfunction("if($T1100&lt;&gt;"""",REGEXEXTRACT($T1100, J$1&amp;""[\w &amp;]*, (\d+\.\d+)""),"""")
"),"")</f>
        <v/>
      </c>
      <c r="K1100" s="3"/>
      <c r="L1100" s="3" t="str">
        <f aca="false">IFERROR(__xludf.dummyfunction("if($T1100&lt;&gt;"""",REGEXEXTRACT(SUBSTITUTE ($T1100,L$1&amp;"" CE"",""""), L$1&amp;""[\w &amp;]*, (\d+\.\d+)""),"""")
"),"")</f>
        <v/>
      </c>
      <c r="M1100" s="3" t="str">
        <f aca="false">IFERROR(__xludf.dummyfunction("if($T1100&lt;&gt;"""",REGEXEXTRACT($T1100, M$1&amp;""[\w &amp;]*, (\d+\.\d+)""),"""")
"),"")</f>
        <v/>
      </c>
      <c r="N1100" s="3" t="str">
        <f aca="false">IFERROR(__xludf.dummyfunction("if($T1100&lt;&gt;"""",REGEXEXTRACT(SUBSTITUTE ($T1100,N$1&amp;"" CE"",""""), N$1&amp;""[\w &amp;]*, (\d+\.\d+)""),"""")
"),"")</f>
        <v/>
      </c>
      <c r="O1100" s="3" t="str">
        <f aca="false">IFERROR(__xludf.dummyfunction("if($T1100&lt;&gt;"""",REGEXEXTRACT($T1100, O$1&amp;""[\w &amp;]*, (\d+\.\d+)""),"""")
"),"")</f>
        <v/>
      </c>
      <c r="P1100" s="2"/>
      <c r="Q1100" s="2"/>
      <c r="R1100" s="2"/>
      <c r="S1100" s="2"/>
      <c r="T1100" s="5"/>
    </row>
    <row r="1101" customFormat="false" ht="15.75" hidden="false" customHeight="false" outlineLevel="0" collapsed="false">
      <c r="A1101" s="4"/>
      <c r="B1101" s="2"/>
      <c r="C1101" s="2"/>
      <c r="D1101" s="2"/>
      <c r="E1101" s="2"/>
      <c r="F1101" s="3" t="str">
        <f aca="false">IFERROR(__xludf.dummyfunction("if($T1101&lt;&gt;"""",REGEXEXTRACT(SUBSTITUTE ($T1101,F$1&amp;"" CE"",""""), F$1&amp;""[\w &amp;]*, (\d+\.\d+)""),"""")
"),"")</f>
        <v/>
      </c>
      <c r="G1101" s="3" t="str">
        <f aca="false">IFERROR(__xludf.dummyfunction("if($T1101&lt;&gt;"""",REGEXEXTRACT($T1101, G$1&amp;""[\w &amp;]*, (\d+\.\d+)""),"""")
"),"")</f>
        <v/>
      </c>
      <c r="H1101" s="3"/>
      <c r="I1101" s="3" t="str">
        <f aca="false">IFERROR(__xludf.dummyfunction("if($T1101&lt;&gt;"""",REGEXEXTRACT(SUBSTITUTE ($T1101,I$1&amp;"" CE"",""""), I$1&amp;""[\w &amp;]*, (\d+\.\d+)""),"""")
"),"")</f>
        <v/>
      </c>
      <c r="J1101" s="3" t="str">
        <f aca="false">IFERROR(__xludf.dummyfunction("if($T1101&lt;&gt;"""",REGEXEXTRACT($T1101, J$1&amp;""[\w &amp;]*, (\d+\.\d+)""),"""")
"),"")</f>
        <v/>
      </c>
      <c r="K1101" s="3"/>
      <c r="L1101" s="3" t="str">
        <f aca="false">IFERROR(__xludf.dummyfunction("if($T1101&lt;&gt;"""",REGEXEXTRACT(SUBSTITUTE ($T1101,L$1&amp;"" CE"",""""), L$1&amp;""[\w &amp;]*, (\d+\.\d+)""),"""")
"),"")</f>
        <v/>
      </c>
      <c r="M1101" s="3" t="str">
        <f aca="false">IFERROR(__xludf.dummyfunction("if($T1101&lt;&gt;"""",REGEXEXTRACT($T1101, M$1&amp;""[\w &amp;]*, (\d+\.\d+)""),"""")
"),"")</f>
        <v/>
      </c>
      <c r="N1101" s="3" t="str">
        <f aca="false">IFERROR(__xludf.dummyfunction("if($T1101&lt;&gt;"""",REGEXEXTRACT(SUBSTITUTE ($T1101,N$1&amp;"" CE"",""""), N$1&amp;""[\w &amp;]*, (\d+\.\d+)""),"""")
"),"")</f>
        <v/>
      </c>
      <c r="O1101" s="3" t="str">
        <f aca="false">IFERROR(__xludf.dummyfunction("if($T1101&lt;&gt;"""",REGEXEXTRACT($T1101, O$1&amp;""[\w &amp;]*, (\d+\.\d+)""),"""")
"),"")</f>
        <v/>
      </c>
      <c r="P1101" s="2"/>
      <c r="Q1101" s="2"/>
      <c r="R1101" s="2"/>
      <c r="S1101" s="2"/>
      <c r="T1101" s="5"/>
    </row>
    <row r="1102" customFormat="false" ht="15.75" hidden="false" customHeight="false" outlineLevel="0" collapsed="false">
      <c r="A1102" s="4"/>
      <c r="B1102" s="2"/>
      <c r="C1102" s="2"/>
      <c r="D1102" s="2"/>
      <c r="E1102" s="2"/>
      <c r="F1102" s="3" t="str">
        <f aca="false">IFERROR(__xludf.dummyfunction("if($T1102&lt;&gt;"""",REGEXEXTRACT(SUBSTITUTE ($T1102,F$1&amp;"" CE"",""""), F$1&amp;""[\w &amp;]*, (\d+\.\d+)""),"""")
"),"")</f>
        <v/>
      </c>
      <c r="G1102" s="3" t="str">
        <f aca="false">IFERROR(__xludf.dummyfunction("if($T1102&lt;&gt;"""",REGEXEXTRACT($T1102, G$1&amp;""[\w &amp;]*, (\d+\.\d+)""),"""")
"),"")</f>
        <v/>
      </c>
      <c r="H1102" s="3"/>
      <c r="I1102" s="3" t="str">
        <f aca="false">IFERROR(__xludf.dummyfunction("if($T1102&lt;&gt;"""",REGEXEXTRACT(SUBSTITUTE ($T1102,I$1&amp;"" CE"",""""), I$1&amp;""[\w &amp;]*, (\d+\.\d+)""),"""")
"),"")</f>
        <v/>
      </c>
      <c r="J1102" s="3" t="str">
        <f aca="false">IFERROR(__xludf.dummyfunction("if($T1102&lt;&gt;"""",REGEXEXTRACT($T1102, J$1&amp;""[\w &amp;]*, (\d+\.\d+)""),"""")
"),"")</f>
        <v/>
      </c>
      <c r="K1102" s="3"/>
      <c r="L1102" s="3" t="str">
        <f aca="false">IFERROR(__xludf.dummyfunction("if($T1102&lt;&gt;"""",REGEXEXTRACT(SUBSTITUTE ($T1102,L$1&amp;"" CE"",""""), L$1&amp;""[\w &amp;]*, (\d+\.\d+)""),"""")
"),"")</f>
        <v/>
      </c>
      <c r="M1102" s="3" t="str">
        <f aca="false">IFERROR(__xludf.dummyfunction("if($T1102&lt;&gt;"""",REGEXEXTRACT($T1102, M$1&amp;""[\w &amp;]*, (\d+\.\d+)""),"""")
"),"")</f>
        <v/>
      </c>
      <c r="N1102" s="3" t="str">
        <f aca="false">IFERROR(__xludf.dummyfunction("if($T1102&lt;&gt;"""",REGEXEXTRACT(SUBSTITUTE ($T1102,N$1&amp;"" CE"",""""), N$1&amp;""[\w &amp;]*, (\d+\.\d+)""),"""")
"),"")</f>
        <v/>
      </c>
      <c r="O1102" s="3" t="str">
        <f aca="false">IFERROR(__xludf.dummyfunction("if($T1102&lt;&gt;"""",REGEXEXTRACT($T1102, O$1&amp;""[\w &amp;]*, (\d+\.\d+)""),"""")
"),"")</f>
        <v/>
      </c>
      <c r="P1102" s="2"/>
      <c r="Q1102" s="2"/>
      <c r="R1102" s="2"/>
      <c r="S1102" s="2"/>
      <c r="T1102" s="5"/>
    </row>
    <row r="1103" customFormat="false" ht="15.75" hidden="false" customHeight="false" outlineLevel="0" collapsed="false">
      <c r="A1103" s="4"/>
      <c r="B1103" s="2"/>
      <c r="C1103" s="2"/>
      <c r="D1103" s="2"/>
      <c r="E1103" s="2"/>
      <c r="F1103" s="3" t="str">
        <f aca="false">IFERROR(__xludf.dummyfunction("if($T1103&lt;&gt;"""",REGEXEXTRACT(SUBSTITUTE ($T1103,F$1&amp;"" CE"",""""), F$1&amp;""[\w &amp;]*, (\d+\.\d+)""),"""")
"),"")</f>
        <v/>
      </c>
      <c r="G1103" s="3" t="str">
        <f aca="false">IFERROR(__xludf.dummyfunction("if($T1103&lt;&gt;"""",REGEXEXTRACT($T1103, G$1&amp;""[\w &amp;]*, (\d+\.\d+)""),"""")
"),"")</f>
        <v/>
      </c>
      <c r="H1103" s="3"/>
      <c r="I1103" s="3" t="str">
        <f aca="false">IFERROR(__xludf.dummyfunction("if($T1103&lt;&gt;"""",REGEXEXTRACT(SUBSTITUTE ($T1103,I$1&amp;"" CE"",""""), I$1&amp;""[\w &amp;]*, (\d+\.\d+)""),"""")
"),"")</f>
        <v/>
      </c>
      <c r="J1103" s="3" t="str">
        <f aca="false">IFERROR(__xludf.dummyfunction("if($T1103&lt;&gt;"""",REGEXEXTRACT($T1103, J$1&amp;""[\w &amp;]*, (\d+\.\d+)""),"""")
"),"")</f>
        <v/>
      </c>
      <c r="K1103" s="3"/>
      <c r="L1103" s="3" t="str">
        <f aca="false">IFERROR(__xludf.dummyfunction("if($T1103&lt;&gt;"""",REGEXEXTRACT(SUBSTITUTE ($T1103,L$1&amp;"" CE"",""""), L$1&amp;""[\w &amp;]*, (\d+\.\d+)""),"""")
"),"")</f>
        <v/>
      </c>
      <c r="M1103" s="3" t="str">
        <f aca="false">IFERROR(__xludf.dummyfunction("if($T1103&lt;&gt;"""",REGEXEXTRACT($T1103, M$1&amp;""[\w &amp;]*, (\d+\.\d+)""),"""")
"),"")</f>
        <v/>
      </c>
      <c r="N1103" s="3" t="str">
        <f aca="false">IFERROR(__xludf.dummyfunction("if($T1103&lt;&gt;"""",REGEXEXTRACT(SUBSTITUTE ($T1103,N$1&amp;"" CE"",""""), N$1&amp;""[\w &amp;]*, (\d+\.\d+)""),"""")
"),"")</f>
        <v/>
      </c>
      <c r="O1103" s="3" t="str">
        <f aca="false">IFERROR(__xludf.dummyfunction("if($T1103&lt;&gt;"""",REGEXEXTRACT($T1103, O$1&amp;""[\w &amp;]*, (\d+\.\d+)""),"""")
"),"")</f>
        <v/>
      </c>
      <c r="P1103" s="2"/>
      <c r="Q1103" s="2"/>
      <c r="R1103" s="2"/>
      <c r="S1103" s="2"/>
      <c r="T1103" s="5"/>
    </row>
    <row r="1104" customFormat="false" ht="15.75" hidden="false" customHeight="false" outlineLevel="0" collapsed="false">
      <c r="A1104" s="4"/>
      <c r="B1104" s="2"/>
      <c r="C1104" s="2"/>
      <c r="D1104" s="2"/>
      <c r="E1104" s="2"/>
      <c r="F1104" s="3" t="str">
        <f aca="false">IFERROR(__xludf.dummyfunction("if($T1104&lt;&gt;"""",REGEXEXTRACT(SUBSTITUTE ($T1104,F$1&amp;"" CE"",""""), F$1&amp;""[\w &amp;]*, (\d+\.\d+)""),"""")
"),"")</f>
        <v/>
      </c>
      <c r="G1104" s="3" t="str">
        <f aca="false">IFERROR(__xludf.dummyfunction("if($T1104&lt;&gt;"""",REGEXEXTRACT($T1104, G$1&amp;""[\w &amp;]*, (\d+\.\d+)""),"""")
"),"")</f>
        <v/>
      </c>
      <c r="H1104" s="3"/>
      <c r="I1104" s="3" t="str">
        <f aca="false">IFERROR(__xludf.dummyfunction("if($T1104&lt;&gt;"""",REGEXEXTRACT(SUBSTITUTE ($T1104,I$1&amp;"" CE"",""""), I$1&amp;""[\w &amp;]*, (\d+\.\d+)""),"""")
"),"")</f>
        <v/>
      </c>
      <c r="J1104" s="3" t="str">
        <f aca="false">IFERROR(__xludf.dummyfunction("if($T1104&lt;&gt;"""",REGEXEXTRACT($T1104, J$1&amp;""[\w &amp;]*, (\d+\.\d+)""),"""")
"),"")</f>
        <v/>
      </c>
      <c r="K1104" s="3"/>
      <c r="L1104" s="3" t="str">
        <f aca="false">IFERROR(__xludf.dummyfunction("if($T1104&lt;&gt;"""",REGEXEXTRACT(SUBSTITUTE ($T1104,L$1&amp;"" CE"",""""), L$1&amp;""[\w &amp;]*, (\d+\.\d+)""),"""")
"),"")</f>
        <v/>
      </c>
      <c r="M1104" s="3" t="str">
        <f aca="false">IFERROR(__xludf.dummyfunction("if($T1104&lt;&gt;"""",REGEXEXTRACT($T1104, M$1&amp;""[\w &amp;]*, (\d+\.\d+)""),"""")
"),"")</f>
        <v/>
      </c>
      <c r="N1104" s="3" t="str">
        <f aca="false">IFERROR(__xludf.dummyfunction("if($T1104&lt;&gt;"""",REGEXEXTRACT(SUBSTITUTE ($T1104,N$1&amp;"" CE"",""""), N$1&amp;""[\w &amp;]*, (\d+\.\d+)""),"""")
"),"")</f>
        <v/>
      </c>
      <c r="O1104" s="3" t="str">
        <f aca="false">IFERROR(__xludf.dummyfunction("if($T1104&lt;&gt;"""",REGEXEXTRACT($T1104, O$1&amp;""[\w &amp;]*, (\d+\.\d+)""),"""")
"),"")</f>
        <v/>
      </c>
      <c r="P1104" s="2"/>
      <c r="Q1104" s="2"/>
      <c r="R1104" s="2"/>
      <c r="S1104" s="2"/>
      <c r="T1104" s="5"/>
    </row>
    <row r="1105" customFormat="false" ht="15.75" hidden="false" customHeight="false" outlineLevel="0" collapsed="false">
      <c r="A1105" s="4"/>
      <c r="B1105" s="2"/>
      <c r="C1105" s="2"/>
      <c r="D1105" s="2"/>
      <c r="E1105" s="2"/>
      <c r="F1105" s="3" t="str">
        <f aca="false">IFERROR(__xludf.dummyfunction("if($T1105&lt;&gt;"""",REGEXEXTRACT(SUBSTITUTE ($T1105,F$1&amp;"" CE"",""""), F$1&amp;""[\w &amp;]*, (\d+\.\d+)""),"""")
"),"")</f>
        <v/>
      </c>
      <c r="G1105" s="3" t="str">
        <f aca="false">IFERROR(__xludf.dummyfunction("if($T1105&lt;&gt;"""",REGEXEXTRACT($T1105, G$1&amp;""[\w &amp;]*, (\d+\.\d+)""),"""")
"),"")</f>
        <v/>
      </c>
      <c r="H1105" s="3"/>
      <c r="I1105" s="3" t="str">
        <f aca="false">IFERROR(__xludf.dummyfunction("if($T1105&lt;&gt;"""",REGEXEXTRACT(SUBSTITUTE ($T1105,I$1&amp;"" CE"",""""), I$1&amp;""[\w &amp;]*, (\d+\.\d+)""),"""")
"),"")</f>
        <v/>
      </c>
      <c r="J1105" s="3" t="str">
        <f aca="false">IFERROR(__xludf.dummyfunction("if($T1105&lt;&gt;"""",REGEXEXTRACT($T1105, J$1&amp;""[\w &amp;]*, (\d+\.\d+)""),"""")
"),"")</f>
        <v/>
      </c>
      <c r="K1105" s="3"/>
      <c r="L1105" s="3" t="str">
        <f aca="false">IFERROR(__xludf.dummyfunction("if($T1105&lt;&gt;"""",REGEXEXTRACT(SUBSTITUTE ($T1105,L$1&amp;"" CE"",""""), L$1&amp;""[\w &amp;]*, (\d+\.\d+)""),"""")
"),"")</f>
        <v/>
      </c>
      <c r="M1105" s="3" t="str">
        <f aca="false">IFERROR(__xludf.dummyfunction("if($T1105&lt;&gt;"""",REGEXEXTRACT($T1105, M$1&amp;""[\w &amp;]*, (\d+\.\d+)""),"""")
"),"")</f>
        <v/>
      </c>
      <c r="N1105" s="3" t="str">
        <f aca="false">IFERROR(__xludf.dummyfunction("if($T1105&lt;&gt;"""",REGEXEXTRACT(SUBSTITUTE ($T1105,N$1&amp;"" CE"",""""), N$1&amp;""[\w &amp;]*, (\d+\.\d+)""),"""")
"),"")</f>
        <v/>
      </c>
      <c r="O1105" s="3" t="str">
        <f aca="false">IFERROR(__xludf.dummyfunction("if($T1105&lt;&gt;"""",REGEXEXTRACT($T1105, O$1&amp;""[\w &amp;]*, (\d+\.\d+)""),"""")
"),"")</f>
        <v/>
      </c>
      <c r="P1105" s="2"/>
      <c r="Q1105" s="2"/>
      <c r="R1105" s="2"/>
      <c r="S1105" s="2"/>
      <c r="T1105" s="5"/>
    </row>
    <row r="1106" customFormat="false" ht="15.75" hidden="false" customHeight="false" outlineLevel="0" collapsed="false">
      <c r="A1106" s="4"/>
      <c r="B1106" s="2"/>
      <c r="C1106" s="2"/>
      <c r="D1106" s="2"/>
      <c r="E1106" s="2"/>
      <c r="F1106" s="3" t="str">
        <f aca="false">IFERROR(__xludf.dummyfunction("if($T1106&lt;&gt;"""",REGEXEXTRACT(SUBSTITUTE ($T1106,F$1&amp;"" CE"",""""), F$1&amp;""[\w &amp;]*, (\d+\.\d+)""),"""")
"),"")</f>
        <v/>
      </c>
      <c r="G1106" s="3" t="str">
        <f aca="false">IFERROR(__xludf.dummyfunction("if($T1106&lt;&gt;"""",REGEXEXTRACT($T1106, G$1&amp;""[\w &amp;]*, (\d+\.\d+)""),"""")
"),"")</f>
        <v/>
      </c>
      <c r="H1106" s="3"/>
      <c r="I1106" s="3" t="str">
        <f aca="false">IFERROR(__xludf.dummyfunction("if($T1106&lt;&gt;"""",REGEXEXTRACT(SUBSTITUTE ($T1106,I$1&amp;"" CE"",""""), I$1&amp;""[\w &amp;]*, (\d+\.\d+)""),"""")
"),"")</f>
        <v/>
      </c>
      <c r="J1106" s="3" t="str">
        <f aca="false">IFERROR(__xludf.dummyfunction("if($T1106&lt;&gt;"""",REGEXEXTRACT($T1106, J$1&amp;""[\w &amp;]*, (\d+\.\d+)""),"""")
"),"")</f>
        <v/>
      </c>
      <c r="K1106" s="3"/>
      <c r="L1106" s="3" t="str">
        <f aca="false">IFERROR(__xludf.dummyfunction("if($T1106&lt;&gt;"""",REGEXEXTRACT(SUBSTITUTE ($T1106,L$1&amp;"" CE"",""""), L$1&amp;""[\w &amp;]*, (\d+\.\d+)""),"""")
"),"")</f>
        <v/>
      </c>
      <c r="M1106" s="3" t="str">
        <f aca="false">IFERROR(__xludf.dummyfunction("if($T1106&lt;&gt;"""",REGEXEXTRACT($T1106, M$1&amp;""[\w &amp;]*, (\d+\.\d+)""),"""")
"),"")</f>
        <v/>
      </c>
      <c r="N1106" s="3" t="str">
        <f aca="false">IFERROR(__xludf.dummyfunction("if($T1106&lt;&gt;"""",REGEXEXTRACT(SUBSTITUTE ($T1106,N$1&amp;"" CE"",""""), N$1&amp;""[\w &amp;]*, (\d+\.\d+)""),"""")
"),"")</f>
        <v/>
      </c>
      <c r="O1106" s="3" t="str">
        <f aca="false">IFERROR(__xludf.dummyfunction("if($T1106&lt;&gt;"""",REGEXEXTRACT($T1106, O$1&amp;""[\w &amp;]*, (\d+\.\d+)""),"""")
"),"")</f>
        <v/>
      </c>
      <c r="P1106" s="2"/>
      <c r="Q1106" s="2"/>
      <c r="R1106" s="2"/>
      <c r="S1106" s="2"/>
      <c r="T1106" s="5"/>
    </row>
    <row r="1107" customFormat="false" ht="15.75" hidden="false" customHeight="false" outlineLevel="0" collapsed="false">
      <c r="A1107" s="4"/>
      <c r="B1107" s="2"/>
      <c r="C1107" s="2"/>
      <c r="D1107" s="2"/>
      <c r="E1107" s="2"/>
      <c r="F1107" s="3" t="str">
        <f aca="false">IFERROR(__xludf.dummyfunction("if($T1107&lt;&gt;"""",REGEXEXTRACT(SUBSTITUTE ($T1107,F$1&amp;"" CE"",""""), F$1&amp;""[\w &amp;]*, (\d+\.\d+)""),"""")
"),"")</f>
        <v/>
      </c>
      <c r="G1107" s="3" t="str">
        <f aca="false">IFERROR(__xludf.dummyfunction("if($T1107&lt;&gt;"""",REGEXEXTRACT($T1107, G$1&amp;""[\w &amp;]*, (\d+\.\d+)""),"""")
"),"")</f>
        <v/>
      </c>
      <c r="H1107" s="3"/>
      <c r="I1107" s="3" t="str">
        <f aca="false">IFERROR(__xludf.dummyfunction("if($T1107&lt;&gt;"""",REGEXEXTRACT(SUBSTITUTE ($T1107,I$1&amp;"" CE"",""""), I$1&amp;""[\w &amp;]*, (\d+\.\d+)""),"""")
"),"")</f>
        <v/>
      </c>
      <c r="J1107" s="3" t="str">
        <f aca="false">IFERROR(__xludf.dummyfunction("if($T1107&lt;&gt;"""",REGEXEXTRACT($T1107, J$1&amp;""[\w &amp;]*, (\d+\.\d+)""),"""")
"),"")</f>
        <v/>
      </c>
      <c r="K1107" s="3"/>
      <c r="L1107" s="3" t="str">
        <f aca="false">IFERROR(__xludf.dummyfunction("if($T1107&lt;&gt;"""",REGEXEXTRACT(SUBSTITUTE ($T1107,L$1&amp;"" CE"",""""), L$1&amp;""[\w &amp;]*, (\d+\.\d+)""),"""")
"),"")</f>
        <v/>
      </c>
      <c r="M1107" s="3" t="str">
        <f aca="false">IFERROR(__xludf.dummyfunction("if($T1107&lt;&gt;"""",REGEXEXTRACT($T1107, M$1&amp;""[\w &amp;]*, (\d+\.\d+)""),"""")
"),"")</f>
        <v/>
      </c>
      <c r="N1107" s="3" t="str">
        <f aca="false">IFERROR(__xludf.dummyfunction("if($T1107&lt;&gt;"""",REGEXEXTRACT(SUBSTITUTE ($T1107,N$1&amp;"" CE"",""""), N$1&amp;""[\w &amp;]*, (\d+\.\d+)""),"""")
"),"")</f>
        <v/>
      </c>
      <c r="O1107" s="3" t="str">
        <f aca="false">IFERROR(__xludf.dummyfunction("if($T1107&lt;&gt;"""",REGEXEXTRACT($T1107, O$1&amp;""[\w &amp;]*, (\d+\.\d+)""),"""")
"),"")</f>
        <v/>
      </c>
      <c r="P1107" s="2"/>
      <c r="Q1107" s="2"/>
      <c r="R1107" s="2"/>
      <c r="S1107" s="2"/>
      <c r="T1107" s="5"/>
    </row>
    <row r="1108" customFormat="false" ht="15.75" hidden="false" customHeight="false" outlineLevel="0" collapsed="false">
      <c r="A1108" s="4"/>
      <c r="B1108" s="2"/>
      <c r="C1108" s="2"/>
      <c r="D1108" s="2"/>
      <c r="E1108" s="2"/>
      <c r="F1108" s="3" t="str">
        <f aca="false">IFERROR(__xludf.dummyfunction("if($T1108&lt;&gt;"""",REGEXEXTRACT(SUBSTITUTE ($T1108,F$1&amp;"" CE"",""""), F$1&amp;""[\w &amp;]*, (\d+\.\d+)""),"""")
"),"")</f>
        <v/>
      </c>
      <c r="G1108" s="3" t="str">
        <f aca="false">IFERROR(__xludf.dummyfunction("if($T1108&lt;&gt;"""",REGEXEXTRACT($T1108, G$1&amp;""[\w &amp;]*, (\d+\.\d+)""),"""")
"),"")</f>
        <v/>
      </c>
      <c r="H1108" s="3"/>
      <c r="I1108" s="3" t="str">
        <f aca="false">IFERROR(__xludf.dummyfunction("if($T1108&lt;&gt;"""",REGEXEXTRACT(SUBSTITUTE ($T1108,I$1&amp;"" CE"",""""), I$1&amp;""[\w &amp;]*, (\d+\.\d+)""),"""")
"),"")</f>
        <v/>
      </c>
      <c r="J1108" s="3" t="str">
        <f aca="false">IFERROR(__xludf.dummyfunction("if($T1108&lt;&gt;"""",REGEXEXTRACT($T1108, J$1&amp;""[\w &amp;]*, (\d+\.\d+)""),"""")
"),"")</f>
        <v/>
      </c>
      <c r="K1108" s="3"/>
      <c r="L1108" s="3" t="str">
        <f aca="false">IFERROR(__xludf.dummyfunction("if($T1108&lt;&gt;"""",REGEXEXTRACT(SUBSTITUTE ($T1108,L$1&amp;"" CE"",""""), L$1&amp;""[\w &amp;]*, (\d+\.\d+)""),"""")
"),"")</f>
        <v/>
      </c>
      <c r="M1108" s="3" t="str">
        <f aca="false">IFERROR(__xludf.dummyfunction("if($T1108&lt;&gt;"""",REGEXEXTRACT($T1108, M$1&amp;""[\w &amp;]*, (\d+\.\d+)""),"""")
"),"")</f>
        <v/>
      </c>
      <c r="N1108" s="3" t="str">
        <f aca="false">IFERROR(__xludf.dummyfunction("if($T1108&lt;&gt;"""",REGEXEXTRACT(SUBSTITUTE ($T1108,N$1&amp;"" CE"",""""), N$1&amp;""[\w &amp;]*, (\d+\.\d+)""),"""")
"),"")</f>
        <v/>
      </c>
      <c r="O1108" s="3" t="str">
        <f aca="false">IFERROR(__xludf.dummyfunction("if($T1108&lt;&gt;"""",REGEXEXTRACT($T1108, O$1&amp;""[\w &amp;]*, (\d+\.\d+)""),"""")
"),"")</f>
        <v/>
      </c>
      <c r="P1108" s="2"/>
      <c r="Q1108" s="2"/>
      <c r="R1108" s="2"/>
      <c r="S1108" s="2"/>
      <c r="T1108" s="5"/>
    </row>
    <row r="1109" customFormat="false" ht="15.75" hidden="false" customHeight="false" outlineLevel="0" collapsed="false">
      <c r="A1109" s="4"/>
      <c r="B1109" s="2"/>
      <c r="C1109" s="2"/>
      <c r="D1109" s="2"/>
      <c r="E1109" s="2"/>
      <c r="F1109" s="3" t="str">
        <f aca="false">IFERROR(__xludf.dummyfunction("if($T1109&lt;&gt;"""",REGEXEXTRACT(SUBSTITUTE ($T1109,F$1&amp;"" CE"",""""), F$1&amp;""[\w &amp;]*, (\d+\.\d+)""),"""")
"),"")</f>
        <v/>
      </c>
      <c r="G1109" s="3" t="str">
        <f aca="false">IFERROR(__xludf.dummyfunction("if($T1109&lt;&gt;"""",REGEXEXTRACT($T1109, G$1&amp;""[\w &amp;]*, (\d+\.\d+)""),"""")
"),"")</f>
        <v/>
      </c>
      <c r="H1109" s="3"/>
      <c r="I1109" s="3" t="str">
        <f aca="false">IFERROR(__xludf.dummyfunction("if($T1109&lt;&gt;"""",REGEXEXTRACT(SUBSTITUTE ($T1109,I$1&amp;"" CE"",""""), I$1&amp;""[\w &amp;]*, (\d+\.\d+)""),"""")
"),"")</f>
        <v/>
      </c>
      <c r="J1109" s="3" t="str">
        <f aca="false">IFERROR(__xludf.dummyfunction("if($T1109&lt;&gt;"""",REGEXEXTRACT($T1109, J$1&amp;""[\w &amp;]*, (\d+\.\d+)""),"""")
"),"")</f>
        <v/>
      </c>
      <c r="K1109" s="3"/>
      <c r="L1109" s="3" t="str">
        <f aca="false">IFERROR(__xludf.dummyfunction("if($T1109&lt;&gt;"""",REGEXEXTRACT(SUBSTITUTE ($T1109,L$1&amp;"" CE"",""""), L$1&amp;""[\w &amp;]*, (\d+\.\d+)""),"""")
"),"")</f>
        <v/>
      </c>
      <c r="M1109" s="3" t="str">
        <f aca="false">IFERROR(__xludf.dummyfunction("if($T1109&lt;&gt;"""",REGEXEXTRACT($T1109, M$1&amp;""[\w &amp;]*, (\d+\.\d+)""),"""")
"),"")</f>
        <v/>
      </c>
      <c r="N1109" s="3" t="str">
        <f aca="false">IFERROR(__xludf.dummyfunction("if($T1109&lt;&gt;"""",REGEXEXTRACT(SUBSTITUTE ($T1109,N$1&amp;"" CE"",""""), N$1&amp;""[\w &amp;]*, (\d+\.\d+)""),"""")
"),"")</f>
        <v/>
      </c>
      <c r="O1109" s="3" t="str">
        <f aca="false">IFERROR(__xludf.dummyfunction("if($T1109&lt;&gt;"""",REGEXEXTRACT($T1109, O$1&amp;""[\w &amp;]*, (\d+\.\d+)""),"""")
"),"")</f>
        <v/>
      </c>
      <c r="P1109" s="2"/>
      <c r="Q1109" s="2"/>
      <c r="R1109" s="2"/>
      <c r="S1109" s="2"/>
      <c r="T1109" s="5"/>
    </row>
    <row r="1110" customFormat="false" ht="15.75" hidden="false" customHeight="false" outlineLevel="0" collapsed="false">
      <c r="A1110" s="4"/>
      <c r="B1110" s="2"/>
      <c r="C1110" s="2"/>
      <c r="D1110" s="2"/>
      <c r="E1110" s="2"/>
      <c r="F1110" s="3" t="str">
        <f aca="false">IFERROR(__xludf.dummyfunction("if($T1110&lt;&gt;"""",REGEXEXTRACT(SUBSTITUTE ($T1110,F$1&amp;"" CE"",""""), F$1&amp;""[\w &amp;]*, (\d+\.\d+)""),"""")
"),"")</f>
        <v/>
      </c>
      <c r="G1110" s="3" t="str">
        <f aca="false">IFERROR(__xludf.dummyfunction("if($T1110&lt;&gt;"""",REGEXEXTRACT($T1110, G$1&amp;""[\w &amp;]*, (\d+\.\d+)""),"""")
"),"")</f>
        <v/>
      </c>
      <c r="H1110" s="3"/>
      <c r="I1110" s="3" t="str">
        <f aca="false">IFERROR(__xludf.dummyfunction("if($T1110&lt;&gt;"""",REGEXEXTRACT(SUBSTITUTE ($T1110,I$1&amp;"" CE"",""""), I$1&amp;""[\w &amp;]*, (\d+\.\d+)""),"""")
"),"")</f>
        <v/>
      </c>
      <c r="J1110" s="3" t="str">
        <f aca="false">IFERROR(__xludf.dummyfunction("if($T1110&lt;&gt;"""",REGEXEXTRACT($T1110, J$1&amp;""[\w &amp;]*, (\d+\.\d+)""),"""")
"),"")</f>
        <v/>
      </c>
      <c r="K1110" s="3"/>
      <c r="L1110" s="3" t="str">
        <f aca="false">IFERROR(__xludf.dummyfunction("if($T1110&lt;&gt;"""",REGEXEXTRACT(SUBSTITUTE ($T1110,L$1&amp;"" CE"",""""), L$1&amp;""[\w &amp;]*, (\d+\.\d+)""),"""")
"),"")</f>
        <v/>
      </c>
      <c r="M1110" s="3" t="str">
        <f aca="false">IFERROR(__xludf.dummyfunction("if($T1110&lt;&gt;"""",REGEXEXTRACT($T1110, M$1&amp;""[\w &amp;]*, (\d+\.\d+)""),"""")
"),"")</f>
        <v/>
      </c>
      <c r="N1110" s="3" t="str">
        <f aca="false">IFERROR(__xludf.dummyfunction("if($T1110&lt;&gt;"""",REGEXEXTRACT(SUBSTITUTE ($T1110,N$1&amp;"" CE"",""""), N$1&amp;""[\w &amp;]*, (\d+\.\d+)""),"""")
"),"")</f>
        <v/>
      </c>
      <c r="O1110" s="3" t="str">
        <f aca="false">IFERROR(__xludf.dummyfunction("if($T1110&lt;&gt;"""",REGEXEXTRACT($T1110, O$1&amp;""[\w &amp;]*, (\d+\.\d+)""),"""")
"),"")</f>
        <v/>
      </c>
      <c r="P1110" s="2"/>
      <c r="Q1110" s="2"/>
      <c r="R1110" s="2"/>
      <c r="S1110" s="2"/>
      <c r="T1110" s="5"/>
    </row>
    <row r="1111" customFormat="false" ht="15.75" hidden="false" customHeight="false" outlineLevel="0" collapsed="false">
      <c r="A1111" s="5"/>
      <c r="B1111" s="2"/>
      <c r="C1111" s="2"/>
      <c r="D1111" s="2"/>
      <c r="E1111" s="2"/>
      <c r="F1111" s="3"/>
      <c r="G1111" s="3"/>
      <c r="H1111" s="3"/>
      <c r="I1111" s="3"/>
      <c r="J1111" s="3"/>
      <c r="K1111" s="3"/>
      <c r="L1111" s="3"/>
      <c r="M1111" s="3"/>
      <c r="N1111" s="3"/>
      <c r="O1111" s="3"/>
      <c r="P1111" s="2"/>
      <c r="Q1111" s="2"/>
      <c r="R1111" s="2"/>
      <c r="S1111" s="2"/>
      <c r="T1111" s="5"/>
    </row>
    <row r="1112" customFormat="false" ht="15.75" hidden="false" customHeight="false" outlineLevel="0" collapsed="false">
      <c r="A1112" s="5"/>
      <c r="B1112" s="2"/>
      <c r="C1112" s="2"/>
      <c r="D1112" s="2"/>
      <c r="E1112" s="2"/>
      <c r="F1112" s="3"/>
      <c r="G1112" s="3"/>
      <c r="H1112" s="3"/>
      <c r="I1112" s="3"/>
      <c r="J1112" s="3"/>
      <c r="K1112" s="3"/>
      <c r="L1112" s="3"/>
      <c r="M1112" s="3"/>
      <c r="N1112" s="3"/>
      <c r="O1112" s="3"/>
      <c r="P1112" s="2"/>
      <c r="Q1112" s="2"/>
      <c r="R1112" s="2"/>
      <c r="S1112" s="2"/>
      <c r="T1112" s="5"/>
    </row>
    <row r="1113" customFormat="false" ht="15.75" hidden="false" customHeight="false" outlineLevel="0" collapsed="false">
      <c r="A1113" s="5"/>
      <c r="B1113" s="2"/>
      <c r="C1113" s="2"/>
      <c r="D1113" s="2"/>
      <c r="E1113" s="2"/>
      <c r="F1113" s="3"/>
      <c r="G1113" s="3"/>
      <c r="H1113" s="3"/>
      <c r="I1113" s="3"/>
      <c r="J1113" s="3"/>
      <c r="K1113" s="3"/>
      <c r="L1113" s="3"/>
      <c r="M1113" s="3"/>
      <c r="N1113" s="3"/>
      <c r="O1113" s="3"/>
      <c r="P1113" s="2"/>
      <c r="Q1113" s="2"/>
      <c r="R1113" s="2"/>
      <c r="S1113" s="2"/>
      <c r="T1113" s="5"/>
    </row>
    <row r="1114" customFormat="false" ht="15.75" hidden="false" customHeight="false" outlineLevel="0" collapsed="false">
      <c r="A1114" s="4"/>
      <c r="B1114" s="2"/>
      <c r="C1114" s="2"/>
      <c r="D1114" s="2"/>
      <c r="E1114" s="2"/>
      <c r="F1114" s="3"/>
      <c r="G1114" s="3"/>
      <c r="H1114" s="3"/>
      <c r="I1114" s="3"/>
      <c r="J1114" s="3"/>
      <c r="K1114" s="3"/>
      <c r="L1114" s="3"/>
      <c r="M1114" s="3"/>
      <c r="N1114" s="3"/>
      <c r="O1114" s="3"/>
      <c r="P1114" s="2"/>
      <c r="Q1114" s="2"/>
      <c r="R1114" s="2"/>
      <c r="S1114" s="2"/>
      <c r="T1114" s="5"/>
    </row>
    <row r="1115" customFormat="false" ht="15.75" hidden="false" customHeight="false" outlineLevel="0" collapsed="false">
      <c r="A1115" s="4"/>
      <c r="B1115" s="2"/>
      <c r="C1115" s="2"/>
      <c r="D1115" s="2"/>
      <c r="E1115" s="2"/>
      <c r="F1115" s="3"/>
      <c r="G1115" s="3"/>
      <c r="H1115" s="3"/>
      <c r="I1115" s="3"/>
      <c r="J1115" s="3"/>
      <c r="K1115" s="3"/>
      <c r="L1115" s="3"/>
      <c r="M1115" s="3"/>
      <c r="N1115" s="3"/>
      <c r="O1115" s="3"/>
      <c r="P1115" s="2"/>
      <c r="Q1115" s="2"/>
      <c r="R1115" s="2"/>
      <c r="S1115" s="2"/>
      <c r="T1115" s="5"/>
    </row>
    <row r="1116" customFormat="false" ht="15.75" hidden="false" customHeight="false" outlineLevel="0" collapsed="false">
      <c r="A1116" s="4"/>
      <c r="B1116" s="2"/>
      <c r="C1116" s="2"/>
      <c r="D1116" s="2"/>
      <c r="E1116" s="2"/>
      <c r="F1116" s="3"/>
      <c r="G1116" s="3"/>
      <c r="H1116" s="3"/>
      <c r="I1116" s="3"/>
      <c r="J1116" s="3"/>
      <c r="K1116" s="3"/>
      <c r="L1116" s="3"/>
      <c r="M1116" s="3"/>
      <c r="N1116" s="3"/>
      <c r="O1116" s="3"/>
      <c r="P1116" s="2"/>
      <c r="Q1116" s="2"/>
      <c r="R1116" s="2"/>
      <c r="S1116" s="2"/>
      <c r="T1116" s="5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T11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B2" activeCellId="0" sqref="B2"/>
    </sheetView>
  </sheetViews>
  <sheetFormatPr defaultColWidth="12.6328125" defaultRowHeight="15.75" zeroHeight="false" outlineLevelRow="0" outlineLevelCol="0"/>
  <cols>
    <col collapsed="false" customWidth="true" hidden="false" outlineLevel="0" max="13" min="13" style="0" width="14.51"/>
    <col collapsed="false" customWidth="true" hidden="false" outlineLevel="0" max="15" min="15" style="0" width="14.75"/>
    <col collapsed="false" customWidth="true" hidden="false" outlineLevel="0" max="16" min="16" style="0" width="16.63"/>
    <col collapsed="false" customWidth="true" hidden="false" outlineLevel="0" max="19" min="17" style="0" width="17.63"/>
    <col collapsed="false" customWidth="true" hidden="false" outlineLevel="0" max="20" min="20" style="0" width="25.51"/>
  </cols>
  <sheetData>
    <row r="1" customFormat="false" ht="15.75" hidden="false" customHeight="false" outlineLevel="0" collapsed="false">
      <c r="A1" s="1" t="str">
        <f aca="false">IFERROR(__xludf.dummyfunction("QUERY(GOOGLEFINANCE(""qqq"",""All"",""2024/4/18"",""2025/12/31""), ""select Col1,Col2,Col3,Col4,Col5"", -1)"),"Date")</f>
        <v>Date</v>
      </c>
      <c r="B1" s="2" t="str">
        <f aca="false">IFERROR(__xludf.dummyfunction("""COMPUTED_VALUE"""),"Open")</f>
        <v>Open</v>
      </c>
      <c r="C1" s="2" t="str">
        <f aca="false">IFERROR(__xludf.dummyfunction("""COMPUTED_VALUE"""),"High")</f>
        <v>High</v>
      </c>
      <c r="D1" s="2" t="str">
        <f aca="false">IFERROR(__xludf.dummyfunction("""COMPUTED_VALUE"""),"Low")</f>
        <v>Low</v>
      </c>
      <c r="E1" s="2" t="str">
        <f aca="false">IFERROR(__xludf.dummyfunction("""COMPUTED_VALUE"""),"Close")</f>
        <v>Close</v>
      </c>
      <c r="F1" s="3" t="s">
        <v>0</v>
      </c>
      <c r="G1" s="3" t="s">
        <v>1</v>
      </c>
      <c r="H1" s="3" t="s">
        <v>2</v>
      </c>
      <c r="I1" s="3" t="s">
        <v>3</v>
      </c>
      <c r="J1" s="3" t="s">
        <v>4</v>
      </c>
      <c r="K1" s="3" t="s">
        <v>5</v>
      </c>
      <c r="L1" s="3" t="s">
        <v>6</v>
      </c>
      <c r="M1" s="3" t="s">
        <v>7</v>
      </c>
      <c r="N1" s="3" t="s">
        <v>8</v>
      </c>
      <c r="O1" s="3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</row>
    <row r="2" customFormat="false" ht="15.75" hidden="false" customHeight="false" outlineLevel="0" collapsed="false">
      <c r="A2" s="4" t="n">
        <f aca="false">IFERROR(__xludf.dummyfunction("""COMPUTED_VALUE"""),45400.6666666667)</f>
        <v>45400.6666666667</v>
      </c>
      <c r="B2" s="2" t="n">
        <f aca="false">IFERROR(__xludf.dummyfunction("""COMPUTED_VALUE"""),426.49)</f>
        <v>426.49</v>
      </c>
      <c r="C2" s="2" t="n">
        <f aca="false">IFERROR(__xludf.dummyfunction("""COMPUTED_VALUE"""),428.24)</f>
        <v>428.24</v>
      </c>
      <c r="D2" s="2" t="n">
        <f aca="false">IFERROR(__xludf.dummyfunction("""COMPUTED_VALUE"""),422.83)</f>
        <v>422.83</v>
      </c>
      <c r="E2" s="2" t="n">
        <f aca="false">IFERROR(__xludf.dummyfunction("""COMPUTED_VALUE"""),423.41)</f>
        <v>423.41</v>
      </c>
      <c r="F2" s="3" t="n">
        <f aca="false">IFERROR(__xludf.dummyfunction("if($T2&lt;&gt;"""",VALUE(REGEXEXTRACT(SUBSTITUTE ($T2,F$1&amp;"" CE"",""""), F$1&amp;""[\w &amp;]*, (\d+\.\d+)"")),"""")
"),450)</f>
        <v>450</v>
      </c>
      <c r="G2" s="3" t="n">
        <f aca="false">IFERROR(__xludf.dummyfunction("if($T2&lt;&gt;"""",VALUE(REGEXEXTRACT($T2, G$1&amp;""[\w &amp;]*, (\d+\.\d+)"")),"""")
"),430)</f>
        <v>430</v>
      </c>
      <c r="H2" s="3" t="n">
        <f aca="false">IFERROR(__xludf.dummyfunction("if($T2&lt;&gt;"""",VALUE(REGEXEXTRACT($T2, H$1&amp;""[\w &amp;]*, (\d+\.\d+)"")),"""")
"),445)</f>
        <v>445</v>
      </c>
      <c r="I2" s="3" t="n">
        <f aca="false">IFERROR(__xludf.dummyfunction("if($T2&lt;&gt;"""",VALUE(REGEXEXTRACT(SUBSTITUTE ($T2,I$1&amp;"" CE"",""""), I$1&amp;""[\w &amp;]*, (\d+\.\d+)"")),"""")
"),420)</f>
        <v>420</v>
      </c>
      <c r="J2" s="3" t="n">
        <f aca="false">IFERROR(__xludf.dummyfunction("if($T2&lt;&gt;"""",VALUE(REGEXEXTRACT($T2, J$1&amp;""[\w &amp;]*, (\d+\.\d+)"")),"""")
"),420)</f>
        <v>420</v>
      </c>
      <c r="K2" s="3" t="n">
        <f aca="false">IFERROR(__xludf.dummyfunction("if($T2&lt;&gt;"""",VALUE(REGEXEXTRACT($T2, K$1&amp;""[\w &amp;]*, (\d+\.\d+)"")),"""")
"),450)</f>
        <v>450</v>
      </c>
      <c r="L2" s="3" t="n">
        <f aca="false">IFERROR(__xludf.dummyfunction("if($T2&lt;&gt;"""",VALUE(REGEXEXTRACT(SUBSTITUTE ($T2,L$1&amp;"" CE"",""""), L$1&amp;""[\w &amp;]*, (\d+\.\d+)"")),"""")
"),435)</f>
        <v>435</v>
      </c>
      <c r="M2" s="3" t="n">
        <f aca="false">IFERROR(__xludf.dummyfunction("if($T2&lt;&gt;"""",VALUE(REGEXEXTRACT($T2, M$1&amp;""[\w &amp;]*, (\d+\.\d+)"")),"""")
"),425)</f>
        <v>425</v>
      </c>
      <c r="N2" s="3" t="n">
        <f aca="false">IFERROR(__xludf.dummyfunction("if($T2&lt;&gt;"""",VALUE(REGEXEXTRACT(SUBSTITUTE($T2,N$1&amp;"" CE"",""""), N$1&amp;""[\w &amp;]*, (\d+\.\d+)"")),"""")
"),450)</f>
        <v>450</v>
      </c>
      <c r="O2" s="3" t="n">
        <f aca="false">IFERROR(__xludf.dummyfunction("if($T2&lt;&gt;"""",VALUE(REGEXEXTRACT($T2, O$1&amp;""[\w &amp;]*, (\d+\.\d+)"")),"""")
"),430)</f>
        <v>430</v>
      </c>
      <c r="P2" s="2" t="n">
        <f aca="false">IFERROR(__xludf.dummyfunction("if($T2&lt;&gt;"""",VALUE(REGEXEXTRACT($T2, P$1&amp;""[\w &amp;]*, (\d+\.\d+)"")),"""")
"),422.65)</f>
        <v>422.65</v>
      </c>
      <c r="Q2" s="2" t="n">
        <f aca="false">IFERROR(__xludf.dummyfunction("if($T2&lt;&gt;"""",VALUE(REGEXEXTRACT($T2, Q$1&amp;""[\w &amp;]*, (\d+\.\d+)"")),"""")
"),420.95)</f>
        <v>420.95</v>
      </c>
      <c r="R2" s="2" t="n">
        <f aca="false">IFERROR(__xludf.dummyfunction("if($T2&lt;&gt;"""",VALUE(REGEXEXTRACT($T2, SUBSTITUTE(R$1, ""+"", ""\+"")&amp;""[\w &amp;]*, (\d+\.\d+)"")),"""")"),430.89)</f>
        <v>430.89</v>
      </c>
      <c r="S2" s="2" t="n">
        <f aca="false">IFERROR(__xludf.dummyfunction("if($T2&lt;&gt;"""",VALUE(REGEXEXTRACT($T2, SUBSTITUTE(S$1, ""+"", ""\+"")&amp;""[\w &amp;]*, (\d+\.\d+)"")),"""")"),432.6)</f>
        <v>432.6</v>
      </c>
      <c r="T2" s="5" t="s">
        <v>419</v>
      </c>
    </row>
    <row r="3" customFormat="false" ht="15.75" hidden="false" customHeight="false" outlineLevel="0" collapsed="false">
      <c r="A3" s="4" t="n">
        <f aca="false">IFERROR(__xludf.dummyfunction("""COMPUTED_VALUE"""),45401.6666666667)</f>
        <v>45401.6666666667</v>
      </c>
      <c r="B3" s="2" t="n">
        <f aca="false">IFERROR(__xludf.dummyfunction("""COMPUTED_VALUE"""),422.22)</f>
        <v>422.22</v>
      </c>
      <c r="C3" s="2" t="n">
        <f aca="false">IFERROR(__xludf.dummyfunction("""COMPUTED_VALUE"""),422.75)</f>
        <v>422.75</v>
      </c>
      <c r="D3" s="2" t="n">
        <f aca="false">IFERROR(__xludf.dummyfunction("""COMPUTED_VALUE"""),413.07)</f>
        <v>413.07</v>
      </c>
      <c r="E3" s="2" t="n">
        <f aca="false">IFERROR(__xludf.dummyfunction("""COMPUTED_VALUE"""),414.65)</f>
        <v>414.65</v>
      </c>
      <c r="F3" s="3" t="n">
        <f aca="false">IFERROR(__xludf.dummyfunction("if($T3&lt;&gt;"""",VALUE(REGEXEXTRACT(SUBSTITUTE ($T3,F$1&amp;"" CE"",""""), F$1&amp;""[\w &amp;]*, (\d+\.\d+)"")),"""")
"),450)</f>
        <v>450</v>
      </c>
      <c r="G3" s="3" t="n">
        <f aca="false">IFERROR(__xludf.dummyfunction("if($T3&lt;&gt;"""",VALUE(REGEXEXTRACT($T3, G$1&amp;""[\w &amp;]*, (\d+\.\d+)"")),"""")
"),428)</f>
        <v>428</v>
      </c>
      <c r="H3" s="3" t="n">
        <f aca="false">IFERROR(__xludf.dummyfunction("if($T3&lt;&gt;"""",VALUE(REGEXEXTRACT($T3, H$1&amp;""[\w &amp;]*, (\d+\.\d+)"")),"""")
"),445)</f>
        <v>445</v>
      </c>
      <c r="I3" s="3" t="n">
        <f aca="false">IFERROR(__xludf.dummyfunction("if($T3&lt;&gt;"""",VALUE(REGEXEXTRACT(SUBSTITUTE ($T3,I$1&amp;"" CE"",""""), I$1&amp;""[\w &amp;]*, (\d+\.\d+)"")),"""")
"),420)</f>
        <v>420</v>
      </c>
      <c r="J3" s="3" t="n">
        <f aca="false">IFERROR(__xludf.dummyfunction("if($T3&lt;&gt;"""",VALUE(REGEXEXTRACT($T3, J$1&amp;""[\w &amp;]*, (\d+\.\d+)"")),"""")
"),420)</f>
        <v>420</v>
      </c>
      <c r="K3" s="3" t="n">
        <f aca="false">IFERROR(__xludf.dummyfunction("if($T3&lt;&gt;"""",VALUE(REGEXEXTRACT($T3, K$1&amp;""[\w &amp;]*, (\d+\.\d+)"")),"""")
"),427)</f>
        <v>427</v>
      </c>
      <c r="L3" s="3" t="n">
        <f aca="false">IFERROR(__xludf.dummyfunction("if($T3&lt;&gt;"""",VALUE(REGEXEXTRACT(SUBSTITUTE ($T3,L$1&amp;"" CE"",""""), L$1&amp;""[\w &amp;]*, (\d+\.\d+)"")),"""")
"),432.5)</f>
        <v>432.5</v>
      </c>
      <c r="M3" s="3" t="n">
        <f aca="false">IFERROR(__xludf.dummyfunction("if($T3&lt;&gt;"""",VALUE(REGEXEXTRACT($T3, M$1&amp;""[\w &amp;]*, (\d+\.\d+)"")),"""")
"),432)</f>
        <v>432</v>
      </c>
      <c r="N3" s="3" t="n">
        <f aca="false">IFERROR(__xludf.dummyfunction("if($T3&lt;&gt;"""",VALUE(REGEXEXTRACT(SUBSTITUTE ($T3,N$1&amp;"" CE"",""""), N$1&amp;""[\w &amp;]*, (\d+\.\d+)"")),"""")
"),450)</f>
        <v>450</v>
      </c>
      <c r="O3" s="3" t="n">
        <f aca="false">IFERROR(__xludf.dummyfunction("if($T3&lt;&gt;"""",VALUE(REGEXEXTRACT($T3, O$1&amp;""[\w &amp;]*, (\d+\.\d+)"")),"""")
"),420)</f>
        <v>420</v>
      </c>
      <c r="P3" s="2" t="n">
        <f aca="false">IFERROR(__xludf.dummyfunction("if($T3&lt;&gt;"""",VALUE(REGEXEXTRACT($T3, P$1&amp;""[\w &amp;]*, (\d+\.\d+)"")),"""")
"),415.92)</f>
        <v>415.92</v>
      </c>
      <c r="Q3" s="2" t="n">
        <f aca="false">IFERROR(__xludf.dummyfunction("if($T3&lt;&gt;"""",VALUE(REGEXEXTRACT($T3, Q$1&amp;""[\w &amp;]*, (\d+\.\d+)"")),"""")
"),411.55)</f>
        <v>411.55</v>
      </c>
      <c r="R3" s="2" t="n">
        <f aca="false">IFERROR(__xludf.dummyfunction("if($T3&lt;&gt;"""",VALUE(REGEXEXTRACT($T3, SUBSTITUTE(R$1, ""+"", ""\+"")&amp;""[\w &amp;]*, (\d+\.\d+)"")),"""")"),425.06)</f>
        <v>425.06</v>
      </c>
      <c r="S3" s="2" t="n">
        <f aca="false">IFERROR(__xludf.dummyfunction("if($T3&lt;&gt;"""",VALUE(REGEXEXTRACT($T3, SUBSTITUTE(S$1, ""+"", ""\+"")&amp;""[\w &amp;]*, (\d+\.\d+)"")),"""")"),429.43)</f>
        <v>429.43</v>
      </c>
      <c r="T3" s="5" t="s">
        <v>420</v>
      </c>
    </row>
    <row r="4" customFormat="false" ht="15.75" hidden="false" customHeight="false" outlineLevel="0" collapsed="false">
      <c r="A4" s="4" t="n">
        <f aca="false">IFERROR(__xludf.dummyfunction("""COMPUTED_VALUE"""),45404.6666666667)</f>
        <v>45404.6666666667</v>
      </c>
      <c r="B4" s="2" t="n">
        <f aca="false">IFERROR(__xludf.dummyfunction("""COMPUTED_VALUE"""),417.31)</f>
        <v>417.31</v>
      </c>
      <c r="C4" s="2" t="n">
        <f aca="false">IFERROR(__xludf.dummyfunction("""COMPUTED_VALUE"""),421.18)</f>
        <v>421.18</v>
      </c>
      <c r="D4" s="2" t="n">
        <f aca="false">IFERROR(__xludf.dummyfunction("""COMPUTED_VALUE"""),413.94)</f>
        <v>413.94</v>
      </c>
      <c r="E4" s="2" t="n">
        <f aca="false">IFERROR(__xludf.dummyfunction("""COMPUTED_VALUE"""),418.82)</f>
        <v>418.82</v>
      </c>
      <c r="F4" s="3" t="n">
        <f aca="false">IFERROR(__xludf.dummyfunction("if($T4&lt;&gt;"""",VALUE(REGEXEXTRACT(SUBSTITUTE ($T4,F$1&amp;"" CE"",""""), F$1&amp;""[\w &amp;]*, (\d+\.\d+)"")),"""")
"),450)</f>
        <v>450</v>
      </c>
      <c r="G4" s="3" t="n">
        <f aca="false">IFERROR(__xludf.dummyfunction("if($T4&lt;&gt;"""",VALUE(REGEXEXTRACT($T4, G$1&amp;""[\w &amp;]*, (\d+\.\d+)"")),"""")
"),420)</f>
        <v>420</v>
      </c>
      <c r="H4" s="3" t="n">
        <f aca="false">IFERROR(__xludf.dummyfunction("if($T4&lt;&gt;"""",VALUE(REGEXEXTRACT($T4, H$1&amp;""[\w &amp;]*, (\d+\.\d+)"")),"""")
"),444)</f>
        <v>444</v>
      </c>
      <c r="I4" s="3" t="n">
        <f aca="false">IFERROR(__xludf.dummyfunction("if($T4&lt;&gt;"""",VALUE(REGEXEXTRACT(SUBSTITUTE ($T4,I$1&amp;"" CE"",""""), I$1&amp;""[\w &amp;]*, (\d+\.\d+)"")),"""")
"),420)</f>
        <v>420</v>
      </c>
      <c r="J4" s="3" t="n">
        <f aca="false">IFERROR(__xludf.dummyfunction("if($T4&lt;&gt;"""",VALUE(REGEXEXTRACT($T4, J$1&amp;""[\w &amp;]*, (\d+\.\d+)"")),"""")
"),410)</f>
        <v>410</v>
      </c>
      <c r="K4" s="3" t="n">
        <f aca="false">IFERROR(__xludf.dummyfunction("if($T4&lt;&gt;"""",VALUE(REGEXEXTRACT($T4, K$1&amp;""[\w &amp;]*, (\d+\.\d+)"")),"""")
"),426)</f>
        <v>426</v>
      </c>
      <c r="L4" s="3" t="n">
        <f aca="false">IFERROR(__xludf.dummyfunction("if($T4&lt;&gt;"""",VALUE(REGEXEXTRACT(SUBSTITUTE ($T4,L$1&amp;"" CE"",""""), L$1&amp;""[\w &amp;]*, (\d+\.\d+)"")),"""")
"),430)</f>
        <v>430</v>
      </c>
      <c r="M4" s="3" t="n">
        <f aca="false">IFERROR(__xludf.dummyfunction("if($T4&lt;&gt;"""",VALUE(REGEXEXTRACT($T4, M$1&amp;""[\w &amp;]*, (\d+\.\d+)"")),"""")
"),417)</f>
        <v>417</v>
      </c>
      <c r="N4" s="3" t="n">
        <f aca="false">IFERROR(__xludf.dummyfunction("if($T4&lt;&gt;"""",VALUE(REGEXEXTRACT(SUBSTITUTE ($T4,N$1&amp;"" CE"",""""), N$1&amp;""[\w &amp;]*, (\d+\.\d+)"")),"""")
"),420)</f>
        <v>420</v>
      </c>
      <c r="O4" s="3" t="n">
        <f aca="false">IFERROR(__xludf.dummyfunction("if($T4&lt;&gt;"""",VALUE(REGEXEXTRACT($T4, O$1&amp;""[\w &amp;]*, (\d+\.\d+)"")),"""")
"),415)</f>
        <v>415</v>
      </c>
      <c r="P4" s="2" t="n">
        <f aca="false">IFERROR(__xludf.dummyfunction("if($T4&lt;&gt;"""",VALUE(REGEXEXTRACT($T4, P$1&amp;""[\w &amp;]*, (\d+\.\d+)"")),"""")
"),413.5)</f>
        <v>413.5</v>
      </c>
      <c r="Q4" s="2" t="n">
        <f aca="false">IFERROR(__xludf.dummyfunction("if($T4&lt;&gt;"""",VALUE(REGEXEXTRACT($T4, Q$1&amp;""[\w &amp;]*, (\d+\.\d+)"")),"""")
"),411.87)</f>
        <v>411.87</v>
      </c>
      <c r="R4" s="2" t="n">
        <f aca="false">IFERROR(__xludf.dummyfunction("if($T4&lt;&gt;"""",VALUE(REGEXEXTRACT($T4, SUBSTITUTE(R$1, ""+"", ""\+"")&amp;""[\w &amp;]*, (\d+\.\d+)"")),"""")"),421.36)</f>
        <v>421.36</v>
      </c>
      <c r="S4" s="2" t="n">
        <f aca="false">IFERROR(__xludf.dummyfunction("if($T4&lt;&gt;"""",VALUE(REGEXEXTRACT($T4, SUBSTITUTE(S$1, ""+"", ""\+"")&amp;""[\w &amp;]*, (\d+\.\d+)"")),"""")"),422.99)</f>
        <v>422.99</v>
      </c>
      <c r="T4" s="5" t="s">
        <v>421</v>
      </c>
    </row>
    <row r="5" customFormat="false" ht="15.75" hidden="false" customHeight="false" outlineLevel="0" collapsed="false">
      <c r="A5" s="4" t="n">
        <f aca="false">IFERROR(__xludf.dummyfunction("""COMPUTED_VALUE"""),45405.6666666667)</f>
        <v>45405.6666666667</v>
      </c>
      <c r="B5" s="2" t="n">
        <f aca="false">IFERROR(__xludf.dummyfunction("""COMPUTED_VALUE"""),420.77)</f>
        <v>420.77</v>
      </c>
      <c r="C5" s="2" t="n">
        <f aca="false">IFERROR(__xludf.dummyfunction("""COMPUTED_VALUE"""),426.28)</f>
        <v>426.28</v>
      </c>
      <c r="D5" s="2" t="n">
        <f aca="false">IFERROR(__xludf.dummyfunction("""COMPUTED_VALUE"""),418.87)</f>
        <v>418.87</v>
      </c>
      <c r="E5" s="2" t="n">
        <f aca="false">IFERROR(__xludf.dummyfunction("""COMPUTED_VALUE"""),425.07)</f>
        <v>425.07</v>
      </c>
      <c r="F5" s="3" t="n">
        <f aca="false">IFERROR(__xludf.dummyfunction("if($T5&lt;&gt;"""",VALUE(REGEXEXTRACT(SUBSTITUTE ($T5,F$1&amp;"" CE"",""""), F$1&amp;""[\w &amp;]*, (\d+\.\d+)"")),"""")
"),450)</f>
        <v>450</v>
      </c>
      <c r="G5" s="3" t="n">
        <f aca="false">IFERROR(__xludf.dummyfunction("if($T5&lt;&gt;"""",VALUE(REGEXEXTRACT($T5, G$1&amp;""[\w &amp;]*, (\d+\.\d+)"")),"""")
"),422)</f>
        <v>422</v>
      </c>
      <c r="H5" s="3" t="n">
        <f aca="false">IFERROR(__xludf.dummyfunction("if($T5&lt;&gt;"""",VALUE(REGEXEXTRACT($T5, H$1&amp;""[\w &amp;]*, (\d+\.\d+)"")),"""")
"),444)</f>
        <v>444</v>
      </c>
      <c r="I5" s="3" t="n">
        <f aca="false">IFERROR(__xludf.dummyfunction("if($T5&lt;&gt;"""",VALUE(REGEXEXTRACT(SUBSTITUTE ($T5,I$1&amp;"" CE"",""""), I$1&amp;""[\w &amp;]*, (\d+\.\d+)"")),"""")
"),420)</f>
        <v>420</v>
      </c>
      <c r="J5" s="3" t="n">
        <f aca="false">IFERROR(__xludf.dummyfunction("if($T5&lt;&gt;"""",VALUE(REGEXEXTRACT($T5, J$1&amp;""[\w &amp;]*, (\d+\.\d+)"")),"""")
"),416)</f>
        <v>416</v>
      </c>
      <c r="K5" s="3" t="n">
        <f aca="false">IFERROR(__xludf.dummyfunction("if($T5&lt;&gt;"""",VALUE(REGEXEXTRACT($T5, K$1&amp;""[\w &amp;]*, (\d+\.\d+)"")),"""")
"),426)</f>
        <v>426</v>
      </c>
      <c r="L5" s="3" t="n">
        <f aca="false">IFERROR(__xludf.dummyfunction("if($T5&lt;&gt;"""",VALUE(REGEXEXTRACT(SUBSTITUTE ($T5,L$1&amp;"" CE"",""""), L$1&amp;""[\w &amp;]*, (\d+\.\d+)"")),"""")
"),420)</f>
        <v>420</v>
      </c>
      <c r="M5" s="3" t="n">
        <f aca="false">IFERROR(__xludf.dummyfunction("if($T5&lt;&gt;"""",VALUE(REGEXEXTRACT($T5, M$1&amp;""[\w &amp;]*, (\d+\.\d+)"")),"""")
"),417)</f>
        <v>417</v>
      </c>
      <c r="N5" s="3" t="n">
        <f aca="false">IFERROR(__xludf.dummyfunction("if($T5&lt;&gt;"""",VALUE(REGEXEXTRACT(SUBSTITUTE ($T5,N$1&amp;"" CE"",""""), N$1&amp;""[\w &amp;]*, (\d+\.\d+)"")),"""")
"),450)</f>
        <v>450</v>
      </c>
      <c r="O5" s="3" t="n">
        <f aca="false">IFERROR(__xludf.dummyfunction("if($T5&lt;&gt;"""",VALUE(REGEXEXTRACT($T5, O$1&amp;""[\w &amp;]*, (\d+\.\d+)"")),"""")
"),420)</f>
        <v>420</v>
      </c>
      <c r="P5" s="2" t="n">
        <f aca="false">IFERROR(__xludf.dummyfunction("if($T5&lt;&gt;"""",VALUE(REGEXEXTRACT($T5, P$1&amp;""[\w &amp;]*, (\d+\.\d+)"")),"""")
"),415.67)</f>
        <v>415.67</v>
      </c>
      <c r="Q5" s="2" t="n">
        <f aca="false">IFERROR(__xludf.dummyfunction("if($T5&lt;&gt;"""",VALUE(REGEXEXTRACT($T5, Q$1&amp;""[\w &amp;]*, (\d+\.\d+)"")),"""")
"),413.91)</f>
        <v>413.91</v>
      </c>
      <c r="R5" s="2" t="n">
        <f aca="false">IFERROR(__xludf.dummyfunction("if($T5&lt;&gt;"""",VALUE(REGEXEXTRACT($T5, SUBSTITUTE(R$1, ""+"", ""\+"")&amp;""[\w &amp;]*, (\d+\.\d+)"")),"""")"),424.21)</f>
        <v>424.21</v>
      </c>
      <c r="S5" s="2" t="n">
        <f aca="false">IFERROR(__xludf.dummyfunction("if($T5&lt;&gt;"""",VALUE(REGEXEXTRACT($T5, SUBSTITUTE(S$1, ""+"", ""\+"")&amp;""[\w &amp;]*, (\d+\.\d+)"")),"""")"),425.97)</f>
        <v>425.97</v>
      </c>
      <c r="T5" s="5" t="s">
        <v>422</v>
      </c>
    </row>
    <row r="6" customFormat="false" ht="15.75" hidden="false" customHeight="false" outlineLevel="0" collapsed="false">
      <c r="A6" s="4" t="n">
        <f aca="false">IFERROR(__xludf.dummyfunction("""COMPUTED_VALUE"""),45406.6666666667)</f>
        <v>45406.6666666667</v>
      </c>
      <c r="B6" s="2" t="n">
        <f aca="false">IFERROR(__xludf.dummyfunction("""COMPUTED_VALUE"""),428.2)</f>
        <v>428.2</v>
      </c>
      <c r="C6" s="2" t="n">
        <f aca="false">IFERROR(__xludf.dummyfunction("""COMPUTED_VALUE"""),429.73)</f>
        <v>429.73</v>
      </c>
      <c r="D6" s="2" t="n">
        <f aca="false">IFERROR(__xludf.dummyfunction("""COMPUTED_VALUE"""),424.2)</f>
        <v>424.2</v>
      </c>
      <c r="E6" s="2" t="n">
        <f aca="false">IFERROR(__xludf.dummyfunction("""COMPUTED_VALUE"""),426.51)</f>
        <v>426.51</v>
      </c>
      <c r="F6" s="3" t="n">
        <f aca="false">IFERROR(__xludf.dummyfunction("if($T6&lt;&gt;"""",VALUE(REGEXEXTRACT(SUBSTITUTE ($T6,F$1&amp;"" CE"",""""), F$1&amp;""[\w &amp;]*, (\d+\.\d+)"")),"""")
"),450)</f>
        <v>450</v>
      </c>
      <c r="G6" s="3" t="n">
        <f aca="false">IFERROR(__xludf.dummyfunction("if($T6&lt;&gt;"""",VALUE(REGEXEXTRACT($T6, G$1&amp;""[\w &amp;]*, (\d+\.\d+)"")),"""")
"),430)</f>
        <v>430</v>
      </c>
      <c r="H6" s="3" t="n">
        <f aca="false">IFERROR(__xludf.dummyfunction("if($T6&lt;&gt;"""",VALUE(REGEXEXTRACT($T6, H$1&amp;""[\w &amp;]*, (\d+\.\d+)"")),"""")
"),444)</f>
        <v>444</v>
      </c>
      <c r="I6" s="3" t="n">
        <f aca="false">IFERROR(__xludf.dummyfunction("if($T6&lt;&gt;"""",VALUE(REGEXEXTRACT(SUBSTITUTE ($T6,I$1&amp;"" CE"",""""), I$1&amp;""[\w &amp;]*, (\d+\.\d+)"")),"""")
"),420)</f>
        <v>420</v>
      </c>
      <c r="J6" s="3" t="n">
        <f aca="false">IFERROR(__xludf.dummyfunction("if($T6&lt;&gt;"""",VALUE(REGEXEXTRACT($T6, J$1&amp;""[\w &amp;]*, (\d+\.\d+)"")),"""")
"),426)</f>
        <v>426</v>
      </c>
      <c r="K6" s="3" t="n">
        <f aca="false">IFERROR(__xludf.dummyfunction("if($T6&lt;&gt;"""",VALUE(REGEXEXTRACT($T6, K$1&amp;""[\w &amp;]*, (\d+\.\d+)"")),"""")
"),426)</f>
        <v>426</v>
      </c>
      <c r="L6" s="3" t="n">
        <f aca="false">IFERROR(__xludf.dummyfunction("if($T6&lt;&gt;"""",VALUE(REGEXEXTRACT(SUBSTITUTE ($T6,L$1&amp;"" CE"",""""), L$1&amp;""[\w &amp;]*, (\d+\.\d+)"")),"""")
"),426)</f>
        <v>426</v>
      </c>
      <c r="M6" s="3" t="n">
        <f aca="false">IFERROR(__xludf.dummyfunction("if($T6&lt;&gt;"""",VALUE(REGEXEXTRACT($T6, M$1&amp;""[\w &amp;]*, (\d+\.\d+)"")),"""")
"),427)</f>
        <v>427</v>
      </c>
      <c r="N6" s="3" t="n">
        <f aca="false">IFERROR(__xludf.dummyfunction("if($T6&lt;&gt;"""",VALUE(REGEXEXTRACT(SUBSTITUTE ($T6,N$1&amp;"" CE"",""""), N$1&amp;""[\w &amp;]*, (\d+\.\d+)"")),"""")
"),450)</f>
        <v>450</v>
      </c>
      <c r="O6" s="3" t="n">
        <f aca="false">IFERROR(__xludf.dummyfunction("if($T6&lt;&gt;"""",VALUE(REGEXEXTRACT($T6, O$1&amp;""[\w &amp;]*, (\d+\.\d+)"")),"""")
"),426)</f>
        <v>426</v>
      </c>
      <c r="P6" s="2" t="n">
        <f aca="false">IFERROR(__xludf.dummyfunction("if($T6&lt;&gt;"""",VALUE(REGEXEXTRACT($T6, P$1&amp;""[\w &amp;]*, (\d+\.\d+)"")),"""")
"),423.81)</f>
        <v>423.81</v>
      </c>
      <c r="Q6" s="2" t="n">
        <f aca="false">IFERROR(__xludf.dummyfunction("if($T6&lt;&gt;"""",VALUE(REGEXEXTRACT($T6, Q$1&amp;""[\w &amp;]*, (\d+\.\d+)"")),"""")
"),422.24)</f>
        <v>422.24</v>
      </c>
      <c r="R6" s="2" t="n">
        <f aca="false">IFERROR(__xludf.dummyfunction("if($T6&lt;&gt;"""",VALUE(REGEXEXTRACT($T6, SUBSTITUTE(R$1, ""+"", ""\+"")&amp;""[\w &amp;]*, (\d+\.\d+)"")),"""")"),431.43)</f>
        <v>431.43</v>
      </c>
      <c r="S6" s="2" t="n">
        <f aca="false">IFERROR(__xludf.dummyfunction("if($T6&lt;&gt;"""",VALUE(REGEXEXTRACT($T6, SUBSTITUTE(S$1, ""+"", ""\+"")&amp;""[\w &amp;]*, (\d+\.\d+)"")),"""")"),433)</f>
        <v>433</v>
      </c>
      <c r="T6" s="5" t="s">
        <v>423</v>
      </c>
    </row>
    <row r="7" customFormat="false" ht="15.75" hidden="false" customHeight="false" outlineLevel="0" collapsed="false">
      <c r="A7" s="4" t="n">
        <f aca="false">IFERROR(__xludf.dummyfunction("""COMPUTED_VALUE"""),45407.6666666667)</f>
        <v>45407.6666666667</v>
      </c>
      <c r="B7" s="2" t="n">
        <f aca="false">IFERROR(__xludf.dummyfunction("""COMPUTED_VALUE"""),419.24)</f>
        <v>419.24</v>
      </c>
      <c r="C7" s="2" t="n">
        <f aca="false">IFERROR(__xludf.dummyfunction("""COMPUTED_VALUE"""),425.32)</f>
        <v>425.32</v>
      </c>
      <c r="D7" s="2" t="n">
        <f aca="false">IFERROR(__xludf.dummyfunction("""COMPUTED_VALUE"""),418.14)</f>
        <v>418.14</v>
      </c>
      <c r="E7" s="2" t="n">
        <f aca="false">IFERROR(__xludf.dummyfunction("""COMPUTED_VALUE"""),424.45)</f>
        <v>424.45</v>
      </c>
      <c r="F7" s="3" t="n">
        <f aca="false">IFERROR(__xludf.dummyfunction("if($T7&lt;&gt;"""",VALUE(REGEXEXTRACT(SUBSTITUTE ($T7,F$1&amp;"" CE"",""""), F$1&amp;""[\w &amp;]*, (\d+\.\d+)"")),"""")
"),450)</f>
        <v>450</v>
      </c>
      <c r="G7" s="3" t="n">
        <f aca="false">IFERROR(__xludf.dummyfunction("if($T7&lt;&gt;"""",VALUE(REGEXEXTRACT($T7, G$1&amp;""[\w &amp;]*, (\d+\.\d+)"")),"""")
"),430)</f>
        <v>430</v>
      </c>
      <c r="H7" s="3" t="n">
        <f aca="false">IFERROR(__xludf.dummyfunction("if($T7&lt;&gt;"""",VALUE(REGEXEXTRACT($T7, H$1&amp;""[\w &amp;]*, (\d+\.\d+)"")),"""")
"),443)</f>
        <v>443</v>
      </c>
      <c r="I7" s="3" t="n">
        <f aca="false">IFERROR(__xludf.dummyfunction("if($T7&lt;&gt;"""",VALUE(REGEXEXTRACT(SUBSTITUTE ($T7,I$1&amp;"" CE"",""""), I$1&amp;""[\w &amp;]*, (\d+\.\d+)"")),"""")
"),420)</f>
        <v>420</v>
      </c>
      <c r="J7" s="3" t="n">
        <f aca="false">IFERROR(__xludf.dummyfunction("if($T7&lt;&gt;"""",VALUE(REGEXEXTRACT($T7, J$1&amp;""[\w &amp;]*, (\d+\.\d+)"")),"""")
"),425)</f>
        <v>425</v>
      </c>
      <c r="K7" s="3" t="n">
        <f aca="false">IFERROR(__xludf.dummyfunction("if($T7&lt;&gt;"""",VALUE(REGEXEXTRACT($T7, K$1&amp;""[\w &amp;]*, (\d+\.\d+)"")),"""")
"),426)</f>
        <v>426</v>
      </c>
      <c r="L7" s="3" t="n">
        <f aca="false">IFERROR(__xludf.dummyfunction("if($T7&lt;&gt;"""",VALUE(REGEXEXTRACT(SUBSTITUTE ($T7,L$1&amp;"" CE"",""""), L$1&amp;""[\w &amp;]*, (\d+\.\d+)"")),"""")
"),426)</f>
        <v>426</v>
      </c>
      <c r="M7" s="3" t="n">
        <f aca="false">IFERROR(__xludf.dummyfunction("if($T7&lt;&gt;"""",VALUE(REGEXEXTRACT($T7, M$1&amp;""[\w &amp;]*, (\d+\.\d+)"")),"""")
"),426)</f>
        <v>426</v>
      </c>
      <c r="N7" s="3" t="n">
        <f aca="false">IFERROR(__xludf.dummyfunction("if($T7&lt;&gt;"""",VALUE(REGEXEXTRACT(SUBSTITUTE ($T7,N$1&amp;"" CE"",""""), N$1&amp;""[\w &amp;]*, (\d+\.\d+)"")),"""")
"),450)</f>
        <v>450</v>
      </c>
      <c r="O7" s="3" t="n">
        <f aca="false">IFERROR(__xludf.dummyfunction("if($T7&lt;&gt;"""",VALUE(REGEXEXTRACT($T7, O$1&amp;""[\w &amp;]*, (\d+\.\d+)"")),"""")
"),425)</f>
        <v>425</v>
      </c>
      <c r="P7" s="2" t="n">
        <f aca="false">IFERROR(__xludf.dummyfunction("if($T7&lt;&gt;"""",VALUE(REGEXEXTRACT($T7, P$1&amp;""[\w &amp;]*, (\d+\.\d+)"")),"""")
"),418.65)</f>
        <v>418.65</v>
      </c>
      <c r="Q7" s="2" t="n">
        <f aca="false">IFERROR(__xludf.dummyfunction("if($T7&lt;&gt;"""",VALUE(REGEXEXTRACT($T7, Q$1&amp;""[\w &amp;]*, (\d+\.\d+)"")),"""")
"),417.05)</f>
        <v>417.05</v>
      </c>
      <c r="R7" s="2" t="n">
        <f aca="false">IFERROR(__xludf.dummyfunction("if($T7&lt;&gt;"""",VALUE(REGEXEXTRACT($T7, SUBSTITUTE(R$1, ""+"", ""\+"")&amp;""[\w &amp;]*, (\d+\.\d+)"")),"""")"),426.55)</f>
        <v>426.55</v>
      </c>
      <c r="S7" s="2" t="n">
        <f aca="false">IFERROR(__xludf.dummyfunction("if($T7&lt;&gt;"""",VALUE(REGEXEXTRACT($T7, SUBSTITUTE(S$1, ""+"", ""\+"")&amp;""[\w &amp;]*, (\d+\.\d+)"")),"""")"),428.14)</f>
        <v>428.14</v>
      </c>
      <c r="T7" s="5" t="s">
        <v>424</v>
      </c>
    </row>
    <row r="8" customFormat="false" ht="15.75" hidden="false" customHeight="false" outlineLevel="0" collapsed="false">
      <c r="A8" s="4" t="n">
        <f aca="false">IFERROR(__xludf.dummyfunction("""COMPUTED_VALUE"""),45408.6666666667)</f>
        <v>45408.6666666667</v>
      </c>
      <c r="B8" s="2" t="n">
        <f aca="false">IFERROR(__xludf.dummyfunction("""COMPUTED_VALUE"""),427.62)</f>
        <v>427.62</v>
      </c>
      <c r="C8" s="2" t="n">
        <f aca="false">IFERROR(__xludf.dummyfunction("""COMPUTED_VALUE"""),432.55)</f>
        <v>432.55</v>
      </c>
      <c r="D8" s="2" t="n">
        <f aca="false">IFERROR(__xludf.dummyfunction("""COMPUTED_VALUE"""),426.92)</f>
        <v>426.92</v>
      </c>
      <c r="E8" s="2" t="n">
        <f aca="false">IFERROR(__xludf.dummyfunction("""COMPUTED_VALUE"""),431)</f>
        <v>431</v>
      </c>
      <c r="F8" s="3" t="n">
        <f aca="false">IFERROR(__xludf.dummyfunction("if($T8&lt;&gt;"""",VALUE(REGEXEXTRACT(SUBSTITUTE ($T8,F$1&amp;"" CE"",""""), F$1&amp;""[\w &amp;]*, (\d+\.\d+)"")),"""")
"),450)</f>
        <v>450</v>
      </c>
      <c r="G8" s="3" t="n">
        <f aca="false">IFERROR(__xludf.dummyfunction("if($T8&lt;&gt;"""",VALUE(REGEXEXTRACT($T8, G$1&amp;""[\w &amp;]*, (\d+\.\d+)"")),"""")
"),430)</f>
        <v>430</v>
      </c>
      <c r="H8" s="3" t="n">
        <f aca="false">IFERROR(__xludf.dummyfunction("if($T8&lt;&gt;"""",VALUE(REGEXEXTRACT($T8, H$1&amp;""[\w &amp;]*, (\d+\.\d+)"")),"""")
"),443)</f>
        <v>443</v>
      </c>
      <c r="I8" s="3" t="n">
        <f aca="false">IFERROR(__xludf.dummyfunction("if($T8&lt;&gt;"""",VALUE(REGEXEXTRACT(SUBSTITUTE ($T8,I$1&amp;"" CE"",""""), I$1&amp;""[\w &amp;]*, (\d+\.\d+)"")),"""")
"),420)</f>
        <v>420</v>
      </c>
      <c r="J8" s="3" t="n">
        <f aca="false">IFERROR(__xludf.dummyfunction("if($T8&lt;&gt;"""",VALUE(REGEXEXTRACT($T8, J$1&amp;""[\w &amp;]*, (\d+\.\d+)"")),"""")
"),420)</f>
        <v>420</v>
      </c>
      <c r="K8" s="3" t="n">
        <f aca="false">IFERROR(__xludf.dummyfunction("if($T8&lt;&gt;"""",VALUE(REGEXEXTRACT($T8, K$1&amp;""[\w &amp;]*, (\d+\.\d+)"")),"""")
"),426)</f>
        <v>426</v>
      </c>
      <c r="L8" s="3" t="n">
        <f aca="false">IFERROR(__xludf.dummyfunction("if($T8&lt;&gt;"""",VALUE(REGEXEXTRACT(SUBSTITUTE ($T8,L$1&amp;"" CE"",""""), L$1&amp;""[\w &amp;]*, (\d+\.\d+)"")),"""")
"),425)</f>
        <v>425</v>
      </c>
      <c r="M8" s="3" t="n">
        <f aca="false">IFERROR(__xludf.dummyfunction("if($T8&lt;&gt;"""",VALUE(REGEXEXTRACT($T8, M$1&amp;""[\w &amp;]*, (\d+\.\d+)"")),"""")
"),424)</f>
        <v>424</v>
      </c>
      <c r="N8" s="3" t="n">
        <f aca="false">IFERROR(__xludf.dummyfunction("if($T8&lt;&gt;"""",VALUE(REGEXEXTRACT(SUBSTITUTE ($T8,N$1&amp;"" CE"",""""), N$1&amp;""[\w &amp;]*, (\d+\.\d+)"")),"""")
"),450)</f>
        <v>450</v>
      </c>
      <c r="O8" s="3" t="n">
        <f aca="false">IFERROR(__xludf.dummyfunction("if($T8&lt;&gt;"""",VALUE(REGEXEXTRACT($T8, O$1&amp;""[\w &amp;]*, (\d+\.\d+)"")),"""")
"),430)</f>
        <v>430</v>
      </c>
      <c r="P8" s="2" t="n">
        <f aca="false">IFERROR(__xludf.dummyfunction("if($T8&lt;&gt;"""",VALUE(REGEXEXTRACT($T8, P$1&amp;""[\w &amp;]*, (\d+\.\d+)"")),"""")
"),424.25)</f>
        <v>424.25</v>
      </c>
      <c r="Q8" s="2" t="n">
        <f aca="false">IFERROR(__xludf.dummyfunction("if($T8&lt;&gt;"""",VALUE(REGEXEXTRACT($T8, Q$1&amp;""[\w &amp;]*, (\d+\.\d+)"")),"""")
"),420.06)</f>
        <v>420.06</v>
      </c>
      <c r="R8" s="2" t="n">
        <f aca="false">IFERROR(__xludf.dummyfunction("if($T8&lt;&gt;"""",VALUE(REGEXEXTRACT($T8, SUBSTITUTE(R$1, ""+"", ""\+"")&amp;""[\w &amp;]*, (\d+\.\d+)"")),"""")"),432.65)</f>
        <v>432.65</v>
      </c>
      <c r="S8" s="2" t="n">
        <f aca="false">IFERROR(__xludf.dummyfunction("if($T8&lt;&gt;"""",VALUE(REGEXEXTRACT($T8, SUBSTITUTE(S$1, ""+"", ""\+"")&amp;""[\w &amp;]*, (\d+\.\d+)"")),"""")"),436.84)</f>
        <v>436.84</v>
      </c>
      <c r="T8" s="5" t="s">
        <v>425</v>
      </c>
    </row>
    <row r="9" customFormat="false" ht="15.75" hidden="false" customHeight="false" outlineLevel="0" collapsed="false">
      <c r="A9" s="4" t="n">
        <f aca="false">IFERROR(__xludf.dummyfunction("""COMPUTED_VALUE"""),45411.6666666667)</f>
        <v>45411.6666666667</v>
      </c>
      <c r="B9" s="2" t="n">
        <f aca="false">IFERROR(__xludf.dummyfunction("""COMPUTED_VALUE"""),433.13)</f>
        <v>433.13</v>
      </c>
      <c r="C9" s="2" t="n">
        <f aca="false">IFERROR(__xludf.dummyfunction("""COMPUTED_VALUE"""),433.76)</f>
        <v>433.76</v>
      </c>
      <c r="D9" s="2" t="n">
        <f aca="false">IFERROR(__xludf.dummyfunction("""COMPUTED_VALUE"""),429.98)</f>
        <v>429.98</v>
      </c>
      <c r="E9" s="2" t="n">
        <f aca="false">IFERROR(__xludf.dummyfunction("""COMPUTED_VALUE"""),432.75)</f>
        <v>432.75</v>
      </c>
      <c r="F9" s="3" t="n">
        <f aca="false">IFERROR(__xludf.dummyfunction("if($T9&lt;&gt;"""",VALUE(REGEXEXTRACT(SUBSTITUTE ($T9,F$1&amp;"" CE"",""""), F$1&amp;""[\w &amp;]*, (\d+\.\d+)"")),"""")
"),450)</f>
        <v>450</v>
      </c>
      <c r="G9" s="3" t="n">
        <f aca="false">IFERROR(__xludf.dummyfunction("if($T9&lt;&gt;"""",VALUE(REGEXEXTRACT($T9, G$1&amp;""[\w &amp;]*, (\d+\.\d+)"")),"""")
"),435)</f>
        <v>435</v>
      </c>
      <c r="H9" s="3" t="n">
        <f aca="false">IFERROR(__xludf.dummyfunction("if($T9&lt;&gt;"""",VALUE(REGEXEXTRACT($T9, H$1&amp;""[\w &amp;]*, (\d+\.\d+)"")),"""")
"),442)</f>
        <v>442</v>
      </c>
      <c r="I9" s="3" t="n">
        <f aca="false">IFERROR(__xludf.dummyfunction("if($T9&lt;&gt;"""",VALUE(REGEXEXTRACT(SUBSTITUTE ($T9,I$1&amp;"" CE"",""""), I$1&amp;""[\w &amp;]*, (\d+\.\d+)"")),"""")
"),420)</f>
        <v>420</v>
      </c>
      <c r="J9" s="3" t="n">
        <f aca="false">IFERROR(__xludf.dummyfunction("if($T9&lt;&gt;"""",VALUE(REGEXEXTRACT($T9, J$1&amp;""[\w &amp;]*, (\d+\.\d+)"")),"""")
"),430)</f>
        <v>430</v>
      </c>
      <c r="K9" s="3" t="n">
        <f aca="false">IFERROR(__xludf.dummyfunction("if($T9&lt;&gt;"""",VALUE(REGEXEXTRACT($T9, K$1&amp;""[\w &amp;]*, (\d+\.\d+)"")),"""")
"),428)</f>
        <v>428</v>
      </c>
      <c r="L9" s="3" t="n">
        <f aca="false">IFERROR(__xludf.dummyfunction("if($T9&lt;&gt;"""",VALUE(REGEXEXTRACT(SUBSTITUTE ($T9,L$1&amp;"" CE"",""""), L$1&amp;""[\w &amp;]*, (\d+\.\d+)"")),"""")
"),431)</f>
        <v>431</v>
      </c>
      <c r="M9" s="3" t="n">
        <f aca="false">IFERROR(__xludf.dummyfunction("if($T9&lt;&gt;"""",VALUE(REGEXEXTRACT($T9, M$1&amp;""[\w &amp;]*, (\d+\.\d+)"")),"""")
"),431)</f>
        <v>431</v>
      </c>
      <c r="N9" s="3" t="n">
        <f aca="false">IFERROR(__xludf.dummyfunction("if($T9&lt;&gt;"""",VALUE(REGEXEXTRACT(SUBSTITUTE ($T9,N$1&amp;"" CE"",""""), N$1&amp;""[\w &amp;]*, (\d+\.\d+)"")),"""")
"),450)</f>
        <v>450</v>
      </c>
      <c r="O9" s="3" t="n">
        <f aca="false">IFERROR(__xludf.dummyfunction("if($T9&lt;&gt;"""",VALUE(REGEXEXTRACT($T9, O$1&amp;""[\w &amp;]*, (\d+\.\d+)"")),"""")
"),431)</f>
        <v>431</v>
      </c>
      <c r="P9" s="2" t="n">
        <f aca="false">IFERROR(__xludf.dummyfunction("if($T9&lt;&gt;"""",VALUE(REGEXEXTRACT($T9, P$1&amp;""[\w &amp;]*, (\d+\.\d+)"")),"""")
"),429.42)</f>
        <v>429.42</v>
      </c>
      <c r="Q9" s="2" t="n">
        <f aca="false">IFERROR(__xludf.dummyfunction("if($T9&lt;&gt;"""",VALUE(REGEXEXTRACT($T9, Q$1&amp;""[\w &amp;]*, (\d+\.\d+)"")),"""")
"),427.92)</f>
        <v>427.92</v>
      </c>
      <c r="R9" s="2" t="n">
        <f aca="false">IFERROR(__xludf.dummyfunction("if($T9&lt;&gt;"""",VALUE(REGEXEXTRACT($T9, SUBSTITUTE(R$1, ""+"", ""\+"")&amp;""[\w &amp;]*, (\d+\.\d+)"")),"""")"),436.64)</f>
        <v>436.64</v>
      </c>
      <c r="S9" s="2" t="n">
        <f aca="false">IFERROR(__xludf.dummyfunction("if($T9&lt;&gt;"""",VALUE(REGEXEXTRACT($T9, SUBSTITUTE(S$1, ""+"", ""\+"")&amp;""[\w &amp;]*, (\d+\.\d+)"")),"""")"),438.14)</f>
        <v>438.14</v>
      </c>
      <c r="T9" s="5" t="s">
        <v>426</v>
      </c>
    </row>
    <row r="10" customFormat="false" ht="15.75" hidden="false" customHeight="false" outlineLevel="0" collapsed="false">
      <c r="A10" s="4" t="n">
        <f aca="false">IFERROR(__xludf.dummyfunction("""COMPUTED_VALUE"""),45412.6666666667)</f>
        <v>45412.6666666667</v>
      </c>
      <c r="B10" s="2" t="n">
        <f aca="false">IFERROR(__xludf.dummyfunction("""COMPUTED_VALUE"""),431.15)</f>
        <v>431.15</v>
      </c>
      <c r="C10" s="2" t="n">
        <f aca="false">IFERROR(__xludf.dummyfunction("""COMPUTED_VALUE"""),432.56)</f>
        <v>432.56</v>
      </c>
      <c r="D10" s="2" t="n">
        <f aca="false">IFERROR(__xludf.dummyfunction("""COMPUTED_VALUE"""),424.51)</f>
        <v>424.51</v>
      </c>
      <c r="E10" s="2" t="n">
        <f aca="false">IFERROR(__xludf.dummyfunction("""COMPUTED_VALUE"""),424.59)</f>
        <v>424.59</v>
      </c>
      <c r="F10" s="3" t="n">
        <f aca="false">IFERROR(__xludf.dummyfunction("if($T10&lt;&gt;"""",VALUE(REGEXEXTRACT(SUBSTITUTE ($T10,F$1&amp;"" CE"",""""), F$1&amp;""[\w &amp;]*, (\d+\.\d+)"")),"""")
"),450)</f>
        <v>450</v>
      </c>
      <c r="G10" s="3" t="n">
        <f aca="false">IFERROR(__xludf.dummyfunction("if($T10&lt;&gt;"""",VALUE(REGEXEXTRACT($T10, G$1&amp;""[\w &amp;]*, (\d+\.\d+)"")),"""")
"),437)</f>
        <v>437</v>
      </c>
      <c r="H10" s="3" t="n">
        <f aca="false">IFERROR(__xludf.dummyfunction("if($T10&lt;&gt;"""",VALUE(REGEXEXTRACT($T10, H$1&amp;""[\w &amp;]*, (\d+\.\d+)"")),"""")
"),442)</f>
        <v>442</v>
      </c>
      <c r="I10" s="3" t="n">
        <f aca="false">IFERROR(__xludf.dummyfunction("if($T10&lt;&gt;"""",VALUE(REGEXEXTRACT(SUBSTITUTE ($T10,I$1&amp;"" CE"",""""), I$1&amp;""[\w &amp;]*, (\d+\.\d+)"")),"""")
"),420)</f>
        <v>420</v>
      </c>
      <c r="J10" s="3" t="n">
        <f aca="false">IFERROR(__xludf.dummyfunction("if($T10&lt;&gt;"""",VALUE(REGEXEXTRACT($T10, J$1&amp;""[\w &amp;]*, (\d+\.\d+)"")),"""")
"),430)</f>
        <v>430</v>
      </c>
      <c r="K10" s="3" t="n">
        <f aca="false">IFERROR(__xludf.dummyfunction("if($T10&lt;&gt;"""",VALUE(REGEXEXTRACT($T10, K$1&amp;""[\w &amp;]*, (\d+\.\d+)"")),"""")
"),441)</f>
        <v>441</v>
      </c>
      <c r="L10" s="3" t="n">
        <f aca="false">IFERROR(__xludf.dummyfunction("if($T10&lt;&gt;"""",VALUE(REGEXEXTRACT(SUBSTITUTE ($T10,L$1&amp;"" CE"",""""), L$1&amp;""[\w &amp;]*, (\d+\.\d+)"")),"""")
"),433)</f>
        <v>433</v>
      </c>
      <c r="M10" s="3" t="n">
        <f aca="false">IFERROR(__xludf.dummyfunction("if($T10&lt;&gt;"""",VALUE(REGEXEXTRACT($T10, M$1&amp;""[\w &amp;]*, (\d+\.\d+)"")),"""")
"),433)</f>
        <v>433</v>
      </c>
      <c r="N10" s="3" t="n">
        <f aca="false">IFERROR(__xludf.dummyfunction("if($T10&lt;&gt;"""",VALUE(REGEXEXTRACT(SUBSTITUTE ($T10,N$1&amp;"" CE"",""""), N$1&amp;""[\w &amp;]*, (\d+\.\d+)"")),"""")
"),450)</f>
        <v>450</v>
      </c>
      <c r="O10" s="3" t="n">
        <f aca="false">IFERROR(__xludf.dummyfunction("if($T10&lt;&gt;"""",VALUE(REGEXEXTRACT($T10, O$1&amp;""[\w &amp;]*, (\d+\.\d+)"")),"""")
"),430)</f>
        <v>430</v>
      </c>
      <c r="P10" s="2" t="n">
        <f aca="false">IFERROR(__xludf.dummyfunction("if($T10&lt;&gt;"""",VALUE(REGEXEXTRACT($T10, P$1&amp;""[\w &amp;]*, (\d+\.\d+)"")),"""")
"),427.9)</f>
        <v>427.9</v>
      </c>
      <c r="Q10" s="2" t="n">
        <f aca="false">IFERROR(__xludf.dummyfunction("if($T10&lt;&gt;"""",VALUE(REGEXEXTRACT($T10, Q$1&amp;""[\w &amp;]*, (\d+\.\d+)"")),"""")
"),426.15)</f>
        <v>426.15</v>
      </c>
      <c r="R10" s="2" t="n">
        <f aca="false">IFERROR(__xludf.dummyfunction("if($T10&lt;&gt;"""",VALUE(REGEXEXTRACT($T10, SUBSTITUTE(R$1, ""+"", ""\+"")&amp;""[\w &amp;]*, (\d+\.\d+)"")),"""")"),436.36)</f>
        <v>436.36</v>
      </c>
      <c r="S10" s="2" t="n">
        <f aca="false">IFERROR(__xludf.dummyfunction("if($T10&lt;&gt;"""",VALUE(REGEXEXTRACT($T10, SUBSTITUTE(S$1, ""+"", ""\+"")&amp;""[\w &amp;]*, (\d+\.\d+)"")),"""")"),438.11)</f>
        <v>438.11</v>
      </c>
      <c r="T10" s="5" t="s">
        <v>427</v>
      </c>
    </row>
    <row r="11" customFormat="false" ht="15.75" hidden="false" customHeight="false" outlineLevel="0" collapsed="false">
      <c r="A11" s="4" t="n">
        <f aca="false">IFERROR(__xludf.dummyfunction("""COMPUTED_VALUE"""),45413.6666666667)</f>
        <v>45413.6666666667</v>
      </c>
      <c r="B11" s="2" t="n">
        <f aca="false">IFERROR(__xludf.dummyfunction("""COMPUTED_VALUE"""),423.15)</f>
        <v>423.15</v>
      </c>
      <c r="C11" s="2" t="n">
        <f aca="false">IFERROR(__xludf.dummyfunction("""COMPUTED_VALUE"""),430.14)</f>
        <v>430.14</v>
      </c>
      <c r="D11" s="2" t="n">
        <f aca="false">IFERROR(__xludf.dummyfunction("""COMPUTED_VALUE"""),420.66)</f>
        <v>420.66</v>
      </c>
      <c r="E11" s="2" t="n">
        <f aca="false">IFERROR(__xludf.dummyfunction("""COMPUTED_VALUE"""),421.52)</f>
        <v>421.52</v>
      </c>
      <c r="F11" s="3" t="n">
        <f aca="false">IFERROR(__xludf.dummyfunction("if($T11&lt;&gt;"""",VALUE(REGEXEXTRACT(SUBSTITUTE ($T11,F$1&amp;"" CE"",""""), F$1&amp;""[\w &amp;]*, (\d+\.\d+)"")),"""")
"),450)</f>
        <v>450</v>
      </c>
      <c r="G11" s="3" t="n">
        <f aca="false">IFERROR(__xludf.dummyfunction("if($T11&lt;&gt;"""",VALUE(REGEXEXTRACT($T11, G$1&amp;""[\w &amp;]*, (\d+\.\d+)"")),"""")
"),433)</f>
        <v>433</v>
      </c>
      <c r="H11" s="3" t="n">
        <f aca="false">IFERROR(__xludf.dummyfunction("if($T11&lt;&gt;"""",VALUE(REGEXEXTRACT($T11, H$1&amp;""[\w &amp;]*, (\d+\.\d+)"")),"""")
"),442)</f>
        <v>442</v>
      </c>
      <c r="I11" s="3" t="n">
        <f aca="false">IFERROR(__xludf.dummyfunction("if($T11&lt;&gt;"""",VALUE(REGEXEXTRACT(SUBSTITUTE ($T11,I$1&amp;"" CE"",""""), I$1&amp;""[\w &amp;]*, (\d+\.\d+)"")),"""")
"),420)</f>
        <v>420</v>
      </c>
      <c r="J11" s="3" t="n">
        <f aca="false">IFERROR(__xludf.dummyfunction("if($T11&lt;&gt;"""",VALUE(REGEXEXTRACT($T11, J$1&amp;""[\w &amp;]*, (\d+\.\d+)"")),"""")
"),420)</f>
        <v>420</v>
      </c>
      <c r="K11" s="3" t="n">
        <f aca="false">IFERROR(__xludf.dummyfunction("if($T11&lt;&gt;"""",VALUE(REGEXEXTRACT($T11, K$1&amp;""[\w &amp;]*, (\d+\.\d+)"")),"""")
"),441)</f>
        <v>441</v>
      </c>
      <c r="L11" s="3" t="n">
        <f aca="false">IFERROR(__xludf.dummyfunction("if($T11&lt;&gt;"""",VALUE(REGEXEXTRACT(SUBSTITUTE ($T11,L$1&amp;"" CE"",""""), L$1&amp;""[\w &amp;]*, (\d+\.\d+)"")),"""")
"),431)</f>
        <v>431</v>
      </c>
      <c r="M11" s="3" t="n">
        <f aca="false">IFERROR(__xludf.dummyfunction("if($T11&lt;&gt;"""",VALUE(REGEXEXTRACT($T11, M$1&amp;""[\w &amp;]*, (\d+\.\d+)"")),"""")
"),426)</f>
        <v>426</v>
      </c>
      <c r="N11" s="3" t="n">
        <f aca="false">IFERROR(__xludf.dummyfunction("if($T11&lt;&gt;"""",VALUE(REGEXEXTRACT(SUBSTITUTE ($T11,N$1&amp;"" CE"",""""), N$1&amp;""[\w &amp;]*, (\d+\.\d+)"")),"""")
"),450)</f>
        <v>450</v>
      </c>
      <c r="O11" s="3" t="n">
        <f aca="false">IFERROR(__xludf.dummyfunction("if($T11&lt;&gt;"""",VALUE(REGEXEXTRACT($T11, O$1&amp;""[\w &amp;]*, (\d+\.\d+)"")),"""")
"),420)</f>
        <v>420</v>
      </c>
      <c r="P11" s="2" t="n">
        <f aca="false">IFERROR(__xludf.dummyfunction("if($T11&lt;&gt;"""",VALUE(REGEXEXTRACT($T11, P$1&amp;""[\w &amp;]*, (\d+\.\d+)"")),"""")
"),417.19)</f>
        <v>417.19</v>
      </c>
      <c r="Q11" s="2" t="n">
        <f aca="false">IFERROR(__xludf.dummyfunction("if($T11&lt;&gt;"""",VALUE(REGEXEXTRACT($T11, Q$1&amp;""[\w &amp;]*, (\d+\.\d+)"")),"""")
"),415.36)</f>
        <v>415.36</v>
      </c>
      <c r="R11" s="2" t="n">
        <f aca="false">IFERROR(__xludf.dummyfunction("if($T11&lt;&gt;"""",VALUE(REGEXEXTRACT($T11, SUBSTITUTE(R$1, ""+"", ""\+"")&amp;""[\w &amp;]*, (\d+\.\d+)"")),"""")"),426.03)</f>
        <v>426.03</v>
      </c>
      <c r="S11" s="2" t="n">
        <f aca="false">IFERROR(__xludf.dummyfunction("if($T11&lt;&gt;"""",VALUE(REGEXEXTRACT($T11, SUBSTITUTE(S$1, ""+"", ""\+"")&amp;""[\w &amp;]*, (\d+\.\d+)"")),"""")"),427.86)</f>
        <v>427.86</v>
      </c>
      <c r="T11" s="5" t="s">
        <v>428</v>
      </c>
    </row>
    <row r="12" customFormat="false" ht="15.75" hidden="false" customHeight="false" outlineLevel="0" collapsed="false">
      <c r="A12" s="4" t="n">
        <f aca="false">IFERROR(__xludf.dummyfunction("""COMPUTED_VALUE"""),45414.6666666667)</f>
        <v>45414.6666666667</v>
      </c>
      <c r="B12" s="2" t="n">
        <f aca="false">IFERROR(__xludf.dummyfunction("""COMPUTED_VALUE"""),425.3)</f>
        <v>425.3</v>
      </c>
      <c r="C12" s="2" t="n">
        <f aca="false">IFERROR(__xludf.dummyfunction("""COMPUTED_VALUE"""),427.81)</f>
        <v>427.81</v>
      </c>
      <c r="D12" s="2" t="n">
        <f aca="false">IFERROR(__xludf.dummyfunction("""COMPUTED_VALUE"""),420.63)</f>
        <v>420.63</v>
      </c>
      <c r="E12" s="2" t="n">
        <f aca="false">IFERROR(__xludf.dummyfunction("""COMPUTED_VALUE"""),426.9)</f>
        <v>426.9</v>
      </c>
      <c r="F12" s="3" t="n">
        <f aca="false">IFERROR(__xludf.dummyfunction("if($T12&lt;&gt;"""",VALUE(REGEXEXTRACT(SUBSTITUTE ($T12,F$1&amp;"" CE"",""""), F$1&amp;""[\w &amp;]*, (\d+\.\d+)"")),"""")
"),450)</f>
        <v>450</v>
      </c>
      <c r="G12" s="3" t="n">
        <f aca="false">IFERROR(__xludf.dummyfunction("if($T12&lt;&gt;"""",VALUE(REGEXEXTRACT($T12, G$1&amp;""[\w &amp;]*, (\d+\.\d+)"")),"""")
"),425)</f>
        <v>425</v>
      </c>
      <c r="H12" s="3" t="n">
        <f aca="false">IFERROR(__xludf.dummyfunction("if($T12&lt;&gt;"""",VALUE(REGEXEXTRACT($T12, H$1&amp;""[\w &amp;]*, (\d+\.\d+)"")),"""")
"),442)</f>
        <v>442</v>
      </c>
      <c r="I12" s="3" t="n">
        <f aca="false">IFERROR(__xludf.dummyfunction("if($T12&lt;&gt;"""",VALUE(REGEXEXTRACT(SUBSTITUTE ($T12,I$1&amp;"" CE"",""""), I$1&amp;""[\w &amp;]*, (\d+\.\d+)"")),"""")
"),420)</f>
        <v>420</v>
      </c>
      <c r="J12" s="3" t="n">
        <f aca="false">IFERROR(__xludf.dummyfunction("if($T12&lt;&gt;"""",VALUE(REGEXEXTRACT($T12, J$1&amp;""[\w &amp;]*, (\d+\.\d+)"")),"""")
"),420)</f>
        <v>420</v>
      </c>
      <c r="K12" s="3" t="n">
        <f aca="false">IFERROR(__xludf.dummyfunction("if($T12&lt;&gt;"""",VALUE(REGEXEXTRACT($T12, K$1&amp;""[\w &amp;]*, (\d+\.\d+)"")),"""")
"),441)</f>
        <v>441</v>
      </c>
      <c r="L12" s="3" t="n">
        <f aca="false">IFERROR(__xludf.dummyfunction("if($T12&lt;&gt;"""",VALUE(REGEXEXTRACT(SUBSTITUTE ($T12,L$1&amp;"" CE"",""""), L$1&amp;""[\w &amp;]*, (\d+\.\d+)"")),"""")
"),426)</f>
        <v>426</v>
      </c>
      <c r="M12" s="3" t="n">
        <f aca="false">IFERROR(__xludf.dummyfunction("if($T12&lt;&gt;"""",VALUE(REGEXEXTRACT($T12, M$1&amp;""[\w &amp;]*, (\d+\.\d+)"")),"""")
"),424)</f>
        <v>424</v>
      </c>
      <c r="N12" s="3" t="n">
        <f aca="false">IFERROR(__xludf.dummyfunction("if($T12&lt;&gt;"""",VALUE(REGEXEXTRACT(SUBSTITUTE ($T12,N$1&amp;"" CE"",""""), N$1&amp;""[\w &amp;]*, (\d+\.\d+)"")),"""")
"),450)</f>
        <v>450</v>
      </c>
      <c r="O12" s="3" t="n">
        <f aca="false">IFERROR(__xludf.dummyfunction("if($T12&lt;&gt;"""",VALUE(REGEXEXTRACT($T12, O$1&amp;""[\w &amp;]*, (\d+\.\d+)"")),"""")
"),420)</f>
        <v>420</v>
      </c>
      <c r="P12" s="2" t="n">
        <f aca="false">IFERROR(__xludf.dummyfunction("if($T12&lt;&gt;"""",VALUE(REGEXEXTRACT($T12, P$1&amp;""[\w &amp;]*, (\d+\.\d+)"")),"""")
"),422.13)</f>
        <v>422.13</v>
      </c>
      <c r="Q12" s="2" t="n">
        <f aca="false">IFERROR(__xludf.dummyfunction("if($T12&lt;&gt;"""",VALUE(REGEXEXTRACT($T12, Q$1&amp;""[\w &amp;]*, (\d+\.\d+)"")),"""")
"),420.59)</f>
        <v>420.59</v>
      </c>
      <c r="R12" s="2" t="n">
        <f aca="false">IFERROR(__xludf.dummyfunction("if($T12&lt;&gt;"""",VALUE(REGEXEXTRACT($T12, SUBSTITUTE(R$1, ""+"", ""\+"")&amp;""[\w &amp;]*, (\d+\.\d+)"")),"""")"),429.55)</f>
        <v>429.55</v>
      </c>
      <c r="S12" s="2" t="n">
        <f aca="false">IFERROR(__xludf.dummyfunction("if($T12&lt;&gt;"""",VALUE(REGEXEXTRACT($T12, SUBSTITUTE(S$1, ""+"", ""\+"")&amp;""[\w &amp;]*, (\d+\.\d+)"")),"""")"),431.09)</f>
        <v>431.09</v>
      </c>
      <c r="T12" s="5" t="s">
        <v>429</v>
      </c>
    </row>
    <row r="13" customFormat="false" ht="15.75" hidden="false" customHeight="false" outlineLevel="0" collapsed="false">
      <c r="A13" s="4" t="n">
        <f aca="false">IFERROR(__xludf.dummyfunction("""COMPUTED_VALUE"""),45415.6666666667)</f>
        <v>45415.6666666667</v>
      </c>
      <c r="B13" s="2" t="n">
        <f aca="false">IFERROR(__xludf.dummyfunction("""COMPUTED_VALUE"""),434.44)</f>
        <v>434.44</v>
      </c>
      <c r="C13" s="2" t="n">
        <f aca="false">IFERROR(__xludf.dummyfunction("""COMPUTED_VALUE"""),436.48)</f>
        <v>436.48</v>
      </c>
      <c r="D13" s="2" t="n">
        <f aca="false">IFERROR(__xludf.dummyfunction("""COMPUTED_VALUE"""),432.62)</f>
        <v>432.62</v>
      </c>
      <c r="E13" s="2" t="n">
        <f aca="false">IFERROR(__xludf.dummyfunction("""COMPUTED_VALUE"""),435.48)</f>
        <v>435.48</v>
      </c>
      <c r="F13" s="3" t="n">
        <f aca="false">IFERROR(__xludf.dummyfunction("if($T13&lt;&gt;"""",VALUE(REGEXEXTRACT(SUBSTITUTE ($T13,F$1&amp;"" CE"",""""), F$1&amp;""[\w &amp;]*, (\d+\.\d+)"")),"""")
"),450)</f>
        <v>450</v>
      </c>
      <c r="G13" s="3" t="n">
        <f aca="false">IFERROR(__xludf.dummyfunction("if($T13&lt;&gt;"""",VALUE(REGEXEXTRACT($T13, G$1&amp;""[\w &amp;]*, (\d+\.\d+)"")),"""")
"),433)</f>
        <v>433</v>
      </c>
      <c r="H13" s="3" t="n">
        <f aca="false">IFERROR(__xludf.dummyfunction("if($T13&lt;&gt;"""",VALUE(REGEXEXTRACT($T13, H$1&amp;""[\w &amp;]*, (\d+\.\d+)"")),"""")
"),442)</f>
        <v>442</v>
      </c>
      <c r="I13" s="3" t="n">
        <f aca="false">IFERROR(__xludf.dummyfunction("if($T13&lt;&gt;"""",VALUE(REGEXEXTRACT(SUBSTITUTE ($T13,I$1&amp;"" CE"",""""), I$1&amp;""[\w &amp;]*, (\d+\.\d+)"")),"""")
"),420)</f>
        <v>420</v>
      </c>
      <c r="J13" s="3" t="n">
        <f aca="false">IFERROR(__xludf.dummyfunction("if($T13&lt;&gt;"""",VALUE(REGEXEXTRACT($T13, J$1&amp;""[\w &amp;]*, (\d+\.\d+)"")),"""")
"),420)</f>
        <v>420</v>
      </c>
      <c r="K13" s="3" t="n">
        <f aca="false">IFERROR(__xludf.dummyfunction("if($T13&lt;&gt;"""",VALUE(REGEXEXTRACT($T13, K$1&amp;""[\w &amp;]*, (\d+\.\d+)"")),"""")
"),431)</f>
        <v>431</v>
      </c>
      <c r="L13" s="3" t="n">
        <f aca="false">IFERROR(__xludf.dummyfunction("if($T13&lt;&gt;"""",VALUE(REGEXEXTRACT(SUBSTITUTE ($T13,L$1&amp;"" CE"",""""), L$1&amp;""[\w &amp;]*, (\d+\.\d+)"")),"""")
"),426)</f>
        <v>426</v>
      </c>
      <c r="M13" s="3" t="n">
        <f aca="false">IFERROR(__xludf.dummyfunction("if($T13&lt;&gt;"""",VALUE(REGEXEXTRACT($T13, M$1&amp;""[\w &amp;]*, (\d+\.\d+)"")),"""")
"),426)</f>
        <v>426</v>
      </c>
      <c r="N13" s="3" t="n">
        <f aca="false">IFERROR(__xludf.dummyfunction("if($T13&lt;&gt;"""",VALUE(REGEXEXTRACT(SUBSTITUTE ($T13,N$1&amp;"" CE"",""""), N$1&amp;""[\w &amp;]*, (\d+\.\d+)"")),"""")
"),450)</f>
        <v>450</v>
      </c>
      <c r="O13" s="3" t="n">
        <f aca="false">IFERROR(__xludf.dummyfunction("if($T13&lt;&gt;"""",VALUE(REGEXEXTRACT($T13, O$1&amp;""[\w &amp;]*, (\d+\.\d+)"")),"""")
"),430)</f>
        <v>430</v>
      </c>
      <c r="P13" s="2" t="n">
        <f aca="false">IFERROR(__xludf.dummyfunction("if($T13&lt;&gt;"""",VALUE(REGEXEXTRACT($T13, P$1&amp;""[\w &amp;]*, (\d+\.\d+)"")),"""")
"),425.43)</f>
        <v>425.43</v>
      </c>
      <c r="Q13" s="2" t="n">
        <f aca="false">IFERROR(__xludf.dummyfunction("if($T13&lt;&gt;"""",VALUE(REGEXEXTRACT($T13, Q$1&amp;""[\w &amp;]*, (\d+\.\d+)"")),"""")
"),421.27)</f>
        <v>421.27</v>
      </c>
      <c r="R13" s="2" t="n">
        <f aca="false">IFERROR(__xludf.dummyfunction("if($T13&lt;&gt;"""",VALUE(REGEXEXTRACT($T13, SUBSTITUTE(R$1, ""+"", ""\+"")&amp;""[\w &amp;]*, (\d+\.\d+)"")),"""")"),433.75)</f>
        <v>433.75</v>
      </c>
      <c r="S13" s="2" t="n">
        <f aca="false">IFERROR(__xludf.dummyfunction("if($T13&lt;&gt;"""",VALUE(REGEXEXTRACT($T13, SUBSTITUTE(S$1, ""+"", ""\+"")&amp;""[\w &amp;]*, (\d+\.\d+)"")),"""")"),437.92)</f>
        <v>437.92</v>
      </c>
      <c r="T13" s="5" t="s">
        <v>430</v>
      </c>
    </row>
    <row r="14" customFormat="false" ht="15.75" hidden="false" customHeight="false" outlineLevel="0" collapsed="false">
      <c r="A14" s="4" t="n">
        <f aca="false">IFERROR(__xludf.dummyfunction("""COMPUTED_VALUE"""),45418.6666666667)</f>
        <v>45418.6666666667</v>
      </c>
      <c r="B14" s="2" t="n">
        <f aca="false">IFERROR(__xludf.dummyfunction("""COMPUTED_VALUE"""),437.3)</f>
        <v>437.3</v>
      </c>
      <c r="C14" s="2" t="n">
        <f aca="false">IFERROR(__xludf.dummyfunction("""COMPUTED_VALUE"""),440.34)</f>
        <v>440.34</v>
      </c>
      <c r="D14" s="2" t="n">
        <f aca="false">IFERROR(__xludf.dummyfunction("""COMPUTED_VALUE"""),436.52)</f>
        <v>436.52</v>
      </c>
      <c r="E14" s="2" t="n">
        <f aca="false">IFERROR(__xludf.dummyfunction("""COMPUTED_VALUE"""),440.25)</f>
        <v>440.25</v>
      </c>
      <c r="F14" s="3" t="n">
        <f aca="false">IFERROR(__xludf.dummyfunction("if($T14&lt;&gt;"""",VALUE(REGEXEXTRACT(SUBSTITUTE ($T14,F$1&amp;"" CE"",""""), F$1&amp;""[\w &amp;]*, (\d+\.\d+)"")),"""")
"),450)</f>
        <v>450</v>
      </c>
      <c r="G14" s="3" t="n">
        <f aca="false">IFERROR(__xludf.dummyfunction("if($T14&lt;&gt;"""",VALUE(REGEXEXTRACT($T14, G$1&amp;""[\w &amp;]*, (\d+\.\d+)"")),"""")
"),440)</f>
        <v>440</v>
      </c>
      <c r="H14" s="3" t="n">
        <f aca="false">IFERROR(__xludf.dummyfunction("if($T14&lt;&gt;"""",VALUE(REGEXEXTRACT($T14, H$1&amp;""[\w &amp;]*, (\d+\.\d+)"")),"""")
"),442)</f>
        <v>442</v>
      </c>
      <c r="I14" s="3" t="n">
        <f aca="false">IFERROR(__xludf.dummyfunction("if($T14&lt;&gt;"""",VALUE(REGEXEXTRACT(SUBSTITUTE ($T14,I$1&amp;"" CE"",""""), I$1&amp;""[\w &amp;]*, (\d+\.\d+)"")),"""")
"),420)</f>
        <v>420</v>
      </c>
      <c r="J14" s="3" t="n">
        <f aca="false">IFERROR(__xludf.dummyfunction("if($T14&lt;&gt;"""",VALUE(REGEXEXTRACT($T14, J$1&amp;""[\w &amp;]*, (\d+\.\d+)"")),"""")
"),434)</f>
        <v>434</v>
      </c>
      <c r="K14" s="3" t="n">
        <f aca="false">IFERROR(__xludf.dummyfunction("if($T14&lt;&gt;"""",VALUE(REGEXEXTRACT($T14, K$1&amp;""[\w &amp;]*, (\d+\.\d+)"")),"""")
"),431)</f>
        <v>431</v>
      </c>
      <c r="L14" s="3" t="n">
        <f aca="false">IFERROR(__xludf.dummyfunction("if($T14&lt;&gt;"""",VALUE(REGEXEXTRACT(SUBSTITUTE ($T14,L$1&amp;"" CE"",""""), L$1&amp;""[\w &amp;]*, (\d+\.\d+)"")),"""")
"),434)</f>
        <v>434</v>
      </c>
      <c r="M14" s="3" t="n">
        <f aca="false">IFERROR(__xludf.dummyfunction("if($T14&lt;&gt;"""",VALUE(REGEXEXTRACT($T14, M$1&amp;""[\w &amp;]*, (\d+\.\d+)"")),"""")
"),436)</f>
        <v>436</v>
      </c>
      <c r="N14" s="3" t="n">
        <f aca="false">IFERROR(__xludf.dummyfunction("if($T14&lt;&gt;"""",VALUE(REGEXEXTRACT(SUBSTITUTE ($T14,N$1&amp;"" CE"",""""), N$1&amp;""[\w &amp;]*, (\d+\.\d+)"")),"""")
"),450)</f>
        <v>450</v>
      </c>
      <c r="O14" s="3" t="n">
        <f aca="false">IFERROR(__xludf.dummyfunction("if($T14&lt;&gt;"""",VALUE(REGEXEXTRACT($T14, O$1&amp;""[\w &amp;]*, (\d+\.\d+)"")),"""")
"),435)</f>
        <v>435</v>
      </c>
      <c r="P14" s="2" t="n">
        <f aca="false">IFERROR(__xludf.dummyfunction("if($T14&lt;&gt;"""",VALUE(REGEXEXTRACT($T14, P$1&amp;""[\w &amp;]*, (\d+\.\d+)"")),"""")
"),433.4)</f>
        <v>433.4</v>
      </c>
      <c r="Q14" s="2" t="n">
        <f aca="false">IFERROR(__xludf.dummyfunction("if($T14&lt;&gt;"""",VALUE(REGEXEXTRACT($T14, Q$1&amp;""[\w &amp;]*, (\d+\.\d+)"")),"""")
"),432.09)</f>
        <v>432.09</v>
      </c>
      <c r="R14" s="2" t="n">
        <f aca="false">IFERROR(__xludf.dummyfunction("if($T14&lt;&gt;"""",VALUE(REGEXEXTRACT($T14, SUBSTITUTE(R$1, ""+"", ""\+"")&amp;""[\w &amp;]*, (\d+\.\d+)"")),"""")"),439.74)</f>
        <v>439.74</v>
      </c>
      <c r="S14" s="2" t="n">
        <f aca="false">IFERROR(__xludf.dummyfunction("if($T14&lt;&gt;"""",VALUE(REGEXEXTRACT($T14, SUBSTITUTE(S$1, ""+"", ""\+"")&amp;""[\w &amp;]*, (\d+\.\d+)"")),"""")"),441.05)</f>
        <v>441.05</v>
      </c>
      <c r="T14" s="5" t="s">
        <v>431</v>
      </c>
    </row>
    <row r="15" customFormat="false" ht="15.75" hidden="false" customHeight="false" outlineLevel="0" collapsed="false">
      <c r="A15" s="4" t="n">
        <f aca="false">IFERROR(__xludf.dummyfunction("""COMPUTED_VALUE"""),45419.6666666667)</f>
        <v>45419.6666666667</v>
      </c>
      <c r="B15" s="2" t="n">
        <f aca="false">IFERROR(__xludf.dummyfunction("""COMPUTED_VALUE"""),440.7)</f>
        <v>440.7</v>
      </c>
      <c r="C15" s="2" t="n">
        <f aca="false">IFERROR(__xludf.dummyfunction("""COMPUTED_VALUE"""),441.97)</f>
        <v>441.97</v>
      </c>
      <c r="D15" s="2" t="n">
        <f aca="false">IFERROR(__xludf.dummyfunction("""COMPUTED_VALUE"""),439.58)</f>
        <v>439.58</v>
      </c>
      <c r="E15" s="2" t="n">
        <f aca="false">IFERROR(__xludf.dummyfunction("""COMPUTED_VALUE"""),440.32)</f>
        <v>440.32</v>
      </c>
      <c r="F15" s="3" t="n">
        <f aca="false">IFERROR(__xludf.dummyfunction("if($T15&lt;&gt;"""",VALUE(REGEXEXTRACT(SUBSTITUTE ($T15,F$1&amp;"" CE"",""""), F$1&amp;""[\w &amp;]*, (\d+\.\d+)"")),"""")
"),450)</f>
        <v>450</v>
      </c>
      <c r="G15" s="3" t="n">
        <f aca="false">IFERROR(__xludf.dummyfunction("if($T15&lt;&gt;"""",VALUE(REGEXEXTRACT($T15, G$1&amp;""[\w &amp;]*, (\d+\.\d+)"")),"""")
"),440)</f>
        <v>440</v>
      </c>
      <c r="H15" s="3" t="n">
        <f aca="false">IFERROR(__xludf.dummyfunction("if($T15&lt;&gt;"""",VALUE(REGEXEXTRACT($T15, H$1&amp;""[\w &amp;]*, (\d+\.\d+)"")),"""")
"),442)</f>
        <v>442</v>
      </c>
      <c r="I15" s="3" t="n">
        <f aca="false">IFERROR(__xludf.dummyfunction("if($T15&lt;&gt;"""",VALUE(REGEXEXTRACT(SUBSTITUTE ($T15,I$1&amp;"" CE"",""""), I$1&amp;""[\w &amp;]*, (\d+\.\d+)"")),"""")
"),420)</f>
        <v>420</v>
      </c>
      <c r="J15" s="3" t="n">
        <f aca="false">IFERROR(__xludf.dummyfunction("if($T15&lt;&gt;"""",VALUE(REGEXEXTRACT($T15, J$1&amp;""[\w &amp;]*, (\d+\.\d+)"")),"""")
"),439)</f>
        <v>439</v>
      </c>
      <c r="K15" s="3" t="n">
        <f aca="false">IFERROR(__xludf.dummyfunction("if($T15&lt;&gt;"""",VALUE(REGEXEXTRACT($T15, K$1&amp;""[\w &amp;]*, (\d+\.\d+)"")),"""")
"),431)</f>
        <v>431</v>
      </c>
      <c r="L15" s="3" t="n">
        <f aca="false">IFERROR(__xludf.dummyfunction("if($T15&lt;&gt;"""",VALUE(REGEXEXTRACT(SUBSTITUTE ($T15,L$1&amp;"" CE"",""""), L$1&amp;""[\w &amp;]*, (\d+\.\d+)"")),"""")
"),437)</f>
        <v>437</v>
      </c>
      <c r="M15" s="3" t="n">
        <f aca="false">IFERROR(__xludf.dummyfunction("if($T15&lt;&gt;"""",VALUE(REGEXEXTRACT($T15, M$1&amp;""[\w &amp;]*, (\d+\.\d+)"")),"""")
"),439)</f>
        <v>439</v>
      </c>
      <c r="N15" s="3" t="n">
        <f aca="false">IFERROR(__xludf.dummyfunction("if($T15&lt;&gt;"""",VALUE(REGEXEXTRACT(SUBSTITUTE ($T15,N$1&amp;"" CE"",""""), N$1&amp;""[\w &amp;]*, (\d+\.\d+)"")),"""")
"),450)</f>
        <v>450</v>
      </c>
      <c r="O15" s="3" t="n">
        <f aca="false">IFERROR(__xludf.dummyfunction("if($T15&lt;&gt;"""",VALUE(REGEXEXTRACT($T15, O$1&amp;""[\w &amp;]*, (\d+\.\d+)"")),"""")
"),440)</f>
        <v>440</v>
      </c>
      <c r="P15" s="2" t="n">
        <f aca="false">IFERROR(__xludf.dummyfunction("if($T15&lt;&gt;"""",VALUE(REGEXEXTRACT($T15, P$1&amp;""[\w &amp;]*, (\d+\.\d+)"")),"""")
"),436.47)</f>
        <v>436.47</v>
      </c>
      <c r="Q15" s="2" t="n">
        <f aca="false">IFERROR(__xludf.dummyfunction("if($T15&lt;&gt;"""",VALUE(REGEXEXTRACT($T15, Q$1&amp;""[\w &amp;]*, (\d+\.\d+)"")),"""")
"),435.06)</f>
        <v>435.06</v>
      </c>
      <c r="R15" s="2" t="n">
        <f aca="false">IFERROR(__xludf.dummyfunction("if($T15&lt;&gt;"""",VALUE(REGEXEXTRACT($T15, SUBSTITUTE(R$1, ""+"", ""\+"")&amp;""[\w &amp;]*, (\d+\.\d+)"")),"""")"),443.27)</f>
        <v>443.27</v>
      </c>
      <c r="S15" s="2" t="n">
        <f aca="false">IFERROR(__xludf.dummyfunction("if($T15&lt;&gt;"""",VALUE(REGEXEXTRACT($T15, SUBSTITUTE(S$1, ""+"", ""\+"")&amp;""[\w &amp;]*, (\d+\.\d+)"")),"""")"),444.68)</f>
        <v>444.68</v>
      </c>
      <c r="T15" s="5" t="s">
        <v>432</v>
      </c>
    </row>
    <row r="16" customFormat="false" ht="15.75" hidden="false" customHeight="false" outlineLevel="0" collapsed="false">
      <c r="A16" s="4" t="n">
        <f aca="false">IFERROR(__xludf.dummyfunction("""COMPUTED_VALUE"""),45420.6666666667)</f>
        <v>45420.6666666667</v>
      </c>
      <c r="B16" s="2" t="n">
        <f aca="false">IFERROR(__xludf.dummyfunction("""COMPUTED_VALUE"""),437.67)</f>
        <v>437.67</v>
      </c>
      <c r="C16" s="2" t="n">
        <f aca="false">IFERROR(__xludf.dummyfunction("""COMPUTED_VALUE"""),441.48)</f>
        <v>441.48</v>
      </c>
      <c r="D16" s="2" t="n">
        <f aca="false">IFERROR(__xludf.dummyfunction("""COMPUTED_VALUE"""),437.55)</f>
        <v>437.55</v>
      </c>
      <c r="E16" s="2" t="n">
        <f aca="false">IFERROR(__xludf.dummyfunction("""COMPUTED_VALUE"""),440.06)</f>
        <v>440.06</v>
      </c>
      <c r="F16" s="3" t="n">
        <f aca="false">IFERROR(__xludf.dummyfunction("if($T16&lt;&gt;"""",VALUE(REGEXEXTRACT(SUBSTITUTE ($T16,F$1&amp;"" CE"",""""), F$1&amp;""[\w &amp;]*, (\d+\.\d+)"")),"""")
"),450)</f>
        <v>450</v>
      </c>
      <c r="G16" s="3" t="n">
        <f aca="false">IFERROR(__xludf.dummyfunction("if($T16&lt;&gt;"""",VALUE(REGEXEXTRACT($T16, G$1&amp;""[\w &amp;]*, (\d+\.\d+)"")),"""")
"),442)</f>
        <v>442</v>
      </c>
      <c r="H16" s="3" t="n">
        <f aca="false">IFERROR(__xludf.dummyfunction("if($T16&lt;&gt;"""",VALUE(REGEXEXTRACT($T16, H$1&amp;""[\w &amp;]*, (\d+\.\d+)"")),"""")
"),442)</f>
        <v>442</v>
      </c>
      <c r="I16" s="3" t="n">
        <f aca="false">IFERROR(__xludf.dummyfunction("if($T16&lt;&gt;"""",VALUE(REGEXEXTRACT(SUBSTITUTE ($T16,I$1&amp;"" CE"",""""), I$1&amp;""[\w &amp;]*, (\d+\.\d+)"")),"""")
"),420)</f>
        <v>420</v>
      </c>
      <c r="J16" s="3" t="n">
        <f aca="false">IFERROR(__xludf.dummyfunction("if($T16&lt;&gt;"""",VALUE(REGEXEXTRACT($T16, J$1&amp;""[\w &amp;]*, (\d+\.\d+)"")),"""")
"),440)</f>
        <v>440</v>
      </c>
      <c r="K16" s="3" t="n">
        <f aca="false">IFERROR(__xludf.dummyfunction("if($T16&lt;&gt;"""",VALUE(REGEXEXTRACT($T16, K$1&amp;""[\w &amp;]*, (\d+\.\d+)"")),"""")
"),431)</f>
        <v>431</v>
      </c>
      <c r="L16" s="3" t="n">
        <f aca="false">IFERROR(__xludf.dummyfunction("if($T16&lt;&gt;"""",VALUE(REGEXEXTRACT(SUBSTITUTE ($T16,L$1&amp;"" CE"",""""), L$1&amp;""[\w &amp;]*, (\d+\.\d+)"")),"""")
"),437.5)</f>
        <v>437.5</v>
      </c>
      <c r="M16" s="3" t="n">
        <f aca="false">IFERROR(__xludf.dummyfunction("if($T16&lt;&gt;"""",VALUE(REGEXEXTRACT($T16, M$1&amp;""[\w &amp;]*, (\d+\.\d+)"")),"""")
"),440)</f>
        <v>440</v>
      </c>
      <c r="N16" s="3" t="n">
        <f aca="false">IFERROR(__xludf.dummyfunction("if($T16&lt;&gt;"""",VALUE(REGEXEXTRACT(SUBSTITUTE ($T16,N$1&amp;"" CE"",""""), N$1&amp;""[\w &amp;]*, (\d+\.\d+)"")),"""")
"),450)</f>
        <v>450</v>
      </c>
      <c r="O16" s="3" t="n">
        <f aca="false">IFERROR(__xludf.dummyfunction("if($T16&lt;&gt;"""",VALUE(REGEXEXTRACT($T16, O$1&amp;""[\w &amp;]*, (\d+\.\d+)"")),"""")
"),440)</f>
        <v>440</v>
      </c>
      <c r="P16" s="2" t="n">
        <f aca="false">IFERROR(__xludf.dummyfunction("if($T16&lt;&gt;"""",VALUE(REGEXEXTRACT($T16, P$1&amp;""[\w &amp;]*, (\d+\.\d+)"")),"""")
"),436.32)</f>
        <v>436.32</v>
      </c>
      <c r="Q16" s="2" t="n">
        <f aca="false">IFERROR(__xludf.dummyfunction("if($T16&lt;&gt;"""",VALUE(REGEXEXTRACT($T16, Q$1&amp;""[\w &amp;]*, (\d+\.\d+)"")),"""")
"),434.96)</f>
        <v>434.96</v>
      </c>
      <c r="R16" s="2" t="n">
        <f aca="false">IFERROR(__xludf.dummyfunction("if($T16&lt;&gt;"""",VALUE(REGEXEXTRACT($T16, SUBSTITUTE(R$1, ""+"", ""\+"")&amp;""[\w &amp;]*, (\d+\.\d+)"")),"""")"),442.88)</f>
        <v>442.88</v>
      </c>
      <c r="S16" s="2" t="n">
        <f aca="false">IFERROR(__xludf.dummyfunction("if($T16&lt;&gt;"""",VALUE(REGEXEXTRACT($T16, SUBSTITUTE(S$1, ""+"", ""\+"")&amp;""[\w &amp;]*, (\d+\.\d+)"")),"""")"),444.24)</f>
        <v>444.24</v>
      </c>
      <c r="T16" s="5" t="s">
        <v>433</v>
      </c>
    </row>
    <row r="17" customFormat="false" ht="15.75" hidden="false" customHeight="false" outlineLevel="0" collapsed="false">
      <c r="A17" s="4" t="n">
        <f aca="false">IFERROR(__xludf.dummyfunction("""COMPUTED_VALUE"""),45421.6666666667)</f>
        <v>45421.6666666667</v>
      </c>
      <c r="B17" s="2" t="n">
        <f aca="false">IFERROR(__xludf.dummyfunction("""COMPUTED_VALUE"""),440.33)</f>
        <v>440.33</v>
      </c>
      <c r="C17" s="2" t="n">
        <f aca="false">IFERROR(__xludf.dummyfunction("""COMPUTED_VALUE"""),441.6)</f>
        <v>441.6</v>
      </c>
      <c r="D17" s="2" t="n">
        <f aca="false">IFERROR(__xludf.dummyfunction("""COMPUTED_VALUE"""),438.46)</f>
        <v>438.46</v>
      </c>
      <c r="E17" s="2" t="n">
        <f aca="false">IFERROR(__xludf.dummyfunction("""COMPUTED_VALUE"""),441.02)</f>
        <v>441.02</v>
      </c>
      <c r="F17" s="3" t="n">
        <f aca="false">IFERROR(__xludf.dummyfunction("if($T17&lt;&gt;"""",VALUE(REGEXEXTRACT(SUBSTITUTE ($T17,F$1&amp;"" CE"",""""), F$1&amp;""[\w &amp;]*, (\d+\.\d+)"")),"""")
"),450)</f>
        <v>450</v>
      </c>
      <c r="G17" s="3" t="n">
        <f aca="false">IFERROR(__xludf.dummyfunction("if($T17&lt;&gt;"""",VALUE(REGEXEXTRACT($T17, G$1&amp;""[\w &amp;]*, (\d+\.\d+)"")),"""")
"),441)</f>
        <v>441</v>
      </c>
      <c r="H17" s="3" t="n">
        <f aca="false">IFERROR(__xludf.dummyfunction("if($T17&lt;&gt;"""",VALUE(REGEXEXTRACT($T17, H$1&amp;""[\w &amp;]*, (\d+\.\d+)"")),"""")
"),442)</f>
        <v>442</v>
      </c>
      <c r="I17" s="3" t="n">
        <f aca="false">IFERROR(__xludf.dummyfunction("if($T17&lt;&gt;"""",VALUE(REGEXEXTRACT(SUBSTITUTE ($T17,I$1&amp;"" CE"",""""), I$1&amp;""[\w &amp;]*, (\d+\.\d+)"")),"""")
"),420)</f>
        <v>420</v>
      </c>
      <c r="J17" s="3" t="n">
        <f aca="false">IFERROR(__xludf.dummyfunction("if($T17&lt;&gt;"""",VALUE(REGEXEXTRACT($T17, J$1&amp;""[\w &amp;]*, (\d+\.\d+)"")),"""")
"),438)</f>
        <v>438</v>
      </c>
      <c r="K17" s="3" t="n">
        <f aca="false">IFERROR(__xludf.dummyfunction("if($T17&lt;&gt;"""",VALUE(REGEXEXTRACT($T17, K$1&amp;""[\w &amp;]*, (\d+\.\d+)"")),"""")
"),431)</f>
        <v>431</v>
      </c>
      <c r="L17" s="3" t="n">
        <f aca="false">IFERROR(__xludf.dummyfunction("if($T17&lt;&gt;"""",VALUE(REGEXEXTRACT(SUBSTITUTE ($T17,L$1&amp;"" CE"",""""), L$1&amp;""[\w &amp;]*, (\d+\.\d+)"")),"""")
"),437.5)</f>
        <v>437.5</v>
      </c>
      <c r="M17" s="3" t="n">
        <f aca="false">IFERROR(__xludf.dummyfunction("if($T17&lt;&gt;"""",VALUE(REGEXEXTRACT($T17, M$1&amp;""[\w &amp;]*, (\d+\.\d+)"")),"""")
"),440)</f>
        <v>440</v>
      </c>
      <c r="N17" s="3" t="n">
        <f aca="false">IFERROR(__xludf.dummyfunction("if($T17&lt;&gt;"""",VALUE(REGEXEXTRACT(SUBSTITUTE ($T17,N$1&amp;"" CE"",""""), N$1&amp;""[\w &amp;]*, (\d+\.\d+)"")),"""")
"),450)</f>
        <v>450</v>
      </c>
      <c r="O17" s="3" t="n">
        <f aca="false">IFERROR(__xludf.dummyfunction("if($T17&lt;&gt;"""",VALUE(REGEXEXTRACT($T17, O$1&amp;""[\w &amp;]*, (\d+\.\d+)"")),"""")
"),440)</f>
        <v>440</v>
      </c>
      <c r="P17" s="2" t="n">
        <f aca="false">IFERROR(__xludf.dummyfunction("if($T17&lt;&gt;"""",VALUE(REGEXEXTRACT($T17, P$1&amp;""[\w &amp;]*, (\d+\.\d+)"")),"""")
"),436.13)</f>
        <v>436.13</v>
      </c>
      <c r="Q17" s="2" t="n">
        <f aca="false">IFERROR(__xludf.dummyfunction("if($T17&lt;&gt;"""",VALUE(REGEXEXTRACT($T17, Q$1&amp;""[\w &amp;]*, (\d+\.\d+)"")),"""")
"),434.77)</f>
        <v>434.77</v>
      </c>
      <c r="R17" s="2" t="n">
        <f aca="false">IFERROR(__xludf.dummyfunction("if($T17&lt;&gt;"""",VALUE(REGEXEXTRACT($T17, SUBSTITUTE(R$1, ""+"", ""\+"")&amp;""[\w &amp;]*, (\d+\.\d+)"")),"""")"),442.71)</f>
        <v>442.71</v>
      </c>
      <c r="S17" s="2" t="n">
        <f aca="false">IFERROR(__xludf.dummyfunction("if($T17&lt;&gt;"""",VALUE(REGEXEXTRACT($T17, SUBSTITUTE(S$1, ""+"", ""\+"")&amp;""[\w &amp;]*, (\d+\.\d+)"")),"""")"),444.07)</f>
        <v>444.07</v>
      </c>
      <c r="T17" s="5" t="s">
        <v>434</v>
      </c>
    </row>
    <row r="18" customFormat="false" ht="15.75" hidden="false" customHeight="false" outlineLevel="0" collapsed="false">
      <c r="A18" s="4" t="n">
        <f aca="false">IFERROR(__xludf.dummyfunction("""COMPUTED_VALUE"""),45422.6666666667)</f>
        <v>45422.6666666667</v>
      </c>
      <c r="B18" s="2" t="n">
        <f aca="false">IFERROR(__xludf.dummyfunction("""COMPUTED_VALUE"""),442.54)</f>
        <v>442.54</v>
      </c>
      <c r="C18" s="2" t="n">
        <f aca="false">IFERROR(__xludf.dummyfunction("""COMPUTED_VALUE"""),444.31)</f>
        <v>444.31</v>
      </c>
      <c r="D18" s="2" t="n">
        <f aca="false">IFERROR(__xludf.dummyfunction("""COMPUTED_VALUE"""),440.5)</f>
        <v>440.5</v>
      </c>
      <c r="E18" s="2" t="n">
        <f aca="false">IFERROR(__xludf.dummyfunction("""COMPUTED_VALUE"""),442.06)</f>
        <v>442.06</v>
      </c>
      <c r="F18" s="3" t="n">
        <f aca="false">IFERROR(__xludf.dummyfunction("if($T18&lt;&gt;"""",VALUE(REGEXEXTRACT(SUBSTITUTE ($T18,F$1&amp;"" CE"",""""), F$1&amp;""[\w &amp;]*, (\d+\.\d+)"")),"""")
"),475)</f>
        <v>475</v>
      </c>
      <c r="G18" s="3" t="n">
        <f aca="false">IFERROR(__xludf.dummyfunction("if($T18&lt;&gt;"""",VALUE(REGEXEXTRACT($T18, G$1&amp;""[\w &amp;]*, (\d+\.\d+)"")),"""")
"),442)</f>
        <v>442</v>
      </c>
      <c r="H18" s="3" t="n">
        <f aca="false">IFERROR(__xludf.dummyfunction("if($T18&lt;&gt;"""",VALUE(REGEXEXTRACT($T18, H$1&amp;""[\w &amp;]*, (\d+\.\d+)"")),"""")
"),435)</f>
        <v>435</v>
      </c>
      <c r="I18" s="3" t="n">
        <f aca="false">IFERROR(__xludf.dummyfunction("if($T18&lt;&gt;"""",VALUE(REGEXEXTRACT(SUBSTITUTE ($T18,I$1&amp;"" CE"",""""), I$1&amp;""[\w &amp;]*, (\d+\.\d+)"")),"""")
"),425)</f>
        <v>425</v>
      </c>
      <c r="J18" s="3" t="n">
        <f aca="false">IFERROR(__xludf.dummyfunction("if($T18&lt;&gt;"""",VALUE(REGEXEXTRACT($T18, J$1&amp;""[\w &amp;]*, (\d+\.\d+)"")),"""")
"),440)</f>
        <v>440</v>
      </c>
      <c r="K18" s="3" t="n">
        <f aca="false">IFERROR(__xludf.dummyfunction("if($T18&lt;&gt;"""",VALUE(REGEXEXTRACT($T18, K$1&amp;""[\w &amp;]*, (\d+\.\d+)"")),"""")
"),440)</f>
        <v>440</v>
      </c>
      <c r="L18" s="3" t="n">
        <f aca="false">IFERROR(__xludf.dummyfunction("if($T18&lt;&gt;"""",VALUE(REGEXEXTRACT(SUBSTITUTE ($T18,L$1&amp;"" CE"",""""), L$1&amp;""[\w &amp;]*, (\d+\.\d+)"")),"""")
"),437.5)</f>
        <v>437.5</v>
      </c>
      <c r="M18" s="3" t="n">
        <f aca="false">IFERROR(__xludf.dummyfunction("if($T18&lt;&gt;"""",VALUE(REGEXEXTRACT($T18, M$1&amp;""[\w &amp;]*, (\d+\.\d+)"")),"""")
"),441)</f>
        <v>441</v>
      </c>
      <c r="N18" s="3" t="n">
        <f aca="false">IFERROR(__xludf.dummyfunction("if($T18&lt;&gt;"""",VALUE(REGEXEXTRACT(SUBSTITUTE ($T18,N$1&amp;"" CE"",""""), N$1&amp;""[\w &amp;]*, (\d+\.\d+)"")),"""")
"),425)</f>
        <v>425</v>
      </c>
      <c r="O18" s="3" t="n">
        <f aca="false">IFERROR(__xludf.dummyfunction("if($T18&lt;&gt;"""",VALUE(REGEXEXTRACT($T18, O$1&amp;""[\w &amp;]*, (\d+\.\d+)"")),"""")
"),438)</f>
        <v>438</v>
      </c>
      <c r="P18" s="2" t="n">
        <f aca="false">IFERROR(__xludf.dummyfunction("if($T18&lt;&gt;"""",VALUE(REGEXEXTRACT($T18, P$1&amp;""[\w &amp;]*, (\d+\.\d+)"")),"""")
"),439.89)</f>
        <v>439.89</v>
      </c>
      <c r="Q18" s="2" t="n">
        <f aca="false">IFERROR(__xludf.dummyfunction("if($T18&lt;&gt;"""",VALUE(REGEXEXTRACT($T18, Q$1&amp;""[\w &amp;]*, (\d+\.\d+)"")),"""")
"),436.8)</f>
        <v>436.8</v>
      </c>
      <c r="R18" s="2" t="n">
        <f aca="false">IFERROR(__xludf.dummyfunction("if($T18&lt;&gt;"""",VALUE(REGEXEXTRACT($T18, SUBSTITUTE(R$1, ""+"", ""\+"")&amp;""[\w &amp;]*, (\d+\.\d+)"")),"""")"),446.11)</f>
        <v>446.11</v>
      </c>
      <c r="S18" s="2" t="n">
        <f aca="false">IFERROR(__xludf.dummyfunction("if($T18&lt;&gt;"""",VALUE(REGEXEXTRACT($T18, SUBSTITUTE(S$1, ""+"", ""\+"")&amp;""[\w &amp;]*, (\d+\.\d+)"")),"""")"),449.2)</f>
        <v>449.2</v>
      </c>
      <c r="T18" s="5" t="s">
        <v>435</v>
      </c>
    </row>
    <row r="19" customFormat="false" ht="15.75" hidden="false" customHeight="false" outlineLevel="0" collapsed="false">
      <c r="A19" s="4" t="n">
        <f aca="false">IFERROR(__xludf.dummyfunction("""COMPUTED_VALUE"""),45425.6666666667)</f>
        <v>45425.6666666667</v>
      </c>
      <c r="B19" s="2" t="n">
        <f aca="false">IFERROR(__xludf.dummyfunction("""COMPUTED_VALUE"""),443.99)</f>
        <v>443.99</v>
      </c>
      <c r="C19" s="2" t="n">
        <f aca="false">IFERROR(__xludf.dummyfunction("""COMPUTED_VALUE"""),444.09)</f>
        <v>444.09</v>
      </c>
      <c r="D19" s="2" t="n">
        <f aca="false">IFERROR(__xludf.dummyfunction("""COMPUTED_VALUE"""),441.65)</f>
        <v>441.65</v>
      </c>
      <c r="E19" s="2" t="n">
        <f aca="false">IFERROR(__xludf.dummyfunction("""COMPUTED_VALUE"""),443.08)</f>
        <v>443.08</v>
      </c>
      <c r="F19" s="3" t="n">
        <f aca="false">IFERROR(__xludf.dummyfunction("if($T19&lt;&gt;"""",VALUE(REGEXEXTRACT(SUBSTITUTE ($T19,F$1&amp;"" CE"",""""), F$1&amp;""[\w &amp;]*, (\d+\.\d+)"")),"""")
"),475)</f>
        <v>475</v>
      </c>
      <c r="G19" s="3" t="n">
        <f aca="false">IFERROR(__xludf.dummyfunction("if($T19&lt;&gt;"""",VALUE(REGEXEXTRACT($T19, G$1&amp;""[\w &amp;]*, (\d+\.\d+)"")),"""")
"),443)</f>
        <v>443</v>
      </c>
      <c r="H19" s="3" t="n">
        <f aca="false">IFERROR(__xludf.dummyfunction("if($T19&lt;&gt;"""",VALUE(REGEXEXTRACT($T19, H$1&amp;""[\w &amp;]*, (\d+\.\d+)"")),"""")
"),435)</f>
        <v>435</v>
      </c>
      <c r="I19" s="3" t="n">
        <f aca="false">IFERROR(__xludf.dummyfunction("if($T19&lt;&gt;"""",VALUE(REGEXEXTRACT(SUBSTITUTE ($T19,I$1&amp;"" CE"",""""), I$1&amp;""[\w &amp;]*, (\d+\.\d+)"")),"""")
"),425)</f>
        <v>425</v>
      </c>
      <c r="J19" s="3" t="n">
        <f aca="false">IFERROR(__xludf.dummyfunction("if($T19&lt;&gt;"""",VALUE(REGEXEXTRACT($T19, J$1&amp;""[\w &amp;]*, (\d+\.\d+)"")),"""")
"),441)</f>
        <v>441</v>
      </c>
      <c r="K19" s="3" t="n">
        <f aca="false">IFERROR(__xludf.dummyfunction("if($T19&lt;&gt;"""",VALUE(REGEXEXTRACT($T19, K$1&amp;""[\w &amp;]*, (\d+\.\d+)"")),"""")
"),440)</f>
        <v>440</v>
      </c>
      <c r="L19" s="3" t="n">
        <f aca="false">IFERROR(__xludf.dummyfunction("if($T19&lt;&gt;"""",VALUE(REGEXEXTRACT(SUBSTITUTE ($T19,L$1&amp;"" CE"",""""), L$1&amp;""[\w &amp;]*, (\d+\.\d+)"")),"""")
"),442)</f>
        <v>442</v>
      </c>
      <c r="M19" s="3" t="n">
        <f aca="false">IFERROR(__xludf.dummyfunction("if($T19&lt;&gt;"""",VALUE(REGEXEXTRACT($T19, M$1&amp;""[\w &amp;]*, (\d+\.\d+)"")),"""")
"),441)</f>
        <v>441</v>
      </c>
      <c r="N19" s="3" t="n">
        <f aca="false">IFERROR(__xludf.dummyfunction("if($T19&lt;&gt;"""",VALUE(REGEXEXTRACT(SUBSTITUTE ($T19,N$1&amp;"" CE"",""""), N$1&amp;""[\w &amp;]*, (\d+\.\d+)"")),"""")
"),425)</f>
        <v>425</v>
      </c>
      <c r="O19" s="3" t="n">
        <f aca="false">IFERROR(__xludf.dummyfunction("if($T19&lt;&gt;"""",VALUE(REGEXEXTRACT($T19, O$1&amp;""[\w &amp;]*, (\d+\.\d+)"")),"""")
"),442)</f>
        <v>442</v>
      </c>
      <c r="P19" s="2" t="n">
        <f aca="false">IFERROR(__xludf.dummyfunction("if($T19&lt;&gt;"""",VALUE(REGEXEXTRACT($T19, P$1&amp;""[\w &amp;]*, (\d+\.\d+)"")),"""")
"),439.92)</f>
        <v>439.92</v>
      </c>
      <c r="Q19" s="2" t="n">
        <f aca="false">IFERROR(__xludf.dummyfunction("if($T19&lt;&gt;"""",VALUE(REGEXEXTRACT($T19, Q$1&amp;""[\w &amp;]*, (\d+\.\d+)"")),"""")
"),438.56)</f>
        <v>438.56</v>
      </c>
      <c r="R19" s="2" t="n">
        <f aca="false">IFERROR(__xludf.dummyfunction("if($T19&lt;&gt;"""",VALUE(REGEXEXTRACT($T19, SUBSTITUTE(R$1, ""+"", ""\+"")&amp;""[\w &amp;]*, (\d+\.\d+)"")),"""")"),446.48)</f>
        <v>446.48</v>
      </c>
      <c r="S19" s="2" t="n">
        <f aca="false">IFERROR(__xludf.dummyfunction("if($T19&lt;&gt;"""",VALUE(REGEXEXTRACT($T19, SUBSTITUTE(S$1, ""+"", ""\+"")&amp;""[\w &amp;]*, (\d+\.\d+)"")),"""")"),447.84)</f>
        <v>447.84</v>
      </c>
      <c r="T19" s="5" t="s">
        <v>436</v>
      </c>
    </row>
    <row r="20" customFormat="false" ht="15.75" hidden="false" customHeight="false" outlineLevel="0" collapsed="false">
      <c r="A20" s="4" t="n">
        <f aca="false">IFERROR(__xludf.dummyfunction("""COMPUTED_VALUE"""),45426.6666666667)</f>
        <v>45426.6666666667</v>
      </c>
      <c r="B20" s="2" t="n">
        <f aca="false">IFERROR(__xludf.dummyfunction("""COMPUTED_VALUE"""),442.65)</f>
        <v>442.65</v>
      </c>
      <c r="C20" s="2" t="n">
        <f aca="false">IFERROR(__xludf.dummyfunction("""COMPUTED_VALUE"""),446.47)</f>
        <v>446.47</v>
      </c>
      <c r="D20" s="2" t="n">
        <f aca="false">IFERROR(__xludf.dummyfunction("""COMPUTED_VALUE"""),442.46)</f>
        <v>442.46</v>
      </c>
      <c r="E20" s="2" t="n">
        <f aca="false">IFERROR(__xludf.dummyfunction("""COMPUTED_VALUE"""),445.93)</f>
        <v>445.93</v>
      </c>
      <c r="F20" s="3" t="n">
        <f aca="false">IFERROR(__xludf.dummyfunction("if($T20&lt;&gt;"""",VALUE(REGEXEXTRACT(SUBSTITUTE ($T20,F$1&amp;"" CE"",""""), F$1&amp;""[\w &amp;]*, (\d+\.\d+)"")),"""")
"),475)</f>
        <v>475</v>
      </c>
      <c r="G20" s="3" t="n">
        <f aca="false">IFERROR(__xludf.dummyfunction("if($T20&lt;&gt;"""",VALUE(REGEXEXTRACT($T20, G$1&amp;""[\w &amp;]*, (\d+\.\d+)"")),"""")
"),445)</f>
        <v>445</v>
      </c>
      <c r="H20" s="3" t="n">
        <f aca="false">IFERROR(__xludf.dummyfunction("if($T20&lt;&gt;"""",VALUE(REGEXEXTRACT($T20, H$1&amp;""[\w &amp;]*, (\d+\.\d+)"")),"""")
"),435)</f>
        <v>435</v>
      </c>
      <c r="I20" s="3" t="n">
        <f aca="false">IFERROR(__xludf.dummyfunction("if($T20&lt;&gt;"""",VALUE(REGEXEXTRACT(SUBSTITUTE ($T20,I$1&amp;"" CE"",""""), I$1&amp;""[\w &amp;]*, (\d+\.\d+)"")),"""")
"),425)</f>
        <v>425</v>
      </c>
      <c r="J20" s="3" t="n">
        <f aca="false">IFERROR(__xludf.dummyfunction("if($T20&lt;&gt;"""",VALUE(REGEXEXTRACT($T20, J$1&amp;""[\w &amp;]*, (\d+\.\d+)"")),"""")
"),442)</f>
        <v>442</v>
      </c>
      <c r="K20" s="3" t="n">
        <f aca="false">IFERROR(__xludf.dummyfunction("if($T20&lt;&gt;"""",VALUE(REGEXEXTRACT($T20, K$1&amp;""[\w &amp;]*, (\d+\.\d+)"")),"""")
"),440)</f>
        <v>440</v>
      </c>
      <c r="L20" s="3" t="n">
        <f aca="false">IFERROR(__xludf.dummyfunction("if($T20&lt;&gt;"""",VALUE(REGEXEXTRACT(SUBSTITUTE ($T20,L$1&amp;"" CE"",""""), L$1&amp;""[\w &amp;]*, (\d+\.\d+)"")),"""")
"),442)</f>
        <v>442</v>
      </c>
      <c r="M20" s="3" t="n">
        <f aca="false">IFERROR(__xludf.dummyfunction("if($T20&lt;&gt;"""",VALUE(REGEXEXTRACT($T20, M$1&amp;""[\w &amp;]*, (\d+\.\d+)"")),"""")
"),443)</f>
        <v>443</v>
      </c>
      <c r="N20" s="3" t="n">
        <f aca="false">IFERROR(__xludf.dummyfunction("if($T20&lt;&gt;"""",VALUE(REGEXEXTRACT(SUBSTITUTE ($T20,N$1&amp;"" CE"",""""), N$1&amp;""[\w &amp;]*, (\d+\.\d+)"")),"""")
"),425)</f>
        <v>425</v>
      </c>
      <c r="O20" s="3" t="n">
        <f aca="false">IFERROR(__xludf.dummyfunction("if($T20&lt;&gt;"""",VALUE(REGEXEXTRACT($T20, O$1&amp;""[\w &amp;]*, (\d+\.\d+)"")),"""")
"),443)</f>
        <v>443</v>
      </c>
      <c r="P20" s="2" t="n">
        <f aca="false">IFERROR(__xludf.dummyfunction("if($T20&lt;&gt;"""",VALUE(REGEXEXTRACT($T20, P$1&amp;""[\w &amp;]*, (\d+\.\d+)"")),"""")
"),439.35)</f>
        <v>439.35</v>
      </c>
      <c r="Q20" s="2" t="n">
        <f aca="false">IFERROR(__xludf.dummyfunction("if($T20&lt;&gt;"""",VALUE(REGEXEXTRACT($T20, Q$1&amp;""[\w &amp;]*, (\d+\.\d+)"")),"""")
"),437.77)</f>
        <v>437.77</v>
      </c>
      <c r="R20" s="2" t="n">
        <f aca="false">IFERROR(__xludf.dummyfunction("if($T20&lt;&gt;"""",VALUE(REGEXEXTRACT($T20, SUBSTITUTE(R$1, ""+"", ""\+"")&amp;""[\w &amp;]*, (\d+\.\d+)"")),"""")"),446.93)</f>
        <v>446.93</v>
      </c>
      <c r="S20" s="2" t="n">
        <f aca="false">IFERROR(__xludf.dummyfunction("if($T20&lt;&gt;"""",VALUE(REGEXEXTRACT($T20, SUBSTITUTE(S$1, ""+"", ""\+"")&amp;""[\w &amp;]*, (\d+\.\d+)"")),"""")"),448.51)</f>
        <v>448.51</v>
      </c>
      <c r="T20" s="5" t="s">
        <v>437</v>
      </c>
    </row>
    <row r="21" customFormat="false" ht="15.75" hidden="false" customHeight="false" outlineLevel="0" collapsed="false">
      <c r="A21" s="4" t="n">
        <f aca="false">IFERROR(__xludf.dummyfunction("""COMPUTED_VALUE"""),45427.6666666667)</f>
        <v>45427.6666666667</v>
      </c>
      <c r="B21" s="2" t="n">
        <f aca="false">IFERROR(__xludf.dummyfunction("""COMPUTED_VALUE"""),448.43)</f>
        <v>448.43</v>
      </c>
      <c r="C21" s="2" t="n">
        <f aca="false">IFERROR(__xludf.dummyfunction("""COMPUTED_VALUE"""),453.15)</f>
        <v>453.15</v>
      </c>
      <c r="D21" s="2" t="n">
        <f aca="false">IFERROR(__xludf.dummyfunction("""COMPUTED_VALUE"""),446.9)</f>
        <v>446.9</v>
      </c>
      <c r="E21" s="2" t="n">
        <f aca="false">IFERROR(__xludf.dummyfunction("""COMPUTED_VALUE"""),452.9)</f>
        <v>452.9</v>
      </c>
      <c r="F21" s="3" t="n">
        <f aca="false">IFERROR(__xludf.dummyfunction("if($T21&lt;&gt;"""",VALUE(REGEXEXTRACT(SUBSTITUTE ($T21,F$1&amp;"" CE"",""""), F$1&amp;""[\w &amp;]*, (\d+\.\d+)"")),"""")
"),475)</f>
        <v>475</v>
      </c>
      <c r="G21" s="3" t="n">
        <f aca="false">IFERROR(__xludf.dummyfunction("if($T21&lt;&gt;"""",VALUE(REGEXEXTRACT($T21, G$1&amp;""[\w &amp;]*, (\d+\.\d+)"")),"""")
"),450)</f>
        <v>450</v>
      </c>
      <c r="H21" s="3" t="n">
        <f aca="false">IFERROR(__xludf.dummyfunction("if($T21&lt;&gt;"""",VALUE(REGEXEXTRACT($T21, H$1&amp;""[\w &amp;]*, (\d+\.\d+)"")),"""")
"),435)</f>
        <v>435</v>
      </c>
      <c r="I21" s="3" t="n">
        <f aca="false">IFERROR(__xludf.dummyfunction("if($T21&lt;&gt;"""",VALUE(REGEXEXTRACT(SUBSTITUTE ($T21,I$1&amp;"" CE"",""""), I$1&amp;""[\w &amp;]*, (\d+\.\d+)"")),"""")
"),425)</f>
        <v>425</v>
      </c>
      <c r="J21" s="3" t="n">
        <f aca="false">IFERROR(__xludf.dummyfunction("if($T21&lt;&gt;"""",VALUE(REGEXEXTRACT($T21, J$1&amp;""[\w &amp;]*, (\d+\.\d+)"")),"""")
"),443)</f>
        <v>443</v>
      </c>
      <c r="K21" s="3" t="n">
        <f aca="false">IFERROR(__xludf.dummyfunction("if($T21&lt;&gt;"""",VALUE(REGEXEXTRACT($T21, K$1&amp;""[\w &amp;]*, (\d+\.\d+)"")),"""")
"),440)</f>
        <v>440</v>
      </c>
      <c r="L21" s="3" t="n">
        <f aca="false">IFERROR(__xludf.dummyfunction("if($T21&lt;&gt;"""",VALUE(REGEXEXTRACT(SUBSTITUTE ($T21,L$1&amp;"" CE"",""""), L$1&amp;""[\w &amp;]*, (\d+\.\d+)"")),"""")
"),442)</f>
        <v>442</v>
      </c>
      <c r="M21" s="3" t="n">
        <f aca="false">IFERROR(__xludf.dummyfunction("if($T21&lt;&gt;"""",VALUE(REGEXEXTRACT($T21, M$1&amp;""[\w &amp;]*, (\d+\.\d+)"")),"""")
"),444)</f>
        <v>444</v>
      </c>
      <c r="N21" s="3" t="n">
        <f aca="false">IFERROR(__xludf.dummyfunction("if($T21&lt;&gt;"""",VALUE(REGEXEXTRACT(SUBSTITUTE ($T21,N$1&amp;"" CE"",""""), N$1&amp;""[\w &amp;]*, (\d+\.\d+)"")),"""")
"),425)</f>
        <v>425</v>
      </c>
      <c r="O21" s="3" t="n">
        <f aca="false">IFERROR(__xludf.dummyfunction("if($T21&lt;&gt;"""",VALUE(REGEXEXTRACT($T21, O$1&amp;""[\w &amp;]*, (\d+\.\d+)"")),"""")
"),450)</f>
        <v>450</v>
      </c>
      <c r="P21" s="2" t="n">
        <f aca="false">IFERROR(__xludf.dummyfunction("if($T21&lt;&gt;"""",VALUE(REGEXEXTRACT($T21, P$1&amp;""[\w &amp;]*, (\d+\.\d+)"")),"""")
"),442.11)</f>
        <v>442.11</v>
      </c>
      <c r="Q21" s="2" t="n">
        <f aca="false">IFERROR(__xludf.dummyfunction("if($T21&lt;&gt;"""",VALUE(REGEXEXTRACT($T21, Q$1&amp;""[\w &amp;]*, (\d+\.\d+)"")),"""")
"),440.52)</f>
        <v>440.52</v>
      </c>
      <c r="R21" s="2" t="n">
        <f aca="false">IFERROR(__xludf.dummyfunction("if($T21&lt;&gt;"""",VALUE(REGEXEXTRACT($T21, SUBSTITUTE(R$1, ""+"", ""\+"")&amp;""[\w &amp;]*, (\d+\.\d+)"")),"""")"),449.81)</f>
        <v>449.81</v>
      </c>
      <c r="S21" s="2" t="n">
        <f aca="false">IFERROR(__xludf.dummyfunction("if($T21&lt;&gt;"""",VALUE(REGEXEXTRACT($T21, SUBSTITUTE(S$1, ""+"", ""\+"")&amp;""[\w &amp;]*, (\d+\.\d+)"")),"""")"),451.4)</f>
        <v>451.4</v>
      </c>
      <c r="T21" s="5" t="s">
        <v>438</v>
      </c>
    </row>
    <row r="22" customFormat="false" ht="15.75" hidden="false" customHeight="false" outlineLevel="0" collapsed="false">
      <c r="A22" s="4" t="n">
        <f aca="false">IFERROR(__xludf.dummyfunction("""COMPUTED_VALUE"""),45428.6666666667)</f>
        <v>45428.6666666667</v>
      </c>
      <c r="B22" s="2" t="n">
        <f aca="false">IFERROR(__xludf.dummyfunction("""COMPUTED_VALUE"""),452.71)</f>
        <v>452.71</v>
      </c>
      <c r="C22" s="2" t="n">
        <f aca="false">IFERROR(__xludf.dummyfunction("""COMPUTED_VALUE"""),454.69)</f>
        <v>454.69</v>
      </c>
      <c r="D22" s="2" t="n">
        <f aca="false">IFERROR(__xludf.dummyfunction("""COMPUTED_VALUE"""),451.81)</f>
        <v>451.81</v>
      </c>
      <c r="E22" s="2" t="n">
        <f aca="false">IFERROR(__xludf.dummyfunction("""COMPUTED_VALUE"""),451.98)</f>
        <v>451.98</v>
      </c>
      <c r="F22" s="3" t="n">
        <f aca="false">IFERROR(__xludf.dummyfunction("if($T22&lt;&gt;"""",VALUE(REGEXEXTRACT(SUBSTITUTE ($T22,F$1&amp;"" CE"",""""), F$1&amp;""[\w &amp;]*, (\d+\.\d+)"")),"""")
"),475)</f>
        <v>475</v>
      </c>
      <c r="G22" s="3" t="n">
        <f aca="false">IFERROR(__xludf.dummyfunction("if($T22&lt;&gt;"""",VALUE(REGEXEXTRACT($T22, G$1&amp;""[\w &amp;]*, (\d+\.\d+)"")),"""")
"),456)</f>
        <v>456</v>
      </c>
      <c r="H22" s="3" t="n">
        <f aca="false">IFERROR(__xludf.dummyfunction("if($T22&lt;&gt;"""",VALUE(REGEXEXTRACT($T22, H$1&amp;""[\w &amp;]*, (\d+\.\d+)"")),"""")
"),435)</f>
        <v>435</v>
      </c>
      <c r="I22" s="3" t="n">
        <f aca="false">IFERROR(__xludf.dummyfunction("if($T22&lt;&gt;"""",VALUE(REGEXEXTRACT(SUBSTITUTE ($T22,I$1&amp;"" CE"",""""), I$1&amp;""[\w &amp;]*, (\d+\.\d+)"")),"""")
"),425)</f>
        <v>425</v>
      </c>
      <c r="J22" s="3" t="n">
        <f aca="false">IFERROR(__xludf.dummyfunction("if($T22&lt;&gt;"""",VALUE(REGEXEXTRACT($T22, J$1&amp;""[\w &amp;]*, (\d+\.\d+)"")),"""")
"),448)</f>
        <v>448</v>
      </c>
      <c r="K22" s="3" t="n">
        <f aca="false">IFERROR(__xludf.dummyfunction("if($T22&lt;&gt;"""",VALUE(REGEXEXTRACT($T22, K$1&amp;""[\w &amp;]*, (\d+\.\d+)"")),"""")
"),440)</f>
        <v>440</v>
      </c>
      <c r="L22" s="3" t="n">
        <f aca="false">IFERROR(__xludf.dummyfunction("if($T22&lt;&gt;"""",VALUE(REGEXEXTRACT(SUBSTITUTE ($T22,L$1&amp;"" CE"",""""), L$1&amp;""[\w &amp;]*, (\d+\.\d+)"")),"""")
"),449)</f>
        <v>449</v>
      </c>
      <c r="M22" s="3" t="n">
        <f aca="false">IFERROR(__xludf.dummyfunction("if($T22&lt;&gt;"""",VALUE(REGEXEXTRACT($T22, M$1&amp;""[\w &amp;]*, (\d+\.\d+)"")),"""")
"),451)</f>
        <v>451</v>
      </c>
      <c r="N22" s="3" t="n">
        <f aca="false">IFERROR(__xludf.dummyfunction("if($T22&lt;&gt;"""",VALUE(REGEXEXTRACT(SUBSTITUTE ($T22,N$1&amp;"" CE"",""""), N$1&amp;""[\w &amp;]*, (\d+\.\d+)"")),"""")
"),475)</f>
        <v>475</v>
      </c>
      <c r="O22" s="3" t="n">
        <f aca="false">IFERROR(__xludf.dummyfunction("if($T22&lt;&gt;"""",VALUE(REGEXEXTRACT($T22, O$1&amp;""[\w &amp;]*, (\d+\.\d+)"")),"""")
"),452)</f>
        <v>452</v>
      </c>
      <c r="P22" s="2" t="n">
        <f aca="false">IFERROR(__xludf.dummyfunction("if($T22&lt;&gt;"""",VALUE(REGEXEXTRACT($T22, P$1&amp;""[\w &amp;]*, (\d+\.\d+)"")),"""")
"),450.65)</f>
        <v>450.65</v>
      </c>
      <c r="Q22" s="2" t="n">
        <f aca="false">IFERROR(__xludf.dummyfunction("if($T22&lt;&gt;"""",VALUE(REGEXEXTRACT($T22, Q$1&amp;""[\w &amp;]*, (\d+\.\d+)"")),"""")
"),449.35)</f>
        <v>449.35</v>
      </c>
      <c r="R22" s="2" t="n">
        <f aca="false">IFERROR(__xludf.dummyfunction("if($T22&lt;&gt;"""",VALUE(REGEXEXTRACT($T22, SUBSTITUTE(R$1, ""+"", ""\+"")&amp;""[\w &amp;]*, (\d+\.\d+)"")),"""")"),456.85)</f>
        <v>456.85</v>
      </c>
      <c r="S22" s="2" t="n">
        <f aca="false">IFERROR(__xludf.dummyfunction("if($T22&lt;&gt;"""",VALUE(REGEXEXTRACT($T22, SUBSTITUTE(S$1, ""+"", ""\+"")&amp;""[\w &amp;]*, (\d+\.\d+)"")),"""")"),458.15)</f>
        <v>458.15</v>
      </c>
      <c r="T22" s="5" t="s">
        <v>439</v>
      </c>
    </row>
    <row r="23" customFormat="false" ht="15.75" hidden="false" customHeight="false" outlineLevel="0" collapsed="false">
      <c r="A23" s="4" t="n">
        <f aca="false">IFERROR(__xludf.dummyfunction("""COMPUTED_VALUE"""),45429.6666666667)</f>
        <v>45429.6666666667</v>
      </c>
      <c r="B23" s="2" t="n">
        <f aca="false">IFERROR(__xludf.dummyfunction("""COMPUTED_VALUE"""),452.11)</f>
        <v>452.11</v>
      </c>
      <c r="C23" s="2" t="n">
        <f aca="false">IFERROR(__xludf.dummyfunction("""COMPUTED_VALUE"""),452.72)</f>
        <v>452.72</v>
      </c>
      <c r="D23" s="2" t="n">
        <f aca="false">IFERROR(__xludf.dummyfunction("""COMPUTED_VALUE"""),449.54)</f>
        <v>449.54</v>
      </c>
      <c r="E23" s="2" t="n">
        <f aca="false">IFERROR(__xludf.dummyfunction("""COMPUTED_VALUE"""),451.76)</f>
        <v>451.76</v>
      </c>
      <c r="F23" s="3" t="n">
        <f aca="false">IFERROR(__xludf.dummyfunction("if($T23&lt;&gt;"""",VALUE(REGEXEXTRACT(SUBSTITUTE ($T23,F$1&amp;"" CE"",""""), F$1&amp;""[\w &amp;]*, (\d+\.\d+)"")),"""")
"),475)</f>
        <v>475</v>
      </c>
      <c r="G23" s="3" t="n">
        <f aca="false">IFERROR(__xludf.dummyfunction("if($T23&lt;&gt;"""",VALUE(REGEXEXTRACT($T23, G$1&amp;""[\w &amp;]*, (\d+\.\d+)"")),"""")
"),450)</f>
        <v>450</v>
      </c>
      <c r="H23" s="3" t="n">
        <f aca="false">IFERROR(__xludf.dummyfunction("if($T23&lt;&gt;"""",VALUE(REGEXEXTRACT($T23, H$1&amp;""[\w &amp;]*, (\d+\.\d+)"")),"""")
"),435)</f>
        <v>435</v>
      </c>
      <c r="I23" s="3" t="n">
        <f aca="false">IFERROR(__xludf.dummyfunction("if($T23&lt;&gt;"""",VALUE(REGEXEXTRACT(SUBSTITUTE ($T23,I$1&amp;"" CE"",""""), I$1&amp;""[\w &amp;]*, (\d+\.\d+)"")),"""")
"),425)</f>
        <v>425</v>
      </c>
      <c r="J23" s="3" t="n">
        <f aca="false">IFERROR(__xludf.dummyfunction("if($T23&lt;&gt;"""",VALUE(REGEXEXTRACT($T23, J$1&amp;""[\w &amp;]*, (\d+\.\d+)"")),"""")
"),451)</f>
        <v>451</v>
      </c>
      <c r="K23" s="3" t="n">
        <f aca="false">IFERROR(__xludf.dummyfunction("if($T23&lt;&gt;"""",VALUE(REGEXEXTRACT($T23, K$1&amp;""[\w &amp;]*, (\d+\.\d+)"")),"""")
"),440)</f>
        <v>440</v>
      </c>
      <c r="L23" s="3" t="n">
        <f aca="false">IFERROR(__xludf.dummyfunction("if($T23&lt;&gt;"""",VALUE(REGEXEXTRACT(SUBSTITUTE ($T23,L$1&amp;"" CE"",""""), L$1&amp;""[\w &amp;]*, (\d+\.\d+)"")),"""")
"),449)</f>
        <v>449</v>
      </c>
      <c r="M23" s="3" t="n">
        <f aca="false">IFERROR(__xludf.dummyfunction("if($T23&lt;&gt;"""",VALUE(REGEXEXTRACT($T23, M$1&amp;""[\w &amp;]*, (\d+\.\d+)"")),"""")
"),449)</f>
        <v>449</v>
      </c>
      <c r="N23" s="3" t="n">
        <f aca="false">IFERROR(__xludf.dummyfunction("if($T23&lt;&gt;"""",VALUE(REGEXEXTRACT(SUBSTITUTE ($T23,N$1&amp;"" CE"",""""), N$1&amp;""[\w &amp;]*, (\d+\.\d+)"")),"""")
"),475)</f>
        <v>475</v>
      </c>
      <c r="O23" s="3" t="n">
        <f aca="false">IFERROR(__xludf.dummyfunction("if($T23&lt;&gt;"""",VALUE(REGEXEXTRACT($T23, O$1&amp;""[\w &amp;]*, (\d+\.\d+)"")),"""")
"),450)</f>
        <v>450</v>
      </c>
      <c r="P23" s="2" t="n">
        <f aca="false">IFERROR(__xludf.dummyfunction("if($T23&lt;&gt;"""",VALUE(REGEXEXTRACT($T23, P$1&amp;""[\w &amp;]*, (\d+\.\d+)"")),"""")
"),449.09)</f>
        <v>449.09</v>
      </c>
      <c r="Q23" s="2" t="n">
        <f aca="false">IFERROR(__xludf.dummyfunction("if($T23&lt;&gt;"""",VALUE(REGEXEXTRACT($T23, Q$1&amp;""[\w &amp;]*, (\d+\.\d+)"")),"""")
"),445.81)</f>
        <v>445.81</v>
      </c>
      <c r="R23" s="2" t="n">
        <f aca="false">IFERROR(__xludf.dummyfunction("if($T23&lt;&gt;"""",VALUE(REGEXEXTRACT($T23, SUBSTITUTE(R$1, ""+"", ""\+"")&amp;""[\w &amp;]*, (\d+\.\d+)"")),"""")"),455.65)</f>
        <v>455.65</v>
      </c>
      <c r="S23" s="2" t="n">
        <f aca="false">IFERROR(__xludf.dummyfunction("if($T23&lt;&gt;"""",VALUE(REGEXEXTRACT($T23, SUBSTITUTE(S$1, ""+"", ""\+"")&amp;""[\w &amp;]*, (\d+\.\d+)"")),"""")"),458.93)</f>
        <v>458.93</v>
      </c>
      <c r="T23" s="5" t="s">
        <v>440</v>
      </c>
    </row>
    <row r="24" customFormat="false" ht="15.75" hidden="false" customHeight="false" outlineLevel="0" collapsed="false">
      <c r="A24" s="4" t="n">
        <f aca="false">IFERROR(__xludf.dummyfunction("""COMPUTED_VALUE"""),45432.6666666667)</f>
        <v>45432.6666666667</v>
      </c>
      <c r="B24" s="2" t="n">
        <f aca="false">IFERROR(__xludf.dummyfunction("""COMPUTED_VALUE"""),451.98)</f>
        <v>451.98</v>
      </c>
      <c r="C24" s="2" t="n">
        <f aca="false">IFERROR(__xludf.dummyfunction("""COMPUTED_VALUE"""),455.58)</f>
        <v>455.58</v>
      </c>
      <c r="D24" s="2" t="n">
        <f aca="false">IFERROR(__xludf.dummyfunction("""COMPUTED_VALUE"""),451.79)</f>
        <v>451.79</v>
      </c>
      <c r="E24" s="2" t="n">
        <f aca="false">IFERROR(__xludf.dummyfunction("""COMPUTED_VALUE"""),454.91)</f>
        <v>454.91</v>
      </c>
      <c r="F24" s="3" t="n">
        <f aca="false">IFERROR(__xludf.dummyfunction("if($T24&lt;&gt;"""",VALUE(REGEXEXTRACT(SUBSTITUTE ($T24,F$1&amp;"" CE"",""""), F$1&amp;""[\w &amp;]*, (\d+\.\d+)"")),"""")
"),475)</f>
        <v>475</v>
      </c>
      <c r="G24" s="3" t="n">
        <f aca="false">IFERROR(__xludf.dummyfunction("if($T24&lt;&gt;"""",VALUE(REGEXEXTRACT($T24, G$1&amp;""[\w &amp;]*, (\d+\.\d+)"")),"""")
"),453)</f>
        <v>453</v>
      </c>
      <c r="H24" s="3" t="n">
        <f aca="false">IFERROR(__xludf.dummyfunction("if($T24&lt;&gt;"""",VALUE(REGEXEXTRACT($T24, H$1&amp;""[\w &amp;]*, (\d+\.\d+)"")),"""")
"),435)</f>
        <v>435</v>
      </c>
      <c r="I24" s="3" t="n">
        <f aca="false">IFERROR(__xludf.dummyfunction("if($T24&lt;&gt;"""",VALUE(REGEXEXTRACT(SUBSTITUTE ($T24,I$1&amp;"" CE"",""""), I$1&amp;""[\w &amp;]*, (\d+\.\d+)"")),"""")
"),425)</f>
        <v>425</v>
      </c>
      <c r="J24" s="3" t="n">
        <f aca="false">IFERROR(__xludf.dummyfunction("if($T24&lt;&gt;"""",VALUE(REGEXEXTRACT($T24, J$1&amp;""[\w &amp;]*, (\d+\.\d+)"")),"""")
"),450)</f>
        <v>450</v>
      </c>
      <c r="K24" s="3" t="n">
        <f aca="false">IFERROR(__xludf.dummyfunction("if($T24&lt;&gt;"""",VALUE(REGEXEXTRACT($T24, K$1&amp;""[\w &amp;]*, (\d+\.\d+)"")),"""")
"),440)</f>
        <v>440</v>
      </c>
      <c r="L24" s="3" t="n">
        <f aca="false">IFERROR(__xludf.dummyfunction("if($T24&lt;&gt;"""",VALUE(REGEXEXTRACT(SUBSTITUTE ($T24,L$1&amp;"" CE"",""""), L$1&amp;""[\w &amp;]*, (\d+\.\d+)"")),"""")
"),451)</f>
        <v>451</v>
      </c>
      <c r="M24" s="3" t="n">
        <f aca="false">IFERROR(__xludf.dummyfunction("if($T24&lt;&gt;"""",VALUE(REGEXEXTRACT($T24, M$1&amp;""[\w &amp;]*, (\d+\.\d+)"")),"""")
"),451)</f>
        <v>451</v>
      </c>
      <c r="N24" s="3" t="n">
        <f aca="false">IFERROR(__xludf.dummyfunction("if($T24&lt;&gt;"""",VALUE(REGEXEXTRACT(SUBSTITUTE ($T24,N$1&amp;"" CE"",""""), N$1&amp;""[\w &amp;]*, (\d+\.\d+)"")),"""")
"),425)</f>
        <v>425</v>
      </c>
      <c r="O24" s="3" t="n">
        <f aca="false">IFERROR(__xludf.dummyfunction("if($T24&lt;&gt;"""",VALUE(REGEXEXTRACT($T24, O$1&amp;""[\w &amp;]*, (\d+\.\d+)"")),"""")
"),450)</f>
        <v>450</v>
      </c>
      <c r="P24" s="2" t="n">
        <f aca="false">IFERROR(__xludf.dummyfunction("if($T24&lt;&gt;"""",VALUE(REGEXEXTRACT($T24, P$1&amp;""[\w &amp;]*, (\d+\.\d+)"")),"""")
"),450.03)</f>
        <v>450.03</v>
      </c>
      <c r="Q24" s="2" t="n">
        <f aca="false">IFERROR(__xludf.dummyfunction("if($T24&lt;&gt;"""",VALUE(REGEXEXTRACT($T24, Q$1&amp;""[\w &amp;]*, (\d+\.\d+)"")),"""")
"),448.88)</f>
        <v>448.88</v>
      </c>
      <c r="R24" s="2" t="n">
        <f aca="false">IFERROR(__xludf.dummyfunction("if($T24&lt;&gt;"""",VALUE(REGEXEXTRACT($T24, SUBSTITUTE(R$1, ""+"", ""\+"")&amp;""[\w &amp;]*, (\d+\.\d+)"")),"""")"),455.59)</f>
        <v>455.59</v>
      </c>
      <c r="S24" s="2" t="n">
        <f aca="false">IFERROR(__xludf.dummyfunction("if($T24&lt;&gt;"""",VALUE(REGEXEXTRACT($T24, SUBSTITUTE(S$1, ""+"", ""\+"")&amp;""[\w &amp;]*, (\d+\.\d+)"")),"""")"),456.74)</f>
        <v>456.74</v>
      </c>
      <c r="T24" s="5" t="s">
        <v>441</v>
      </c>
    </row>
    <row r="25" customFormat="false" ht="15.75" hidden="false" customHeight="false" outlineLevel="0" collapsed="false">
      <c r="A25" s="4" t="n">
        <f aca="false">IFERROR(__xludf.dummyfunction("""COMPUTED_VALUE"""),45433.6666666667)</f>
        <v>45433.6666666667</v>
      </c>
      <c r="B25" s="2" t="n">
        <f aca="false">IFERROR(__xludf.dummyfunction("""COMPUTED_VALUE"""),453.04)</f>
        <v>453.04</v>
      </c>
      <c r="C25" s="2" t="n">
        <f aca="false">IFERROR(__xludf.dummyfunction("""COMPUTED_VALUE"""),455.99)</f>
        <v>455.99</v>
      </c>
      <c r="D25" s="2" t="n">
        <f aca="false">IFERROR(__xludf.dummyfunction("""COMPUTED_VALUE"""),452.84)</f>
        <v>452.84</v>
      </c>
      <c r="E25" s="2" t="n">
        <f aca="false">IFERROR(__xludf.dummyfunction("""COMPUTED_VALUE"""),455.8)</f>
        <v>455.8</v>
      </c>
      <c r="F25" s="3" t="n">
        <f aca="false">IFERROR(__xludf.dummyfunction("if($T25&lt;&gt;"""",VALUE(REGEXEXTRACT(SUBSTITUTE ($T25,F$1&amp;"" CE"",""""), F$1&amp;""[\w &amp;]*, (\d+\.\d+)"")),"""")
"),475)</f>
        <v>475</v>
      </c>
      <c r="G25" s="3" t="n">
        <f aca="false">IFERROR(__xludf.dummyfunction("if($T25&lt;&gt;"""",VALUE(REGEXEXTRACT($T25, G$1&amp;""[\w &amp;]*, (\d+\.\d+)"")),"""")
"),456)</f>
        <v>456</v>
      </c>
      <c r="H25" s="3" t="n">
        <f aca="false">IFERROR(__xludf.dummyfunction("if($T25&lt;&gt;"""",VALUE(REGEXEXTRACT($T25, H$1&amp;""[\w &amp;]*, (\d+\.\d+)"")),"""")
"),435)</f>
        <v>435</v>
      </c>
      <c r="I25" s="3" t="n">
        <f aca="false">IFERROR(__xludf.dummyfunction("if($T25&lt;&gt;"""",VALUE(REGEXEXTRACT(SUBSTITUTE ($T25,I$1&amp;"" CE"",""""), I$1&amp;""[\w &amp;]*, (\d+\.\d+)"")),"""")
"),425)</f>
        <v>425</v>
      </c>
      <c r="J25" s="3" t="n">
        <f aca="false">IFERROR(__xludf.dummyfunction("if($T25&lt;&gt;"""",VALUE(REGEXEXTRACT($T25, J$1&amp;""[\w &amp;]*, (\d+\.\d+)"")),"""")
"),454)</f>
        <v>454</v>
      </c>
      <c r="K25" s="3" t="n">
        <f aca="false">IFERROR(__xludf.dummyfunction("if($T25&lt;&gt;"""",VALUE(REGEXEXTRACT($T25, K$1&amp;""[\w &amp;]*, (\d+\.\d+)"")),"""")
"),440)</f>
        <v>440</v>
      </c>
      <c r="L25" s="3" t="n">
        <f aca="false">IFERROR(__xludf.dummyfunction("if($T25&lt;&gt;"""",VALUE(REGEXEXTRACT(SUBSTITUTE ($T25,L$1&amp;"" CE"",""""), L$1&amp;""[\w &amp;]*, (\d+\.\d+)"")),"""")
"),454)</f>
        <v>454</v>
      </c>
      <c r="M25" s="3" t="n">
        <f aca="false">IFERROR(__xludf.dummyfunction("if($T25&lt;&gt;"""",VALUE(REGEXEXTRACT($T25, M$1&amp;""[\w &amp;]*, (\d+\.\d+)"")),"""")
"),454)</f>
        <v>454</v>
      </c>
      <c r="N25" s="3" t="n">
        <f aca="false">IFERROR(__xludf.dummyfunction("if($T25&lt;&gt;"""",VALUE(REGEXEXTRACT(SUBSTITUTE ($T25,N$1&amp;"" CE"",""""), N$1&amp;""[\w &amp;]*, (\d+\.\d+)"")),"""")
"),425)</f>
        <v>425</v>
      </c>
      <c r="O25" s="3" t="n">
        <f aca="false">IFERROR(__xludf.dummyfunction("if($T25&lt;&gt;"""",VALUE(REGEXEXTRACT($T25, O$1&amp;""[\w &amp;]*, (\d+\.\d+)"")),"""")
"),454)</f>
        <v>454</v>
      </c>
      <c r="P25" s="2" t="n">
        <f aca="false">IFERROR(__xludf.dummyfunction("if($T25&lt;&gt;"""",VALUE(REGEXEXTRACT($T25, P$1&amp;""[\w &amp;]*, (\d+\.\d+)"")),"""")
"),451.42)</f>
        <v>451.42</v>
      </c>
      <c r="Q25" s="2" t="n">
        <f aca="false">IFERROR(__xludf.dummyfunction("if($T25&lt;&gt;"""",VALUE(REGEXEXTRACT($T25, Q$1&amp;""[\w &amp;]*, (\d+\.\d+)"")),"""")
"),450.05)</f>
        <v>450.05</v>
      </c>
      <c r="R25" s="2" t="n">
        <f aca="false">IFERROR(__xludf.dummyfunction("if($T25&lt;&gt;"""",VALUE(REGEXEXTRACT($T25, SUBSTITUTE(R$1, ""+"", ""\+"")&amp;""[\w &amp;]*, (\d+\.\d+)"")),"""")"),458.08)</f>
        <v>458.08</v>
      </c>
      <c r="S25" s="2" t="n">
        <f aca="false">IFERROR(__xludf.dummyfunction("if($T25&lt;&gt;"""",VALUE(REGEXEXTRACT($T25, SUBSTITUTE(S$1, ""+"", ""\+"")&amp;""[\w &amp;]*, (\d+\.\d+)"")),"""")"),459.45)</f>
        <v>459.45</v>
      </c>
      <c r="T25" s="5" t="s">
        <v>442</v>
      </c>
    </row>
    <row r="26" customFormat="false" ht="15.75" hidden="false" customHeight="false" outlineLevel="0" collapsed="false">
      <c r="A26" s="4" t="n">
        <f aca="false">IFERROR(__xludf.dummyfunction("""COMPUTED_VALUE"""),45434.6666666667)</f>
        <v>45434.6666666667</v>
      </c>
      <c r="B26" s="2" t="n">
        <f aca="false">IFERROR(__xludf.dummyfunction("""COMPUTED_VALUE"""),456.06)</f>
        <v>456.06</v>
      </c>
      <c r="C26" s="2" t="n">
        <f aca="false">IFERROR(__xludf.dummyfunction("""COMPUTED_VALUE"""),456.82)</f>
        <v>456.82</v>
      </c>
      <c r="D26" s="2" t="n">
        <f aca="false">IFERROR(__xludf.dummyfunction("""COMPUTED_VALUE"""),453.08)</f>
        <v>453.08</v>
      </c>
      <c r="E26" s="2" t="n">
        <f aca="false">IFERROR(__xludf.dummyfunction("""COMPUTED_VALUE"""),455.71)</f>
        <v>455.71</v>
      </c>
      <c r="F26" s="3" t="n">
        <f aca="false">IFERROR(__xludf.dummyfunction("if($T26&lt;&gt;"""",VALUE(REGEXEXTRACT(SUBSTITUTE ($T26,F$1&amp;"" CE"",""""), F$1&amp;""[\w &amp;]*, (\d+\.\d+)"")),"""")
"),475)</f>
        <v>475</v>
      </c>
      <c r="G26" s="3" t="n">
        <f aca="false">IFERROR(__xludf.dummyfunction("if($T26&lt;&gt;"""",VALUE(REGEXEXTRACT($T26, G$1&amp;""[\w &amp;]*, (\d+\.\d+)"")),"""")
"),461)</f>
        <v>461</v>
      </c>
      <c r="H26" s="3" t="n">
        <f aca="false">IFERROR(__xludf.dummyfunction("if($T26&lt;&gt;"""",VALUE(REGEXEXTRACT($T26, H$1&amp;""[\w &amp;]*, (\d+\.\d+)"")),"""")
"),455)</f>
        <v>455</v>
      </c>
      <c r="I26" s="3" t="n">
        <f aca="false">IFERROR(__xludf.dummyfunction("if($T26&lt;&gt;"""",VALUE(REGEXEXTRACT(SUBSTITUTE ($T26,I$1&amp;"" CE"",""""), I$1&amp;""[\w &amp;]*, (\d+\.\d+)"")),"""")
"),425)</f>
        <v>425</v>
      </c>
      <c r="J26" s="3" t="n">
        <f aca="false">IFERROR(__xludf.dummyfunction("if($T26&lt;&gt;"""",VALUE(REGEXEXTRACT($T26, J$1&amp;""[\w &amp;]*, (\d+\.\d+)"")),"""")
"),451)</f>
        <v>451</v>
      </c>
      <c r="K26" s="3" t="n">
        <f aca="false">IFERROR(__xludf.dummyfunction("if($T26&lt;&gt;"""",VALUE(REGEXEXTRACT($T26, K$1&amp;""[\w &amp;]*, (\d+\.\d+)"")),"""")
"),440)</f>
        <v>440</v>
      </c>
      <c r="L26" s="3" t="n">
        <f aca="false">IFERROR(__xludf.dummyfunction("if($T26&lt;&gt;"""",VALUE(REGEXEXTRACT(SUBSTITUTE ($T26,L$1&amp;"" CE"",""""), L$1&amp;""[\w &amp;]*, (\d+\.\d+)"")),"""")
"),452.5)</f>
        <v>452.5</v>
      </c>
      <c r="M26" s="3" t="n">
        <f aca="false">IFERROR(__xludf.dummyfunction("if($T26&lt;&gt;"""",VALUE(REGEXEXTRACT($T26, M$1&amp;""[\w &amp;]*, (\d+\.\d+)"")),"""")
"),454)</f>
        <v>454</v>
      </c>
      <c r="N26" s="3" t="n">
        <f aca="false">IFERROR(__xludf.dummyfunction("if($T26&lt;&gt;"""",VALUE(REGEXEXTRACT(SUBSTITUTE ($T26,N$1&amp;"" CE"",""""), N$1&amp;""[\w &amp;]*, (\d+\.\d+)"")),"""")
"),425)</f>
        <v>425</v>
      </c>
      <c r="O26" s="3" t="n">
        <f aca="false">IFERROR(__xludf.dummyfunction("if($T26&lt;&gt;"""",VALUE(REGEXEXTRACT($T26, O$1&amp;""[\w &amp;]*, (\d+\.\d+)"")),"""")
"),451)</f>
        <v>451</v>
      </c>
      <c r="P26" s="2" t="n">
        <f aca="false">IFERROR(__xludf.dummyfunction("if($T26&lt;&gt;"""",VALUE(REGEXEXTRACT($T26, P$1&amp;""[\w &amp;]*, (\d+\.\d+)"")),"""")
"),452.47)</f>
        <v>452.47</v>
      </c>
      <c r="Q26" s="2" t="n">
        <f aca="false">IFERROR(__xludf.dummyfunction("if($T26&lt;&gt;"""",VALUE(REGEXEXTRACT($T26, Q$1&amp;""[\w &amp;]*, (\d+\.\d+)"")),"""")
"),451.07)</f>
        <v>451.07</v>
      </c>
      <c r="R26" s="2" t="n">
        <f aca="false">IFERROR(__xludf.dummyfunction("if($T26&lt;&gt;"""",VALUE(REGEXEXTRACT($T26, SUBSTITUTE(R$1, ""+"", ""\+"")&amp;""[\w &amp;]*, (\d+\.\d+)"")),"""")"),459.25)</f>
        <v>459.25</v>
      </c>
      <c r="S26" s="2" t="n">
        <f aca="false">IFERROR(__xludf.dummyfunction("if($T26&lt;&gt;"""",VALUE(REGEXEXTRACT($T26, SUBSTITUTE(S$1, ""+"", ""\+"")&amp;""[\w &amp;]*, (\d+\.\d+)"")),"""")"),460.65)</f>
        <v>460.65</v>
      </c>
      <c r="T26" s="5" t="s">
        <v>443</v>
      </c>
    </row>
    <row r="27" customFormat="false" ht="15.75" hidden="false" customHeight="false" outlineLevel="0" collapsed="false">
      <c r="A27" s="4" t="n">
        <f aca="false">IFERROR(__xludf.dummyfunction("""COMPUTED_VALUE"""),45435.6666666667)</f>
        <v>45435.6666666667</v>
      </c>
      <c r="B27" s="2" t="n">
        <f aca="false">IFERROR(__xludf.dummyfunction("""COMPUTED_VALUE"""),460.55)</f>
        <v>460.55</v>
      </c>
      <c r="C27" s="2" t="n">
        <f aca="false">IFERROR(__xludf.dummyfunction("""COMPUTED_VALUE"""),460.58)</f>
        <v>460.58</v>
      </c>
      <c r="D27" s="2" t="n">
        <f aca="false">IFERROR(__xludf.dummyfunction("""COMPUTED_VALUE"""),451.85)</f>
        <v>451.85</v>
      </c>
      <c r="E27" s="2" t="n">
        <f aca="false">IFERROR(__xludf.dummyfunction("""COMPUTED_VALUE"""),453.66)</f>
        <v>453.66</v>
      </c>
      <c r="F27" s="3" t="n">
        <f aca="false">IFERROR(__xludf.dummyfunction("if($T27&lt;&gt;"""",VALUE(REGEXEXTRACT(SUBSTITUTE ($T27,F$1&amp;"" CE"",""""), F$1&amp;""[\w &amp;]*, (\d+\.\d+)"")),"""")
"),475)</f>
        <v>475</v>
      </c>
      <c r="G27" s="3" t="n">
        <f aca="false">IFERROR(__xludf.dummyfunction("if($T27&lt;&gt;"""",VALUE(REGEXEXTRACT($T27, G$1&amp;""[\w &amp;]*, (\d+\.\d+)"")),"""")
"),464)</f>
        <v>464</v>
      </c>
      <c r="H27" s="3" t="n">
        <f aca="false">IFERROR(__xludf.dummyfunction("if($T27&lt;&gt;"""",VALUE(REGEXEXTRACT($T27, H$1&amp;""[\w &amp;]*, (\d+\.\d+)"")),"""")
"),455)</f>
        <v>455</v>
      </c>
      <c r="I27" s="3" t="n">
        <f aca="false">IFERROR(__xludf.dummyfunction("if($T27&lt;&gt;"""",VALUE(REGEXEXTRACT(SUBSTITUTE ($T27,I$1&amp;"" CE"",""""), I$1&amp;""[\w &amp;]*, (\d+\.\d+)"")),"""")
"),425)</f>
        <v>425</v>
      </c>
      <c r="J27" s="3" t="n">
        <f aca="false">IFERROR(__xludf.dummyfunction("if($T27&lt;&gt;"""",VALUE(REGEXEXTRACT($T27, J$1&amp;""[\w &amp;]*, (\d+\.\d+)"")),"""")
"),450)</f>
        <v>450</v>
      </c>
      <c r="K27" s="3" t="n">
        <f aca="false">IFERROR(__xludf.dummyfunction("if($T27&lt;&gt;"""",VALUE(REGEXEXTRACT($T27, K$1&amp;""[\w &amp;]*, (\d+\.\d+)"")),"""")
"),440)</f>
        <v>440</v>
      </c>
      <c r="L27" s="3" t="n">
        <f aca="false">IFERROR(__xludf.dummyfunction("if($T27&lt;&gt;"""",VALUE(REGEXEXTRACT(SUBSTITUTE ($T27,L$1&amp;"" CE"",""""), L$1&amp;""[\w &amp;]*, (\d+\.\d+)"")),"""")
"),452.5)</f>
        <v>452.5</v>
      </c>
      <c r="M27" s="3" t="n">
        <f aca="false">IFERROR(__xludf.dummyfunction("if($T27&lt;&gt;"""",VALUE(REGEXEXTRACT($T27, M$1&amp;""[\w &amp;]*, (\d+\.\d+)"")),"""")
"),453)</f>
        <v>453</v>
      </c>
      <c r="N27" s="3" t="n">
        <f aca="false">IFERROR(__xludf.dummyfunction("if($T27&lt;&gt;"""",VALUE(REGEXEXTRACT(SUBSTITUTE ($T27,N$1&amp;"" CE"",""""), N$1&amp;""[\w &amp;]*, (\d+\.\d+)"")),"""")
"),425)</f>
        <v>425</v>
      </c>
      <c r="O27" s="3" t="n">
        <f aca="false">IFERROR(__xludf.dummyfunction("if($T27&lt;&gt;"""",VALUE(REGEXEXTRACT($T27, O$1&amp;""[\w &amp;]*, (\d+\.\d+)"")),"""")
"),464)</f>
        <v>464</v>
      </c>
      <c r="P27" s="2" t="n">
        <f aca="false">IFERROR(__xludf.dummyfunction("if($T27&lt;&gt;"""",VALUE(REGEXEXTRACT($T27, P$1&amp;""[\w &amp;]*, (\d+\.\d+)"")),"""")
"),456.86)</f>
        <v>456.86</v>
      </c>
      <c r="Q27" s="2" t="n">
        <f aca="false">IFERROR(__xludf.dummyfunction("if($T27&lt;&gt;"""",VALUE(REGEXEXTRACT($T27, Q$1&amp;""[\w &amp;]*, (\d+\.\d+)"")),"""")
"),455.41)</f>
        <v>455.41</v>
      </c>
      <c r="R27" s="2" t="n">
        <f aca="false">IFERROR(__xludf.dummyfunction("if($T27&lt;&gt;"""",VALUE(REGEXEXTRACT($T27, SUBSTITUTE(R$1, ""+"", ""\+"")&amp;""[\w &amp;]*, (\d+\.\d+)"")),"""")"),463.85)</f>
        <v>463.85</v>
      </c>
      <c r="S27" s="2" t="n">
        <f aca="false">IFERROR(__xludf.dummyfunction("if($T27&lt;&gt;"""",VALUE(REGEXEXTRACT($T27, SUBSTITUTE(S$1, ""+"", ""\+"")&amp;""[\w &amp;]*, (\d+\.\d+)"")),"""")"),465.29)</f>
        <v>465.29</v>
      </c>
      <c r="T27" s="5" t="s">
        <v>444</v>
      </c>
    </row>
    <row r="28" customFormat="false" ht="15.75" hidden="false" customHeight="false" outlineLevel="0" collapsed="false">
      <c r="A28" s="4" t="n">
        <f aca="false">IFERROR(__xludf.dummyfunction("""COMPUTED_VALUE"""),45436.6666666667)</f>
        <v>45436.6666666667</v>
      </c>
      <c r="B28" s="2" t="n">
        <f aca="false">IFERROR(__xludf.dummyfunction("""COMPUTED_VALUE"""),455.29)</f>
        <v>455.29</v>
      </c>
      <c r="C28" s="2" t="n">
        <f aca="false">IFERROR(__xludf.dummyfunction("""COMPUTED_VALUE"""),459.23)</f>
        <v>459.23</v>
      </c>
      <c r="D28" s="2" t="n">
        <f aca="false">IFERROR(__xludf.dummyfunction("""COMPUTED_VALUE"""),453.57)</f>
        <v>453.57</v>
      </c>
      <c r="E28" s="2" t="n">
        <f aca="false">IFERROR(__xludf.dummyfunction("""COMPUTED_VALUE"""),457.95)</f>
        <v>457.95</v>
      </c>
      <c r="F28" s="3" t="n">
        <f aca="false">IFERROR(__xludf.dummyfunction("if($T28&lt;&gt;"""",VALUE(REGEXEXTRACT(SUBSTITUTE ($T28,F$1&amp;"" CE"",""""), F$1&amp;""[\w &amp;]*, (\d+\.\d+)"")),"""")
"),475)</f>
        <v>475</v>
      </c>
      <c r="G28" s="3" t="n">
        <f aca="false">IFERROR(__xludf.dummyfunction("if($T28&lt;&gt;"""",VALUE(REGEXEXTRACT($T28, G$1&amp;""[\w &amp;]*, (\d+\.\d+)"")),"""")
"),457)</f>
        <v>457</v>
      </c>
      <c r="H28" s="3" t="n">
        <f aca="false">IFERROR(__xludf.dummyfunction("if($T28&lt;&gt;"""",VALUE(REGEXEXTRACT($T28, H$1&amp;""[\w &amp;]*, (\d+\.\d+)"")),"""")
"),455)</f>
        <v>455</v>
      </c>
      <c r="I28" s="3" t="n">
        <f aca="false">IFERROR(__xludf.dummyfunction("if($T28&lt;&gt;"""",VALUE(REGEXEXTRACT(SUBSTITUTE ($T28,I$1&amp;"" CE"",""""), I$1&amp;""[\w &amp;]*, (\d+\.\d+)"")),"""")
"),425)</f>
        <v>425</v>
      </c>
      <c r="J28" s="3" t="n">
        <f aca="false">IFERROR(__xludf.dummyfunction("if($T28&lt;&gt;"""",VALUE(REGEXEXTRACT($T28, J$1&amp;""[\w &amp;]*, (\d+\.\d+)"")),"""")
"),450)</f>
        <v>450</v>
      </c>
      <c r="K28" s="3" t="n">
        <f aca="false">IFERROR(__xludf.dummyfunction("if($T28&lt;&gt;"""",VALUE(REGEXEXTRACT($T28, K$1&amp;""[\w &amp;]*, (\d+\.\d+)"")),"""")
"),440)</f>
        <v>440</v>
      </c>
      <c r="L28" s="3" t="n">
        <f aca="false">IFERROR(__xludf.dummyfunction("if($T28&lt;&gt;"""",VALUE(REGEXEXTRACT(SUBSTITUTE ($T28,L$1&amp;"" CE"",""""), L$1&amp;""[\w &amp;]*, (\d+\.\d+)"")),"""")
"),454)</f>
        <v>454</v>
      </c>
      <c r="M28" s="3" t="n">
        <f aca="false">IFERROR(__xludf.dummyfunction("if($T28&lt;&gt;"""",VALUE(REGEXEXTRACT($T28, M$1&amp;""[\w &amp;]*, (\d+\.\d+)"")),"""")
"),454)</f>
        <v>454</v>
      </c>
      <c r="N28" s="3" t="n">
        <f aca="false">IFERROR(__xludf.dummyfunction("if($T28&lt;&gt;"""",VALUE(REGEXEXTRACT(SUBSTITUTE ($T28,N$1&amp;"" CE"",""""), N$1&amp;""[\w &amp;]*, (\d+\.\d+)"")),"""")
"),425)</f>
        <v>425</v>
      </c>
      <c r="O28" s="3" t="n">
        <f aca="false">IFERROR(__xludf.dummyfunction("if($T28&lt;&gt;"""",VALUE(REGEXEXTRACT($T28, O$1&amp;""[\w &amp;]*, (\d+\.\d+)"")),"""")
"),455)</f>
        <v>455</v>
      </c>
      <c r="P28" s="2" t="n">
        <f aca="false">IFERROR(__xludf.dummyfunction("if($T28&lt;&gt;"""",VALUE(REGEXEXTRACT($T28, P$1&amp;""[\w &amp;]*, (\d+\.\d+)"")),"""")
"),451.99)</f>
        <v>451.99</v>
      </c>
      <c r="Q28" s="2" t="n">
        <f aca="false">IFERROR(__xludf.dummyfunction("if($T28&lt;&gt;"""",VALUE(REGEXEXTRACT($T28, Q$1&amp;""[\w &amp;]*, (\d+\.\d+)"")),"""")
"),448.17)</f>
        <v>448.17</v>
      </c>
      <c r="R28" s="2" t="n">
        <f aca="false">IFERROR(__xludf.dummyfunction("if($T28&lt;&gt;"""",VALUE(REGEXEXTRACT($T28, SUBSTITUTE(R$1, ""+"", ""\+"")&amp;""[\w &amp;]*, (\d+\.\d+)"")),"""")"),458.15)</f>
        <v>458.15</v>
      </c>
      <c r="S28" s="2" t="n">
        <f aca="false">IFERROR(__xludf.dummyfunction("if($T28&lt;&gt;"""",VALUE(REGEXEXTRACT($T28, SUBSTITUTE(S$1, ""+"", ""\+"")&amp;""[\w &amp;]*, (\d+\.\d+)"")),"""")"),461.97)</f>
        <v>461.97</v>
      </c>
      <c r="T28" s="5" t="s">
        <v>445</v>
      </c>
    </row>
    <row r="29" customFormat="false" ht="15.75" hidden="false" customHeight="false" outlineLevel="0" collapsed="false">
      <c r="A29" s="4" t="n">
        <f aca="false">IFERROR(__xludf.dummyfunction("""COMPUTED_VALUE"""),45440.6666666667)</f>
        <v>45440.6666666667</v>
      </c>
      <c r="B29" s="2" t="n">
        <f aca="false">IFERROR(__xludf.dummyfunction("""COMPUTED_VALUE"""),459.18)</f>
        <v>459.18</v>
      </c>
      <c r="C29" s="2" t="n">
        <f aca="false">IFERROR(__xludf.dummyfunction("""COMPUTED_VALUE"""),459.74)</f>
        <v>459.74</v>
      </c>
      <c r="D29" s="2" t="n">
        <f aca="false">IFERROR(__xludf.dummyfunction("""COMPUTED_VALUE"""),456.69)</f>
        <v>456.69</v>
      </c>
      <c r="E29" s="2" t="n">
        <f aca="false">IFERROR(__xludf.dummyfunction("""COMPUTED_VALUE"""),459.68)</f>
        <v>459.68</v>
      </c>
      <c r="F29" s="3" t="n">
        <f aca="false">IFERROR(__xludf.dummyfunction("if($T29&lt;&gt;"""",VALUE(REGEXEXTRACT(SUBSTITUTE ($T29,F$1&amp;"" CE"",""""), F$1&amp;""[\w &amp;]*, (\d+\.\d+)"")),"""")
"),475)</f>
        <v>475</v>
      </c>
      <c r="G29" s="3" t="n">
        <f aca="false">IFERROR(__xludf.dummyfunction("if($T29&lt;&gt;"""",VALUE(REGEXEXTRACT($T29, G$1&amp;""[\w &amp;]*, (\d+\.\d+)"")),"""")
"),460)</f>
        <v>460</v>
      </c>
      <c r="H29" s="3" t="n">
        <f aca="false">IFERROR(__xludf.dummyfunction("if($T29&lt;&gt;"""",VALUE(REGEXEXTRACT($T29, H$1&amp;""[\w &amp;]*, (\d+\.\d+)"")),"""")
"),455)</f>
        <v>455</v>
      </c>
      <c r="I29" s="3" t="n">
        <f aca="false">IFERROR(__xludf.dummyfunction("if($T29&lt;&gt;"""",VALUE(REGEXEXTRACT(SUBSTITUTE ($T29,I$1&amp;"" CE"",""""), I$1&amp;""[\w &amp;]*, (\d+\.\d+)"")),"""")
"),425)</f>
        <v>425</v>
      </c>
      <c r="J29" s="3" t="n">
        <f aca="false">IFERROR(__xludf.dummyfunction("if($T29&lt;&gt;"""",VALUE(REGEXEXTRACT($T29, J$1&amp;""[\w &amp;]*, (\d+\.\d+)"")),"""")
"),456)</f>
        <v>456</v>
      </c>
      <c r="K29" s="3" t="n">
        <f aca="false">IFERROR(__xludf.dummyfunction("if($T29&lt;&gt;"""",VALUE(REGEXEXTRACT($T29, K$1&amp;""[\w &amp;]*, (\d+\.\d+)"")),"""")
"),440)</f>
        <v>440</v>
      </c>
      <c r="L29" s="3" t="n">
        <f aca="false">IFERROR(__xludf.dummyfunction("if($T29&lt;&gt;"""",VALUE(REGEXEXTRACT(SUBSTITUTE ($T29,L$1&amp;"" CE"",""""), L$1&amp;""[\w &amp;]*, (\d+\.\d+)"")),"""")
"),457)</f>
        <v>457</v>
      </c>
      <c r="M29" s="3" t="n">
        <f aca="false">IFERROR(__xludf.dummyfunction("if($T29&lt;&gt;"""",VALUE(REGEXEXTRACT($T29, M$1&amp;""[\w &amp;]*, (\d+\.\d+)"")),"""")
"),459)</f>
        <v>459</v>
      </c>
      <c r="N29" s="3" t="n">
        <f aca="false">IFERROR(__xludf.dummyfunction("if($T29&lt;&gt;"""",VALUE(REGEXEXTRACT(SUBSTITUTE ($T29,N$1&amp;"" CE"",""""), N$1&amp;""[\w &amp;]*, (\d+\.\d+)"")),"""")
"),475)</f>
        <v>475</v>
      </c>
      <c r="O29" s="3" t="n">
        <f aca="false">IFERROR(__xludf.dummyfunction("if($T29&lt;&gt;"""",VALUE(REGEXEXTRACT($T29, O$1&amp;""[\w &amp;]*, (\d+\.\d+)"")),"""")
"),458)</f>
        <v>458</v>
      </c>
      <c r="P29" s="2" t="n">
        <f aca="false">IFERROR(__xludf.dummyfunction("if($T29&lt;&gt;"""",VALUE(REGEXEXTRACT($T29, P$1&amp;""[\w &amp;]*, (\d+\.\d+)"")),"""")
"),456.86)</f>
        <v>456.86</v>
      </c>
      <c r="Q29" s="2" t="n">
        <f aca="false">IFERROR(__xludf.dummyfunction("if($T29&lt;&gt;"""",VALUE(REGEXEXTRACT($T29, Q$1&amp;""[\w &amp;]*, (\d+\.\d+)"")),"""")
"),455.89)</f>
        <v>455.89</v>
      </c>
      <c r="R29" s="2" t="n">
        <f aca="false">IFERROR(__xludf.dummyfunction("if($T29&lt;&gt;"""",VALUE(REGEXEXTRACT($T29, SUBSTITUTE(R$1, ""+"", ""\+"")&amp;""[\w &amp;]*, (\d+\.\d+)"")),"""")"),461.54)</f>
        <v>461.54</v>
      </c>
      <c r="S29" s="2" t="n">
        <f aca="false">IFERROR(__xludf.dummyfunction("if($T29&lt;&gt;"""",VALUE(REGEXEXTRACT($T29, SUBSTITUTE(S$1, ""+"", ""\+"")&amp;""[\w &amp;]*, (\d+\.\d+)"")),"""")"),462.51)</f>
        <v>462.51</v>
      </c>
      <c r="T29" s="5" t="s">
        <v>446</v>
      </c>
    </row>
    <row r="30" customFormat="false" ht="15.75" hidden="false" customHeight="false" outlineLevel="0" collapsed="false">
      <c r="A30" s="4" t="n">
        <f aca="false">IFERROR(__xludf.dummyfunction("""COMPUTED_VALUE"""),45441.6666666667)</f>
        <v>45441.6666666667</v>
      </c>
      <c r="B30" s="2" t="n">
        <f aca="false">IFERROR(__xludf.dummyfunction("""COMPUTED_VALUE"""),455.48)</f>
        <v>455.48</v>
      </c>
      <c r="C30" s="2" t="n">
        <f aca="false">IFERROR(__xludf.dummyfunction("""COMPUTED_VALUE"""),458.24)</f>
        <v>458.24</v>
      </c>
      <c r="D30" s="2" t="n">
        <f aca="false">IFERROR(__xludf.dummyfunction("""COMPUTED_VALUE"""),455.34)</f>
        <v>455.34</v>
      </c>
      <c r="E30" s="2" t="n">
        <f aca="false">IFERROR(__xludf.dummyfunction("""COMPUTED_VALUE"""),456.44)</f>
        <v>456.44</v>
      </c>
      <c r="F30" s="3" t="n">
        <f aca="false">IFERROR(__xludf.dummyfunction("if($T30&lt;&gt;"""",VALUE(REGEXEXTRACT(SUBSTITUTE ($T30,F$1&amp;"" CE"",""""), F$1&amp;""[\w &amp;]*, (\d+\.\d+)"")),"""")
"),475)</f>
        <v>475</v>
      </c>
      <c r="G30" s="3" t="n">
        <f aca="false">IFERROR(__xludf.dummyfunction("if($T30&lt;&gt;"""",VALUE(REGEXEXTRACT($T30, G$1&amp;""[\w &amp;]*, (\d+\.\d+)"")),"""")
"),465)</f>
        <v>465</v>
      </c>
      <c r="H30" s="3" t="n">
        <f aca="false">IFERROR(__xludf.dummyfunction("if($T30&lt;&gt;"""",VALUE(REGEXEXTRACT($T30, H$1&amp;""[\w &amp;]*, (\d+\.\d+)"")),"""")
"),455)</f>
        <v>455</v>
      </c>
      <c r="I30" s="3" t="n">
        <f aca="false">IFERROR(__xludf.dummyfunction("if($T30&lt;&gt;"""",VALUE(REGEXEXTRACT(SUBSTITUTE ($T30,I$1&amp;"" CE"",""""), I$1&amp;""[\w &amp;]*, (\d+\.\d+)"")),"""")
"),425)</f>
        <v>425</v>
      </c>
      <c r="J30" s="3" t="n">
        <f aca="false">IFERROR(__xludf.dummyfunction("if($T30&lt;&gt;"""",VALUE(REGEXEXTRACT($T30, J$1&amp;""[\w &amp;]*, (\d+\.\d+)"")),"""")
"),450)</f>
        <v>450</v>
      </c>
      <c r="K30" s="3" t="n">
        <f aca="false">IFERROR(__xludf.dummyfunction("if($T30&lt;&gt;"""",VALUE(REGEXEXTRACT($T30, K$1&amp;""[\w &amp;]*, (\d+\.\d+)"")),"""")
"),440)</f>
        <v>440</v>
      </c>
      <c r="L30" s="3" t="n">
        <f aca="false">IFERROR(__xludf.dummyfunction("if($T30&lt;&gt;"""",VALUE(REGEXEXTRACT(SUBSTITUTE ($T30,L$1&amp;"" CE"",""""), L$1&amp;""[\w &amp;]*, (\d+\.\d+)"")),"""")
"),455)</f>
        <v>455</v>
      </c>
      <c r="M30" s="3" t="n">
        <f aca="false">IFERROR(__xludf.dummyfunction("if($T30&lt;&gt;"""",VALUE(REGEXEXTRACT($T30, M$1&amp;""[\w &amp;]*, (\d+\.\d+)"")),"""")
"),459)</f>
        <v>459</v>
      </c>
      <c r="N30" s="3" t="n">
        <f aca="false">IFERROR(__xludf.dummyfunction("if($T30&lt;&gt;"""",VALUE(REGEXEXTRACT(SUBSTITUTE ($T30,N$1&amp;"" CE"",""""), N$1&amp;""[\w &amp;]*, (\d+\.\d+)"")),"""")
"),475)</f>
        <v>475</v>
      </c>
      <c r="O30" s="3" t="n">
        <f aca="false">IFERROR(__xludf.dummyfunction("if($T30&lt;&gt;"""",VALUE(REGEXEXTRACT($T30, O$1&amp;""[\w &amp;]*, (\d+\.\d+)"")),"""")
"),450)</f>
        <v>450</v>
      </c>
      <c r="P30" s="2" t="n">
        <f aca="false">IFERROR(__xludf.dummyfunction("if($T30&lt;&gt;"""",VALUE(REGEXEXTRACT($T30, P$1&amp;""[\w &amp;]*, (\d+\.\d+)"")),"""")
"),452.62)</f>
        <v>452.62</v>
      </c>
      <c r="Q30" s="2" t="n">
        <f aca="false">IFERROR(__xludf.dummyfunction("if($T30&lt;&gt;"""",VALUE(REGEXEXTRACT($T30, Q$1&amp;""[\w &amp;]*, (\d+\.\d+)"")),"""")
"),451.19)</f>
        <v>451.19</v>
      </c>
      <c r="R30" s="2" t="n">
        <f aca="false">IFERROR(__xludf.dummyfunction("if($T30&lt;&gt;"""",VALUE(REGEXEXTRACT($T30, SUBSTITUTE(R$1, ""+"", ""\+"")&amp;""[\w &amp;]*, (\d+\.\d+)"")),"""")"),459.48)</f>
        <v>459.48</v>
      </c>
      <c r="S30" s="2" t="n">
        <f aca="false">IFERROR(__xludf.dummyfunction("if($T30&lt;&gt;"""",VALUE(REGEXEXTRACT($T30, SUBSTITUTE(S$1, ""+"", ""\+"")&amp;""[\w &amp;]*, (\d+\.\d+)"")),"""")"),460.91)</f>
        <v>460.91</v>
      </c>
      <c r="T30" s="5" t="s">
        <v>447</v>
      </c>
    </row>
    <row r="31" customFormat="false" ht="15.75" hidden="false" customHeight="false" outlineLevel="0" collapsed="false">
      <c r="A31" s="4" t="n">
        <f aca="false">IFERROR(__xludf.dummyfunction("""COMPUTED_VALUE"""),45442.6666666667)</f>
        <v>45442.6666666667</v>
      </c>
      <c r="B31" s="2" t="n">
        <f aca="false">IFERROR(__xludf.dummyfunction("""COMPUTED_VALUE"""),455.5)</f>
        <v>455.5</v>
      </c>
      <c r="C31" s="2" t="n">
        <f aca="false">IFERROR(__xludf.dummyfunction("""COMPUTED_VALUE"""),455.64)</f>
        <v>455.64</v>
      </c>
      <c r="D31" s="2" t="n">
        <f aca="false">IFERROR(__xludf.dummyfunction("""COMPUTED_VALUE"""),450.21)</f>
        <v>450.21</v>
      </c>
      <c r="E31" s="2" t="n">
        <f aca="false">IFERROR(__xludf.dummyfunction("""COMPUTED_VALUE"""),451.55)</f>
        <v>451.55</v>
      </c>
      <c r="F31" s="3" t="n">
        <f aca="false">IFERROR(__xludf.dummyfunction("if($T31&lt;&gt;"""",VALUE(REGEXEXTRACT(SUBSTITUTE ($T31,F$1&amp;"" CE"",""""), F$1&amp;""[\w &amp;]*, (\d+\.\d+)"")),"""")
"),475)</f>
        <v>475</v>
      </c>
      <c r="G31" s="3" t="n">
        <f aca="false">IFERROR(__xludf.dummyfunction("if($T31&lt;&gt;"""",VALUE(REGEXEXTRACT($T31, G$1&amp;""[\w &amp;]*, (\d+\.\d+)"")),"""")
"),465)</f>
        <v>465</v>
      </c>
      <c r="H31" s="3" t="n">
        <f aca="false">IFERROR(__xludf.dummyfunction("if($T31&lt;&gt;"""",VALUE(REGEXEXTRACT($T31, H$1&amp;""[\w &amp;]*, (\d+\.\d+)"")),"""")
"),455)</f>
        <v>455</v>
      </c>
      <c r="I31" s="3" t="n">
        <f aca="false">IFERROR(__xludf.dummyfunction("if($T31&lt;&gt;"""",VALUE(REGEXEXTRACT(SUBSTITUTE ($T31,I$1&amp;"" CE"",""""), I$1&amp;""[\w &amp;]*, (\d+\.\d+)"")),"""")
"),425)</f>
        <v>425</v>
      </c>
      <c r="J31" s="3" t="n">
        <f aca="false">IFERROR(__xludf.dummyfunction("if($T31&lt;&gt;"""",VALUE(REGEXEXTRACT($T31, J$1&amp;""[\w &amp;]*, (\d+\.\d+)"")),"""")
"),450)</f>
        <v>450</v>
      </c>
      <c r="K31" s="3" t="n">
        <f aca="false">IFERROR(__xludf.dummyfunction("if($T31&lt;&gt;"""",VALUE(REGEXEXTRACT($T31, K$1&amp;""[\w &amp;]*, (\d+\.\d+)"")),"""")
"),440)</f>
        <v>440</v>
      </c>
      <c r="L31" s="3" t="n">
        <f aca="false">IFERROR(__xludf.dummyfunction("if($T31&lt;&gt;"""",VALUE(REGEXEXTRACT(SUBSTITUTE ($T31,L$1&amp;"" CE"",""""), L$1&amp;""[\w &amp;]*, (\d+\.\d+)"")),"""")
"),455)</f>
        <v>455</v>
      </c>
      <c r="M31" s="3" t="n">
        <f aca="false">IFERROR(__xludf.dummyfunction("if($T31&lt;&gt;"""",VALUE(REGEXEXTRACT($T31, M$1&amp;""[\w &amp;]*, (\d+\.\d+)"")),"""")
"),457)</f>
        <v>457</v>
      </c>
      <c r="N31" s="3" t="n">
        <f aca="false">IFERROR(__xludf.dummyfunction("if($T31&lt;&gt;"""",VALUE(REGEXEXTRACT(SUBSTITUTE ($T31,N$1&amp;"" CE"",""""), N$1&amp;""[\w &amp;]*, (\d+\.\d+)"")),"""")
"),445)</f>
        <v>445</v>
      </c>
      <c r="O31" s="3" t="n">
        <f aca="false">IFERROR(__xludf.dummyfunction("if($T31&lt;&gt;"""",VALUE(REGEXEXTRACT($T31, O$1&amp;""[\w &amp;]*, (\d+\.\d+)"")),"""")
"),450)</f>
        <v>450</v>
      </c>
      <c r="P31" s="2" t="n">
        <f aca="false">IFERROR(__xludf.dummyfunction("if($T31&lt;&gt;"""",VALUE(REGEXEXTRACT($T31, P$1&amp;""[\w &amp;]*, (\d+\.\d+)"")),"""")
"),451.93)</f>
        <v>451.93</v>
      </c>
      <c r="Q31" s="2" t="n">
        <f aca="false">IFERROR(__xludf.dummyfunction("if($T31&lt;&gt;"""",VALUE(REGEXEXTRACT($T31, Q$1&amp;""[\w &amp;]*, (\d+\.\d+)"")),"""")
"),450.7)</f>
        <v>450.7</v>
      </c>
      <c r="R31" s="2" t="n">
        <f aca="false">IFERROR(__xludf.dummyfunction("if($T31&lt;&gt;"""",VALUE(REGEXEXTRACT($T31, SUBSTITUTE(R$1, ""+"", ""\+"")&amp;""[\w &amp;]*, (\d+\.\d+)"")),"""")"),457.91)</f>
        <v>457.91</v>
      </c>
      <c r="S31" s="2" t="n">
        <f aca="false">IFERROR(__xludf.dummyfunction("if($T31&lt;&gt;"""",VALUE(REGEXEXTRACT($T31, SUBSTITUTE(S$1, ""+"", ""\+"")&amp;""[\w &amp;]*, (\d+\.\d+)"")),"""")"),459.14)</f>
        <v>459.14</v>
      </c>
      <c r="T31" s="5" t="s">
        <v>448</v>
      </c>
    </row>
    <row r="32" customFormat="false" ht="15.75" hidden="false" customHeight="false" outlineLevel="0" collapsed="false">
      <c r="A32" s="4" t="n">
        <f aca="false">IFERROR(__xludf.dummyfunction("""COMPUTED_VALUE"""),45443.6666666667)</f>
        <v>45443.6666666667</v>
      </c>
      <c r="B32" s="2" t="n">
        <f aca="false">IFERROR(__xludf.dummyfunction("""COMPUTED_VALUE"""),451.78)</f>
        <v>451.78</v>
      </c>
      <c r="C32" s="2" t="n">
        <f aca="false">IFERROR(__xludf.dummyfunction("""COMPUTED_VALUE"""),452.48)</f>
        <v>452.48</v>
      </c>
      <c r="D32" s="2" t="n">
        <f aca="false">IFERROR(__xludf.dummyfunction("""COMPUTED_VALUE"""),443.06)</f>
        <v>443.06</v>
      </c>
      <c r="E32" s="2" t="n">
        <f aca="false">IFERROR(__xludf.dummyfunction("""COMPUTED_VALUE"""),450.71)</f>
        <v>450.71</v>
      </c>
      <c r="F32" s="3" t="n">
        <f aca="false">IFERROR(__xludf.dummyfunction("if($T32&lt;&gt;"""",VALUE(REGEXEXTRACT(SUBSTITUTE ($T32,F$1&amp;"" CE"",""""), F$1&amp;""[\w &amp;]*, (\d+\.\d+)"")),"""")
"),475)</f>
        <v>475</v>
      </c>
      <c r="G32" s="3" t="n">
        <f aca="false">IFERROR(__xludf.dummyfunction("if($T32&lt;&gt;"""",VALUE(REGEXEXTRACT($T32, G$1&amp;""[\w &amp;]*, (\d+\.\d+)"")),"""")
"),465)</f>
        <v>465</v>
      </c>
      <c r="H32" s="3" t="n">
        <f aca="false">IFERROR(__xludf.dummyfunction("if($T32&lt;&gt;"""",VALUE(REGEXEXTRACT($T32, H$1&amp;""[\w &amp;]*, (\d+\.\d+)"")),"""")
"),455)</f>
        <v>455</v>
      </c>
      <c r="I32" s="3" t="n">
        <f aca="false">IFERROR(__xludf.dummyfunction("if($T32&lt;&gt;"""",VALUE(REGEXEXTRACT(SUBSTITUTE ($T32,I$1&amp;"" CE"",""""), I$1&amp;""[\w &amp;]*, (\d+\.\d+)"")),"""")
"),425)</f>
        <v>425</v>
      </c>
      <c r="J32" s="3" t="n">
        <f aca="false">IFERROR(__xludf.dummyfunction("if($T32&lt;&gt;"""",VALUE(REGEXEXTRACT($T32, J$1&amp;""[\w &amp;]*, (\d+\.\d+)"")),"""")
"),450)</f>
        <v>450</v>
      </c>
      <c r="K32" s="3" t="n">
        <f aca="false">IFERROR(__xludf.dummyfunction("if($T32&lt;&gt;"""",VALUE(REGEXEXTRACT($T32, K$1&amp;""[\w &amp;]*, (\d+\.\d+)"")),"""")
"),440)</f>
        <v>440</v>
      </c>
      <c r="L32" s="3" t="n">
        <f aca="false">IFERROR(__xludf.dummyfunction("if($T32&lt;&gt;"""",VALUE(REGEXEXTRACT(SUBSTITUTE ($T32,L$1&amp;"" CE"",""""), L$1&amp;""[\w &amp;]*, (\d+\.\d+)"")),"""")
"),455)</f>
        <v>455</v>
      </c>
      <c r="M32" s="3" t="n">
        <f aca="false">IFERROR(__xludf.dummyfunction("if($T32&lt;&gt;"""",VALUE(REGEXEXTRACT($T32, M$1&amp;""[\w &amp;]*, (\d+\.\d+)"")),"""")
"),453)</f>
        <v>453</v>
      </c>
      <c r="N32" s="3" t="n">
        <f aca="false">IFERROR(__xludf.dummyfunction("if($T32&lt;&gt;"""",VALUE(REGEXEXTRACT(SUBSTITUTE ($T32,N$1&amp;"" CE"",""""), N$1&amp;""[\w &amp;]*, (\d+\.\d+)"")),"""")
"),425)</f>
        <v>425</v>
      </c>
      <c r="O32" s="3" t="n">
        <f aca="false">IFERROR(__xludf.dummyfunction("if($T32&lt;&gt;"""",VALUE(REGEXEXTRACT($T32, O$1&amp;""[\w &amp;]*, (\d+\.\d+)"")),"""")
"),450)</f>
        <v>450</v>
      </c>
      <c r="P32" s="2" t="n">
        <f aca="false">IFERROR(__xludf.dummyfunction("if($T32&lt;&gt;"""",VALUE(REGEXEXTRACT($T32, P$1&amp;""[\w &amp;]*, (\d+\.\d+)"")),"""")
"),446.12)</f>
        <v>446.12</v>
      </c>
      <c r="Q32" s="2" t="n">
        <f aca="false">IFERROR(__xludf.dummyfunction("if($T32&lt;&gt;"""",VALUE(REGEXEXTRACT($T32, Q$1&amp;""[\w &amp;]*, (\d+\.\d+)"")),"""")
"),442.32)</f>
        <v>442.32</v>
      </c>
      <c r="R32" s="2" t="n">
        <f aca="false">IFERROR(__xludf.dummyfunction("if($T32&lt;&gt;"""",VALUE(REGEXEXTRACT($T32, SUBSTITUTE(R$1, ""+"", ""\+"")&amp;""[\w &amp;]*, (\d+\.\d+)"")),"""")"),453.72)</f>
        <v>453.72</v>
      </c>
      <c r="S32" s="2" t="n">
        <f aca="false">IFERROR(__xludf.dummyfunction("if($T32&lt;&gt;"""",VALUE(REGEXEXTRACT($T32, SUBSTITUTE(S$1, ""+"", ""\+"")&amp;""[\w &amp;]*, (\d+\.\d+)"")),"""")"),457.52)</f>
        <v>457.52</v>
      </c>
      <c r="T32" s="5" t="s">
        <v>449</v>
      </c>
    </row>
    <row r="33" customFormat="false" ht="15.75" hidden="false" customHeight="false" outlineLevel="0" collapsed="false">
      <c r="A33" s="4" t="n">
        <f aca="false">IFERROR(__xludf.dummyfunction("""COMPUTED_VALUE"""),45446.6666666667)</f>
        <v>45446.6666666667</v>
      </c>
      <c r="B33" s="2" t="n">
        <f aca="false">IFERROR(__xludf.dummyfunction("""COMPUTED_VALUE"""),454.57)</f>
        <v>454.57</v>
      </c>
      <c r="C33" s="2" t="n">
        <f aca="false">IFERROR(__xludf.dummyfunction("""COMPUTED_VALUE"""),455.58)</f>
        <v>455.58</v>
      </c>
      <c r="D33" s="2" t="n">
        <f aca="false">IFERROR(__xludf.dummyfunction("""COMPUTED_VALUE"""),447.9)</f>
        <v>447.9</v>
      </c>
      <c r="E33" s="2" t="n">
        <f aca="false">IFERROR(__xludf.dummyfunction("""COMPUTED_VALUE"""),453.13)</f>
        <v>453.13</v>
      </c>
      <c r="F33" s="3" t="n">
        <f aca="false">IFERROR(__xludf.dummyfunction("if($T33&lt;&gt;"""",VALUE(REGEXEXTRACT(SUBSTITUTE ($T33,F$1&amp;"" CE"",""""), F$1&amp;""[\w &amp;]*, (\d+\.\d+)"")),"""")
"),450)</f>
        <v>450</v>
      </c>
      <c r="G33" s="3" t="n">
        <f aca="false">IFERROR(__xludf.dummyfunction("if($T33&lt;&gt;"""",VALUE(REGEXEXTRACT($T33, G$1&amp;""[\w &amp;]*, (\d+\.\d+)"")),"""")
"),453)</f>
        <v>453</v>
      </c>
      <c r="H33" s="3" t="n">
        <f aca="false">IFERROR(__xludf.dummyfunction("if($T33&lt;&gt;"""",VALUE(REGEXEXTRACT($T33, H$1&amp;""[\w &amp;]*, (\d+\.\d+)"")),"""")
"),452.5)</f>
        <v>452.5</v>
      </c>
      <c r="I33" s="3" t="n">
        <f aca="false">IFERROR(__xludf.dummyfunction("if($T33&lt;&gt;"""",VALUE(REGEXEXTRACT(SUBSTITUTE ($T33,I$1&amp;"" CE"",""""), I$1&amp;""[\w &amp;]*, (\d+\.\d+)"")),"""")
"),450)</f>
        <v>450</v>
      </c>
      <c r="J33" s="3" t="n">
        <f aca="false">IFERROR(__xludf.dummyfunction("if($T33&lt;&gt;"""",VALUE(REGEXEXTRACT($T33, J$1&amp;""[\w &amp;]*, (\d+\.\d+)"")),"""")
"),445)</f>
        <v>445</v>
      </c>
      <c r="K33" s="3" t="n">
        <f aca="false">IFERROR(__xludf.dummyfunction("if($T33&lt;&gt;"""",VALUE(REGEXEXTRACT($T33, K$1&amp;""[\w &amp;]*, (\d+\.\d+)"")),"""")
"),429.78)</f>
        <v>429.78</v>
      </c>
      <c r="L33" s="3" t="n">
        <f aca="false">IFERROR(__xludf.dummyfunction("if($T33&lt;&gt;"""",VALUE(REGEXEXTRACT(SUBSTITUTE ($T33,L$1&amp;"" CE"",""""), L$1&amp;""[\w &amp;]*, (\d+\.\d+)"")),"""")
"),452.5)</f>
        <v>452.5</v>
      </c>
      <c r="M33" s="3" t="n">
        <f aca="false">IFERROR(__xludf.dummyfunction("if($T33&lt;&gt;"""",VALUE(REGEXEXTRACT($T33, M$1&amp;""[\w &amp;]*, (\d+\.\d+)"")),"""")
"),449)</f>
        <v>449</v>
      </c>
      <c r="N33" s="3" t="n">
        <f aca="false">IFERROR(__xludf.dummyfunction("if($T33&lt;&gt;"""",VALUE(REGEXEXTRACT(SUBSTITUTE ($T33,N$1&amp;"" CE"",""""), N$1&amp;""[\w &amp;]*, (\d+\.\d+)"")),"""")
"),450)</f>
        <v>450</v>
      </c>
      <c r="O33" s="3" t="n">
        <f aca="false">IFERROR(__xludf.dummyfunction("if($T33&lt;&gt;"""",VALUE(REGEXEXTRACT($T33, O$1&amp;""[\w &amp;]*, (\d+\.\d+)"")),"""")
"),450)</f>
        <v>450</v>
      </c>
      <c r="P33" s="2" t="n">
        <f aca="false">IFERROR(__xludf.dummyfunction("if($T33&lt;&gt;"""",VALUE(REGEXEXTRACT($T33, P$1&amp;""[\w &amp;]*, (\d+\.\d+)"")),"""")
"),450.8)</f>
        <v>450.8</v>
      </c>
      <c r="Q33" s="2" t="n">
        <f aca="false">IFERROR(__xludf.dummyfunction("if($T33&lt;&gt;"""",VALUE(REGEXEXTRACT($T33, Q$1&amp;""[\w &amp;]*, (\d+\.\d+)"")),"""")
"),449.55)</f>
        <v>449.55</v>
      </c>
      <c r="R33" s="2" t="n">
        <f aca="false">IFERROR(__xludf.dummyfunction("if($T33&lt;&gt;"""",VALUE(REGEXEXTRACT($T33, SUBSTITUTE(R$1, ""+"", ""\+"")&amp;""[\w &amp;]*, (\d+\.\d+)"")),"""")"),456.82)</f>
        <v>456.82</v>
      </c>
      <c r="S33" s="2" t="n">
        <f aca="false">IFERROR(__xludf.dummyfunction("if($T33&lt;&gt;"""",VALUE(REGEXEXTRACT($T33, SUBSTITUTE(S$1, ""+"", ""\+"")&amp;""[\w &amp;]*, (\d+\.\d+)"")),"""")"),458.07)</f>
        <v>458.07</v>
      </c>
      <c r="T33" s="5" t="s">
        <v>450</v>
      </c>
    </row>
    <row r="34" customFormat="false" ht="15.75" hidden="false" customHeight="false" outlineLevel="0" collapsed="false">
      <c r="A34" s="4" t="n">
        <f aca="false">IFERROR(__xludf.dummyfunction("""COMPUTED_VALUE"""),45447.6666666667)</f>
        <v>45447.6666666667</v>
      </c>
      <c r="B34" s="2" t="n">
        <f aca="false">IFERROR(__xludf.dummyfunction("""COMPUTED_VALUE"""),452.87)</f>
        <v>452.87</v>
      </c>
      <c r="C34" s="2" t="n">
        <f aca="false">IFERROR(__xludf.dummyfunction("""COMPUTED_VALUE"""),455.58)</f>
        <v>455.58</v>
      </c>
      <c r="D34" s="2" t="n">
        <f aca="false">IFERROR(__xludf.dummyfunction("""COMPUTED_VALUE"""),451.13)</f>
        <v>451.13</v>
      </c>
      <c r="E34" s="2" t="n">
        <f aca="false">IFERROR(__xludf.dummyfunction("""COMPUTED_VALUE"""),454.37)</f>
        <v>454.37</v>
      </c>
      <c r="F34" s="3" t="n">
        <f aca="false">IFERROR(__xludf.dummyfunction("if($T34&lt;&gt;"""",VALUE(REGEXEXTRACT(SUBSTITUTE ($T34,F$1&amp;"" CE"",""""), F$1&amp;""[\w &amp;]*, (\d+\.\d+)"")),"""")
"),450)</f>
        <v>450</v>
      </c>
      <c r="G34" s="3" t="n">
        <f aca="false">IFERROR(__xludf.dummyfunction("if($T34&lt;&gt;"""",VALUE(REGEXEXTRACT($T34, G$1&amp;""[\w &amp;]*, (\d+\.\d+)"")),"""")
"),456)</f>
        <v>456</v>
      </c>
      <c r="H34" s="3" t="n">
        <f aca="false">IFERROR(__xludf.dummyfunction("if($T34&lt;&gt;"""",VALUE(REGEXEXTRACT($T34, H$1&amp;""[\w &amp;]*, (\d+\.\d+)"")),"""")
"),452.5)</f>
        <v>452.5</v>
      </c>
      <c r="I34" s="3" t="n">
        <f aca="false">IFERROR(__xludf.dummyfunction("if($T34&lt;&gt;"""",VALUE(REGEXEXTRACT(SUBSTITUTE ($T34,I$1&amp;"" CE"",""""), I$1&amp;""[\w &amp;]*, (\d+\.\d+)"")),"""")
"),450)</f>
        <v>450</v>
      </c>
      <c r="J34" s="3" t="n">
        <f aca="false">IFERROR(__xludf.dummyfunction("if($T34&lt;&gt;"""",VALUE(REGEXEXTRACT($T34, J$1&amp;""[\w &amp;]*, (\d+\.\d+)"")),"""")
"),452)</f>
        <v>452</v>
      </c>
      <c r="K34" s="3" t="n">
        <f aca="false">IFERROR(__xludf.dummyfunction("if($T34&lt;&gt;"""",VALUE(REGEXEXTRACT($T34, K$1&amp;""[\w &amp;]*, (\d+\.\d+)"")),"""")
"),424.78)</f>
        <v>424.78</v>
      </c>
      <c r="L34" s="3" t="n">
        <f aca="false">IFERROR(__xludf.dummyfunction("if($T34&lt;&gt;"""",VALUE(REGEXEXTRACT(SUBSTITUTE ($T34,L$1&amp;"" CE"",""""), L$1&amp;""[\w &amp;]*, (\d+\.\d+)"")),"""")
"),452.5)</f>
        <v>452.5</v>
      </c>
      <c r="M34" s="3" t="n">
        <f aca="false">IFERROR(__xludf.dummyfunction("if($T34&lt;&gt;"""",VALUE(REGEXEXTRACT($T34, M$1&amp;""[\w &amp;]*, (\d+\.\d+)"")),"""")
"),452)</f>
        <v>452</v>
      </c>
      <c r="N34" s="3" t="n">
        <f aca="false">IFERROR(__xludf.dummyfunction("if($T34&lt;&gt;"""",VALUE(REGEXEXTRACT(SUBSTITUTE ($T34,N$1&amp;"" CE"",""""), N$1&amp;""[\w &amp;]*, (\d+\.\d+)"")),"""")
"),450)</f>
        <v>450</v>
      </c>
      <c r="O34" s="3" t="n">
        <f aca="false">IFERROR(__xludf.dummyfunction("if($T34&lt;&gt;"""",VALUE(REGEXEXTRACT($T34, O$1&amp;""[\w &amp;]*, (\d+\.\d+)"")),"""")
"),455)</f>
        <v>455</v>
      </c>
      <c r="P34" s="2" t="n">
        <f aca="false">IFERROR(__xludf.dummyfunction("if($T34&lt;&gt;"""",VALUE(REGEXEXTRACT($T34, P$1&amp;""[\w &amp;]*, (\d+\.\d+)"")),"""")
"),448.28)</f>
        <v>448.28</v>
      </c>
      <c r="Q34" s="2" t="n">
        <f aca="false">IFERROR(__xludf.dummyfunction("if($T34&lt;&gt;"""",VALUE(REGEXEXTRACT($T34, Q$1&amp;""[\w &amp;]*, (\d+\.\d+)"")),"""")
"),446.75)</f>
        <v>446.75</v>
      </c>
      <c r="R34" s="2" t="n">
        <f aca="false">IFERROR(__xludf.dummyfunction("if($T34&lt;&gt;"""",VALUE(REGEXEXTRACT($T34, SUBSTITUTE(R$1, ""+"", ""\+"")&amp;""[\w &amp;]*, (\d+\.\d+)"")),"""")"),455.62)</f>
        <v>455.62</v>
      </c>
      <c r="S34" s="2" t="n">
        <f aca="false">IFERROR(__xludf.dummyfunction("if($T34&lt;&gt;"""",VALUE(REGEXEXTRACT($T34, SUBSTITUTE(S$1, ""+"", ""\+"")&amp;""[\w &amp;]*, (\d+\.\d+)"")),"""")"),457.15)</f>
        <v>457.15</v>
      </c>
      <c r="T34" s="5" t="s">
        <v>451</v>
      </c>
    </row>
    <row r="35" customFormat="false" ht="15.75" hidden="false" customHeight="false" outlineLevel="0" collapsed="false">
      <c r="A35" s="4" t="n">
        <f aca="false">IFERROR(__xludf.dummyfunction("""COMPUTED_VALUE"""),45448.6666666667)</f>
        <v>45448.6666666667</v>
      </c>
      <c r="B35" s="2" t="n">
        <f aca="false">IFERROR(__xludf.dummyfunction("""COMPUTED_VALUE"""),457.98)</f>
        <v>457.98</v>
      </c>
      <c r="C35" s="2" t="n">
        <f aca="false">IFERROR(__xludf.dummyfunction("""COMPUTED_VALUE"""),463.61)</f>
        <v>463.61</v>
      </c>
      <c r="D35" s="2" t="n">
        <f aca="false">IFERROR(__xludf.dummyfunction("""COMPUTED_VALUE"""),454.41)</f>
        <v>454.41</v>
      </c>
      <c r="E35" s="2" t="n">
        <f aca="false">IFERROR(__xludf.dummyfunction("""COMPUTED_VALUE"""),463.53)</f>
        <v>463.53</v>
      </c>
      <c r="F35" s="3" t="n">
        <f aca="false">IFERROR(__xludf.dummyfunction("if($T35&lt;&gt;"""",VALUE(REGEXEXTRACT(SUBSTITUTE ($T35,F$1&amp;"" CE"",""""), F$1&amp;""[\w &amp;]*, (\d+\.\d+)"")),"""")
"),465)</f>
        <v>465</v>
      </c>
      <c r="G35" s="3" t="n">
        <f aca="false">IFERROR(__xludf.dummyfunction("if($T35&lt;&gt;"""",VALUE(REGEXEXTRACT($T35, G$1&amp;""[\w &amp;]*, (\d+\.\d+)"")),"""")
"),455)</f>
        <v>455</v>
      </c>
      <c r="H35" s="3" t="n">
        <f aca="false">IFERROR(__xludf.dummyfunction("if($T35&lt;&gt;"""",VALUE(REGEXEXTRACT($T35, H$1&amp;""[\w &amp;]*, (\d+\.\d+)"")),"""")
"),452.5)</f>
        <v>452.5</v>
      </c>
      <c r="I35" s="3" t="n">
        <f aca="false">IFERROR(__xludf.dummyfunction("if($T35&lt;&gt;"""",VALUE(REGEXEXTRACT(SUBSTITUTE ($T35,I$1&amp;"" CE"",""""), I$1&amp;""[\w &amp;]*, (\d+\.\d+)"")),"""")
"),450)</f>
        <v>450</v>
      </c>
      <c r="J35" s="3" t="n">
        <f aca="false">IFERROR(__xludf.dummyfunction("if($T35&lt;&gt;"""",VALUE(REGEXEXTRACT($T35, J$1&amp;""[\w &amp;]*, (\d+\.\d+)"")),"""")
"),451)</f>
        <v>451</v>
      </c>
      <c r="K35" s="3" t="n">
        <f aca="false">IFERROR(__xludf.dummyfunction("if($T35&lt;&gt;"""",VALUE(REGEXEXTRACT($T35, K$1&amp;""[\w &amp;]*, (\d+\.\d+)"")),"""")
"),424.78)</f>
        <v>424.78</v>
      </c>
      <c r="L35" s="3" t="n">
        <f aca="false">IFERROR(__xludf.dummyfunction("if($T35&lt;&gt;"""",VALUE(REGEXEXTRACT(SUBSTITUTE ($T35,L$1&amp;"" CE"",""""), L$1&amp;""[\w &amp;]*, (\d+\.\d+)"")),"""")
"),452.5)</f>
        <v>452.5</v>
      </c>
      <c r="M35" s="3" t="n">
        <f aca="false">IFERROR(__xludf.dummyfunction("if($T35&lt;&gt;"""",VALUE(REGEXEXTRACT($T35, M$1&amp;""[\w &amp;]*, (\d+\.\d+)"")),"""")
"),454)</f>
        <v>454</v>
      </c>
      <c r="N35" s="3" t="n">
        <f aca="false">IFERROR(__xludf.dummyfunction("if($T35&lt;&gt;"""",VALUE(REGEXEXTRACT(SUBSTITUTE ($T35,N$1&amp;"" CE"",""""), N$1&amp;""[\w &amp;]*, (\d+\.\d+)"")),"""")
"),450)</f>
        <v>450</v>
      </c>
      <c r="O35" s="3" t="n">
        <f aca="false">IFERROR(__xludf.dummyfunction("if($T35&lt;&gt;"""",VALUE(REGEXEXTRACT($T35, O$1&amp;""[\w &amp;]*, (\d+\.\d+)"")),"""")
"),455)</f>
        <v>455</v>
      </c>
      <c r="P35" s="2" t="n">
        <f aca="false">IFERROR(__xludf.dummyfunction("if($T35&lt;&gt;"""",VALUE(REGEXEXTRACT($T35, P$1&amp;""[\w &amp;]*, (\d+\.\d+)"")),"""")
"),452.57)</f>
        <v>452.57</v>
      </c>
      <c r="Q35" s="2" t="n">
        <f aca="false">IFERROR(__xludf.dummyfunction("if($T35&lt;&gt;"""",VALUE(REGEXEXTRACT($T35, Q$1&amp;""[\w &amp;]*, (\d+\.\d+)"")),"""")
"),450.95)</f>
        <v>450.95</v>
      </c>
      <c r="R35" s="2" t="n">
        <f aca="false">IFERROR(__xludf.dummyfunction("if($T35&lt;&gt;"""",VALUE(REGEXEXTRACT($T35, SUBSTITUTE(R$1, ""+"", ""\+"")&amp;""[\w &amp;]*, (\d+\.\d+)"")),"""")"),460.37)</f>
        <v>460.37</v>
      </c>
      <c r="S35" s="2" t="n">
        <f aca="false">IFERROR(__xludf.dummyfunction("if($T35&lt;&gt;"""",VALUE(REGEXEXTRACT($T35, SUBSTITUTE(S$1, ""+"", ""\+"")&amp;""[\w &amp;]*, (\d+\.\d+)"")),"""")"),461.99)</f>
        <v>461.99</v>
      </c>
      <c r="T35" s="5" t="s">
        <v>452</v>
      </c>
    </row>
    <row r="36" customFormat="false" ht="15.75" hidden="false" customHeight="false" outlineLevel="0" collapsed="false">
      <c r="A36" s="4" t="n">
        <f aca="false">IFERROR(__xludf.dummyfunction("""COMPUTED_VALUE"""),45449.6666666667)</f>
        <v>45449.6666666667</v>
      </c>
      <c r="B36" s="2" t="n">
        <f aca="false">IFERROR(__xludf.dummyfunction("""COMPUTED_VALUE"""),464.22)</f>
        <v>464.22</v>
      </c>
      <c r="C36" s="2" t="n">
        <f aca="false">IFERROR(__xludf.dummyfunction("""COMPUTED_VALUE"""),464.54)</f>
        <v>464.54</v>
      </c>
      <c r="D36" s="2" t="n">
        <f aca="false">IFERROR(__xludf.dummyfunction("""COMPUTED_VALUE"""),462.19)</f>
        <v>462.19</v>
      </c>
      <c r="E36" s="2" t="n">
        <f aca="false">IFERROR(__xludf.dummyfunction("""COMPUTED_VALUE"""),463.37)</f>
        <v>463.37</v>
      </c>
      <c r="F36" s="3" t="str">
        <f aca="false">IFERROR(__xludf.dummyfunction("if($T36&lt;&gt;"""",VALUE(REGEXEXTRACT(SUBSTITUTE ($T36,F$1&amp;"" CE"",""""), F$1&amp;""[\w &amp;]*, (\d+\.\d+)"")),"""")
"),"#N/A")</f>
        <v>#N/A</v>
      </c>
      <c r="G36" s="3" t="str">
        <f aca="false">IFERROR(__xludf.dummyfunction("if($T36&lt;&gt;"""",VALUE(REGEXEXTRACT($T36, G$1&amp;""[\w &amp;]*, (\d+\.\d+)"")),"""")
"),"#N/A")</f>
        <v>#N/A</v>
      </c>
      <c r="H36" s="3" t="str">
        <f aca="false">IFERROR(__xludf.dummyfunction("if($T36&lt;&gt;"""",VALUE(REGEXEXTRACT($T36, H$1&amp;""[\w &amp;]*, (\d+\.\d+)"")),"""")
"),"#N/A")</f>
        <v>#N/A</v>
      </c>
      <c r="I36" s="3" t="str">
        <f aca="false">IFERROR(__xludf.dummyfunction("if($T36&lt;&gt;"""",VALUE(REGEXEXTRACT(SUBSTITUTE ($T36,I$1&amp;"" CE"",""""), I$1&amp;""[\w &amp;]*, (\d+\.\d+)"")),"""")
"),"#N/A")</f>
        <v>#N/A</v>
      </c>
      <c r="J36" s="3" t="str">
        <f aca="false">IFERROR(__xludf.dummyfunction("if($T36&lt;&gt;"""",VALUE(REGEXEXTRACT($T36, J$1&amp;""[\w &amp;]*, (\d+\.\d+)"")),"""")
"),"#N/A")</f>
        <v>#N/A</v>
      </c>
      <c r="K36" s="3" t="str">
        <f aca="false">IFERROR(__xludf.dummyfunction("if($T36&lt;&gt;"""",VALUE(REGEXEXTRACT($T36, K$1&amp;""[\w &amp;]*, (\d+\.\d+)"")),"""")
"),"#N/A")</f>
        <v>#N/A</v>
      </c>
      <c r="L36" s="3" t="str">
        <f aca="false">IFERROR(__xludf.dummyfunction("if($T36&lt;&gt;"""",VALUE(REGEXEXTRACT(SUBSTITUTE ($T36,L$1&amp;"" CE"",""""), L$1&amp;""[\w &amp;]*, (\d+\.\d+)"")),"""")
"),"#N/A")</f>
        <v>#N/A</v>
      </c>
      <c r="M36" s="3" t="str">
        <f aca="false">IFERROR(__xludf.dummyfunction("if($T36&lt;&gt;"""",VALUE(REGEXEXTRACT($T36, M$1&amp;""[\w &amp;]*, (\d+\.\d+)"")),"""")
"),"#N/A")</f>
        <v>#N/A</v>
      </c>
      <c r="N36" s="3" t="str">
        <f aca="false">IFERROR(__xludf.dummyfunction("if($T36&lt;&gt;"""",VALUE(REGEXEXTRACT(SUBSTITUTE ($T36,N$1&amp;"" CE"",""""), N$1&amp;""[\w &amp;]*, (\d+\.\d+)"")),"""")
"),"#N/A")</f>
        <v>#N/A</v>
      </c>
      <c r="O36" s="3" t="str">
        <f aca="false">IFERROR(__xludf.dummyfunction("if($T36&lt;&gt;"""",VALUE(REGEXEXTRACT($T36, O$1&amp;""[\w &amp;]*, (\d+\.\d+)"")),"""")
"),"#N/A")</f>
        <v>#N/A</v>
      </c>
      <c r="P36" s="2" t="str">
        <f aca="false">IFERROR(__xludf.dummyfunction("if($T36&lt;&gt;"""",VALUE(REGEXEXTRACT($T36, P$1&amp;""[\w &amp;]*, (\d+\.\d+)"")),"""")
"),"#N/A")</f>
        <v>#N/A</v>
      </c>
      <c r="Q36" s="2" t="str">
        <f aca="false">IFERROR(__xludf.dummyfunction("if($T36&lt;&gt;"""",VALUE(REGEXEXTRACT($T36, Q$1&amp;""[\w &amp;]*, (\d+\.\d+)"")),"""")
"),"#N/A")</f>
        <v>#N/A</v>
      </c>
      <c r="R36" s="2" t="str">
        <f aca="false">IFERROR(__xludf.dummyfunction("if($T36&lt;&gt;"""",VALUE(REGEXEXTRACT($T36, SUBSTITUTE(R$1, ""+"", ""\+"")&amp;""[\w &amp;]*, (\d+\.\d+)"")),"""")"),"#N/A")</f>
        <v>#N/A</v>
      </c>
      <c r="S36" s="2" t="str">
        <f aca="false">IFERROR(__xludf.dummyfunction("if($T36&lt;&gt;"""",VALUE(REGEXEXTRACT($T36, SUBSTITUTE(S$1, ""+"", ""\+"")&amp;""[\w &amp;]*, (\d+\.\d+)"")),"""")"),"#N/A")</f>
        <v>#N/A</v>
      </c>
      <c r="T36" s="5" t="s">
        <v>453</v>
      </c>
    </row>
    <row r="37" customFormat="false" ht="15.75" hidden="false" customHeight="false" outlineLevel="0" collapsed="false">
      <c r="A37" s="4" t="n">
        <f aca="false">IFERROR(__xludf.dummyfunction("""COMPUTED_VALUE"""),45450.6666666667)</f>
        <v>45450.6666666667</v>
      </c>
      <c r="B37" s="2" t="n">
        <f aca="false">IFERROR(__xludf.dummyfunction("""COMPUTED_VALUE"""),463)</f>
        <v>463</v>
      </c>
      <c r="C37" s="2" t="n">
        <f aca="false">IFERROR(__xludf.dummyfunction("""COMPUTED_VALUE"""),465.74)</f>
        <v>465.74</v>
      </c>
      <c r="D37" s="2" t="n">
        <f aca="false">IFERROR(__xludf.dummyfunction("""COMPUTED_VALUE"""),461.84)</f>
        <v>461.84</v>
      </c>
      <c r="E37" s="2" t="n">
        <f aca="false">IFERROR(__xludf.dummyfunction("""COMPUTED_VALUE"""),462.96)</f>
        <v>462.96</v>
      </c>
      <c r="F37" s="3" t="n">
        <f aca="false">IFERROR(__xludf.dummyfunction("if($T37&lt;&gt;"""",VALUE(REGEXEXTRACT(SUBSTITUTE ($T37,F$1&amp;"" CE"",""""), F$1&amp;""[\w &amp;]*, (\d+\.\d+)"")),"""")
"),463)</f>
        <v>463</v>
      </c>
      <c r="G37" s="3" t="n">
        <f aca="false">IFERROR(__xludf.dummyfunction("if($T37&lt;&gt;"""",VALUE(REGEXEXTRACT($T37, G$1&amp;""[\w &amp;]*, (\d+\.\d+)"")),"""")
"),463)</f>
        <v>463</v>
      </c>
      <c r="H37" s="3" t="n">
        <f aca="false">IFERROR(__xludf.dummyfunction("if($T37&lt;&gt;"""",VALUE(REGEXEXTRACT($T37, H$1&amp;""[\w &amp;]*, (\d+\.\d+)"")),"""")
"),461)</f>
        <v>461</v>
      </c>
      <c r="I37" s="3" t="n">
        <f aca="false">IFERROR(__xludf.dummyfunction("if($T37&lt;&gt;"""",VALUE(REGEXEXTRACT(SUBSTITUTE ($T37,I$1&amp;"" CE"",""""), I$1&amp;""[\w &amp;]*, (\d+\.\d+)"")),"""")
"),460)</f>
        <v>460</v>
      </c>
      <c r="J37" s="3" t="n">
        <f aca="false">IFERROR(__xludf.dummyfunction("if($T37&lt;&gt;"""",VALUE(REGEXEXTRACT($T37, J$1&amp;""[\w &amp;]*, (\d+\.\d+)"")),"""")
"),460)</f>
        <v>460</v>
      </c>
      <c r="K37" s="3" t="n">
        <f aca="false">IFERROR(__xludf.dummyfunction("if($T37&lt;&gt;"""",VALUE(REGEXEXTRACT($T37, K$1&amp;""[\w &amp;]*, (\d+\.\d+)"")),"""")
"),429.78)</f>
        <v>429.78</v>
      </c>
      <c r="L37" s="3" t="n">
        <f aca="false">IFERROR(__xludf.dummyfunction("if($T37&lt;&gt;"""",VALUE(REGEXEXTRACT(SUBSTITUTE ($T37,L$1&amp;"" CE"",""""), L$1&amp;""[\w &amp;]*, (\d+\.\d+)"")),"""")
"),461)</f>
        <v>461</v>
      </c>
      <c r="M37" s="3" t="n">
        <f aca="false">IFERROR(__xludf.dummyfunction("if($T37&lt;&gt;"""",VALUE(REGEXEXTRACT($T37, M$1&amp;""[\w &amp;]*, (\d+\.\d+)"")),"""")
"),461)</f>
        <v>461</v>
      </c>
      <c r="N37" s="3" t="n">
        <f aca="false">IFERROR(__xludf.dummyfunction("if($T37&lt;&gt;"""",VALUE(REGEXEXTRACT(SUBSTITUTE ($T37,N$1&amp;"" CE"",""""), N$1&amp;""[\w &amp;]*, (\d+\.\d+)"")),"""")
"),460)</f>
        <v>460</v>
      </c>
      <c r="O37" s="3" t="n">
        <f aca="false">IFERROR(__xludf.dummyfunction("if($T37&lt;&gt;"""",VALUE(REGEXEXTRACT($T37, O$1&amp;""[\w &amp;]*, (\d+\.\d+)"")),"""")
"),460)</f>
        <v>460</v>
      </c>
      <c r="P37" s="2" t="n">
        <f aca="false">IFERROR(__xludf.dummyfunction("if($T37&lt;&gt;"""",VALUE(REGEXEXTRACT($T37, P$1&amp;""[\w &amp;]*, (\d+\.\d+)"")),"""")
"),457.95)</f>
        <v>457.95</v>
      </c>
      <c r="Q37" s="2" t="n">
        <f aca="false">IFERROR(__xludf.dummyfunction("if($T37&lt;&gt;"""",VALUE(REGEXEXTRACT($T37, Q$1&amp;""[\w &amp;]*, (\d+\.\d+)"")),"""")
"),454.06)</f>
        <v>454.06</v>
      </c>
      <c r="R37" s="2" t="n">
        <f aca="false">IFERROR(__xludf.dummyfunction("if($T37&lt;&gt;"""",VALUE(REGEXEXTRACT($T37, SUBSTITUTE(R$1, ""+"", ""\+"")&amp;""[\w &amp;]*, (\d+\.\d+)"")),"""")"),465.71)</f>
        <v>465.71</v>
      </c>
      <c r="S37" s="2" t="n">
        <f aca="false">IFERROR(__xludf.dummyfunction("if($T37&lt;&gt;"""",VALUE(REGEXEXTRACT($T37, SUBSTITUTE(S$1, ""+"", ""\+"")&amp;""[\w &amp;]*, (\d+\.\d+)"")),"""")"),469.6)</f>
        <v>469.6</v>
      </c>
      <c r="T37" s="5" t="s">
        <v>454</v>
      </c>
    </row>
    <row r="38" customFormat="false" ht="15.75" hidden="false" customHeight="false" outlineLevel="0" collapsed="false">
      <c r="A38" s="4" t="n">
        <f aca="false">IFERROR(__xludf.dummyfunction("""COMPUTED_VALUE"""),45453.6666666667)</f>
        <v>45453.6666666667</v>
      </c>
      <c r="B38" s="2" t="n">
        <f aca="false">IFERROR(__xludf.dummyfunction("""COMPUTED_VALUE"""),461.82)</f>
        <v>461.82</v>
      </c>
      <c r="C38" s="2" t="n">
        <f aca="false">IFERROR(__xludf.dummyfunction("""COMPUTED_VALUE"""),465.19)</f>
        <v>465.19</v>
      </c>
      <c r="D38" s="2" t="n">
        <f aca="false">IFERROR(__xludf.dummyfunction("""COMPUTED_VALUE"""),461.53)</f>
        <v>461.53</v>
      </c>
      <c r="E38" s="2" t="n">
        <f aca="false">IFERROR(__xludf.dummyfunction("""COMPUTED_VALUE"""),464.83)</f>
        <v>464.83</v>
      </c>
      <c r="F38" s="3" t="n">
        <f aca="false">IFERROR(__xludf.dummyfunction("if($T38&lt;&gt;"""",VALUE(REGEXEXTRACT(SUBSTITUTE ($T38,F$1&amp;"" CE"",""""), F$1&amp;""[\w &amp;]*, (\d+\.\d+)"")),"""")
"),465)</f>
        <v>465</v>
      </c>
      <c r="G38" s="3" t="n">
        <f aca="false">IFERROR(__xludf.dummyfunction("if($T38&lt;&gt;"""",VALUE(REGEXEXTRACT($T38, G$1&amp;""[\w &amp;]*, (\d+\.\d+)"")),"""")
"),467)</f>
        <v>467</v>
      </c>
      <c r="H38" s="3" t="n">
        <f aca="false">IFERROR(__xludf.dummyfunction("if($T38&lt;&gt;"""",VALUE(REGEXEXTRACT($T38, H$1&amp;""[\w &amp;]*, (\d+\.\d+)"")),"""")
"),462)</f>
        <v>462</v>
      </c>
      <c r="I38" s="3" t="n">
        <f aca="false">IFERROR(__xludf.dummyfunction("if($T38&lt;&gt;"""",VALUE(REGEXEXTRACT(SUBSTITUTE ($T38,I$1&amp;"" CE"",""""), I$1&amp;""[\w &amp;]*, (\d+\.\d+)"")),"""")
"),455)</f>
        <v>455</v>
      </c>
      <c r="J38" s="3" t="n">
        <f aca="false">IFERROR(__xludf.dummyfunction("if($T38&lt;&gt;"""",VALUE(REGEXEXTRACT($T38, J$1&amp;""[\w &amp;]*, (\d+\.\d+)"")),"""")
"),460)</f>
        <v>460</v>
      </c>
      <c r="K38" s="3" t="n">
        <f aca="false">IFERROR(__xludf.dummyfunction("if($T38&lt;&gt;"""",VALUE(REGEXEXTRACT($T38, K$1&amp;""[\w &amp;]*, (\d+\.\d+)"")),"""")
"),439.78)</f>
        <v>439.78</v>
      </c>
      <c r="L38" s="3" t="n">
        <f aca="false">IFERROR(__xludf.dummyfunction("if($T38&lt;&gt;"""",VALUE(REGEXEXTRACT(SUBSTITUTE ($T38,L$1&amp;"" CE"",""""), L$1&amp;""[\w &amp;]*, (\d+\.\d+)"")),"""")
"),462)</f>
        <v>462</v>
      </c>
      <c r="M38" s="3" t="n">
        <f aca="false">IFERROR(__xludf.dummyfunction("if($T38&lt;&gt;"""",VALUE(REGEXEXTRACT($T38, M$1&amp;""[\w &amp;]*, (\d+\.\d+)"")),"""")
"),465)</f>
        <v>465</v>
      </c>
      <c r="N38" s="3" t="n">
        <f aca="false">IFERROR(__xludf.dummyfunction("if($T38&lt;&gt;"""",VALUE(REGEXEXTRACT(SUBSTITUTE ($T38,N$1&amp;"" CE"",""""), N$1&amp;""[\w &amp;]*, (\d+\.\d+)"")),"""")
"),465)</f>
        <v>465</v>
      </c>
      <c r="O38" s="3" t="n">
        <f aca="false">IFERROR(__xludf.dummyfunction("if($T38&lt;&gt;"""",VALUE(REGEXEXTRACT($T38, O$1&amp;""[\w &amp;]*, (\d+\.\d+)"")),"""")
"),465)</f>
        <v>465</v>
      </c>
      <c r="P38" s="2" t="n">
        <f aca="false">IFERROR(__xludf.dummyfunction("if($T38&lt;&gt;"""",VALUE(REGEXEXTRACT($T38, P$1&amp;""[\w &amp;]*, (\d+\.\d+)"")),"""")
"),459.52)</f>
        <v>459.52</v>
      </c>
      <c r="Q38" s="2" t="n">
        <f aca="false">IFERROR(__xludf.dummyfunction("if($T38&lt;&gt;"""",VALUE(REGEXEXTRACT($T38, Q$1&amp;""[\w &amp;]*, (\d+\.\d+)"")),"""")
"),458.19)</f>
        <v>458.19</v>
      </c>
      <c r="R38" s="2" t="n">
        <f aca="false">IFERROR(__xludf.dummyfunction("if($T38&lt;&gt;"""",VALUE(REGEXEXTRACT($T38, SUBSTITUTE(R$1, ""+"", ""\+"")&amp;""[\w &amp;]*, (\d+\.\d+)"")),"""")"),465.96)</f>
        <v>465.96</v>
      </c>
      <c r="S38" s="2" t="n">
        <f aca="false">IFERROR(__xludf.dummyfunction("if($T38&lt;&gt;"""",VALUE(REGEXEXTRACT($T38, SUBSTITUTE(S$1, ""+"", ""\+"")&amp;""[\w &amp;]*, (\d+\.\d+)"")),"""")"),467.29)</f>
        <v>467.29</v>
      </c>
      <c r="T38" s="5" t="s">
        <v>455</v>
      </c>
    </row>
    <row r="39" customFormat="false" ht="15.75" hidden="false" customHeight="false" outlineLevel="0" collapsed="false">
      <c r="A39" s="4" t="n">
        <f aca="false">IFERROR(__xludf.dummyfunction("""COMPUTED_VALUE"""),45454.6666666667)</f>
        <v>45454.6666666667</v>
      </c>
      <c r="B39" s="2" t="n">
        <f aca="false">IFERROR(__xludf.dummyfunction("""COMPUTED_VALUE"""),463.54)</f>
        <v>463.54</v>
      </c>
      <c r="C39" s="2" t="n">
        <f aca="false">IFERROR(__xludf.dummyfunction("""COMPUTED_VALUE"""),468.14)</f>
        <v>468.14</v>
      </c>
      <c r="D39" s="2" t="n">
        <f aca="false">IFERROR(__xludf.dummyfunction("""COMPUTED_VALUE"""),462.03)</f>
        <v>462.03</v>
      </c>
      <c r="E39" s="2" t="n">
        <f aca="false">IFERROR(__xludf.dummyfunction("""COMPUTED_VALUE"""),468.02)</f>
        <v>468.02</v>
      </c>
      <c r="F39" s="3" t="n">
        <f aca="false">IFERROR(__xludf.dummyfunction("if($T39&lt;&gt;"""",VALUE(REGEXEXTRACT(SUBSTITUTE ($T39,F$1&amp;"" CE"",""""), F$1&amp;""[\w &amp;]*, (\d+\.\d+)"")),"""")
"),465)</f>
        <v>465</v>
      </c>
      <c r="G39" s="3" t="n">
        <f aca="false">IFERROR(__xludf.dummyfunction("if($T39&lt;&gt;"""",VALUE(REGEXEXTRACT($T39, G$1&amp;""[\w &amp;]*, (\d+\.\d+)"")),"""")
"),468)</f>
        <v>468</v>
      </c>
      <c r="H39" s="3" t="n">
        <f aca="false">IFERROR(__xludf.dummyfunction("if($T39&lt;&gt;"""",VALUE(REGEXEXTRACT($T39, H$1&amp;""[\w &amp;]*, (\d+\.\d+)"")),"""")
"),464)</f>
        <v>464</v>
      </c>
      <c r="I39" s="3" t="n">
        <f aca="false">IFERROR(__xludf.dummyfunction("if($T39&lt;&gt;"""",VALUE(REGEXEXTRACT(SUBSTITUTE ($T39,I$1&amp;"" CE"",""""), I$1&amp;""[\w &amp;]*, (\d+\.\d+)"")),"""")
"),465)</f>
        <v>465</v>
      </c>
      <c r="J39" s="3" t="n">
        <f aca="false">IFERROR(__xludf.dummyfunction("if($T39&lt;&gt;"""",VALUE(REGEXEXTRACT($T39, J$1&amp;""[\w &amp;]*, (\d+\.\d+)"")),"""")
"),465)</f>
        <v>465</v>
      </c>
      <c r="K39" s="3" t="n">
        <f aca="false">IFERROR(__xludf.dummyfunction("if($T39&lt;&gt;"""",VALUE(REGEXEXTRACT($T39, K$1&amp;""[\w &amp;]*, (\d+\.\d+)"")),"""")
"),439.78)</f>
        <v>439.78</v>
      </c>
      <c r="L39" s="3" t="n">
        <f aca="false">IFERROR(__xludf.dummyfunction("if($T39&lt;&gt;"""",VALUE(REGEXEXTRACT(SUBSTITUTE ($T39,L$1&amp;"" CE"",""""), L$1&amp;""[\w &amp;]*, (\d+\.\d+)"")),"""")
"),464)</f>
        <v>464</v>
      </c>
      <c r="M39" s="3" t="n">
        <f aca="false">IFERROR(__xludf.dummyfunction("if($T39&lt;&gt;"""",VALUE(REGEXEXTRACT($T39, M$1&amp;""[\w &amp;]*, (\d+\.\d+)"")),"""")
"),465)</f>
        <v>465</v>
      </c>
      <c r="N39" s="3" t="n">
        <f aca="false">IFERROR(__xludf.dummyfunction("if($T39&lt;&gt;"""",VALUE(REGEXEXTRACT(SUBSTITUTE ($T39,N$1&amp;"" CE"",""""), N$1&amp;""[\w &amp;]*, (\d+\.\d+)"")),"""")
"),465)</f>
        <v>465</v>
      </c>
      <c r="O39" s="3" t="n">
        <f aca="false">IFERROR(__xludf.dummyfunction("if($T39&lt;&gt;"""",VALUE(REGEXEXTRACT($T39, O$1&amp;""[\w &amp;]*, (\d+\.\d+)"")),"""")
"),465)</f>
        <v>465</v>
      </c>
      <c r="P39" s="2" t="n">
        <f aca="false">IFERROR(__xludf.dummyfunction("if($T39&lt;&gt;"""",VALUE(REGEXEXTRACT($T39, P$1&amp;""[\w &amp;]*, (\d+\.\d+)"")),"""")
"),459.65)</f>
        <v>459.65</v>
      </c>
      <c r="Q39" s="2" t="n">
        <f aca="false">IFERROR(__xludf.dummyfunction("if($T39&lt;&gt;"""",VALUE(REGEXEXTRACT($T39, Q$1&amp;""[\w &amp;]*, (\d+\.\d+)"")),"""")
"),458.08)</f>
        <v>458.08</v>
      </c>
      <c r="R39" s="2" t="n">
        <f aca="false">IFERROR(__xludf.dummyfunction("if($T39&lt;&gt;"""",VALUE(REGEXEXTRACT($T39, SUBSTITUTE(R$1, ""+"", ""\+"")&amp;""[\w &amp;]*, (\d+\.\d+)"")),"""")"),467.19)</f>
        <v>467.19</v>
      </c>
      <c r="S39" s="2" t="n">
        <f aca="false">IFERROR(__xludf.dummyfunction("if($T39&lt;&gt;"""",VALUE(REGEXEXTRACT($T39, SUBSTITUTE(S$1, ""+"", ""\+"")&amp;""[\w &amp;]*, (\d+\.\d+)"")),"""")"),468.76)</f>
        <v>468.76</v>
      </c>
      <c r="T39" s="5" t="s">
        <v>456</v>
      </c>
    </row>
    <row r="40" customFormat="false" ht="15.75" hidden="false" customHeight="false" outlineLevel="0" collapsed="false">
      <c r="A40" s="4" t="n">
        <f aca="false">IFERROR(__xludf.dummyfunction("""COMPUTED_VALUE"""),45455.6666666667)</f>
        <v>45455.6666666667</v>
      </c>
      <c r="B40" s="2" t="n">
        <f aca="false">IFERROR(__xludf.dummyfunction("""COMPUTED_VALUE"""),471.99)</f>
        <v>471.99</v>
      </c>
      <c r="C40" s="2" t="n">
        <f aca="false">IFERROR(__xludf.dummyfunction("""COMPUTED_VALUE"""),476.5)</f>
        <v>476.5</v>
      </c>
      <c r="D40" s="2" t="n">
        <f aca="false">IFERROR(__xludf.dummyfunction("""COMPUTED_VALUE"""),471.29)</f>
        <v>471.29</v>
      </c>
      <c r="E40" s="2" t="n">
        <f aca="false">IFERROR(__xludf.dummyfunction("""COMPUTED_VALUE"""),474.15)</f>
        <v>474.15</v>
      </c>
      <c r="F40" s="3" t="n">
        <f aca="false">IFERROR(__xludf.dummyfunction("if($T40&lt;&gt;"""",VALUE(REGEXEXTRACT(SUBSTITUTE ($T40,F$1&amp;"" CE"",""""), F$1&amp;""[\w &amp;]*, (\d+\.\d+)"")),"""")
"),465)</f>
        <v>465</v>
      </c>
      <c r="G40" s="3" t="n">
        <f aca="false">IFERROR(__xludf.dummyfunction("if($T40&lt;&gt;"""",VALUE(REGEXEXTRACT($T40, G$1&amp;""[\w &amp;]*, (\d+\.\d+)"")),"""")
"),471)</f>
        <v>471</v>
      </c>
      <c r="H40" s="3" t="n">
        <f aca="false">IFERROR(__xludf.dummyfunction("if($T40&lt;&gt;"""",VALUE(REGEXEXTRACT($T40, H$1&amp;""[\w &amp;]*, (\d+\.\d+)"")),"""")
"),462)</f>
        <v>462</v>
      </c>
      <c r="I40" s="3" t="n">
        <f aca="false">IFERROR(__xludf.dummyfunction("if($T40&lt;&gt;"""",VALUE(REGEXEXTRACT(SUBSTITUTE ($T40,I$1&amp;"" CE"",""""), I$1&amp;""[\w &amp;]*, (\d+\.\d+)"")),"""")
"),460)</f>
        <v>460</v>
      </c>
      <c r="J40" s="3" t="n">
        <f aca="false">IFERROR(__xludf.dummyfunction("if($T40&lt;&gt;"""",VALUE(REGEXEXTRACT($T40, J$1&amp;""[\w &amp;]*, (\d+\.\d+)"")),"""")
"),461)</f>
        <v>461</v>
      </c>
      <c r="K40" s="3" t="n">
        <f aca="false">IFERROR(__xludf.dummyfunction("if($T40&lt;&gt;"""",VALUE(REGEXEXTRACT($T40, K$1&amp;""[\w &amp;]*, (\d+\.\d+)"")),"""")
"),394.78)</f>
        <v>394.78</v>
      </c>
      <c r="L40" s="3" t="n">
        <f aca="false">IFERROR(__xludf.dummyfunction("if($T40&lt;&gt;"""",VALUE(REGEXEXTRACT(SUBSTITUTE ($T40,L$1&amp;"" CE"",""""), L$1&amp;""[\w &amp;]*, (\d+\.\d+)"")),"""")
"),462)</f>
        <v>462</v>
      </c>
      <c r="M40" s="3" t="n">
        <f aca="false">IFERROR(__xludf.dummyfunction("if($T40&lt;&gt;"""",VALUE(REGEXEXTRACT($T40, M$1&amp;""[\w &amp;]*, (\d+\.\d+)"")),"""")
"),466)</f>
        <v>466</v>
      </c>
      <c r="N40" s="3" t="n">
        <f aca="false">IFERROR(__xludf.dummyfunction("if($T40&lt;&gt;"""",VALUE(REGEXEXTRACT(SUBSTITUTE ($T40,N$1&amp;"" CE"",""""), N$1&amp;""[\w &amp;]*, (\d+\.\d+)"")),"""")
"),470)</f>
        <v>470</v>
      </c>
      <c r="O40" s="3" t="n">
        <f aca="false">IFERROR(__xludf.dummyfunction("if($T40&lt;&gt;"""",VALUE(REGEXEXTRACT($T40, O$1&amp;""[\w &amp;]*, (\d+\.\d+)"")),"""")
"),465)</f>
        <v>465</v>
      </c>
      <c r="P40" s="2" t="n">
        <f aca="false">IFERROR(__xludf.dummyfunction("if($T40&lt;&gt;"""",VALUE(REGEXEXTRACT($T40, P$1&amp;""[\w &amp;]*, (\d+\.\d+)"")),"""")
"),464.81)</f>
        <v>464.81</v>
      </c>
      <c r="Q40" s="2" t="n">
        <f aca="false">IFERROR(__xludf.dummyfunction("if($T40&lt;&gt;"""",VALUE(REGEXEXTRACT($T40, Q$1&amp;""[\w &amp;]*, (\d+\.\d+)"")),"""")
"),463.21)</f>
        <v>463.21</v>
      </c>
      <c r="R40" s="2" t="n">
        <f aca="false">IFERROR(__xludf.dummyfunction("if($T40&lt;&gt;"""",VALUE(REGEXEXTRACT($T40, SUBSTITUTE(R$1, ""+"", ""\+"")&amp;""[\w &amp;]*, (\d+\.\d+)"")),"""")"),472.57)</f>
        <v>472.57</v>
      </c>
      <c r="S40" s="2" t="n">
        <f aca="false">IFERROR(__xludf.dummyfunction("if($T40&lt;&gt;"""",VALUE(REGEXEXTRACT($T40, SUBSTITUTE(S$1, ""+"", ""\+"")&amp;""[\w &amp;]*, (\d+\.\d+)"")),"""")"),474.17)</f>
        <v>474.17</v>
      </c>
      <c r="T40" s="5" t="s">
        <v>457</v>
      </c>
    </row>
    <row r="41" customFormat="false" ht="15.75" hidden="false" customHeight="false" outlineLevel="0" collapsed="false">
      <c r="A41" s="4" t="n">
        <f aca="false">IFERROR(__xludf.dummyfunction("""COMPUTED_VALUE"""),45456.6666666667)</f>
        <v>45456.6666666667</v>
      </c>
      <c r="B41" s="2" t="n">
        <f aca="false">IFERROR(__xludf.dummyfunction("""COMPUTED_VALUE"""),477.72)</f>
        <v>477.72</v>
      </c>
      <c r="C41" s="2" t="n">
        <f aca="false">IFERROR(__xludf.dummyfunction("""COMPUTED_VALUE"""),478.39)</f>
        <v>478.39</v>
      </c>
      <c r="D41" s="2" t="n">
        <f aca="false">IFERROR(__xludf.dummyfunction("""COMPUTED_VALUE"""),474.42)</f>
        <v>474.42</v>
      </c>
      <c r="E41" s="2" t="n">
        <f aca="false">IFERROR(__xludf.dummyfunction("""COMPUTED_VALUE"""),476.72)</f>
        <v>476.72</v>
      </c>
      <c r="F41" s="3" t="n">
        <f aca="false">IFERROR(__xludf.dummyfunction("if($T41&lt;&gt;"""",VALUE(REGEXEXTRACT(SUBSTITUTE ($T41,F$1&amp;"" CE"",""""), F$1&amp;""[\w &amp;]*, (\d+\.\d+)"")),"""")
"),475)</f>
        <v>475</v>
      </c>
      <c r="G41" s="3" t="n">
        <f aca="false">IFERROR(__xludf.dummyfunction("if($T41&lt;&gt;"""",VALUE(REGEXEXTRACT($T41, G$1&amp;""[\w &amp;]*, (\d+\.\d+)"")),"""")
"),476)</f>
        <v>476</v>
      </c>
      <c r="H41" s="3" t="n">
        <f aca="false">IFERROR(__xludf.dummyfunction("if($T41&lt;&gt;"""",VALUE(REGEXEXTRACT($T41, H$1&amp;""[\w &amp;]*, (\d+\.\d+)"")),"""")
"),472)</f>
        <v>472</v>
      </c>
      <c r="I41" s="3" t="n">
        <f aca="false">IFERROR(__xludf.dummyfunction("if($T41&lt;&gt;"""",VALUE(REGEXEXTRACT(SUBSTITUTE ($T41,I$1&amp;"" CE"",""""), I$1&amp;""[\w &amp;]*, (\d+\.\d+)"")),"""")
"),460)</f>
        <v>460</v>
      </c>
      <c r="J41" s="3" t="n">
        <f aca="false">IFERROR(__xludf.dummyfunction("if($T41&lt;&gt;"""",VALUE(REGEXEXTRACT($T41, J$1&amp;""[\w &amp;]*, (\d+\.\d+)"")),"""")
"),470)</f>
        <v>470</v>
      </c>
      <c r="K41" s="3" t="n">
        <f aca="false">IFERROR(__xludf.dummyfunction("if($T41&lt;&gt;"""",VALUE(REGEXEXTRACT($T41, K$1&amp;""[\w &amp;]*, (\d+\.\d+)"")),"""")
"),394.78)</f>
        <v>394.78</v>
      </c>
      <c r="L41" s="3" t="n">
        <f aca="false">IFERROR(__xludf.dummyfunction("if($T41&lt;&gt;"""",VALUE(REGEXEXTRACT(SUBSTITUTE ($T41,L$1&amp;"" CE"",""""), L$1&amp;""[\w &amp;]*, (\d+\.\d+)"")),"""")
"),462)</f>
        <v>462</v>
      </c>
      <c r="M41" s="3" t="n">
        <f aca="false">IFERROR(__xludf.dummyfunction("if($T41&lt;&gt;"""",VALUE(REGEXEXTRACT($T41, M$1&amp;""[\w &amp;]*, (\d+\.\d+)"")),"""")
"),473)</f>
        <v>473</v>
      </c>
      <c r="N41" s="3" t="n">
        <f aca="false">IFERROR(__xludf.dummyfunction("if($T41&lt;&gt;"""",VALUE(REGEXEXTRACT(SUBSTITUTE ($T41,N$1&amp;"" CE"",""""), N$1&amp;""[\w &amp;]*, (\d+\.\d+)"")),"""")
"),475)</f>
        <v>475</v>
      </c>
      <c r="O41" s="3" t="n">
        <f aca="false">IFERROR(__xludf.dummyfunction("if($T41&lt;&gt;"""",VALUE(REGEXEXTRACT($T41, O$1&amp;""[\w &amp;]*, (\d+\.\d+)"")),"""")
"),475)</f>
        <v>475</v>
      </c>
      <c r="P41" s="2" t="n">
        <f aca="false">IFERROR(__xludf.dummyfunction("if($T41&lt;&gt;"""",VALUE(REGEXEXTRACT($T41, P$1&amp;""[\w &amp;]*, (\d+\.\d+)"")),"""")
"),474.86)</f>
        <v>474.86</v>
      </c>
      <c r="Q41" s="2" t="n">
        <f aca="false">IFERROR(__xludf.dummyfunction("if($T41&lt;&gt;"""",VALUE(REGEXEXTRACT($T41, Q$1&amp;""[\w &amp;]*, (\d+\.\d+)"")),"""")
"),473.97)</f>
        <v>473.97</v>
      </c>
      <c r="R41" s="2" t="n">
        <f aca="false">IFERROR(__xludf.dummyfunction("if($T41&lt;&gt;"""",VALUE(REGEXEXTRACT($T41, SUBSTITUTE(R$1, ""+"", ""\+"")&amp;""[\w &amp;]*, (\d+\.\d+)"")),"""")"),479.12)</f>
        <v>479.12</v>
      </c>
      <c r="S41" s="2" t="n">
        <f aca="false">IFERROR(__xludf.dummyfunction("if($T41&lt;&gt;"""",VALUE(REGEXEXTRACT($T41, SUBSTITUTE(S$1, ""+"", ""\+"")&amp;""[\w &amp;]*, (\d+\.\d+)"")),"""")"),480.01)</f>
        <v>480.01</v>
      </c>
      <c r="T41" s="5" t="s">
        <v>458</v>
      </c>
    </row>
    <row r="42" customFormat="false" ht="15.75" hidden="false" customHeight="false" outlineLevel="0" collapsed="false">
      <c r="A42" s="4" t="n">
        <f aca="false">IFERROR(__xludf.dummyfunction("""COMPUTED_VALUE"""),45457.6666666667)</f>
        <v>45457.6666666667</v>
      </c>
      <c r="B42" s="2" t="n">
        <f aca="false">IFERROR(__xludf.dummyfunction("""COMPUTED_VALUE"""),476.52)</f>
        <v>476.52</v>
      </c>
      <c r="C42" s="2" t="n">
        <f aca="false">IFERROR(__xludf.dummyfunction("""COMPUTED_VALUE"""),479.26)</f>
        <v>479.26</v>
      </c>
      <c r="D42" s="2" t="n">
        <f aca="false">IFERROR(__xludf.dummyfunction("""COMPUTED_VALUE"""),476.05)</f>
        <v>476.05</v>
      </c>
      <c r="E42" s="2" t="n">
        <f aca="false">IFERROR(__xludf.dummyfunction("""COMPUTED_VALUE"""),479.19)</f>
        <v>479.19</v>
      </c>
      <c r="F42" s="3" t="n">
        <f aca="false">IFERROR(__xludf.dummyfunction("if($T42&lt;&gt;"""",VALUE(REGEXEXTRACT(SUBSTITUTE ($T42,F$1&amp;"" CE"",""""), F$1&amp;""[\w &amp;]*, (\d+\.\d+)"")),"""")
"),475)</f>
        <v>475</v>
      </c>
      <c r="G42" s="3" t="n">
        <f aca="false">IFERROR(__xludf.dummyfunction("if($T42&lt;&gt;"""",VALUE(REGEXEXTRACT($T42, G$1&amp;""[\w &amp;]*, (\d+\.\d+)"")),"""")
"),480)</f>
        <v>480</v>
      </c>
      <c r="H42" s="3" t="n">
        <f aca="false">IFERROR(__xludf.dummyfunction("if($T42&lt;&gt;"""",VALUE(REGEXEXTRACT($T42, H$1&amp;""[\w &amp;]*, (\d+\.\d+)"")),"""")
"),515)</f>
        <v>515</v>
      </c>
      <c r="I42" s="3" t="n">
        <f aca="false">IFERROR(__xludf.dummyfunction("if($T42&lt;&gt;"""",VALUE(REGEXEXTRACT(SUBSTITUTE ($T42,I$1&amp;"" CE"",""""), I$1&amp;""[\w &amp;]*, (\d+\.\d+)"")),"""")
"),475)</f>
        <v>475</v>
      </c>
      <c r="J42" s="3" t="n">
        <f aca="false">IFERROR(__xludf.dummyfunction("if($T42&lt;&gt;"""",VALUE(REGEXEXTRACT($T42, J$1&amp;""[\w &amp;]*, (\d+\.\d+)"")),"""")
"),474)</f>
        <v>474</v>
      </c>
      <c r="K42" s="3" t="n">
        <f aca="false">IFERROR(__xludf.dummyfunction("if($T42&lt;&gt;"""",VALUE(REGEXEXTRACT($T42, K$1&amp;""[\w &amp;]*, (\d+\.\d+)"")),"""")
"),394.78)</f>
        <v>394.78</v>
      </c>
      <c r="L42" s="3" t="n">
        <f aca="false">IFERROR(__xludf.dummyfunction("if($T42&lt;&gt;"""",VALUE(REGEXEXTRACT(SUBSTITUTE ($T42,L$1&amp;"" CE"",""""), L$1&amp;""[\w &amp;]*, (\d+\.\d+)"")),"""")
"),464)</f>
        <v>464</v>
      </c>
      <c r="M42" s="3" t="n">
        <f aca="false">IFERROR(__xludf.dummyfunction("if($T42&lt;&gt;"""",VALUE(REGEXEXTRACT($T42, M$1&amp;""[\w &amp;]*, (\d+\.\d+)"")),"""")
"),476)</f>
        <v>476</v>
      </c>
      <c r="N42" s="3" t="n">
        <f aca="false">IFERROR(__xludf.dummyfunction("if($T42&lt;&gt;"""",VALUE(REGEXEXTRACT(SUBSTITUTE ($T42,N$1&amp;"" CE"",""""), N$1&amp;""[\w &amp;]*, (\d+\.\d+)"")),"""")
"),475)</f>
        <v>475</v>
      </c>
      <c r="O42" s="3" t="n">
        <f aca="false">IFERROR(__xludf.dummyfunction("if($T42&lt;&gt;"""",VALUE(REGEXEXTRACT($T42, O$1&amp;""[\w &amp;]*, (\d+\.\d+)"")),"""")
"),475)</f>
        <v>475</v>
      </c>
      <c r="P42" s="2" t="n">
        <f aca="false">IFERROR(__xludf.dummyfunction("if($T42&lt;&gt;"""",VALUE(REGEXEXTRACT($T42, P$1&amp;""[\w &amp;]*, (\d+\.\d+)"")),"""")
"),472.73)</f>
        <v>472.73</v>
      </c>
      <c r="Q42" s="2" t="n">
        <f aca="false">IFERROR(__xludf.dummyfunction("if($T42&lt;&gt;"""",VALUE(REGEXEXTRACT($T42, Q$1&amp;""[\w &amp;]*, (\d+\.\d+)"")),"""")
"),469.59)</f>
        <v>469.59</v>
      </c>
      <c r="R42" s="2" t="n">
        <f aca="false">IFERROR(__xludf.dummyfunction("if($T42&lt;&gt;"""",VALUE(REGEXEXTRACT($T42, SUBSTITUTE(R$1, ""+"", ""\+"")&amp;""[\w &amp;]*, (\d+\.\d+)"")),"""")"),478.99)</f>
        <v>478.99</v>
      </c>
      <c r="S42" s="2" t="n">
        <f aca="false">IFERROR(__xludf.dummyfunction("if($T42&lt;&gt;"""",VALUE(REGEXEXTRACT($T42, SUBSTITUTE(S$1, ""+"", ""\+"")&amp;""[\w &amp;]*, (\d+\.\d+)"")),"""")"),482.13)</f>
        <v>482.13</v>
      </c>
      <c r="T42" s="5" t="s">
        <v>459</v>
      </c>
    </row>
    <row r="43" customFormat="false" ht="15.75" hidden="false" customHeight="false" outlineLevel="0" collapsed="false">
      <c r="A43" s="4" t="n">
        <f aca="false">IFERROR(__xludf.dummyfunction("""COMPUTED_VALUE"""),45460.6666666667)</f>
        <v>45460.6666666667</v>
      </c>
      <c r="B43" s="2" t="n">
        <f aca="false">IFERROR(__xludf.dummyfunction("""COMPUTED_VALUE"""),479.46)</f>
        <v>479.46</v>
      </c>
      <c r="C43" s="2" t="n">
        <f aca="false">IFERROR(__xludf.dummyfunction("""COMPUTED_VALUE"""),486.86)</f>
        <v>486.86</v>
      </c>
      <c r="D43" s="2" t="n">
        <f aca="false">IFERROR(__xludf.dummyfunction("""COMPUTED_VALUE"""),478.14)</f>
        <v>478.14</v>
      </c>
      <c r="E43" s="2" t="n">
        <f aca="false">IFERROR(__xludf.dummyfunction("""COMPUTED_VALUE"""),485.06)</f>
        <v>485.06</v>
      </c>
      <c r="F43" s="3" t="n">
        <f aca="false">IFERROR(__xludf.dummyfunction("if($T43&lt;&gt;"""",VALUE(REGEXEXTRACT(SUBSTITUTE ($T43,F$1&amp;"" CE"",""""), F$1&amp;""[\w &amp;]*, (\d+\.\d+)"")),"""")
"),475)</f>
        <v>475</v>
      </c>
      <c r="G43" s="3" t="n">
        <f aca="false">IFERROR(__xludf.dummyfunction("if($T43&lt;&gt;"""",VALUE(REGEXEXTRACT($T43, G$1&amp;""[\w &amp;]*, (\d+\.\d+)"")),"""")
"),480)</f>
        <v>480</v>
      </c>
      <c r="H43" s="3" t="n">
        <f aca="false">IFERROR(__xludf.dummyfunction("if($T43&lt;&gt;"""",VALUE(REGEXEXTRACT($T43, H$1&amp;""[\w &amp;]*, (\d+\.\d+)"")),"""")
"),478)</f>
        <v>478</v>
      </c>
      <c r="I43" s="3" t="n">
        <f aca="false">IFERROR(__xludf.dummyfunction("if($T43&lt;&gt;"""",VALUE(REGEXEXTRACT(SUBSTITUTE ($T43,I$1&amp;"" CE"",""""), I$1&amp;""[\w &amp;]*, (\d+\.\d+)"")),"""")
"),477)</f>
        <v>477</v>
      </c>
      <c r="J43" s="3" t="n">
        <f aca="false">IFERROR(__xludf.dummyfunction("if($T43&lt;&gt;"""",VALUE(REGEXEXTRACT($T43, J$1&amp;""[\w &amp;]*, (\d+\.\d+)"")),"""")
"),477)</f>
        <v>477</v>
      </c>
      <c r="K43" s="3" t="n">
        <f aca="false">IFERROR(__xludf.dummyfunction("if($T43&lt;&gt;"""",VALUE(REGEXEXTRACT($T43, K$1&amp;""[\w &amp;]*, (\d+\.\d+)"")),"""")
"),294.78)</f>
        <v>294.78</v>
      </c>
      <c r="L43" s="3" t="n">
        <f aca="false">IFERROR(__xludf.dummyfunction("if($T43&lt;&gt;"""",VALUE(REGEXEXTRACT(SUBSTITUTE ($T43,L$1&amp;"" CE"",""""), L$1&amp;""[\w &amp;]*, (\d+\.\d+)"")),"""")
"),468)</f>
        <v>468</v>
      </c>
      <c r="M43" s="3" t="n">
        <f aca="false">IFERROR(__xludf.dummyfunction("if($T43&lt;&gt;"""",VALUE(REGEXEXTRACT($T43, M$1&amp;""[\w &amp;]*, (\d+\.\d+)"")),"""")
"),477)</f>
        <v>477</v>
      </c>
      <c r="N43" s="3" t="n">
        <f aca="false">IFERROR(__xludf.dummyfunction("if($T43&lt;&gt;"""",VALUE(REGEXEXTRACT(SUBSTITUTE ($T43,N$1&amp;"" CE"",""""), N$1&amp;""[\w &amp;]*, (\d+\.\d+)"")),"""")
"),475)</f>
        <v>475</v>
      </c>
      <c r="O43" s="3" t="n">
        <f aca="false">IFERROR(__xludf.dummyfunction("if($T43&lt;&gt;"""",VALUE(REGEXEXTRACT($T43, O$1&amp;""[\w &amp;]*, (\d+\.\d+)"")),"""")
"),478)</f>
        <v>478</v>
      </c>
      <c r="P43" s="2" t="n">
        <f aca="false">IFERROR(__xludf.dummyfunction("if($T43&lt;&gt;"""",VALUE(REGEXEXTRACT($T43, P$1&amp;""[\w &amp;]*, (\d+\.\d+)"")),"""")
"),476.58)</f>
        <v>476.58</v>
      </c>
      <c r="Q43" s="2" t="n">
        <f aca="false">IFERROR(__xludf.dummyfunction("if($T43&lt;&gt;"""",VALUE(REGEXEXTRACT($T43, Q$1&amp;""[\w &amp;]*, (\d+\.\d+)"")),"""")
"),475.36)</f>
        <v>475.36</v>
      </c>
      <c r="R43" s="2" t="n">
        <f aca="false">IFERROR(__xludf.dummyfunction("if($T43&lt;&gt;"""",VALUE(REGEXEXTRACT($T43, SUBSTITUTE(R$1, ""+"", ""\+"")&amp;""[\w &amp;]*, (\d+\.\d+)"")),"""")"),482.5)</f>
        <v>482.5</v>
      </c>
      <c r="S43" s="2" t="n">
        <f aca="false">IFERROR(__xludf.dummyfunction("if($T43&lt;&gt;"""",VALUE(REGEXEXTRACT($T43, SUBSTITUTE(S$1, ""+"", ""\+"")&amp;""[\w &amp;]*, (\d+\.\d+)"")),"""")"),483.72)</f>
        <v>483.72</v>
      </c>
      <c r="T43" s="5" t="s">
        <v>460</v>
      </c>
    </row>
    <row r="44" customFormat="false" ht="15.75" hidden="false" customHeight="false" outlineLevel="0" collapsed="false">
      <c r="A44" s="4" t="n">
        <f aca="false">IFERROR(__xludf.dummyfunction("""COMPUTED_VALUE"""),45461.6666666667)</f>
        <v>45461.6666666667</v>
      </c>
      <c r="B44" s="2" t="n">
        <f aca="false">IFERROR(__xludf.dummyfunction("""COMPUTED_VALUE"""),485.01)</f>
        <v>485.01</v>
      </c>
      <c r="C44" s="2" t="n">
        <f aca="false">IFERROR(__xludf.dummyfunction("""COMPUTED_VALUE"""),485.9)</f>
        <v>485.9</v>
      </c>
      <c r="D44" s="2" t="n">
        <f aca="false">IFERROR(__xludf.dummyfunction("""COMPUTED_VALUE"""),483.43)</f>
        <v>483.43</v>
      </c>
      <c r="E44" s="2" t="n">
        <f aca="false">IFERROR(__xludf.dummyfunction("""COMPUTED_VALUE"""),485.21)</f>
        <v>485.21</v>
      </c>
      <c r="F44" s="3" t="n">
        <f aca="false">IFERROR(__xludf.dummyfunction("if($T44&lt;&gt;"""",VALUE(REGEXEXTRACT(SUBSTITUTE ($T44,F$1&amp;"" CE"",""""), F$1&amp;""[\w &amp;]*, (\d+\.\d+)"")),"""")
"),480)</f>
        <v>480</v>
      </c>
      <c r="G44" s="3" t="n">
        <f aca="false">IFERROR(__xludf.dummyfunction("if($T44&lt;&gt;"""",VALUE(REGEXEXTRACT($T44, G$1&amp;""[\w &amp;]*, (\d+\.\d+)"")),"""")
"),490)</f>
        <v>490</v>
      </c>
      <c r="H44" s="3" t="n">
        <f aca="false">IFERROR(__xludf.dummyfunction("if($T44&lt;&gt;"""",VALUE(REGEXEXTRACT($T44, H$1&amp;""[\w &amp;]*, (\d+\.\d+)"")),"""")
"),484)</f>
        <v>484</v>
      </c>
      <c r="I44" s="3" t="n">
        <f aca="false">IFERROR(__xludf.dummyfunction("if($T44&lt;&gt;"""",VALUE(REGEXEXTRACT(SUBSTITUTE ($T44,I$1&amp;"" CE"",""""), I$1&amp;""[\w &amp;]*, (\d+\.\d+)"")),"""")
"),475)</f>
        <v>475</v>
      </c>
      <c r="J44" s="3" t="n">
        <f aca="false">IFERROR(__xludf.dummyfunction("if($T44&lt;&gt;"""",VALUE(REGEXEXTRACT($T44, J$1&amp;""[\w &amp;]*, (\d+\.\d+)"")),"""")
"),480)</f>
        <v>480</v>
      </c>
      <c r="K44" s="3" t="n">
        <f aca="false">IFERROR(__xludf.dummyfunction("if($T44&lt;&gt;"""",VALUE(REGEXEXTRACT($T44, K$1&amp;""[\w &amp;]*, (\d+\.\d+)"")),"""")
"),394.78)</f>
        <v>394.78</v>
      </c>
      <c r="L44" s="3" t="n">
        <f aca="false">IFERROR(__xludf.dummyfunction("if($T44&lt;&gt;"""",VALUE(REGEXEXTRACT(SUBSTITUTE ($T44,L$1&amp;"" CE"",""""), L$1&amp;""[\w &amp;]*, (\d+\.\d+)"")),"""")
"),469)</f>
        <v>469</v>
      </c>
      <c r="M44" s="3" t="n">
        <f aca="false">IFERROR(__xludf.dummyfunction("if($T44&lt;&gt;"""",VALUE(REGEXEXTRACT($T44, M$1&amp;""[\w &amp;]*, (\d+\.\d+)"")),"""")
"),484)</f>
        <v>484</v>
      </c>
      <c r="N44" s="3" t="n">
        <f aca="false">IFERROR(__xludf.dummyfunction("if($T44&lt;&gt;"""",VALUE(REGEXEXTRACT(SUBSTITUTE ($T44,N$1&amp;"" CE"",""""), N$1&amp;""[\w &amp;]*, (\d+\.\d+)"")),"""")
"),480)</f>
        <v>480</v>
      </c>
      <c r="O44" s="3" t="n">
        <f aca="false">IFERROR(__xludf.dummyfunction("if($T44&lt;&gt;"""",VALUE(REGEXEXTRACT($T44, O$1&amp;""[\w &amp;]*, (\d+\.\d+)"")),"""")
"),485)</f>
        <v>485</v>
      </c>
      <c r="P44" s="2" t="n">
        <f aca="false">IFERROR(__xludf.dummyfunction("if($T44&lt;&gt;"""",VALUE(REGEXEXTRACT($T44, P$1&amp;""[\w &amp;]*, (\d+\.\d+)"")),"""")
"),482.68)</f>
        <v>482.68</v>
      </c>
      <c r="Q44" s="2" t="n">
        <f aca="false">IFERROR(__xludf.dummyfunction("if($T44&lt;&gt;"""",VALUE(REGEXEXTRACT($T44, Q$1&amp;""[\w &amp;]*, (\d+\.\d+)"")),"""")
"),480.23)</f>
        <v>480.23</v>
      </c>
      <c r="R44" s="2" t="n">
        <f aca="false">IFERROR(__xludf.dummyfunction("if($T44&lt;&gt;"""",VALUE(REGEXEXTRACT($T44, SUBSTITUTE(R$1, ""+"", ""\+"")&amp;""[\w &amp;]*, (\d+\.\d+)"")),"""")"),489.4)</f>
        <v>489.4</v>
      </c>
      <c r="S44" s="2" t="n">
        <f aca="false">IFERROR(__xludf.dummyfunction("if($T44&lt;&gt;"""",VALUE(REGEXEXTRACT($T44, SUBSTITUTE(S$1, ""+"", ""\+"")&amp;""[\w &amp;]*, (\d+\.\d+)"")),"""")"),491.85)</f>
        <v>491.85</v>
      </c>
      <c r="T44" s="5" t="s">
        <v>461</v>
      </c>
    </row>
    <row r="45" customFormat="false" ht="15.75" hidden="false" customHeight="false" outlineLevel="0" collapsed="false">
      <c r="A45" s="4" t="n">
        <f aca="false">IFERROR(__xludf.dummyfunction("""COMPUTED_VALUE"""),45463.6666666667)</f>
        <v>45463.6666666667</v>
      </c>
      <c r="B45" s="2" t="n">
        <f aca="false">IFERROR(__xludf.dummyfunction("""COMPUTED_VALUE"""),486.42)</f>
        <v>486.42</v>
      </c>
      <c r="C45" s="2" t="n">
        <f aca="false">IFERROR(__xludf.dummyfunction("""COMPUTED_VALUE"""),486.84)</f>
        <v>486.84</v>
      </c>
      <c r="D45" s="2" t="n">
        <f aca="false">IFERROR(__xludf.dummyfunction("""COMPUTED_VALUE"""),479.62)</f>
        <v>479.62</v>
      </c>
      <c r="E45" s="2" t="n">
        <f aca="false">IFERROR(__xludf.dummyfunction("""COMPUTED_VALUE"""),481.47)</f>
        <v>481.47</v>
      </c>
      <c r="F45" s="3" t="n">
        <f aca="false">IFERROR(__xludf.dummyfunction("if($T45&lt;&gt;"""",VALUE(REGEXEXTRACT(SUBSTITUTE ($T45,F$1&amp;"" CE"",""""), F$1&amp;""[\w &amp;]*, (\d+\.\d+)"")),"""")
"),480)</f>
        <v>480</v>
      </c>
      <c r="G45" s="3" t="n">
        <f aca="false">IFERROR(__xludf.dummyfunction("if($T45&lt;&gt;"""",VALUE(REGEXEXTRACT($T45, G$1&amp;""[\w &amp;]*, (\d+\.\d+)"")),"""")
"),490)</f>
        <v>490</v>
      </c>
      <c r="H45" s="3" t="n">
        <f aca="false">IFERROR(__xludf.dummyfunction("if($T45&lt;&gt;"""",VALUE(REGEXEXTRACT($T45, H$1&amp;""[\w &amp;]*, (\d+\.\d+)"")),"""")
"),484)</f>
        <v>484</v>
      </c>
      <c r="I45" s="3" t="n">
        <f aca="false">IFERROR(__xludf.dummyfunction("if($T45&lt;&gt;"""",VALUE(REGEXEXTRACT(SUBSTITUTE ($T45,I$1&amp;"" CE"",""""), I$1&amp;""[\w &amp;]*, (\d+\.\d+)"")),"""")
"),485)</f>
        <v>485</v>
      </c>
      <c r="J45" s="3" t="n">
        <f aca="false">IFERROR(__xludf.dummyfunction("if($T45&lt;&gt;"""",VALUE(REGEXEXTRACT($T45, J$1&amp;""[\w &amp;]*, (\d+\.\d+)"")),"""")
"),479)</f>
        <v>479</v>
      </c>
      <c r="K45" s="3" t="n">
        <f aca="false">IFERROR(__xludf.dummyfunction("if($T45&lt;&gt;"""",VALUE(REGEXEXTRACT($T45, K$1&amp;""[\w &amp;]*, (\d+\.\d+)"")),"""")
"),394.78)</f>
        <v>394.78</v>
      </c>
      <c r="L45" s="3" t="n">
        <f aca="false">IFERROR(__xludf.dummyfunction("if($T45&lt;&gt;"""",VALUE(REGEXEXTRACT(SUBSTITUTE ($T45,L$1&amp;"" CE"",""""), L$1&amp;""[\w &amp;]*, (\d+\.\d+)"")),"""")
"),474)</f>
        <v>474</v>
      </c>
      <c r="M45" s="3" t="n">
        <f aca="false">IFERROR(__xludf.dummyfunction("if($T45&lt;&gt;"""",VALUE(REGEXEXTRACT($T45, M$1&amp;""[\w &amp;]*, (\d+\.\d+)"")),"""")
"),485)</f>
        <v>485</v>
      </c>
      <c r="N45" s="3" t="n">
        <f aca="false">IFERROR(__xludf.dummyfunction("if($T45&lt;&gt;"""",VALUE(REGEXEXTRACT(SUBSTITUTE ($T45,N$1&amp;"" CE"",""""), N$1&amp;""[\w &amp;]*, (\d+\.\d+)"")),"""")
"),480)</f>
        <v>480</v>
      </c>
      <c r="O45" s="3" t="n">
        <f aca="false">IFERROR(__xludf.dummyfunction("if($T45&lt;&gt;"""",VALUE(REGEXEXTRACT($T45, O$1&amp;""[\w &amp;]*, (\d+\.\d+)"")),"""")
"),485)</f>
        <v>485</v>
      </c>
      <c r="P45" s="2" t="n">
        <f aca="false">IFERROR(__xludf.dummyfunction("if($T45&lt;&gt;"""",VALUE(REGEXEXTRACT($T45, P$1&amp;""[\w &amp;]*, (\d+\.\d+)"")),"""")
"),485.44)</f>
        <v>485.44</v>
      </c>
      <c r="Q45" s="2" t="n">
        <f aca="false">IFERROR(__xludf.dummyfunction("if($T45&lt;&gt;"""",VALUE(REGEXEXTRACT($T45, Q$1&amp;""[\w &amp;]*, (\d+\.\d+)"")),"""")
"),484.11)</f>
        <v>484.11</v>
      </c>
      <c r="R45" s="2" t="n">
        <f aca="false">IFERROR(__xludf.dummyfunction("if($T45&lt;&gt;"""",VALUE(REGEXEXTRACT($T45, SUBSTITUTE(R$1, ""+"", ""\+"")&amp;""[\w &amp;]*, (\d+\.\d+)"")),"""")"),491.54)</f>
        <v>491.54</v>
      </c>
      <c r="S45" s="2" t="n">
        <f aca="false">IFERROR(__xludf.dummyfunction("if($T45&lt;&gt;"""",VALUE(REGEXEXTRACT($T45, SUBSTITUTE(S$1, ""+"", ""\+"")&amp;""[\w &amp;]*, (\d+\.\d+)"")),"""")"),492.87)</f>
        <v>492.87</v>
      </c>
      <c r="T45" s="5" t="s">
        <v>462</v>
      </c>
    </row>
    <row r="46" customFormat="false" ht="15.75" hidden="false" customHeight="false" outlineLevel="0" collapsed="false">
      <c r="A46" s="4" t="n">
        <f aca="false">IFERROR(__xludf.dummyfunction("""COMPUTED_VALUE"""),45464.6666666667)</f>
        <v>45464.6666666667</v>
      </c>
      <c r="B46" s="2" t="n">
        <f aca="false">IFERROR(__xludf.dummyfunction("""COMPUTED_VALUE"""),481.19)</f>
        <v>481.19</v>
      </c>
      <c r="C46" s="2" t="n">
        <f aca="false">IFERROR(__xludf.dummyfunction("""COMPUTED_VALUE"""),482.54)</f>
        <v>482.54</v>
      </c>
      <c r="D46" s="2" t="n">
        <f aca="false">IFERROR(__xludf.dummyfunction("""COMPUTED_VALUE"""),478.67)</f>
        <v>478.67</v>
      </c>
      <c r="E46" s="2" t="n">
        <f aca="false">IFERROR(__xludf.dummyfunction("""COMPUTED_VALUE"""),480.18)</f>
        <v>480.18</v>
      </c>
      <c r="F46" s="3" t="n">
        <f aca="false">IFERROR(__xludf.dummyfunction("if($T46&lt;&gt;"""",VALUE(REGEXEXTRACT(SUBSTITUTE ($T46,F$1&amp;"" CE"",""""), F$1&amp;""[\w &amp;]*, (\d+\.\d+)"")),"""")
"),480)</f>
        <v>480</v>
      </c>
      <c r="G46" s="3" t="n">
        <f aca="false">IFERROR(__xludf.dummyfunction("if($T46&lt;&gt;"""",VALUE(REGEXEXTRACT($T46, G$1&amp;""[\w &amp;]*, (\d+\.\d+)"")),"""")
"),485)</f>
        <v>485</v>
      </c>
      <c r="H46" s="3" t="n">
        <f aca="false">IFERROR(__xludf.dummyfunction("if($T46&lt;&gt;"""",VALUE(REGEXEXTRACT($T46, H$1&amp;""[\w &amp;]*, (\d+\.\d+)"")),"""")
"),483)</f>
        <v>483</v>
      </c>
      <c r="I46" s="3" t="n">
        <f aca="false">IFERROR(__xludf.dummyfunction("if($T46&lt;&gt;"""",VALUE(REGEXEXTRACT(SUBSTITUTE ($T46,I$1&amp;"" CE"",""""), I$1&amp;""[\w &amp;]*, (\d+\.\d+)"")),"""")
"),475)</f>
        <v>475</v>
      </c>
      <c r="J46" s="3" t="n">
        <f aca="false">IFERROR(__xludf.dummyfunction("if($T46&lt;&gt;"""",VALUE(REGEXEXTRACT($T46, J$1&amp;""[\w &amp;]*, (\d+\.\d+)"")),"""")
"),474)</f>
        <v>474</v>
      </c>
      <c r="K46" s="3" t="n">
        <f aca="false">IFERROR(__xludf.dummyfunction("if($T46&lt;&gt;"""",VALUE(REGEXEXTRACT($T46, K$1&amp;""[\w &amp;]*, (\d+\.\d+)"")),"""")
"),377.78)</f>
        <v>377.78</v>
      </c>
      <c r="L46" s="3" t="n">
        <f aca="false">IFERROR(__xludf.dummyfunction("if($T46&lt;&gt;"""",VALUE(REGEXEXTRACT(SUBSTITUTE ($T46,L$1&amp;"" CE"",""""), L$1&amp;""[\w &amp;]*, (\d+\.\d+)"")),"""")
"),483)</f>
        <v>483</v>
      </c>
      <c r="M46" s="3" t="n">
        <f aca="false">IFERROR(__xludf.dummyfunction("if($T46&lt;&gt;"""",VALUE(REGEXEXTRACT($T46, M$1&amp;""[\w &amp;]*, (\d+\.\d+)"")),"""")
"),483)</f>
        <v>483</v>
      </c>
      <c r="N46" s="3" t="n">
        <f aca="false">IFERROR(__xludf.dummyfunction("if($T46&lt;&gt;"""",VALUE(REGEXEXTRACT(SUBSTITUTE ($T46,N$1&amp;"" CE"",""""), N$1&amp;""[\w &amp;]*, (\d+\.\d+)"")),"""")
"),480)</f>
        <v>480</v>
      </c>
      <c r="O46" s="3" t="n">
        <f aca="false">IFERROR(__xludf.dummyfunction("if($T46&lt;&gt;"""",VALUE(REGEXEXTRACT($T46, O$1&amp;""[\w &amp;]*, (\d+\.\d+)"")),"""")
"),475)</f>
        <v>475</v>
      </c>
      <c r="P46" s="2" t="n">
        <f aca="false">IFERROR(__xludf.dummyfunction("if($T46&lt;&gt;"""",VALUE(REGEXEXTRACT($T46, P$1&amp;""[\w &amp;]*, (\d+\.\d+)"")),"""")
"),477.57)</f>
        <v>477.57</v>
      </c>
      <c r="Q46" s="2" t="n">
        <f aca="false">IFERROR(__xludf.dummyfunction("if($T46&lt;&gt;"""",VALUE(REGEXEXTRACT($T46, Q$1&amp;""[\w &amp;]*, (\d+\.\d+)"")),"""")
"),473.86)</f>
        <v>473.86</v>
      </c>
      <c r="R46" s="2" t="n">
        <f aca="false">IFERROR(__xludf.dummyfunction("if($T46&lt;&gt;"""",VALUE(REGEXEXTRACT($T46, SUBSTITUTE(R$1, ""+"", ""\+"")&amp;""[\w &amp;]*, (\d+\.\d+)"")),"""")"),484.97)</f>
        <v>484.97</v>
      </c>
      <c r="S46" s="2" t="n">
        <f aca="false">IFERROR(__xludf.dummyfunction("if($T46&lt;&gt;"""",VALUE(REGEXEXTRACT($T46, SUBSTITUTE(S$1, ""+"", ""\+"")&amp;""[\w &amp;]*, (\d+\.\d+)"")),"""")"),488.68)</f>
        <v>488.68</v>
      </c>
      <c r="T46" s="5" t="s">
        <v>463</v>
      </c>
    </row>
    <row r="47" customFormat="false" ht="15.75" hidden="false" customHeight="false" outlineLevel="0" collapsed="false">
      <c r="A47" s="4" t="n">
        <f aca="false">IFERROR(__xludf.dummyfunction("""COMPUTED_VALUE"""),45467.6666666667)</f>
        <v>45467.6666666667</v>
      </c>
      <c r="B47" s="2" t="n">
        <f aca="false">IFERROR(__xludf.dummyfunction("""COMPUTED_VALUE"""),478.18)</f>
        <v>478.18</v>
      </c>
      <c r="C47" s="2" t="n">
        <f aca="false">IFERROR(__xludf.dummyfunction("""COMPUTED_VALUE"""),479.93)</f>
        <v>479.93</v>
      </c>
      <c r="D47" s="2" t="n">
        <f aca="false">IFERROR(__xludf.dummyfunction("""COMPUTED_VALUE"""),473.82)</f>
        <v>473.82</v>
      </c>
      <c r="E47" s="2" t="n">
        <f aca="false">IFERROR(__xludf.dummyfunction("""COMPUTED_VALUE"""),473.96)</f>
        <v>473.96</v>
      </c>
      <c r="F47" s="3" t="n">
        <f aca="false">IFERROR(__xludf.dummyfunction("if($T47&lt;&gt;"""",VALUE(REGEXEXTRACT(SUBSTITUTE ($T47,F$1&amp;"" CE"",""""), F$1&amp;""[\w &amp;]*, (\d+\.\d+)"")),"""")
"),480)</f>
        <v>480</v>
      </c>
      <c r="G47" s="3" t="n">
        <f aca="false">IFERROR(__xludf.dummyfunction("if($T47&lt;&gt;"""",VALUE(REGEXEXTRACT($T47, G$1&amp;""[\w &amp;]*, (\d+\.\d+)"")),"""")
"),485)</f>
        <v>485</v>
      </c>
      <c r="H47" s="3" t="n">
        <f aca="false">IFERROR(__xludf.dummyfunction("if($T47&lt;&gt;"""",VALUE(REGEXEXTRACT($T47, H$1&amp;""[\w &amp;]*, (\d+\.\d+)"")),"""")
"),481)</f>
        <v>481</v>
      </c>
      <c r="I47" s="3" t="n">
        <f aca="false">IFERROR(__xludf.dummyfunction("if($T47&lt;&gt;"""",VALUE(REGEXEXTRACT(SUBSTITUTE ($T47,I$1&amp;"" CE"",""""), I$1&amp;""[\w &amp;]*, (\d+\.\d+)"")),"""")
"),480)</f>
        <v>480</v>
      </c>
      <c r="J47" s="3" t="n">
        <f aca="false">IFERROR(__xludf.dummyfunction("if($T47&lt;&gt;"""",VALUE(REGEXEXTRACT($T47, J$1&amp;""[\w &amp;]*, (\d+\.\d+)"")),"""")
"),480)</f>
        <v>480</v>
      </c>
      <c r="K47" s="3" t="n">
        <f aca="false">IFERROR(__xludf.dummyfunction("if($T47&lt;&gt;"""",VALUE(REGEXEXTRACT($T47, K$1&amp;""[\w &amp;]*, (\d+\.\d+)"")),"""")
"),346.78)</f>
        <v>346.78</v>
      </c>
      <c r="L47" s="3" t="n">
        <f aca="false">IFERROR(__xludf.dummyfunction("if($T47&lt;&gt;"""",VALUE(REGEXEXTRACT(SUBSTITUTE ($T47,L$1&amp;"" CE"",""""), L$1&amp;""[\w &amp;]*, (\d+\.\d+)"")),"""")
"),481)</f>
        <v>481</v>
      </c>
      <c r="M47" s="3" t="n">
        <f aca="false">IFERROR(__xludf.dummyfunction("if($T47&lt;&gt;"""",VALUE(REGEXEXTRACT($T47, M$1&amp;""[\w &amp;]*, (\d+\.\d+)"")),"""")
"),481)</f>
        <v>481</v>
      </c>
      <c r="N47" s="3" t="n">
        <f aca="false">IFERROR(__xludf.dummyfunction("if($T47&lt;&gt;"""",VALUE(REGEXEXTRACT(SUBSTITUTE ($T47,N$1&amp;"" CE"",""""), N$1&amp;""[\w &amp;]*, (\d+\.\d+)"")),"""")
"),480)</f>
        <v>480</v>
      </c>
      <c r="O47" s="3" t="n">
        <f aca="false">IFERROR(__xludf.dummyfunction("if($T47&lt;&gt;"""",VALUE(REGEXEXTRACT($T47, O$1&amp;""[\w &amp;]*, (\d+\.\d+)"")),"""")
"),480)</f>
        <v>480</v>
      </c>
      <c r="P47" s="2" t="n">
        <f aca="false">IFERROR(__xludf.dummyfunction("if($T47&lt;&gt;"""",VALUE(REGEXEXTRACT($T47, P$1&amp;""[\w &amp;]*, (\d+\.\d+)"")),"""")
"),476.11)</f>
        <v>476.11</v>
      </c>
      <c r="Q47" s="2" t="n">
        <f aca="false">IFERROR(__xludf.dummyfunction("if($T47&lt;&gt;"""",VALUE(REGEXEXTRACT($T47, Q$1&amp;""[\w &amp;]*, (\d+\.\d+)"")),"""")
"),474.85)</f>
        <v>474.85</v>
      </c>
      <c r="R47" s="2" t="n">
        <f aca="false">IFERROR(__xludf.dummyfunction("if($T47&lt;&gt;"""",VALUE(REGEXEXTRACT($T47, SUBSTITUTE(R$1, ""+"", ""\+"")&amp;""[\w &amp;]*, (\d+\.\d+)"")),"""")"),482.19)</f>
        <v>482.19</v>
      </c>
      <c r="S47" s="2" t="n">
        <f aca="false">IFERROR(__xludf.dummyfunction("if($T47&lt;&gt;"""",VALUE(REGEXEXTRACT($T47, SUBSTITUTE(S$1, ""+"", ""\+"")&amp;""[\w &amp;]*, (\d+\.\d+)"")),"""")"),483.45)</f>
        <v>483.45</v>
      </c>
      <c r="T47" s="5" t="s">
        <v>464</v>
      </c>
    </row>
    <row r="48" customFormat="false" ht="15.75" hidden="false" customHeight="false" outlineLevel="0" collapsed="false">
      <c r="A48" s="4" t="n">
        <f aca="false">IFERROR(__xludf.dummyfunction("""COMPUTED_VALUE"""),45468.6666666667)</f>
        <v>45468.6666666667</v>
      </c>
      <c r="B48" s="2" t="n">
        <f aca="false">IFERROR(__xludf.dummyfunction("""COMPUTED_VALUE"""),476.07)</f>
        <v>476.07</v>
      </c>
      <c r="C48" s="2" t="n">
        <f aca="false">IFERROR(__xludf.dummyfunction("""COMPUTED_VALUE"""),479.68)</f>
        <v>479.68</v>
      </c>
      <c r="D48" s="2" t="n">
        <f aca="false">IFERROR(__xludf.dummyfunction("""COMPUTED_VALUE"""),475.12)</f>
        <v>475.12</v>
      </c>
      <c r="E48" s="2" t="n">
        <f aca="false">IFERROR(__xludf.dummyfunction("""COMPUTED_VALUE"""),479.38)</f>
        <v>479.38</v>
      </c>
      <c r="F48" s="3" t="n">
        <f aca="false">IFERROR(__xludf.dummyfunction("if($T48&lt;&gt;"""",VALUE(REGEXEXTRACT(SUBSTITUTE ($T48,F$1&amp;"" CE"",""""), F$1&amp;""[\w &amp;]*, (\d+\.\d+)"")),"""")
"),480)</f>
        <v>480</v>
      </c>
      <c r="G48" s="3" t="n">
        <f aca="false">IFERROR(__xludf.dummyfunction("if($T48&lt;&gt;"""",VALUE(REGEXEXTRACT($T48, G$1&amp;""[\w &amp;]*, (\d+\.\d+)"")),"""")
"),480)</f>
        <v>480</v>
      </c>
      <c r="H48" s="3" t="n">
        <f aca="false">IFERROR(__xludf.dummyfunction("if($T48&lt;&gt;"""",VALUE(REGEXEXTRACT($T48, H$1&amp;""[\w &amp;]*, (\d+\.\d+)"")),"""")
"),477.5)</f>
        <v>477.5</v>
      </c>
      <c r="I48" s="3" t="n">
        <f aca="false">IFERROR(__xludf.dummyfunction("if($T48&lt;&gt;"""",VALUE(REGEXEXTRACT(SUBSTITUTE ($T48,I$1&amp;"" CE"",""""), I$1&amp;""[\w &amp;]*, (\d+\.\d+)"")),"""")
"),470)</f>
        <v>470</v>
      </c>
      <c r="J48" s="3" t="n">
        <f aca="false">IFERROR(__xludf.dummyfunction("if($T48&lt;&gt;"""",VALUE(REGEXEXTRACT($T48, J$1&amp;""[\w &amp;]*, (\d+\.\d+)"")),"""")
"),470)</f>
        <v>470</v>
      </c>
      <c r="K48" s="3" t="n">
        <f aca="false">IFERROR(__xludf.dummyfunction("if($T48&lt;&gt;"""",VALUE(REGEXEXTRACT($T48, K$1&amp;""[\w &amp;]*, (\d+\.\d+)"")),"""")
"),346.78)</f>
        <v>346.78</v>
      </c>
      <c r="L48" s="3" t="n">
        <f aca="false">IFERROR(__xludf.dummyfunction("if($T48&lt;&gt;"""",VALUE(REGEXEXTRACT(SUBSTITUTE ($T48,L$1&amp;"" CE"",""""), L$1&amp;""[\w &amp;]*, (\d+\.\d+)"")),"""")
"),475)</f>
        <v>475</v>
      </c>
      <c r="M48" s="3" t="n">
        <f aca="false">IFERROR(__xludf.dummyfunction("if($T48&lt;&gt;"""",VALUE(REGEXEXTRACT($T48, M$1&amp;""[\w &amp;]*, (\d+\.\d+)"")),"""")
"),475)</f>
        <v>475</v>
      </c>
      <c r="N48" s="3" t="n">
        <f aca="false">IFERROR(__xludf.dummyfunction("if($T48&lt;&gt;"""",VALUE(REGEXEXTRACT(SUBSTITUTE ($T48,N$1&amp;"" CE"",""""), N$1&amp;""[\w &amp;]*, (\d+\.\d+)"")),"""")
"),480)</f>
        <v>480</v>
      </c>
      <c r="O48" s="3" t="n">
        <f aca="false">IFERROR(__xludf.dummyfunction("if($T48&lt;&gt;"""",VALUE(REGEXEXTRACT($T48, O$1&amp;""[\w &amp;]*, (\d+\.\d+)"")),"""")
"),474)</f>
        <v>474</v>
      </c>
      <c r="P48" s="2" t="n">
        <f aca="false">IFERROR(__xludf.dummyfunction("if($T48&lt;&gt;"""",VALUE(REGEXEXTRACT($T48, P$1&amp;""[\w &amp;]*, (\d+\.\d+)"")),"""")
"),472.53)</f>
        <v>472.53</v>
      </c>
      <c r="Q48" s="2" t="n">
        <f aca="false">IFERROR(__xludf.dummyfunction("if($T48&lt;&gt;"""",VALUE(REGEXEXTRACT($T48, Q$1&amp;""[\w &amp;]*, (\d+\.\d+)"")),"""")
"),471.05)</f>
        <v>471.05</v>
      </c>
      <c r="R48" s="2" t="n">
        <f aca="false">IFERROR(__xludf.dummyfunction("if($T48&lt;&gt;"""",VALUE(REGEXEXTRACT($T48, SUBSTITUTE(R$1, ""+"", ""\+"")&amp;""[\w &amp;]*, (\d+\.\d+)"")),"""")"),479.69)</f>
        <v>479.69</v>
      </c>
      <c r="S48" s="2" t="n">
        <f aca="false">IFERROR(__xludf.dummyfunction("if($T48&lt;&gt;"""",VALUE(REGEXEXTRACT($T48, SUBSTITUTE(S$1, ""+"", ""\+"")&amp;""[\w &amp;]*, (\d+\.\d+)"")),"""")"),481.17)</f>
        <v>481.17</v>
      </c>
      <c r="T48" s="5" t="s">
        <v>465</v>
      </c>
    </row>
    <row r="49" customFormat="false" ht="15.75" hidden="false" customHeight="false" outlineLevel="0" collapsed="false">
      <c r="A49" s="4" t="n">
        <f aca="false">IFERROR(__xludf.dummyfunction("""COMPUTED_VALUE"""),45469.6666666667)</f>
        <v>45469.6666666667</v>
      </c>
      <c r="B49" s="2" t="n">
        <f aca="false">IFERROR(__xludf.dummyfunction("""COMPUTED_VALUE"""),478.55)</f>
        <v>478.55</v>
      </c>
      <c r="C49" s="2" t="n">
        <f aca="false">IFERROR(__xludf.dummyfunction("""COMPUTED_VALUE"""),480.92)</f>
        <v>480.92</v>
      </c>
      <c r="D49" s="2" t="n">
        <f aca="false">IFERROR(__xludf.dummyfunction("""COMPUTED_VALUE"""),478.13)</f>
        <v>478.13</v>
      </c>
      <c r="E49" s="2" t="n">
        <f aca="false">IFERROR(__xludf.dummyfunction("""COMPUTED_VALUE"""),480.37)</f>
        <v>480.37</v>
      </c>
      <c r="F49" s="3" t="n">
        <f aca="false">IFERROR(__xludf.dummyfunction("if($T49&lt;&gt;"""",VALUE(REGEXEXTRACT(SUBSTITUTE ($T49,F$1&amp;"" CE"",""""), F$1&amp;""[\w &amp;]*, (\d+\.\d+)"")),"""")
"),480)</f>
        <v>480</v>
      </c>
      <c r="G49" s="3" t="n">
        <f aca="false">IFERROR(__xludf.dummyfunction("if($T49&lt;&gt;"""",VALUE(REGEXEXTRACT($T49, G$1&amp;""[\w &amp;]*, (\d+\.\d+)"")),"""")
"),484)</f>
        <v>484</v>
      </c>
      <c r="H49" s="3" t="n">
        <f aca="false">IFERROR(__xludf.dummyfunction("if($T49&lt;&gt;"""",VALUE(REGEXEXTRACT($T49, H$1&amp;""[\w &amp;]*, (\d+\.\d+)"")),"""")
"),479)</f>
        <v>479</v>
      </c>
      <c r="I49" s="3" t="n">
        <f aca="false">IFERROR(__xludf.dummyfunction("if($T49&lt;&gt;"""",VALUE(REGEXEXTRACT(SUBSTITUTE ($T49,I$1&amp;"" CE"",""""), I$1&amp;""[\w &amp;]*, (\d+\.\d+)"")),"""")
"),475)</f>
        <v>475</v>
      </c>
      <c r="J49" s="3" t="n">
        <f aca="false">IFERROR(__xludf.dummyfunction("if($T49&lt;&gt;"""",VALUE(REGEXEXTRACT($T49, J$1&amp;""[\w &amp;]*, (\d+\.\d+)"")),"""")
"),480)</f>
        <v>480</v>
      </c>
      <c r="K49" s="3" t="n">
        <f aca="false">IFERROR(__xludf.dummyfunction("if($T49&lt;&gt;"""",VALUE(REGEXEXTRACT($T49, K$1&amp;""[\w &amp;]*, (\d+\.\d+)"")),"""")
"),346.78)</f>
        <v>346.78</v>
      </c>
      <c r="L49" s="3" t="n">
        <f aca="false">IFERROR(__xludf.dummyfunction("if($T49&lt;&gt;"""",VALUE(REGEXEXTRACT(SUBSTITUTE ($T49,L$1&amp;"" CE"",""""), L$1&amp;""[\w &amp;]*, (\d+\.\d+)"")),"""")
"),479)</f>
        <v>479</v>
      </c>
      <c r="M49" s="3" t="n">
        <f aca="false">IFERROR(__xludf.dummyfunction("if($T49&lt;&gt;"""",VALUE(REGEXEXTRACT($T49, M$1&amp;""[\w &amp;]*, (\d+\.\d+)"")),"""")
"),480)</f>
        <v>480</v>
      </c>
      <c r="N49" s="3" t="n">
        <f aca="false">IFERROR(__xludf.dummyfunction("if($T49&lt;&gt;"""",VALUE(REGEXEXTRACT(SUBSTITUTE ($T49,N$1&amp;"" CE"",""""), N$1&amp;""[\w &amp;]*, (\d+\.\d+)"")),"""")
"),480)</f>
        <v>480</v>
      </c>
      <c r="O49" s="3" t="n">
        <f aca="false">IFERROR(__xludf.dummyfunction("if($T49&lt;&gt;"""",VALUE(REGEXEXTRACT($T49, O$1&amp;""[\w &amp;]*, (\d+\.\d+)"")),"""")
"),480)</f>
        <v>480</v>
      </c>
      <c r="P49" s="2" t="n">
        <f aca="false">IFERROR(__xludf.dummyfunction("if($T49&lt;&gt;"""",VALUE(REGEXEXTRACT($T49, P$1&amp;""[\w &amp;]*, (\d+\.\d+)"")),"""")
"),477.22)</f>
        <v>477.22</v>
      </c>
      <c r="Q49" s="2" t="n">
        <f aca="false">IFERROR(__xludf.dummyfunction("if($T49&lt;&gt;"""",VALUE(REGEXEXTRACT($T49, Q$1&amp;""[\w &amp;]*, (\d+\.\d+)"")),"""")
"),475.78)</f>
        <v>475.78</v>
      </c>
      <c r="R49" s="2" t="n">
        <f aca="false">IFERROR(__xludf.dummyfunction("if($T49&lt;&gt;"""",VALUE(REGEXEXTRACT($T49, SUBSTITUTE(R$1, ""+"", ""\+"")&amp;""[\w &amp;]*, (\d+\.\d+)"")),"""")"),484.18)</f>
        <v>484.18</v>
      </c>
      <c r="S49" s="2" t="n">
        <f aca="false">IFERROR(__xludf.dummyfunction("if($T49&lt;&gt;"""",VALUE(REGEXEXTRACT($T49, SUBSTITUTE(S$1, ""+"", ""\+"")&amp;""[\w &amp;]*, (\d+\.\d+)"")),"""")"),485.62)</f>
        <v>485.62</v>
      </c>
      <c r="T49" s="5" t="s">
        <v>466</v>
      </c>
    </row>
    <row r="50" customFormat="false" ht="15.75" hidden="false" customHeight="false" outlineLevel="0" collapsed="false">
      <c r="A50" s="4" t="n">
        <f aca="false">IFERROR(__xludf.dummyfunction("""COMPUTED_VALUE"""),45470.6666666667)</f>
        <v>45470.6666666667</v>
      </c>
      <c r="B50" s="2" t="n">
        <f aca="false">IFERROR(__xludf.dummyfunction("""COMPUTED_VALUE"""),480.12)</f>
        <v>480.12</v>
      </c>
      <c r="C50" s="2" t="n">
        <f aca="false">IFERROR(__xludf.dummyfunction("""COMPUTED_VALUE"""),483.1)</f>
        <v>483.1</v>
      </c>
      <c r="D50" s="2" t="n">
        <f aca="false">IFERROR(__xludf.dummyfunction("""COMPUTED_VALUE"""),479.3)</f>
        <v>479.3</v>
      </c>
      <c r="E50" s="2" t="n">
        <f aca="false">IFERROR(__xludf.dummyfunction("""COMPUTED_VALUE"""),481.61)</f>
        <v>481.61</v>
      </c>
      <c r="F50" s="3" t="n">
        <f aca="false">IFERROR(__xludf.dummyfunction("if($T50&lt;&gt;"""",VALUE(REGEXEXTRACT(SUBSTITUTE ($T50,F$1&amp;"" CE"",""""), F$1&amp;""[\w &amp;]*, (\d+\.\d+)"")),"""")
"),480)</f>
        <v>480</v>
      </c>
      <c r="G50" s="3" t="n">
        <f aca="false">IFERROR(__xludf.dummyfunction("if($T50&lt;&gt;"""",VALUE(REGEXEXTRACT($T50, G$1&amp;""[\w &amp;]*, (\d+\.\d+)"")),"""")
"),483)</f>
        <v>483</v>
      </c>
      <c r="H50" s="3" t="n">
        <f aca="false">IFERROR(__xludf.dummyfunction("if($T50&lt;&gt;"""",VALUE(REGEXEXTRACT($T50, H$1&amp;""[\w &amp;]*, (\d+\.\d+)"")),"""")
"),479)</f>
        <v>479</v>
      </c>
      <c r="I50" s="3" t="n">
        <f aca="false">IFERROR(__xludf.dummyfunction("if($T50&lt;&gt;"""",VALUE(REGEXEXTRACT(SUBSTITUTE ($T50,I$1&amp;"" CE"",""""), I$1&amp;""[\w &amp;]*, (\d+\.\d+)"")),"""")
"),475)</f>
        <v>475</v>
      </c>
      <c r="J50" s="3" t="n">
        <f aca="false">IFERROR(__xludf.dummyfunction("if($T50&lt;&gt;"""",VALUE(REGEXEXTRACT($T50, J$1&amp;""[\w &amp;]*, (\d+\.\d+)"")),"""")
"),478)</f>
        <v>478</v>
      </c>
      <c r="K50" s="3" t="n">
        <f aca="false">IFERROR(__xludf.dummyfunction("if($T50&lt;&gt;"""",VALUE(REGEXEXTRACT($T50, K$1&amp;""[\w &amp;]*, (\d+\.\d+)"")),"""")
"),346.78)</f>
        <v>346.78</v>
      </c>
      <c r="L50" s="3" t="n">
        <f aca="false">IFERROR(__xludf.dummyfunction("if($T50&lt;&gt;"""",VALUE(REGEXEXTRACT(SUBSTITUTE ($T50,L$1&amp;"" CE"",""""), L$1&amp;""[\w &amp;]*, (\d+\.\d+)"")),"""")
"),479)</f>
        <v>479</v>
      </c>
      <c r="M50" s="3" t="n">
        <f aca="false">IFERROR(__xludf.dummyfunction("if($T50&lt;&gt;"""",VALUE(REGEXEXTRACT($T50, M$1&amp;""[\w &amp;]*, (\d+\.\d+)"")),"""")
"),479)</f>
        <v>479</v>
      </c>
      <c r="N50" s="3" t="n">
        <f aca="false">IFERROR(__xludf.dummyfunction("if($T50&lt;&gt;"""",VALUE(REGEXEXTRACT(SUBSTITUTE ($T50,N$1&amp;"" CE"",""""), N$1&amp;""[\w &amp;]*, (\d+\.\d+)"")),"""")
"),480)</f>
        <v>480</v>
      </c>
      <c r="O50" s="3" t="n">
        <f aca="false">IFERROR(__xludf.dummyfunction("if($T50&lt;&gt;"""",VALUE(REGEXEXTRACT($T50, O$1&amp;""[\w &amp;]*, (\d+\.\d+)"")),"""")
"),478)</f>
        <v>478</v>
      </c>
      <c r="P50" s="2" t="n">
        <f aca="false">IFERROR(__xludf.dummyfunction("if($T50&lt;&gt;"""",VALUE(REGEXEXTRACT($T50, P$1&amp;""[\w &amp;]*, (\d+\.\d+)"")),"""")
"),476.79)</f>
        <v>476.79</v>
      </c>
      <c r="Q50" s="2" t="n">
        <f aca="false">IFERROR(__xludf.dummyfunction("if($T50&lt;&gt;"""",VALUE(REGEXEXTRACT($T50, Q$1&amp;""[\w &amp;]*, (\d+\.\d+)"")),"""")
"),475.3)</f>
        <v>475.3</v>
      </c>
      <c r="R50" s="2" t="n">
        <f aca="false">IFERROR(__xludf.dummyfunction("if($T50&lt;&gt;"""",VALUE(REGEXEXTRACT($T50, SUBSTITUTE(R$1, ""+"", ""\+"")&amp;""[\w &amp;]*, (\d+\.\d+)"")),"""")"),483.19)</f>
        <v>483.19</v>
      </c>
      <c r="S50" s="2" t="n">
        <f aca="false">IFERROR(__xludf.dummyfunction("if($T50&lt;&gt;"""",VALUE(REGEXEXTRACT($T50, SUBSTITUTE(S$1, ""+"", ""\+"")&amp;""[\w &amp;]*, (\d+\.\d+)"")),"""")"),484.68)</f>
        <v>484.68</v>
      </c>
      <c r="T50" s="5" t="s">
        <v>467</v>
      </c>
    </row>
    <row r="51" customFormat="false" ht="15.75" hidden="false" customHeight="false" outlineLevel="0" collapsed="false">
      <c r="A51" s="4" t="n">
        <f aca="false">IFERROR(__xludf.dummyfunction("""COMPUTED_VALUE"""),45471.6666666667)</f>
        <v>45471.6666666667</v>
      </c>
      <c r="B51" s="2" t="n">
        <f aca="false">IFERROR(__xludf.dummyfunction("""COMPUTED_VALUE"""),482.41)</f>
        <v>482.41</v>
      </c>
      <c r="C51" s="2" t="n">
        <f aca="false">IFERROR(__xludf.dummyfunction("""COMPUTED_VALUE"""),487.2)</f>
        <v>487.2</v>
      </c>
      <c r="D51" s="2" t="n">
        <f aca="false">IFERROR(__xludf.dummyfunction("""COMPUTED_VALUE"""),478.46)</f>
        <v>478.46</v>
      </c>
      <c r="E51" s="2" t="n">
        <f aca="false">IFERROR(__xludf.dummyfunction("""COMPUTED_VALUE"""),479.11)</f>
        <v>479.11</v>
      </c>
      <c r="F51" s="3" t="n">
        <f aca="false">IFERROR(__xludf.dummyfunction("if($T51&lt;&gt;"""",VALUE(REGEXEXTRACT(SUBSTITUTE ($T51,F$1&amp;"" CE"",""""), F$1&amp;""[\w &amp;]*, (\d+\.\d+)"")),"""")
"),480)</f>
        <v>480</v>
      </c>
      <c r="G51" s="3" t="n">
        <f aca="false">IFERROR(__xludf.dummyfunction("if($T51&lt;&gt;"""",VALUE(REGEXEXTRACT($T51, G$1&amp;""[\w &amp;]*, (\d+\.\d+)"")),"""")
"),485)</f>
        <v>485</v>
      </c>
      <c r="H51" s="3" t="n">
        <f aca="false">IFERROR(__xludf.dummyfunction("if($T51&lt;&gt;"""",VALUE(REGEXEXTRACT($T51, H$1&amp;""[\w &amp;]*, (\d+\.\d+)"")),"""")
"),482.5)</f>
        <v>482.5</v>
      </c>
      <c r="I51" s="3" t="n">
        <f aca="false">IFERROR(__xludf.dummyfunction("if($T51&lt;&gt;"""",VALUE(REGEXEXTRACT(SUBSTITUTE ($T51,I$1&amp;"" CE"",""""), I$1&amp;""[\w &amp;]*, (\d+\.\d+)"")),"""")
"),480)</f>
        <v>480</v>
      </c>
      <c r="J51" s="3" t="n">
        <f aca="false">IFERROR(__xludf.dummyfunction("if($T51&lt;&gt;"""",VALUE(REGEXEXTRACT($T51, J$1&amp;""[\w &amp;]*, (\d+\.\d+)"")),"""")
"),478)</f>
        <v>478</v>
      </c>
      <c r="K51" s="3" t="n">
        <f aca="false">IFERROR(__xludf.dummyfunction("if($T51&lt;&gt;"""",VALUE(REGEXEXTRACT($T51, K$1&amp;""[\w &amp;]*, (\d+\.\d+)"")),"""")
"),346.78)</f>
        <v>346.78</v>
      </c>
      <c r="L51" s="3" t="n">
        <f aca="false">IFERROR(__xludf.dummyfunction("if($T51&lt;&gt;"""",VALUE(REGEXEXTRACT(SUBSTITUTE ($T51,L$1&amp;"" CE"",""""), L$1&amp;""[\w &amp;]*, (\d+\.\d+)"")),"""")
"),479)</f>
        <v>479</v>
      </c>
      <c r="M51" s="3" t="n">
        <f aca="false">IFERROR(__xludf.dummyfunction("if($T51&lt;&gt;"""",VALUE(REGEXEXTRACT($T51, M$1&amp;""[\w &amp;]*, (\d+\.\d+)"")),"""")
"),479)</f>
        <v>479</v>
      </c>
      <c r="N51" s="3" t="n">
        <f aca="false">IFERROR(__xludf.dummyfunction("if($T51&lt;&gt;"""",VALUE(REGEXEXTRACT(SUBSTITUTE ($T51,N$1&amp;"" CE"",""""), N$1&amp;""[\w &amp;]*, (\d+\.\d+)"")),"""")
"),480)</f>
        <v>480</v>
      </c>
      <c r="O51" s="3" t="n">
        <f aca="false">IFERROR(__xludf.dummyfunction("if($T51&lt;&gt;"""",VALUE(REGEXEXTRACT($T51, O$1&amp;""[\w &amp;]*, (\d+\.\d+)"")),"""")
"),480)</f>
        <v>480</v>
      </c>
      <c r="P51" s="2" t="n">
        <f aca="false">IFERROR(__xludf.dummyfunction("if($T51&lt;&gt;"""",VALUE(REGEXEXTRACT($T51, P$1&amp;""[\w &amp;]*, (\d+\.\d+)"")),"""")
"),480.15)</f>
        <v>480.15</v>
      </c>
      <c r="Q51" s="2" t="n">
        <f aca="false">IFERROR(__xludf.dummyfunction("if($T51&lt;&gt;"""",VALUE(REGEXEXTRACT($T51, Q$1&amp;""[\w &amp;]*, (\d+\.\d+)"")),"""")
"),476.68)</f>
        <v>476.68</v>
      </c>
      <c r="R51" s="2" t="n">
        <f aca="false">IFERROR(__xludf.dummyfunction("if($T51&lt;&gt;"""",VALUE(REGEXEXTRACT($T51, SUBSTITUTE(R$1, ""+"", ""\+"")&amp;""[\w &amp;]*, (\d+\.\d+)"")),"""")"),487.31)</f>
        <v>487.31</v>
      </c>
      <c r="S51" s="2" t="n">
        <f aca="false">IFERROR(__xludf.dummyfunction("if($T51&lt;&gt;"""",VALUE(REGEXEXTRACT($T51, SUBSTITUTE(S$1, ""+"", ""\+"")&amp;""[\w &amp;]*, (\d+\.\d+)"")),"""")"),490.78)</f>
        <v>490.78</v>
      </c>
      <c r="T51" s="5" t="s">
        <v>468</v>
      </c>
    </row>
    <row r="52" customFormat="false" ht="15.75" hidden="false" customHeight="false" outlineLevel="0" collapsed="false">
      <c r="A52" s="4" t="n">
        <f aca="false">IFERROR(__xludf.dummyfunction("""COMPUTED_VALUE"""),45474.6666666667)</f>
        <v>45474.6666666667</v>
      </c>
      <c r="B52" s="2" t="n">
        <f aca="false">IFERROR(__xludf.dummyfunction("""COMPUTED_VALUE"""),480.04)</f>
        <v>480.04</v>
      </c>
      <c r="C52" s="2" t="n">
        <f aca="false">IFERROR(__xludf.dummyfunction("""COMPUTED_VALUE"""),482.49)</f>
        <v>482.49</v>
      </c>
      <c r="D52" s="2" t="n">
        <f aca="false">IFERROR(__xludf.dummyfunction("""COMPUTED_VALUE"""),476.26)</f>
        <v>476.26</v>
      </c>
      <c r="E52" s="2" t="n">
        <f aca="false">IFERROR(__xludf.dummyfunction("""COMPUTED_VALUE"""),481.92)</f>
        <v>481.92</v>
      </c>
      <c r="F52" s="3" t="n">
        <f aca="false">IFERROR(__xludf.dummyfunction("if($T52&lt;&gt;"""",VALUE(REGEXEXTRACT(SUBSTITUTE ($T52,F$1&amp;"" CE"",""""), F$1&amp;""[\w &amp;]*, (\d+\.\d+)"")),"""")
"),470)</f>
        <v>470</v>
      </c>
      <c r="G52" s="3" t="n">
        <f aca="false">IFERROR(__xludf.dummyfunction("if($T52&lt;&gt;"""",VALUE(REGEXEXTRACT($T52, G$1&amp;""[\w &amp;]*, (\d+\.\d+)"")),"""")
"),482)</f>
        <v>482</v>
      </c>
      <c r="H52" s="3" t="n">
        <f aca="false">IFERROR(__xludf.dummyfunction("if($T52&lt;&gt;"""",VALUE(REGEXEXTRACT($T52, H$1&amp;""[\w &amp;]*, (\d+\.\d+)"")),"""")
"),480)</f>
        <v>480</v>
      </c>
      <c r="I52" s="3" t="n">
        <f aca="false">IFERROR(__xludf.dummyfunction("if($T52&lt;&gt;"""",VALUE(REGEXEXTRACT(SUBSTITUTE ($T52,I$1&amp;"" CE"",""""), I$1&amp;""[\w &amp;]*, (\d+\.\d+)"")),"""")
"),470)</f>
        <v>470</v>
      </c>
      <c r="J52" s="3" t="n">
        <f aca="false">IFERROR(__xludf.dummyfunction("if($T52&lt;&gt;"""",VALUE(REGEXEXTRACT($T52, J$1&amp;""[\w &amp;]*, (\d+\.\d+)"")),"""")
"),477)</f>
        <v>477</v>
      </c>
      <c r="K52" s="3" t="n">
        <f aca="false">IFERROR(__xludf.dummyfunction("if($T52&lt;&gt;"""",VALUE(REGEXEXTRACT($T52, K$1&amp;""[\w &amp;]*, (\d+\.\d+)"")),"""")
"),346.78)</f>
        <v>346.78</v>
      </c>
      <c r="L52" s="3" t="n">
        <f aca="false">IFERROR(__xludf.dummyfunction("if($T52&lt;&gt;"""",VALUE(REGEXEXTRACT(SUBSTITUTE ($T52,L$1&amp;"" CE"",""""), L$1&amp;""[\w &amp;]*, (\d+\.\d+)"")),"""")
"),480)</f>
        <v>480</v>
      </c>
      <c r="M52" s="3" t="n">
        <f aca="false">IFERROR(__xludf.dummyfunction("if($T52&lt;&gt;"""",VALUE(REGEXEXTRACT($T52, M$1&amp;""[\w &amp;]*, (\d+\.\d+)"")),"""")
"),480)</f>
        <v>480</v>
      </c>
      <c r="N52" s="3" t="n">
        <f aca="false">IFERROR(__xludf.dummyfunction("if($T52&lt;&gt;"""",VALUE(REGEXEXTRACT(SUBSTITUTE ($T52,N$1&amp;"" CE"",""""), N$1&amp;""[\w &amp;]*, (\d+\.\d+)"")),"""")
"),480)</f>
        <v>480</v>
      </c>
      <c r="O52" s="3" t="n">
        <f aca="false">IFERROR(__xludf.dummyfunction("if($T52&lt;&gt;"""",VALUE(REGEXEXTRACT($T52, O$1&amp;""[\w &amp;]*, (\d+\.\d+)"")),"""")
"),482)</f>
        <v>482</v>
      </c>
      <c r="P52" s="2" t="n">
        <f aca="false">IFERROR(__xludf.dummyfunction("if($T52&lt;&gt;"""",VALUE(REGEXEXTRACT($T52, P$1&amp;""[\w &amp;]*, (\d+\.\d+)"")),"""")
"),476.04)</f>
        <v>476.04</v>
      </c>
      <c r="Q52" s="2" t="n">
        <f aca="false">IFERROR(__xludf.dummyfunction("if($T52&lt;&gt;"""",VALUE(REGEXEXTRACT($T52, Q$1&amp;""[\w &amp;]*, (\d+\.\d+)"")),"""")
"),474.76)</f>
        <v>474.76</v>
      </c>
      <c r="R52" s="2" t="n">
        <f aca="false">IFERROR(__xludf.dummyfunction("if($T52&lt;&gt;"""",VALUE(REGEXEXTRACT($T52, SUBSTITUTE(R$1, ""+"", ""\+"")&amp;""[\w &amp;]*, (\d+\.\d+)"")),"""")"),482.24)</f>
        <v>482.24</v>
      </c>
      <c r="S52" s="2" t="n">
        <f aca="false">IFERROR(__xludf.dummyfunction("if($T52&lt;&gt;"""",VALUE(REGEXEXTRACT($T52, SUBSTITUTE(S$1, ""+"", ""\+"")&amp;""[\w &amp;]*, (\d+\.\d+)"")),"""")"),483.52)</f>
        <v>483.52</v>
      </c>
      <c r="T52" s="5" t="s">
        <v>469</v>
      </c>
    </row>
    <row r="53" customFormat="false" ht="15.75" hidden="false" customHeight="false" outlineLevel="0" collapsed="false">
      <c r="A53" s="4" t="n">
        <f aca="false">IFERROR(__xludf.dummyfunction("""COMPUTED_VALUE"""),45475.6666666667)</f>
        <v>45475.6666666667</v>
      </c>
      <c r="B53" s="2" t="n">
        <f aca="false">IFERROR(__xludf.dummyfunction("""COMPUTED_VALUE"""),480.41)</f>
        <v>480.41</v>
      </c>
      <c r="C53" s="2" t="n">
        <f aca="false">IFERROR(__xludf.dummyfunction("""COMPUTED_VALUE"""),487.04)</f>
        <v>487.04</v>
      </c>
      <c r="D53" s="2" t="n">
        <f aca="false">IFERROR(__xludf.dummyfunction("""COMPUTED_VALUE"""),480.28)</f>
        <v>480.28</v>
      </c>
      <c r="E53" s="2" t="n">
        <f aca="false">IFERROR(__xludf.dummyfunction("""COMPUTED_VALUE"""),486.98)</f>
        <v>486.98</v>
      </c>
      <c r="F53" s="3" t="n">
        <f aca="false">IFERROR(__xludf.dummyfunction("if($T53&lt;&gt;"""",VALUE(REGEXEXTRACT(SUBSTITUTE ($T53,F$1&amp;"" CE"",""""), F$1&amp;""[\w &amp;]*, (\d+\.\d+)"")),"""")
"),490)</f>
        <v>490</v>
      </c>
      <c r="G53" s="3" t="n">
        <f aca="false">IFERROR(__xludf.dummyfunction("if($T53&lt;&gt;"""",VALUE(REGEXEXTRACT($T53, G$1&amp;""[\w &amp;]*, (\d+\.\d+)"")),"""")
"),485)</f>
        <v>485</v>
      </c>
      <c r="H53" s="3" t="n">
        <f aca="false">IFERROR(__xludf.dummyfunction("if($T53&lt;&gt;"""",VALUE(REGEXEXTRACT($T53, H$1&amp;""[\w &amp;]*, (\d+\.\d+)"")),"""")
"),481)</f>
        <v>481</v>
      </c>
      <c r="I53" s="3" t="n">
        <f aca="false">IFERROR(__xludf.dummyfunction("if($T53&lt;&gt;"""",VALUE(REGEXEXTRACT(SUBSTITUTE ($T53,I$1&amp;"" CE"",""""), I$1&amp;""[\w &amp;]*, (\d+\.\d+)"")),"""")
"),470)</f>
        <v>470</v>
      </c>
      <c r="J53" s="3" t="n">
        <f aca="false">IFERROR(__xludf.dummyfunction("if($T53&lt;&gt;"""",VALUE(REGEXEXTRACT($T53, J$1&amp;""[\w &amp;]*, (\d+\.\d+)"")),"""")
"),480)</f>
        <v>480</v>
      </c>
      <c r="K53" s="3" t="n">
        <f aca="false">IFERROR(__xludf.dummyfunction("if($T53&lt;&gt;"""",VALUE(REGEXEXTRACT($T53, K$1&amp;""[\w &amp;]*, (\d+\.\d+)"")),"""")
"),264.78)</f>
        <v>264.78</v>
      </c>
      <c r="L53" s="3" t="n">
        <f aca="false">IFERROR(__xludf.dummyfunction("if($T53&lt;&gt;"""",VALUE(REGEXEXTRACT(SUBSTITUTE ($T53,L$1&amp;"" CE"",""""), L$1&amp;""[\w &amp;]*, (\d+\.\d+)"")),"""")
"),481)</f>
        <v>481</v>
      </c>
      <c r="M53" s="3" t="n">
        <f aca="false">IFERROR(__xludf.dummyfunction("if($T53&lt;&gt;"""",VALUE(REGEXEXTRACT($T53, M$1&amp;""[\w &amp;]*, (\d+\.\d+)"")),"""")
"),481)</f>
        <v>481</v>
      </c>
      <c r="N53" s="3" t="n">
        <f aca="false">IFERROR(__xludf.dummyfunction("if($T53&lt;&gt;"""",VALUE(REGEXEXTRACT(SUBSTITUTE ($T53,N$1&amp;"" CE"",""""), N$1&amp;""[\w &amp;]*, (\d+\.\d+)"")),"""")
"),480)</f>
        <v>480</v>
      </c>
      <c r="O53" s="3" t="n">
        <f aca="false">IFERROR(__xludf.dummyfunction("if($T53&lt;&gt;"""",VALUE(REGEXEXTRACT($T53, O$1&amp;""[\w &amp;]*, (\d+\.\d+)"")),"""")
"),480)</f>
        <v>480</v>
      </c>
      <c r="P53" s="2" t="n">
        <f aca="false">IFERROR(__xludf.dummyfunction("if($T53&lt;&gt;"""",VALUE(REGEXEXTRACT($T53, P$1&amp;""[\w &amp;]*, (\d+\.\d+)"")),"""")
"),476.53)</f>
        <v>476.53</v>
      </c>
      <c r="Q53" s="2" t="n">
        <f aca="false">IFERROR(__xludf.dummyfunction("if($T53&lt;&gt;"""",VALUE(REGEXEXTRACT($T53, Q$1&amp;""[\w &amp;]*, (\d+\.\d+)"")),"""")
"),475.18)</f>
        <v>475.18</v>
      </c>
      <c r="R53" s="2" t="n">
        <f aca="false">IFERROR(__xludf.dummyfunction("if($T53&lt;&gt;"""",VALUE(REGEXEXTRACT($T53, SUBSTITUTE(R$1, ""+"", ""\+"")&amp;""[\w &amp;]*, (\d+\.\d+)"")),"""")"),483.07)</f>
        <v>483.07</v>
      </c>
      <c r="S53" s="2" t="n">
        <f aca="false">IFERROR(__xludf.dummyfunction("if($T53&lt;&gt;"""",VALUE(REGEXEXTRACT($T53, SUBSTITUTE(S$1, ""+"", ""\+"")&amp;""[\w &amp;]*, (\d+\.\d+)"")),"""")"),484.42)</f>
        <v>484.42</v>
      </c>
      <c r="T53" s="5" t="s">
        <v>470</v>
      </c>
    </row>
    <row r="54" customFormat="false" ht="15.75" hidden="false" customHeight="false" outlineLevel="0" collapsed="false">
      <c r="A54" s="4" t="n">
        <f aca="false">IFERROR(__xludf.dummyfunction("""COMPUTED_VALUE"""),45476.5451388889)</f>
        <v>45476.5451388889</v>
      </c>
      <c r="B54" s="2" t="n">
        <f aca="false">IFERROR(__xludf.dummyfunction("""COMPUTED_VALUE"""),486.22)</f>
        <v>486.22</v>
      </c>
      <c r="C54" s="2" t="n">
        <f aca="false">IFERROR(__xludf.dummyfunction("""COMPUTED_VALUE"""),491.17)</f>
        <v>491.17</v>
      </c>
      <c r="D54" s="2" t="n">
        <f aca="false">IFERROR(__xludf.dummyfunction("""COMPUTED_VALUE"""),486.22)</f>
        <v>486.22</v>
      </c>
      <c r="E54" s="2" t="n">
        <f aca="false">IFERROR(__xludf.dummyfunction("""COMPUTED_VALUE"""),491.04)</f>
        <v>491.04</v>
      </c>
      <c r="F54" s="3" t="n">
        <f aca="false">IFERROR(__xludf.dummyfunction("if($T54&lt;&gt;"""",VALUE(REGEXEXTRACT(SUBSTITUTE ($T54,F$1&amp;"" CE"",""""), F$1&amp;""[\w &amp;]*, (\d+\.\d+)"")),"""")
"),490)</f>
        <v>490</v>
      </c>
      <c r="G54" s="3" t="n">
        <f aca="false">IFERROR(__xludf.dummyfunction("if($T54&lt;&gt;"""",VALUE(REGEXEXTRACT($T54, G$1&amp;""[\w &amp;]*, (\d+\.\d+)"")),"""")
"),487)</f>
        <v>487</v>
      </c>
      <c r="H54" s="3" t="n">
        <f aca="false">IFERROR(__xludf.dummyfunction("if($T54&lt;&gt;"""",VALUE(REGEXEXTRACT($T54, H$1&amp;""[\w &amp;]*, (\d+\.\d+)"")),"""")
"),493)</f>
        <v>493</v>
      </c>
      <c r="I54" s="3" t="n">
        <f aca="false">IFERROR(__xludf.dummyfunction("if($T54&lt;&gt;"""",VALUE(REGEXEXTRACT(SUBSTITUTE ($T54,I$1&amp;"" CE"",""""), I$1&amp;""[\w &amp;]*, (\d+\.\d+)"")),"""")
"),470)</f>
        <v>470</v>
      </c>
      <c r="J54" s="3" t="n">
        <f aca="false">IFERROR(__xludf.dummyfunction("if($T54&lt;&gt;"""",VALUE(REGEXEXTRACT($T54, J$1&amp;""[\w &amp;]*, (\d+\.\d+)"")),"""")
"),485)</f>
        <v>485</v>
      </c>
      <c r="K54" s="3" t="str">
        <f aca="false">IFERROR(__xludf.dummyfunction("if($T54&lt;&gt;"""",VALUE(REGEXEXTRACT($T54, K$1&amp;""[\w &amp;]*, (\d+\.\d+)"")),"""")
"),"#N/A")</f>
        <v>#N/A</v>
      </c>
      <c r="L54" s="3" t="n">
        <f aca="false">IFERROR(__xludf.dummyfunction("if($T54&lt;&gt;"""",VALUE(REGEXEXTRACT(SUBSTITUTE ($T54,L$1&amp;"" CE"",""""), L$1&amp;""[\w &amp;]*, (\d+\.\d+)"")),"""")
"),484)</f>
        <v>484</v>
      </c>
      <c r="M54" s="3" t="n">
        <f aca="false">IFERROR(__xludf.dummyfunction("if($T54&lt;&gt;"""",VALUE(REGEXEXTRACT($T54, M$1&amp;""[\w &amp;]*, (\d+\.\d+)"")),"""")
"),485)</f>
        <v>485</v>
      </c>
      <c r="N54" s="3" t="n">
        <f aca="false">IFERROR(__xludf.dummyfunction("if($T54&lt;&gt;"""",VALUE(REGEXEXTRACT(SUBSTITUTE ($T54,N$1&amp;"" CE"",""""), N$1&amp;""[\w &amp;]*, (\d+\.\d+)"")),"""")
"),485)</f>
        <v>485</v>
      </c>
      <c r="O54" s="3" t="n">
        <f aca="false">IFERROR(__xludf.dummyfunction("if($T54&lt;&gt;"""",VALUE(REGEXEXTRACT($T54, O$1&amp;""[\w &amp;]*, (\d+\.\d+)"")),"""")
"),487)</f>
        <v>487</v>
      </c>
      <c r="P54" s="2" t="n">
        <f aca="false">IFERROR(__xludf.dummyfunction("if($T54&lt;&gt;"""",VALUE(REGEXEXTRACT($T54, P$1&amp;""[\w &amp;]*, (\d+\.\d+)"")),"""")
"),484.61)</f>
        <v>484.61</v>
      </c>
      <c r="Q54" s="2" t="n">
        <f aca="false">IFERROR(__xludf.dummyfunction("if($T54&lt;&gt;"""",VALUE(REGEXEXTRACT($T54, Q$1&amp;""[\w &amp;]*, (\d+\.\d+)"")),"""")
"),482.52)</f>
        <v>482.52</v>
      </c>
      <c r="R54" s="2" t="n">
        <f aca="false">IFERROR(__xludf.dummyfunction("if($T54&lt;&gt;"""",VALUE(REGEXEXTRACT($T54, SUBSTITUTE(R$1, ""+"", ""\+"")&amp;""[\w &amp;]*, (\d+\.\d+)"")),"""")"),490.33)</f>
        <v>490.33</v>
      </c>
      <c r="S54" s="2" t="n">
        <f aca="false">IFERROR(__xludf.dummyfunction("if($T54&lt;&gt;"""",VALUE(REGEXEXTRACT($T54, SUBSTITUTE(S$1, ""+"", ""\+"")&amp;""[\w &amp;]*, (\d+\.\d+)"")),"""")"),492.42)</f>
        <v>492.42</v>
      </c>
      <c r="T54" s="5" t="s">
        <v>471</v>
      </c>
    </row>
    <row r="55" customFormat="false" ht="15.75" hidden="false" customHeight="false" outlineLevel="0" collapsed="false">
      <c r="A55" s="4" t="n">
        <f aca="false">IFERROR(__xludf.dummyfunction("""COMPUTED_VALUE"""),45478.6666666667)</f>
        <v>45478.6666666667</v>
      </c>
      <c r="B55" s="2" t="n">
        <f aca="false">IFERROR(__xludf.dummyfunction("""COMPUTED_VALUE"""),491.89)</f>
        <v>491.89</v>
      </c>
      <c r="C55" s="2" t="n">
        <f aca="false">IFERROR(__xludf.dummyfunction("""COMPUTED_VALUE"""),496.6)</f>
        <v>496.6</v>
      </c>
      <c r="D55" s="2" t="n">
        <f aca="false">IFERROR(__xludf.dummyfunction("""COMPUTED_VALUE"""),491.59)</f>
        <v>491.59</v>
      </c>
      <c r="E55" s="2" t="n">
        <f aca="false">IFERROR(__xludf.dummyfunction("""COMPUTED_VALUE"""),496.16)</f>
        <v>496.16</v>
      </c>
      <c r="F55" s="3" t="str">
        <f aca="false">IFERROR(__xludf.dummyfunction("if($T55&lt;&gt;"""",VALUE(REGEXEXTRACT(SUBSTITUTE ($T55,F$1&amp;"" CE"",""""), F$1&amp;""[\w &amp;]*, (\d+\.\d+)"")),"""")
"),"#N/A")</f>
        <v>#N/A</v>
      </c>
      <c r="G55" s="3" t="str">
        <f aca="false">IFERROR(__xludf.dummyfunction("if($T55&lt;&gt;"""",VALUE(REGEXEXTRACT($T55, G$1&amp;""[\w &amp;]*, (\d+\.\d+)"")),"""")
"),"#N/A")</f>
        <v>#N/A</v>
      </c>
      <c r="H55" s="3" t="str">
        <f aca="false">IFERROR(__xludf.dummyfunction("if($T55&lt;&gt;"""",VALUE(REGEXEXTRACT($T55, H$1&amp;""[\w &amp;]*, (\d+\.\d+)"")),"""")
"),"#N/A")</f>
        <v>#N/A</v>
      </c>
      <c r="I55" s="3" t="str">
        <f aca="false">IFERROR(__xludf.dummyfunction("if($T55&lt;&gt;"""",VALUE(REGEXEXTRACT(SUBSTITUTE ($T55,I$1&amp;"" CE"",""""), I$1&amp;""[\w &amp;]*, (\d+\.\d+)"")),"""")
"),"#N/A")</f>
        <v>#N/A</v>
      </c>
      <c r="J55" s="3" t="str">
        <f aca="false">IFERROR(__xludf.dummyfunction("if($T55&lt;&gt;"""",VALUE(REGEXEXTRACT($T55, J$1&amp;""[\w &amp;]*, (\d+\.\d+)"")),"""")
"),"#N/A")</f>
        <v>#N/A</v>
      </c>
      <c r="K55" s="3" t="str">
        <f aca="false">IFERROR(__xludf.dummyfunction("if($T55&lt;&gt;"""",VALUE(REGEXEXTRACT($T55, K$1&amp;""[\w &amp;]*, (\d+\.\d+)"")),"""")
"),"#N/A")</f>
        <v>#N/A</v>
      </c>
      <c r="L55" s="3" t="str">
        <f aca="false">IFERROR(__xludf.dummyfunction("if($T55&lt;&gt;"""",VALUE(REGEXEXTRACT(SUBSTITUTE ($T55,L$1&amp;"" CE"",""""), L$1&amp;""[\w &amp;]*, (\d+\.\d+)"")),"""")
"),"#N/A")</f>
        <v>#N/A</v>
      </c>
      <c r="M55" s="3" t="str">
        <f aca="false">IFERROR(__xludf.dummyfunction("if($T55&lt;&gt;"""",VALUE(REGEXEXTRACT($T55, M$1&amp;""[\w &amp;]*, (\d+\.\d+)"")),"""")
"),"#N/A")</f>
        <v>#N/A</v>
      </c>
      <c r="N55" s="3" t="str">
        <f aca="false">IFERROR(__xludf.dummyfunction("if($T55&lt;&gt;"""",VALUE(REGEXEXTRACT(SUBSTITUTE ($T55,N$1&amp;"" CE"",""""), N$1&amp;""[\w &amp;]*, (\d+\.\d+)"")),"""")
"),"#N/A")</f>
        <v>#N/A</v>
      </c>
      <c r="O55" s="3" t="str">
        <f aca="false">IFERROR(__xludf.dummyfunction("if($T55&lt;&gt;"""",VALUE(REGEXEXTRACT($T55, O$1&amp;""[\w &amp;]*, (\d+\.\d+)"")),"""")
"),"#N/A")</f>
        <v>#N/A</v>
      </c>
      <c r="P55" s="2" t="str">
        <f aca="false">IFERROR(__xludf.dummyfunction("if($T55&lt;&gt;"""",VALUE(REGEXEXTRACT($T55, P$1&amp;""[\w &amp;]*, (\d+\.\d+)"")),"""")
"),"#N/A")</f>
        <v>#N/A</v>
      </c>
      <c r="Q55" s="2" t="str">
        <f aca="false">IFERROR(__xludf.dummyfunction("if($T55&lt;&gt;"""",VALUE(REGEXEXTRACT($T55, Q$1&amp;""[\w &amp;]*, (\d+\.\d+)"")),"""")
"),"#N/A")</f>
        <v>#N/A</v>
      </c>
      <c r="R55" s="2" t="str">
        <f aca="false">IFERROR(__xludf.dummyfunction("if($T55&lt;&gt;"""",VALUE(REGEXEXTRACT($T55, SUBSTITUTE(R$1, ""+"", ""\+"")&amp;""[\w &amp;]*, (\d+\.\d+)"")),"""")"),"#N/A")</f>
        <v>#N/A</v>
      </c>
      <c r="S55" s="2" t="str">
        <f aca="false">IFERROR(__xludf.dummyfunction("if($T55&lt;&gt;"""",VALUE(REGEXEXTRACT($T55, SUBSTITUTE(S$1, ""+"", ""\+"")&amp;""[\w &amp;]*, (\d+\.\d+)"")),"""")"),"#N/A")</f>
        <v>#N/A</v>
      </c>
      <c r="T55" s="5" t="s">
        <v>472</v>
      </c>
    </row>
    <row r="56" customFormat="false" ht="15.75" hidden="false" customHeight="false" outlineLevel="0" collapsed="false">
      <c r="A56" s="4" t="n">
        <f aca="false">IFERROR(__xludf.dummyfunction("""COMPUTED_VALUE"""),45481.6666666667)</f>
        <v>45481.6666666667</v>
      </c>
      <c r="B56" s="2" t="n">
        <f aca="false">IFERROR(__xludf.dummyfunction("""COMPUTED_VALUE"""),496.53)</f>
        <v>496.53</v>
      </c>
      <c r="C56" s="2" t="n">
        <f aca="false">IFERROR(__xludf.dummyfunction("""COMPUTED_VALUE"""),497.9)</f>
        <v>497.9</v>
      </c>
      <c r="D56" s="2" t="n">
        <f aca="false">IFERROR(__xludf.dummyfunction("""COMPUTED_VALUE"""),495.5)</f>
        <v>495.5</v>
      </c>
      <c r="E56" s="2" t="n">
        <f aca="false">IFERROR(__xludf.dummyfunction("""COMPUTED_VALUE"""),497.34)</f>
        <v>497.34</v>
      </c>
      <c r="F56" s="3" t="n">
        <f aca="false">IFERROR(__xludf.dummyfunction("if($T56&lt;&gt;"""",VALUE(REGEXEXTRACT(SUBSTITUTE ($T56,F$1&amp;"" CE"",""""), F$1&amp;""[\w &amp;]*, (\d+\.\d+)"")),"""")
"),500)</f>
        <v>500</v>
      </c>
      <c r="G56" s="3" t="n">
        <f aca="false">IFERROR(__xludf.dummyfunction("if($T56&lt;&gt;"""",VALUE(REGEXEXTRACT($T56, G$1&amp;""[\w &amp;]*, (\d+\.\d+)"")),"""")
"),500)</f>
        <v>500</v>
      </c>
      <c r="H56" s="3" t="n">
        <f aca="false">IFERROR(__xludf.dummyfunction("if($T56&lt;&gt;"""",VALUE(REGEXEXTRACT($T56, H$1&amp;""[\w &amp;]*, (\d+\.\d+)"")),"""")
"),502.5)</f>
        <v>502.5</v>
      </c>
      <c r="I56" s="3" t="n">
        <f aca="false">IFERROR(__xludf.dummyfunction("if($T56&lt;&gt;"""",VALUE(REGEXEXTRACT(SUBSTITUTE ($T56,I$1&amp;"" CE"",""""), I$1&amp;""[\w &amp;]*, (\d+\.\d+)"")),"""")
"),490)</f>
        <v>490</v>
      </c>
      <c r="J56" s="3" t="n">
        <f aca="false">IFERROR(__xludf.dummyfunction("if($T56&lt;&gt;"""",VALUE(REGEXEXTRACT($T56, J$1&amp;""[\w &amp;]*, (\d+\.\d+)"")),"""")
"),493)</f>
        <v>493</v>
      </c>
      <c r="K56" s="3" t="n">
        <f aca="false">IFERROR(__xludf.dummyfunction("if($T56&lt;&gt;"""",VALUE(REGEXEXTRACT($T56, K$1&amp;""[\w &amp;]*, (\d+\.\d+)"")),"""")
"),490)</f>
        <v>490</v>
      </c>
      <c r="L56" s="3" t="n">
        <f aca="false">IFERROR(__xludf.dummyfunction("if($T56&lt;&gt;"""",VALUE(REGEXEXTRACT(SUBSTITUTE ($T56,L$1&amp;"" CE"",""""), L$1&amp;""[\w &amp;]*, (\d+\.\d+)"")),"""")
"),494)</f>
        <v>494</v>
      </c>
      <c r="M56" s="3" t="n">
        <f aca="false">IFERROR(__xludf.dummyfunction("if($T56&lt;&gt;"""",VALUE(REGEXEXTRACT($T56, M$1&amp;""[\w &amp;]*, (\d+\.\d+)"")),"""")
"),494)</f>
        <v>494</v>
      </c>
      <c r="N56" s="3" t="n">
        <f aca="false">IFERROR(__xludf.dummyfunction("if($T56&lt;&gt;"""",VALUE(REGEXEXTRACT(SUBSTITUTE ($T56,N$1&amp;"" CE"",""""), N$1&amp;""[\w &amp;]*, (\d+\.\d+)"")),"""")
"),490)</f>
        <v>490</v>
      </c>
      <c r="O56" s="3" t="n">
        <f aca="false">IFERROR(__xludf.dummyfunction("if($T56&lt;&gt;"""",VALUE(REGEXEXTRACT($T56, O$1&amp;""[\w &amp;]*, (\d+\.\d+)"")),"""")
"),493)</f>
        <v>493</v>
      </c>
      <c r="P56" s="2" t="n">
        <f aca="false">IFERROR(__xludf.dummyfunction("if($T56&lt;&gt;"""",VALUE(REGEXEXTRACT($T56, P$1&amp;""[\w &amp;]*, (\d+\.\d+)"")),"""")
"),492.81)</f>
        <v>492.81</v>
      </c>
      <c r="Q56" s="2" t="n">
        <f aca="false">IFERROR(__xludf.dummyfunction("if($T56&lt;&gt;"""",VALUE(REGEXEXTRACT($T56, Q$1&amp;""[\w &amp;]*, (\d+\.\d+)"")),"""")
"),491.58)</f>
        <v>491.58</v>
      </c>
      <c r="R56" s="2" t="n">
        <f aca="false">IFERROR(__xludf.dummyfunction("if($T56&lt;&gt;"""",VALUE(REGEXEXTRACT($T56, SUBSTITUTE(R$1, ""+"", ""\+"")&amp;""[\w &amp;]*, (\d+\.\d+)"")),"""")"),498.71)</f>
        <v>498.71</v>
      </c>
      <c r="S56" s="2" t="n">
        <f aca="false">IFERROR(__xludf.dummyfunction("if($T56&lt;&gt;"""",VALUE(REGEXEXTRACT($T56, SUBSTITUTE(S$1, ""+"", ""\+"")&amp;""[\w &amp;]*, (\d+\.\d+)"")),"""")"),499.94)</f>
        <v>499.94</v>
      </c>
      <c r="T56" s="5" t="s">
        <v>473</v>
      </c>
    </row>
    <row r="57" customFormat="false" ht="15.75" hidden="false" customHeight="false" outlineLevel="0" collapsed="false">
      <c r="A57" s="4" t="n">
        <f aca="false">IFERROR(__xludf.dummyfunction("""COMPUTED_VALUE"""),45482.6666666667)</f>
        <v>45482.6666666667</v>
      </c>
      <c r="B57" s="2" t="n">
        <f aca="false">IFERROR(__xludf.dummyfunction("""COMPUTED_VALUE"""),498.87)</f>
        <v>498.87</v>
      </c>
      <c r="C57" s="2" t="n">
        <f aca="false">IFERROR(__xludf.dummyfunction("""COMPUTED_VALUE"""),500)</f>
        <v>500</v>
      </c>
      <c r="D57" s="2" t="n">
        <f aca="false">IFERROR(__xludf.dummyfunction("""COMPUTED_VALUE"""),496.24)</f>
        <v>496.24</v>
      </c>
      <c r="E57" s="2" t="n">
        <f aca="false">IFERROR(__xludf.dummyfunction("""COMPUTED_VALUE"""),497.77)</f>
        <v>497.77</v>
      </c>
      <c r="F57" s="3" t="n">
        <f aca="false">IFERROR(__xludf.dummyfunction("if($T57&lt;&gt;"""",VALUE(REGEXEXTRACT(SUBSTITUTE ($T57,F$1&amp;"" CE"",""""), F$1&amp;""[\w &amp;]*, (\d+\.\d+)"")),"""")
"),500)</f>
        <v>500</v>
      </c>
      <c r="G57" s="3" t="n">
        <f aca="false">IFERROR(__xludf.dummyfunction("if($T57&lt;&gt;"""",VALUE(REGEXEXTRACT($T57, G$1&amp;""[\w &amp;]*, (\d+\.\d+)"")),"""")
"),499)</f>
        <v>499</v>
      </c>
      <c r="H57" s="3" t="n">
        <f aca="false">IFERROR(__xludf.dummyfunction("if($T57&lt;&gt;"""",VALUE(REGEXEXTRACT($T57, H$1&amp;""[\w &amp;]*, (\d+\.\d+)"")),"""")
"),503)</f>
        <v>503</v>
      </c>
      <c r="I57" s="3" t="n">
        <f aca="false">IFERROR(__xludf.dummyfunction("if($T57&lt;&gt;"""",VALUE(REGEXEXTRACT(SUBSTITUTE ($T57,I$1&amp;"" CE"",""""), I$1&amp;""[\w &amp;]*, (\d+\.\d+)"")),"""")
"),492)</f>
        <v>492</v>
      </c>
      <c r="J57" s="3" t="n">
        <f aca="false">IFERROR(__xludf.dummyfunction("if($T57&lt;&gt;"""",VALUE(REGEXEXTRACT($T57, J$1&amp;""[\w &amp;]*, (\d+\.\d+)"")),"""")
"),493)</f>
        <v>493</v>
      </c>
      <c r="K57" s="3" t="n">
        <f aca="false">IFERROR(__xludf.dummyfunction("if($T57&lt;&gt;"""",VALUE(REGEXEXTRACT($T57, K$1&amp;""[\w &amp;]*, (\d+\.\d+)"")),"""")
"),490)</f>
        <v>490</v>
      </c>
      <c r="L57" s="3" t="n">
        <f aca="false">IFERROR(__xludf.dummyfunction("if($T57&lt;&gt;"""",VALUE(REGEXEXTRACT(SUBSTITUTE ($T57,L$1&amp;"" CE"",""""), L$1&amp;""[\w &amp;]*, (\d+\.\d+)"")),"""")
"),494)</f>
        <v>494</v>
      </c>
      <c r="M57" s="3" t="n">
        <f aca="false">IFERROR(__xludf.dummyfunction("if($T57&lt;&gt;"""",VALUE(REGEXEXTRACT($T57, M$1&amp;""[\w &amp;]*, (\d+\.\d+)"")),"""")
"),495)</f>
        <v>495</v>
      </c>
      <c r="N57" s="3" t="n">
        <f aca="false">IFERROR(__xludf.dummyfunction("if($T57&lt;&gt;"""",VALUE(REGEXEXTRACT(SUBSTITUTE ($T57,N$1&amp;"" CE"",""""), N$1&amp;""[\w &amp;]*, (\d+\.\d+)"")),"""")
"),500)</f>
        <v>500</v>
      </c>
      <c r="O57" s="3" t="n">
        <f aca="false">IFERROR(__xludf.dummyfunction("if($T57&lt;&gt;"""",VALUE(REGEXEXTRACT($T57, O$1&amp;""[\w &amp;]*, (\d+\.\d+)"")),"""")
"),496)</f>
        <v>496</v>
      </c>
      <c r="P57" s="2" t="n">
        <f aca="false">IFERROR(__xludf.dummyfunction("if($T57&lt;&gt;"""",VALUE(REGEXEXTRACT($T57, P$1&amp;""[\w &amp;]*, (\d+\.\d+)"")),"""")
"),495.4)</f>
        <v>495.4</v>
      </c>
      <c r="Q57" s="2" t="n">
        <f aca="false">IFERROR(__xludf.dummyfunction("if($T57&lt;&gt;"""",VALUE(REGEXEXTRACT($T57, Q$1&amp;""[\w &amp;]*, (\d+\.\d+)"")),"""")
"),493.91)</f>
        <v>493.91</v>
      </c>
      <c r="R57" s="2" t="n">
        <f aca="false">IFERROR(__xludf.dummyfunction("if($T57&lt;&gt;"""",VALUE(REGEXEXTRACT($T57, SUBSTITUTE(R$1, ""+"", ""\+"")&amp;""[\w &amp;]*, (\d+\.\d+)"")),"""")"),502.62)</f>
        <v>502.62</v>
      </c>
      <c r="S57" s="2" t="n">
        <f aca="false">IFERROR(__xludf.dummyfunction("if($T57&lt;&gt;"""",VALUE(REGEXEXTRACT($T57, SUBSTITUTE(S$1, ""+"", ""\+"")&amp;""[\w &amp;]*, (\d+\.\d+)"")),"""")"),504.11)</f>
        <v>504.11</v>
      </c>
      <c r="T57" s="5" t="s">
        <v>474</v>
      </c>
    </row>
    <row r="58" customFormat="false" ht="15.75" hidden="false" customHeight="false" outlineLevel="0" collapsed="false">
      <c r="A58" s="4" t="n">
        <f aca="false">IFERROR(__xludf.dummyfunction("""COMPUTED_VALUE"""),45483.6666666667)</f>
        <v>45483.6666666667</v>
      </c>
      <c r="B58" s="2" t="n">
        <f aca="false">IFERROR(__xludf.dummyfunction("""COMPUTED_VALUE"""),499.71)</f>
        <v>499.71</v>
      </c>
      <c r="C58" s="2" t="n">
        <f aca="false">IFERROR(__xludf.dummyfunction("""COMPUTED_VALUE"""),503.52)</f>
        <v>503.52</v>
      </c>
      <c r="D58" s="2" t="n">
        <f aca="false">IFERROR(__xludf.dummyfunction("""COMPUTED_VALUE"""),498.39)</f>
        <v>498.39</v>
      </c>
      <c r="E58" s="2" t="n">
        <f aca="false">IFERROR(__xludf.dummyfunction("""COMPUTED_VALUE"""),502.96)</f>
        <v>502.96</v>
      </c>
      <c r="F58" s="3" t="n">
        <f aca="false">IFERROR(__xludf.dummyfunction("if($T58&lt;&gt;"""",VALUE(REGEXEXTRACT(SUBSTITUTE ($T58,F$1&amp;"" CE"",""""), F$1&amp;""[\w &amp;]*, (\d+\.\d+)"")),"""")
"),500)</f>
        <v>500</v>
      </c>
      <c r="G58" s="3" t="n">
        <f aca="false">IFERROR(__xludf.dummyfunction("if($T58&lt;&gt;"""",VALUE(REGEXEXTRACT($T58, G$1&amp;""[\w &amp;]*, (\d+\.\d+)"")),"""")
"),500)</f>
        <v>500</v>
      </c>
      <c r="H58" s="3" t="n">
        <f aca="false">IFERROR(__xludf.dummyfunction("if($T58&lt;&gt;"""",VALUE(REGEXEXTRACT($T58, H$1&amp;""[\w &amp;]*, (\d+\.\d+)"")),"""")
"),503)</f>
        <v>503</v>
      </c>
      <c r="I58" s="3" t="n">
        <f aca="false">IFERROR(__xludf.dummyfunction("if($T58&lt;&gt;"""",VALUE(REGEXEXTRACT(SUBSTITUTE ($T58,I$1&amp;"" CE"",""""), I$1&amp;""[\w &amp;]*, (\d+\.\d+)"")),"""")
"),492)</f>
        <v>492</v>
      </c>
      <c r="J58" s="3" t="n">
        <f aca="false">IFERROR(__xludf.dummyfunction("if($T58&lt;&gt;"""",VALUE(REGEXEXTRACT($T58, J$1&amp;""[\w &amp;]*, (\d+\.\d+)"")),"""")
"),495)</f>
        <v>495</v>
      </c>
      <c r="K58" s="3" t="n">
        <f aca="false">IFERROR(__xludf.dummyfunction("if($T58&lt;&gt;"""",VALUE(REGEXEXTRACT($T58, K$1&amp;""[\w &amp;]*, (\d+\.\d+)"")),"""")
"),490)</f>
        <v>490</v>
      </c>
      <c r="L58" s="3" t="n">
        <f aca="false">IFERROR(__xludf.dummyfunction("if($T58&lt;&gt;"""",VALUE(REGEXEXTRACT(SUBSTITUTE ($T58,L$1&amp;"" CE"",""""), L$1&amp;""[\w &amp;]*, (\d+\.\d+)"")),"""")
"),497)</f>
        <v>497</v>
      </c>
      <c r="M58" s="3" t="n">
        <f aca="false">IFERROR(__xludf.dummyfunction("if($T58&lt;&gt;"""",VALUE(REGEXEXTRACT($T58, M$1&amp;""[\w &amp;]*, (\d+\.\d+)"")),"""")
"),497)</f>
        <v>497</v>
      </c>
      <c r="N58" s="3" t="n">
        <f aca="false">IFERROR(__xludf.dummyfunction("if($T58&lt;&gt;"""",VALUE(REGEXEXTRACT(SUBSTITUTE ($T58,N$1&amp;"" CE"",""""), N$1&amp;""[\w &amp;]*, (\d+\.\d+)"")),"""")
"),500)</f>
        <v>500</v>
      </c>
      <c r="O58" s="3" t="n">
        <f aca="false">IFERROR(__xludf.dummyfunction("if($T58&lt;&gt;"""",VALUE(REGEXEXTRACT($T58, O$1&amp;""[\w &amp;]*, (\d+\.\d+)"")),"""")
"),498)</f>
        <v>498</v>
      </c>
      <c r="P58" s="2" t="n">
        <f aca="false">IFERROR(__xludf.dummyfunction("if($T58&lt;&gt;"""",VALUE(REGEXEXTRACT($T58, P$1&amp;""[\w &amp;]*, (\d+\.\d+)"")),"""")
"),496.34)</f>
        <v>496.34</v>
      </c>
      <c r="Q58" s="2" t="n">
        <f aca="false">IFERROR(__xludf.dummyfunction("if($T58&lt;&gt;"""",VALUE(REGEXEXTRACT($T58, Q$1&amp;""[\w &amp;]*, (\d+\.\d+)"")),"""")
"),494.86)</f>
        <v>494.86</v>
      </c>
      <c r="R58" s="2" t="n">
        <f aca="false">IFERROR(__xludf.dummyfunction("if($T58&lt;&gt;"""",VALUE(REGEXEXTRACT($T58, SUBSTITUTE(R$1, ""+"", ""\+"")&amp;""[\w &amp;]*, (\d+\.\d+)"")),"""")"),503.48)</f>
        <v>503.48</v>
      </c>
      <c r="S58" s="2" t="n">
        <f aca="false">IFERROR(__xludf.dummyfunction("if($T58&lt;&gt;"""",VALUE(REGEXEXTRACT($T58, SUBSTITUTE(S$1, ""+"", ""\+"")&amp;""[\w &amp;]*, (\d+\.\d+)"")),"""")"),504.96)</f>
        <v>504.96</v>
      </c>
      <c r="T58" s="5" t="s">
        <v>475</v>
      </c>
    </row>
    <row r="59" customFormat="false" ht="15.75" hidden="false" customHeight="false" outlineLevel="0" collapsed="false">
      <c r="A59" s="4" t="n">
        <f aca="false">IFERROR(__xludf.dummyfunction("""COMPUTED_VALUE"""),45484.6666666667)</f>
        <v>45484.6666666667</v>
      </c>
      <c r="B59" s="2" t="n">
        <f aca="false">IFERROR(__xludf.dummyfunction("""COMPUTED_VALUE"""),503.07)</f>
        <v>503.07</v>
      </c>
      <c r="C59" s="2" t="n">
        <f aca="false">IFERROR(__xludf.dummyfunction("""COMPUTED_VALUE"""),503.28)</f>
        <v>503.28</v>
      </c>
      <c r="D59" s="2" t="n">
        <f aca="false">IFERROR(__xludf.dummyfunction("""COMPUTED_VALUE"""),490.73)</f>
        <v>490.73</v>
      </c>
      <c r="E59" s="2" t="n">
        <f aca="false">IFERROR(__xludf.dummyfunction("""COMPUTED_VALUE"""),491.93)</f>
        <v>491.93</v>
      </c>
      <c r="F59" s="3" t="n">
        <f aca="false">IFERROR(__xludf.dummyfunction("if($T59&lt;&gt;"""",VALUE(REGEXEXTRACT(SUBSTITUTE ($T59,F$1&amp;"" CE"",""""), F$1&amp;""[\w &amp;]*, (\d+\.\d+)"")),"""")
"),495)</f>
        <v>495</v>
      </c>
      <c r="G59" s="3" t="n">
        <f aca="false">IFERROR(__xludf.dummyfunction("if($T59&lt;&gt;"""",VALUE(REGEXEXTRACT($T59, G$1&amp;""[\w &amp;]*, (\d+\.\d+)"")),"""")
"),495)</f>
        <v>495</v>
      </c>
      <c r="H59" s="3" t="n">
        <f aca="false">IFERROR(__xludf.dummyfunction("if($T59&lt;&gt;"""",VALUE(REGEXEXTRACT($T59, H$1&amp;""[\w &amp;]*, (\d+\.\d+)"")),"""")
"),503)</f>
        <v>503</v>
      </c>
      <c r="I59" s="3" t="n">
        <f aca="false">IFERROR(__xludf.dummyfunction("if($T59&lt;&gt;"""",VALUE(REGEXEXTRACT(SUBSTITUTE ($T59,I$1&amp;"" CE"",""""), I$1&amp;""[\w &amp;]*, (\d+\.\d+)"")),"""")
"),492)</f>
        <v>492</v>
      </c>
      <c r="J59" s="3" t="n">
        <f aca="false">IFERROR(__xludf.dummyfunction("if($T59&lt;&gt;"""",VALUE(REGEXEXTRACT($T59, J$1&amp;""[\w &amp;]*, (\d+\.\d+)"")),"""")
"),490)</f>
        <v>490</v>
      </c>
      <c r="K59" s="3" t="n">
        <f aca="false">IFERROR(__xludf.dummyfunction("if($T59&lt;&gt;"""",VALUE(REGEXEXTRACT($T59, K$1&amp;""[\w &amp;]*, (\d+\.\d+)"")),"""")
"),490)</f>
        <v>490</v>
      </c>
      <c r="L59" s="3" t="n">
        <f aca="false">IFERROR(__xludf.dummyfunction("if($T59&lt;&gt;"""",VALUE(REGEXEXTRACT(SUBSTITUTE ($T59,L$1&amp;"" CE"",""""), L$1&amp;""[\w &amp;]*, (\d+\.\d+)"")),"""")
"),493)</f>
        <v>493</v>
      </c>
      <c r="M59" s="3" t="n">
        <f aca="false">IFERROR(__xludf.dummyfunction("if($T59&lt;&gt;"""",VALUE(REGEXEXTRACT($T59, M$1&amp;""[\w &amp;]*, (\d+\.\d+)"")),"""")
"),492)</f>
        <v>492</v>
      </c>
      <c r="N59" s="3" t="n">
        <f aca="false">IFERROR(__xludf.dummyfunction("if($T59&lt;&gt;"""",VALUE(REGEXEXTRACT(SUBSTITUTE ($T59,N$1&amp;"" CE"",""""), N$1&amp;""[\w &amp;]*, (\d+\.\d+)"")),"""")
"),490)</f>
        <v>490</v>
      </c>
      <c r="O59" s="3" t="n">
        <f aca="false">IFERROR(__xludf.dummyfunction("if($T59&lt;&gt;"""",VALUE(REGEXEXTRACT($T59, O$1&amp;""[\w &amp;]*, (\d+\.\d+)"")),"""")
"),495)</f>
        <v>495</v>
      </c>
      <c r="P59" s="2" t="n">
        <f aca="false">IFERROR(__xludf.dummyfunction("if($T59&lt;&gt;"""",VALUE(REGEXEXTRACT($T59, P$1&amp;""[\w &amp;]*, (\d+\.\d+)"")),"""")
"),488.19)</f>
        <v>488.19</v>
      </c>
      <c r="Q59" s="2" t="n">
        <f aca="false">IFERROR(__xludf.dummyfunction("if($T59&lt;&gt;"""",VALUE(REGEXEXTRACT($T59, Q$1&amp;""[\w &amp;]*, (\d+\.\d+)"")),"""")
"),484.16)</f>
        <v>484.16</v>
      </c>
      <c r="R59" s="2" t="n">
        <f aca="false">IFERROR(__xludf.dummyfunction("if($T59&lt;&gt;"""",VALUE(REGEXEXTRACT($T59, SUBSTITUTE(R$1, ""+"", ""\+"")&amp;""[\w &amp;]*, (\d+\.\d+)"")),"""")"),496.39)</f>
        <v>496.39</v>
      </c>
      <c r="S59" s="2" t="n">
        <f aca="false">IFERROR(__xludf.dummyfunction("if($T59&lt;&gt;"""",VALUE(REGEXEXTRACT($T59, SUBSTITUTE(S$1, ""+"", ""\+"")&amp;""[\w &amp;]*, (\d+\.\d+)"")),"""")"),500.42)</f>
        <v>500.42</v>
      </c>
      <c r="T59" s="5" t="s">
        <v>476</v>
      </c>
    </row>
    <row r="60" customFormat="false" ht="15.75" hidden="false" customHeight="false" outlineLevel="0" collapsed="false">
      <c r="A60" s="4" t="n">
        <f aca="false">IFERROR(__xludf.dummyfunction("""COMPUTED_VALUE"""),45485.6666666667)</f>
        <v>45485.6666666667</v>
      </c>
      <c r="B60" s="2" t="n">
        <f aca="false">IFERROR(__xludf.dummyfunction("""COMPUTED_VALUE"""),492.51)</f>
        <v>492.51</v>
      </c>
      <c r="C60" s="2" t="n">
        <f aca="false">IFERROR(__xludf.dummyfunction("""COMPUTED_VALUE"""),499.62)</f>
        <v>499.62</v>
      </c>
      <c r="D60" s="2" t="n">
        <f aca="false">IFERROR(__xludf.dummyfunction("""COMPUTED_VALUE"""),492.04)</f>
        <v>492.04</v>
      </c>
      <c r="E60" s="2" t="n">
        <f aca="false">IFERROR(__xludf.dummyfunction("""COMPUTED_VALUE"""),494.82)</f>
        <v>494.82</v>
      </c>
      <c r="F60" s="3" t="n">
        <f aca="false">IFERROR(__xludf.dummyfunction("if($T60&lt;&gt;"""",VALUE(REGEXEXTRACT(SUBSTITUTE ($T60,F$1&amp;"" CE"",""""), F$1&amp;""[\w &amp;]*, (\d+\.\d+)"")),"""")
"),495)</f>
        <v>495</v>
      </c>
      <c r="G60" s="3" t="n">
        <f aca="false">IFERROR(__xludf.dummyfunction("if($T60&lt;&gt;"""",VALUE(REGEXEXTRACT($T60, G$1&amp;""[\w &amp;]*, (\d+\.\d+)"")),"""")
"),495)</f>
        <v>495</v>
      </c>
      <c r="H60" s="3" t="n">
        <f aca="false">IFERROR(__xludf.dummyfunction("if($T60&lt;&gt;"""",VALUE(REGEXEXTRACT($T60, H$1&amp;""[\w &amp;]*, (\d+\.\d+)"")),"""")
"),503)</f>
        <v>503</v>
      </c>
      <c r="I60" s="3" t="n">
        <f aca="false">IFERROR(__xludf.dummyfunction("if($T60&lt;&gt;"""",VALUE(REGEXEXTRACT(SUBSTITUTE ($T60,I$1&amp;"" CE"",""""), I$1&amp;""[\w &amp;]*, (\d+\.\d+)"")),"""")
"),492)</f>
        <v>492</v>
      </c>
      <c r="J60" s="3" t="n">
        <f aca="false">IFERROR(__xludf.dummyfunction("if($T60&lt;&gt;"""",VALUE(REGEXEXTRACT($T60, J$1&amp;""[\w &amp;]*, (\d+\.\d+)"")),"""")
"),490)</f>
        <v>490</v>
      </c>
      <c r="K60" s="3" t="n">
        <f aca="false">IFERROR(__xludf.dummyfunction("if($T60&lt;&gt;"""",VALUE(REGEXEXTRACT($T60, K$1&amp;""[\w &amp;]*, (\d+\.\d+)"")),"""")
"),490)</f>
        <v>490</v>
      </c>
      <c r="L60" s="3" t="n">
        <f aca="false">IFERROR(__xludf.dummyfunction("if($T60&lt;&gt;"""",VALUE(REGEXEXTRACT(SUBSTITUTE ($T60,L$1&amp;"" CE"",""""), L$1&amp;""[\w &amp;]*, (\d+\.\d+)"")),"""")
"),493)</f>
        <v>493</v>
      </c>
      <c r="M60" s="3" t="n">
        <f aca="false">IFERROR(__xludf.dummyfunction("if($T60&lt;&gt;"""",VALUE(REGEXEXTRACT($T60, M$1&amp;""[\w &amp;]*, (\d+\.\d+)"")),"""")
"),492)</f>
        <v>492</v>
      </c>
      <c r="N60" s="3" t="n">
        <f aca="false">IFERROR(__xludf.dummyfunction("if($T60&lt;&gt;"""",VALUE(REGEXEXTRACT(SUBSTITUTE ($T60,N$1&amp;"" CE"",""""), N$1&amp;""[\w &amp;]*, (\d+\.\d+)"")),"""")
"),490)</f>
        <v>490</v>
      </c>
      <c r="O60" s="3" t="n">
        <f aca="false">IFERROR(__xludf.dummyfunction("if($T60&lt;&gt;"""",VALUE(REGEXEXTRACT($T60, O$1&amp;""[\w &amp;]*, (\d+\.\d+)"")),"""")
"),495)</f>
        <v>495</v>
      </c>
      <c r="P60" s="2" t="n">
        <f aca="false">IFERROR(__xludf.dummyfunction("if($T60&lt;&gt;"""",VALUE(REGEXEXTRACT($T60, P$1&amp;""[\w &amp;]*, (\d+\.\d+)"")),"""")
"),488.14)</f>
        <v>488.14</v>
      </c>
      <c r="Q60" s="2" t="n">
        <f aca="false">IFERROR(__xludf.dummyfunction("if($T60&lt;&gt;"""",VALUE(REGEXEXTRACT($T60, Q$1&amp;""[\w &amp;]*, (\d+\.\d+)"")),"""")
"),484.11)</f>
        <v>484.11</v>
      </c>
      <c r="R60" s="2" t="n">
        <f aca="false">IFERROR(__xludf.dummyfunction("if($T60&lt;&gt;"""",VALUE(REGEXEXTRACT($T60, SUBSTITUTE(R$1, ""+"", ""\+"")&amp;""[\w &amp;]*, (\d+\.\d+)"")),"""")"),496.34)</f>
        <v>496.34</v>
      </c>
      <c r="S60" s="2" t="n">
        <f aca="false">IFERROR(__xludf.dummyfunction("if($T60&lt;&gt;"""",VALUE(REGEXEXTRACT($T60, SUBSTITUTE(S$1, ""+"", ""\+"")&amp;""[\w &amp;]*, (\d+\.\d+)"")),"""")"),500.37)</f>
        <v>500.37</v>
      </c>
      <c r="T60" s="5" t="s">
        <v>477</v>
      </c>
    </row>
    <row r="61" customFormat="false" ht="15.75" hidden="false" customHeight="false" outlineLevel="0" collapsed="false">
      <c r="A61" s="4" t="n">
        <f aca="false">IFERROR(__xludf.dummyfunction("""COMPUTED_VALUE"""),45488.6666666667)</f>
        <v>45488.6666666667</v>
      </c>
      <c r="B61" s="2" t="n">
        <f aca="false">IFERROR(__xludf.dummyfunction("""COMPUTED_VALUE"""),496.61)</f>
        <v>496.61</v>
      </c>
      <c r="C61" s="2" t="n">
        <f aca="false">IFERROR(__xludf.dummyfunction("""COMPUTED_VALUE"""),501.01)</f>
        <v>501.01</v>
      </c>
      <c r="D61" s="2" t="n">
        <f aca="false">IFERROR(__xludf.dummyfunction("""COMPUTED_VALUE"""),494.09)</f>
        <v>494.09</v>
      </c>
      <c r="E61" s="2" t="n">
        <f aca="false">IFERROR(__xludf.dummyfunction("""COMPUTED_VALUE"""),496.15)</f>
        <v>496.15</v>
      </c>
      <c r="F61" s="3" t="n">
        <f aca="false">IFERROR(__xludf.dummyfunction("if($T61&lt;&gt;"""",VALUE(REGEXEXTRACT(SUBSTITUTE ($T61,F$1&amp;"" CE"",""""), F$1&amp;""[\w &amp;]*, (\d+\.\d+)"")),"""")
"),500)</f>
        <v>500</v>
      </c>
      <c r="G61" s="3" t="n">
        <f aca="false">IFERROR(__xludf.dummyfunction("if($T61&lt;&gt;"""",VALUE(REGEXEXTRACT($T61, G$1&amp;""[\w &amp;]*, (\d+\.\d+)"")),"""")
"),500)</f>
        <v>500</v>
      </c>
      <c r="H61" s="3" t="n">
        <f aca="false">IFERROR(__xludf.dummyfunction("if($T61&lt;&gt;"""",VALUE(REGEXEXTRACT($T61, H$1&amp;""[\w &amp;]*, (\d+\.\d+)"")),"""")
"),503)</f>
        <v>503</v>
      </c>
      <c r="I61" s="3" t="n">
        <f aca="false">IFERROR(__xludf.dummyfunction("if($T61&lt;&gt;"""",VALUE(REGEXEXTRACT(SUBSTITUTE ($T61,I$1&amp;"" CE"",""""), I$1&amp;""[\w &amp;]*, (\d+\.\d+)"")),"""")
"),492)</f>
        <v>492</v>
      </c>
      <c r="J61" s="3" t="n">
        <f aca="false">IFERROR(__xludf.dummyfunction("if($T61&lt;&gt;"""",VALUE(REGEXEXTRACT($T61, J$1&amp;""[\w &amp;]*, (\d+\.\d+)"")),"""")
"),492)</f>
        <v>492</v>
      </c>
      <c r="K61" s="3" t="n">
        <f aca="false">IFERROR(__xludf.dummyfunction("if($T61&lt;&gt;"""",VALUE(REGEXEXTRACT($T61, K$1&amp;""[\w &amp;]*, (\d+\.\d+)"")),"""")
"),490)</f>
        <v>490</v>
      </c>
      <c r="L61" s="3" t="n">
        <f aca="false">IFERROR(__xludf.dummyfunction("if($T61&lt;&gt;"""",VALUE(REGEXEXTRACT(SUBSTITUTE ($T61,L$1&amp;"" CE"",""""), L$1&amp;""[\w &amp;]*, (\d+\.\d+)"")),"""")
"),496)</f>
        <v>496</v>
      </c>
      <c r="M61" s="3" t="n">
        <f aca="false">IFERROR(__xludf.dummyfunction("if($T61&lt;&gt;"""",VALUE(REGEXEXTRACT($T61, M$1&amp;""[\w &amp;]*, (\d+\.\d+)"")),"""")
"),496)</f>
        <v>496</v>
      </c>
      <c r="N61" s="3" t="n">
        <f aca="false">IFERROR(__xludf.dummyfunction("if($T61&lt;&gt;"""",VALUE(REGEXEXTRACT(SUBSTITUTE ($T61,N$1&amp;"" CE"",""""), N$1&amp;""[\w &amp;]*, (\d+\.\d+)"")),"""")
"),490)</f>
        <v>490</v>
      </c>
      <c r="O61" s="3" t="n">
        <f aca="false">IFERROR(__xludf.dummyfunction("if($T61&lt;&gt;"""",VALUE(REGEXEXTRACT($T61, O$1&amp;""[\w &amp;]*, (\d+\.\d+)"")),"""")
"),495)</f>
        <v>495</v>
      </c>
      <c r="P61" s="2" t="n">
        <f aca="false">IFERROR(__xludf.dummyfunction("if($T61&lt;&gt;"""",VALUE(REGEXEXTRACT($T61, P$1&amp;""[\w &amp;]*, (\d+\.\d+)"")),"""")
"),493.67)</f>
        <v>493.67</v>
      </c>
      <c r="Q61" s="2" t="n">
        <f aca="false">IFERROR(__xludf.dummyfunction("if($T61&lt;&gt;"""",VALUE(REGEXEXTRACT($T61, Q$1&amp;""[\w &amp;]*, (\d+\.\d+)"")),"""")
"),492.28)</f>
        <v>492.28</v>
      </c>
      <c r="R61" s="2" t="n">
        <f aca="false">IFERROR(__xludf.dummyfunction("if($T61&lt;&gt;"""",VALUE(REGEXEXTRACT($T61, SUBSTITUTE(R$1, ""+"", ""\+"")&amp;""[\w &amp;]*, (\d+\.\d+)"")),"""")"),500.39)</f>
        <v>500.39</v>
      </c>
      <c r="S61" s="2" t="n">
        <f aca="false">IFERROR(__xludf.dummyfunction("if($T61&lt;&gt;"""",VALUE(REGEXEXTRACT($T61, SUBSTITUTE(S$1, ""+"", ""\+"")&amp;""[\w &amp;]*, (\d+\.\d+)"")),"""")"),501.78)</f>
        <v>501.78</v>
      </c>
      <c r="T61" s="5" t="s">
        <v>478</v>
      </c>
    </row>
    <row r="62" customFormat="false" ht="15.75" hidden="false" customHeight="false" outlineLevel="0" collapsed="false">
      <c r="A62" s="4" t="n">
        <f aca="false">IFERROR(__xludf.dummyfunction("""COMPUTED_VALUE"""),45489.6666666667)</f>
        <v>45489.6666666667</v>
      </c>
      <c r="B62" s="2" t="n">
        <f aca="false">IFERROR(__xludf.dummyfunction("""COMPUTED_VALUE"""),497.62)</f>
        <v>497.62</v>
      </c>
      <c r="C62" s="2" t="n">
        <f aca="false">IFERROR(__xludf.dummyfunction("""COMPUTED_VALUE"""),498.44)</f>
        <v>498.44</v>
      </c>
      <c r="D62" s="2" t="n">
        <f aca="false">IFERROR(__xludf.dummyfunction("""COMPUTED_VALUE"""),493.15)</f>
        <v>493.15</v>
      </c>
      <c r="E62" s="2" t="n">
        <f aca="false">IFERROR(__xludf.dummyfunction("""COMPUTED_VALUE"""),496.34)</f>
        <v>496.34</v>
      </c>
      <c r="F62" s="3" t="n">
        <f aca="false">IFERROR(__xludf.dummyfunction("if($T62&lt;&gt;"""",VALUE(REGEXEXTRACT(SUBSTITUTE ($T62,F$1&amp;"" CE"",""""), F$1&amp;""[\w &amp;]*, (\d+\.\d+)"")),"""")
"),500)</f>
        <v>500</v>
      </c>
      <c r="G62" s="3" t="n">
        <f aca="false">IFERROR(__xludf.dummyfunction("if($T62&lt;&gt;"""",VALUE(REGEXEXTRACT($T62, G$1&amp;""[\w &amp;]*, (\d+\.\d+)"")),"""")
"),498)</f>
        <v>498</v>
      </c>
      <c r="H62" s="3" t="n">
        <f aca="false">IFERROR(__xludf.dummyfunction("if($T62&lt;&gt;"""",VALUE(REGEXEXTRACT($T62, H$1&amp;""[\w &amp;]*, (\d+\.\d+)"")),"""")
"),502)</f>
        <v>502</v>
      </c>
      <c r="I62" s="3" t="n">
        <f aca="false">IFERROR(__xludf.dummyfunction("if($T62&lt;&gt;"""",VALUE(REGEXEXTRACT(SUBSTITUTE ($T62,I$1&amp;"" CE"",""""), I$1&amp;""[\w &amp;]*, (\d+\.\d+)"")),"""")
"),492)</f>
        <v>492</v>
      </c>
      <c r="J62" s="3" t="n">
        <f aca="false">IFERROR(__xludf.dummyfunction("if($T62&lt;&gt;"""",VALUE(REGEXEXTRACT($T62, J$1&amp;""[\w &amp;]*, (\d+\.\d+)"")),"""")
"),495)</f>
        <v>495</v>
      </c>
      <c r="K62" s="3" t="n">
        <f aca="false">IFERROR(__xludf.dummyfunction("if($T62&lt;&gt;"""",VALUE(REGEXEXTRACT($T62, K$1&amp;""[\w &amp;]*, (\d+\.\d+)"")),"""")
"),490)</f>
        <v>490</v>
      </c>
      <c r="L62" s="3" t="n">
        <f aca="false">IFERROR(__xludf.dummyfunction("if($T62&lt;&gt;"""",VALUE(REGEXEXTRACT(SUBSTITUTE ($T62,L$1&amp;"" CE"",""""), L$1&amp;""[\w &amp;]*, (\d+\.\d+)"")),"""")
"),495)</f>
        <v>495</v>
      </c>
      <c r="M62" s="3" t="n">
        <f aca="false">IFERROR(__xludf.dummyfunction("if($T62&lt;&gt;"""",VALUE(REGEXEXTRACT($T62, M$1&amp;""[\w &amp;]*, (\d+\.\d+)"")),"""")
"),495)</f>
        <v>495</v>
      </c>
      <c r="N62" s="3" t="n">
        <f aca="false">IFERROR(__xludf.dummyfunction("if($T62&lt;&gt;"""",VALUE(REGEXEXTRACT(SUBSTITUTE ($T62,N$1&amp;"" CE"",""""), N$1&amp;""[\w &amp;]*, (\d+\.\d+)"")),"""")
"),490)</f>
        <v>490</v>
      </c>
      <c r="O62" s="3" t="n">
        <f aca="false">IFERROR(__xludf.dummyfunction("if($T62&lt;&gt;"""",VALUE(REGEXEXTRACT($T62, O$1&amp;""[\w &amp;]*, (\d+\.\d+)"")),"""")
"),498)</f>
        <v>498</v>
      </c>
      <c r="P62" s="2" t="n">
        <f aca="false">IFERROR(__xludf.dummyfunction("if($T62&lt;&gt;"""",VALUE(REGEXEXTRACT($T62, P$1&amp;""[\w &amp;]*, (\d+\.\d+)"")),"""")
"),493.23)</f>
        <v>493.23</v>
      </c>
      <c r="Q62" s="2" t="n">
        <f aca="false">IFERROR(__xludf.dummyfunction("if($T62&lt;&gt;"""",VALUE(REGEXEXTRACT($T62, Q$1&amp;""[\w &amp;]*, (\d+\.\d+)"")),"""")
"),491.58)</f>
        <v>491.58</v>
      </c>
      <c r="R62" s="2" t="n">
        <f aca="false">IFERROR(__xludf.dummyfunction("if($T62&lt;&gt;"""",VALUE(REGEXEXTRACT($T62, SUBSTITUTE(R$1, ""+"", ""\+"")&amp;""[\w &amp;]*, (\d+\.\d+)"")),"""")"),501.23)</f>
        <v>501.23</v>
      </c>
      <c r="S62" s="2" t="n">
        <f aca="false">IFERROR(__xludf.dummyfunction("if($T62&lt;&gt;"""",VALUE(REGEXEXTRACT($T62, SUBSTITUTE(S$1, ""+"", ""\+"")&amp;""[\w &amp;]*, (\d+\.\d+)"")),"""")"),502.88)</f>
        <v>502.88</v>
      </c>
      <c r="T62" s="5" t="s">
        <v>479</v>
      </c>
    </row>
    <row r="63" customFormat="false" ht="15.75" hidden="false" customHeight="false" outlineLevel="0" collapsed="false">
      <c r="A63" s="4" t="n">
        <f aca="false">IFERROR(__xludf.dummyfunction("""COMPUTED_VALUE"""),45490.6666666667)</f>
        <v>45490.6666666667</v>
      </c>
      <c r="B63" s="2" t="n">
        <f aca="false">IFERROR(__xludf.dummyfunction("""COMPUTED_VALUE"""),488.28)</f>
        <v>488.28</v>
      </c>
      <c r="C63" s="2" t="n">
        <f aca="false">IFERROR(__xludf.dummyfunction("""COMPUTED_VALUE"""),488.8)</f>
        <v>488.8</v>
      </c>
      <c r="D63" s="2" t="n">
        <f aca="false">IFERROR(__xludf.dummyfunction("""COMPUTED_VALUE"""),481.7)</f>
        <v>481.7</v>
      </c>
      <c r="E63" s="2" t="n">
        <f aca="false">IFERROR(__xludf.dummyfunction("""COMPUTED_VALUE"""),481.77)</f>
        <v>481.77</v>
      </c>
      <c r="F63" s="3" t="n">
        <f aca="false">IFERROR(__xludf.dummyfunction("if($T63&lt;&gt;"""",VALUE(REGEXEXTRACT(SUBSTITUTE ($T63,F$1&amp;"" CE"",""""), F$1&amp;""[\w &amp;]*, (\d+\.\d+)"")),"""")
"),500)</f>
        <v>500</v>
      </c>
      <c r="G63" s="3" t="n">
        <f aca="false">IFERROR(__xludf.dummyfunction("if($T63&lt;&gt;"""",VALUE(REGEXEXTRACT($T63, G$1&amp;""[\w &amp;]*, (\d+\.\d+)"")),"""")
"),500)</f>
        <v>500</v>
      </c>
      <c r="H63" s="3" t="n">
        <f aca="false">IFERROR(__xludf.dummyfunction("if($T63&lt;&gt;"""",VALUE(REGEXEXTRACT($T63, H$1&amp;""[\w &amp;]*, (\d+\.\d+)"")),"""")
"),502)</f>
        <v>502</v>
      </c>
      <c r="I63" s="3" t="n">
        <f aca="false">IFERROR(__xludf.dummyfunction("if($T63&lt;&gt;"""",VALUE(REGEXEXTRACT(SUBSTITUTE ($T63,I$1&amp;"" CE"",""""), I$1&amp;""[\w &amp;]*, (\d+\.\d+)"")),"""")
"),492)</f>
        <v>492</v>
      </c>
      <c r="J63" s="3" t="n">
        <f aca="false">IFERROR(__xludf.dummyfunction("if($T63&lt;&gt;"""",VALUE(REGEXEXTRACT($T63, J$1&amp;""[\w &amp;]*, (\d+\.\d+)"")),"""")
"),492)</f>
        <v>492</v>
      </c>
      <c r="K63" s="3" t="n">
        <f aca="false">IFERROR(__xludf.dummyfunction("if($T63&lt;&gt;"""",VALUE(REGEXEXTRACT($T63, K$1&amp;""[\w &amp;]*, (\d+\.\d+)"")),"""")
"),490)</f>
        <v>490</v>
      </c>
      <c r="L63" s="3" t="n">
        <f aca="false">IFERROR(__xludf.dummyfunction("if($T63&lt;&gt;"""",VALUE(REGEXEXTRACT(SUBSTITUTE ($T63,L$1&amp;"" CE"",""""), L$1&amp;""[\w &amp;]*, (\d+\.\d+)"")),"""")
"),496)</f>
        <v>496</v>
      </c>
      <c r="M63" s="3" t="n">
        <f aca="false">IFERROR(__xludf.dummyfunction("if($T63&lt;&gt;"""",VALUE(REGEXEXTRACT($T63, M$1&amp;""[\w &amp;]*, (\d+\.\d+)"")),"""")
"),496)</f>
        <v>496</v>
      </c>
      <c r="N63" s="3" t="n">
        <f aca="false">IFERROR(__xludf.dummyfunction("if($T63&lt;&gt;"""",VALUE(REGEXEXTRACT(SUBSTITUTE ($T63,N$1&amp;"" CE"",""""), N$1&amp;""[\w &amp;]*, (\d+\.\d+)"")),"""")
"),500)</f>
        <v>500</v>
      </c>
      <c r="O63" s="3" t="n">
        <f aca="false">IFERROR(__xludf.dummyfunction("if($T63&lt;&gt;"""",VALUE(REGEXEXTRACT($T63, O$1&amp;""[\w &amp;]*, (\d+\.\d+)"")),"""")
"),492)</f>
        <v>492</v>
      </c>
      <c r="P63" s="2" t="n">
        <f aca="false">IFERROR(__xludf.dummyfunction("if($T63&lt;&gt;"""",VALUE(REGEXEXTRACT($T63, P$1&amp;""[\w &amp;]*, (\d+\.\d+)"")),"""")
"),484.64)</f>
        <v>484.64</v>
      </c>
      <c r="Q63" s="2" t="n">
        <f aca="false">IFERROR(__xludf.dummyfunction("if($T63&lt;&gt;"""",VALUE(REGEXEXTRACT($T63, Q$1&amp;""[\w &amp;]*, (\d+\.\d+)"")),"""")
"),482.9)</f>
        <v>482.9</v>
      </c>
      <c r="R63" s="2" t="n">
        <f aca="false">IFERROR(__xludf.dummyfunction("if($T63&lt;&gt;"""",VALUE(REGEXEXTRACT($T63, SUBSTITUTE(R$1, ""+"", ""\+"")&amp;""[\w &amp;]*, (\d+\.\d+)"")),"""")"),493.06)</f>
        <v>493.06</v>
      </c>
      <c r="S63" s="2" t="n">
        <f aca="false">IFERROR(__xludf.dummyfunction("if($T63&lt;&gt;"""",VALUE(REGEXEXTRACT($T63, SUBSTITUTE(S$1, ""+"", ""\+"")&amp;""[\w &amp;]*, (\d+\.\d+)"")),"""")"),494.8)</f>
        <v>494.8</v>
      </c>
      <c r="T63" s="5" t="s">
        <v>480</v>
      </c>
    </row>
    <row r="64" customFormat="false" ht="15.75" hidden="false" customHeight="false" outlineLevel="0" collapsed="false">
      <c r="A64" s="4" t="n">
        <f aca="false">IFERROR(__xludf.dummyfunction("""COMPUTED_VALUE"""),45491.6666666667)</f>
        <v>45491.6666666667</v>
      </c>
      <c r="B64" s="2" t="n">
        <f aca="false">IFERROR(__xludf.dummyfunction("""COMPUTED_VALUE"""),485.53)</f>
        <v>485.53</v>
      </c>
      <c r="C64" s="2" t="n">
        <f aca="false">IFERROR(__xludf.dummyfunction("""COMPUTED_VALUE"""),485.71)</f>
        <v>485.71</v>
      </c>
      <c r="D64" s="2" t="n">
        <f aca="false">IFERROR(__xludf.dummyfunction("""COMPUTED_VALUE"""),476.27)</f>
        <v>476.27</v>
      </c>
      <c r="E64" s="2" t="n">
        <f aca="false">IFERROR(__xludf.dummyfunction("""COMPUTED_VALUE"""),479.49)</f>
        <v>479.49</v>
      </c>
      <c r="F64" s="3" t="n">
        <f aca="false">IFERROR(__xludf.dummyfunction("if($T64&lt;&gt;"""",VALUE(REGEXEXTRACT(SUBSTITUTE ($T64,F$1&amp;"" CE"",""""), F$1&amp;""[\w &amp;]*, (\d+\.\d+)"")),"""")
"),480)</f>
        <v>480</v>
      </c>
      <c r="G64" s="3" t="n">
        <f aca="false">IFERROR(__xludf.dummyfunction("if($T64&lt;&gt;"""",VALUE(REGEXEXTRACT($T64, G$1&amp;""[\w &amp;]*, (\d+\.\d+)"")),"""")
"),485)</f>
        <v>485</v>
      </c>
      <c r="H64" s="3" t="n">
        <f aca="false">IFERROR(__xludf.dummyfunction("if($T64&lt;&gt;"""",VALUE(REGEXEXTRACT($T64, H$1&amp;""[\w &amp;]*, (\d+\.\d+)"")),"""")
"),502)</f>
        <v>502</v>
      </c>
      <c r="I64" s="3" t="n">
        <f aca="false">IFERROR(__xludf.dummyfunction("if($T64&lt;&gt;"""",VALUE(REGEXEXTRACT(SUBSTITUTE ($T64,I$1&amp;"" CE"",""""), I$1&amp;""[\w &amp;]*, (\d+\.\d+)"")),"""")
"),480)</f>
        <v>480</v>
      </c>
      <c r="J64" s="3" t="n">
        <f aca="false">IFERROR(__xludf.dummyfunction("if($T64&lt;&gt;"""",VALUE(REGEXEXTRACT($T64, J$1&amp;""[\w &amp;]*, (\d+\.\d+)"")),"""")
"),480)</f>
        <v>480</v>
      </c>
      <c r="K64" s="3" t="n">
        <f aca="false">IFERROR(__xludf.dummyfunction("if($T64&lt;&gt;"""",VALUE(REGEXEXTRACT($T64, K$1&amp;""[\w &amp;]*, (\d+\.\d+)"")),"""")
"),479)</f>
        <v>479</v>
      </c>
      <c r="L64" s="3" t="n">
        <f aca="false">IFERROR(__xludf.dummyfunction("if($T64&lt;&gt;"""",VALUE(REGEXEXTRACT(SUBSTITUTE ($T64,L$1&amp;"" CE"",""""), L$1&amp;""[\w &amp;]*, (\d+\.\d+)"")),"""")
"),483)</f>
        <v>483</v>
      </c>
      <c r="M64" s="3" t="n">
        <f aca="false">IFERROR(__xludf.dummyfunction("if($T64&lt;&gt;"""",VALUE(REGEXEXTRACT($T64, M$1&amp;""[\w &amp;]*, (\d+\.\d+)"")),"""")
"),481)</f>
        <v>481</v>
      </c>
      <c r="N64" s="3" t="n">
        <f aca="false">IFERROR(__xludf.dummyfunction("if($T64&lt;&gt;"""",VALUE(REGEXEXTRACT(SUBSTITUTE ($T64,N$1&amp;"" CE"",""""), N$1&amp;""[\w &amp;]*, (\d+\.\d+)"")),"""")
"),480)</f>
        <v>480</v>
      </c>
      <c r="O64" s="3" t="n">
        <f aca="false">IFERROR(__xludf.dummyfunction("if($T64&lt;&gt;"""",VALUE(REGEXEXTRACT($T64, O$1&amp;""[\w &amp;]*, (\d+\.\d+)"")),"""")
"),482)</f>
        <v>482</v>
      </c>
      <c r="P64" s="2" t="n">
        <f aca="false">IFERROR(__xludf.dummyfunction("if($T64&lt;&gt;"""",VALUE(REGEXEXTRACT($T64, P$1&amp;""[\w &amp;]*, (\d+\.\d+)"")),"""")
"),480.16)</f>
        <v>480.16</v>
      </c>
      <c r="Q64" s="2" t="n">
        <f aca="false">IFERROR(__xludf.dummyfunction("if($T64&lt;&gt;"""",VALUE(REGEXEXTRACT($T64, Q$1&amp;""[\w &amp;]*, (\d+\.\d+)"")),"""")
"),478.32)</f>
        <v>478.32</v>
      </c>
      <c r="R64" s="2" t="n">
        <f aca="false">IFERROR(__xludf.dummyfunction("if($T64&lt;&gt;"""",VALUE(REGEXEXTRACT($T64, SUBSTITUTE(R$1, ""+"", ""\+"")&amp;""[\w &amp;]*, (\d+\.\d+)"")),"""")"),489.1)</f>
        <v>489.1</v>
      </c>
      <c r="S64" s="2" t="n">
        <f aca="false">IFERROR(__xludf.dummyfunction("if($T64&lt;&gt;"""",VALUE(REGEXEXTRACT($T64, SUBSTITUTE(S$1, ""+"", ""\+"")&amp;""[\w &amp;]*, (\d+\.\d+)"")),"""")"),490.94)</f>
        <v>490.94</v>
      </c>
      <c r="T64" s="5" t="s">
        <v>481</v>
      </c>
    </row>
    <row r="65" customFormat="false" ht="15.75" hidden="false" customHeight="false" outlineLevel="0" collapsed="false">
      <c r="A65" s="4" t="n">
        <f aca="false">IFERROR(__xludf.dummyfunction("""COMPUTED_VALUE"""),45492.6666666667)</f>
        <v>45492.6666666667</v>
      </c>
      <c r="B65" s="2" t="n">
        <f aca="false">IFERROR(__xludf.dummyfunction("""COMPUTED_VALUE"""),479.15)</f>
        <v>479.15</v>
      </c>
      <c r="C65" s="2" t="n">
        <f aca="false">IFERROR(__xludf.dummyfunction("""COMPUTED_VALUE"""),481.69)</f>
        <v>481.69</v>
      </c>
      <c r="D65" s="2" t="n">
        <f aca="false">IFERROR(__xludf.dummyfunction("""COMPUTED_VALUE"""),473.94)</f>
        <v>473.94</v>
      </c>
      <c r="E65" s="2" t="n">
        <f aca="false">IFERROR(__xludf.dummyfunction("""COMPUTED_VALUE"""),475.24)</f>
        <v>475.24</v>
      </c>
      <c r="F65" s="3" t="n">
        <f aca="false">IFERROR(__xludf.dummyfunction("if($T65&lt;&gt;"""",VALUE(REGEXEXTRACT(SUBSTITUTE ($T65,F$1&amp;"" CE"",""""), F$1&amp;""[\w &amp;]*, (\d+\.\d+)"")),"""")
"),480)</f>
        <v>480</v>
      </c>
      <c r="G65" s="3" t="n">
        <f aca="false">IFERROR(__xludf.dummyfunction("if($T65&lt;&gt;"""",VALUE(REGEXEXTRACT($T65, G$1&amp;""[\w &amp;]*, (\d+\.\d+)"")),"""")
"),480)</f>
        <v>480</v>
      </c>
      <c r="H65" s="3" t="n">
        <f aca="false">IFERROR(__xludf.dummyfunction("if($T65&lt;&gt;"""",VALUE(REGEXEXTRACT($T65, H$1&amp;""[\w &amp;]*, (\d+\.\d+)"")),"""")
"),502)</f>
        <v>502</v>
      </c>
      <c r="I65" s="3" t="n">
        <f aca="false">IFERROR(__xludf.dummyfunction("if($T65&lt;&gt;"""",VALUE(REGEXEXTRACT(SUBSTITUTE ($T65,I$1&amp;"" CE"",""""), I$1&amp;""[\w &amp;]*, (\d+\.\d+)"")),"""")
"),480)</f>
        <v>480</v>
      </c>
      <c r="J65" s="3" t="n">
        <f aca="false">IFERROR(__xludf.dummyfunction("if($T65&lt;&gt;"""",VALUE(REGEXEXTRACT($T65, J$1&amp;""[\w &amp;]*, (\d+\.\d+)"")),"""")
"),475)</f>
        <v>475</v>
      </c>
      <c r="K65" s="3" t="n">
        <f aca="false">IFERROR(__xludf.dummyfunction("if($T65&lt;&gt;"""",VALUE(REGEXEXTRACT($T65, K$1&amp;""[\w &amp;]*, (\d+\.\d+)"")),"""")
"),468)</f>
        <v>468</v>
      </c>
      <c r="L65" s="3" t="n">
        <f aca="false">IFERROR(__xludf.dummyfunction("if($T65&lt;&gt;"""",VALUE(REGEXEXTRACT(SUBSTITUTE ($T65,L$1&amp;"" CE"",""""), L$1&amp;""[\w &amp;]*, (\d+\.\d+)"")),"""")
"),483)</f>
        <v>483</v>
      </c>
      <c r="M65" s="3" t="n">
        <f aca="false">IFERROR(__xludf.dummyfunction("if($T65&lt;&gt;"""",VALUE(REGEXEXTRACT($T65, M$1&amp;""[\w &amp;]*, (\d+\.\d+)"")),"""")
"),479)</f>
        <v>479</v>
      </c>
      <c r="N65" s="3" t="n">
        <f aca="false">IFERROR(__xludf.dummyfunction("if($T65&lt;&gt;"""",VALUE(REGEXEXTRACT(SUBSTITUTE ($T65,N$1&amp;"" CE"",""""), N$1&amp;""[\w &amp;]*, (\d+\.\d+)"")),"""")
"),480)</f>
        <v>480</v>
      </c>
      <c r="O65" s="3" t="n">
        <f aca="false">IFERROR(__xludf.dummyfunction("if($T65&lt;&gt;"""",VALUE(REGEXEXTRACT($T65, O$1&amp;""[\w &amp;]*, (\d+\.\d+)"")),"""")
"),480)</f>
        <v>480</v>
      </c>
      <c r="P65" s="2" t="n">
        <f aca="false">IFERROR(__xludf.dummyfunction("if($T65&lt;&gt;"""",VALUE(REGEXEXTRACT($T65, P$1&amp;""[\w &amp;]*, (\d+\.\d+)"")),"""")
"),475.76)</f>
        <v>475.76</v>
      </c>
      <c r="Q65" s="2" t="n">
        <f aca="false">IFERROR(__xludf.dummyfunction("if($T65&lt;&gt;"""",VALUE(REGEXEXTRACT($T65, Q$1&amp;""[\w &amp;]*, (\d+\.\d+)"")),"""")
"),470.86)</f>
        <v>470.86</v>
      </c>
      <c r="R65" s="2" t="n">
        <f aca="false">IFERROR(__xludf.dummyfunction("if($T65&lt;&gt;"""",VALUE(REGEXEXTRACT($T65, SUBSTITUTE(R$1, ""+"", ""\+"")&amp;""[\w &amp;]*, (\d+\.\d+)"")),"""")"),485.54)</f>
        <v>485.54</v>
      </c>
      <c r="S65" s="2" t="n">
        <f aca="false">IFERROR(__xludf.dummyfunction("if($T65&lt;&gt;"""",VALUE(REGEXEXTRACT($T65, SUBSTITUTE(S$1, ""+"", ""\+"")&amp;""[\w &amp;]*, (\d+\.\d+)"")),"""")"),490.44)</f>
        <v>490.44</v>
      </c>
      <c r="T65" s="5" t="s">
        <v>482</v>
      </c>
    </row>
    <row r="66" customFormat="false" ht="15.75" hidden="false" customHeight="false" outlineLevel="0" collapsed="false">
      <c r="A66" s="4" t="n">
        <f aca="false">IFERROR(__xludf.dummyfunction("""COMPUTED_VALUE"""),45495.6666666667)</f>
        <v>45495.6666666667</v>
      </c>
      <c r="B66" s="2" t="n">
        <f aca="false">IFERROR(__xludf.dummyfunction("""COMPUTED_VALUE"""),481.16)</f>
        <v>481.16</v>
      </c>
      <c r="C66" s="2" t="n">
        <f aca="false">IFERROR(__xludf.dummyfunction("""COMPUTED_VALUE"""),483.35)</f>
        <v>483.35</v>
      </c>
      <c r="D66" s="2" t="n">
        <f aca="false">IFERROR(__xludf.dummyfunction("""COMPUTED_VALUE"""),477.71)</f>
        <v>477.71</v>
      </c>
      <c r="E66" s="2" t="n">
        <f aca="false">IFERROR(__xludf.dummyfunction("""COMPUTED_VALUE"""),482.32)</f>
        <v>482.32</v>
      </c>
      <c r="F66" s="3" t="n">
        <f aca="false">IFERROR(__xludf.dummyfunction("if($T66&lt;&gt;"""",VALUE(REGEXEXTRACT(SUBSTITUTE ($T66,F$1&amp;"" CE"",""""), F$1&amp;""[\w &amp;]*, (\d+\.\d+)"")),"""")
"),479)</f>
        <v>479</v>
      </c>
      <c r="G66" s="3" t="n">
        <f aca="false">IFERROR(__xludf.dummyfunction("if($T66&lt;&gt;"""",VALUE(REGEXEXTRACT($T66, G$1&amp;""[\w &amp;]*, (\d+\.\d+)"")),"""")
"),480)</f>
        <v>480</v>
      </c>
      <c r="H66" s="3" t="n">
        <f aca="false">IFERROR(__xludf.dummyfunction("if($T66&lt;&gt;"""",VALUE(REGEXEXTRACT($T66, H$1&amp;""[\w &amp;]*, (\d+\.\d+)"")),"""")
"),481)</f>
        <v>481</v>
      </c>
      <c r="I66" s="3" t="n">
        <f aca="false">IFERROR(__xludf.dummyfunction("if($T66&lt;&gt;"""",VALUE(REGEXEXTRACT(SUBSTITUTE ($T66,I$1&amp;"" CE"",""""), I$1&amp;""[\w &amp;]*, (\d+\.\d+)"")),"""")
"),480)</f>
        <v>480</v>
      </c>
      <c r="J66" s="3" t="n">
        <f aca="false">IFERROR(__xludf.dummyfunction("if($T66&lt;&gt;"""",VALUE(REGEXEXTRACT($T66, J$1&amp;""[\w &amp;]*, (\d+\.\d+)"")),"""")
"),475)</f>
        <v>475</v>
      </c>
      <c r="K66" s="3" t="n">
        <f aca="false">IFERROR(__xludf.dummyfunction("if($T66&lt;&gt;"""",VALUE(REGEXEXTRACT($T66, K$1&amp;""[\w &amp;]*, (\d+\.\d+)"")),"""")
"),468)</f>
        <v>468</v>
      </c>
      <c r="L66" s="3" t="n">
        <f aca="false">IFERROR(__xludf.dummyfunction("if($T66&lt;&gt;"""",VALUE(REGEXEXTRACT(SUBSTITUTE ($T66,L$1&amp;"" CE"",""""), L$1&amp;""[\w &amp;]*, (\d+\.\d+)"")),"""")
"),477.5)</f>
        <v>477.5</v>
      </c>
      <c r="M66" s="3" t="n">
        <f aca="false">IFERROR(__xludf.dummyfunction("if($T66&lt;&gt;"""",VALUE(REGEXEXTRACT($T66, M$1&amp;""[\w &amp;]*, (\d+\.\d+)"")),"""")
"),475)</f>
        <v>475</v>
      </c>
      <c r="N66" s="3" t="n">
        <f aca="false">IFERROR(__xludf.dummyfunction("if($T66&lt;&gt;"""",VALUE(REGEXEXTRACT(SUBSTITUTE ($T66,N$1&amp;"" CE"",""""), N$1&amp;""[\w &amp;]*, (\d+\.\d+)"")),"""")
"),480)</f>
        <v>480</v>
      </c>
      <c r="O66" s="3" t="n">
        <f aca="false">IFERROR(__xludf.dummyfunction("if($T66&lt;&gt;"""",VALUE(REGEXEXTRACT($T66, O$1&amp;""[\w &amp;]*, (\d+\.\d+)"")),"""")
"),475)</f>
        <v>475</v>
      </c>
      <c r="P66" s="2" t="n">
        <f aca="false">IFERROR(__xludf.dummyfunction("if($T66&lt;&gt;"""",VALUE(REGEXEXTRACT($T66, P$1&amp;""[\w &amp;]*, (\d+\.\d+)"")),"""")
"),475.66)</f>
        <v>475.66</v>
      </c>
      <c r="Q66" s="2" t="n">
        <f aca="false">IFERROR(__xludf.dummyfunction("if($T66&lt;&gt;"""",VALUE(REGEXEXTRACT($T66, Q$1&amp;""[\w &amp;]*, (\d+\.\d+)"")),"""")
"),473.91)</f>
        <v>473.91</v>
      </c>
      <c r="R66" s="2" t="n">
        <f aca="false">IFERROR(__xludf.dummyfunction("if($T66&lt;&gt;"""",VALUE(REGEXEXTRACT($T66, SUBSTITUTE(R$1, ""+"", ""\+"")&amp;""[\w &amp;]*, (\d+\.\d+)"")),"""")"),484.1)</f>
        <v>484.1</v>
      </c>
      <c r="S66" s="2" t="n">
        <f aca="false">IFERROR(__xludf.dummyfunction("if($T66&lt;&gt;"""",VALUE(REGEXEXTRACT($T66, SUBSTITUTE(S$1, ""+"", ""\+"")&amp;""[\w &amp;]*, (\d+\.\d+)"")),"""")"),485.85)</f>
        <v>485.85</v>
      </c>
      <c r="T66" s="5" t="s">
        <v>483</v>
      </c>
    </row>
    <row r="67" customFormat="false" ht="15.75" hidden="false" customHeight="false" outlineLevel="0" collapsed="false">
      <c r="A67" s="4" t="n">
        <f aca="false">IFERROR(__xludf.dummyfunction("""COMPUTED_VALUE"""),45496.6666666667)</f>
        <v>45496.6666666667</v>
      </c>
      <c r="B67" s="2" t="n">
        <f aca="false">IFERROR(__xludf.dummyfunction("""COMPUTED_VALUE"""),481.41)</f>
        <v>481.41</v>
      </c>
      <c r="C67" s="2" t="n">
        <f aca="false">IFERROR(__xludf.dummyfunction("""COMPUTED_VALUE"""),484.43)</f>
        <v>484.43</v>
      </c>
      <c r="D67" s="2" t="n">
        <f aca="false">IFERROR(__xludf.dummyfunction("""COMPUTED_VALUE"""),480.14)</f>
        <v>480.14</v>
      </c>
      <c r="E67" s="2" t="n">
        <f aca="false">IFERROR(__xludf.dummyfunction("""COMPUTED_VALUE"""),480.62)</f>
        <v>480.62</v>
      </c>
      <c r="F67" s="3" t="n">
        <f aca="false">IFERROR(__xludf.dummyfunction("if($T67&lt;&gt;"""",VALUE(REGEXEXTRACT(SUBSTITUTE ($T67,F$1&amp;"" CE"",""""), F$1&amp;""[\w &amp;]*, (\d+\.\d+)"")),"""")
"),478)</f>
        <v>478</v>
      </c>
      <c r="G67" s="3" t="n">
        <f aca="false">IFERROR(__xludf.dummyfunction("if($T67&lt;&gt;"""",VALUE(REGEXEXTRACT($T67, G$1&amp;""[\w &amp;]*, (\d+\.\d+)"")),"""")
"),478)</f>
        <v>478</v>
      </c>
      <c r="H67" s="3" t="n">
        <f aca="false">IFERROR(__xludf.dummyfunction("if($T67&lt;&gt;"""",VALUE(REGEXEXTRACT($T67, H$1&amp;""[\w &amp;]*, (\d+\.\d+)"")),"""")
"),504)</f>
        <v>504</v>
      </c>
      <c r="I67" s="3" t="n">
        <f aca="false">IFERROR(__xludf.dummyfunction("if($T67&lt;&gt;"""",VALUE(REGEXEXTRACT(SUBSTITUTE ($T67,I$1&amp;"" CE"",""""), I$1&amp;""[\w &amp;]*, (\d+\.\d+)"")),"""")
"),480)</f>
        <v>480</v>
      </c>
      <c r="J67" s="3" t="n">
        <f aca="false">IFERROR(__xludf.dummyfunction("if($T67&lt;&gt;"""",VALUE(REGEXEXTRACT($T67, J$1&amp;""[\w &amp;]*, (\d+\.\d+)"")),"""")
"),477)</f>
        <v>477</v>
      </c>
      <c r="K67" s="3" t="n">
        <f aca="false">IFERROR(__xludf.dummyfunction("if($T67&lt;&gt;"""",VALUE(REGEXEXTRACT($T67, K$1&amp;""[\w &amp;]*, (\d+\.\d+)"")),"""")
"),468)</f>
        <v>468</v>
      </c>
      <c r="L67" s="3" t="n">
        <f aca="false">IFERROR(__xludf.dummyfunction("if($T67&lt;&gt;"""",VALUE(REGEXEXTRACT(SUBSTITUTE ($T67,L$1&amp;"" CE"",""""), L$1&amp;""[\w &amp;]*, (\d+\.\d+)"")),"""")
"),481)</f>
        <v>481</v>
      </c>
      <c r="M67" s="3" t="n">
        <f aca="false">IFERROR(__xludf.dummyfunction("if($T67&lt;&gt;"""",VALUE(REGEXEXTRACT($T67, M$1&amp;""[\w &amp;]*, (\d+\.\d+)"")),"""")
"),477)</f>
        <v>477</v>
      </c>
      <c r="N67" s="3" t="n">
        <f aca="false">IFERROR(__xludf.dummyfunction("if($T67&lt;&gt;"""",VALUE(REGEXEXTRACT(SUBSTITUTE ($T67,N$1&amp;"" CE"",""""), N$1&amp;""[\w &amp;]*, (\d+\.\d+)"")),"""")
"),480)</f>
        <v>480</v>
      </c>
      <c r="O67" s="3" t="n">
        <f aca="false">IFERROR(__xludf.dummyfunction("if($T67&lt;&gt;"""",VALUE(REGEXEXTRACT($T67, O$1&amp;""[\w &amp;]*, (\d+\.\d+)"")),"""")
"),478)</f>
        <v>478</v>
      </c>
      <c r="P67" s="2" t="n">
        <f aca="false">IFERROR(__xludf.dummyfunction("if($T67&lt;&gt;"""",VALUE(REGEXEXTRACT($T67, P$1&amp;""[\w &amp;]*, (\d+\.\d+)"")),"""")
"),476.9)</f>
        <v>476.9</v>
      </c>
      <c r="Q67" s="2" t="n">
        <f aca="false">IFERROR(__xludf.dummyfunction("if($T67&lt;&gt;"""",VALUE(REGEXEXTRACT($T67, Q$1&amp;""[\w &amp;]*, (\d+\.\d+)"")),"""")
"),474.97)</f>
        <v>474.97</v>
      </c>
      <c r="R67" s="2" t="n">
        <f aca="false">IFERROR(__xludf.dummyfunction("if($T67&lt;&gt;"""",VALUE(REGEXEXTRACT($T67, SUBSTITUTE(R$1, ""+"", ""\+"")&amp;""[\w &amp;]*, (\d+\.\d+)"")),"""")"),486.2)</f>
        <v>486.2</v>
      </c>
      <c r="S67" s="2" t="n">
        <f aca="false">IFERROR(__xludf.dummyfunction("if($T67&lt;&gt;"""",VALUE(REGEXEXTRACT($T67, SUBSTITUTE(S$1, ""+"", ""\+"")&amp;""[\w &amp;]*, (\d+\.\d+)"")),"""")"),488.13)</f>
        <v>488.13</v>
      </c>
      <c r="T67" s="5" t="s">
        <v>484</v>
      </c>
    </row>
    <row r="68" customFormat="false" ht="15.75" hidden="false" customHeight="false" outlineLevel="0" collapsed="false">
      <c r="A68" s="4" t="n">
        <f aca="false">IFERROR(__xludf.dummyfunction("""COMPUTED_VALUE"""),45497.6666666667)</f>
        <v>45497.6666666667</v>
      </c>
      <c r="B68" s="2" t="n">
        <f aca="false">IFERROR(__xludf.dummyfunction("""COMPUTED_VALUE"""),473.82)</f>
        <v>473.82</v>
      </c>
      <c r="C68" s="2" t="n">
        <f aca="false">IFERROR(__xludf.dummyfunction("""COMPUTED_VALUE"""),474.19)</f>
        <v>474.19</v>
      </c>
      <c r="D68" s="2" t="n">
        <f aca="false">IFERROR(__xludf.dummyfunction("""COMPUTED_VALUE"""),462.51)</f>
        <v>462.51</v>
      </c>
      <c r="E68" s="2" t="n">
        <f aca="false">IFERROR(__xludf.dummyfunction("""COMPUTED_VALUE"""),463.38)</f>
        <v>463.38</v>
      </c>
      <c r="F68" s="3" t="n">
        <f aca="false">IFERROR(__xludf.dummyfunction("if($T68&lt;&gt;"""",VALUE(REGEXEXTRACT(SUBSTITUTE ($T68,F$1&amp;"" CE"",""""), F$1&amp;""[\w &amp;]*, (\d+\.\d+)"")),"""")
"),500)</f>
        <v>500</v>
      </c>
      <c r="G68" s="3" t="n">
        <f aca="false">IFERROR(__xludf.dummyfunction("if($T68&lt;&gt;"""",VALUE(REGEXEXTRACT($T68, G$1&amp;""[\w &amp;]*, (\d+\.\d+)"")),"""")
"),485)</f>
        <v>485</v>
      </c>
      <c r="H68" s="3" t="n">
        <f aca="false">IFERROR(__xludf.dummyfunction("if($T68&lt;&gt;"""",VALUE(REGEXEXTRACT($T68, H$1&amp;""[\w &amp;]*, (\d+\.\d+)"")),"""")
"),504)</f>
        <v>504</v>
      </c>
      <c r="I68" s="3" t="n">
        <f aca="false">IFERROR(__xludf.dummyfunction("if($T68&lt;&gt;"""",VALUE(REGEXEXTRACT(SUBSTITUTE ($T68,I$1&amp;"" CE"",""""), I$1&amp;""[\w &amp;]*, (\d+\.\d+)"")),"""")
"),480)</f>
        <v>480</v>
      </c>
      <c r="J68" s="3" t="n">
        <f aca="false">IFERROR(__xludf.dummyfunction("if($T68&lt;&gt;"""",VALUE(REGEXEXTRACT($T68, J$1&amp;""[\w &amp;]*, (\d+\.\d+)"")),"""")
"),480)</f>
        <v>480</v>
      </c>
      <c r="K68" s="3" t="n">
        <f aca="false">IFERROR(__xludf.dummyfunction("if($T68&lt;&gt;"""",VALUE(REGEXEXTRACT($T68, K$1&amp;""[\w &amp;]*, (\d+\.\d+)"")),"""")
"),468)</f>
        <v>468</v>
      </c>
      <c r="L68" s="3" t="n">
        <f aca="false">IFERROR(__xludf.dummyfunction("if($T68&lt;&gt;"""",VALUE(REGEXEXTRACT(SUBSTITUTE ($T68,L$1&amp;"" CE"",""""), L$1&amp;""[\w &amp;]*, (\d+\.\d+)"")),"""")
"),481)</f>
        <v>481</v>
      </c>
      <c r="M68" s="3" t="n">
        <f aca="false">IFERROR(__xludf.dummyfunction("if($T68&lt;&gt;"""",VALUE(REGEXEXTRACT($T68, M$1&amp;""[\w &amp;]*, (\d+\.\d+)"")),"""")
"),481)</f>
        <v>481</v>
      </c>
      <c r="N68" s="3" t="n">
        <f aca="false">IFERROR(__xludf.dummyfunction("if($T68&lt;&gt;"""",VALUE(REGEXEXTRACT(SUBSTITUTE ($T68,N$1&amp;"" CE"",""""), N$1&amp;""[\w &amp;]*, (\d+\.\d+)"")),"""")
"),480)</f>
        <v>480</v>
      </c>
      <c r="O68" s="3" t="n">
        <f aca="false">IFERROR(__xludf.dummyfunction("if($T68&lt;&gt;"""",VALUE(REGEXEXTRACT($T68, O$1&amp;""[\w &amp;]*, (\d+\.\d+)"")),"""")
"),480)</f>
        <v>480</v>
      </c>
      <c r="P68" s="2" t="n">
        <f aca="false">IFERROR(__xludf.dummyfunction("if($T68&lt;&gt;"""",VALUE(REGEXEXTRACT($T68, P$1&amp;""[\w &amp;]*, (\d+\.\d+)"")),"""")
"),469.11)</f>
        <v>469.11</v>
      </c>
      <c r="Q68" s="2" t="n">
        <f aca="false">IFERROR(__xludf.dummyfunction("if($T68&lt;&gt;"""",VALUE(REGEXEXTRACT($T68, Q$1&amp;""[\w &amp;]*, (\d+\.\d+)"")),"""")
"),467.35)</f>
        <v>467.35</v>
      </c>
      <c r="R68" s="2" t="n">
        <f aca="false">IFERROR(__xludf.dummyfunction("if($T68&lt;&gt;"""",VALUE(REGEXEXTRACT($T68, SUBSTITUTE(R$1, ""+"", ""\+"")&amp;""[\w &amp;]*, (\d+\.\d+)"")),"""")"),477.61)</f>
        <v>477.61</v>
      </c>
      <c r="S68" s="2" t="n">
        <f aca="false">IFERROR(__xludf.dummyfunction("if($T68&lt;&gt;"""",VALUE(REGEXEXTRACT($T68, SUBSTITUTE(S$1, ""+"", ""\+"")&amp;""[\w &amp;]*, (\d+\.\d+)"")),"""")"),479.37)</f>
        <v>479.37</v>
      </c>
      <c r="T68" s="5" t="s">
        <v>485</v>
      </c>
    </row>
    <row r="69" customFormat="false" ht="15.75" hidden="false" customHeight="false" outlineLevel="0" collapsed="false">
      <c r="A69" s="4" t="n">
        <f aca="false">IFERROR(__xludf.dummyfunction("""COMPUTED_VALUE"""),45498.6666666667)</f>
        <v>45498.6666666667</v>
      </c>
      <c r="B69" s="2" t="n">
        <f aca="false">IFERROR(__xludf.dummyfunction("""COMPUTED_VALUE"""),463.72)</f>
        <v>463.72</v>
      </c>
      <c r="C69" s="2" t="n">
        <f aca="false">IFERROR(__xludf.dummyfunction("""COMPUTED_VALUE"""),467.94)</f>
        <v>467.94</v>
      </c>
      <c r="D69" s="2" t="n">
        <f aca="false">IFERROR(__xludf.dummyfunction("""COMPUTED_VALUE"""),455.63)</f>
        <v>455.63</v>
      </c>
      <c r="E69" s="2" t="n">
        <f aca="false">IFERROR(__xludf.dummyfunction("""COMPUTED_VALUE"""),458.27)</f>
        <v>458.27</v>
      </c>
      <c r="F69" s="3" t="n">
        <f aca="false">IFERROR(__xludf.dummyfunction("if($T69&lt;&gt;"""",VALUE(REGEXEXTRACT(SUBSTITUTE ($T69,F$1&amp;"" CE"",""""), F$1&amp;""[\w &amp;]*, (\d+\.\d+)"")),"""")
"),465)</f>
        <v>465</v>
      </c>
      <c r="G69" s="3" t="n">
        <f aca="false">IFERROR(__xludf.dummyfunction("if($T69&lt;&gt;"""",VALUE(REGEXEXTRACT($T69, G$1&amp;""[\w &amp;]*, (\d+\.\d+)"")),"""")
"),465)</f>
        <v>465</v>
      </c>
      <c r="H69" s="3" t="n">
        <f aca="false">IFERROR(__xludf.dummyfunction("if($T69&lt;&gt;"""",VALUE(REGEXEXTRACT($T69, H$1&amp;""[\w &amp;]*, (\d+\.\d+)"")),"""")
"),469)</f>
        <v>469</v>
      </c>
      <c r="I69" s="3" t="n">
        <f aca="false">IFERROR(__xludf.dummyfunction("if($T69&lt;&gt;"""",VALUE(REGEXEXTRACT(SUBSTITUTE ($T69,I$1&amp;"" CE"",""""), I$1&amp;""[\w &amp;]*, (\d+\.\d+)"")),"""")
"),470)</f>
        <v>470</v>
      </c>
      <c r="J69" s="3" t="n">
        <f aca="false">IFERROR(__xludf.dummyfunction("if($T69&lt;&gt;"""",VALUE(REGEXEXTRACT($T69, J$1&amp;""[\w &amp;]*, (\d+\.\d+)"")),"""")
"),462)</f>
        <v>462</v>
      </c>
      <c r="K69" s="3" t="n">
        <f aca="false">IFERROR(__xludf.dummyfunction("if($T69&lt;&gt;"""",VALUE(REGEXEXTRACT($T69, K$1&amp;""[\w &amp;]*, (\d+\.\d+)"")),"""")
"),458)</f>
        <v>458</v>
      </c>
      <c r="L69" s="3" t="n">
        <f aca="false">IFERROR(__xludf.dummyfunction("if($T69&lt;&gt;"""",VALUE(REGEXEXTRACT(SUBSTITUTE ($T69,L$1&amp;"" CE"",""""), L$1&amp;""[\w &amp;]*, (\d+\.\d+)"")),"""")
"),464.78)</f>
        <v>464.78</v>
      </c>
      <c r="M69" s="3" t="n">
        <f aca="false">IFERROR(__xludf.dummyfunction("if($T69&lt;&gt;"""",VALUE(REGEXEXTRACT($T69, M$1&amp;""[\w &amp;]*, (\d+\.\d+)"")),"""")
"),462)</f>
        <v>462</v>
      </c>
      <c r="N69" s="3" t="n">
        <f aca="false">IFERROR(__xludf.dummyfunction("if($T69&lt;&gt;"""",VALUE(REGEXEXTRACT(SUBSTITUTE ($T69,N$1&amp;"" CE"",""""), N$1&amp;""[\w &amp;]*, (\d+\.\d+)"")),"""")
"),470)</f>
        <v>470</v>
      </c>
      <c r="O69" s="3" t="n">
        <f aca="false">IFERROR(__xludf.dummyfunction("if($T69&lt;&gt;"""",VALUE(REGEXEXTRACT($T69, O$1&amp;""[\w &amp;]*, (\d+\.\d+)"")),"""")
"),465)</f>
        <v>465</v>
      </c>
      <c r="P69" s="2" t="n">
        <f aca="false">IFERROR(__xludf.dummyfunction("if($T69&lt;&gt;"""",VALUE(REGEXEXTRACT($T69, P$1&amp;""[\w &amp;]*, (\d+\.\d+)"")),"""")
"),458.4)</f>
        <v>458.4</v>
      </c>
      <c r="Q69" s="2" t="n">
        <f aca="false">IFERROR(__xludf.dummyfunction("if($T69&lt;&gt;"""",VALUE(REGEXEXTRACT($T69, Q$1&amp;""[\w &amp;]*, (\d+\.\d+)"")),"""")
"),456.99)</f>
        <v>456.99</v>
      </c>
      <c r="R69" s="2" t="n">
        <f aca="false">IFERROR(__xludf.dummyfunction("if($T69&lt;&gt;"""",VALUE(REGEXEXTRACT($T69, SUBSTITUTE(R$1, ""+"", ""\+"")&amp;""[\w &amp;]*, (\d+\.\d+)"")),"""")"),466.6)</f>
        <v>466.6</v>
      </c>
      <c r="S69" s="2" t="n">
        <f aca="false">IFERROR(__xludf.dummyfunction("if($T69&lt;&gt;"""",VALUE(REGEXEXTRACT($T69, SUBSTITUTE(S$1, ""+"", ""\+"")&amp;""[\w &amp;]*, (\d+\.\d+)"")),"""")"),468.01)</f>
        <v>468.01</v>
      </c>
      <c r="T69" s="5" t="s">
        <v>486</v>
      </c>
    </row>
    <row r="70" customFormat="false" ht="15.75" hidden="false" customHeight="false" outlineLevel="0" collapsed="false">
      <c r="A70" s="4" t="n">
        <f aca="false">IFERROR(__xludf.dummyfunction("""COMPUTED_VALUE"""),45499.6666666667)</f>
        <v>45499.6666666667</v>
      </c>
      <c r="B70" s="2" t="n">
        <f aca="false">IFERROR(__xludf.dummyfunction("""COMPUTED_VALUE"""),462.65)</f>
        <v>462.65</v>
      </c>
      <c r="C70" s="2" t="n">
        <f aca="false">IFERROR(__xludf.dummyfunction("""COMPUTED_VALUE"""),465.93)</f>
        <v>465.93</v>
      </c>
      <c r="D70" s="2" t="n">
        <f aca="false">IFERROR(__xludf.dummyfunction("""COMPUTED_VALUE"""),459.77)</f>
        <v>459.77</v>
      </c>
      <c r="E70" s="2" t="n">
        <f aca="false">IFERROR(__xludf.dummyfunction("""COMPUTED_VALUE"""),462.97)</f>
        <v>462.97</v>
      </c>
      <c r="F70" s="3" t="n">
        <f aca="false">IFERROR(__xludf.dummyfunction("if($T70&lt;&gt;"""",VALUE(REGEXEXTRACT(SUBSTITUTE ($T70,F$1&amp;"" CE"",""""), F$1&amp;""[\w &amp;]*, (\d+\.\d+)"")),"""")
"),465)</f>
        <v>465</v>
      </c>
      <c r="G70" s="3" t="n">
        <f aca="false">IFERROR(__xludf.dummyfunction("if($T70&lt;&gt;"""",VALUE(REGEXEXTRACT($T70, G$1&amp;""[\w &amp;]*, (\d+\.\d+)"")),"""")
"),465)</f>
        <v>465</v>
      </c>
      <c r="H70" s="3" t="n">
        <f aca="false">IFERROR(__xludf.dummyfunction("if($T70&lt;&gt;"""",VALUE(REGEXEXTRACT($T70, H$1&amp;""[\w &amp;]*, (\d+\.\d+)"")),"""")
"),466)</f>
        <v>466</v>
      </c>
      <c r="I70" s="3" t="n">
        <f aca="false">IFERROR(__xludf.dummyfunction("if($T70&lt;&gt;"""",VALUE(REGEXEXTRACT(SUBSTITUTE ($T70,I$1&amp;"" CE"",""""), I$1&amp;""[\w &amp;]*, (\d+\.\d+)"")),"""")
"),470)</f>
        <v>470</v>
      </c>
      <c r="J70" s="3" t="n">
        <f aca="false">IFERROR(__xludf.dummyfunction("if($T70&lt;&gt;"""",VALUE(REGEXEXTRACT($T70, J$1&amp;""[\w &amp;]*, (\d+\.\d+)"")),"""")
"),456)</f>
        <v>456</v>
      </c>
      <c r="K70" s="3" t="n">
        <f aca="false">IFERROR(__xludf.dummyfunction("if($T70&lt;&gt;"""",VALUE(REGEXEXTRACT($T70, K$1&amp;""[\w &amp;]*, (\d+\.\d+)"")),"""")
"),449)</f>
        <v>449</v>
      </c>
      <c r="L70" s="3" t="n">
        <f aca="false">IFERROR(__xludf.dummyfunction("if($T70&lt;&gt;"""",VALUE(REGEXEXTRACT(SUBSTITUTE ($T70,L$1&amp;"" CE"",""""), L$1&amp;""[\w &amp;]*, (\d+\.\d+)"")),"""")
"),462.5)</f>
        <v>462.5</v>
      </c>
      <c r="M70" s="3" t="n">
        <f aca="false">IFERROR(__xludf.dummyfunction("if($T70&lt;&gt;"""",VALUE(REGEXEXTRACT($T70, M$1&amp;""[\w &amp;]*, (\d+\.\d+)"")),"""")
"),462)</f>
        <v>462</v>
      </c>
      <c r="N70" s="3" t="n">
        <f aca="false">IFERROR(__xludf.dummyfunction("if($T70&lt;&gt;"""",VALUE(REGEXEXTRACT(SUBSTITUTE ($T70,N$1&amp;"" CE"",""""), N$1&amp;""[\w &amp;]*, (\d+\.\d+)"")),"""")
"),470)</f>
        <v>470</v>
      </c>
      <c r="O70" s="3" t="n">
        <f aca="false">IFERROR(__xludf.dummyfunction("if($T70&lt;&gt;"""",VALUE(REGEXEXTRACT($T70, O$1&amp;""[\w &amp;]*, (\d+\.\d+)"")),"""")
"),465)</f>
        <v>465</v>
      </c>
      <c r="P70" s="2" t="n">
        <f aca="false">IFERROR(__xludf.dummyfunction("if($T70&lt;&gt;"""",VALUE(REGEXEXTRACT($T70, P$1&amp;""[\w &amp;]*, (\d+\.\d+)"")),"""")
"),457.47)</f>
        <v>457.47</v>
      </c>
      <c r="Q70" s="2" t="n">
        <f aca="false">IFERROR(__xludf.dummyfunction("if($T70&lt;&gt;"""",VALUE(REGEXEXTRACT($T70, Q$1&amp;""[\w &amp;]*, (\d+\.\d+)"")),"""")
"),451.46)</f>
        <v>451.46</v>
      </c>
      <c r="R70" s="2" t="n">
        <f aca="false">IFERROR(__xludf.dummyfunction("if($T70&lt;&gt;"""",VALUE(REGEXEXTRACT($T70, SUBSTITUTE(R$1, ""+"", ""\+"")&amp;""[\w &amp;]*, (\d+\.\d+)"")),"""")"),469.49)</f>
        <v>469.49</v>
      </c>
      <c r="S70" s="2" t="n">
        <f aca="false">IFERROR(__xludf.dummyfunction("if($T70&lt;&gt;"""",VALUE(REGEXEXTRACT($T70, SUBSTITUTE(S$1, ""+"", ""\+"")&amp;""[\w &amp;]*, (\d+\.\d+)"")),"""")"),475.5)</f>
        <v>475.5</v>
      </c>
      <c r="T70" s="5" t="s">
        <v>487</v>
      </c>
    </row>
    <row r="71" customFormat="false" ht="15.75" hidden="false" customHeight="false" outlineLevel="0" collapsed="false">
      <c r="A71" s="4" t="n">
        <f aca="false">IFERROR(__xludf.dummyfunction("""COMPUTED_VALUE"""),45502.6666666667)</f>
        <v>45502.6666666667</v>
      </c>
      <c r="B71" s="2" t="n">
        <f aca="false">IFERROR(__xludf.dummyfunction("""COMPUTED_VALUE"""),465.71)</f>
        <v>465.71</v>
      </c>
      <c r="C71" s="2" t="n">
        <f aca="false">IFERROR(__xludf.dummyfunction("""COMPUTED_VALUE"""),467.91)</f>
        <v>467.91</v>
      </c>
      <c r="D71" s="2" t="n">
        <f aca="false">IFERROR(__xludf.dummyfunction("""COMPUTED_VALUE"""),461.62)</f>
        <v>461.62</v>
      </c>
      <c r="E71" s="2" t="n">
        <f aca="false">IFERROR(__xludf.dummyfunction("""COMPUTED_VALUE"""),463.9)</f>
        <v>463.9</v>
      </c>
      <c r="F71" s="3" t="n">
        <f aca="false">IFERROR(__xludf.dummyfunction("if($T71&lt;&gt;"""",VALUE(REGEXEXTRACT(SUBSTITUTE ($T71,F$1&amp;"" CE"",""""), F$1&amp;""[\w &amp;]*, (\d+\.\d+)"")),"""")
"),463)</f>
        <v>463</v>
      </c>
      <c r="G71" s="3" t="n">
        <f aca="false">IFERROR(__xludf.dummyfunction("if($T71&lt;&gt;"""",VALUE(REGEXEXTRACT($T71, G$1&amp;""[\w &amp;]*, (\d+\.\d+)"")),"""")
"),463)</f>
        <v>463</v>
      </c>
      <c r="H71" s="3" t="n">
        <f aca="false">IFERROR(__xludf.dummyfunction("if($T71&lt;&gt;"""",VALUE(REGEXEXTRACT($T71, H$1&amp;""[\w &amp;]*, (\d+\.\d+)"")),"""")
"),487)</f>
        <v>487</v>
      </c>
      <c r="I71" s="3" t="n">
        <f aca="false">IFERROR(__xludf.dummyfunction("if($T71&lt;&gt;"""",VALUE(REGEXEXTRACT(SUBSTITUTE ($T71,I$1&amp;"" CE"",""""), I$1&amp;""[\w &amp;]*, (\d+\.\d+)"")),"""")
"),470)</f>
        <v>470</v>
      </c>
      <c r="J71" s="3" t="n">
        <f aca="false">IFERROR(__xludf.dummyfunction("if($T71&lt;&gt;"""",VALUE(REGEXEXTRACT($T71, J$1&amp;""[\w &amp;]*, (\d+\.\d+)"")),"""")
"),460)</f>
        <v>460</v>
      </c>
      <c r="K71" s="3" t="n">
        <f aca="false">IFERROR(__xludf.dummyfunction("if($T71&lt;&gt;"""",VALUE(REGEXEXTRACT($T71, K$1&amp;""[\w &amp;]*, (\d+\.\d+)"")),"""")
"),458)</f>
        <v>458</v>
      </c>
      <c r="L71" s="3" t="n">
        <f aca="false">IFERROR(__xludf.dummyfunction("if($T71&lt;&gt;"""",VALUE(REGEXEXTRACT(SUBSTITUTE ($T71,L$1&amp;"" CE"",""""), L$1&amp;""[\w &amp;]*, (\d+\.\d+)"")),"""")
"),462.5)</f>
        <v>462.5</v>
      </c>
      <c r="M71" s="3" t="n">
        <f aca="false">IFERROR(__xludf.dummyfunction("if($T71&lt;&gt;"""",VALUE(REGEXEXTRACT($T71, M$1&amp;""[\w &amp;]*, (\d+\.\d+)"")),"""")
"),462)</f>
        <v>462</v>
      </c>
      <c r="N71" s="3" t="n">
        <f aca="false">IFERROR(__xludf.dummyfunction("if($T71&lt;&gt;"""",VALUE(REGEXEXTRACT(SUBSTITUTE ($T71,N$1&amp;"" CE"",""""), N$1&amp;""[\w &amp;]*, (\d+\.\d+)"")),"""")
"),470)</f>
        <v>470</v>
      </c>
      <c r="O71" s="3" t="n">
        <f aca="false">IFERROR(__xludf.dummyfunction("if($T71&lt;&gt;"""",VALUE(REGEXEXTRACT($T71, O$1&amp;""[\w &amp;]*, (\d+\.\d+)"")),"""")
"),463)</f>
        <v>463</v>
      </c>
      <c r="P71" s="2" t="n">
        <f aca="false">IFERROR(__xludf.dummyfunction("if($T71&lt;&gt;"""",VALUE(REGEXEXTRACT($T71, P$1&amp;""[\w &amp;]*, (\d+\.\d+)"")),"""")
"),462.72)</f>
        <v>462.72</v>
      </c>
      <c r="Q71" s="2" t="n">
        <f aca="false">IFERROR(__xludf.dummyfunction("if($T71&lt;&gt;"""",VALUE(REGEXEXTRACT($T71, Q$1&amp;""[\w &amp;]*, (\d+\.\d+)"")),"""")
"),461.06)</f>
        <v>461.06</v>
      </c>
      <c r="R71" s="2" t="n">
        <f aca="false">IFERROR(__xludf.dummyfunction("if($T71&lt;&gt;"""",VALUE(REGEXEXTRACT($T71, SUBSTITUTE(R$1, ""+"", ""\+"")&amp;""[\w &amp;]*, (\d+\.\d+)"")),"""")"),470.72)</f>
        <v>470.72</v>
      </c>
      <c r="S71" s="2" t="n">
        <f aca="false">IFERROR(__xludf.dummyfunction("if($T71&lt;&gt;"""",VALUE(REGEXEXTRACT($T71, SUBSTITUTE(S$1, ""+"", ""\+"")&amp;""[\w &amp;]*, (\d+\.\d+)"")),"""")"),472.38)</f>
        <v>472.38</v>
      </c>
      <c r="T71" s="5" t="s">
        <v>488</v>
      </c>
    </row>
    <row r="72" customFormat="false" ht="15.75" hidden="false" customHeight="false" outlineLevel="0" collapsed="false">
      <c r="A72" s="4" t="n">
        <f aca="false">IFERROR(__xludf.dummyfunction("""COMPUTED_VALUE"""),45503.6666666667)</f>
        <v>45503.6666666667</v>
      </c>
      <c r="B72" s="2" t="n">
        <f aca="false">IFERROR(__xludf.dummyfunction("""COMPUTED_VALUE"""),465.85)</f>
        <v>465.85</v>
      </c>
      <c r="C72" s="2" t="n">
        <f aca="false">IFERROR(__xludf.dummyfunction("""COMPUTED_VALUE"""),466.56)</f>
        <v>466.56</v>
      </c>
      <c r="D72" s="2" t="n">
        <f aca="false">IFERROR(__xludf.dummyfunction("""COMPUTED_VALUE"""),454.15)</f>
        <v>454.15</v>
      </c>
      <c r="E72" s="2" t="n">
        <f aca="false">IFERROR(__xludf.dummyfunction("""COMPUTED_VALUE"""),457.53)</f>
        <v>457.53</v>
      </c>
      <c r="F72" s="3" t="n">
        <f aca="false">IFERROR(__xludf.dummyfunction("if($T72&lt;&gt;"""",VALUE(REGEXEXTRACT(SUBSTITUTE ($T72,F$1&amp;"" CE"",""""), F$1&amp;""[\w &amp;]*, (\d+\.\d+)"")),"""")
"),470)</f>
        <v>470</v>
      </c>
      <c r="G72" s="3" t="n">
        <f aca="false">IFERROR(__xludf.dummyfunction("if($T72&lt;&gt;"""",VALUE(REGEXEXTRACT($T72, G$1&amp;""[\w &amp;]*, (\d+\.\d+)"")),"""")
"),468)</f>
        <v>468</v>
      </c>
      <c r="H72" s="3" t="n">
        <f aca="false">IFERROR(__xludf.dummyfunction("if($T72&lt;&gt;"""",VALUE(REGEXEXTRACT($T72, H$1&amp;""[\w &amp;]*, (\d+\.\d+)"")),"""")
"),487)</f>
        <v>487</v>
      </c>
      <c r="I72" s="3" t="n">
        <f aca="false">IFERROR(__xludf.dummyfunction("if($T72&lt;&gt;"""",VALUE(REGEXEXTRACT(SUBSTITUTE ($T72,I$1&amp;"" CE"",""""), I$1&amp;""[\w &amp;]*, (\d+\.\d+)"")),"""")
"),470)</f>
        <v>470</v>
      </c>
      <c r="J72" s="3" t="n">
        <f aca="false">IFERROR(__xludf.dummyfunction("if($T72&lt;&gt;"""",VALUE(REGEXEXTRACT($T72, J$1&amp;""[\w &amp;]*, (\d+\.\d+)"")),"""")
"),460)</f>
        <v>460</v>
      </c>
      <c r="K72" s="3" t="n">
        <f aca="false">IFERROR(__xludf.dummyfunction("if($T72&lt;&gt;"""",VALUE(REGEXEXTRACT($T72, K$1&amp;""[\w &amp;]*, (\d+\.\d+)"")),"""")
"),458)</f>
        <v>458</v>
      </c>
      <c r="L72" s="3" t="n">
        <f aca="false">IFERROR(__xludf.dummyfunction("if($T72&lt;&gt;"""",VALUE(REGEXEXTRACT(SUBSTITUTE ($T72,L$1&amp;"" CE"",""""), L$1&amp;""[\w &amp;]*, (\d+\.\d+)"")),"""")
"),465)</f>
        <v>465</v>
      </c>
      <c r="M72" s="3" t="n">
        <f aca="false">IFERROR(__xludf.dummyfunction("if($T72&lt;&gt;"""",VALUE(REGEXEXTRACT($T72, M$1&amp;""[\w &amp;]*, (\d+\.\d+)"")),"""")
"),465)</f>
        <v>465</v>
      </c>
      <c r="N72" s="3" t="n">
        <f aca="false">IFERROR(__xludf.dummyfunction("if($T72&lt;&gt;"""",VALUE(REGEXEXTRACT(SUBSTITUTE ($T72,N$1&amp;"" CE"",""""), N$1&amp;""[\w &amp;]*, (\d+\.\d+)"")),"""")
"),470)</f>
        <v>470</v>
      </c>
      <c r="O72" s="3" t="n">
        <f aca="false">IFERROR(__xludf.dummyfunction("if($T72&lt;&gt;"""",VALUE(REGEXEXTRACT($T72, O$1&amp;""[\w &amp;]*, (\d+\.\d+)"")),"""")
"),468)</f>
        <v>468</v>
      </c>
      <c r="P72" s="2" t="n">
        <f aca="false">IFERROR(__xludf.dummyfunction("if($T72&lt;&gt;"""",VALUE(REGEXEXTRACT($T72, P$1&amp;""[\w &amp;]*, (\d+\.\d+)"")),"""")
"),459.46)</f>
        <v>459.46</v>
      </c>
      <c r="Q72" s="2" t="n">
        <f aca="false">IFERROR(__xludf.dummyfunction("if($T72&lt;&gt;"""",VALUE(REGEXEXTRACT($T72, Q$1&amp;""[\w &amp;]*, (\d+\.\d+)"")),"""")
"),457.04)</f>
        <v>457.04</v>
      </c>
      <c r="R72" s="2" t="n">
        <f aca="false">IFERROR(__xludf.dummyfunction("if($T72&lt;&gt;"""",VALUE(REGEXEXTRACT($T72, SUBSTITUTE(R$1, ""+"", ""\+"")&amp;""[\w &amp;]*, (\d+\.\d+)"")),"""")"),471.12)</f>
        <v>471.12</v>
      </c>
      <c r="S72" s="2" t="n">
        <f aca="false">IFERROR(__xludf.dummyfunction("if($T72&lt;&gt;"""",VALUE(REGEXEXTRACT($T72, SUBSTITUTE(S$1, ""+"", ""\+"")&amp;""[\w &amp;]*, (\d+\.\d+)"")),"""")"),473.54)</f>
        <v>473.54</v>
      </c>
      <c r="T72" s="5" t="s">
        <v>489</v>
      </c>
    </row>
    <row r="73" customFormat="false" ht="15.75" hidden="false" customHeight="false" outlineLevel="0" collapsed="false">
      <c r="A73" s="4" t="n">
        <f aca="false">IFERROR(__xludf.dummyfunction("""COMPUTED_VALUE"""),45504.6666666667)</f>
        <v>45504.6666666667</v>
      </c>
      <c r="B73" s="2" t="n">
        <f aca="false">IFERROR(__xludf.dummyfunction("""COMPUTED_VALUE"""),467.87)</f>
        <v>467.87</v>
      </c>
      <c r="C73" s="2" t="n">
        <f aca="false">IFERROR(__xludf.dummyfunction("""COMPUTED_VALUE"""),472.79)</f>
        <v>472.79</v>
      </c>
      <c r="D73" s="2" t="n">
        <f aca="false">IFERROR(__xludf.dummyfunction("""COMPUTED_VALUE"""),466.41)</f>
        <v>466.41</v>
      </c>
      <c r="E73" s="2" t="n">
        <f aca="false">IFERROR(__xludf.dummyfunction("""COMPUTED_VALUE"""),471.07)</f>
        <v>471.07</v>
      </c>
      <c r="F73" s="3" t="n">
        <f aca="false">IFERROR(__xludf.dummyfunction("if($T73&lt;&gt;"""",VALUE(REGEXEXTRACT(SUBSTITUTE ($T73,F$1&amp;"" CE"",""""), F$1&amp;""[\w &amp;]*, (\d+\.\d+)"")),"""")
"),470)</f>
        <v>470</v>
      </c>
      <c r="G73" s="3" t="n">
        <f aca="false">IFERROR(__xludf.dummyfunction("if($T73&lt;&gt;"""",VALUE(REGEXEXTRACT($T73, G$1&amp;""[\w &amp;]*, (\d+\.\d+)"")),"""")
"),463)</f>
        <v>463</v>
      </c>
      <c r="H73" s="3" t="n">
        <f aca="false">IFERROR(__xludf.dummyfunction("if($T73&lt;&gt;"""",VALUE(REGEXEXTRACT($T73, H$1&amp;""[\w &amp;]*, (\d+\.\d+)"")),"""")
"),488)</f>
        <v>488</v>
      </c>
      <c r="I73" s="3" t="n">
        <f aca="false">IFERROR(__xludf.dummyfunction("if($T73&lt;&gt;"""",VALUE(REGEXEXTRACT(SUBSTITUTE ($T73,I$1&amp;"" CE"",""""), I$1&amp;""[\w &amp;]*, (\d+\.\d+)"")),"""")
"),470)</f>
        <v>470</v>
      </c>
      <c r="J73" s="3" t="n">
        <f aca="false">IFERROR(__xludf.dummyfunction("if($T73&lt;&gt;"""",VALUE(REGEXEXTRACT($T73, J$1&amp;""[\w &amp;]*, (\d+\.\d+)"")),"""")
"),445)</f>
        <v>445</v>
      </c>
      <c r="K73" s="3" t="n">
        <f aca="false">IFERROR(__xludf.dummyfunction("if($T73&lt;&gt;"""",VALUE(REGEXEXTRACT($T73, K$1&amp;""[\w &amp;]*, (\d+\.\d+)"")),"""")
"),447.5)</f>
        <v>447.5</v>
      </c>
      <c r="L73" s="3" t="n">
        <f aca="false">IFERROR(__xludf.dummyfunction("if($T73&lt;&gt;"""",VALUE(REGEXEXTRACT(SUBSTITUTE ($T73,L$1&amp;"" CE"",""""), L$1&amp;""[\w &amp;]*, (\d+\.\d+)"")),"""")
"),465)</f>
        <v>465</v>
      </c>
      <c r="M73" s="3" t="n">
        <f aca="false">IFERROR(__xludf.dummyfunction("if($T73&lt;&gt;"""",VALUE(REGEXEXTRACT($T73, M$1&amp;""[\w &amp;]*, (\d+\.\d+)"")),"""")
"),461)</f>
        <v>461</v>
      </c>
      <c r="N73" s="3" t="n">
        <f aca="false">IFERROR(__xludf.dummyfunction("if($T73&lt;&gt;"""",VALUE(REGEXEXTRACT(SUBSTITUTE ($T73,N$1&amp;"" CE"",""""), N$1&amp;""[\w &amp;]*, (\d+\.\d+)"")),"""")
"),470)</f>
        <v>470</v>
      </c>
      <c r="O73" s="3" t="n">
        <f aca="false">IFERROR(__xludf.dummyfunction("if($T73&lt;&gt;"""",VALUE(REGEXEXTRACT($T73, O$1&amp;""[\w &amp;]*, (\d+\.\d+)"")),"""")
"),445)</f>
        <v>445</v>
      </c>
      <c r="P73" s="2" t="n">
        <f aca="false">IFERROR(__xludf.dummyfunction("if($T73&lt;&gt;"""",VALUE(REGEXEXTRACT($T73, P$1&amp;""[\w &amp;]*, (\d+\.\d+)"")),"""")
"),460.56)</f>
        <v>460.56</v>
      </c>
      <c r="Q73" s="2" t="n">
        <f aca="false">IFERROR(__xludf.dummyfunction("if($T73&lt;&gt;"""",VALUE(REGEXEXTRACT($T73, Q$1&amp;""[\w &amp;]*, (\d+\.\d+)"")),"""")
"),458.2)</f>
        <v>458.2</v>
      </c>
      <c r="R73" s="2" t="n">
        <f aca="false">IFERROR(__xludf.dummyfunction("if($T73&lt;&gt;"""",VALUE(REGEXEXTRACT($T73, SUBSTITUTE(R$1, ""+"", ""\+"")&amp;""[\w &amp;]*, (\d+\.\d+)"")),"""")"),471.94)</f>
        <v>471.94</v>
      </c>
      <c r="S73" s="2" t="n">
        <f aca="false">IFERROR(__xludf.dummyfunction("if($T73&lt;&gt;"""",VALUE(REGEXEXTRACT($T73, SUBSTITUTE(S$1, ""+"", ""\+"")&amp;""[\w &amp;]*, (\d+\.\d+)"")),"""")"),474.3)</f>
        <v>474.3</v>
      </c>
      <c r="T73" s="5" t="s">
        <v>490</v>
      </c>
    </row>
    <row r="74" customFormat="false" ht="15.75" hidden="false" customHeight="false" outlineLevel="0" collapsed="false">
      <c r="A74" s="4" t="n">
        <f aca="false">IFERROR(__xludf.dummyfunction("""COMPUTED_VALUE"""),45505.6666666667)</f>
        <v>45505.6666666667</v>
      </c>
      <c r="B74" s="2" t="n">
        <f aca="false">IFERROR(__xludf.dummyfunction("""COMPUTED_VALUE"""),471.76)</f>
        <v>471.76</v>
      </c>
      <c r="C74" s="2" t="n">
        <f aca="false">IFERROR(__xludf.dummyfunction("""COMPUTED_VALUE"""),475.55)</f>
        <v>475.55</v>
      </c>
      <c r="D74" s="2" t="n">
        <f aca="false">IFERROR(__xludf.dummyfunction("""COMPUTED_VALUE"""),455.98)</f>
        <v>455.98</v>
      </c>
      <c r="E74" s="2" t="n">
        <f aca="false">IFERROR(__xludf.dummyfunction("""COMPUTED_VALUE"""),459.66)</f>
        <v>459.66</v>
      </c>
      <c r="F74" s="3" t="n">
        <f aca="false">IFERROR(__xludf.dummyfunction("if($T74&lt;&gt;"""",VALUE(REGEXEXTRACT(SUBSTITUTE ($T74,F$1&amp;"" CE"",""""), F$1&amp;""[\w &amp;]*, (\d+\.\d+)"")),"""")
"),470)</f>
        <v>470</v>
      </c>
      <c r="G74" s="3" t="n">
        <f aca="false">IFERROR(__xludf.dummyfunction("if($T74&lt;&gt;"""",VALUE(REGEXEXTRACT($T74, G$1&amp;""[\w &amp;]*, (\d+\.\d+)"")),"""")
"),473)</f>
        <v>473</v>
      </c>
      <c r="H74" s="3" t="n">
        <f aca="false">IFERROR(__xludf.dummyfunction("if($T74&lt;&gt;"""",VALUE(REGEXEXTRACT($T74, H$1&amp;""[\w &amp;]*, (\d+\.\d+)"")),"""")
"),488)</f>
        <v>488</v>
      </c>
      <c r="I74" s="3" t="n">
        <f aca="false">IFERROR(__xludf.dummyfunction("if($T74&lt;&gt;"""",VALUE(REGEXEXTRACT(SUBSTITUTE ($T74,I$1&amp;"" CE"",""""), I$1&amp;""[\w &amp;]*, (\d+\.\d+)"")),"""")
"),470)</f>
        <v>470</v>
      </c>
      <c r="J74" s="3" t="n">
        <f aca="false">IFERROR(__xludf.dummyfunction("if($T74&lt;&gt;"""",VALUE(REGEXEXTRACT($T74, J$1&amp;""[\w &amp;]*, (\d+\.\d+)"")),"""")
"),467)</f>
        <v>467</v>
      </c>
      <c r="K74" s="3" t="n">
        <f aca="false">IFERROR(__xludf.dummyfunction("if($T74&lt;&gt;"""",VALUE(REGEXEXTRACT($T74, K$1&amp;""[\w &amp;]*, (\d+\.\d+)"")),"""")
"),458)</f>
        <v>458</v>
      </c>
      <c r="L74" s="3" t="n">
        <f aca="false">IFERROR(__xludf.dummyfunction("if($T74&lt;&gt;"""",VALUE(REGEXEXTRACT(SUBSTITUTE ($T74,L$1&amp;"" CE"",""""), L$1&amp;""[\w &amp;]*, (\d+\.\d+)"")),"""")
"),470)</f>
        <v>470</v>
      </c>
      <c r="M74" s="3" t="n">
        <f aca="false">IFERROR(__xludf.dummyfunction("if($T74&lt;&gt;"""",VALUE(REGEXEXTRACT($T74, M$1&amp;""[\w &amp;]*, (\d+\.\d+)"")),"""")
"),469)</f>
        <v>469</v>
      </c>
      <c r="N74" s="3" t="n">
        <f aca="false">IFERROR(__xludf.dummyfunction("if($T74&lt;&gt;"""",VALUE(REGEXEXTRACT(SUBSTITUTE ($T74,N$1&amp;"" CE"",""""), N$1&amp;""[\w &amp;]*, (\d+\.\d+)"")),"""")
"),470)</f>
        <v>470</v>
      </c>
      <c r="O74" s="3" t="n">
        <f aca="false">IFERROR(__xludf.dummyfunction("if($T74&lt;&gt;"""",VALUE(REGEXEXTRACT($T74, O$1&amp;""[\w &amp;]*, (\d+\.\d+)"")),"""")
"),470)</f>
        <v>470</v>
      </c>
      <c r="P74" s="2" t="n">
        <f aca="false">IFERROR(__xludf.dummyfunction("if($T74&lt;&gt;"""",VALUE(REGEXEXTRACT($T74, P$1&amp;""[\w &amp;]*, (\d+\.\d+)"")),"""")
"),467.8)</f>
        <v>467.8</v>
      </c>
      <c r="Q74" s="2" t="n">
        <f aca="false">IFERROR(__xludf.dummyfunction("if($T74&lt;&gt;"""",VALUE(REGEXEXTRACT($T74, Q$1&amp;""[\w &amp;]*, (\d+\.\d+)"")),"""")
"),465.62)</f>
        <v>465.62</v>
      </c>
      <c r="R74" s="2" t="n">
        <f aca="false">IFERROR(__xludf.dummyfunction("if($T74&lt;&gt;"""",VALUE(REGEXEXTRACT($T74, SUBSTITUTE(R$1, ""+"", ""\+"")&amp;""[\w &amp;]*, (\d+\.\d+)"")),"""")"),477.7)</f>
        <v>477.7</v>
      </c>
      <c r="S74" s="2" t="n">
        <f aca="false">IFERROR(__xludf.dummyfunction("if($T74&lt;&gt;"""",VALUE(REGEXEXTRACT($T74, SUBSTITUTE(S$1, ""+"", ""\+"")&amp;""[\w &amp;]*, (\d+\.\d+)"")),"""")"),479.88)</f>
        <v>479.88</v>
      </c>
      <c r="T74" s="5" t="s">
        <v>491</v>
      </c>
    </row>
    <row r="75" customFormat="false" ht="15.75" hidden="false" customHeight="false" outlineLevel="0" collapsed="false">
      <c r="A75" s="4" t="n">
        <f aca="false">IFERROR(__xludf.dummyfunction("""COMPUTED_VALUE"""),45506.6666666667)</f>
        <v>45506.6666666667</v>
      </c>
      <c r="B75" s="2" t="n">
        <f aca="false">IFERROR(__xludf.dummyfunction("""COMPUTED_VALUE"""),450.89)</f>
        <v>450.89</v>
      </c>
      <c r="C75" s="2" t="n">
        <f aca="false">IFERROR(__xludf.dummyfunction("""COMPUTED_VALUE"""),453.57)</f>
        <v>453.57</v>
      </c>
      <c r="D75" s="2" t="n">
        <f aca="false">IFERROR(__xludf.dummyfunction("""COMPUTED_VALUE"""),444.47)</f>
        <v>444.47</v>
      </c>
      <c r="E75" s="2" t="n">
        <f aca="false">IFERROR(__xludf.dummyfunction("""COMPUTED_VALUE"""),448.75)</f>
        <v>448.75</v>
      </c>
      <c r="F75" s="3" t="n">
        <f aca="false">IFERROR(__xludf.dummyfunction("if($T75&lt;&gt;"""",VALUE(REGEXEXTRACT(SUBSTITUTE ($T75,F$1&amp;"" CE"",""""), F$1&amp;""[\w &amp;]*, (\d+\.\d+)"")),"""")
"),470)</f>
        <v>470</v>
      </c>
      <c r="G75" s="3" t="n">
        <f aca="false">IFERROR(__xludf.dummyfunction("if($T75&lt;&gt;"""",VALUE(REGEXEXTRACT($T75, G$1&amp;""[\w &amp;]*, (\d+\.\d+)"")),"""")
"),470)</f>
        <v>470</v>
      </c>
      <c r="H75" s="3" t="n">
        <f aca="false">IFERROR(__xludf.dummyfunction("if($T75&lt;&gt;"""",VALUE(REGEXEXTRACT($T75, H$1&amp;""[\w &amp;]*, (\d+\.\d+)"")),"""")
"),488)</f>
        <v>488</v>
      </c>
      <c r="I75" s="3" t="n">
        <f aca="false">IFERROR(__xludf.dummyfunction("if($T75&lt;&gt;"""",VALUE(REGEXEXTRACT(SUBSTITUTE ($T75,I$1&amp;"" CE"",""""), I$1&amp;""[\w &amp;]*, (\d+\.\d+)"")),"""")
"),470)</f>
        <v>470</v>
      </c>
      <c r="J75" s="3" t="n">
        <f aca="false">IFERROR(__xludf.dummyfunction("if($T75&lt;&gt;"""",VALUE(REGEXEXTRACT($T75, J$1&amp;""[\w &amp;]*, (\d+\.\d+)"")),"""")
"),450)</f>
        <v>450</v>
      </c>
      <c r="K75" s="3" t="n">
        <f aca="false">IFERROR(__xludf.dummyfunction("if($T75&lt;&gt;"""",VALUE(REGEXEXTRACT($T75, K$1&amp;""[\w &amp;]*, (\d+\.\d+)"")),"""")
"),448)</f>
        <v>448</v>
      </c>
      <c r="L75" s="3" t="n">
        <f aca="false">IFERROR(__xludf.dummyfunction("if($T75&lt;&gt;"""",VALUE(REGEXEXTRACT(SUBSTITUTE ($T75,L$1&amp;"" CE"",""""), L$1&amp;""[\w &amp;]*, (\d+\.\d+)"")),"""")
"),470)</f>
        <v>470</v>
      </c>
      <c r="M75" s="3" t="n">
        <f aca="false">IFERROR(__xludf.dummyfunction("if($T75&lt;&gt;"""",VALUE(REGEXEXTRACT($T75, M$1&amp;""[\w &amp;]*, (\d+\.\d+)"")),"""")
"),459)</f>
        <v>459</v>
      </c>
      <c r="N75" s="3" t="n">
        <f aca="false">IFERROR(__xludf.dummyfunction("if($T75&lt;&gt;"""",VALUE(REGEXEXTRACT(SUBSTITUTE ($T75,N$1&amp;"" CE"",""""), N$1&amp;""[\w &amp;]*, (\d+\.\d+)"")),"""")
"),470)</f>
        <v>470</v>
      </c>
      <c r="O75" s="3" t="n">
        <f aca="false">IFERROR(__xludf.dummyfunction("if($T75&lt;&gt;"""",VALUE(REGEXEXTRACT($T75, O$1&amp;""[\w &amp;]*, (\d+\.\d+)"")),"""")
"),460)</f>
        <v>460</v>
      </c>
      <c r="P75" s="2" t="n">
        <f aca="false">IFERROR(__xludf.dummyfunction("if($T75&lt;&gt;"""",VALUE(REGEXEXTRACT($T75, P$1&amp;""[\w &amp;]*, (\d+\.\d+)"")),"""")
"),443.13)</f>
        <v>443.13</v>
      </c>
      <c r="Q75" s="2" t="n">
        <f aca="false">IFERROR(__xludf.dummyfunction("if($T75&lt;&gt;"""",VALUE(REGEXEXTRACT($T75, Q$1&amp;""[\w &amp;]*, (\d+\.\d+)"")),"""")
"),436.83)</f>
        <v>436.83</v>
      </c>
      <c r="R75" s="2" t="n">
        <f aca="false">IFERROR(__xludf.dummyfunction("if($T75&lt;&gt;"""",VALUE(REGEXEXTRACT($T75, SUBSTITUTE(R$1, ""+"", ""\+"")&amp;""[\w &amp;]*, (\d+\.\d+)"")),"""")"),455.73)</f>
        <v>455.73</v>
      </c>
      <c r="S75" s="2" t="n">
        <f aca="false">IFERROR(__xludf.dummyfunction("if($T75&lt;&gt;"""",VALUE(REGEXEXTRACT($T75, SUBSTITUTE(S$1, ""+"", ""\+"")&amp;""[\w &amp;]*, (\d+\.\d+)"")),"""")"),462.03)</f>
        <v>462.03</v>
      </c>
      <c r="T75" s="5" t="s">
        <v>492</v>
      </c>
    </row>
    <row r="76" customFormat="false" ht="15.75" hidden="false" customHeight="false" outlineLevel="0" collapsed="false">
      <c r="A76" s="4" t="n">
        <f aca="false">IFERROR(__xludf.dummyfunction("""COMPUTED_VALUE"""),45509.6666666667)</f>
        <v>45509.6666666667</v>
      </c>
      <c r="B76" s="2" t="n">
        <f aca="false">IFERROR(__xludf.dummyfunction("""COMPUTED_VALUE"""),424.71)</f>
        <v>424.71</v>
      </c>
      <c r="C76" s="2" t="n">
        <f aca="false">IFERROR(__xludf.dummyfunction("""COMPUTED_VALUE"""),442.29)</f>
        <v>442.29</v>
      </c>
      <c r="D76" s="2" t="n">
        <f aca="false">IFERROR(__xludf.dummyfunction("""COMPUTED_VALUE"""),423.45)</f>
        <v>423.45</v>
      </c>
      <c r="E76" s="2" t="n">
        <f aca="false">IFERROR(__xludf.dummyfunction("""COMPUTED_VALUE"""),435.37)</f>
        <v>435.37</v>
      </c>
      <c r="F76" s="3" t="n">
        <f aca="false">IFERROR(__xludf.dummyfunction("if($T76&lt;&gt;"""",VALUE(REGEXEXTRACT(SUBSTITUTE ($T76,F$1&amp;"" CE"",""""), F$1&amp;""[\w &amp;]*, (\d+\.\d+)"")),"""")
"),470)</f>
        <v>470</v>
      </c>
      <c r="G76" s="3" t="n">
        <f aca="false">IFERROR(__xludf.dummyfunction("if($T76&lt;&gt;"""",VALUE(REGEXEXTRACT($T76, G$1&amp;""[\w &amp;]*, (\d+\.\d+)"")),"""")
"),454)</f>
        <v>454</v>
      </c>
      <c r="H76" s="3" t="n">
        <f aca="false">IFERROR(__xludf.dummyfunction("if($T76&lt;&gt;"""",VALUE(REGEXEXTRACT($T76, H$1&amp;""[\w &amp;]*, (\d+\.\d+)"")),"""")
"),457)</f>
        <v>457</v>
      </c>
      <c r="I76" s="3" t="n">
        <f aca="false">IFERROR(__xludf.dummyfunction("if($T76&lt;&gt;"""",VALUE(REGEXEXTRACT(SUBSTITUTE ($T76,I$1&amp;"" CE"",""""), I$1&amp;""[\w &amp;]*, (\d+\.\d+)"")),"""")
"),460)</f>
        <v>460</v>
      </c>
      <c r="J76" s="3" t="n">
        <f aca="false">IFERROR(__xludf.dummyfunction("if($T76&lt;&gt;"""",VALUE(REGEXEXTRACT($T76, J$1&amp;""[\w &amp;]*, (\d+\.\d+)"")),"""")
"),448)</f>
        <v>448</v>
      </c>
      <c r="K76" s="3" t="n">
        <f aca="false">IFERROR(__xludf.dummyfunction("if($T76&lt;&gt;"""",VALUE(REGEXEXTRACT($T76, K$1&amp;""[\w &amp;]*, (\d+\.\d+)"")),"""")
"),438)</f>
        <v>438</v>
      </c>
      <c r="L76" s="3" t="n">
        <f aca="false">IFERROR(__xludf.dummyfunction("if($T76&lt;&gt;"""",VALUE(REGEXEXTRACT(SUBSTITUTE ($T76,L$1&amp;"" CE"",""""), L$1&amp;""[\w &amp;]*, (\d+\.\d+)"")),"""")
"),465)</f>
        <v>465</v>
      </c>
      <c r="M76" s="3" t="n">
        <f aca="false">IFERROR(__xludf.dummyfunction("if($T76&lt;&gt;"""",VALUE(REGEXEXTRACT($T76, M$1&amp;""[\w &amp;]*, (\d+\.\d+)"")),"""")
"),448)</f>
        <v>448</v>
      </c>
      <c r="N76" s="3" t="n">
        <f aca="false">IFERROR(__xludf.dummyfunction("if($T76&lt;&gt;"""",VALUE(REGEXEXTRACT(SUBSTITUTE ($T76,N$1&amp;"" CE"",""""), N$1&amp;""[\w &amp;]*, (\d+\.\d+)"")),"""")
"),460)</f>
        <v>460</v>
      </c>
      <c r="O76" s="3" t="n">
        <f aca="false">IFERROR(__xludf.dummyfunction("if($T76&lt;&gt;"""",VALUE(REGEXEXTRACT($T76, O$1&amp;""[\w &amp;]*, (\d+\.\d+)"")),"""")
"),448)</f>
        <v>448</v>
      </c>
      <c r="P76" s="2" t="n">
        <f aca="false">IFERROR(__xludf.dummyfunction("if($T76&lt;&gt;"""",VALUE(REGEXEXTRACT($T76, P$1&amp;""[\w &amp;]*, (\d+\.\d+)"")),"""")
"),421.43)</f>
        <v>421.43</v>
      </c>
      <c r="Q76" s="2" t="n">
        <f aca="false">IFERROR(__xludf.dummyfunction("if($T76&lt;&gt;"""",VALUE(REGEXEXTRACT($T76, Q$1&amp;""[\w &amp;]*, (\d+\.\d+)"")),"""")
"),419.19)</f>
        <v>419.19</v>
      </c>
      <c r="R76" s="2" t="n">
        <f aca="false">IFERROR(__xludf.dummyfunction("if($T76&lt;&gt;"""",VALUE(REGEXEXTRACT($T76, SUBSTITUTE(R$1, ""+"", ""\+"")&amp;""[\w &amp;]*, (\d+\.\d+)"")),"""")"),432.21)</f>
        <v>432.21</v>
      </c>
      <c r="S76" s="2" t="n">
        <f aca="false">IFERROR(__xludf.dummyfunction("if($T76&lt;&gt;"""",VALUE(REGEXEXTRACT($T76, SUBSTITUTE(S$1, ""+"", ""\+"")&amp;""[\w &amp;]*, (\d+\.\d+)"")),"""")"),434.44)</f>
        <v>434.44</v>
      </c>
      <c r="T76" s="5" t="s">
        <v>493</v>
      </c>
    </row>
    <row r="77" customFormat="false" ht="15.75" hidden="false" customHeight="false" outlineLevel="0" collapsed="false">
      <c r="A77" s="4" t="n">
        <f aca="false">IFERROR(__xludf.dummyfunction("""COMPUTED_VALUE"""),45510.6666666667)</f>
        <v>45510.6666666667</v>
      </c>
      <c r="B77" s="2" t="n">
        <f aca="false">IFERROR(__xludf.dummyfunction("""COMPUTED_VALUE"""),437.23)</f>
        <v>437.23</v>
      </c>
      <c r="C77" s="2" t="n">
        <f aca="false">IFERROR(__xludf.dummyfunction("""COMPUTED_VALUE"""),447.07)</f>
        <v>447.07</v>
      </c>
      <c r="D77" s="2" t="n">
        <f aca="false">IFERROR(__xludf.dummyfunction("""COMPUTED_VALUE"""),434.56)</f>
        <v>434.56</v>
      </c>
      <c r="E77" s="2" t="n">
        <f aca="false">IFERROR(__xludf.dummyfunction("""COMPUTED_VALUE"""),439.53)</f>
        <v>439.53</v>
      </c>
      <c r="F77" s="3" t="n">
        <f aca="false">IFERROR(__xludf.dummyfunction("if($T77&lt;&gt;"""",VALUE(REGEXEXTRACT(SUBSTITUTE ($T77,F$1&amp;"" CE"",""""), F$1&amp;""[\w &amp;]*, (\d+\.\d+)"")),"""")
"),470)</f>
        <v>470</v>
      </c>
      <c r="G77" s="3" t="n">
        <f aca="false">IFERROR(__xludf.dummyfunction("if($T77&lt;&gt;"""",VALUE(REGEXEXTRACT($T77, G$1&amp;""[\w &amp;]*, (\d+\.\d+)"")),"""")
"),440)</f>
        <v>440</v>
      </c>
      <c r="H77" s="3" t="n">
        <f aca="false">IFERROR(__xludf.dummyfunction("if($T77&lt;&gt;"""",VALUE(REGEXEXTRACT($T77, H$1&amp;""[\w &amp;]*, (\d+\.\d+)"")),"""")
"),488)</f>
        <v>488</v>
      </c>
      <c r="I77" s="3" t="n">
        <f aca="false">IFERROR(__xludf.dummyfunction("if($T77&lt;&gt;"""",VALUE(REGEXEXTRACT(SUBSTITUTE ($T77,I$1&amp;"" CE"",""""), I$1&amp;""[\w &amp;]*, (\d+\.\d+)"")),"""")
"),460)</f>
        <v>460</v>
      </c>
      <c r="J77" s="3" t="n">
        <f aca="false">IFERROR(__xludf.dummyfunction("if($T77&lt;&gt;"""",VALUE(REGEXEXTRACT($T77, J$1&amp;""[\w &amp;]*, (\d+\.\d+)"")),"""")
"),430)</f>
        <v>430</v>
      </c>
      <c r="K77" s="3" t="n">
        <f aca="false">IFERROR(__xludf.dummyfunction("if($T77&lt;&gt;"""",VALUE(REGEXEXTRACT($T77, K$1&amp;""[\w &amp;]*, (\d+\.\d+)"")),"""")
"),425)</f>
        <v>425</v>
      </c>
      <c r="L77" s="3" t="n">
        <f aca="false">IFERROR(__xludf.dummyfunction("if($T77&lt;&gt;"""",VALUE(REGEXEXTRACT(SUBSTITUTE ($T77,L$1&amp;"" CE"",""""), L$1&amp;""[\w &amp;]*, (\d+\.\d+)"")),"""")
"),465)</f>
        <v>465</v>
      </c>
      <c r="M77" s="3" t="n">
        <f aca="false">IFERROR(__xludf.dummyfunction("if($T77&lt;&gt;"""",VALUE(REGEXEXTRACT($T77, M$1&amp;""[\w &amp;]*, (\d+\.\d+)"")),"""")
"),437)</f>
        <v>437</v>
      </c>
      <c r="N77" s="3" t="n">
        <f aca="false">IFERROR(__xludf.dummyfunction("if($T77&lt;&gt;"""",VALUE(REGEXEXTRACT(SUBSTITUTE ($T77,N$1&amp;"" CE"",""""), N$1&amp;""[\w &amp;]*, (\d+\.\d+)"")),"""")
"),450)</f>
        <v>450</v>
      </c>
      <c r="O77" s="3" t="n">
        <f aca="false">IFERROR(__xludf.dummyfunction("if($T77&lt;&gt;"""",VALUE(REGEXEXTRACT($T77, O$1&amp;""[\w &amp;]*, (\d+\.\d+)"")),"""")
"),435)</f>
        <v>435</v>
      </c>
      <c r="P77" s="2" t="n">
        <f aca="false">IFERROR(__xludf.dummyfunction("if($T77&lt;&gt;"""",VALUE(REGEXEXTRACT($T77, P$1&amp;""[\w &amp;]*, (\d+\.\d+)"")),"""")
"),431.1)</f>
        <v>431.1</v>
      </c>
      <c r="Q77" s="2" t="n">
        <f aca="false">IFERROR(__xludf.dummyfunction("if($T77&lt;&gt;"""",VALUE(REGEXEXTRACT($T77, Q$1&amp;""[\w &amp;]*, (\d+\.\d+)"")),"""")
"),427.31)</f>
        <v>427.31</v>
      </c>
      <c r="R77" s="2" t="n">
        <f aca="false">IFERROR(__xludf.dummyfunction("if($T77&lt;&gt;"""",VALUE(REGEXEXTRACT($T77, SUBSTITUTE(R$1, ""+"", ""\+"")&amp;""[\w &amp;]*, (\d+\.\d+)"")),"""")"),449.4)</f>
        <v>449.4</v>
      </c>
      <c r="S77" s="2" t="n">
        <f aca="false">IFERROR(__xludf.dummyfunction("if($T77&lt;&gt;"""",VALUE(REGEXEXTRACT($T77, SUBSTITUTE(S$1, ""+"", ""\+"")&amp;""[\w &amp;]*, (\d+\.\d+)"")),"""")"),453.19)</f>
        <v>453.19</v>
      </c>
      <c r="T77" s="5" t="s">
        <v>494</v>
      </c>
    </row>
    <row r="78" customFormat="false" ht="15.75" hidden="false" customHeight="false" outlineLevel="0" collapsed="false">
      <c r="A78" s="4" t="n">
        <f aca="false">IFERROR(__xludf.dummyfunction("""COMPUTED_VALUE"""),45511.6666666667)</f>
        <v>45511.6666666667</v>
      </c>
      <c r="B78" s="2" t="n">
        <f aca="false">IFERROR(__xludf.dummyfunction("""COMPUTED_VALUE"""),446.49)</f>
        <v>446.49</v>
      </c>
      <c r="C78" s="2" t="n">
        <f aca="false">IFERROR(__xludf.dummyfunction("""COMPUTED_VALUE"""),449)</f>
        <v>449</v>
      </c>
      <c r="D78" s="2" t="n">
        <f aca="false">IFERROR(__xludf.dummyfunction("""COMPUTED_VALUE"""),434.37)</f>
        <v>434.37</v>
      </c>
      <c r="E78" s="2" t="n">
        <f aca="false">IFERROR(__xludf.dummyfunction("""COMPUTED_VALUE"""),434.77)</f>
        <v>434.77</v>
      </c>
      <c r="F78" s="3" t="n">
        <f aca="false">IFERROR(__xludf.dummyfunction("if($T78&lt;&gt;"""",VALUE(REGEXEXTRACT(SUBSTITUTE ($T78,F$1&amp;"" CE"",""""), F$1&amp;""[\w &amp;]*, (\d+\.\d+)"")),"""")
"),445)</f>
        <v>445</v>
      </c>
      <c r="G78" s="3" t="n">
        <f aca="false">IFERROR(__xludf.dummyfunction("if($T78&lt;&gt;"""",VALUE(REGEXEXTRACT($T78, G$1&amp;""[\w &amp;]*, (\d+\.\d+)"")),"""")
"),445)</f>
        <v>445</v>
      </c>
      <c r="H78" s="3" t="n">
        <f aca="false">IFERROR(__xludf.dummyfunction("if($T78&lt;&gt;"""",VALUE(REGEXEXTRACT($T78, H$1&amp;""[\w &amp;]*, (\d+\.\d+)"")),"""")
"),447)</f>
        <v>447</v>
      </c>
      <c r="I78" s="3" t="n">
        <f aca="false">IFERROR(__xludf.dummyfunction("if($T78&lt;&gt;"""",VALUE(REGEXEXTRACT(SUBSTITUTE ($T78,I$1&amp;"" CE"",""""), I$1&amp;""[\w &amp;]*, (\d+\.\d+)"")),"""")
"),460)</f>
        <v>460</v>
      </c>
      <c r="J78" s="3" t="n">
        <f aca="false">IFERROR(__xludf.dummyfunction("if($T78&lt;&gt;"""",VALUE(REGEXEXTRACT($T78, J$1&amp;""[\w &amp;]*, (\d+\.\d+)"")),"""")
"),435)</f>
        <v>435</v>
      </c>
      <c r="K78" s="3" t="n">
        <f aca="false">IFERROR(__xludf.dummyfunction("if($T78&lt;&gt;"""",VALUE(REGEXEXTRACT($T78, K$1&amp;""[\w &amp;]*, (\d+\.\d+)"")),"""")
"),439)</f>
        <v>439</v>
      </c>
      <c r="L78" s="3" t="n">
        <f aca="false">IFERROR(__xludf.dummyfunction("if($T78&lt;&gt;"""",VALUE(REGEXEXTRACT(SUBSTITUTE ($T78,L$1&amp;"" CE"",""""), L$1&amp;""[\w &amp;]*, (\d+\.\d+)"")),"""")
"),470)</f>
        <v>470</v>
      </c>
      <c r="M78" s="3" t="n">
        <f aca="false">IFERROR(__xludf.dummyfunction("if($T78&lt;&gt;"""",VALUE(REGEXEXTRACT($T78, M$1&amp;""[\w &amp;]*, (\d+\.\d+)"")),"""")
"),444)</f>
        <v>444</v>
      </c>
      <c r="N78" s="3" t="n">
        <f aca="false">IFERROR(__xludf.dummyfunction("if($T78&lt;&gt;"""",VALUE(REGEXEXTRACT(SUBSTITUTE ($T78,N$1&amp;"" CE"",""""), N$1&amp;""[\w &amp;]*, (\d+\.\d+)"")),"""")
"),445)</f>
        <v>445</v>
      </c>
      <c r="O78" s="3" t="n">
        <f aca="false">IFERROR(__xludf.dummyfunction("if($T78&lt;&gt;"""",VALUE(REGEXEXTRACT($T78, O$1&amp;""[\w &amp;]*, (\d+\.\d+)"")),"""")
"),445)</f>
        <v>445</v>
      </c>
      <c r="P78" s="2" t="n">
        <f aca="false">IFERROR(__xludf.dummyfunction("if($T78&lt;&gt;"""",VALUE(REGEXEXTRACT($T78, P$1&amp;""[\w &amp;]*, (\d+\.\d+)"")),"""")
"),439.21)</f>
        <v>439.21</v>
      </c>
      <c r="Q78" s="2" t="n">
        <f aca="false">IFERROR(__xludf.dummyfunction("if($T78&lt;&gt;"""",VALUE(REGEXEXTRACT($T78, Q$1&amp;""[\w &amp;]*, (\d+\.\d+)"")),"""")
"),436.53)</f>
        <v>436.53</v>
      </c>
      <c r="R78" s="2" t="n">
        <f aca="false">IFERROR(__xludf.dummyfunction("if($T78&lt;&gt;"""",VALUE(REGEXEXTRACT($T78, SUBSTITUTE(R$1, ""+"", ""\+"")&amp;""[\w &amp;]*, (\d+\.\d+)"")),"""")"),452.13)</f>
        <v>452.13</v>
      </c>
      <c r="S78" s="2" t="n">
        <f aca="false">IFERROR(__xludf.dummyfunction("if($T78&lt;&gt;"""",VALUE(REGEXEXTRACT($T78, SUBSTITUTE(S$1, ""+"", ""\+"")&amp;""[\w &amp;]*, (\d+\.\d+)"")),"""")"),454.81)</f>
        <v>454.81</v>
      </c>
      <c r="T78" s="5" t="s">
        <v>495</v>
      </c>
    </row>
    <row r="79" customFormat="false" ht="15.75" hidden="false" customHeight="false" outlineLevel="0" collapsed="false">
      <c r="A79" s="4" t="n">
        <f aca="false">IFERROR(__xludf.dummyfunction("""COMPUTED_VALUE"""),45512.6666666667)</f>
        <v>45512.6666666667</v>
      </c>
      <c r="B79" s="2" t="n">
        <f aca="false">IFERROR(__xludf.dummyfunction("""COMPUTED_VALUE"""),441.06)</f>
        <v>441.06</v>
      </c>
      <c r="C79" s="2" t="n">
        <f aca="false">IFERROR(__xludf.dummyfunction("""COMPUTED_VALUE"""),448.99)</f>
        <v>448.99</v>
      </c>
      <c r="D79" s="2" t="n">
        <f aca="false">IFERROR(__xludf.dummyfunction("""COMPUTED_VALUE"""),437.15)</f>
        <v>437.15</v>
      </c>
      <c r="E79" s="2" t="n">
        <f aca="false">IFERROR(__xludf.dummyfunction("""COMPUTED_VALUE"""),448.07)</f>
        <v>448.07</v>
      </c>
      <c r="F79" s="3" t="n">
        <f aca="false">IFERROR(__xludf.dummyfunction("if($T79&lt;&gt;"""",VALUE(REGEXEXTRACT(SUBSTITUTE ($T79,F$1&amp;"" CE"",""""), F$1&amp;""[\w &amp;]*, (\d+\.\d+)"")),"""")
"),470)</f>
        <v>470</v>
      </c>
      <c r="G79" s="3" t="n">
        <f aca="false">IFERROR(__xludf.dummyfunction("if($T79&lt;&gt;"""",VALUE(REGEXEXTRACT($T79, G$1&amp;""[\w &amp;]*, (\d+\.\d+)"")),"""")
"),450)</f>
        <v>450</v>
      </c>
      <c r="H79" s="3" t="n">
        <f aca="false">IFERROR(__xludf.dummyfunction("if($T79&lt;&gt;"""",VALUE(REGEXEXTRACT($T79, H$1&amp;""[\w &amp;]*, (\d+\.\d+)"")),"""")
"),488)</f>
        <v>488</v>
      </c>
      <c r="I79" s="3" t="n">
        <f aca="false">IFERROR(__xludf.dummyfunction("if($T79&lt;&gt;"""",VALUE(REGEXEXTRACT(SUBSTITUTE ($T79,I$1&amp;"" CE"",""""), I$1&amp;""[\w &amp;]*, (\d+\.\d+)"")),"""")
"),440)</f>
        <v>440</v>
      </c>
      <c r="J79" s="3" t="n">
        <f aca="false">IFERROR(__xludf.dummyfunction("if($T79&lt;&gt;"""",VALUE(REGEXEXTRACT($T79, J$1&amp;""[\w &amp;]*, (\d+\.\d+)"")),"""")
"),440)</f>
        <v>440</v>
      </c>
      <c r="K79" s="3" t="n">
        <f aca="false">IFERROR(__xludf.dummyfunction("if($T79&lt;&gt;"""",VALUE(REGEXEXTRACT($T79, K$1&amp;""[\w &amp;]*, (\d+\.\d+)"")),"""")
"),429)</f>
        <v>429</v>
      </c>
      <c r="L79" s="3" t="n">
        <f aca="false">IFERROR(__xludf.dummyfunction("if($T79&lt;&gt;"""",VALUE(REGEXEXTRACT(SUBSTITUTE ($T79,L$1&amp;"" CE"",""""), L$1&amp;""[\w &amp;]*, (\d+\.\d+)"")),"""")
"),460)</f>
        <v>460</v>
      </c>
      <c r="M79" s="3" t="n">
        <f aca="false">IFERROR(__xludf.dummyfunction("if($T79&lt;&gt;"""",VALUE(REGEXEXTRACT($T79, M$1&amp;""[\w &amp;]*, (\d+\.\d+)"")),"""")
"),441)</f>
        <v>441</v>
      </c>
      <c r="N79" s="3" t="n">
        <f aca="false">IFERROR(__xludf.dummyfunction("if($T79&lt;&gt;"""",VALUE(REGEXEXTRACT(SUBSTITUTE ($T79,N$1&amp;"" CE"",""""), N$1&amp;""[\w &amp;]*, (\d+\.\d+)"")),"""")
"),440)</f>
        <v>440</v>
      </c>
      <c r="O79" s="3" t="n">
        <f aca="false">IFERROR(__xludf.dummyfunction("if($T79&lt;&gt;"""",VALUE(REGEXEXTRACT($T79, O$1&amp;""[\w &amp;]*, (\d+\.\d+)"")),"""")
"),440)</f>
        <v>440</v>
      </c>
      <c r="P79" s="2" t="n">
        <f aca="false">IFERROR(__xludf.dummyfunction("if($T79&lt;&gt;"""",VALUE(REGEXEXTRACT($T79, P$1&amp;""[\w &amp;]*, (\d+\.\d+)"")),"""")
"),434.12)</f>
        <v>434.12</v>
      </c>
      <c r="Q79" s="2" t="n">
        <f aca="false">IFERROR(__xludf.dummyfunction("if($T79&lt;&gt;"""",VALUE(REGEXEXTRACT($T79, Q$1&amp;""[\w &amp;]*, (\d+\.\d+)"")),"""")
"),431.75)</f>
        <v>431.75</v>
      </c>
      <c r="R79" s="2" t="n">
        <f aca="false">IFERROR(__xludf.dummyfunction("if($T79&lt;&gt;"""",VALUE(REGEXEXTRACT($T79, SUBSTITUTE(R$1, ""+"", ""\+"")&amp;""[\w &amp;]*, (\d+\.\d+)"")),"""")"),445.54)</f>
        <v>445.54</v>
      </c>
      <c r="S79" s="2" t="n">
        <f aca="false">IFERROR(__xludf.dummyfunction("if($T79&lt;&gt;"""",VALUE(REGEXEXTRACT($T79, SUBSTITUTE(S$1, ""+"", ""\+"")&amp;""[\w &amp;]*, (\d+\.\d+)"")),"""")"),447.91)</f>
        <v>447.91</v>
      </c>
      <c r="T79" s="5" t="s">
        <v>496</v>
      </c>
    </row>
    <row r="80" customFormat="false" ht="15.75" hidden="false" customHeight="false" outlineLevel="0" collapsed="false">
      <c r="A80" s="4" t="n">
        <f aca="false">IFERROR(__xludf.dummyfunction("""COMPUTED_VALUE"""),45513.6666666667)</f>
        <v>45513.6666666667</v>
      </c>
      <c r="B80" s="2" t="n">
        <f aca="false">IFERROR(__xludf.dummyfunction("""COMPUTED_VALUE"""),446.74)</f>
        <v>446.74</v>
      </c>
      <c r="C80" s="2" t="n">
        <f aca="false">IFERROR(__xludf.dummyfunction("""COMPUTED_VALUE"""),452.06)</f>
        <v>452.06</v>
      </c>
      <c r="D80" s="2" t="n">
        <f aca="false">IFERROR(__xludf.dummyfunction("""COMPUTED_VALUE"""),445.61)</f>
        <v>445.61</v>
      </c>
      <c r="E80" s="2" t="n">
        <f aca="false">IFERROR(__xludf.dummyfunction("""COMPUTED_VALUE"""),450.41)</f>
        <v>450.41</v>
      </c>
      <c r="F80" s="3" t="n">
        <f aca="false">IFERROR(__xludf.dummyfunction("if($T80&lt;&gt;"""",VALUE(REGEXEXTRACT(SUBSTITUTE ($T80,F$1&amp;"" CE"",""""), F$1&amp;""[\w &amp;]*, (\d+\.\d+)"")),"""")
"),460)</f>
        <v>460</v>
      </c>
      <c r="G80" s="3" t="n">
        <f aca="false">IFERROR(__xludf.dummyfunction("if($T80&lt;&gt;"""",VALUE(REGEXEXTRACT($T80, G$1&amp;""[\w &amp;]*, (\d+\.\d+)"")),"""")
"),459)</f>
        <v>459</v>
      </c>
      <c r="H80" s="3" t="n">
        <f aca="false">IFERROR(__xludf.dummyfunction("if($T80&lt;&gt;"""",VALUE(REGEXEXTRACT($T80, H$1&amp;""[\w &amp;]*, (\d+\.\d+)"")),"""")
"),488)</f>
        <v>488</v>
      </c>
      <c r="I80" s="3" t="n">
        <f aca="false">IFERROR(__xludf.dummyfunction("if($T80&lt;&gt;"""",VALUE(REGEXEXTRACT(SUBSTITUTE ($T80,I$1&amp;"" CE"",""""), I$1&amp;""[\w &amp;]*, (\d+\.\d+)"")),"""")
"),460)</f>
        <v>460</v>
      </c>
      <c r="J80" s="3" t="n">
        <f aca="false">IFERROR(__xludf.dummyfunction("if($T80&lt;&gt;"""",VALUE(REGEXEXTRACT($T80, J$1&amp;""[\w &amp;]*, (\d+\.\d+)"")),"""")
"),450)</f>
        <v>450</v>
      </c>
      <c r="K80" s="3" t="n">
        <f aca="false">IFERROR(__xludf.dummyfunction("if($T80&lt;&gt;"""",VALUE(REGEXEXTRACT($T80, K$1&amp;""[\w &amp;]*, (\d+\.\d+)"")),"""")
"),438)</f>
        <v>438</v>
      </c>
      <c r="L80" s="3" t="n">
        <f aca="false">IFERROR(__xludf.dummyfunction("if($T80&lt;&gt;"""",VALUE(REGEXEXTRACT(SUBSTITUTE ($T80,L$1&amp;"" CE"",""""), L$1&amp;""[\w &amp;]*, (\d+\.\d+)"")),"""")
"),450)</f>
        <v>450</v>
      </c>
      <c r="M80" s="3" t="n">
        <f aca="false">IFERROR(__xludf.dummyfunction("if($T80&lt;&gt;"""",VALUE(REGEXEXTRACT($T80, M$1&amp;""[\w &amp;]*, (\d+\.\d+)"")),"""")
"),450)</f>
        <v>450</v>
      </c>
      <c r="N80" s="3" t="n">
        <f aca="false">IFERROR(__xludf.dummyfunction("if($T80&lt;&gt;"""",VALUE(REGEXEXTRACT(SUBSTITUTE ($T80,N$1&amp;"" CE"",""""), N$1&amp;""[\w &amp;]*, (\d+\.\d+)"")),"""")
"),450)</f>
        <v>450</v>
      </c>
      <c r="O80" s="3" t="n">
        <f aca="false">IFERROR(__xludf.dummyfunction("if($T80&lt;&gt;"""",VALUE(REGEXEXTRACT($T80, O$1&amp;""[\w &amp;]*, (\d+\.\d+)"")),"""")
"),450)</f>
        <v>450</v>
      </c>
      <c r="P80" s="2" t="n">
        <f aca="false">IFERROR(__xludf.dummyfunction("if($T80&lt;&gt;"""",VALUE(REGEXEXTRACT($T80, P$1&amp;""[\w &amp;]*, (\d+\.\d+)"")),"""")
"),441.65)</f>
        <v>441.65</v>
      </c>
      <c r="Q80" s="2" t="n">
        <f aca="false">IFERROR(__xludf.dummyfunction("if($T80&lt;&gt;"""",VALUE(REGEXEXTRACT($T80, Q$1&amp;""[\w &amp;]*, (\d+\.\d+)"")),"""")
"),435.01)</f>
        <v>435.01</v>
      </c>
      <c r="R80" s="2" t="n">
        <f aca="false">IFERROR(__xludf.dummyfunction("if($T80&lt;&gt;"""",VALUE(REGEXEXTRACT($T80, SUBSTITUTE(R$1, ""+"", ""\+"")&amp;""[\w &amp;]*, (\d+\.\d+)"")),"""")"),454.81)</f>
        <v>454.81</v>
      </c>
      <c r="S80" s="2" t="n">
        <f aca="false">IFERROR(__xludf.dummyfunction("if($T80&lt;&gt;"""",VALUE(REGEXEXTRACT($T80, SUBSTITUTE(S$1, ""+"", ""\+"")&amp;""[\w &amp;]*, (\d+\.\d+)"")),"""")"),461.45)</f>
        <v>461.45</v>
      </c>
      <c r="T80" s="5" t="s">
        <v>497</v>
      </c>
    </row>
    <row r="81" customFormat="false" ht="15.75" hidden="false" customHeight="false" outlineLevel="0" collapsed="false">
      <c r="A81" s="4" t="n">
        <f aca="false">IFERROR(__xludf.dummyfunction("""COMPUTED_VALUE"""),45516.6666666667)</f>
        <v>45516.6666666667</v>
      </c>
      <c r="B81" s="2" t="n">
        <f aca="false">IFERROR(__xludf.dummyfunction("""COMPUTED_VALUE"""),451.39)</f>
        <v>451.39</v>
      </c>
      <c r="C81" s="2" t="n">
        <f aca="false">IFERROR(__xludf.dummyfunction("""COMPUTED_VALUE"""),454.37)</f>
        <v>454.37</v>
      </c>
      <c r="D81" s="2" t="n">
        <f aca="false">IFERROR(__xludf.dummyfunction("""COMPUTED_VALUE"""),448.55)</f>
        <v>448.55</v>
      </c>
      <c r="E81" s="2" t="n">
        <f aca="false">IFERROR(__xludf.dummyfunction("""COMPUTED_VALUE"""),451.38)</f>
        <v>451.38</v>
      </c>
      <c r="F81" s="3" t="n">
        <f aca="false">IFERROR(__xludf.dummyfunction("if($T81&lt;&gt;"""",VALUE(REGEXEXTRACT(SUBSTITUTE ($T81,F$1&amp;"" CE"",""""), F$1&amp;""[\w &amp;]*, (\d+\.\d+)"")),"""")
"),460)</f>
        <v>460</v>
      </c>
      <c r="G81" s="3" t="n">
        <f aca="false">IFERROR(__xludf.dummyfunction("if($T81&lt;&gt;"""",VALUE(REGEXEXTRACT($T81, G$1&amp;""[\w &amp;]*, (\d+\.\d+)"")),"""")
"),459)</f>
        <v>459</v>
      </c>
      <c r="H81" s="3" t="n">
        <f aca="false">IFERROR(__xludf.dummyfunction("if($T81&lt;&gt;"""",VALUE(REGEXEXTRACT($T81, H$1&amp;""[\w &amp;]*, (\d+\.\d+)"")),"""")
"),488)</f>
        <v>488</v>
      </c>
      <c r="I81" s="3" t="n">
        <f aca="false">IFERROR(__xludf.dummyfunction("if($T81&lt;&gt;"""",VALUE(REGEXEXTRACT(SUBSTITUTE ($T81,I$1&amp;"" CE"",""""), I$1&amp;""[\w &amp;]*, (\d+\.\d+)"")),"""")
"),460)</f>
        <v>460</v>
      </c>
      <c r="J81" s="3" t="n">
        <f aca="false">IFERROR(__xludf.dummyfunction("if($T81&lt;&gt;"""",VALUE(REGEXEXTRACT($T81, J$1&amp;""[\w &amp;]*, (\d+\.\d+)"")),"""")
"),450)</f>
        <v>450</v>
      </c>
      <c r="K81" s="3" t="n">
        <f aca="false">IFERROR(__xludf.dummyfunction("if($T81&lt;&gt;"""",VALUE(REGEXEXTRACT($T81, K$1&amp;""[\w &amp;]*, (\d+\.\d+)"")),"""")
"),438)</f>
        <v>438</v>
      </c>
      <c r="L81" s="3" t="n">
        <f aca="false">IFERROR(__xludf.dummyfunction("if($T81&lt;&gt;"""",VALUE(REGEXEXTRACT(SUBSTITUTE ($T81,L$1&amp;"" CE"",""""), L$1&amp;""[\w &amp;]*, (\d+\.\d+)"")),"""")
"),450)</f>
        <v>450</v>
      </c>
      <c r="M81" s="3" t="n">
        <f aca="false">IFERROR(__xludf.dummyfunction("if($T81&lt;&gt;"""",VALUE(REGEXEXTRACT($T81, M$1&amp;""[\w &amp;]*, (\d+\.\d+)"")),"""")
"),450)</f>
        <v>450</v>
      </c>
      <c r="N81" s="3" t="n">
        <f aca="false">IFERROR(__xludf.dummyfunction("if($T81&lt;&gt;"""",VALUE(REGEXEXTRACT(SUBSTITUTE ($T81,N$1&amp;"" CE"",""""), N$1&amp;""[\w &amp;]*, (\d+\.\d+)"")),"""")
"),450)</f>
        <v>450</v>
      </c>
      <c r="O81" s="3" t="n">
        <f aca="false">IFERROR(__xludf.dummyfunction("if($T81&lt;&gt;"""",VALUE(REGEXEXTRACT($T81, O$1&amp;""[\w &amp;]*, (\d+\.\d+)"")),"""")
"),450)</f>
        <v>450</v>
      </c>
      <c r="P81" s="2" t="n">
        <f aca="false">IFERROR(__xludf.dummyfunction("if($T81&lt;&gt;"""",VALUE(REGEXEXTRACT($T81, P$1&amp;""[\w &amp;]*, (\d+\.\d+)"")),"""")
"),441.65)</f>
        <v>441.65</v>
      </c>
      <c r="Q81" s="2" t="n">
        <f aca="false">IFERROR(__xludf.dummyfunction("if($T81&lt;&gt;"""",VALUE(REGEXEXTRACT($T81, Q$1&amp;""[\w &amp;]*, (\d+\.\d+)"")),"""")
"),435.01)</f>
        <v>435.01</v>
      </c>
      <c r="R81" s="2" t="n">
        <f aca="false">IFERROR(__xludf.dummyfunction("if($T81&lt;&gt;"""",VALUE(REGEXEXTRACT($T81, SUBSTITUTE(R$1, ""+"", ""\+"")&amp;""[\w &amp;]*, (\d+\.\d+)"")),"""")"),454.81)</f>
        <v>454.81</v>
      </c>
      <c r="S81" s="2" t="n">
        <f aca="false">IFERROR(__xludf.dummyfunction("if($T81&lt;&gt;"""",VALUE(REGEXEXTRACT($T81, SUBSTITUTE(S$1, ""+"", ""\+"")&amp;""[\w &amp;]*, (\d+\.\d+)"")),"""")"),461.45)</f>
        <v>461.45</v>
      </c>
      <c r="T81" s="5" t="s">
        <v>498</v>
      </c>
    </row>
    <row r="82" customFormat="false" ht="15.75" hidden="false" customHeight="false" outlineLevel="0" collapsed="false">
      <c r="A82" s="4" t="n">
        <f aca="false">IFERROR(__xludf.dummyfunction("""COMPUTED_VALUE"""),45517.6666666667)</f>
        <v>45517.6666666667</v>
      </c>
      <c r="B82" s="2" t="n">
        <f aca="false">IFERROR(__xludf.dummyfunction("""COMPUTED_VALUE"""),455.82)</f>
        <v>455.82</v>
      </c>
      <c r="C82" s="2" t="n">
        <f aca="false">IFERROR(__xludf.dummyfunction("""COMPUTED_VALUE"""),462.85)</f>
        <v>462.85</v>
      </c>
      <c r="D82" s="2" t="n">
        <f aca="false">IFERROR(__xludf.dummyfunction("""COMPUTED_VALUE"""),455.68)</f>
        <v>455.68</v>
      </c>
      <c r="E82" s="2" t="n">
        <f aca="false">IFERROR(__xludf.dummyfunction("""COMPUTED_VALUE"""),462.58)</f>
        <v>462.58</v>
      </c>
      <c r="F82" s="3" t="n">
        <f aca="false">IFERROR(__xludf.dummyfunction("if($T82&lt;&gt;"""",VALUE(REGEXEXTRACT(SUBSTITUTE ($T82,F$1&amp;"" CE"",""""), F$1&amp;""[\w &amp;]*, (\d+\.\d+)"")),"""")
"),460)</f>
        <v>460</v>
      </c>
      <c r="G82" s="3" t="n">
        <f aca="false">IFERROR(__xludf.dummyfunction("if($T82&lt;&gt;"""",VALUE(REGEXEXTRACT($T82, G$1&amp;""[\w &amp;]*, (\d+\.\d+)"")),"""")
"),456)</f>
        <v>456</v>
      </c>
      <c r="H82" s="3" t="n">
        <f aca="false">IFERROR(__xludf.dummyfunction("if($T82&lt;&gt;"""",VALUE(REGEXEXTRACT($T82, H$1&amp;""[\w &amp;]*, (\d+\.\d+)"")),"""")
"),490)</f>
        <v>490</v>
      </c>
      <c r="I82" s="3" t="n">
        <f aca="false">IFERROR(__xludf.dummyfunction("if($T82&lt;&gt;"""",VALUE(REGEXEXTRACT(SUBSTITUTE ($T82,I$1&amp;"" CE"",""""), I$1&amp;""[\w &amp;]*, (\d+\.\d+)"")),"""")
"),455)</f>
        <v>455</v>
      </c>
      <c r="J82" s="3" t="n">
        <f aca="false">IFERROR(__xludf.dummyfunction("if($T82&lt;&gt;"""",VALUE(REGEXEXTRACT($T82, J$1&amp;""[\w &amp;]*, (\d+\.\d+)"")),"""")
"),455)</f>
        <v>455</v>
      </c>
      <c r="K82" s="3" t="n">
        <f aca="false">IFERROR(__xludf.dummyfunction("if($T82&lt;&gt;"""",VALUE(REGEXEXTRACT($T82, K$1&amp;""[\w &amp;]*, (\d+\.\d+)"")),"""")
"),452.5)</f>
        <v>452.5</v>
      </c>
      <c r="L82" s="3" t="n">
        <f aca="false">IFERROR(__xludf.dummyfunction("if($T82&lt;&gt;"""",VALUE(REGEXEXTRACT(SUBSTITUTE ($T82,L$1&amp;"" CE"",""""), L$1&amp;""[\w &amp;]*, (\d+\.\d+)"")),"""")
"),455)</f>
        <v>455</v>
      </c>
      <c r="M82" s="3" t="n">
        <f aca="false">IFERROR(__xludf.dummyfunction("if($T82&lt;&gt;"""",VALUE(REGEXEXTRACT($T82, M$1&amp;""[\w &amp;]*, (\d+\.\d+)"")),"""")
"),455)</f>
        <v>455</v>
      </c>
      <c r="N82" s="3" t="n">
        <f aca="false">IFERROR(__xludf.dummyfunction("if($T82&lt;&gt;"""",VALUE(REGEXEXTRACT(SUBSTITUTE ($T82,N$1&amp;"" CE"",""""), N$1&amp;""[\w &amp;]*, (\d+\.\d+)"")),"""")
"),460)</f>
        <v>460</v>
      </c>
      <c r="O82" s="3" t="n">
        <f aca="false">IFERROR(__xludf.dummyfunction("if($T82&lt;&gt;"""",VALUE(REGEXEXTRACT($T82, O$1&amp;""[\w &amp;]*, (\d+\.\d+)"")),"""")
"),455)</f>
        <v>455</v>
      </c>
      <c r="P82" s="2" t="n">
        <f aca="false">IFERROR(__xludf.dummyfunction("if($T82&lt;&gt;"""",VALUE(REGEXEXTRACT($T82, P$1&amp;""[\w &amp;]*, (\d+\.\d+)"")),"""")
"),447.55)</f>
        <v>447.55</v>
      </c>
      <c r="Q82" s="2" t="n">
        <f aca="false">IFERROR(__xludf.dummyfunction("if($T82&lt;&gt;"""",VALUE(REGEXEXTRACT($T82, Q$1&amp;""[\w &amp;]*, (\d+\.\d+)"")),"""")
"),445.17)</f>
        <v>445.17</v>
      </c>
      <c r="R82" s="2" t="n">
        <f aca="false">IFERROR(__xludf.dummyfunction("if($T82&lt;&gt;"""",VALUE(REGEXEXTRACT($T82, SUBSTITUTE(R$1, ""+"", ""\+"")&amp;""[\w &amp;]*, (\d+\.\d+)"")),"""")"),459.05)</f>
        <v>459.05</v>
      </c>
      <c r="S82" s="2" t="n">
        <f aca="false">IFERROR(__xludf.dummyfunction("if($T82&lt;&gt;"""",VALUE(REGEXEXTRACT($T82, SUBSTITUTE(S$1, ""+"", ""\+"")&amp;""[\w &amp;]*, (\d+\.\d+)"")),"""")"),461.43)</f>
        <v>461.43</v>
      </c>
      <c r="T82" s="5" t="s">
        <v>499</v>
      </c>
    </row>
    <row r="83" customFormat="false" ht="15.75" hidden="false" customHeight="false" outlineLevel="0" collapsed="false">
      <c r="A83" s="4" t="n">
        <f aca="false">IFERROR(__xludf.dummyfunction("""COMPUTED_VALUE"""),45518.6666666667)</f>
        <v>45518.6666666667</v>
      </c>
      <c r="B83" s="2" t="n">
        <f aca="false">IFERROR(__xludf.dummyfunction("""COMPUTED_VALUE"""),463.51)</f>
        <v>463.51</v>
      </c>
      <c r="C83" s="2" t="n">
        <f aca="false">IFERROR(__xludf.dummyfunction("""COMPUTED_VALUE"""),465.11)</f>
        <v>465.11</v>
      </c>
      <c r="D83" s="2" t="n">
        <f aca="false">IFERROR(__xludf.dummyfunction("""COMPUTED_VALUE"""),458.4)</f>
        <v>458.4</v>
      </c>
      <c r="E83" s="2" t="n">
        <f aca="false">IFERROR(__xludf.dummyfunction("""COMPUTED_VALUE"""),462.73)</f>
        <v>462.73</v>
      </c>
      <c r="F83" s="3" t="n">
        <f aca="false">IFERROR(__xludf.dummyfunction("if($T83&lt;&gt;"""",VALUE(REGEXEXTRACT(SUBSTITUTE ($T83,F$1&amp;"" CE"",""""), F$1&amp;""[\w &amp;]*, (\d+\.\d+)"")),"""")
"),470)</f>
        <v>470</v>
      </c>
      <c r="G83" s="3" t="n">
        <f aca="false">IFERROR(__xludf.dummyfunction("if($T83&lt;&gt;"""",VALUE(REGEXEXTRACT($T83, G$1&amp;""[\w &amp;]*, (\d+\.\d+)"")),"""")
"),465)</f>
        <v>465</v>
      </c>
      <c r="H83" s="3" t="n">
        <f aca="false">IFERROR(__xludf.dummyfunction("if($T83&lt;&gt;"""",VALUE(REGEXEXTRACT($T83, H$1&amp;""[\w &amp;]*, (\d+\.\d+)"")),"""")
"),483)</f>
        <v>483</v>
      </c>
      <c r="I83" s="3" t="n">
        <f aca="false">IFERROR(__xludf.dummyfunction("if($T83&lt;&gt;"""",VALUE(REGEXEXTRACT(SUBSTITUTE ($T83,I$1&amp;"" CE"",""""), I$1&amp;""[\w &amp;]*, (\d+\.\d+)"")),"""")
"),459)</f>
        <v>459</v>
      </c>
      <c r="J83" s="3" t="n">
        <f aca="false">IFERROR(__xludf.dummyfunction("if($T83&lt;&gt;"""",VALUE(REGEXEXTRACT($T83, J$1&amp;""[\w &amp;]*, (\d+\.\d+)"")),"""")
"),459)</f>
        <v>459</v>
      </c>
      <c r="K83" s="3" t="n">
        <f aca="false">IFERROR(__xludf.dummyfunction("if($T83&lt;&gt;"""",VALUE(REGEXEXTRACT($T83, K$1&amp;""[\w &amp;]*, (\d+\.\d+)"")),"""")
"),457)</f>
        <v>457</v>
      </c>
      <c r="L83" s="3" t="n">
        <f aca="false">IFERROR(__xludf.dummyfunction("if($T83&lt;&gt;"""",VALUE(REGEXEXTRACT(SUBSTITUTE ($T83,L$1&amp;"" CE"",""""), L$1&amp;""[\w &amp;]*, (\d+\.\d+)"")),"""")
"),461)</f>
        <v>461</v>
      </c>
      <c r="M83" s="3" t="n">
        <f aca="false">IFERROR(__xludf.dummyfunction("if($T83&lt;&gt;"""",VALUE(REGEXEXTRACT($T83, M$1&amp;""[\w &amp;]*, (\d+\.\d+)"")),"""")
"),461)</f>
        <v>461</v>
      </c>
      <c r="N83" s="3" t="n">
        <f aca="false">IFERROR(__xludf.dummyfunction("if($T83&lt;&gt;"""",VALUE(REGEXEXTRACT(SUBSTITUTE ($T83,N$1&amp;"" CE"",""""), N$1&amp;""[\w &amp;]*, (\d+\.\d+)"")),"""")
"),470)</f>
        <v>470</v>
      </c>
      <c r="O83" s="3" t="n">
        <f aca="false">IFERROR(__xludf.dummyfunction("if($T83&lt;&gt;"""",VALUE(REGEXEXTRACT($T83, O$1&amp;""[\w &amp;]*, (\d+\.\d+)"")),"""")
"),459)</f>
        <v>459</v>
      </c>
      <c r="P83" s="2" t="n">
        <f aca="false">IFERROR(__xludf.dummyfunction("if($T83&lt;&gt;"""",VALUE(REGEXEXTRACT($T83, P$1&amp;""[\w &amp;]*, (\d+\.\d+)"")),"""")
"),458.07)</f>
        <v>458.07</v>
      </c>
      <c r="Q83" s="2" t="n">
        <f aca="false">IFERROR(__xludf.dummyfunction("if($T83&lt;&gt;"""",VALUE(REGEXEXTRACT($T83, Q$1&amp;""[\w &amp;]*, (\d+\.\d+)"")),"""")
"),455.85)</f>
        <v>455.85</v>
      </c>
      <c r="R83" s="2" t="n">
        <f aca="false">IFERROR(__xludf.dummyfunction("if($T83&lt;&gt;"""",VALUE(REGEXEXTRACT($T83, SUBSTITUTE(R$1, ""+"", ""\+"")&amp;""[\w &amp;]*, (\d+\.\d+)"")),"""")"),468.79)</f>
        <v>468.79</v>
      </c>
      <c r="S83" s="2" t="n">
        <f aca="false">IFERROR(__xludf.dummyfunction("if($T83&lt;&gt;"""",VALUE(REGEXEXTRACT($T83, SUBSTITUTE(S$1, ""+"", ""\+"")&amp;""[\w &amp;]*, (\d+\.\d+)"")),"""")"),471.01)</f>
        <v>471.01</v>
      </c>
      <c r="T83" s="5" t="s">
        <v>500</v>
      </c>
    </row>
    <row r="84" customFormat="false" ht="15.75" hidden="false" customHeight="false" outlineLevel="0" collapsed="false">
      <c r="A84" s="4" t="n">
        <f aca="false">IFERROR(__xludf.dummyfunction("""COMPUTED_VALUE"""),45519.6666666667)</f>
        <v>45519.6666666667</v>
      </c>
      <c r="B84" s="2" t="n">
        <f aca="false">IFERROR(__xludf.dummyfunction("""COMPUTED_VALUE"""),468.76)</f>
        <v>468.76</v>
      </c>
      <c r="C84" s="2" t="n">
        <f aca="false">IFERROR(__xludf.dummyfunction("""COMPUTED_VALUE"""),474.82)</f>
        <v>474.82</v>
      </c>
      <c r="D84" s="2" t="n">
        <f aca="false">IFERROR(__xludf.dummyfunction("""COMPUTED_VALUE"""),468.38)</f>
        <v>468.38</v>
      </c>
      <c r="E84" s="2" t="n">
        <f aca="false">IFERROR(__xludf.dummyfunction("""COMPUTED_VALUE"""),474.42)</f>
        <v>474.42</v>
      </c>
      <c r="F84" s="3" t="n">
        <f aca="false">IFERROR(__xludf.dummyfunction("if($T84&lt;&gt;"""",VALUE(REGEXEXTRACT(SUBSTITUTE ($T84,F$1&amp;"" CE"",""""), F$1&amp;""[\w &amp;]*, (\d+\.\d+)"")),"""")
"),470)</f>
        <v>470</v>
      </c>
      <c r="G84" s="3" t="n">
        <f aca="false">IFERROR(__xludf.dummyfunction("if($T84&lt;&gt;"""",VALUE(REGEXEXTRACT($T84, G$1&amp;""[\w &amp;]*, (\d+\.\d+)"")),"""")
"),472)</f>
        <v>472</v>
      </c>
      <c r="H84" s="3" t="n">
        <f aca="false">IFERROR(__xludf.dummyfunction("if($T84&lt;&gt;"""",VALUE(REGEXEXTRACT($T84, H$1&amp;""[\w &amp;]*, (\d+\.\d+)"")),"""")
"),483)</f>
        <v>483</v>
      </c>
      <c r="I84" s="3" t="n">
        <f aca="false">IFERROR(__xludf.dummyfunction("if($T84&lt;&gt;"""",VALUE(REGEXEXTRACT(SUBSTITUTE ($T84,I$1&amp;"" CE"",""""), I$1&amp;""[\w &amp;]*, (\d+\.\d+)"")),"""")
"),470)</f>
        <v>470</v>
      </c>
      <c r="J84" s="3" t="n">
        <f aca="false">IFERROR(__xludf.dummyfunction("if($T84&lt;&gt;"""",VALUE(REGEXEXTRACT($T84, J$1&amp;""[\w &amp;]*, (\d+\.\d+)"")),"""")
"),459)</f>
        <v>459</v>
      </c>
      <c r="K84" s="3" t="n">
        <f aca="false">IFERROR(__xludf.dummyfunction("if($T84&lt;&gt;"""",VALUE(REGEXEXTRACT($T84, K$1&amp;""[\w &amp;]*, (\d+\.\d+)"")),"""")
"),457)</f>
        <v>457</v>
      </c>
      <c r="L84" s="3" t="n">
        <f aca="false">IFERROR(__xludf.dummyfunction("if($T84&lt;&gt;"""",VALUE(REGEXEXTRACT(SUBSTITUTE ($T84,L$1&amp;"" CE"",""""), L$1&amp;""[\w &amp;]*, (\d+\.\d+)"")),"""")
"),461)</f>
        <v>461</v>
      </c>
      <c r="M84" s="3" t="n">
        <f aca="false">IFERROR(__xludf.dummyfunction("if($T84&lt;&gt;"""",VALUE(REGEXEXTRACT($T84, M$1&amp;""[\w &amp;]*, (\d+\.\d+)"")),"""")
"),461)</f>
        <v>461</v>
      </c>
      <c r="N84" s="3" t="n">
        <f aca="false">IFERROR(__xludf.dummyfunction("if($T84&lt;&gt;"""",VALUE(REGEXEXTRACT(SUBSTITUTE ($T84,N$1&amp;"" CE"",""""), N$1&amp;""[\w &amp;]*, (\d+\.\d+)"")),"""")
"),470)</f>
        <v>470</v>
      </c>
      <c r="O84" s="3" t="n">
        <f aca="false">IFERROR(__xludf.dummyfunction("if($T84&lt;&gt;"""",VALUE(REGEXEXTRACT($T84, O$1&amp;""[\w &amp;]*, (\d+\.\d+)"")),"""")
"),459)</f>
        <v>459</v>
      </c>
      <c r="P84" s="2" t="n">
        <f aca="false">IFERROR(__xludf.dummyfunction("if($T84&lt;&gt;"""",VALUE(REGEXEXTRACT($T84, P$1&amp;""[\w &amp;]*, (\d+\.\d+)"")),"""")
"),459.87)</f>
        <v>459.87</v>
      </c>
      <c r="Q84" s="2" t="n">
        <f aca="false">IFERROR(__xludf.dummyfunction("if($T84&lt;&gt;"""",VALUE(REGEXEXTRACT($T84, Q$1&amp;""[\w &amp;]*, (\d+\.\d+)"")),"""")
"),457.97)</f>
        <v>457.97</v>
      </c>
      <c r="R84" s="2" t="n">
        <f aca="false">IFERROR(__xludf.dummyfunction("if($T84&lt;&gt;"""",VALUE(REGEXEXTRACT($T84, SUBSTITUTE(R$1, ""+"", ""\+"")&amp;""[\w &amp;]*, (\d+\.\d+)"")),"""")"),469.08)</f>
        <v>469.08</v>
      </c>
      <c r="S84" s="2" t="n">
        <f aca="false">IFERROR(__xludf.dummyfunction("if($T84&lt;&gt;"""",VALUE(REGEXEXTRACT($T84, SUBSTITUTE(S$1, ""+"", ""\+"")&amp;""[\w &amp;]*, (\d+\.\d+)"")),"""")"),470.99)</f>
        <v>470.99</v>
      </c>
      <c r="T84" s="5" t="s">
        <v>501</v>
      </c>
    </row>
    <row r="85" customFormat="false" ht="15.75" hidden="false" customHeight="false" outlineLevel="0" collapsed="false">
      <c r="A85" s="4" t="n">
        <f aca="false">IFERROR(__xludf.dummyfunction("""COMPUTED_VALUE"""),45520.6666666667)</f>
        <v>45520.6666666667</v>
      </c>
      <c r="B85" s="2" t="n">
        <f aca="false">IFERROR(__xludf.dummyfunction("""COMPUTED_VALUE"""),472.62)</f>
        <v>472.62</v>
      </c>
      <c r="C85" s="2" t="n">
        <f aca="false">IFERROR(__xludf.dummyfunction("""COMPUTED_VALUE"""),476.41)</f>
        <v>476.41</v>
      </c>
      <c r="D85" s="2" t="n">
        <f aca="false">IFERROR(__xludf.dummyfunction("""COMPUTED_VALUE"""),471.65)</f>
        <v>471.65</v>
      </c>
      <c r="E85" s="2" t="n">
        <f aca="false">IFERROR(__xludf.dummyfunction("""COMPUTED_VALUE"""),475.03)</f>
        <v>475.03</v>
      </c>
      <c r="F85" s="3" t="n">
        <f aca="false">IFERROR(__xludf.dummyfunction("if($T85&lt;&gt;"""",VALUE(REGEXEXTRACT(SUBSTITUTE ($T85,F$1&amp;"" CE"",""""), F$1&amp;""[\w &amp;]*, (\d+\.\d+)"")),"""")
"),470)</f>
        <v>470</v>
      </c>
      <c r="G85" s="3" t="n">
        <f aca="false">IFERROR(__xludf.dummyfunction("if($T85&lt;&gt;"""",VALUE(REGEXEXTRACT($T85, G$1&amp;""[\w &amp;]*, (\d+\.\d+)"")),"""")
"),480)</f>
        <v>480</v>
      </c>
      <c r="H85" s="3" t="n">
        <f aca="false">IFERROR(__xludf.dummyfunction("if($T85&lt;&gt;"""",VALUE(REGEXEXTRACT($T85, H$1&amp;""[\w &amp;]*, (\d+\.\d+)"")),"""")
"),482)</f>
        <v>482</v>
      </c>
      <c r="I85" s="3" t="n">
        <f aca="false">IFERROR(__xludf.dummyfunction("if($T85&lt;&gt;"""",VALUE(REGEXEXTRACT(SUBSTITUTE ($T85,I$1&amp;"" CE"",""""), I$1&amp;""[\w &amp;]*, (\d+\.\d+)"")),"""")
"),470)</f>
        <v>470</v>
      </c>
      <c r="J85" s="3" t="n">
        <f aca="false">IFERROR(__xludf.dummyfunction("if($T85&lt;&gt;"""",VALUE(REGEXEXTRACT($T85, J$1&amp;""[\w &amp;]*, (\d+\.\d+)"")),"""")
"),470)</f>
        <v>470</v>
      </c>
      <c r="K85" s="3" t="n">
        <f aca="false">IFERROR(__xludf.dummyfunction("if($T85&lt;&gt;"""",VALUE(REGEXEXTRACT($T85, K$1&amp;""[\w &amp;]*, (\d+\.\d+)"")),"""")
"),468)</f>
        <v>468</v>
      </c>
      <c r="L85" s="3" t="n">
        <f aca="false">IFERROR(__xludf.dummyfunction("if($T85&lt;&gt;"""",VALUE(REGEXEXTRACT(SUBSTITUTE ($T85,L$1&amp;"" CE"",""""), L$1&amp;""[\w &amp;]*, (\d+\.\d+)"")),"""")
"),470)</f>
        <v>470</v>
      </c>
      <c r="M85" s="3" t="n">
        <f aca="false">IFERROR(__xludf.dummyfunction("if($T85&lt;&gt;"""",VALUE(REGEXEXTRACT($T85, M$1&amp;""[\w &amp;]*, (\d+\.\d+)"")),"""")
"),471)</f>
        <v>471</v>
      </c>
      <c r="N85" s="3" t="n">
        <f aca="false">IFERROR(__xludf.dummyfunction("if($T85&lt;&gt;"""",VALUE(REGEXEXTRACT(SUBSTITUTE ($T85,N$1&amp;"" CE"",""""), N$1&amp;""[\w &amp;]*, (\d+\.\d+)"")),"""")
"),470)</f>
        <v>470</v>
      </c>
      <c r="O85" s="3" t="n">
        <f aca="false">IFERROR(__xludf.dummyfunction("if($T85&lt;&gt;"""",VALUE(REGEXEXTRACT($T85, O$1&amp;""[\w &amp;]*, (\d+\.\d+)"")),"""")
"),470)</f>
        <v>470</v>
      </c>
      <c r="P85" s="2" t="n">
        <f aca="false">IFERROR(__xludf.dummyfunction("if($T85&lt;&gt;"""",VALUE(REGEXEXTRACT($T85, P$1&amp;""[\w &amp;]*, (\d+\.\d+)"")),"""")
"),469.82)</f>
        <v>469.82</v>
      </c>
      <c r="Q85" s="2" t="n">
        <f aca="false">IFERROR(__xludf.dummyfunction("if($T85&lt;&gt;"""",VALUE(REGEXEXTRACT($T85, Q$1&amp;""[\w &amp;]*, (\d+\.\d+)"")),"""")
"),465.61)</f>
        <v>465.61</v>
      </c>
      <c r="R85" s="2" t="n">
        <f aca="false">IFERROR(__xludf.dummyfunction("if($T85&lt;&gt;"""",VALUE(REGEXEXTRACT($T85, SUBSTITUTE(R$1, ""+"", ""\+"")&amp;""[\w &amp;]*, (\d+\.\d+)"")),"""")"),478.22)</f>
        <v>478.22</v>
      </c>
      <c r="S85" s="2" t="n">
        <f aca="false">IFERROR(__xludf.dummyfunction("if($T85&lt;&gt;"""",VALUE(REGEXEXTRACT($T85, SUBSTITUTE(S$1, ""+"", ""\+"")&amp;""[\w &amp;]*, (\d+\.\d+)"")),"""")"),482.43)</f>
        <v>482.43</v>
      </c>
      <c r="T85" s="5" t="s">
        <v>502</v>
      </c>
    </row>
    <row r="86" customFormat="false" ht="15.75" hidden="false" customHeight="false" outlineLevel="0" collapsed="false">
      <c r="A86" s="4" t="n">
        <f aca="false">IFERROR(__xludf.dummyfunction("""COMPUTED_VALUE"""),45523.6666666667)</f>
        <v>45523.6666666667</v>
      </c>
      <c r="B86" s="2" t="n">
        <f aca="false">IFERROR(__xludf.dummyfunction("""COMPUTED_VALUE"""),475.17)</f>
        <v>475.17</v>
      </c>
      <c r="C86" s="2" t="n">
        <f aca="false">IFERROR(__xludf.dummyfunction("""COMPUTED_VALUE"""),481.31)</f>
        <v>481.31</v>
      </c>
      <c r="D86" s="2" t="n">
        <f aca="false">IFERROR(__xludf.dummyfunction("""COMPUTED_VALUE"""),473.37)</f>
        <v>473.37</v>
      </c>
      <c r="E86" s="2" t="n">
        <f aca="false">IFERROR(__xludf.dummyfunction("""COMPUTED_VALUE"""),481.27)</f>
        <v>481.27</v>
      </c>
      <c r="F86" s="3" t="n">
        <f aca="false">IFERROR(__xludf.dummyfunction("if($T86&lt;&gt;"""",VALUE(REGEXEXTRACT(SUBSTITUTE ($T86,F$1&amp;"" CE"",""""), F$1&amp;""[\w &amp;]*, (\d+\.\d+)"")),"""")
"),475)</f>
        <v>475</v>
      </c>
      <c r="G86" s="3" t="n">
        <f aca="false">IFERROR(__xludf.dummyfunction("if($T86&lt;&gt;"""",VALUE(REGEXEXTRACT($T86, G$1&amp;""[\w &amp;]*, (\d+\.\d+)"")),"""")
"),475)</f>
        <v>475</v>
      </c>
      <c r="H86" s="3" t="n">
        <f aca="false">IFERROR(__xludf.dummyfunction("if($T86&lt;&gt;"""",VALUE(REGEXEXTRACT($T86, H$1&amp;""[\w &amp;]*, (\d+\.\d+)"")),"""")
"),482)</f>
        <v>482</v>
      </c>
      <c r="I86" s="3" t="n">
        <f aca="false">IFERROR(__xludf.dummyfunction("if($T86&lt;&gt;"""",VALUE(REGEXEXTRACT(SUBSTITUTE ($T86,I$1&amp;"" CE"",""""), I$1&amp;""[\w &amp;]*, (\d+\.\d+)"")),"""")
"),474)</f>
        <v>474</v>
      </c>
      <c r="J86" s="3" t="n">
        <f aca="false">IFERROR(__xludf.dummyfunction("if($T86&lt;&gt;"""",VALUE(REGEXEXTRACT($T86, J$1&amp;""[\w &amp;]*, (\d+\.\d+)"")),"""")
"),472)</f>
        <v>472</v>
      </c>
      <c r="K86" s="3" t="n">
        <f aca="false">IFERROR(__xludf.dummyfunction("if($T86&lt;&gt;"""",VALUE(REGEXEXTRACT($T86, K$1&amp;""[\w &amp;]*, (\d+\.\d+)"")),"""")
"),472)</f>
        <v>472</v>
      </c>
      <c r="L86" s="3" t="n">
        <f aca="false">IFERROR(__xludf.dummyfunction("if($T86&lt;&gt;"""",VALUE(REGEXEXTRACT(SUBSTITUTE ($T86,L$1&amp;"" CE"",""""), L$1&amp;""[\w &amp;]*, (\d+\.\d+)"")),"""")
"),474)</f>
        <v>474</v>
      </c>
      <c r="M86" s="3" t="n">
        <f aca="false">IFERROR(__xludf.dummyfunction("if($T86&lt;&gt;"""",VALUE(REGEXEXTRACT($T86, M$1&amp;""[\w &amp;]*, (\d+\.\d+)"")),"""")
"),472)</f>
        <v>472</v>
      </c>
      <c r="N86" s="3" t="n">
        <f aca="false">IFERROR(__xludf.dummyfunction("if($T86&lt;&gt;"""",VALUE(REGEXEXTRACT(SUBSTITUTE ($T86,N$1&amp;"" CE"",""""), N$1&amp;""[\w &amp;]*, (\d+\.\d+)"")),"""")
"),475)</f>
        <v>475</v>
      </c>
      <c r="O86" s="3" t="n">
        <f aca="false">IFERROR(__xludf.dummyfunction("if($T86&lt;&gt;"""",VALUE(REGEXEXTRACT($T86, O$1&amp;""[\w &amp;]*, (\d+\.\d+)"")),"""")
"),475)</f>
        <v>475</v>
      </c>
      <c r="P86" s="2" t="n">
        <f aca="false">IFERROR(__xludf.dummyfunction("if($T86&lt;&gt;"""",VALUE(REGEXEXTRACT($T86, P$1&amp;""[\w &amp;]*, (\d+\.\d+)"")),"""")
"),471.81)</f>
        <v>471.81</v>
      </c>
      <c r="Q86" s="2" t="n">
        <f aca="false">IFERROR(__xludf.dummyfunction("if($T86&lt;&gt;"""",VALUE(REGEXEXTRACT($T86, Q$1&amp;""[\w &amp;]*, (\d+\.\d+)"")),"""")
"),470.19)</f>
        <v>470.19</v>
      </c>
      <c r="R86" s="2" t="n">
        <f aca="false">IFERROR(__xludf.dummyfunction("if($T86&lt;&gt;"""",VALUE(REGEXEXTRACT($T86, SUBSTITUTE(R$1, ""+"", ""\+"")&amp;""[\w &amp;]*, (\d+\.\d+)"")),"""")"),479.65)</f>
        <v>479.65</v>
      </c>
      <c r="S86" s="2" t="n">
        <f aca="false">IFERROR(__xludf.dummyfunction("if($T86&lt;&gt;"""",VALUE(REGEXEXTRACT($T86, SUBSTITUTE(S$1, ""+"", ""\+"")&amp;""[\w &amp;]*, (\d+\.\d+)"")),"""")"),481.27)</f>
        <v>481.27</v>
      </c>
      <c r="T86" s="5" t="s">
        <v>503</v>
      </c>
    </row>
    <row r="87" customFormat="false" ht="15.75" hidden="false" customHeight="false" outlineLevel="0" collapsed="false">
      <c r="A87" s="4" t="n">
        <f aca="false">IFERROR(__xludf.dummyfunction("""COMPUTED_VALUE"""),45524.6666666667)</f>
        <v>45524.6666666667</v>
      </c>
      <c r="B87" s="2" t="n">
        <f aca="false">IFERROR(__xludf.dummyfunction("""COMPUTED_VALUE"""),480.35)</f>
        <v>480.35</v>
      </c>
      <c r="C87" s="2" t="n">
        <f aca="false">IFERROR(__xludf.dummyfunction("""COMPUTED_VALUE"""),482.94)</f>
        <v>482.94</v>
      </c>
      <c r="D87" s="2" t="n">
        <f aca="false">IFERROR(__xludf.dummyfunction("""COMPUTED_VALUE"""),478.55)</f>
        <v>478.55</v>
      </c>
      <c r="E87" s="2" t="n">
        <f aca="false">IFERROR(__xludf.dummyfunction("""COMPUTED_VALUE"""),480.26)</f>
        <v>480.26</v>
      </c>
      <c r="F87" s="3" t="n">
        <f aca="false">IFERROR(__xludf.dummyfunction("if($T87&lt;&gt;"""",VALUE(REGEXEXTRACT(SUBSTITUTE ($T87,F$1&amp;"" CE"",""""), F$1&amp;""[\w &amp;]*, (\d+\.\d+)"")),"""")
"),480)</f>
        <v>480</v>
      </c>
      <c r="G87" s="3" t="n">
        <f aca="false">IFERROR(__xludf.dummyfunction("if($T87&lt;&gt;"""",VALUE(REGEXEXTRACT($T87, G$1&amp;""[\w &amp;]*, (\d+\.\d+)"")),"""")
"),482)</f>
        <v>482</v>
      </c>
      <c r="H87" s="3" t="n">
        <f aca="false">IFERROR(__xludf.dummyfunction("if($T87&lt;&gt;"""",VALUE(REGEXEXTRACT($T87, H$1&amp;""[\w &amp;]*, (\d+\.\d+)"")),"""")
"),488)</f>
        <v>488</v>
      </c>
      <c r="I87" s="3" t="n">
        <f aca="false">IFERROR(__xludf.dummyfunction("if($T87&lt;&gt;"""",VALUE(REGEXEXTRACT(SUBSTITUTE ($T87,I$1&amp;"" CE"",""""), I$1&amp;""[\w &amp;]*, (\d+\.\d+)"")),"""")
"),477)</f>
        <v>477</v>
      </c>
      <c r="J87" s="3" t="n">
        <f aca="false">IFERROR(__xludf.dummyfunction("if($T87&lt;&gt;"""",VALUE(REGEXEXTRACT($T87, J$1&amp;""[\w &amp;]*, (\d+\.\d+)"")),"""")
"),477)</f>
        <v>477</v>
      </c>
      <c r="K87" s="3" t="n">
        <f aca="false">IFERROR(__xludf.dummyfunction("if($T87&lt;&gt;"""",VALUE(REGEXEXTRACT($T87, K$1&amp;""[\w &amp;]*, (\d+\.\d+)"")),"""")
"),475)</f>
        <v>475</v>
      </c>
      <c r="L87" s="3" t="n">
        <f aca="false">IFERROR(__xludf.dummyfunction("if($T87&lt;&gt;"""",VALUE(REGEXEXTRACT(SUBSTITUTE ($T87,L$1&amp;"" CE"",""""), L$1&amp;""[\w &amp;]*, (\d+\.\d+)"")),"""")
"),477)</f>
        <v>477</v>
      </c>
      <c r="M87" s="3" t="n">
        <f aca="false">IFERROR(__xludf.dummyfunction("if($T87&lt;&gt;"""",VALUE(REGEXEXTRACT($T87, M$1&amp;""[\w &amp;]*, (\d+\.\d+)"")),"""")
"),472)</f>
        <v>472</v>
      </c>
      <c r="N87" s="3" t="n">
        <f aca="false">IFERROR(__xludf.dummyfunction("if($T87&lt;&gt;"""",VALUE(REGEXEXTRACT(SUBSTITUTE ($T87,N$1&amp;"" CE"",""""), N$1&amp;""[\w &amp;]*, (\d+\.\d+)"")),"""")
"),480)</f>
        <v>480</v>
      </c>
      <c r="O87" s="3" t="n">
        <f aca="false">IFERROR(__xludf.dummyfunction("if($T87&lt;&gt;"""",VALUE(REGEXEXTRACT($T87, O$1&amp;""[\w &amp;]*, (\d+\.\d+)"")),"""")
"),482)</f>
        <v>482</v>
      </c>
      <c r="P87" s="2" t="n">
        <f aca="false">IFERROR(__xludf.dummyfunction("if($T87&lt;&gt;"""",VALUE(REGEXEXTRACT($T87, P$1&amp;""[\w &amp;]*, (\d+\.\d+)"")),"""")
"),476.9)</f>
        <v>476.9</v>
      </c>
      <c r="Q87" s="2" t="n">
        <f aca="false">IFERROR(__xludf.dummyfunction("if($T87&lt;&gt;"""",VALUE(REGEXEXTRACT($T87, Q$1&amp;""[\w &amp;]*, (\d+\.\d+)"")),"""")
"),475.16)</f>
        <v>475.16</v>
      </c>
      <c r="R87" s="2" t="n">
        <f aca="false">IFERROR(__xludf.dummyfunction("if($T87&lt;&gt;"""",VALUE(REGEXEXTRACT($T87, SUBSTITUTE(R$1, ""+"", ""\+"")&amp;""[\w &amp;]*, (\d+\.\d+)"")),"""")"),485.3)</f>
        <v>485.3</v>
      </c>
      <c r="S87" s="2" t="n">
        <f aca="false">IFERROR(__xludf.dummyfunction("if($T87&lt;&gt;"""",VALUE(REGEXEXTRACT($T87, SUBSTITUTE(S$1, ""+"", ""\+"")&amp;""[\w &amp;]*, (\d+\.\d+)"")),"""")"),487.04)</f>
        <v>487.04</v>
      </c>
      <c r="T87" s="5" t="s">
        <v>504</v>
      </c>
    </row>
    <row r="88" customFormat="false" ht="15.75" hidden="false" customHeight="false" outlineLevel="0" collapsed="false">
      <c r="A88" s="4" t="n">
        <f aca="false">IFERROR(__xludf.dummyfunction("""COMPUTED_VALUE"""),45525.6666666667)</f>
        <v>45525.6666666667</v>
      </c>
      <c r="B88" s="2" t="n">
        <f aca="false">IFERROR(__xludf.dummyfunction("""COMPUTED_VALUE"""),481.05)</f>
        <v>481.05</v>
      </c>
      <c r="C88" s="2" t="n">
        <f aca="false">IFERROR(__xludf.dummyfunction("""COMPUTED_VALUE"""),484.37)</f>
        <v>484.37</v>
      </c>
      <c r="D88" s="2" t="n">
        <f aca="false">IFERROR(__xludf.dummyfunction("""COMPUTED_VALUE"""),479.32)</f>
        <v>479.32</v>
      </c>
      <c r="E88" s="2" t="n">
        <f aca="false">IFERROR(__xludf.dummyfunction("""COMPUTED_VALUE"""),482.5)</f>
        <v>482.5</v>
      </c>
      <c r="F88" s="3" t="n">
        <f aca="false">IFERROR(__xludf.dummyfunction("if($T88&lt;&gt;"""",VALUE(REGEXEXTRACT(SUBSTITUTE ($T88,F$1&amp;"" CE"",""""), F$1&amp;""[\w &amp;]*, (\d+\.\d+)"")),"""")
"),480)</f>
        <v>480</v>
      </c>
      <c r="G88" s="3" t="n">
        <f aca="false">IFERROR(__xludf.dummyfunction("if($T88&lt;&gt;"""",VALUE(REGEXEXTRACT($T88, G$1&amp;""[\w &amp;]*, (\d+\.\d+)"")),"""")
"),483)</f>
        <v>483</v>
      </c>
      <c r="H88" s="3" t="n">
        <f aca="false">IFERROR(__xludf.dummyfunction("if($T88&lt;&gt;"""",VALUE(REGEXEXTRACT($T88, H$1&amp;""[\w &amp;]*, (\d+\.\d+)"")),"""")
"),488)</f>
        <v>488</v>
      </c>
      <c r="I88" s="3" t="n">
        <f aca="false">IFERROR(__xludf.dummyfunction("if($T88&lt;&gt;"""",VALUE(REGEXEXTRACT(SUBSTITUTE ($T88,I$1&amp;"" CE"",""""), I$1&amp;""[\w &amp;]*, (\d+\.\d+)"")),"""")
"),477)</f>
        <v>477</v>
      </c>
      <c r="J88" s="3" t="n">
        <f aca="false">IFERROR(__xludf.dummyfunction("if($T88&lt;&gt;"""",VALUE(REGEXEXTRACT($T88, J$1&amp;""[\w &amp;]*, (\d+\.\d+)"")),"""")
"),477)</f>
        <v>477</v>
      </c>
      <c r="K88" s="3" t="n">
        <f aca="false">IFERROR(__xludf.dummyfunction("if($T88&lt;&gt;"""",VALUE(REGEXEXTRACT($T88, K$1&amp;""[\w &amp;]*, (\d+\.\d+)"")),"""")
"),475)</f>
        <v>475</v>
      </c>
      <c r="L88" s="3" t="n">
        <f aca="false">IFERROR(__xludf.dummyfunction("if($T88&lt;&gt;"""",VALUE(REGEXEXTRACT(SUBSTITUTE ($T88,L$1&amp;"" CE"",""""), L$1&amp;""[\w &amp;]*, (\d+\.\d+)"")),"""")
"),479)</f>
        <v>479</v>
      </c>
      <c r="M88" s="3" t="n">
        <f aca="false">IFERROR(__xludf.dummyfunction("if($T88&lt;&gt;"""",VALUE(REGEXEXTRACT($T88, M$1&amp;""[\w &amp;]*, (\d+\.\d+)"")),"""")
"),479)</f>
        <v>479</v>
      </c>
      <c r="N88" s="3" t="n">
        <f aca="false">IFERROR(__xludf.dummyfunction("if($T88&lt;&gt;"""",VALUE(REGEXEXTRACT(SUBSTITUTE ($T88,N$1&amp;"" CE"",""""), N$1&amp;""[\w &amp;]*, (\d+\.\d+)"")),"""")
"),480)</f>
        <v>480</v>
      </c>
      <c r="O88" s="3" t="n">
        <f aca="false">IFERROR(__xludf.dummyfunction("if($T88&lt;&gt;"""",VALUE(REGEXEXTRACT($T88, O$1&amp;""[\w &amp;]*, (\d+\.\d+)"")),"""")
"),477)</f>
        <v>477</v>
      </c>
      <c r="P88" s="2" t="n">
        <f aca="false">IFERROR(__xludf.dummyfunction("if($T88&lt;&gt;"""",VALUE(REGEXEXTRACT($T88, P$1&amp;""[\w &amp;]*, (\d+\.\d+)"")),"""")
"),475.69)</f>
        <v>475.69</v>
      </c>
      <c r="Q88" s="2" t="n">
        <f aca="false">IFERROR(__xludf.dummyfunction("if($T88&lt;&gt;"""",VALUE(REGEXEXTRACT($T88, Q$1&amp;""[\w &amp;]*, (\d+\.\d+)"")),"""")
"),473.8)</f>
        <v>473.8</v>
      </c>
      <c r="R88" s="2" t="n">
        <f aca="false">IFERROR(__xludf.dummyfunction("if($T88&lt;&gt;"""",VALUE(REGEXEXTRACT($T88, SUBSTITUTE(R$1, ""+"", ""\+"")&amp;""[\w &amp;]*, (\d+\.\d+)"")),"""")"),484.83)</f>
        <v>484.83</v>
      </c>
      <c r="S88" s="2" t="n">
        <f aca="false">IFERROR(__xludf.dummyfunction("if($T88&lt;&gt;"""",VALUE(REGEXEXTRACT($T88, SUBSTITUTE(S$1, ""+"", ""\+"")&amp;""[\w &amp;]*, (\d+\.\d+)"")),"""")"),486.72)</f>
        <v>486.72</v>
      </c>
      <c r="T88" s="5" t="s">
        <v>505</v>
      </c>
    </row>
    <row r="89" customFormat="false" ht="15.75" hidden="false" customHeight="false" outlineLevel="0" collapsed="false">
      <c r="A89" s="4" t="n">
        <f aca="false">IFERROR(__xludf.dummyfunction("""COMPUTED_VALUE"""),45526.6666666667)</f>
        <v>45526.6666666667</v>
      </c>
      <c r="B89" s="2" t="n">
        <f aca="false">IFERROR(__xludf.dummyfunction("""COMPUTED_VALUE"""),484.84)</f>
        <v>484.84</v>
      </c>
      <c r="C89" s="2" t="n">
        <f aca="false">IFERROR(__xludf.dummyfunction("""COMPUTED_VALUE"""),485.54)</f>
        <v>485.54</v>
      </c>
      <c r="D89" s="2" t="n">
        <f aca="false">IFERROR(__xludf.dummyfunction("""COMPUTED_VALUE"""),473.81)</f>
        <v>473.81</v>
      </c>
      <c r="E89" s="2" t="n">
        <f aca="false">IFERROR(__xludf.dummyfunction("""COMPUTED_VALUE"""),474.85)</f>
        <v>474.85</v>
      </c>
      <c r="F89" s="3" t="n">
        <f aca="false">IFERROR(__xludf.dummyfunction("if($T89&lt;&gt;"""",VALUE(REGEXEXTRACT(SUBSTITUTE ($T89,F$1&amp;"" CE"",""""), F$1&amp;""[\w &amp;]*, (\d+\.\d+)"")),"""")
"),480)</f>
        <v>480</v>
      </c>
      <c r="G89" s="3" t="n">
        <f aca="false">IFERROR(__xludf.dummyfunction("if($T89&lt;&gt;"""",VALUE(REGEXEXTRACT($T89, G$1&amp;""[\w &amp;]*, (\d+\.\d+)"")),"""")
"),485)</f>
        <v>485</v>
      </c>
      <c r="H89" s="3" t="n">
        <f aca="false">IFERROR(__xludf.dummyfunction("if($T89&lt;&gt;"""",VALUE(REGEXEXTRACT($T89, H$1&amp;""[\w &amp;]*, (\d+\.\d+)"")),"""")
"),487)</f>
        <v>487</v>
      </c>
      <c r="I89" s="3" t="n">
        <f aca="false">IFERROR(__xludf.dummyfunction("if($T89&lt;&gt;"""",VALUE(REGEXEXTRACT(SUBSTITUTE ($T89,I$1&amp;"" CE"",""""), I$1&amp;""[\w &amp;]*, (\d+\.\d+)"")),"""")
"),470)</f>
        <v>470</v>
      </c>
      <c r="J89" s="3" t="n">
        <f aca="false">IFERROR(__xludf.dummyfunction("if($T89&lt;&gt;"""",VALUE(REGEXEXTRACT($T89, J$1&amp;""[\w &amp;]*, (\d+\.\d+)"")),"""")
"),478)</f>
        <v>478</v>
      </c>
      <c r="K89" s="3" t="n">
        <f aca="false">IFERROR(__xludf.dummyfunction("if($T89&lt;&gt;"""",VALUE(REGEXEXTRACT($T89, K$1&amp;""[\w &amp;]*, (\d+\.\d+)"")),"""")
"),459)</f>
        <v>459</v>
      </c>
      <c r="L89" s="3" t="n">
        <f aca="false">IFERROR(__xludf.dummyfunction("if($T89&lt;&gt;"""",VALUE(REGEXEXTRACT(SUBSTITUTE ($T89,L$1&amp;"" CE"",""""), L$1&amp;""[\w &amp;]*, (\d+\.\d+)"")),"""")
"),479)</f>
        <v>479</v>
      </c>
      <c r="M89" s="3" t="n">
        <f aca="false">IFERROR(__xludf.dummyfunction("if($T89&lt;&gt;"""",VALUE(REGEXEXTRACT($T89, M$1&amp;""[\w &amp;]*, (\d+\.\d+)"")),"""")
"),480)</f>
        <v>480</v>
      </c>
      <c r="N89" s="3" t="n">
        <f aca="false">IFERROR(__xludf.dummyfunction("if($T89&lt;&gt;"""",VALUE(REGEXEXTRACT(SUBSTITUTE ($T89,N$1&amp;"" CE"",""""), N$1&amp;""[\w &amp;]*, (\d+\.\d+)"")),"""")
"),480)</f>
        <v>480</v>
      </c>
      <c r="O89" s="3" t="n">
        <f aca="false">IFERROR(__xludf.dummyfunction("if($T89&lt;&gt;"""",VALUE(REGEXEXTRACT($T89, O$1&amp;""[\w &amp;]*, (\d+\.\d+)"")),"""")
"),484)</f>
        <v>484</v>
      </c>
      <c r="P89" s="2" t="n">
        <f aca="false">IFERROR(__xludf.dummyfunction("if($T89&lt;&gt;"""",VALUE(REGEXEXTRACT($T89, P$1&amp;""[\w &amp;]*, (\d+\.\d+)"")),"""")
"),480.39)</f>
        <v>480.39</v>
      </c>
      <c r="Q89" s="2" t="n">
        <f aca="false">IFERROR(__xludf.dummyfunction("if($T89&lt;&gt;"""",VALUE(REGEXEXTRACT($T89, Q$1&amp;""[\w &amp;]*, (\d+\.\d+)"")),"""")
"),478.7)</f>
        <v>478.7</v>
      </c>
      <c r="R89" s="2" t="n">
        <f aca="false">IFERROR(__xludf.dummyfunction("if($T89&lt;&gt;"""",VALUE(REGEXEXTRACT($T89, SUBSTITUTE(R$1, ""+"", ""\+"")&amp;""[\w &amp;]*, (\d+\.\d+)"")),"""")"),488.55)</f>
        <v>488.55</v>
      </c>
      <c r="S89" s="2" t="n">
        <f aca="false">IFERROR(__xludf.dummyfunction("if($T89&lt;&gt;"""",VALUE(REGEXEXTRACT($T89, SUBSTITUTE(S$1, ""+"", ""\+"")&amp;""[\w &amp;]*, (\d+\.\d+)"")),"""")"),490.24)</f>
        <v>490.24</v>
      </c>
      <c r="T89" s="5" t="s">
        <v>506</v>
      </c>
    </row>
    <row r="90" customFormat="false" ht="15.75" hidden="false" customHeight="false" outlineLevel="0" collapsed="false">
      <c r="A90" s="4" t="n">
        <f aca="false">IFERROR(__xludf.dummyfunction("""COMPUTED_VALUE"""),45527.6666666667)</f>
        <v>45527.6666666667</v>
      </c>
      <c r="B90" s="2" t="n">
        <f aca="false">IFERROR(__xludf.dummyfunction("""COMPUTED_VALUE"""),479.24)</f>
        <v>479.24</v>
      </c>
      <c r="C90" s="2" t="n">
        <f aca="false">IFERROR(__xludf.dummyfunction("""COMPUTED_VALUE"""),482.74)</f>
        <v>482.74</v>
      </c>
      <c r="D90" s="2" t="n">
        <f aca="false">IFERROR(__xludf.dummyfunction("""COMPUTED_VALUE"""),475.28)</f>
        <v>475.28</v>
      </c>
      <c r="E90" s="2" t="n">
        <f aca="false">IFERROR(__xludf.dummyfunction("""COMPUTED_VALUE"""),480)</f>
        <v>480</v>
      </c>
      <c r="F90" s="3" t="n">
        <f aca="false">IFERROR(__xludf.dummyfunction("if($T90&lt;&gt;"""",VALUE(REGEXEXTRACT(SUBSTITUTE ($T90,F$1&amp;"" CE"",""""), F$1&amp;""[\w &amp;]*, (\d+\.\d+)"")),"""")
"),480)</f>
        <v>480</v>
      </c>
      <c r="G90" s="3" t="n">
        <f aca="false">IFERROR(__xludf.dummyfunction("if($T90&lt;&gt;"""",VALUE(REGEXEXTRACT($T90, G$1&amp;""[\w &amp;]*, (\d+\.\d+)"")),"""")
"),480)</f>
        <v>480</v>
      </c>
      <c r="H90" s="3" t="n">
        <f aca="false">IFERROR(__xludf.dummyfunction("if($T90&lt;&gt;"""",VALUE(REGEXEXTRACT($T90, H$1&amp;""[\w &amp;]*, (\d+\.\d+)"")),"""")
"),487)</f>
        <v>487</v>
      </c>
      <c r="I90" s="3" t="n">
        <f aca="false">IFERROR(__xludf.dummyfunction("if($T90&lt;&gt;"""",VALUE(REGEXEXTRACT(SUBSTITUTE ($T90,I$1&amp;"" CE"",""""), I$1&amp;""[\w &amp;]*, (\d+\.\d+)"")),"""")
"),470)</f>
        <v>470</v>
      </c>
      <c r="J90" s="3" t="n">
        <f aca="false">IFERROR(__xludf.dummyfunction("if($T90&lt;&gt;"""",VALUE(REGEXEXTRACT($T90, J$1&amp;""[\w &amp;]*, (\d+\.\d+)"")),"""")
"),474)</f>
        <v>474</v>
      </c>
      <c r="K90" s="3" t="n">
        <f aca="false">IFERROR(__xludf.dummyfunction("if($T90&lt;&gt;"""",VALUE(REGEXEXTRACT($T90, K$1&amp;""[\w &amp;]*, (\d+\.\d+)"")),"""")
"),469)</f>
        <v>469</v>
      </c>
      <c r="L90" s="3" t="n">
        <f aca="false">IFERROR(__xludf.dummyfunction("if($T90&lt;&gt;"""",VALUE(REGEXEXTRACT(SUBSTITUTE ($T90,L$1&amp;"" CE"",""""), L$1&amp;""[\w &amp;]*, (\d+\.\d+)"")),"""")
"),473)</f>
        <v>473</v>
      </c>
      <c r="M90" s="3" t="n">
        <f aca="false">IFERROR(__xludf.dummyfunction("if($T90&lt;&gt;"""",VALUE(REGEXEXTRACT($T90, M$1&amp;""[\w &amp;]*, (\d+\.\d+)"")),"""")
"),477)</f>
        <v>477</v>
      </c>
      <c r="N90" s="3" t="n">
        <f aca="false">IFERROR(__xludf.dummyfunction("if($T90&lt;&gt;"""",VALUE(REGEXEXTRACT(SUBSTITUTE ($T90,N$1&amp;"" CE"",""""), N$1&amp;""[\w &amp;]*, (\d+\.\d+)"")),"""")
"),480)</f>
        <v>480</v>
      </c>
      <c r="O90" s="3" t="n">
        <f aca="false">IFERROR(__xludf.dummyfunction("if($T90&lt;&gt;"""",VALUE(REGEXEXTRACT($T90, O$1&amp;""[\w &amp;]*, (\d+\.\d+)"")),"""")
"),480)</f>
        <v>480</v>
      </c>
      <c r="P90" s="2" t="n">
        <f aca="false">IFERROR(__xludf.dummyfunction("if($T90&lt;&gt;"""",VALUE(REGEXEXTRACT($T90, P$1&amp;""[\w &amp;]*, (\d+\.\d+)"")),"""")
"),473.79)</f>
        <v>473.79</v>
      </c>
      <c r="Q90" s="2" t="n">
        <f aca="false">IFERROR(__xludf.dummyfunction("if($T90&lt;&gt;"""",VALUE(REGEXEXTRACT($T90, Q$1&amp;""[\w &amp;]*, (\d+\.\d+)"")),"""")
"),468.53)</f>
        <v>468.53</v>
      </c>
      <c r="R90" s="2" t="n">
        <f aca="false">IFERROR(__xludf.dummyfunction("if($T90&lt;&gt;"""",VALUE(REGEXEXTRACT($T90, SUBSTITUTE(R$1, ""+"", ""\+"")&amp;""[\w &amp;]*, (\d+\.\d+)"")),"""")"),484.29)</f>
        <v>484.29</v>
      </c>
      <c r="S90" s="2" t="n">
        <f aca="false">IFERROR(__xludf.dummyfunction("if($T90&lt;&gt;"""",VALUE(REGEXEXTRACT($T90, SUBSTITUTE(S$1, ""+"", ""\+"")&amp;""[\w &amp;]*, (\d+\.\d+)"")),"""")"),489.55)</f>
        <v>489.55</v>
      </c>
      <c r="T90" s="5" t="s">
        <v>507</v>
      </c>
    </row>
    <row r="91" customFormat="false" ht="15.75" hidden="false" customHeight="false" outlineLevel="0" collapsed="false">
      <c r="A91" s="4" t="n">
        <f aca="false">IFERROR(__xludf.dummyfunction("""COMPUTED_VALUE"""),45530.6666666667)</f>
        <v>45530.6666666667</v>
      </c>
      <c r="B91" s="2" t="n">
        <f aca="false">IFERROR(__xludf.dummyfunction("""COMPUTED_VALUE"""),479.45)</f>
        <v>479.45</v>
      </c>
      <c r="C91" s="2" t="n">
        <f aca="false">IFERROR(__xludf.dummyfunction("""COMPUTED_VALUE"""),480.38)</f>
        <v>480.38</v>
      </c>
      <c r="D91" s="2" t="n">
        <f aca="false">IFERROR(__xludf.dummyfunction("""COMPUTED_VALUE"""),473.24)</f>
        <v>473.24</v>
      </c>
      <c r="E91" s="2" t="n">
        <f aca="false">IFERROR(__xludf.dummyfunction("""COMPUTED_VALUE"""),475.34)</f>
        <v>475.34</v>
      </c>
      <c r="F91" s="3" t="n">
        <f aca="false">IFERROR(__xludf.dummyfunction("if($T91&lt;&gt;"""",VALUE(REGEXEXTRACT(SUBSTITUTE ($T91,F$1&amp;"" CE"",""""), F$1&amp;""[\w &amp;]*, (\d+\.\d+)"")),"""")
"),480)</f>
        <v>480</v>
      </c>
      <c r="G91" s="3" t="n">
        <f aca="false">IFERROR(__xludf.dummyfunction("if($T91&lt;&gt;"""",VALUE(REGEXEXTRACT($T91, G$1&amp;""[\w &amp;]*, (\d+\.\d+)"")),"""")
"),485)</f>
        <v>485</v>
      </c>
      <c r="H91" s="3" t="n">
        <f aca="false">IFERROR(__xludf.dummyfunction("if($T91&lt;&gt;"""",VALUE(REGEXEXTRACT($T91, H$1&amp;""[\w &amp;]*, (\d+\.\d+)"")),"""")
"),487)</f>
        <v>487</v>
      </c>
      <c r="I91" s="3" t="n">
        <f aca="false">IFERROR(__xludf.dummyfunction("if($T91&lt;&gt;"""",VALUE(REGEXEXTRACT(SUBSTITUTE ($T91,I$1&amp;"" CE"",""""), I$1&amp;""[\w &amp;]*, (\d+\.\d+)"")),"""")
"),480)</f>
        <v>480</v>
      </c>
      <c r="J91" s="3" t="n">
        <f aca="false">IFERROR(__xludf.dummyfunction("if($T91&lt;&gt;"""",VALUE(REGEXEXTRACT($T91, J$1&amp;""[\w &amp;]*, (\d+\.\d+)"")),"""")
"),480)</f>
        <v>480</v>
      </c>
      <c r="K91" s="3" t="n">
        <f aca="false">IFERROR(__xludf.dummyfunction("if($T91&lt;&gt;"""",VALUE(REGEXEXTRACT($T91, K$1&amp;""[\w &amp;]*, (\d+\.\d+)"")),"""")
"),478)</f>
        <v>478</v>
      </c>
      <c r="L91" s="3" t="n">
        <f aca="false">IFERROR(__xludf.dummyfunction("if($T91&lt;&gt;"""",VALUE(REGEXEXTRACT(SUBSTITUTE ($T91,L$1&amp;"" CE"",""""), L$1&amp;""[\w &amp;]*, (\d+\.\d+)"")),"""")
"),480)</f>
        <v>480</v>
      </c>
      <c r="M91" s="3" t="n">
        <f aca="false">IFERROR(__xludf.dummyfunction("if($T91&lt;&gt;"""",VALUE(REGEXEXTRACT($T91, M$1&amp;""[\w &amp;]*, (\d+\.\d+)"")),"""")
"),480)</f>
        <v>480</v>
      </c>
      <c r="N91" s="3" t="n">
        <f aca="false">IFERROR(__xludf.dummyfunction("if($T91&lt;&gt;"""",VALUE(REGEXEXTRACT(SUBSTITUTE ($T91,N$1&amp;"" CE"",""""), N$1&amp;""[\w &amp;]*, (\d+\.\d+)"")),"""")
"),480)</f>
        <v>480</v>
      </c>
      <c r="O91" s="3" t="n">
        <f aca="false">IFERROR(__xludf.dummyfunction("if($T91&lt;&gt;"""",VALUE(REGEXEXTRACT($T91, O$1&amp;""[\w &amp;]*, (\d+\.\d+)"")),"""")
"),480)</f>
        <v>480</v>
      </c>
      <c r="P91" s="2" t="n">
        <f aca="false">IFERROR(__xludf.dummyfunction("if($T91&lt;&gt;"""",VALUE(REGEXEXTRACT($T91, P$1&amp;""[\w &amp;]*, (\d+\.\d+)"")),"""")
"),476.56)</f>
        <v>476.56</v>
      </c>
      <c r="Q91" s="2" t="n">
        <f aca="false">IFERROR(__xludf.dummyfunction("if($T91&lt;&gt;"""",VALUE(REGEXEXTRACT($T91, Q$1&amp;""[\w &amp;]*, (\d+\.\d+)"")),"""")
"),474.82)</f>
        <v>474.82</v>
      </c>
      <c r="R91" s="2" t="n">
        <f aca="false">IFERROR(__xludf.dummyfunction("if($T91&lt;&gt;"""",VALUE(REGEXEXTRACT($T91, SUBSTITUTE(R$1, ""+"", ""\+"")&amp;""[\w &amp;]*, (\d+\.\d+)"")),"""")"),484.94)</f>
        <v>484.94</v>
      </c>
      <c r="S91" s="2" t="n">
        <f aca="false">IFERROR(__xludf.dummyfunction("if($T91&lt;&gt;"""",VALUE(REGEXEXTRACT($T91, SUBSTITUTE(S$1, ""+"", ""\+"")&amp;""[\w &amp;]*, (\d+\.\d+)"")),"""")"),486.68)</f>
        <v>486.68</v>
      </c>
      <c r="T91" s="5" t="s">
        <v>508</v>
      </c>
    </row>
    <row r="92" customFormat="false" ht="15.75" hidden="false" customHeight="false" outlineLevel="0" collapsed="false">
      <c r="A92" s="4" t="n">
        <f aca="false">IFERROR(__xludf.dummyfunction("""COMPUTED_VALUE"""),45531.6666666667)</f>
        <v>45531.6666666667</v>
      </c>
      <c r="B92" s="2" t="n">
        <f aca="false">IFERROR(__xludf.dummyfunction("""COMPUTED_VALUE"""),473.69)</f>
        <v>473.69</v>
      </c>
      <c r="C92" s="2" t="n">
        <f aca="false">IFERROR(__xludf.dummyfunction("""COMPUTED_VALUE"""),477.84)</f>
        <v>477.84</v>
      </c>
      <c r="D92" s="2" t="n">
        <f aca="false">IFERROR(__xludf.dummyfunction("""COMPUTED_VALUE"""),471.71)</f>
        <v>471.71</v>
      </c>
      <c r="E92" s="2" t="n">
        <f aca="false">IFERROR(__xludf.dummyfunction("""COMPUTED_VALUE"""),476.76)</f>
        <v>476.76</v>
      </c>
      <c r="F92" s="3" t="n">
        <f aca="false">IFERROR(__xludf.dummyfunction("if($T92&lt;&gt;"""",VALUE(REGEXEXTRACT(SUBSTITUTE ($T92,F$1&amp;"" CE"",""""), F$1&amp;""[\w &amp;]*, (\d+\.\d+)"")),"""")
"),480)</f>
        <v>480</v>
      </c>
      <c r="G92" s="3" t="n">
        <f aca="false">IFERROR(__xludf.dummyfunction("if($T92&lt;&gt;"""",VALUE(REGEXEXTRACT($T92, G$1&amp;""[\w &amp;]*, (\d+\.\d+)"")),"""")
"),472)</f>
        <v>472</v>
      </c>
      <c r="H92" s="3" t="n">
        <f aca="false">IFERROR(__xludf.dummyfunction("if($T92&lt;&gt;"""",VALUE(REGEXEXTRACT($T92, H$1&amp;""[\w &amp;]*, (\d+\.\d+)"")),"""")
"),484)</f>
        <v>484</v>
      </c>
      <c r="I92" s="3" t="n">
        <f aca="false">IFERROR(__xludf.dummyfunction("if($T92&lt;&gt;"""",VALUE(REGEXEXTRACT(SUBSTITUTE ($T92,I$1&amp;"" CE"",""""), I$1&amp;""[\w &amp;]*, (\d+\.\d+)"")),"""")
"),470)</f>
        <v>470</v>
      </c>
      <c r="J92" s="3" t="n">
        <f aca="false">IFERROR(__xludf.dummyfunction("if($T92&lt;&gt;"""",VALUE(REGEXEXTRACT($T92, J$1&amp;""[\w &amp;]*, (\d+\.\d+)"")),"""")
"),470)</f>
        <v>470</v>
      </c>
      <c r="K92" s="3" t="n">
        <f aca="false">IFERROR(__xludf.dummyfunction("if($T92&lt;&gt;"""",VALUE(REGEXEXTRACT($T92, K$1&amp;""[\w &amp;]*, (\d+\.\d+)"")),"""")
"),469)</f>
        <v>469</v>
      </c>
      <c r="L92" s="3" t="n">
        <f aca="false">IFERROR(__xludf.dummyfunction("if($T92&lt;&gt;"""",VALUE(REGEXEXTRACT(SUBSTITUTE ($T92,L$1&amp;"" CE"",""""), L$1&amp;""[\w &amp;]*, (\d+\.\d+)"")),"""")
"),474)</f>
        <v>474</v>
      </c>
      <c r="M92" s="3" t="n">
        <f aca="false">IFERROR(__xludf.dummyfunction("if($T92&lt;&gt;"""",VALUE(REGEXEXTRACT($T92, M$1&amp;""[\w &amp;]*, (\d+\.\d+)"")),"""")
"),471)</f>
        <v>471</v>
      </c>
      <c r="N92" s="3" t="n">
        <f aca="false">IFERROR(__xludf.dummyfunction("if($T92&lt;&gt;"""",VALUE(REGEXEXTRACT(SUBSTITUTE ($T92,N$1&amp;"" CE"",""""), N$1&amp;""[\w &amp;]*, (\d+\.\d+)"")),"""")
"),480)</f>
        <v>480</v>
      </c>
      <c r="O92" s="3" t="n">
        <f aca="false">IFERROR(__xludf.dummyfunction("if($T92&lt;&gt;"""",VALUE(REGEXEXTRACT($T92, O$1&amp;""[\w &amp;]*, (\d+\.\d+)"")),"""")
"),472)</f>
        <v>472</v>
      </c>
      <c r="P92" s="2" t="n">
        <f aca="false">IFERROR(__xludf.dummyfunction("if($T92&lt;&gt;"""",VALUE(REGEXEXTRACT($T92, P$1&amp;""[\w &amp;]*, (\d+\.\d+)"")),"""")
"),468.7)</f>
        <v>468.7</v>
      </c>
      <c r="Q92" s="2" t="n">
        <f aca="false">IFERROR(__xludf.dummyfunction("if($T92&lt;&gt;"""",VALUE(REGEXEXTRACT($T92, Q$1&amp;""[\w &amp;]*, (\d+\.\d+)"")),"""")
"),466.63)</f>
        <v>466.63</v>
      </c>
      <c r="R92" s="2" t="n">
        <f aca="false">IFERROR(__xludf.dummyfunction("if($T92&lt;&gt;"""",VALUE(REGEXEXTRACT($T92, SUBSTITUTE(R$1, ""+"", ""\+"")&amp;""[\w &amp;]*, (\d+\.\d+)"")),"""")"),478.7)</f>
        <v>478.7</v>
      </c>
      <c r="S92" s="2" t="n">
        <f aca="false">IFERROR(__xludf.dummyfunction("if($T92&lt;&gt;"""",VALUE(REGEXEXTRACT($T92, SUBSTITUTE(S$1, ""+"", ""\+"")&amp;""[\w &amp;]*, (\d+\.\d+)"")),"""")"),480.77)</f>
        <v>480.77</v>
      </c>
      <c r="T92" s="5" t="s">
        <v>509</v>
      </c>
    </row>
    <row r="93" customFormat="false" ht="15.75" hidden="false" customHeight="false" outlineLevel="0" collapsed="false">
      <c r="A93" s="4" t="n">
        <f aca="false">IFERROR(__xludf.dummyfunction("""COMPUTED_VALUE"""),45532.6666666667)</f>
        <v>45532.6666666667</v>
      </c>
      <c r="B93" s="2" t="n">
        <f aca="false">IFERROR(__xludf.dummyfunction("""COMPUTED_VALUE"""),476.29)</f>
        <v>476.29</v>
      </c>
      <c r="C93" s="2" t="n">
        <f aca="false">IFERROR(__xludf.dummyfunction("""COMPUTED_VALUE"""),477.02)</f>
        <v>477.02</v>
      </c>
      <c r="D93" s="2" t="n">
        <f aca="false">IFERROR(__xludf.dummyfunction("""COMPUTED_VALUE"""),467.89)</f>
        <v>467.89</v>
      </c>
      <c r="E93" s="2" t="n">
        <f aca="false">IFERROR(__xludf.dummyfunction("""COMPUTED_VALUE"""),471.35)</f>
        <v>471.35</v>
      </c>
      <c r="F93" s="3" t="n">
        <f aca="false">IFERROR(__xludf.dummyfunction("if($T93&lt;&gt;"""",VALUE(REGEXEXTRACT(SUBSTITUTE ($T93,F$1&amp;"" CE"",""""), F$1&amp;""[\w &amp;]*, (\d+\.\d+)"")),"""")
"),480)</f>
        <v>480</v>
      </c>
      <c r="G93" s="3" t="n">
        <f aca="false">IFERROR(__xludf.dummyfunction("if($T93&lt;&gt;"""",VALUE(REGEXEXTRACT($T93, G$1&amp;""[\w &amp;]*, (\d+\.\d+)"")),"""")
"),477)</f>
        <v>477</v>
      </c>
      <c r="H93" s="3" t="n">
        <f aca="false">IFERROR(__xludf.dummyfunction("if($T93&lt;&gt;"""",VALUE(REGEXEXTRACT($T93, H$1&amp;""[\w &amp;]*, (\d+\.\d+)"")),"""")
"),487)</f>
        <v>487</v>
      </c>
      <c r="I93" s="3" t="n">
        <f aca="false">IFERROR(__xludf.dummyfunction("if($T93&lt;&gt;"""",VALUE(REGEXEXTRACT(SUBSTITUTE ($T93,I$1&amp;"" CE"",""""), I$1&amp;""[\w &amp;]*, (\d+\.\d+)"")),"""")
"),470)</f>
        <v>470</v>
      </c>
      <c r="J93" s="3" t="n">
        <f aca="false">IFERROR(__xludf.dummyfunction("if($T93&lt;&gt;"""",VALUE(REGEXEXTRACT($T93, J$1&amp;""[\w &amp;]*, (\d+\.\d+)"")),"""")
"),471)</f>
        <v>471</v>
      </c>
      <c r="K93" s="3" t="n">
        <f aca="false">IFERROR(__xludf.dummyfunction("if($T93&lt;&gt;"""",VALUE(REGEXEXTRACT($T93, K$1&amp;""[\w &amp;]*, (\d+\.\d+)"")),"""")
"),468)</f>
        <v>468</v>
      </c>
      <c r="L93" s="3" t="n">
        <f aca="false">IFERROR(__xludf.dummyfunction("if($T93&lt;&gt;"""",VALUE(REGEXEXTRACT(SUBSTITUTE ($T93,L$1&amp;"" CE"",""""), L$1&amp;""[\w &amp;]*, (\d+\.\d+)"")),"""")
"),474)</f>
        <v>474</v>
      </c>
      <c r="M93" s="3" t="n">
        <f aca="false">IFERROR(__xludf.dummyfunction("if($T93&lt;&gt;"""",VALUE(REGEXEXTRACT($T93, M$1&amp;""[\w &amp;]*, (\d+\.\d+)"")),"""")
"),476)</f>
        <v>476</v>
      </c>
      <c r="N93" s="3" t="n">
        <f aca="false">IFERROR(__xludf.dummyfunction("if($T93&lt;&gt;"""",VALUE(REGEXEXTRACT(SUBSTITUTE ($T93,N$1&amp;"" CE"",""""), N$1&amp;""[\w &amp;]*, (\d+\.\d+)"")),"""")
"),480)</f>
        <v>480</v>
      </c>
      <c r="O93" s="3" t="n">
        <f aca="false">IFERROR(__xludf.dummyfunction("if($T93&lt;&gt;"""",VALUE(REGEXEXTRACT($T93, O$1&amp;""[\w &amp;]*, (\d+\.\d+)"")),"""")
"),477)</f>
        <v>477</v>
      </c>
      <c r="P93" s="2" t="n">
        <f aca="false">IFERROR(__xludf.dummyfunction("if($T93&lt;&gt;"""",VALUE(REGEXEXTRACT($T93, P$1&amp;""[\w &amp;]*, (\d+\.\d+)"")),"""")
"),471.51)</f>
        <v>471.51</v>
      </c>
      <c r="Q93" s="2" t="n">
        <f aca="false">IFERROR(__xludf.dummyfunction("if($T93&lt;&gt;"""",VALUE(REGEXEXTRACT($T93, Q$1&amp;""[\w &amp;]*, (\d+\.\d+)"")),"""")
"),469.44)</f>
        <v>469.44</v>
      </c>
      <c r="R93" s="2" t="n">
        <f aca="false">IFERROR(__xludf.dummyfunction("if($T93&lt;&gt;"""",VALUE(REGEXEXTRACT($T93, SUBSTITUTE(R$1, ""+"", ""\+"")&amp;""[\w &amp;]*, (\d+\.\d+)"")),"""")"),481.49)</f>
        <v>481.49</v>
      </c>
      <c r="S93" s="2" t="n">
        <f aca="false">IFERROR(__xludf.dummyfunction("if($T93&lt;&gt;"""",VALUE(REGEXEXTRACT($T93, SUBSTITUTE(S$1, ""+"", ""\+"")&amp;""[\w &amp;]*, (\d+\.\d+)"")),"""")"),483.56)</f>
        <v>483.56</v>
      </c>
      <c r="T93" s="5" t="s">
        <v>510</v>
      </c>
    </row>
    <row r="94" customFormat="false" ht="15.75" hidden="false" customHeight="false" outlineLevel="0" collapsed="false">
      <c r="A94" s="4" t="n">
        <f aca="false">IFERROR(__xludf.dummyfunction("""COMPUTED_VALUE"""),45533.6666666667)</f>
        <v>45533.6666666667</v>
      </c>
      <c r="B94" s="2" t="n">
        <f aca="false">IFERROR(__xludf.dummyfunction("""COMPUTED_VALUE"""),473.28)</f>
        <v>473.28</v>
      </c>
      <c r="C94" s="2" t="n">
        <f aca="false">IFERROR(__xludf.dummyfunction("""COMPUTED_VALUE"""),477.93)</f>
        <v>477.93</v>
      </c>
      <c r="D94" s="2" t="n">
        <f aca="false">IFERROR(__xludf.dummyfunction("""COMPUTED_VALUE"""),469.37)</f>
        <v>469.37</v>
      </c>
      <c r="E94" s="2" t="n">
        <f aca="false">IFERROR(__xludf.dummyfunction("""COMPUTED_VALUE"""),470.66)</f>
        <v>470.66</v>
      </c>
      <c r="F94" s="3" t="n">
        <f aca="false">IFERROR(__xludf.dummyfunction("if($T94&lt;&gt;"""",VALUE(REGEXEXTRACT(SUBSTITUTE ($T94,F$1&amp;"" CE"",""""), F$1&amp;""[\w &amp;]*, (\d+\.\d+)"")),"""")
"),480)</f>
        <v>480</v>
      </c>
      <c r="G94" s="3" t="n">
        <f aca="false">IFERROR(__xludf.dummyfunction("if($T94&lt;&gt;"""",VALUE(REGEXEXTRACT($T94, G$1&amp;""[\w &amp;]*, (\d+\.\d+)"")),"""")
"),473)</f>
        <v>473</v>
      </c>
      <c r="H94" s="3" t="n">
        <f aca="false">IFERROR(__xludf.dummyfunction("if($T94&lt;&gt;"""",VALUE(REGEXEXTRACT($T94, H$1&amp;""[\w &amp;]*, (\d+\.\d+)"")),"""")
"),484)</f>
        <v>484</v>
      </c>
      <c r="I94" s="3" t="n">
        <f aca="false">IFERROR(__xludf.dummyfunction("if($T94&lt;&gt;"""",VALUE(REGEXEXTRACT(SUBSTITUTE ($T94,I$1&amp;"" CE"",""""), I$1&amp;""[\w &amp;]*, (\d+\.\d+)"")),"""")
"),470)</f>
        <v>470</v>
      </c>
      <c r="J94" s="3" t="n">
        <f aca="false">IFERROR(__xludf.dummyfunction("if($T94&lt;&gt;"""",VALUE(REGEXEXTRACT($T94, J$1&amp;""[\w &amp;]*, (\d+\.\d+)"")),"""")
"),460)</f>
        <v>460</v>
      </c>
      <c r="K94" s="3" t="n">
        <f aca="false">IFERROR(__xludf.dummyfunction("if($T94&lt;&gt;"""",VALUE(REGEXEXTRACT($T94, K$1&amp;""[\w &amp;]*, (\d+\.\d+)"")),"""")
"),459)</f>
        <v>459</v>
      </c>
      <c r="L94" s="3" t="n">
        <f aca="false">IFERROR(__xludf.dummyfunction("if($T94&lt;&gt;"""",VALUE(REGEXEXTRACT(SUBSTITUTE ($T94,L$1&amp;"" CE"",""""), L$1&amp;""[\w &amp;]*, (\d+\.\d+)"")),"""")
"),471)</f>
        <v>471</v>
      </c>
      <c r="M94" s="3" t="n">
        <f aca="false">IFERROR(__xludf.dummyfunction("if($T94&lt;&gt;"""",VALUE(REGEXEXTRACT($T94, M$1&amp;""[\w &amp;]*, (\d+\.\d+)"")),"""")
"),470)</f>
        <v>470</v>
      </c>
      <c r="N94" s="3" t="n">
        <f aca="false">IFERROR(__xludf.dummyfunction("if($T94&lt;&gt;"""",VALUE(REGEXEXTRACT(SUBSTITUTE ($T94,N$1&amp;"" CE"",""""), N$1&amp;""[\w &amp;]*, (\d+\.\d+)"")),"""")
"),480)</f>
        <v>480</v>
      </c>
      <c r="O94" s="3" t="n">
        <f aca="false">IFERROR(__xludf.dummyfunction("if($T94&lt;&gt;"""",VALUE(REGEXEXTRACT($T94, O$1&amp;""[\w &amp;]*, (\d+\.\d+)"")),"""")
"),473)</f>
        <v>473</v>
      </c>
      <c r="P94" s="2" t="n">
        <f aca="false">IFERROR(__xludf.dummyfunction("if($T94&lt;&gt;"""",VALUE(REGEXEXTRACT($T94, P$1&amp;""[\w &amp;]*, (\d+\.\d+)"")),"""")
"),467.08)</f>
        <v>467.08</v>
      </c>
      <c r="Q94" s="2" t="n">
        <f aca="false">IFERROR(__xludf.dummyfunction("if($T94&lt;&gt;"""",VALUE(REGEXEXTRACT($T94, Q$1&amp;""[\w &amp;]*, (\d+\.\d+)"")),"""")
"),464.88)</f>
        <v>464.88</v>
      </c>
      <c r="R94" s="2" t="n">
        <f aca="false">IFERROR(__xludf.dummyfunction("if($T94&lt;&gt;"""",VALUE(REGEXEXTRACT($T94, SUBSTITUTE(R$1, ""+"", ""\+"")&amp;""[\w &amp;]*, (\d+\.\d+)"")),"""")"),477.72)</f>
        <v>477.72</v>
      </c>
      <c r="S94" s="2" t="n">
        <f aca="false">IFERROR(__xludf.dummyfunction("if($T94&lt;&gt;"""",VALUE(REGEXEXTRACT($T94, SUBSTITUTE(S$1, ""+"", ""\+"")&amp;""[\w &amp;]*, (\d+\.\d+)"")),"""")"),479.92)</f>
        <v>479.92</v>
      </c>
      <c r="T94" s="5" t="s">
        <v>511</v>
      </c>
    </row>
    <row r="95" customFormat="false" ht="15.75" hidden="false" customHeight="false" outlineLevel="0" collapsed="false">
      <c r="A95" s="4" t="n">
        <f aca="false">IFERROR(__xludf.dummyfunction("""COMPUTED_VALUE"""),45534.6666666667)</f>
        <v>45534.6666666667</v>
      </c>
      <c r="B95" s="2" t="n">
        <f aca="false">IFERROR(__xludf.dummyfunction("""COMPUTED_VALUE"""),475.04)</f>
        <v>475.04</v>
      </c>
      <c r="C95" s="2" t="n">
        <f aca="false">IFERROR(__xludf.dummyfunction("""COMPUTED_VALUE"""),476.9)</f>
        <v>476.9</v>
      </c>
      <c r="D95" s="2" t="n">
        <f aca="false">IFERROR(__xludf.dummyfunction("""COMPUTED_VALUE"""),470.51)</f>
        <v>470.51</v>
      </c>
      <c r="E95" s="2" t="n">
        <f aca="false">IFERROR(__xludf.dummyfunction("""COMPUTED_VALUE"""),476.27)</f>
        <v>476.27</v>
      </c>
      <c r="F95" s="3" t="n">
        <f aca="false">IFERROR(__xludf.dummyfunction("if($T95&lt;&gt;"""",VALUE(REGEXEXTRACT(SUBSTITUTE ($T95,F$1&amp;"" CE"",""""), F$1&amp;""[\w &amp;]*, (\d+\.\d+)"")),"""")
"),480)</f>
        <v>480</v>
      </c>
      <c r="G95" s="3" t="n">
        <f aca="false">IFERROR(__xludf.dummyfunction("if($T95&lt;&gt;"""",VALUE(REGEXEXTRACT($T95, G$1&amp;""[\w &amp;]*, (\d+\.\d+)"")),"""")
"),480)</f>
        <v>480</v>
      </c>
      <c r="H95" s="3" t="n">
        <f aca="false">IFERROR(__xludf.dummyfunction("if($T95&lt;&gt;"""",VALUE(REGEXEXTRACT($T95, H$1&amp;""[\w &amp;]*, (\d+\.\d+)"")),"""")
"),482)</f>
        <v>482</v>
      </c>
      <c r="I95" s="3" t="n">
        <f aca="false">IFERROR(__xludf.dummyfunction("if($T95&lt;&gt;"""",VALUE(REGEXEXTRACT(SUBSTITUTE ($T95,I$1&amp;"" CE"",""""), I$1&amp;""[\w &amp;]*, (\d+\.\d+)"")),"""")
"),470)</f>
        <v>470</v>
      </c>
      <c r="J95" s="3" t="n">
        <f aca="false">IFERROR(__xludf.dummyfunction("if($T95&lt;&gt;"""",VALUE(REGEXEXTRACT($T95, J$1&amp;""[\w &amp;]*, (\d+\.\d+)"")),"""")
"),470)</f>
        <v>470</v>
      </c>
      <c r="K95" s="3" t="n">
        <f aca="false">IFERROR(__xludf.dummyfunction("if($T95&lt;&gt;"""",VALUE(REGEXEXTRACT($T95, K$1&amp;""[\w &amp;]*, (\d+\.\d+)"")),"""")
"),468)</f>
        <v>468</v>
      </c>
      <c r="L95" s="3" t="n">
        <f aca="false">IFERROR(__xludf.dummyfunction("if($T95&lt;&gt;"""",VALUE(REGEXEXTRACT(SUBSTITUTE ($T95,L$1&amp;"" CE"",""""), L$1&amp;""[\w &amp;]*, (\d+\.\d+)"")),"""")
"),473)</f>
        <v>473</v>
      </c>
      <c r="M95" s="3" t="n">
        <f aca="false">IFERROR(__xludf.dummyfunction("if($T95&lt;&gt;"""",VALUE(REGEXEXTRACT($T95, M$1&amp;""[\w &amp;]*, (\d+\.\d+)"")),"""")
"),471)</f>
        <v>471</v>
      </c>
      <c r="N95" s="3" t="n">
        <f aca="false">IFERROR(__xludf.dummyfunction("if($T95&lt;&gt;"""",VALUE(REGEXEXTRACT(SUBSTITUTE ($T95,N$1&amp;"" CE"",""""), N$1&amp;""[\w &amp;]*, (\d+\.\d+)"")),"""")
"),470)</f>
        <v>470</v>
      </c>
      <c r="O95" s="3" t="n">
        <f aca="false">IFERROR(__xludf.dummyfunction("if($T95&lt;&gt;"""",VALUE(REGEXEXTRACT($T95, O$1&amp;""[\w &amp;]*, (\d+\.\d+)"")),"""")
"),470)</f>
        <v>470</v>
      </c>
      <c r="P95" s="2" t="n">
        <f aca="false">IFERROR(__xludf.dummyfunction("if($T95&lt;&gt;"""",VALUE(REGEXEXTRACT($T95, P$1&amp;""[\w &amp;]*, (\d+\.\d+)"")),"""")
"),470.1)</f>
        <v>470.1</v>
      </c>
      <c r="Q95" s="2" t="n">
        <f aca="false">IFERROR(__xludf.dummyfunction("if($T95&lt;&gt;"""",VALUE(REGEXEXTRACT($T95, Q$1&amp;""[\w &amp;]*, (\d+\.\d+)"")),"""")
"),464.77)</f>
        <v>464.77</v>
      </c>
      <c r="R95" s="2" t="n">
        <f aca="false">IFERROR(__xludf.dummyfunction("if($T95&lt;&gt;"""",VALUE(REGEXEXTRACT($T95, SUBSTITUTE(R$1, ""+"", ""\+"")&amp;""[\w &amp;]*, (\d+\.\d+)"")),"""")"),478.9)</f>
        <v>478.9</v>
      </c>
      <c r="S95" s="2" t="n">
        <f aca="false">IFERROR(__xludf.dummyfunction("if($T95&lt;&gt;"""",VALUE(REGEXEXTRACT($T95, SUBSTITUTE(S$1, ""+"", ""\+"")&amp;""[\w &amp;]*, (\d+\.\d+)"")),"""")"),484.23)</f>
        <v>484.23</v>
      </c>
      <c r="T95" s="5" t="s">
        <v>512</v>
      </c>
    </row>
    <row r="96" customFormat="false" ht="15.75" hidden="false" customHeight="false" outlineLevel="0" collapsed="false">
      <c r="A96" s="4" t="n">
        <f aca="false">IFERROR(__xludf.dummyfunction("""COMPUTED_VALUE"""),45538.6666666667)</f>
        <v>45538.6666666667</v>
      </c>
      <c r="B96" s="2" t="n">
        <f aca="false">IFERROR(__xludf.dummyfunction("""COMPUTED_VALUE"""),473.2)</f>
        <v>473.2</v>
      </c>
      <c r="C96" s="2" t="n">
        <f aca="false">IFERROR(__xludf.dummyfunction("""COMPUTED_VALUE"""),473.33)</f>
        <v>473.33</v>
      </c>
      <c r="D96" s="2" t="n">
        <f aca="false">IFERROR(__xludf.dummyfunction("""COMPUTED_VALUE"""),459.41)</f>
        <v>459.41</v>
      </c>
      <c r="E96" s="2" t="n">
        <f aca="false">IFERROR(__xludf.dummyfunction("""COMPUTED_VALUE"""),461.81)</f>
        <v>461.81</v>
      </c>
      <c r="F96" s="3" t="n">
        <f aca="false">IFERROR(__xludf.dummyfunction("if($T96&lt;&gt;"""",VALUE(REGEXEXTRACT(SUBSTITUTE ($T96,F$1&amp;"" CE"",""""), F$1&amp;""[\w &amp;]*, (\d+\.\d+)"")),"""")
"),480)</f>
        <v>480</v>
      </c>
      <c r="G96" s="3" t="n">
        <f aca="false">IFERROR(__xludf.dummyfunction("if($T96&lt;&gt;"""",VALUE(REGEXEXTRACT($T96, G$1&amp;""[\w &amp;]*, (\d+\.\d+)"")),"""")
"),480)</f>
        <v>480</v>
      </c>
      <c r="H96" s="3" t="n">
        <f aca="false">IFERROR(__xludf.dummyfunction("if($T96&lt;&gt;"""",VALUE(REGEXEXTRACT($T96, H$1&amp;""[\w &amp;]*, (\d+\.\d+)"")),"""")
"),487)</f>
        <v>487</v>
      </c>
      <c r="I96" s="3" t="n">
        <f aca="false">IFERROR(__xludf.dummyfunction("if($T96&lt;&gt;"""",VALUE(REGEXEXTRACT(SUBSTITUTE ($T96,I$1&amp;"" CE"",""""), I$1&amp;""[\w &amp;]*, (\d+\.\d+)"")),"""")
"),470)</f>
        <v>470</v>
      </c>
      <c r="J96" s="3" t="n">
        <f aca="false">IFERROR(__xludf.dummyfunction("if($T96&lt;&gt;"""",VALUE(REGEXEXTRACT($T96, J$1&amp;""[\w &amp;]*, (\d+\.\d+)"")),"""")
"),470)</f>
        <v>470</v>
      </c>
      <c r="K96" s="3" t="n">
        <f aca="false">IFERROR(__xludf.dummyfunction("if($T96&lt;&gt;"""",VALUE(REGEXEXTRACT($T96, K$1&amp;""[\w &amp;]*, (\d+\.\d+)"")),"""")
"),464)</f>
        <v>464</v>
      </c>
      <c r="L96" s="3" t="n">
        <f aca="false">IFERROR(__xludf.dummyfunction("if($T96&lt;&gt;"""",VALUE(REGEXEXTRACT(SUBSTITUTE ($T96,L$1&amp;"" CE"",""""), L$1&amp;""[\w &amp;]*, (\d+\.\d+)"")),"""")
"),472.5)</f>
        <v>472.5</v>
      </c>
      <c r="M96" s="3" t="n">
        <f aca="false">IFERROR(__xludf.dummyfunction("if($T96&lt;&gt;"""",VALUE(REGEXEXTRACT($T96, M$1&amp;""[\w &amp;]*, (\d+\.\d+)"")),"""")
"),471)</f>
        <v>471</v>
      </c>
      <c r="N96" s="3" t="n">
        <f aca="false">IFERROR(__xludf.dummyfunction("if($T96&lt;&gt;"""",VALUE(REGEXEXTRACT(SUBSTITUTE ($T96,N$1&amp;"" CE"",""""), N$1&amp;""[\w &amp;]*, (\d+\.\d+)"")),"""")
"),480)</f>
        <v>480</v>
      </c>
      <c r="O96" s="3" t="n">
        <f aca="false">IFERROR(__xludf.dummyfunction("if($T96&lt;&gt;"""",VALUE(REGEXEXTRACT($T96, O$1&amp;""[\w &amp;]*, (\d+\.\d+)"")),"""")
"),478)</f>
        <v>478</v>
      </c>
      <c r="P96" s="2" t="n">
        <f aca="false">IFERROR(__xludf.dummyfunction("if($T96&lt;&gt;"""",VALUE(REGEXEXTRACT($T96, P$1&amp;""[\w &amp;]*, (\d+\.\d+)"")),"""")
"),470.41)</f>
        <v>470.41</v>
      </c>
      <c r="Q96" s="2" t="n">
        <f aca="false">IFERROR(__xludf.dummyfunction("if($T96&lt;&gt;"""",VALUE(REGEXEXTRACT($T96, Q$1&amp;""[\w &amp;]*, (\d+\.\d+)"")),"""")
"),468.98)</f>
        <v>468.98</v>
      </c>
      <c r="R96" s="2" t="n">
        <f aca="false">IFERROR(__xludf.dummyfunction("if($T96&lt;&gt;"""",VALUE(REGEXEXTRACT($T96, SUBSTITUTE(R$1, ""+"", ""\+"")&amp;""[\w &amp;]*, (\d+\.\d+)"")),"""")"),477.33)</f>
        <v>477.33</v>
      </c>
      <c r="S96" s="2" t="n">
        <f aca="false">IFERROR(__xludf.dummyfunction("if($T96&lt;&gt;"""",VALUE(REGEXEXTRACT($T96, SUBSTITUTE(S$1, ""+"", ""\+"")&amp;""[\w &amp;]*, (\d+\.\d+)"")),"""")"),478.76)</f>
        <v>478.76</v>
      </c>
      <c r="T96" s="5" t="s">
        <v>513</v>
      </c>
    </row>
    <row r="97" customFormat="false" ht="15.75" hidden="false" customHeight="false" outlineLevel="0" collapsed="false">
      <c r="A97" s="4" t="n">
        <f aca="false">IFERROR(__xludf.dummyfunction("""COMPUTED_VALUE"""),45539.6666666667)</f>
        <v>45539.6666666667</v>
      </c>
      <c r="B97" s="2" t="n">
        <f aca="false">IFERROR(__xludf.dummyfunction("""COMPUTED_VALUE"""),458.67)</f>
        <v>458.67</v>
      </c>
      <c r="C97" s="2" t="n">
        <f aca="false">IFERROR(__xludf.dummyfunction("""COMPUTED_VALUE"""),464.45)</f>
        <v>464.45</v>
      </c>
      <c r="D97" s="2" t="n">
        <f aca="false">IFERROR(__xludf.dummyfunction("""COMPUTED_VALUE"""),457.73)</f>
        <v>457.73</v>
      </c>
      <c r="E97" s="2" t="n">
        <f aca="false">IFERROR(__xludf.dummyfunction("""COMPUTED_VALUE"""),460.61)</f>
        <v>460.61</v>
      </c>
      <c r="F97" s="3" t="n">
        <f aca="false">IFERROR(__xludf.dummyfunction("if($T97&lt;&gt;"""",VALUE(REGEXEXTRACT(SUBSTITUTE ($T97,F$1&amp;"" CE"",""""), F$1&amp;""[\w &amp;]*, (\d+\.\d+)"")),"""")
"),462)</f>
        <v>462</v>
      </c>
      <c r="G97" s="3" t="n">
        <f aca="false">IFERROR(__xludf.dummyfunction("if($T97&lt;&gt;"""",VALUE(REGEXEXTRACT($T97, G$1&amp;""[\w &amp;]*, (\d+\.\d+)"")),"""")
"),462)</f>
        <v>462</v>
      </c>
      <c r="H97" s="3" t="n">
        <f aca="false">IFERROR(__xludf.dummyfunction("if($T97&lt;&gt;"""",VALUE(REGEXEXTRACT($T97, H$1&amp;""[\w &amp;]*, (\d+\.\d+)"")),"""")
"),487)</f>
        <v>487</v>
      </c>
      <c r="I97" s="3" t="n">
        <f aca="false">IFERROR(__xludf.dummyfunction("if($T97&lt;&gt;"""",VALUE(REGEXEXTRACT(SUBSTITUTE ($T97,I$1&amp;"" CE"",""""), I$1&amp;""[\w &amp;]*, (\d+\.\d+)"")),"""")
"),470)</f>
        <v>470</v>
      </c>
      <c r="J97" s="3" t="n">
        <f aca="false">IFERROR(__xludf.dummyfunction("if($T97&lt;&gt;"""",VALUE(REGEXEXTRACT($T97, J$1&amp;""[\w &amp;]*, (\d+\.\d+)"")),"""")
"),460)</f>
        <v>460</v>
      </c>
      <c r="K97" s="3" t="n">
        <f aca="false">IFERROR(__xludf.dummyfunction("if($T97&lt;&gt;"""",VALUE(REGEXEXTRACT($T97, K$1&amp;""[\w &amp;]*, (\d+\.\d+)"")),"""")
"),458)</f>
        <v>458</v>
      </c>
      <c r="L97" s="3" t="n">
        <f aca="false">IFERROR(__xludf.dummyfunction("if($T97&lt;&gt;"""",VALUE(REGEXEXTRACT(SUBSTITUTE ($T97,L$1&amp;"" CE"",""""), L$1&amp;""[\w &amp;]*, (\d+\.\d+)"")),"""")
"),461)</f>
        <v>461</v>
      </c>
      <c r="M97" s="3" t="n">
        <f aca="false">IFERROR(__xludf.dummyfunction("if($T97&lt;&gt;"""",VALUE(REGEXEXTRACT($T97, M$1&amp;""[\w &amp;]*, (\d+\.\d+)"")),"""")
"),461)</f>
        <v>461</v>
      </c>
      <c r="N97" s="3" t="n">
        <f aca="false">IFERROR(__xludf.dummyfunction("if($T97&lt;&gt;"""",VALUE(REGEXEXTRACT(SUBSTITUTE ($T97,N$1&amp;"" CE"",""""), N$1&amp;""[\w &amp;]*, (\d+\.\d+)"")),"""")
"),470)</f>
        <v>470</v>
      </c>
      <c r="O97" s="3" t="n">
        <f aca="false">IFERROR(__xludf.dummyfunction("if($T97&lt;&gt;"""",VALUE(REGEXEXTRACT($T97, O$1&amp;""[\w &amp;]*, (\d+\.\d+)"")),"""")
"),462)</f>
        <v>462</v>
      </c>
      <c r="P97" s="2" t="n">
        <f aca="false">IFERROR(__xludf.dummyfunction("if($T97&lt;&gt;"""",VALUE(REGEXEXTRACT($T97, P$1&amp;""[\w &amp;]*, (\d+\.\d+)"")),"""")
"),453.78)</f>
        <v>453.78</v>
      </c>
      <c r="Q97" s="2" t="n">
        <f aca="false">IFERROR(__xludf.dummyfunction("if($T97&lt;&gt;"""",VALUE(REGEXEXTRACT($T97, Q$1&amp;""[\w &amp;]*, (\d+\.\d+)"")),"""")
"),451.86)</f>
        <v>451.86</v>
      </c>
      <c r="R97" s="2" t="n">
        <f aca="false">IFERROR(__xludf.dummyfunction("if($T97&lt;&gt;"""",VALUE(REGEXEXTRACT($T97, SUBSTITUTE(R$1, ""+"", ""\+"")&amp;""[\w &amp;]*, (\d+\.\d+)"")),"""")"),463.04)</f>
        <v>463.04</v>
      </c>
      <c r="S97" s="2" t="n">
        <f aca="false">IFERROR(__xludf.dummyfunction("if($T97&lt;&gt;"""",VALUE(REGEXEXTRACT($T97, SUBSTITUTE(S$1, ""+"", ""\+"")&amp;""[\w &amp;]*, (\d+\.\d+)"")),"""")"),464.96)</f>
        <v>464.96</v>
      </c>
      <c r="T97" s="5" t="s">
        <v>514</v>
      </c>
    </row>
    <row r="98" customFormat="false" ht="15.75" hidden="false" customHeight="false" outlineLevel="0" collapsed="false">
      <c r="A98" s="4" t="n">
        <f aca="false">IFERROR(__xludf.dummyfunction("""COMPUTED_VALUE"""),45540.6666666667)</f>
        <v>45540.6666666667</v>
      </c>
      <c r="B98" s="2" t="n">
        <f aca="false">IFERROR(__xludf.dummyfunction("""COMPUTED_VALUE"""),458.97)</f>
        <v>458.97</v>
      </c>
      <c r="C98" s="2" t="n">
        <f aca="false">IFERROR(__xludf.dummyfunction("""COMPUTED_VALUE"""),465.36)</f>
        <v>465.36</v>
      </c>
      <c r="D98" s="2" t="n">
        <f aca="false">IFERROR(__xludf.dummyfunction("""COMPUTED_VALUE"""),457.94)</f>
        <v>457.94</v>
      </c>
      <c r="E98" s="2" t="n">
        <f aca="false">IFERROR(__xludf.dummyfunction("""COMPUTED_VALUE"""),461.04)</f>
        <v>461.04</v>
      </c>
      <c r="F98" s="3" t="n">
        <f aca="false">IFERROR(__xludf.dummyfunction("if($T98&lt;&gt;"""",VALUE(REGEXEXTRACT(SUBSTITUTE ($T98,F$1&amp;"" CE"",""""), F$1&amp;""[\w &amp;]*, (\d+\.\d+)"")),"""")
"),462)</f>
        <v>462</v>
      </c>
      <c r="G98" s="3" t="n">
        <f aca="false">IFERROR(__xludf.dummyfunction("if($T98&lt;&gt;"""",VALUE(REGEXEXTRACT($T98, G$1&amp;""[\w &amp;]*, (\d+\.\d+)"")),"""")
"),462)</f>
        <v>462</v>
      </c>
      <c r="H98" s="3" t="n">
        <f aca="false">IFERROR(__xludf.dummyfunction("if($T98&lt;&gt;"""",VALUE(REGEXEXTRACT($T98, H$1&amp;""[\w &amp;]*, (\d+\.\d+)"")),"""")
"),464)</f>
        <v>464</v>
      </c>
      <c r="I98" s="3" t="n">
        <f aca="false">IFERROR(__xludf.dummyfunction("if($T98&lt;&gt;"""",VALUE(REGEXEXTRACT(SUBSTITUTE ($T98,I$1&amp;"" CE"",""""), I$1&amp;""[\w &amp;]*, (\d+\.\d+)"")),"""")
"),470)</f>
        <v>470</v>
      </c>
      <c r="J98" s="3" t="n">
        <f aca="false">IFERROR(__xludf.dummyfunction("if($T98&lt;&gt;"""",VALUE(REGEXEXTRACT($T98, J$1&amp;""[\w &amp;]*, (\d+\.\d+)"")),"""")
"),455)</f>
        <v>455</v>
      </c>
      <c r="K98" s="3" t="n">
        <f aca="false">IFERROR(__xludf.dummyfunction("if($T98&lt;&gt;"""",VALUE(REGEXEXTRACT($T98, K$1&amp;""[\w &amp;]*, (\d+\.\d+)"")),"""")
"),458)</f>
        <v>458</v>
      </c>
      <c r="L98" s="3" t="n">
        <f aca="false">IFERROR(__xludf.dummyfunction("if($T98&lt;&gt;"""",VALUE(REGEXEXTRACT(SUBSTITUTE ($T98,L$1&amp;"" CE"",""""), L$1&amp;""[\w &amp;]*, (\d+\.\d+)"")),"""")
"),461)</f>
        <v>461</v>
      </c>
      <c r="M98" s="3" t="n">
        <f aca="false">IFERROR(__xludf.dummyfunction("if($T98&lt;&gt;"""",VALUE(REGEXEXTRACT($T98, M$1&amp;""[\w &amp;]*, (\d+\.\d+)"")),"""")
"),461)</f>
        <v>461</v>
      </c>
      <c r="N98" s="3" t="n">
        <f aca="false">IFERROR(__xludf.dummyfunction("if($T98&lt;&gt;"""",VALUE(REGEXEXTRACT(SUBSTITUTE ($T98,N$1&amp;"" CE"",""""), N$1&amp;""[\w &amp;]*, (\d+\.\d+)"")),"""")
"),470)</f>
        <v>470</v>
      </c>
      <c r="O98" s="3" t="n">
        <f aca="false">IFERROR(__xludf.dummyfunction("if($T98&lt;&gt;"""",VALUE(REGEXEXTRACT($T98, O$1&amp;""[\w &amp;]*, (\d+\.\d+)"")),"""")
"),462)</f>
        <v>462</v>
      </c>
      <c r="P98" s="2" t="n">
        <f aca="false">IFERROR(__xludf.dummyfunction("if($T98&lt;&gt;"""",VALUE(REGEXEXTRACT($T98, P$1&amp;""[\w &amp;]*, (\d+\.\d+)"")),"""")
"),452.77)</f>
        <v>452.77</v>
      </c>
      <c r="Q98" s="2" t="n">
        <f aca="false">IFERROR(__xludf.dummyfunction("if($T98&lt;&gt;"""",VALUE(REGEXEXTRACT($T98, Q$1&amp;""[\w &amp;]*, (\d+\.\d+)"")),"""")
"),450.68)</f>
        <v>450.68</v>
      </c>
      <c r="R98" s="2" t="n">
        <f aca="false">IFERROR(__xludf.dummyfunction("if($T98&lt;&gt;"""",VALUE(REGEXEXTRACT($T98, SUBSTITUTE(R$1, ""+"", ""\+"")&amp;""[\w &amp;]*, (\d+\.\d+)"")),"""")"),462.89)</f>
        <v>462.89</v>
      </c>
      <c r="S98" s="2" t="n">
        <f aca="false">IFERROR(__xludf.dummyfunction("if($T98&lt;&gt;"""",VALUE(REGEXEXTRACT($T98, SUBSTITUTE(S$1, ""+"", ""\+"")&amp;""[\w &amp;]*, (\d+\.\d+)"")),"""")"),464.98)</f>
        <v>464.98</v>
      </c>
      <c r="T98" s="5" t="s">
        <v>515</v>
      </c>
    </row>
    <row r="99" customFormat="false" ht="15.75" hidden="false" customHeight="false" outlineLevel="0" collapsed="false">
      <c r="A99" s="4" t="n">
        <f aca="false">IFERROR(__xludf.dummyfunction("""COMPUTED_VALUE"""),45541.6666666667)</f>
        <v>45541.6666666667</v>
      </c>
      <c r="B99" s="2" t="n">
        <f aca="false">IFERROR(__xludf.dummyfunction("""COMPUTED_VALUE"""),460.33)</f>
        <v>460.33</v>
      </c>
      <c r="C99" s="2" t="n">
        <f aca="false">IFERROR(__xludf.dummyfunction("""COMPUTED_VALUE"""),461.22)</f>
        <v>461.22</v>
      </c>
      <c r="D99" s="2" t="n">
        <f aca="false">IFERROR(__xludf.dummyfunction("""COMPUTED_VALUE"""),448.19)</f>
        <v>448.19</v>
      </c>
      <c r="E99" s="2" t="n">
        <f aca="false">IFERROR(__xludf.dummyfunction("""COMPUTED_VALUE"""),448.69)</f>
        <v>448.69</v>
      </c>
      <c r="F99" s="3" t="n">
        <f aca="false">IFERROR(__xludf.dummyfunction("if($T99&lt;&gt;"""",VALUE(REGEXEXTRACT(SUBSTITUTE ($T99,F$1&amp;"" CE"",""""), F$1&amp;""[\w &amp;]*, (\d+\.\d+)"")),"""")
"),480)</f>
        <v>480</v>
      </c>
      <c r="G99" s="3" t="n">
        <f aca="false">IFERROR(__xludf.dummyfunction("if($T99&lt;&gt;"""",VALUE(REGEXEXTRACT($T99, G$1&amp;""[\w &amp;]*, (\d+\.\d+)"")),"""")
"),470)</f>
        <v>470</v>
      </c>
      <c r="H99" s="3" t="n">
        <f aca="false">IFERROR(__xludf.dummyfunction("if($T99&lt;&gt;"""",VALUE(REGEXEXTRACT($T99, H$1&amp;""[\w &amp;]*, (\d+\.\d+)"")),"""")
"),487)</f>
        <v>487</v>
      </c>
      <c r="I99" s="3" t="n">
        <f aca="false">IFERROR(__xludf.dummyfunction("if($T99&lt;&gt;"""",VALUE(REGEXEXTRACT(SUBSTITUTE ($T99,I$1&amp;"" CE"",""""), I$1&amp;""[\w &amp;]*, (\d+\.\d+)"")),"""")
"),470)</f>
        <v>470</v>
      </c>
      <c r="J99" s="3" t="n">
        <f aca="false">IFERROR(__xludf.dummyfunction("if($T99&lt;&gt;"""",VALUE(REGEXEXTRACT($T99, J$1&amp;""[\w &amp;]*, (\d+\.\d+)"")),"""")
"),460)</f>
        <v>460</v>
      </c>
      <c r="K99" s="3" t="n">
        <f aca="false">IFERROR(__xludf.dummyfunction("if($T99&lt;&gt;"""",VALUE(REGEXEXTRACT($T99, K$1&amp;""[\w &amp;]*, (\d+\.\d+)"")),"""")
"),458)</f>
        <v>458</v>
      </c>
      <c r="L99" s="3" t="n">
        <f aca="false">IFERROR(__xludf.dummyfunction("if($T99&lt;&gt;"""",VALUE(REGEXEXTRACT(SUBSTITUTE ($T99,L$1&amp;"" CE"",""""), L$1&amp;""[\w &amp;]*, (\d+\.\d+)"")),"""")
"),460)</f>
        <v>460</v>
      </c>
      <c r="M99" s="3" t="n">
        <f aca="false">IFERROR(__xludf.dummyfunction("if($T99&lt;&gt;"""",VALUE(REGEXEXTRACT($T99, M$1&amp;""[\w &amp;]*, (\d+\.\d+)"")),"""")
"),460)</f>
        <v>460</v>
      </c>
      <c r="N99" s="3" t="n">
        <f aca="false">IFERROR(__xludf.dummyfunction("if($T99&lt;&gt;"""",VALUE(REGEXEXTRACT(SUBSTITUTE ($T99,N$1&amp;"" CE"",""""), N$1&amp;""[\w &amp;]*, (\d+\.\d+)"")),"""")
"),460)</f>
        <v>460</v>
      </c>
      <c r="O99" s="3" t="n">
        <f aca="false">IFERROR(__xludf.dummyfunction("if($T99&lt;&gt;"""",VALUE(REGEXEXTRACT($T99, O$1&amp;""[\w &amp;]*, (\d+\.\d+)"")),"""")
"),460)</f>
        <v>460</v>
      </c>
      <c r="P99" s="2" t="n">
        <f aca="false">IFERROR(__xludf.dummyfunction("if($T99&lt;&gt;"""",VALUE(REGEXEXTRACT($T99, P$1&amp;""[\w &amp;]*, (\d+\.\d+)"")),"""")
"),454.1)</f>
        <v>454.1</v>
      </c>
      <c r="Q99" s="2" t="n">
        <f aca="false">IFERROR(__xludf.dummyfunction("if($T99&lt;&gt;"""",VALUE(REGEXEXTRACT($T99, Q$1&amp;""[\w &amp;]*, (\d+\.\d+)"")),"""")
"),448.48)</f>
        <v>448.48</v>
      </c>
      <c r="R99" s="2" t="n">
        <f aca="false">IFERROR(__xludf.dummyfunction("if($T99&lt;&gt;"""",VALUE(REGEXEXTRACT($T99, SUBSTITUTE(R$1, ""+"", ""\+"")&amp;""[\w &amp;]*, (\d+\.\d+)"")),"""")"),465.34)</f>
        <v>465.34</v>
      </c>
      <c r="S99" s="2" t="n">
        <f aca="false">IFERROR(__xludf.dummyfunction("if($T99&lt;&gt;"""",VALUE(REGEXEXTRACT($T99, SUBSTITUTE(S$1, ""+"", ""\+"")&amp;""[\w &amp;]*, (\d+\.\d+)"")),"""")"),470.96)</f>
        <v>470.96</v>
      </c>
      <c r="T99" s="5" t="s">
        <v>516</v>
      </c>
    </row>
    <row r="100" customFormat="false" ht="15.75" hidden="false" customHeight="false" outlineLevel="0" collapsed="false">
      <c r="A100" s="4" t="n">
        <f aca="false">IFERROR(__xludf.dummyfunction("""COMPUTED_VALUE"""),45544.6666666667)</f>
        <v>45544.6666666667</v>
      </c>
      <c r="B100" s="2" t="n">
        <f aca="false">IFERROR(__xludf.dummyfunction("""COMPUTED_VALUE"""),453.06)</f>
        <v>453.06</v>
      </c>
      <c r="C100" s="2" t="n">
        <f aca="false">IFERROR(__xludf.dummyfunction("""COMPUTED_VALUE"""),455.46)</f>
        <v>455.46</v>
      </c>
      <c r="D100" s="2" t="n">
        <f aca="false">IFERROR(__xludf.dummyfunction("""COMPUTED_VALUE"""),449.82)</f>
        <v>449.82</v>
      </c>
      <c r="E100" s="2" t="n">
        <f aca="false">IFERROR(__xludf.dummyfunction("""COMPUTED_VALUE"""),454.46)</f>
        <v>454.46</v>
      </c>
      <c r="F100" s="3" t="n">
        <f aca="false">IFERROR(__xludf.dummyfunction("if($T100&lt;&gt;"""",VALUE(REGEXEXTRACT(SUBSTITUTE ($T100,F$1&amp;"" CE"",""""), F$1&amp;""[\w &amp;]*, (\d+\.\d+)"")),"""")
"),470)</f>
        <v>470</v>
      </c>
      <c r="G100" s="3" t="n">
        <f aca="false">IFERROR(__xludf.dummyfunction("if($T100&lt;&gt;"""",VALUE(REGEXEXTRACT($T100, G$1&amp;""[\w &amp;]*, (\d+\.\d+)"")),"""")
"),458)</f>
        <v>458</v>
      </c>
      <c r="H100" s="3" t="n">
        <f aca="false">IFERROR(__xludf.dummyfunction("if($T100&lt;&gt;"""",VALUE(REGEXEXTRACT($T100, H$1&amp;""[\w &amp;]*, (\d+\.\d+)"")),"""")
"),487)</f>
        <v>487</v>
      </c>
      <c r="I100" s="3" t="n">
        <f aca="false">IFERROR(__xludf.dummyfunction("if($T100&lt;&gt;"""",VALUE(REGEXEXTRACT(SUBSTITUTE ($T100,I$1&amp;"" CE"",""""), I$1&amp;""[\w &amp;]*, (\d+\.\d+)"")),"""")
"),450)</f>
        <v>450</v>
      </c>
      <c r="J100" s="3" t="n">
        <f aca="false">IFERROR(__xludf.dummyfunction("if($T100&lt;&gt;"""",VALUE(REGEXEXTRACT($T100, J$1&amp;""[\w &amp;]*, (\d+\.\d+)"")),"""")
"),445)</f>
        <v>445</v>
      </c>
      <c r="K100" s="3" t="n">
        <f aca="false">IFERROR(__xludf.dummyfunction("if($T100&lt;&gt;"""",VALUE(REGEXEXTRACT($T100, K$1&amp;""[\w &amp;]*, (\d+\.\d+)"")),"""")
"),439)</f>
        <v>439</v>
      </c>
      <c r="L100" s="3" t="n">
        <f aca="false">IFERROR(__xludf.dummyfunction("if($T100&lt;&gt;"""",VALUE(REGEXEXTRACT(SUBSTITUTE ($T100,L$1&amp;"" CE"",""""), L$1&amp;""[\w &amp;]*, (\d+\.\d+)"")),"""")
"),470)</f>
        <v>470</v>
      </c>
      <c r="M100" s="3" t="n">
        <f aca="false">IFERROR(__xludf.dummyfunction("if($T100&lt;&gt;"""",VALUE(REGEXEXTRACT($T100, M$1&amp;""[\w &amp;]*, (\d+\.\d+)"")),"""")
"),450)</f>
        <v>450</v>
      </c>
      <c r="N100" s="3" t="n">
        <f aca="false">IFERROR(__xludf.dummyfunction("if($T100&lt;&gt;"""",VALUE(REGEXEXTRACT(SUBSTITUTE ($T100,N$1&amp;"" CE"",""""), N$1&amp;""[\w &amp;]*, (\d+\.\d+)"")),"""")
"),450)</f>
        <v>450</v>
      </c>
      <c r="O100" s="3" t="n">
        <f aca="false">IFERROR(__xludf.dummyfunction("if($T100&lt;&gt;"""",VALUE(REGEXEXTRACT($T100, O$1&amp;""[\w &amp;]*, (\d+\.\d+)"")),"""")
"),450)</f>
        <v>450</v>
      </c>
      <c r="P100" s="2" t="n">
        <f aca="false">IFERROR(__xludf.dummyfunction("if($T100&lt;&gt;"""",VALUE(REGEXEXTRACT($T100, P$1&amp;""[\w &amp;]*, (\d+\.\d+)"")),"""")
"),447.31)</f>
        <v>447.31</v>
      </c>
      <c r="Q100" s="2" t="n">
        <f aca="false">IFERROR(__xludf.dummyfunction("if($T100&lt;&gt;"""",VALUE(REGEXEXTRACT($T100, Q$1&amp;""[\w &amp;]*, (\d+\.\d+)"")),"""")
"),445.36)</f>
        <v>445.36</v>
      </c>
      <c r="R100" s="2" t="n">
        <f aca="false">IFERROR(__xludf.dummyfunction("if($T100&lt;&gt;"""",VALUE(REGEXEXTRACT($T100, SUBSTITUTE(R$1, ""+"", ""\+"")&amp;""[\w &amp;]*, (\d+\.\d+)"")),"""")"),456.71)</f>
        <v>456.71</v>
      </c>
      <c r="S100" s="2" t="n">
        <f aca="false">IFERROR(__xludf.dummyfunction("if($T100&lt;&gt;"""",VALUE(REGEXEXTRACT($T100, SUBSTITUTE(S$1, ""+"", ""\+"")&amp;""[\w &amp;]*, (\d+\.\d+)"")),"""")"),458.66)</f>
        <v>458.66</v>
      </c>
      <c r="T100" s="5" t="s">
        <v>517</v>
      </c>
    </row>
    <row r="101" customFormat="false" ht="15.75" hidden="false" customHeight="false" outlineLevel="0" collapsed="false">
      <c r="A101" s="4" t="n">
        <f aca="false">IFERROR(__xludf.dummyfunction("""COMPUTED_VALUE"""),45545.6666666667)</f>
        <v>45545.6666666667</v>
      </c>
      <c r="B101" s="2" t="n">
        <f aca="false">IFERROR(__xludf.dummyfunction("""COMPUTED_VALUE"""),456.24)</f>
        <v>456.24</v>
      </c>
      <c r="C101" s="2" t="n">
        <f aca="false">IFERROR(__xludf.dummyfunction("""COMPUTED_VALUE"""),459.17)</f>
        <v>459.17</v>
      </c>
      <c r="D101" s="2" t="n">
        <f aca="false">IFERROR(__xludf.dummyfunction("""COMPUTED_VALUE"""),452.23)</f>
        <v>452.23</v>
      </c>
      <c r="E101" s="2" t="n">
        <f aca="false">IFERROR(__xludf.dummyfunction("""COMPUTED_VALUE"""),458.66)</f>
        <v>458.66</v>
      </c>
      <c r="F101" s="3" t="n">
        <f aca="false">IFERROR(__xludf.dummyfunction("if($T101&lt;&gt;"""",VALUE(REGEXEXTRACT(SUBSTITUTE ($T101,F$1&amp;"" CE"",""""), F$1&amp;""[\w &amp;]*, (\d+\.\d+)"")),"""")
"),470)</f>
        <v>470</v>
      </c>
      <c r="G101" s="3" t="n">
        <f aca="false">IFERROR(__xludf.dummyfunction("if($T101&lt;&gt;"""",VALUE(REGEXEXTRACT($T101, G$1&amp;""[\w &amp;]*, (\d+\.\d+)"")),"""")
"),460)</f>
        <v>460</v>
      </c>
      <c r="H101" s="3" t="n">
        <f aca="false">IFERROR(__xludf.dummyfunction("if($T101&lt;&gt;"""",VALUE(REGEXEXTRACT($T101, H$1&amp;""[\w &amp;]*, (\d+\.\d+)"")),"""")
"),482)</f>
        <v>482</v>
      </c>
      <c r="I101" s="3" t="n">
        <f aca="false">IFERROR(__xludf.dummyfunction("if($T101&lt;&gt;"""",VALUE(REGEXEXTRACT(SUBSTITUTE ($T101,I$1&amp;"" CE"",""""), I$1&amp;""[\w &amp;]*, (\d+\.\d+)"")),"""")
"),450)</f>
        <v>450</v>
      </c>
      <c r="J101" s="3" t="n">
        <f aca="false">IFERROR(__xludf.dummyfunction("if($T101&lt;&gt;"""",VALUE(REGEXEXTRACT($T101, J$1&amp;""[\w &amp;]*, (\d+\.\d+)"")),"""")
"),457)</f>
        <v>457</v>
      </c>
      <c r="K101" s="3" t="n">
        <f aca="false">IFERROR(__xludf.dummyfunction("if($T101&lt;&gt;"""",VALUE(REGEXEXTRACT($T101, K$1&amp;""[\w &amp;]*, (\d+\.\d+)"")),"""")
"),448)</f>
        <v>448</v>
      </c>
      <c r="L101" s="3" t="n">
        <f aca="false">IFERROR(__xludf.dummyfunction("if($T101&lt;&gt;"""",VALUE(REGEXEXTRACT(SUBSTITUTE ($T101,L$1&amp;"" CE"",""""), L$1&amp;""[\w &amp;]*, (\d+\.\d+)"")),"""")
"),460)</f>
        <v>460</v>
      </c>
      <c r="M101" s="3" t="n">
        <f aca="false">IFERROR(__xludf.dummyfunction("if($T101&lt;&gt;"""",VALUE(REGEXEXTRACT($T101, M$1&amp;""[\w &amp;]*, (\d+\.\d+)"")),"""")
"),453)</f>
        <v>453</v>
      </c>
      <c r="N101" s="3" t="n">
        <f aca="false">IFERROR(__xludf.dummyfunction("if($T101&lt;&gt;"""",VALUE(REGEXEXTRACT(SUBSTITUTE ($T101,N$1&amp;"" CE"",""""), N$1&amp;""[\w &amp;]*, (\d+\.\d+)"")),"""")
"),460)</f>
        <v>460</v>
      </c>
      <c r="O101" s="3" t="n">
        <f aca="false">IFERROR(__xludf.dummyfunction("if($T101&lt;&gt;"""",VALUE(REGEXEXTRACT($T101, O$1&amp;""[\w &amp;]*, (\d+\.\d+)"")),"""")
"),460)</f>
        <v>460</v>
      </c>
      <c r="P101" s="2" t="n">
        <f aca="false">IFERROR(__xludf.dummyfunction("if($T101&lt;&gt;"""",VALUE(REGEXEXTRACT($T101, P$1&amp;""[\w &amp;]*, (\d+\.\d+)"")),"""")
"),451.07)</f>
        <v>451.07</v>
      </c>
      <c r="Q101" s="2" t="n">
        <f aca="false">IFERROR(__xludf.dummyfunction("if($T101&lt;&gt;"""",VALUE(REGEXEXTRACT($T101, Q$1&amp;""[\w &amp;]*, (\d+\.\d+)"")),"""")
"),448.91)</f>
        <v>448.91</v>
      </c>
      <c r="R101" s="2" t="n">
        <f aca="false">IFERROR(__xludf.dummyfunction("if($T101&lt;&gt;"""",VALUE(REGEXEXTRACT($T101, SUBSTITUTE(R$1, ""+"", ""\+"")&amp;""[\w &amp;]*, (\d+\.\d+)"")),"""")"),461.55)</f>
        <v>461.55</v>
      </c>
      <c r="S101" s="2" t="n">
        <f aca="false">IFERROR(__xludf.dummyfunction("if($T101&lt;&gt;"""",VALUE(REGEXEXTRACT($T101, SUBSTITUTE(S$1, ""+"", ""\+"")&amp;""[\w &amp;]*, (\d+\.\d+)"")),"""")"),463.71)</f>
        <v>463.71</v>
      </c>
      <c r="T101" s="5" t="s">
        <v>518</v>
      </c>
    </row>
    <row r="102" customFormat="false" ht="15.75" hidden="false" customHeight="false" outlineLevel="0" collapsed="false">
      <c r="A102" s="4" t="n">
        <f aca="false">IFERROR(__xludf.dummyfunction("""COMPUTED_VALUE"""),45546.6666666667)</f>
        <v>45546.6666666667</v>
      </c>
      <c r="B102" s="2" t="n">
        <f aca="false">IFERROR(__xludf.dummyfunction("""COMPUTED_VALUE"""),459.91)</f>
        <v>459.91</v>
      </c>
      <c r="C102" s="2" t="n">
        <f aca="false">IFERROR(__xludf.dummyfunction("""COMPUTED_VALUE"""),469.37)</f>
        <v>469.37</v>
      </c>
      <c r="D102" s="2" t="n">
        <f aca="false">IFERROR(__xludf.dummyfunction("""COMPUTED_VALUE"""),451.28)</f>
        <v>451.28</v>
      </c>
      <c r="E102" s="2" t="n">
        <f aca="false">IFERROR(__xludf.dummyfunction("""COMPUTED_VALUE"""),468.62)</f>
        <v>468.62</v>
      </c>
      <c r="F102" s="3" t="n">
        <f aca="false">IFERROR(__xludf.dummyfunction("if($T102&lt;&gt;"""",VALUE(REGEXEXTRACT(SUBSTITUTE ($T102,F$1&amp;"" CE"",""""), F$1&amp;""[\w &amp;]*, (\d+\.\d+)"")),"""")
"),470)</f>
        <v>470</v>
      </c>
      <c r="G102" s="3" t="n">
        <f aca="false">IFERROR(__xludf.dummyfunction("if($T102&lt;&gt;"""",VALUE(REGEXEXTRACT($T102, G$1&amp;""[\w &amp;]*, (\d+\.\d+)"")),"""")
"),460)</f>
        <v>460</v>
      </c>
      <c r="H102" s="3" t="n">
        <f aca="false">IFERROR(__xludf.dummyfunction("if($T102&lt;&gt;"""",VALUE(REGEXEXTRACT($T102, H$1&amp;""[\w &amp;]*, (\d+\.\d+)"")),"""")
"),477)</f>
        <v>477</v>
      </c>
      <c r="I102" s="3" t="n">
        <f aca="false">IFERROR(__xludf.dummyfunction("if($T102&lt;&gt;"""",VALUE(REGEXEXTRACT(SUBSTITUTE ($T102,I$1&amp;"" CE"",""""), I$1&amp;""[\w &amp;]*, (\d+\.\d+)"")),"""")
"),470)</f>
        <v>470</v>
      </c>
      <c r="J102" s="3" t="n">
        <f aca="false">IFERROR(__xludf.dummyfunction("if($T102&lt;&gt;"""",VALUE(REGEXEXTRACT($T102, J$1&amp;""[\w &amp;]*, (\d+\.\d+)"")),"""")
"),458)</f>
        <v>458</v>
      </c>
      <c r="K102" s="3" t="n">
        <f aca="false">IFERROR(__xludf.dummyfunction("if($T102&lt;&gt;"""",VALUE(REGEXEXTRACT($T102, K$1&amp;""[\w &amp;]*, (\d+\.\d+)"")),"""")
"),448)</f>
        <v>448</v>
      </c>
      <c r="L102" s="3" t="n">
        <f aca="false">IFERROR(__xludf.dummyfunction("if($T102&lt;&gt;"""",VALUE(REGEXEXTRACT(SUBSTITUTE ($T102,L$1&amp;"" CE"",""""), L$1&amp;""[\w &amp;]*, (\d+\.\d+)"")),"""")
"),460)</f>
        <v>460</v>
      </c>
      <c r="M102" s="3" t="n">
        <f aca="false">IFERROR(__xludf.dummyfunction("if($T102&lt;&gt;"""",VALUE(REGEXEXTRACT($T102, M$1&amp;""[\w &amp;]*, (\d+\.\d+)"")),"""")
"),458)</f>
        <v>458</v>
      </c>
      <c r="N102" s="3" t="n">
        <f aca="false">IFERROR(__xludf.dummyfunction("if($T102&lt;&gt;"""",VALUE(REGEXEXTRACT(SUBSTITUTE ($T102,N$1&amp;"" CE"",""""), N$1&amp;""[\w &amp;]*, (\d+\.\d+)"")),"""")
"),460)</f>
        <v>460</v>
      </c>
      <c r="O102" s="3" t="n">
        <f aca="false">IFERROR(__xludf.dummyfunction("if($T102&lt;&gt;"""",VALUE(REGEXEXTRACT($T102, O$1&amp;""[\w &amp;]*, (\d+\.\d+)"")),"""")
"),456)</f>
        <v>456</v>
      </c>
      <c r="P102" s="2" t="n">
        <f aca="false">IFERROR(__xludf.dummyfunction("if($T102&lt;&gt;"""",VALUE(REGEXEXTRACT($T102, P$1&amp;""[\w &amp;]*, (\d+\.\d+)"")),"""")
"),452.85)</f>
        <v>452.85</v>
      </c>
      <c r="Q102" s="2" t="n">
        <f aca="false">IFERROR(__xludf.dummyfunction("if($T102&lt;&gt;"""",VALUE(REGEXEXTRACT($T102, Q$1&amp;""[\w &amp;]*, (\d+\.\d+)"")),"""")
"),450.6)</f>
        <v>450.6</v>
      </c>
      <c r="R102" s="2" t="n">
        <f aca="false">IFERROR(__xludf.dummyfunction("if($T102&lt;&gt;"""",VALUE(REGEXEXTRACT($T102, SUBSTITUTE(R$1, ""+"", ""\+"")&amp;""[\w &amp;]*, (\d+\.\d+)"")),"""")"),463.71)</f>
        <v>463.71</v>
      </c>
      <c r="S102" s="2" t="n">
        <f aca="false">IFERROR(__xludf.dummyfunction("if($T102&lt;&gt;"""",VALUE(REGEXEXTRACT($T102, SUBSTITUTE(S$1, ""+"", ""\+"")&amp;""[\w &amp;]*, (\d+\.\d+)"")),"""")"),465.96)</f>
        <v>465.96</v>
      </c>
      <c r="T102" s="5" t="s">
        <v>519</v>
      </c>
    </row>
    <row r="103" customFormat="false" ht="15.75" hidden="false" customHeight="false" outlineLevel="0" collapsed="false">
      <c r="A103" s="4" t="n">
        <f aca="false">IFERROR(__xludf.dummyfunction("""COMPUTED_VALUE"""),45547.6666666667)</f>
        <v>45547.6666666667</v>
      </c>
      <c r="B103" s="2" t="n">
        <f aca="false">IFERROR(__xludf.dummyfunction("""COMPUTED_VALUE"""),468.65)</f>
        <v>468.65</v>
      </c>
      <c r="C103" s="2" t="n">
        <f aca="false">IFERROR(__xludf.dummyfunction("""COMPUTED_VALUE"""),474.04)</f>
        <v>474.04</v>
      </c>
      <c r="D103" s="2" t="n">
        <f aca="false">IFERROR(__xludf.dummyfunction("""COMPUTED_VALUE"""),466.85)</f>
        <v>466.85</v>
      </c>
      <c r="E103" s="2" t="n">
        <f aca="false">IFERROR(__xludf.dummyfunction("""COMPUTED_VALUE"""),473.22)</f>
        <v>473.22</v>
      </c>
      <c r="F103" s="3" t="n">
        <f aca="false">IFERROR(__xludf.dummyfunction("if($T103&lt;&gt;"""",VALUE(REGEXEXTRACT(SUBSTITUTE ($T103,F$1&amp;"" CE"",""""), F$1&amp;""[\w &amp;]*, (\d+\.\d+)"")),"""")
"),480)</f>
        <v>480</v>
      </c>
      <c r="G103" s="3" t="n">
        <f aca="false">IFERROR(__xludf.dummyfunction("if($T103&lt;&gt;"""",VALUE(REGEXEXTRACT($T103, G$1&amp;""[\w &amp;]*, (\d+\.\d+)"")),"""")
"),470)</f>
        <v>470</v>
      </c>
      <c r="H103" s="3" t="n">
        <f aca="false">IFERROR(__xludf.dummyfunction("if($T103&lt;&gt;"""",VALUE(REGEXEXTRACT($T103, H$1&amp;""[\w &amp;]*, (\d+\.\d+)"")),"""")
"),482)</f>
        <v>482</v>
      </c>
      <c r="I103" s="3" t="n">
        <f aca="false">IFERROR(__xludf.dummyfunction("if($T103&lt;&gt;"""",VALUE(REGEXEXTRACT(SUBSTITUTE ($T103,I$1&amp;"" CE"",""""), I$1&amp;""[\w &amp;]*, (\d+\.\d+)"")),"""")
"),465)</f>
        <v>465</v>
      </c>
      <c r="J103" s="3" t="n">
        <f aca="false">IFERROR(__xludf.dummyfunction("if($T103&lt;&gt;"""",VALUE(REGEXEXTRACT($T103, J$1&amp;""[\w &amp;]*, (\d+\.\d+)"")),"""")
"),465)</f>
        <v>465</v>
      </c>
      <c r="K103" s="3" t="n">
        <f aca="false">IFERROR(__xludf.dummyfunction("if($T103&lt;&gt;"""",VALUE(REGEXEXTRACT($T103, K$1&amp;""[\w &amp;]*, (\d+\.\d+)"")),"""")
"),459)</f>
        <v>459</v>
      </c>
      <c r="L103" s="3" t="n">
        <f aca="false">IFERROR(__xludf.dummyfunction("if($T103&lt;&gt;"""",VALUE(REGEXEXTRACT(SUBSTITUTE ($T103,L$1&amp;"" CE"",""""), L$1&amp;""[\w &amp;]*, (\d+\.\d+)"")),"""")
"),465)</f>
        <v>465</v>
      </c>
      <c r="M103" s="3" t="n">
        <f aca="false">IFERROR(__xludf.dummyfunction("if($T103&lt;&gt;"""",VALUE(REGEXEXTRACT($T103, M$1&amp;""[\w &amp;]*, (\d+\.\d+)"")),"""")
"),466)</f>
        <v>466</v>
      </c>
      <c r="N103" s="3" t="n">
        <f aca="false">IFERROR(__xludf.dummyfunction("if($T103&lt;&gt;"""",VALUE(REGEXEXTRACT(SUBSTITUTE ($T103,N$1&amp;"" CE"",""""), N$1&amp;""[\w &amp;]*, (\d+\.\d+)"")),"""")
"),470)</f>
        <v>470</v>
      </c>
      <c r="O103" s="3" t="n">
        <f aca="false">IFERROR(__xludf.dummyfunction("if($T103&lt;&gt;"""",VALUE(REGEXEXTRACT($T103, O$1&amp;""[\w &amp;]*, (\d+\.\d+)"")),"""")
"),465)</f>
        <v>465</v>
      </c>
      <c r="P103" s="2" t="n">
        <f aca="false">IFERROR(__xludf.dummyfunction("if($T103&lt;&gt;"""",VALUE(REGEXEXTRACT($T103, P$1&amp;""[\w &amp;]*, (\d+\.\d+)"")),"""")
"),465.02)</f>
        <v>465.02</v>
      </c>
      <c r="Q103" s="2" t="n">
        <f aca="false">IFERROR(__xludf.dummyfunction("if($T103&lt;&gt;"""",VALUE(REGEXEXTRACT($T103, Q$1&amp;""[\w &amp;]*, (\d+\.\d+)"")),"""")
"),463.11)</f>
        <v>463.11</v>
      </c>
      <c r="R103" s="2" t="n">
        <f aca="false">IFERROR(__xludf.dummyfunction("if($T103&lt;&gt;"""",VALUE(REGEXEXTRACT($T103, SUBSTITUTE(R$1, ""+"", ""\+"")&amp;""[\w &amp;]*, (\d+\.\d+)"")),"""")"),474.22)</f>
        <v>474.22</v>
      </c>
      <c r="S103" s="2" t="n">
        <f aca="false">IFERROR(__xludf.dummyfunction("if($T103&lt;&gt;"""",VALUE(REGEXEXTRACT($T103, SUBSTITUTE(S$1, ""+"", ""\+"")&amp;""[\w &amp;]*, (\d+\.\d+)"")),"""")"),476.13)</f>
        <v>476.13</v>
      </c>
      <c r="T103" s="5" t="s">
        <v>520</v>
      </c>
    </row>
    <row r="104" customFormat="false" ht="15.75" hidden="false" customHeight="false" outlineLevel="0" collapsed="false">
      <c r="A104" s="4" t="n">
        <f aca="false">IFERROR(__xludf.dummyfunction("""COMPUTED_VALUE"""),45548.6666666667)</f>
        <v>45548.6666666667</v>
      </c>
      <c r="B104" s="2" t="n">
        <f aca="false">IFERROR(__xludf.dummyfunction("""COMPUTED_VALUE"""),472.48)</f>
        <v>472.48</v>
      </c>
      <c r="C104" s="2" t="n">
        <f aca="false">IFERROR(__xludf.dummyfunction("""COMPUTED_VALUE"""),476.53)</f>
        <v>476.53</v>
      </c>
      <c r="D104" s="2" t="n">
        <f aca="false">IFERROR(__xludf.dummyfunction("""COMPUTED_VALUE"""),472.25)</f>
        <v>472.25</v>
      </c>
      <c r="E104" s="2" t="n">
        <f aca="false">IFERROR(__xludf.dummyfunction("""COMPUTED_VALUE"""),475.34)</f>
        <v>475.34</v>
      </c>
      <c r="F104" s="3" t="n">
        <f aca="false">IFERROR(__xludf.dummyfunction("if($T104&lt;&gt;"""",VALUE(REGEXEXTRACT(SUBSTITUTE ($T104,F$1&amp;"" CE"",""""), F$1&amp;""[\w &amp;]*, (\d+\.\d+)"")),"""")
"),480)</f>
        <v>480</v>
      </c>
      <c r="G104" s="3" t="n">
        <f aca="false">IFERROR(__xludf.dummyfunction("if($T104&lt;&gt;"""",VALUE(REGEXEXTRACT($T104, G$1&amp;""[\w &amp;]*, (\d+\.\d+)"")),"""")
"),475)</f>
        <v>475</v>
      </c>
      <c r="H104" s="3" t="n">
        <f aca="false">IFERROR(__xludf.dummyfunction("if($T104&lt;&gt;"""",VALUE(REGEXEXTRACT($T104, H$1&amp;""[\w &amp;]*, (\d+\.\d+)"")),"""")
"),482)</f>
        <v>482</v>
      </c>
      <c r="I104" s="3" t="n">
        <f aca="false">IFERROR(__xludf.dummyfunction("if($T104&lt;&gt;"""",VALUE(REGEXEXTRACT(SUBSTITUTE ($T104,I$1&amp;"" CE"",""""), I$1&amp;""[\w &amp;]*, (\d+\.\d+)"")),"""")
"),470)</f>
        <v>470</v>
      </c>
      <c r="J104" s="3" t="n">
        <f aca="false">IFERROR(__xludf.dummyfunction("if($T104&lt;&gt;"""",VALUE(REGEXEXTRACT($T104, J$1&amp;""[\w &amp;]*, (\d+\.\d+)"")),"""")
"),460)</f>
        <v>460</v>
      </c>
      <c r="K104" s="3" t="n">
        <f aca="false">IFERROR(__xludf.dummyfunction("if($T104&lt;&gt;"""",VALUE(REGEXEXTRACT($T104, K$1&amp;""[\w &amp;]*, (\d+\.\d+)"")),"""")
"),435)</f>
        <v>435</v>
      </c>
      <c r="L104" s="3" t="n">
        <f aca="false">IFERROR(__xludf.dummyfunction("if($T104&lt;&gt;"""",VALUE(REGEXEXTRACT(SUBSTITUTE ($T104,L$1&amp;"" CE"",""""), L$1&amp;""[\w &amp;]*, (\d+\.\d+)"")),"""")
"),471)</f>
        <v>471</v>
      </c>
      <c r="M104" s="3" t="n">
        <f aca="false">IFERROR(__xludf.dummyfunction("if($T104&lt;&gt;"""",VALUE(REGEXEXTRACT($T104, M$1&amp;""[\w &amp;]*, (\d+\.\d+)"")),"""")
"),472)</f>
        <v>472</v>
      </c>
      <c r="N104" s="3" t="n">
        <f aca="false">IFERROR(__xludf.dummyfunction("if($T104&lt;&gt;"""",VALUE(REGEXEXTRACT(SUBSTITUTE ($T104,N$1&amp;"" CE"",""""), N$1&amp;""[\w &amp;]*, (\d+\.\d+)"")),"""")
"),470)</f>
        <v>470</v>
      </c>
      <c r="O104" s="3" t="n">
        <f aca="false">IFERROR(__xludf.dummyfunction("if($T104&lt;&gt;"""",VALUE(REGEXEXTRACT($T104, O$1&amp;""[\w &amp;]*, (\d+\.\d+)"")),"""")
"),470)</f>
        <v>470</v>
      </c>
      <c r="P104" s="2" t="n">
        <f aca="false">IFERROR(__xludf.dummyfunction("if($T104&lt;&gt;"""",VALUE(REGEXEXTRACT($T104, P$1&amp;""[\w &amp;]*, (\d+\.\d+)"")),"""")
"),469.33)</f>
        <v>469.33</v>
      </c>
      <c r="Q104" s="2" t="n">
        <f aca="false">IFERROR(__xludf.dummyfunction("if($T104&lt;&gt;"""",VALUE(REGEXEXTRACT($T104, Q$1&amp;""[\w &amp;]*, (\d+\.\d+)"")),"""")
"),465.34)</f>
        <v>465.34</v>
      </c>
      <c r="R104" s="2" t="n">
        <f aca="false">IFERROR(__xludf.dummyfunction("if($T104&lt;&gt;"""",VALUE(REGEXEXTRACT($T104, SUBSTITUTE(R$1, ""+"", ""\+"")&amp;""[\w &amp;]*, (\d+\.\d+)"")),"""")"),477.67)</f>
        <v>477.67</v>
      </c>
      <c r="S104" s="2" t="n">
        <f aca="false">IFERROR(__xludf.dummyfunction("if($T104&lt;&gt;"""",VALUE(REGEXEXTRACT($T104, SUBSTITUTE(S$1, ""+"", ""\+"")&amp;""[\w &amp;]*, (\d+\.\d+)"")),"""")"),481.66)</f>
        <v>481.66</v>
      </c>
      <c r="T104" s="5" t="s">
        <v>521</v>
      </c>
    </row>
    <row r="105" customFormat="false" ht="15.75" hidden="false" customHeight="false" outlineLevel="0" collapsed="false">
      <c r="A105" s="4" t="n">
        <f aca="false">IFERROR(__xludf.dummyfunction("""COMPUTED_VALUE"""),45551.6666666667)</f>
        <v>45551.6666666667</v>
      </c>
      <c r="B105" s="2" t="n">
        <f aca="false">IFERROR(__xludf.dummyfunction("""COMPUTED_VALUE"""),473.19)</f>
        <v>473.19</v>
      </c>
      <c r="C105" s="2" t="n">
        <f aca="false">IFERROR(__xludf.dummyfunction("""COMPUTED_VALUE"""),473.86)</f>
        <v>473.86</v>
      </c>
      <c r="D105" s="2" t="n">
        <f aca="false">IFERROR(__xludf.dummyfunction("""COMPUTED_VALUE"""),469.89)</f>
        <v>469.89</v>
      </c>
      <c r="E105" s="2" t="n">
        <f aca="false">IFERROR(__xludf.dummyfunction("""COMPUTED_VALUE"""),473.24)</f>
        <v>473.24</v>
      </c>
      <c r="F105" s="3" t="n">
        <f aca="false">IFERROR(__xludf.dummyfunction("if($T105&lt;&gt;"""",VALUE(REGEXEXTRACT(SUBSTITUTE ($T105,F$1&amp;"" CE"",""""), F$1&amp;""[\w &amp;]*, (\d+\.\d+)"")),"""")
"),480)</f>
        <v>480</v>
      </c>
      <c r="G105" s="3" t="n">
        <f aca="false">IFERROR(__xludf.dummyfunction("if($T105&lt;&gt;"""",VALUE(REGEXEXTRACT($T105, G$1&amp;""[\w &amp;]*, (\d+\.\d+)"")),"""")
"),480)</f>
        <v>480</v>
      </c>
      <c r="H105" s="3" t="n">
        <f aca="false">IFERROR(__xludf.dummyfunction("if($T105&lt;&gt;"""",VALUE(REGEXEXTRACT($T105, H$1&amp;""[\w &amp;]*, (\d+\.\d+)"")),"""")
"),482)</f>
        <v>482</v>
      </c>
      <c r="I105" s="3" t="n">
        <f aca="false">IFERROR(__xludf.dummyfunction("if($T105&lt;&gt;"""",VALUE(REGEXEXTRACT(SUBSTITUTE ($T105,I$1&amp;"" CE"",""""), I$1&amp;""[\w &amp;]*, (\d+\.\d+)"")),"""")
"),470)</f>
        <v>470</v>
      </c>
      <c r="J105" s="3" t="n">
        <f aca="false">IFERROR(__xludf.dummyfunction("if($T105&lt;&gt;"""",VALUE(REGEXEXTRACT($T105, J$1&amp;""[\w &amp;]*, (\d+\.\d+)"")),"""")
"),474)</f>
        <v>474</v>
      </c>
      <c r="K105" s="3" t="n">
        <f aca="false">IFERROR(__xludf.dummyfunction("if($T105&lt;&gt;"""",VALUE(REGEXEXTRACT($T105, K$1&amp;""[\w &amp;]*, (\d+\.\d+)"")),"""")
"),435)</f>
        <v>435</v>
      </c>
      <c r="L105" s="3" t="n">
        <f aca="false">IFERROR(__xludf.dummyfunction("if($T105&lt;&gt;"""",VALUE(REGEXEXTRACT(SUBSTITUTE ($T105,L$1&amp;"" CE"",""""), L$1&amp;""[\w &amp;]*, (\d+\.\d+)"")),"""")
"),474)</f>
        <v>474</v>
      </c>
      <c r="M105" s="3" t="n">
        <f aca="false">IFERROR(__xludf.dummyfunction("if($T105&lt;&gt;"""",VALUE(REGEXEXTRACT($T105, M$1&amp;""[\w &amp;]*, (\d+\.\d+)"")),"""")
"),474)</f>
        <v>474</v>
      </c>
      <c r="N105" s="3" t="n">
        <f aca="false">IFERROR(__xludf.dummyfunction("if($T105&lt;&gt;"""",VALUE(REGEXEXTRACT(SUBSTITUTE ($T105,N$1&amp;"" CE"",""""), N$1&amp;""[\w &amp;]*, (\d+\.\d+)"")),"""")
"),480)</f>
        <v>480</v>
      </c>
      <c r="O105" s="3" t="n">
        <f aca="false">IFERROR(__xludf.dummyfunction("if($T105&lt;&gt;"""",VALUE(REGEXEXTRACT($T105, O$1&amp;""[\w &amp;]*, (\d+\.\d+)"")),"""")
"),475)</f>
        <v>475</v>
      </c>
      <c r="P105" s="2" t="n">
        <f aca="false">IFERROR(__xludf.dummyfunction("if($T105&lt;&gt;"""",VALUE(REGEXEXTRACT($T105, P$1&amp;""[\w &amp;]*, (\d+\.\d+)"")),"""")
"),468.65)</f>
        <v>468.65</v>
      </c>
      <c r="Q105" s="2" t="n">
        <f aca="false">IFERROR(__xludf.dummyfunction("if($T105&lt;&gt;"""",VALUE(REGEXEXTRACT($T105, Q$1&amp;""[\w &amp;]*, (\d+\.\d+)"")),"""")
"),466.79)</f>
        <v>466.79</v>
      </c>
      <c r="R105" s="2" t="n">
        <f aca="false">IFERROR(__xludf.dummyfunction("if($T105&lt;&gt;"""",VALUE(REGEXEXTRACT($T105, SUBSTITUTE(R$1, ""+"", ""\+"")&amp;""[\w &amp;]*, (\d+\.\d+)"")),"""")"),477.63)</f>
        <v>477.63</v>
      </c>
      <c r="S105" s="2" t="n">
        <f aca="false">IFERROR(__xludf.dummyfunction("if($T105&lt;&gt;"""",VALUE(REGEXEXTRACT($T105, SUBSTITUTE(S$1, ""+"", ""\+"")&amp;""[\w &amp;]*, (\d+\.\d+)"")),"""")"),479.49)</f>
        <v>479.49</v>
      </c>
      <c r="T105" s="5" t="s">
        <v>522</v>
      </c>
    </row>
    <row r="106" customFormat="false" ht="15.75" hidden="false" customHeight="false" outlineLevel="0" collapsed="false">
      <c r="A106" s="4" t="n">
        <f aca="false">IFERROR(__xludf.dummyfunction("""COMPUTED_VALUE"""),45552.6666666667)</f>
        <v>45552.6666666667</v>
      </c>
      <c r="B106" s="2" t="n">
        <f aca="false">IFERROR(__xludf.dummyfunction("""COMPUTED_VALUE"""),476.29)</f>
        <v>476.29</v>
      </c>
      <c r="C106" s="2" t="n">
        <f aca="false">IFERROR(__xludf.dummyfunction("""COMPUTED_VALUE"""),477.6)</f>
        <v>477.6</v>
      </c>
      <c r="D106" s="2" t="n">
        <f aca="false">IFERROR(__xludf.dummyfunction("""COMPUTED_VALUE"""),470.97)</f>
        <v>470.97</v>
      </c>
      <c r="E106" s="2" t="n">
        <f aca="false">IFERROR(__xludf.dummyfunction("""COMPUTED_VALUE"""),473.49)</f>
        <v>473.49</v>
      </c>
      <c r="F106" s="3" t="n">
        <f aca="false">IFERROR(__xludf.dummyfunction("if($T106&lt;&gt;"""",VALUE(REGEXEXTRACT(SUBSTITUTE ($T106,F$1&amp;"" CE"",""""), F$1&amp;""[\w &amp;]*, (\d+\.\d+)"")),"""")
"),480)</f>
        <v>480</v>
      </c>
      <c r="G106" s="3" t="n">
        <f aca="false">IFERROR(__xludf.dummyfunction("if($T106&lt;&gt;"""",VALUE(REGEXEXTRACT($T106, G$1&amp;""[\w &amp;]*, (\d+\.\d+)"")),"""")
"),475)</f>
        <v>475</v>
      </c>
      <c r="H106" s="3" t="n">
        <f aca="false">IFERROR(__xludf.dummyfunction("if($T106&lt;&gt;"""",VALUE(REGEXEXTRACT($T106, H$1&amp;""[\w &amp;]*, (\d+\.\d+)"")),"""")
"),482)</f>
        <v>482</v>
      </c>
      <c r="I106" s="3" t="n">
        <f aca="false">IFERROR(__xludf.dummyfunction("if($T106&lt;&gt;"""",VALUE(REGEXEXTRACT(SUBSTITUTE ($T106,I$1&amp;"" CE"",""""), I$1&amp;""[\w &amp;]*, (\d+\.\d+)"")),"""")
"),470)</f>
        <v>470</v>
      </c>
      <c r="J106" s="3" t="n">
        <f aca="false">IFERROR(__xludf.dummyfunction("if($T106&lt;&gt;"""",VALUE(REGEXEXTRACT($T106, J$1&amp;""[\w &amp;]*, (\d+\.\d+)"")),"""")
"),470)</f>
        <v>470</v>
      </c>
      <c r="K106" s="3" t="n">
        <f aca="false">IFERROR(__xludf.dummyfunction("if($T106&lt;&gt;"""",VALUE(REGEXEXTRACT($T106, K$1&amp;""[\w &amp;]*, (\d+\.\d+)"")),"""")
"),435)</f>
        <v>435</v>
      </c>
      <c r="L106" s="3" t="n">
        <f aca="false">IFERROR(__xludf.dummyfunction("if($T106&lt;&gt;"""",VALUE(REGEXEXTRACT(SUBSTITUTE ($T106,L$1&amp;"" CE"",""""), L$1&amp;""[\w &amp;]*, (\d+\.\d+)"")),"""")
"),472)</f>
        <v>472</v>
      </c>
      <c r="M106" s="3" t="n">
        <f aca="false">IFERROR(__xludf.dummyfunction("if($T106&lt;&gt;"""",VALUE(REGEXEXTRACT($T106, M$1&amp;""[\w &amp;]*, (\d+\.\d+)"")),"""")
"),472)</f>
        <v>472</v>
      </c>
      <c r="N106" s="3" t="n">
        <f aca="false">IFERROR(__xludf.dummyfunction("if($T106&lt;&gt;"""",VALUE(REGEXEXTRACT(SUBSTITUTE ($T106,N$1&amp;"" CE"",""""), N$1&amp;""[\w &amp;]*, (\d+\.\d+)"")),"""")
"),475)</f>
        <v>475</v>
      </c>
      <c r="O106" s="3" t="n">
        <f aca="false">IFERROR(__xludf.dummyfunction("if($T106&lt;&gt;"""",VALUE(REGEXEXTRACT($T106, O$1&amp;""[\w &amp;]*, (\d+\.\d+)"")),"""")
"),473)</f>
        <v>473</v>
      </c>
      <c r="P106" s="2" t="n">
        <f aca="false">IFERROR(__xludf.dummyfunction("if($T106&lt;&gt;"""",VALUE(REGEXEXTRACT($T106, P$1&amp;""[\w &amp;]*, (\d+\.\d+)"")),"""")
"),470.57)</f>
        <v>470.57</v>
      </c>
      <c r="Q106" s="2" t="n">
        <f aca="false">IFERROR(__xludf.dummyfunction("if($T106&lt;&gt;"""",VALUE(REGEXEXTRACT($T106, Q$1&amp;""[\w &amp;]*, (\d+\.\d+)"")),"""")
"),468.57)</f>
        <v>468.57</v>
      </c>
      <c r="R106" s="2" t="n">
        <f aca="false">IFERROR(__xludf.dummyfunction("if($T106&lt;&gt;"""",VALUE(REGEXEXTRACT($T106, SUBSTITUTE(R$1, ""+"", ""\+"")&amp;""[\w &amp;]*, (\d+\.\d+)"")),"""")"),480.21)</f>
        <v>480.21</v>
      </c>
      <c r="S106" s="2" t="n">
        <f aca="false">IFERROR(__xludf.dummyfunction("if($T106&lt;&gt;"""",VALUE(REGEXEXTRACT($T106, SUBSTITUTE(S$1, ""+"", ""\+"")&amp;""[\w &amp;]*, (\d+\.\d+)"")),"""")"),482.21)</f>
        <v>482.21</v>
      </c>
      <c r="T106" s="5" t="s">
        <v>523</v>
      </c>
    </row>
    <row r="107" customFormat="false" ht="15.75" hidden="false" customHeight="false" outlineLevel="0" collapsed="false">
      <c r="A107" s="4" t="n">
        <f aca="false">IFERROR(__xludf.dummyfunction("""COMPUTED_VALUE"""),45553.6666666667)</f>
        <v>45553.6666666667</v>
      </c>
      <c r="B107" s="2" t="n">
        <f aca="false">IFERROR(__xludf.dummyfunction("""COMPUTED_VALUE"""),474.7)</f>
        <v>474.7</v>
      </c>
      <c r="C107" s="2" t="n">
        <f aca="false">IFERROR(__xludf.dummyfunction("""COMPUTED_VALUE"""),478.83)</f>
        <v>478.83</v>
      </c>
      <c r="D107" s="2" t="n">
        <f aca="false">IFERROR(__xludf.dummyfunction("""COMPUTED_VALUE"""),470.83)</f>
        <v>470.83</v>
      </c>
      <c r="E107" s="2" t="n">
        <f aca="false">IFERROR(__xludf.dummyfunction("""COMPUTED_VALUE"""),471.44)</f>
        <v>471.44</v>
      </c>
      <c r="F107" s="3" t="n">
        <f aca="false">IFERROR(__xludf.dummyfunction("if($T107&lt;&gt;"""",VALUE(REGEXEXTRACT(SUBSTITUTE ($T107,F$1&amp;"" CE"",""""), F$1&amp;""[\w &amp;]*, (\d+\.\d+)"")),"""")
"),480)</f>
        <v>480</v>
      </c>
      <c r="G107" s="3" t="n">
        <f aca="false">IFERROR(__xludf.dummyfunction("if($T107&lt;&gt;"""",VALUE(REGEXEXTRACT($T107, G$1&amp;""[\w &amp;]*, (\d+\.\d+)"")),"""")
"),480)</f>
        <v>480</v>
      </c>
      <c r="H107" s="3" t="n">
        <f aca="false">IFERROR(__xludf.dummyfunction("if($T107&lt;&gt;"""",VALUE(REGEXEXTRACT($T107, H$1&amp;""[\w &amp;]*, (\d+\.\d+)"")),"""")
"),482)</f>
        <v>482</v>
      </c>
      <c r="I107" s="3" t="n">
        <f aca="false">IFERROR(__xludf.dummyfunction("if($T107&lt;&gt;"""",VALUE(REGEXEXTRACT(SUBSTITUTE ($T107,I$1&amp;"" CE"",""""), I$1&amp;""[\w &amp;]*, (\d+\.\d+)"")),"""")
"),470)</f>
        <v>470</v>
      </c>
      <c r="J107" s="3" t="n">
        <f aca="false">IFERROR(__xludf.dummyfunction("if($T107&lt;&gt;"""",VALUE(REGEXEXTRACT($T107, J$1&amp;""[\w &amp;]*, (\d+\.\d+)"")),"""")
"),470)</f>
        <v>470</v>
      </c>
      <c r="K107" s="3" t="n">
        <f aca="false">IFERROR(__xludf.dummyfunction("if($T107&lt;&gt;"""",VALUE(REGEXEXTRACT($T107, K$1&amp;""[\w &amp;]*, (\d+\.\d+)"")),"""")
"),435)</f>
        <v>435</v>
      </c>
      <c r="L107" s="3" t="n">
        <f aca="false">IFERROR(__xludf.dummyfunction("if($T107&lt;&gt;"""",VALUE(REGEXEXTRACT(SUBSTITUTE ($T107,L$1&amp;"" CE"",""""), L$1&amp;""[\w &amp;]*, (\d+\.\d+)"")),"""")
"),473)</f>
        <v>473</v>
      </c>
      <c r="M107" s="3" t="n">
        <f aca="false">IFERROR(__xludf.dummyfunction("if($T107&lt;&gt;"""",VALUE(REGEXEXTRACT($T107, M$1&amp;""[\w &amp;]*, (\d+\.\d+)"")),"""")
"),473)</f>
        <v>473</v>
      </c>
      <c r="N107" s="3" t="n">
        <f aca="false">IFERROR(__xludf.dummyfunction("if($T107&lt;&gt;"""",VALUE(REGEXEXTRACT(SUBSTITUTE ($T107,N$1&amp;"" CE"",""""), N$1&amp;""[\w &amp;]*, (\d+\.\d+)"")),"""")
"),475)</f>
        <v>475</v>
      </c>
      <c r="O107" s="3" t="n">
        <f aca="false">IFERROR(__xludf.dummyfunction("if($T107&lt;&gt;"""",VALUE(REGEXEXTRACT($T107, O$1&amp;""[\w &amp;]*, (\d+\.\d+)"")),"""")
"),480)</f>
        <v>480</v>
      </c>
      <c r="P107" s="2" t="n">
        <f aca="false">IFERROR(__xludf.dummyfunction("if($T107&lt;&gt;"""",VALUE(REGEXEXTRACT($T107, P$1&amp;""[\w &amp;]*, (\d+\.\d+)"")),"""")
"),469.2)</f>
        <v>469.2</v>
      </c>
      <c r="Q107" s="2" t="n">
        <f aca="false">IFERROR(__xludf.dummyfunction("if($T107&lt;&gt;"""",VALUE(REGEXEXTRACT($T107, Q$1&amp;""[\w &amp;]*, (\d+\.\d+)"")),"""")
"),467.02)</f>
        <v>467.02</v>
      </c>
      <c r="R107" s="2" t="n">
        <f aca="false">IFERROR(__xludf.dummyfunction("if($T107&lt;&gt;"""",VALUE(REGEXEXTRACT($T107, SUBSTITUTE(R$1, ""+"", ""\+"")&amp;""[\w &amp;]*, (\d+\.\d+)"")),"""")"),479.7)</f>
        <v>479.7</v>
      </c>
      <c r="S107" s="2" t="n">
        <f aca="false">IFERROR(__xludf.dummyfunction("if($T107&lt;&gt;"""",VALUE(REGEXEXTRACT($T107, SUBSTITUTE(S$1, ""+"", ""\+"")&amp;""[\w &amp;]*, (\d+\.\d+)"")),"""")"),481.88)</f>
        <v>481.88</v>
      </c>
      <c r="T107" s="5" t="s">
        <v>524</v>
      </c>
    </row>
    <row r="108" customFormat="false" ht="15.75" hidden="false" customHeight="false" outlineLevel="0" collapsed="false">
      <c r="A108" s="4" t="n">
        <f aca="false">IFERROR(__xludf.dummyfunction("""COMPUTED_VALUE"""),45554.6666666667)</f>
        <v>45554.6666666667</v>
      </c>
      <c r="B108" s="2" t="n">
        <f aca="false">IFERROR(__xludf.dummyfunction("""COMPUTED_VALUE"""),482.61)</f>
        <v>482.61</v>
      </c>
      <c r="C108" s="2" t="n">
        <f aca="false">IFERROR(__xludf.dummyfunction("""COMPUTED_VALUE"""),486.23)</f>
        <v>486.23</v>
      </c>
      <c r="D108" s="2" t="n">
        <f aca="false">IFERROR(__xludf.dummyfunction("""COMPUTED_VALUE"""),480.49)</f>
        <v>480.49</v>
      </c>
      <c r="E108" s="2" t="n">
        <f aca="false">IFERROR(__xludf.dummyfunction("""COMPUTED_VALUE"""),483.36)</f>
        <v>483.36</v>
      </c>
      <c r="F108" s="3" t="n">
        <f aca="false">IFERROR(__xludf.dummyfunction("if($T108&lt;&gt;"""",VALUE(REGEXEXTRACT(SUBSTITUTE ($T108,F$1&amp;"" CE"",""""), F$1&amp;""[\w &amp;]*, (\d+\.\d+)"")),"""")
"),475)</f>
        <v>475</v>
      </c>
      <c r="G108" s="3" t="n">
        <f aca="false">IFERROR(__xludf.dummyfunction("if($T108&lt;&gt;"""",VALUE(REGEXEXTRACT($T108, G$1&amp;""[\w &amp;]*, (\d+\.\d+)"")),"""")
"),480)</f>
        <v>480</v>
      </c>
      <c r="H108" s="3" t="n">
        <f aca="false">IFERROR(__xludf.dummyfunction("if($T108&lt;&gt;"""",VALUE(REGEXEXTRACT($T108, H$1&amp;""[\w &amp;]*, (\d+\.\d+)"")),"""")
"),482)</f>
        <v>482</v>
      </c>
      <c r="I108" s="3" t="n">
        <f aca="false">IFERROR(__xludf.dummyfunction("if($T108&lt;&gt;"""",VALUE(REGEXEXTRACT(SUBSTITUTE ($T108,I$1&amp;"" CE"",""""), I$1&amp;""[\w &amp;]*, (\d+\.\d+)"")),"""")
"),470)</f>
        <v>470</v>
      </c>
      <c r="J108" s="3" t="n">
        <f aca="false">IFERROR(__xludf.dummyfunction("if($T108&lt;&gt;"""",VALUE(REGEXEXTRACT($T108, J$1&amp;""[\w &amp;]*, (\d+\.\d+)"")),"""")
"),470)</f>
        <v>470</v>
      </c>
      <c r="K108" s="3" t="str">
        <f aca="false">IFERROR(__xludf.dummyfunction("if($T108&lt;&gt;"""",VALUE(REGEXEXTRACT($T108, K$1&amp;""[\w &amp;]*, (\d+\.\d+)"")),"""")
"),"#N/A")</f>
        <v>#N/A</v>
      </c>
      <c r="L108" s="3" t="n">
        <f aca="false">IFERROR(__xludf.dummyfunction("if($T108&lt;&gt;"""",VALUE(REGEXEXTRACT(SUBSTITUTE ($T108,L$1&amp;"" CE"",""""), L$1&amp;""[\w &amp;]*, (\d+\.\d+)"")),"""")
"),473)</f>
        <v>473</v>
      </c>
      <c r="M108" s="3" t="n">
        <f aca="false">IFERROR(__xludf.dummyfunction("if($T108&lt;&gt;"""",VALUE(REGEXEXTRACT($T108, M$1&amp;""[\w &amp;]*, (\d+\.\d+)"")),"""")
"),473)</f>
        <v>473</v>
      </c>
      <c r="N108" s="3" t="n">
        <f aca="false">IFERROR(__xludf.dummyfunction("if($T108&lt;&gt;"""",VALUE(REGEXEXTRACT(SUBSTITUTE ($T108,N$1&amp;"" CE"",""""), N$1&amp;""[\w &amp;]*, (\d+\.\d+)"")),"""")
"),475)</f>
        <v>475</v>
      </c>
      <c r="O108" s="3" t="n">
        <f aca="false">IFERROR(__xludf.dummyfunction("if($T108&lt;&gt;"""",VALUE(REGEXEXTRACT($T108, O$1&amp;""[\w &amp;]*, (\d+\.\d+)"")),"""")
"),470)</f>
        <v>470</v>
      </c>
      <c r="P108" s="2" t="n">
        <f aca="false">IFERROR(__xludf.dummyfunction("if($T108&lt;&gt;"""",VALUE(REGEXEXTRACT($T108, P$1&amp;""[\w &amp;]*, (\d+\.\d+)"")),"""")
"),476.56)</f>
        <v>476.56</v>
      </c>
      <c r="Q108" s="2" t="n">
        <f aca="false">IFERROR(__xludf.dummyfunction("if($T108&lt;&gt;"""",VALUE(REGEXEXTRACT($T108, Q$1&amp;""[\w &amp;]*, (\d+\.\d+)"")),"""")
"),474.63)</f>
        <v>474.63</v>
      </c>
      <c r="R108" s="2" t="n">
        <f aca="false">IFERROR(__xludf.dummyfunction("if($T108&lt;&gt;"""",VALUE(REGEXEXTRACT($T108, SUBSTITUTE(R$1, ""+"", ""\+"")&amp;""[\w &amp;]*, (\d+\.\d+)"")),"""")"),485.86)</f>
        <v>485.86</v>
      </c>
      <c r="S108" s="2" t="n">
        <f aca="false">IFERROR(__xludf.dummyfunction("if($T108&lt;&gt;"""",VALUE(REGEXEXTRACT($T108, SUBSTITUTE(S$1, ""+"", ""\+"")&amp;""[\w &amp;]*, (\d+\.\d+)"")),"""")"),487.79)</f>
        <v>487.79</v>
      </c>
      <c r="T108" s="5" t="s">
        <v>525</v>
      </c>
    </row>
    <row r="109" customFormat="false" ht="15.75" hidden="false" customHeight="false" outlineLevel="0" collapsed="false">
      <c r="A109" s="4" t="n">
        <f aca="false">IFERROR(__xludf.dummyfunction("""COMPUTED_VALUE"""),45555.6666666667)</f>
        <v>45555.6666666667</v>
      </c>
      <c r="B109" s="2" t="n">
        <f aca="false">IFERROR(__xludf.dummyfunction("""COMPUTED_VALUE"""),482.49)</f>
        <v>482.49</v>
      </c>
      <c r="C109" s="2" t="n">
        <f aca="false">IFERROR(__xludf.dummyfunction("""COMPUTED_VALUE"""),483.69)</f>
        <v>483.69</v>
      </c>
      <c r="D109" s="2" t="n">
        <f aca="false">IFERROR(__xludf.dummyfunction("""COMPUTED_VALUE"""),478.3)</f>
        <v>478.3</v>
      </c>
      <c r="E109" s="2" t="n">
        <f aca="false">IFERROR(__xludf.dummyfunction("""COMPUTED_VALUE"""),482.44)</f>
        <v>482.44</v>
      </c>
      <c r="F109" s="3" t="n">
        <f aca="false">IFERROR(__xludf.dummyfunction("if($T109&lt;&gt;"""",VALUE(REGEXEXTRACT(SUBSTITUTE ($T109,F$1&amp;"" CE"",""""), F$1&amp;""[\w &amp;]*, (\d+\.\d+)"")),"""")
"),485)</f>
        <v>485</v>
      </c>
      <c r="G109" s="3" t="n">
        <f aca="false">IFERROR(__xludf.dummyfunction("if($T109&lt;&gt;"""",VALUE(REGEXEXTRACT($T109, G$1&amp;""[\w &amp;]*, (\d+\.\d+)"")),"""")
"),485)</f>
        <v>485</v>
      </c>
      <c r="H109" s="3" t="n">
        <f aca="false">IFERROR(__xludf.dummyfunction("if($T109&lt;&gt;"""",VALUE(REGEXEXTRACT($T109, H$1&amp;""[\w &amp;]*, (\d+\.\d+)"")),"""")
"),487)</f>
        <v>487</v>
      </c>
      <c r="I109" s="3" t="n">
        <f aca="false">IFERROR(__xludf.dummyfunction("if($T109&lt;&gt;"""",VALUE(REGEXEXTRACT(SUBSTITUTE ($T109,I$1&amp;"" CE"",""""), I$1&amp;""[\w &amp;]*, (\d+\.\d+)"")),"""")
"),480)</f>
        <v>480</v>
      </c>
      <c r="J109" s="3" t="n">
        <f aca="false">IFERROR(__xludf.dummyfunction("if($T109&lt;&gt;"""",VALUE(REGEXEXTRACT($T109, J$1&amp;""[\w &amp;]*, (\d+\.\d+)"")),"""")
"),482)</f>
        <v>482</v>
      </c>
      <c r="K109" s="3" t="n">
        <f aca="false">IFERROR(__xludf.dummyfunction("if($T109&lt;&gt;"""",VALUE(REGEXEXTRACT($T109, K$1&amp;""[\w &amp;]*, (\d+\.\d+)"")),"""")
"),448)</f>
        <v>448</v>
      </c>
      <c r="L109" s="3" t="n">
        <f aca="false">IFERROR(__xludf.dummyfunction("if($T109&lt;&gt;"""",VALUE(REGEXEXTRACT(SUBSTITUTE ($T109,L$1&amp;"" CE"",""""), L$1&amp;""[\w &amp;]*, (\d+\.\d+)"")),"""")
"),474)</f>
        <v>474</v>
      </c>
      <c r="M109" s="3" t="n">
        <f aca="false">IFERROR(__xludf.dummyfunction("if($T109&lt;&gt;"""",VALUE(REGEXEXTRACT($T109, M$1&amp;""[\w &amp;]*, (\d+\.\d+)"")),"""")
"),474)</f>
        <v>474</v>
      </c>
      <c r="N109" s="3" t="n">
        <f aca="false">IFERROR(__xludf.dummyfunction("if($T109&lt;&gt;"""",VALUE(REGEXEXTRACT(SUBSTITUTE ($T109,N$1&amp;"" CE"",""""), N$1&amp;""[\w &amp;]*, (\d+\.\d+)"")),"""")
"),480)</f>
        <v>480</v>
      </c>
      <c r="O109" s="3" t="n">
        <f aca="false">IFERROR(__xludf.dummyfunction("if($T109&lt;&gt;"""",VALUE(REGEXEXTRACT($T109, O$1&amp;""[\w &amp;]*, (\d+\.\d+)"")),"""")
"),480)</f>
        <v>480</v>
      </c>
      <c r="P109" s="2" t="n">
        <f aca="false">IFERROR(__xludf.dummyfunction("if($T109&lt;&gt;"""",VALUE(REGEXEXTRACT($T109, P$1&amp;""[\w &amp;]*, (\d+\.\d+)"")),"""")
"),477.76)</f>
        <v>477.76</v>
      </c>
      <c r="Q109" s="2" t="n">
        <f aca="false">IFERROR(__xludf.dummyfunction("if($T109&lt;&gt;"""",VALUE(REGEXEXTRACT($T109, Q$1&amp;""[\w &amp;]*, (\d+\.\d+)"")),"""")
"),473.92)</f>
        <v>473.92</v>
      </c>
      <c r="R109" s="2" t="n">
        <f aca="false">IFERROR(__xludf.dummyfunction("if($T109&lt;&gt;"""",VALUE(REGEXEXTRACT($T109, SUBSTITUTE(R$1, ""+"", ""\+"")&amp;""[\w &amp;]*, (\d+\.\d+)"")),"""")"),485.46)</f>
        <v>485.46</v>
      </c>
      <c r="S109" s="2" t="n">
        <f aca="false">IFERROR(__xludf.dummyfunction("if($T109&lt;&gt;"""",VALUE(REGEXEXTRACT($T109, SUBSTITUTE(S$1, ""+"", ""\+"")&amp;""[\w &amp;]*, (\d+\.\d+)"")),"""")"),489.3)</f>
        <v>489.3</v>
      </c>
      <c r="T109" s="5" t="s">
        <v>526</v>
      </c>
    </row>
    <row r="110" customFormat="false" ht="15.75" hidden="false" customHeight="false" outlineLevel="0" collapsed="false">
      <c r="A110" s="4" t="n">
        <f aca="false">IFERROR(__xludf.dummyfunction("""COMPUTED_VALUE"""),45558.6666666667)</f>
        <v>45558.6666666667</v>
      </c>
      <c r="B110" s="2" t="n">
        <f aca="false">IFERROR(__xludf.dummyfunction("""COMPUTED_VALUE"""),482.95)</f>
        <v>482.95</v>
      </c>
      <c r="C110" s="2" t="n">
        <f aca="false">IFERROR(__xludf.dummyfunction("""COMPUTED_VALUE"""),484.14)</f>
        <v>484.14</v>
      </c>
      <c r="D110" s="2" t="n">
        <f aca="false">IFERROR(__xludf.dummyfunction("""COMPUTED_VALUE"""),481.6)</f>
        <v>481.6</v>
      </c>
      <c r="E110" s="2" t="n">
        <f aca="false">IFERROR(__xludf.dummyfunction("""COMPUTED_VALUE"""),483.04)</f>
        <v>483.04</v>
      </c>
      <c r="F110" s="3" t="n">
        <f aca="false">IFERROR(__xludf.dummyfunction("if($T110&lt;&gt;"""",VALUE(REGEXEXTRACT(SUBSTITUTE ($T110,F$1&amp;"" CE"",""""), F$1&amp;""[\w &amp;]*, (\d+\.\d+)"")),"""")
"),475)</f>
        <v>475</v>
      </c>
      <c r="G110" s="3" t="n">
        <f aca="false">IFERROR(__xludf.dummyfunction("if($T110&lt;&gt;"""",VALUE(REGEXEXTRACT($T110, G$1&amp;""[\w &amp;]*, (\d+\.\d+)"")),"""")
"),485)</f>
        <v>485</v>
      </c>
      <c r="H110" s="3" t="n">
        <f aca="false">IFERROR(__xludf.dummyfunction("if($T110&lt;&gt;"""",VALUE(REGEXEXTRACT($T110, H$1&amp;""[\w &amp;]*, (\d+\.\d+)"")),"""")
"),494)</f>
        <v>494</v>
      </c>
      <c r="I110" s="3" t="n">
        <f aca="false">IFERROR(__xludf.dummyfunction("if($T110&lt;&gt;"""",VALUE(REGEXEXTRACT(SUBSTITUTE ($T110,I$1&amp;"" CE"",""""), I$1&amp;""[\w &amp;]*, (\d+\.\d+)"")),"""")
"),460)</f>
        <v>460</v>
      </c>
      <c r="J110" s="3" t="n">
        <f aca="false">IFERROR(__xludf.dummyfunction("if($T110&lt;&gt;"""",VALUE(REGEXEXTRACT($T110, J$1&amp;""[\w &amp;]*, (\d+\.\d+)"")),"""")
"),480)</f>
        <v>480</v>
      </c>
      <c r="K110" s="3" t="n">
        <f aca="false">IFERROR(__xludf.dummyfunction("if($T110&lt;&gt;"""",VALUE(REGEXEXTRACT($T110, K$1&amp;""[\w &amp;]*, (\d+\.\d+)"")),"""")
"),458)</f>
        <v>458</v>
      </c>
      <c r="L110" s="3" t="n">
        <f aca="false">IFERROR(__xludf.dummyfunction("if($T110&lt;&gt;"""",VALUE(REGEXEXTRACT(SUBSTITUTE ($T110,L$1&amp;"" CE"",""""), L$1&amp;""[\w &amp;]*, (\d+\.\d+)"")),"""")
"),479)</f>
        <v>479</v>
      </c>
      <c r="M110" s="3" t="n">
        <f aca="false">IFERROR(__xludf.dummyfunction("if($T110&lt;&gt;"""",VALUE(REGEXEXTRACT($T110, M$1&amp;""[\w &amp;]*, (\d+\.\d+)"")),"""")
"),480)</f>
        <v>480</v>
      </c>
      <c r="N110" s="3" t="n">
        <f aca="false">IFERROR(__xludf.dummyfunction("if($T110&lt;&gt;"""",VALUE(REGEXEXTRACT(SUBSTITUTE ($T110,N$1&amp;"" CE"",""""), N$1&amp;""[\w &amp;]*, (\d+\.\d+)"")),"""")
"),480)</f>
        <v>480</v>
      </c>
      <c r="O110" s="3" t="n">
        <f aca="false">IFERROR(__xludf.dummyfunction("if($T110&lt;&gt;"""",VALUE(REGEXEXTRACT($T110, O$1&amp;""[\w &amp;]*, (\d+\.\d+)"")),"""")
"),482)</f>
        <v>482</v>
      </c>
      <c r="P110" s="2" t="n">
        <f aca="false">IFERROR(__xludf.dummyfunction("if($T110&lt;&gt;"""",VALUE(REGEXEXTRACT($T110, P$1&amp;""[\w &amp;]*, (\d+\.\d+)"")),"""")
"),479.36)</f>
        <v>479.36</v>
      </c>
      <c r="Q110" s="2" t="n">
        <f aca="false">IFERROR(__xludf.dummyfunction("if($T110&lt;&gt;"""",VALUE(REGEXEXTRACT($T110, Q$1&amp;""[\w &amp;]*, (\d+\.\d+)"")),"""")
"),477.99)</f>
        <v>477.99</v>
      </c>
      <c r="R110" s="2" t="n">
        <f aca="false">IFERROR(__xludf.dummyfunction("if($T110&lt;&gt;"""",VALUE(REGEXEXTRACT($T110, SUBSTITUTE(R$1, ""+"", ""\+"")&amp;""[\w &amp;]*, (\d+\.\d+)"")),"""")"),485.98)</f>
        <v>485.98</v>
      </c>
      <c r="S110" s="2" t="n">
        <f aca="false">IFERROR(__xludf.dummyfunction("if($T110&lt;&gt;"""",VALUE(REGEXEXTRACT($T110, SUBSTITUTE(S$1, ""+"", ""\+"")&amp;""[\w &amp;]*, (\d+\.\d+)"")),"""")"),487.35)</f>
        <v>487.35</v>
      </c>
      <c r="T110" s="5" t="s">
        <v>527</v>
      </c>
    </row>
    <row r="111" customFormat="false" ht="15.75" hidden="false" customHeight="false" outlineLevel="0" collapsed="false">
      <c r="A111" s="4" t="n">
        <f aca="false">IFERROR(__xludf.dummyfunction("""COMPUTED_VALUE"""),45559.6666666667)</f>
        <v>45559.6666666667</v>
      </c>
      <c r="B111" s="2" t="n">
        <f aca="false">IFERROR(__xludf.dummyfunction("""COMPUTED_VALUE"""),484.46)</f>
        <v>484.46</v>
      </c>
      <c r="C111" s="2" t="n">
        <f aca="false">IFERROR(__xludf.dummyfunction("""COMPUTED_VALUE"""),486.33)</f>
        <v>486.33</v>
      </c>
      <c r="D111" s="2" t="n">
        <f aca="false">IFERROR(__xludf.dummyfunction("""COMPUTED_VALUE"""),480.17)</f>
        <v>480.17</v>
      </c>
      <c r="E111" s="2" t="n">
        <f aca="false">IFERROR(__xludf.dummyfunction("""COMPUTED_VALUE"""),485.37)</f>
        <v>485.37</v>
      </c>
      <c r="F111" s="3" t="n">
        <f aca="false">IFERROR(__xludf.dummyfunction("if($T111&lt;&gt;"""",VALUE(REGEXEXTRACT(SUBSTITUTE ($T111,F$1&amp;"" CE"",""""), F$1&amp;""[\w &amp;]*, (\d+\.\d+)"")),"""")
"),475)</f>
        <v>475</v>
      </c>
      <c r="G111" s="3" t="n">
        <f aca="false">IFERROR(__xludf.dummyfunction("if($T111&lt;&gt;"""",VALUE(REGEXEXTRACT($T111, G$1&amp;""[\w &amp;]*, (\d+\.\d+)"")),"""")
"),484)</f>
        <v>484</v>
      </c>
      <c r="H111" s="3" t="n">
        <f aca="false">IFERROR(__xludf.dummyfunction("if($T111&lt;&gt;"""",VALUE(REGEXEXTRACT($T111, H$1&amp;""[\w &amp;]*, (\d+\.\d+)"")),"""")
"),492)</f>
        <v>492</v>
      </c>
      <c r="I111" s="3" t="n">
        <f aca="false">IFERROR(__xludf.dummyfunction("if($T111&lt;&gt;"""",VALUE(REGEXEXTRACT(SUBSTITUTE ($T111,I$1&amp;"" CE"",""""), I$1&amp;""[\w &amp;]*, (\d+\.\d+)"")),"""")
"),482)</f>
        <v>482</v>
      </c>
      <c r="J111" s="3" t="n">
        <f aca="false">IFERROR(__xludf.dummyfunction("if($T111&lt;&gt;"""",VALUE(REGEXEXTRACT($T111, J$1&amp;""[\w &amp;]*, (\d+\.\d+)"")),"""")
"),482)</f>
        <v>482</v>
      </c>
      <c r="K111" s="3" t="n">
        <f aca="false">IFERROR(__xludf.dummyfunction("if($T111&lt;&gt;"""",VALUE(REGEXEXTRACT($T111, K$1&amp;""[\w &amp;]*, (\d+\.\d+)"")),"""")
"),458)</f>
        <v>458</v>
      </c>
      <c r="L111" s="3" t="n">
        <f aca="false">IFERROR(__xludf.dummyfunction("if($T111&lt;&gt;"""",VALUE(REGEXEXTRACT(SUBSTITUTE ($T111,L$1&amp;"" CE"",""""), L$1&amp;""[\w &amp;]*, (\d+\.\d+)"")),"""")
"),482)</f>
        <v>482</v>
      </c>
      <c r="M111" s="3" t="n">
        <f aca="false">IFERROR(__xludf.dummyfunction("if($T111&lt;&gt;"""",VALUE(REGEXEXTRACT($T111, M$1&amp;""[\w &amp;]*, (\d+\.\d+)"")),"""")
"),483)</f>
        <v>483</v>
      </c>
      <c r="N111" s="3" t="n">
        <f aca="false">IFERROR(__xludf.dummyfunction("if($T111&lt;&gt;"""",VALUE(REGEXEXTRACT(SUBSTITUTE ($T111,N$1&amp;"" CE"",""""), N$1&amp;""[\w &amp;]*, (\d+\.\d+)"")),"""")
"),480)</f>
        <v>480</v>
      </c>
      <c r="O111" s="3" t="n">
        <f aca="false">IFERROR(__xludf.dummyfunction("if($T111&lt;&gt;"""",VALUE(REGEXEXTRACT($T111, O$1&amp;""[\w &amp;]*, (\d+\.\d+)"")),"""")
"),483)</f>
        <v>483</v>
      </c>
      <c r="P111" s="2" t="n">
        <f aca="false">IFERROR(__xludf.dummyfunction("if($T111&lt;&gt;"""",VALUE(REGEXEXTRACT($T111, P$1&amp;""[\w &amp;]*, (\d+\.\d+)"")),"""")
"),479.14)</f>
        <v>479.14</v>
      </c>
      <c r="Q111" s="2" t="n">
        <f aca="false">IFERROR(__xludf.dummyfunction("if($T111&lt;&gt;"""",VALUE(REGEXEXTRACT($T111, Q$1&amp;""[\w &amp;]*, (\d+\.\d+)"")),"""")
"),477.55)</f>
        <v>477.55</v>
      </c>
      <c r="R111" s="2" t="n">
        <f aca="false">IFERROR(__xludf.dummyfunction("if($T111&lt;&gt;"""",VALUE(REGEXEXTRACT($T111, SUBSTITUTE(R$1, ""+"", ""\+"")&amp;""[\w &amp;]*, (\d+\.\d+)"")),"""")"),486.82)</f>
        <v>486.82</v>
      </c>
      <c r="S111" s="2" t="n">
        <f aca="false">IFERROR(__xludf.dummyfunction("if($T111&lt;&gt;"""",VALUE(REGEXEXTRACT($T111, SUBSTITUTE(S$1, ""+"", ""\+"")&amp;""[\w &amp;]*, (\d+\.\d+)"")),"""")"),488.41)</f>
        <v>488.41</v>
      </c>
      <c r="T111" s="5" t="s">
        <v>528</v>
      </c>
    </row>
    <row r="112" customFormat="false" ht="15.75" hidden="false" customHeight="false" outlineLevel="0" collapsed="false">
      <c r="A112" s="4" t="n">
        <f aca="false">IFERROR(__xludf.dummyfunction("""COMPUTED_VALUE"""),45560.6666666667)</f>
        <v>45560.6666666667</v>
      </c>
      <c r="B112" s="2" t="n">
        <f aca="false">IFERROR(__xludf.dummyfunction("""COMPUTED_VALUE"""),484.74)</f>
        <v>484.74</v>
      </c>
      <c r="C112" s="2" t="n">
        <f aca="false">IFERROR(__xludf.dummyfunction("""COMPUTED_VALUE"""),487.79)</f>
        <v>487.79</v>
      </c>
      <c r="D112" s="2" t="n">
        <f aca="false">IFERROR(__xludf.dummyfunction("""COMPUTED_VALUE"""),484.56)</f>
        <v>484.56</v>
      </c>
      <c r="E112" s="2" t="n">
        <f aca="false">IFERROR(__xludf.dummyfunction("""COMPUTED_VALUE"""),485.82)</f>
        <v>485.82</v>
      </c>
      <c r="F112" s="3" t="n">
        <f aca="false">IFERROR(__xludf.dummyfunction("if($T112&lt;&gt;"""",VALUE(REGEXEXTRACT(SUBSTITUTE ($T112,F$1&amp;"" CE"",""""), F$1&amp;""[\w &amp;]*, (\d+\.\d+)"")),"""")
"),475)</f>
        <v>475</v>
      </c>
      <c r="G112" s="3" t="n">
        <f aca="false">IFERROR(__xludf.dummyfunction("if($T112&lt;&gt;"""",VALUE(REGEXEXTRACT($T112, G$1&amp;""[\w &amp;]*, (\d+\.\d+)"")),"""")
"),487)</f>
        <v>487</v>
      </c>
      <c r="H112" s="3" t="n">
        <f aca="false">IFERROR(__xludf.dummyfunction("if($T112&lt;&gt;"""",VALUE(REGEXEXTRACT($T112, H$1&amp;""[\w &amp;]*, (\d+\.\d+)"")),"""")
"),492)</f>
        <v>492</v>
      </c>
      <c r="I112" s="3" t="n">
        <f aca="false">IFERROR(__xludf.dummyfunction("if($T112&lt;&gt;"""",VALUE(REGEXEXTRACT(SUBSTITUTE ($T112,I$1&amp;"" CE"",""""), I$1&amp;""[\w &amp;]*, (\d+\.\d+)"")),"""")
"),484)</f>
        <v>484</v>
      </c>
      <c r="J112" s="3" t="n">
        <f aca="false">IFERROR(__xludf.dummyfunction("if($T112&lt;&gt;"""",VALUE(REGEXEXTRACT($T112, J$1&amp;""[\w &amp;]*, (\d+\.\d+)"")),"""")
"),484)</f>
        <v>484</v>
      </c>
      <c r="K112" s="3" t="n">
        <f aca="false">IFERROR(__xludf.dummyfunction("if($T112&lt;&gt;"""",VALUE(REGEXEXTRACT($T112, K$1&amp;""[\w &amp;]*, (\d+\.\d+)"")),"""")
"),458)</f>
        <v>458</v>
      </c>
      <c r="L112" s="3" t="n">
        <f aca="false">IFERROR(__xludf.dummyfunction("if($T112&lt;&gt;"""",VALUE(REGEXEXTRACT(SUBSTITUTE ($T112,L$1&amp;"" CE"",""""), L$1&amp;""[\w &amp;]*, (\d+\.\d+)"")),"""")
"),484)</f>
        <v>484</v>
      </c>
      <c r="M112" s="3" t="n">
        <f aca="false">IFERROR(__xludf.dummyfunction("if($T112&lt;&gt;"""",VALUE(REGEXEXTRACT($T112, M$1&amp;""[\w &amp;]*, (\d+\.\d+)"")),"""")
"),484)</f>
        <v>484</v>
      </c>
      <c r="N112" s="3" t="n">
        <f aca="false">IFERROR(__xludf.dummyfunction("if($T112&lt;&gt;"""",VALUE(REGEXEXTRACT(SUBSTITUTE ($T112,N$1&amp;"" CE"",""""), N$1&amp;""[\w &amp;]*, (\d+\.\d+)"")),"""")
"),480)</f>
        <v>480</v>
      </c>
      <c r="O112" s="3" t="n">
        <f aca="false">IFERROR(__xludf.dummyfunction("if($T112&lt;&gt;"""",VALUE(REGEXEXTRACT($T112, O$1&amp;""[\w &amp;]*, (\d+\.\d+)"")),"""")
"),485)</f>
        <v>485</v>
      </c>
      <c r="P112" s="2" t="n">
        <f aca="false">IFERROR(__xludf.dummyfunction("if($T112&lt;&gt;"""",VALUE(REGEXEXTRACT($T112, P$1&amp;""[\w &amp;]*, (\d+\.\d+)"")),"""")
"),480.55)</f>
        <v>480.55</v>
      </c>
      <c r="Q112" s="2" t="n">
        <f aca="false">IFERROR(__xludf.dummyfunction("if($T112&lt;&gt;"""",VALUE(REGEXEXTRACT($T112, Q$1&amp;""[\w &amp;]*, (\d+\.\d+)"")),"""")
"),478.91)</f>
        <v>478.91</v>
      </c>
      <c r="R112" s="2" t="n">
        <f aca="false">IFERROR(__xludf.dummyfunction("if($T112&lt;&gt;"""",VALUE(REGEXEXTRACT($T112, SUBSTITUTE(R$1, ""+"", ""\+"")&amp;""[\w &amp;]*, (\d+\.\d+)"")),"""")"),488.45)</f>
        <v>488.45</v>
      </c>
      <c r="S112" s="2" t="n">
        <f aca="false">IFERROR(__xludf.dummyfunction("if($T112&lt;&gt;"""",VALUE(REGEXEXTRACT($T112, SUBSTITUTE(S$1, ""+"", ""\+"")&amp;""[\w &amp;]*, (\d+\.\d+)"")),"""")"),490.09)</f>
        <v>490.09</v>
      </c>
      <c r="T112" s="5" t="s">
        <v>529</v>
      </c>
    </row>
    <row r="113" customFormat="false" ht="15.75" hidden="false" customHeight="false" outlineLevel="0" collapsed="false">
      <c r="A113" s="4" t="n">
        <f aca="false">IFERROR(__xludf.dummyfunction("""COMPUTED_VALUE"""),45561.6666666667)</f>
        <v>45561.6666666667</v>
      </c>
      <c r="B113" s="2" t="n">
        <f aca="false">IFERROR(__xludf.dummyfunction("""COMPUTED_VALUE"""),493.37)</f>
        <v>493.37</v>
      </c>
      <c r="C113" s="2" t="n">
        <f aca="false">IFERROR(__xludf.dummyfunction("""COMPUTED_VALUE"""),493.7)</f>
        <v>493.7</v>
      </c>
      <c r="D113" s="2" t="n">
        <f aca="false">IFERROR(__xludf.dummyfunction("""COMPUTED_VALUE"""),485.8)</f>
        <v>485.8</v>
      </c>
      <c r="E113" s="2" t="n">
        <f aca="false">IFERROR(__xludf.dummyfunction("""COMPUTED_VALUE"""),489.47)</f>
        <v>489.47</v>
      </c>
      <c r="F113" s="3" t="n">
        <f aca="false">IFERROR(__xludf.dummyfunction("if($T113&lt;&gt;"""",VALUE(REGEXEXTRACT(SUBSTITUTE ($T113,F$1&amp;"" CE"",""""), F$1&amp;""[\w &amp;]*, (\d+\.\d+)"")),"""")
"),475)</f>
        <v>475</v>
      </c>
      <c r="G113" s="3" t="n">
        <f aca="false">IFERROR(__xludf.dummyfunction("if($T113&lt;&gt;"""",VALUE(REGEXEXTRACT($T113, G$1&amp;""[\w &amp;]*, (\d+\.\d+)"")),"""")
"),487)</f>
        <v>487</v>
      </c>
      <c r="H113" s="3" t="n">
        <f aca="false">IFERROR(__xludf.dummyfunction("if($T113&lt;&gt;"""",VALUE(REGEXEXTRACT($T113, H$1&amp;""[\w &amp;]*, (\d+\.\d+)"")),"""")
"),493)</f>
        <v>493</v>
      </c>
      <c r="I113" s="3" t="n">
        <f aca="false">IFERROR(__xludf.dummyfunction("if($T113&lt;&gt;"""",VALUE(REGEXEXTRACT(SUBSTITUTE ($T113,I$1&amp;"" CE"",""""), I$1&amp;""[\w &amp;]*, (\d+\.\d+)"")),"""")
"),485)</f>
        <v>485</v>
      </c>
      <c r="J113" s="3" t="n">
        <f aca="false">IFERROR(__xludf.dummyfunction("if($T113&lt;&gt;"""",VALUE(REGEXEXTRACT($T113, J$1&amp;""[\w &amp;]*, (\d+\.\d+)"")),"""")
"),484)</f>
        <v>484</v>
      </c>
      <c r="K113" s="3" t="n">
        <f aca="false">IFERROR(__xludf.dummyfunction("if($T113&lt;&gt;"""",VALUE(REGEXEXTRACT($T113, K$1&amp;""[\w &amp;]*, (\d+\.\d+)"")),"""")
"),468)</f>
        <v>468</v>
      </c>
      <c r="L113" s="3" t="n">
        <f aca="false">IFERROR(__xludf.dummyfunction("if($T113&lt;&gt;"""",VALUE(REGEXEXTRACT(SUBSTITUTE ($T113,L$1&amp;"" CE"",""""), L$1&amp;""[\w &amp;]*, (\d+\.\d+)"")),"""")
"),484)</f>
        <v>484</v>
      </c>
      <c r="M113" s="3" t="n">
        <f aca="false">IFERROR(__xludf.dummyfunction("if($T113&lt;&gt;"""",VALUE(REGEXEXTRACT($T113, M$1&amp;""[\w &amp;]*, (\d+\.\d+)"")),"""")
"),485)</f>
        <v>485</v>
      </c>
      <c r="N113" s="3" t="n">
        <f aca="false">IFERROR(__xludf.dummyfunction("if($T113&lt;&gt;"""",VALUE(REGEXEXTRACT(SUBSTITUTE ($T113,N$1&amp;"" CE"",""""), N$1&amp;""[\w &amp;]*, (\d+\.\d+)"")),"""")
"),480)</f>
        <v>480</v>
      </c>
      <c r="O113" s="3" t="n">
        <f aca="false">IFERROR(__xludf.dummyfunction("if($T113&lt;&gt;"""",VALUE(REGEXEXTRACT($T113, O$1&amp;""[\w &amp;]*, (\d+\.\d+)"")),"""")
"),487)</f>
        <v>487</v>
      </c>
      <c r="P113" s="2" t="n">
        <f aca="false">IFERROR(__xludf.dummyfunction("if($T113&lt;&gt;"""",VALUE(REGEXEXTRACT($T113, P$1&amp;""[\w &amp;]*, (\d+\.\d+)"")),"""")
"),490.11)</f>
        <v>490.11</v>
      </c>
      <c r="Q113" s="2" t="n">
        <f aca="false">IFERROR(__xludf.dummyfunction("if($T113&lt;&gt;"""",VALUE(REGEXEXTRACT($T113, Q$1&amp;""[\w &amp;]*, (\d+\.\d+)"")),"""")
"),488.85)</f>
        <v>488.85</v>
      </c>
      <c r="R113" s="2" t="n">
        <f aca="false">IFERROR(__xludf.dummyfunction("if($T113&lt;&gt;"""",VALUE(REGEXEXTRACT($T113, SUBSTITUTE(R$1, ""+"", ""\+"")&amp;""[\w &amp;]*, (\d+\.\d+)"")),"""")"),496.21)</f>
        <v>496.21</v>
      </c>
      <c r="S113" s="2" t="n">
        <f aca="false">IFERROR(__xludf.dummyfunction("if($T113&lt;&gt;"""",VALUE(REGEXEXTRACT($T113, SUBSTITUTE(S$1, ""+"", ""\+"")&amp;""[\w &amp;]*, (\d+\.\d+)"")),"""")"),497.47)</f>
        <v>497.47</v>
      </c>
      <c r="T113" s="5" t="s">
        <v>530</v>
      </c>
    </row>
    <row r="114" customFormat="false" ht="15.75" hidden="false" customHeight="false" outlineLevel="0" collapsed="false">
      <c r="A114" s="4" t="n">
        <f aca="false">IFERROR(__xludf.dummyfunction("""COMPUTED_VALUE"""),45562.6666666667)</f>
        <v>45562.6666666667</v>
      </c>
      <c r="B114" s="2" t="n">
        <f aca="false">IFERROR(__xludf.dummyfunction("""COMPUTED_VALUE"""),490.5)</f>
        <v>490.5</v>
      </c>
      <c r="C114" s="2" t="n">
        <f aca="false">IFERROR(__xludf.dummyfunction("""COMPUTED_VALUE"""),490.64)</f>
        <v>490.64</v>
      </c>
      <c r="D114" s="2" t="n">
        <f aca="false">IFERROR(__xludf.dummyfunction("""COMPUTED_VALUE"""),485.56)</f>
        <v>485.56</v>
      </c>
      <c r="E114" s="2" t="n">
        <f aca="false">IFERROR(__xludf.dummyfunction("""COMPUTED_VALUE"""),486.75)</f>
        <v>486.75</v>
      </c>
      <c r="F114" s="3" t="n">
        <f aca="false">IFERROR(__xludf.dummyfunction("if($T114&lt;&gt;"""",VALUE(REGEXEXTRACT(SUBSTITUTE ($T114,F$1&amp;"" CE"",""""), F$1&amp;""[\w &amp;]*, (\d+\.\d+)"")),"""")
"),490)</f>
        <v>490</v>
      </c>
      <c r="G114" s="3" t="n">
        <f aca="false">IFERROR(__xludf.dummyfunction("if($T114&lt;&gt;"""",VALUE(REGEXEXTRACT($T114, G$1&amp;""[\w &amp;]*, (\d+\.\d+)"")),"""")
"),490)</f>
        <v>490</v>
      </c>
      <c r="H114" s="3" t="n">
        <f aca="false">IFERROR(__xludf.dummyfunction("if($T114&lt;&gt;"""",VALUE(REGEXEXTRACT($T114, H$1&amp;""[\w &amp;]*, (\d+\.\d+)"")),"""")
"),503)</f>
        <v>503</v>
      </c>
      <c r="I114" s="3" t="n">
        <f aca="false">IFERROR(__xludf.dummyfunction("if($T114&lt;&gt;"""",VALUE(REGEXEXTRACT(SUBSTITUTE ($T114,I$1&amp;"" CE"",""""), I$1&amp;""[\w &amp;]*, (\d+\.\d+)"")),"""")
"),480)</f>
        <v>480</v>
      </c>
      <c r="J114" s="3" t="n">
        <f aca="false">IFERROR(__xludf.dummyfunction("if($T114&lt;&gt;"""",VALUE(REGEXEXTRACT($T114, J$1&amp;""[\w &amp;]*, (\d+\.\d+)"")),"""")
"),486)</f>
        <v>486</v>
      </c>
      <c r="K114" s="3" t="n">
        <f aca="false">IFERROR(__xludf.dummyfunction("if($T114&lt;&gt;"""",VALUE(REGEXEXTRACT($T114, K$1&amp;""[\w &amp;]*, (\d+\.\d+)"")),"""")
"),458)</f>
        <v>458</v>
      </c>
      <c r="L114" s="3" t="n">
        <f aca="false">IFERROR(__xludf.dummyfunction("if($T114&lt;&gt;"""",VALUE(REGEXEXTRACT(SUBSTITUTE ($T114,L$1&amp;"" CE"",""""), L$1&amp;""[\w &amp;]*, (\d+\.\d+)"")),"""")
"),487)</f>
        <v>487</v>
      </c>
      <c r="M114" s="3" t="n">
        <f aca="false">IFERROR(__xludf.dummyfunction("if($T114&lt;&gt;"""",VALUE(REGEXEXTRACT($T114, M$1&amp;""[\w &amp;]*, (\d+\.\d+)"")),"""")
"),488)</f>
        <v>488</v>
      </c>
      <c r="N114" s="3" t="n">
        <f aca="false">IFERROR(__xludf.dummyfunction("if($T114&lt;&gt;"""",VALUE(REGEXEXTRACT(SUBSTITUTE ($T114,N$1&amp;"" CE"",""""), N$1&amp;""[\w &amp;]*, (\d+\.\d+)"")),"""")
"),490)</f>
        <v>490</v>
      </c>
      <c r="O114" s="3" t="n">
        <f aca="false">IFERROR(__xludf.dummyfunction("if($T114&lt;&gt;"""",VALUE(REGEXEXTRACT($T114, O$1&amp;""[\w &amp;]*, (\d+\.\d+)"")),"""")
"),490)</f>
        <v>490</v>
      </c>
      <c r="P114" s="2" t="n">
        <f aca="false">IFERROR(__xludf.dummyfunction("if($T114&lt;&gt;"""",VALUE(REGEXEXTRACT($T114, P$1&amp;""[\w &amp;]*, (\d+\.\d+)"")),"""")
"),484.41)</f>
        <v>484.41</v>
      </c>
      <c r="Q114" s="2" t="n">
        <f aca="false">IFERROR(__xludf.dummyfunction("if($T114&lt;&gt;"""",VALUE(REGEXEXTRACT($T114, Q$1&amp;""[\w &amp;]*, (\d+\.\d+)"")),"""")
"),480.07)</f>
        <v>480.07</v>
      </c>
      <c r="R114" s="2" t="n">
        <f aca="false">IFERROR(__xludf.dummyfunction("if($T114&lt;&gt;"""",VALUE(REGEXEXTRACT($T114, SUBSTITUTE(R$1, ""+"", ""\+"")&amp;""[\w &amp;]*, (\d+\.\d+)"")),"""")"),493.11)</f>
        <v>493.11</v>
      </c>
      <c r="S114" s="2" t="n">
        <f aca="false">IFERROR(__xludf.dummyfunction("if($T114&lt;&gt;"""",VALUE(REGEXEXTRACT($T114, SUBSTITUTE(S$1, ""+"", ""\+"")&amp;""[\w &amp;]*, (\d+\.\d+)"")),"""")"),497.45)</f>
        <v>497.45</v>
      </c>
      <c r="T114" s="5" t="s">
        <v>531</v>
      </c>
    </row>
    <row r="115" customFormat="false" ht="15.75" hidden="false" customHeight="false" outlineLevel="0" collapsed="false">
      <c r="A115" s="4" t="n">
        <f aca="false">IFERROR(__xludf.dummyfunction("""COMPUTED_VALUE"""),45565.6666666667)</f>
        <v>45565.6666666667</v>
      </c>
      <c r="B115" s="2" t="n">
        <f aca="false">IFERROR(__xludf.dummyfunction("""COMPUTED_VALUE"""),485.78)</f>
        <v>485.78</v>
      </c>
      <c r="C115" s="2" t="n">
        <f aca="false">IFERROR(__xludf.dummyfunction("""COMPUTED_VALUE"""),488.41)</f>
        <v>488.41</v>
      </c>
      <c r="D115" s="2" t="n">
        <f aca="false">IFERROR(__xludf.dummyfunction("""COMPUTED_VALUE"""),482.92)</f>
        <v>482.92</v>
      </c>
      <c r="E115" s="2" t="n">
        <f aca="false">IFERROR(__xludf.dummyfunction("""COMPUTED_VALUE"""),488.07)</f>
        <v>488.07</v>
      </c>
      <c r="F115" s="3" t="n">
        <f aca="false">IFERROR(__xludf.dummyfunction("if($T115&lt;&gt;"""",VALUE(REGEXEXTRACT(SUBSTITUTE ($T115,F$1&amp;"" CE"",""""), F$1&amp;""[\w &amp;]*, (\d+\.\d+)"")),"""")
"),490)</f>
        <v>490</v>
      </c>
      <c r="G115" s="3" t="n">
        <f aca="false">IFERROR(__xludf.dummyfunction("if($T115&lt;&gt;"""",VALUE(REGEXEXTRACT($T115, G$1&amp;""[\w &amp;]*, (\d+\.\d+)"")),"""")
"),490)</f>
        <v>490</v>
      </c>
      <c r="H115" s="3" t="n">
        <f aca="false">IFERROR(__xludf.dummyfunction("if($T115&lt;&gt;"""",VALUE(REGEXEXTRACT($T115, H$1&amp;""[\w &amp;]*, (\d+\.\d+)"")),"""")
"),492)</f>
        <v>492</v>
      </c>
      <c r="I115" s="3" t="n">
        <f aca="false">IFERROR(__xludf.dummyfunction("if($T115&lt;&gt;"""",VALUE(REGEXEXTRACT(SUBSTITUTE ($T115,I$1&amp;"" CE"",""""), I$1&amp;""[\w &amp;]*, (\d+\.\d+)"")),"""")
"),480)</f>
        <v>480</v>
      </c>
      <c r="J115" s="3" t="n">
        <f aca="false">IFERROR(__xludf.dummyfunction("if($T115&lt;&gt;"""",VALUE(REGEXEXTRACT($T115, J$1&amp;""[\w &amp;]*, (\d+\.\d+)"")),"""")
"),480)</f>
        <v>480</v>
      </c>
      <c r="K115" s="3" t="n">
        <f aca="false">IFERROR(__xludf.dummyfunction("if($T115&lt;&gt;"""",VALUE(REGEXEXTRACT($T115, K$1&amp;""[\w &amp;]*, (\d+\.\d+)"")),"""")
"),458)</f>
        <v>458</v>
      </c>
      <c r="L115" s="3" t="n">
        <f aca="false">IFERROR(__xludf.dummyfunction("if($T115&lt;&gt;"""",VALUE(REGEXEXTRACT(SUBSTITUTE ($T115,L$1&amp;"" CE"",""""), L$1&amp;""[\w &amp;]*, (\d+\.\d+)"")),"""")
"),486)</f>
        <v>486</v>
      </c>
      <c r="M115" s="3" t="n">
        <f aca="false">IFERROR(__xludf.dummyfunction("if($T115&lt;&gt;"""",VALUE(REGEXEXTRACT($T115, M$1&amp;""[\w &amp;]*, (\d+\.\d+)"")),"""")
"),486)</f>
        <v>486</v>
      </c>
      <c r="N115" s="3" t="n">
        <f aca="false">IFERROR(__xludf.dummyfunction("if($T115&lt;&gt;"""",VALUE(REGEXEXTRACT(SUBSTITUTE ($T115,N$1&amp;"" CE"",""""), N$1&amp;""[\w &amp;]*, (\d+\.\d+)"")),"""")
"),490)</f>
        <v>490</v>
      </c>
      <c r="O115" s="3" t="n">
        <f aca="false">IFERROR(__xludf.dummyfunction("if($T115&lt;&gt;"""",VALUE(REGEXEXTRACT($T115, O$1&amp;""[\w &amp;]*, (\d+\.\d+)"")),"""")
"),490)</f>
        <v>490</v>
      </c>
      <c r="P115" s="2" t="n">
        <f aca="false">IFERROR(__xludf.dummyfunction("if($T115&lt;&gt;"""",VALUE(REGEXEXTRACT($T115, P$1&amp;""[\w &amp;]*, (\d+\.\d+)"")),"""")
"),481.03)</f>
        <v>481.03</v>
      </c>
      <c r="Q115" s="2" t="n">
        <f aca="false">IFERROR(__xludf.dummyfunction("if($T115&lt;&gt;"""",VALUE(REGEXEXTRACT($T115, Q$1&amp;""[\w &amp;]*, (\d+\.\d+)"")),"""")
"),479.12)</f>
        <v>479.12</v>
      </c>
      <c r="R115" s="2" t="n">
        <f aca="false">IFERROR(__xludf.dummyfunction("if($T115&lt;&gt;"""",VALUE(REGEXEXTRACT($T115, SUBSTITUTE(R$1, ""+"", ""\+"")&amp;""[\w &amp;]*, (\d+\.\d+)"")),"""")"),489.09)</f>
        <v>489.09</v>
      </c>
      <c r="S115" s="2" t="n">
        <f aca="false">IFERROR(__xludf.dummyfunction("if($T115&lt;&gt;"""",VALUE(REGEXEXTRACT($T115, SUBSTITUTE(S$1, ""+"", ""\+"")&amp;""[\w &amp;]*, (\d+\.\d+)"")),"""")"),491)</f>
        <v>491</v>
      </c>
      <c r="T115" s="5" t="s">
        <v>532</v>
      </c>
    </row>
    <row r="116" customFormat="false" ht="15.75" hidden="false" customHeight="false" outlineLevel="0" collapsed="false">
      <c r="A116" s="4" t="n">
        <f aca="false">IFERROR(__xludf.dummyfunction("""COMPUTED_VALUE"""),45566.6666666667)</f>
        <v>45566.6666666667</v>
      </c>
      <c r="B116" s="2" t="n">
        <f aca="false">IFERROR(__xludf.dummyfunction("""COMPUTED_VALUE"""),487.7)</f>
        <v>487.7</v>
      </c>
      <c r="C116" s="2" t="n">
        <f aca="false">IFERROR(__xludf.dummyfunction("""COMPUTED_VALUE"""),488)</f>
        <v>488</v>
      </c>
      <c r="D116" s="2" t="n">
        <f aca="false">IFERROR(__xludf.dummyfunction("""COMPUTED_VALUE"""),477.4)</f>
        <v>477.4</v>
      </c>
      <c r="E116" s="2" t="n">
        <f aca="false">IFERROR(__xludf.dummyfunction("""COMPUTED_VALUE"""),481.27)</f>
        <v>481.27</v>
      </c>
      <c r="F116" s="3" t="n">
        <f aca="false">IFERROR(__xludf.dummyfunction("if($T116&lt;&gt;"""",VALUE(REGEXEXTRACT(SUBSTITUTE ($T116,F$1&amp;"" CE"",""""), F$1&amp;""[\w &amp;]*, (\d+\.\d+)"")),"""")
"),475)</f>
        <v>475</v>
      </c>
      <c r="G116" s="3" t="n">
        <f aca="false">IFERROR(__xludf.dummyfunction("if($T116&lt;&gt;"""",VALUE(REGEXEXTRACT($T116, G$1&amp;""[\w &amp;]*, (\d+\.\d+)"")),"""")
"),490)</f>
        <v>490</v>
      </c>
      <c r="H116" s="3" t="n">
        <f aca="false">IFERROR(__xludf.dummyfunction("if($T116&lt;&gt;"""",VALUE(REGEXEXTRACT($T116, H$1&amp;""[\w &amp;]*, (\d+\.\d+)"")),"""")
"),503)</f>
        <v>503</v>
      </c>
      <c r="I116" s="3" t="n">
        <f aca="false">IFERROR(__xludf.dummyfunction("if($T116&lt;&gt;"""",VALUE(REGEXEXTRACT(SUBSTITUTE ($T116,I$1&amp;"" CE"",""""), I$1&amp;""[\w &amp;]*, (\d+\.\d+)"")),"""")
"),480)</f>
        <v>480</v>
      </c>
      <c r="J116" s="3" t="n">
        <f aca="false">IFERROR(__xludf.dummyfunction("if($T116&lt;&gt;"""",VALUE(REGEXEXTRACT($T116, J$1&amp;""[\w &amp;]*, (\d+\.\d+)"")),"""")
"),480)</f>
        <v>480</v>
      </c>
      <c r="K116" s="3" t="n">
        <f aca="false">IFERROR(__xludf.dummyfunction("if($T116&lt;&gt;"""",VALUE(REGEXEXTRACT($T116, K$1&amp;""[\w &amp;]*, (\d+\.\d+)"")),"""")
"),458)</f>
        <v>458</v>
      </c>
      <c r="L116" s="3" t="n">
        <f aca="false">IFERROR(__xludf.dummyfunction("if($T116&lt;&gt;"""",VALUE(REGEXEXTRACT(SUBSTITUTE ($T116,L$1&amp;"" CE"",""""), L$1&amp;""[\w &amp;]*, (\d+\.\d+)"")),"""")
"),486)</f>
        <v>486</v>
      </c>
      <c r="M116" s="3" t="n">
        <f aca="false">IFERROR(__xludf.dummyfunction("if($T116&lt;&gt;"""",VALUE(REGEXEXTRACT($T116, M$1&amp;""[\w &amp;]*, (\d+\.\d+)"")),"""")
"),486)</f>
        <v>486</v>
      </c>
      <c r="N116" s="3" t="n">
        <f aca="false">IFERROR(__xludf.dummyfunction("if($T116&lt;&gt;"""",VALUE(REGEXEXTRACT(SUBSTITUTE ($T116,N$1&amp;"" CE"",""""), N$1&amp;""[\w &amp;]*, (\d+\.\d+)"")),"""")
"),490)</f>
        <v>490</v>
      </c>
      <c r="O116" s="3" t="n">
        <f aca="false">IFERROR(__xludf.dummyfunction("if($T116&lt;&gt;"""",VALUE(REGEXEXTRACT($T116, O$1&amp;""[\w &amp;]*, (\d+\.\d+)"")),"""")
"),488)</f>
        <v>488</v>
      </c>
      <c r="P116" s="2" t="n">
        <f aca="false">IFERROR(__xludf.dummyfunction("if($T116&lt;&gt;"""",VALUE(REGEXEXTRACT($T116, P$1&amp;""[\w &amp;]*, (\d+\.\d+)"")),"""")
"),484.8)</f>
        <v>484.8</v>
      </c>
      <c r="Q116" s="2" t="n">
        <f aca="false">IFERROR(__xludf.dummyfunction("if($T116&lt;&gt;"""",VALUE(REGEXEXTRACT($T116, Q$1&amp;""[\w &amp;]*, (\d+\.\d+)"")),"""")
"),482.98)</f>
        <v>482.98</v>
      </c>
      <c r="R116" s="2" t="n">
        <f aca="false">IFERROR(__xludf.dummyfunction("if($T116&lt;&gt;"""",VALUE(REGEXEXTRACT($T116, SUBSTITUTE(R$1, ""+"", ""\+"")&amp;""[\w &amp;]*, (\d+\.\d+)"")),"""")"),493.6)</f>
        <v>493.6</v>
      </c>
      <c r="S116" s="2" t="n">
        <f aca="false">IFERROR(__xludf.dummyfunction("if($T116&lt;&gt;"""",VALUE(REGEXEXTRACT($T116, SUBSTITUTE(S$1, ""+"", ""\+"")&amp;""[\w &amp;]*, (\d+\.\d+)"")),"""")"),495.42)</f>
        <v>495.42</v>
      </c>
      <c r="T116" s="5" t="s">
        <v>533</v>
      </c>
    </row>
    <row r="117" customFormat="false" ht="15.75" hidden="false" customHeight="false" outlineLevel="0" collapsed="false">
      <c r="A117" s="4" t="n">
        <f aca="false">IFERROR(__xludf.dummyfunction("""COMPUTED_VALUE"""),45567.6666666667)</f>
        <v>45567.6666666667</v>
      </c>
      <c r="B117" s="2" t="n">
        <f aca="false">IFERROR(__xludf.dummyfunction("""COMPUTED_VALUE"""),480.36)</f>
        <v>480.36</v>
      </c>
      <c r="C117" s="2" t="n">
        <f aca="false">IFERROR(__xludf.dummyfunction("""COMPUTED_VALUE"""),483.88)</f>
        <v>483.88</v>
      </c>
      <c r="D117" s="2" t="n">
        <f aca="false">IFERROR(__xludf.dummyfunction("""COMPUTED_VALUE"""),477.72)</f>
        <v>477.72</v>
      </c>
      <c r="E117" s="2" t="n">
        <f aca="false">IFERROR(__xludf.dummyfunction("""COMPUTED_VALUE"""),481.95)</f>
        <v>481.95</v>
      </c>
      <c r="F117" s="3" t="n">
        <f aca="false">IFERROR(__xludf.dummyfunction("if($T117&lt;&gt;"""",VALUE(REGEXEXTRACT(SUBSTITUTE ($T117,F$1&amp;"" CE"",""""), F$1&amp;""[\w &amp;]*, (\d+\.\d+)"")),"""")
"),475)</f>
        <v>475</v>
      </c>
      <c r="G117" s="3" t="n">
        <f aca="false">IFERROR(__xludf.dummyfunction("if($T117&lt;&gt;"""",VALUE(REGEXEXTRACT($T117, G$1&amp;""[\w &amp;]*, (\d+\.\d+)"")),"""")
"),483)</f>
        <v>483</v>
      </c>
      <c r="H117" s="3" t="n">
        <f aca="false">IFERROR(__xludf.dummyfunction("if($T117&lt;&gt;"""",VALUE(REGEXEXTRACT($T117, H$1&amp;""[\w &amp;]*, (\d+\.\d+)"")),"""")
"),503)</f>
        <v>503</v>
      </c>
      <c r="I117" s="3" t="n">
        <f aca="false">IFERROR(__xludf.dummyfunction("if($T117&lt;&gt;"""",VALUE(REGEXEXTRACT(SUBSTITUTE ($T117,I$1&amp;"" CE"",""""), I$1&amp;""[\w &amp;]*, (\d+\.\d+)"")),"""")
"),460)</f>
        <v>460</v>
      </c>
      <c r="J117" s="3" t="n">
        <f aca="false">IFERROR(__xludf.dummyfunction("if($T117&lt;&gt;"""",VALUE(REGEXEXTRACT($T117, J$1&amp;""[\w &amp;]*, (\d+\.\d+)"")),"""")
"),480)</f>
        <v>480</v>
      </c>
      <c r="K117" s="3" t="n">
        <f aca="false">IFERROR(__xludf.dummyfunction("if($T117&lt;&gt;"""",VALUE(REGEXEXTRACT($T117, K$1&amp;""[\w &amp;]*, (\d+\.\d+)"")),"""")
"),458)</f>
        <v>458</v>
      </c>
      <c r="L117" s="3" t="n">
        <f aca="false">IFERROR(__xludf.dummyfunction("if($T117&lt;&gt;"""",VALUE(REGEXEXTRACT(SUBSTITUTE ($T117,L$1&amp;"" CE"",""""), L$1&amp;""[\w &amp;]*, (\d+\.\d+)"")),"""")
"),480)</f>
        <v>480</v>
      </c>
      <c r="M117" s="3" t="n">
        <f aca="false">IFERROR(__xludf.dummyfunction("if($T117&lt;&gt;"""",VALUE(REGEXEXTRACT($T117, M$1&amp;""[\w &amp;]*, (\d+\.\d+)"")),"""")
"),481)</f>
        <v>481</v>
      </c>
      <c r="N117" s="3" t="n">
        <f aca="false">IFERROR(__xludf.dummyfunction("if($T117&lt;&gt;"""",VALUE(REGEXEXTRACT(SUBSTITUTE ($T117,N$1&amp;"" CE"",""""), N$1&amp;""[\w &amp;]*, (\d+\.\d+)"")),"""")
"),480)</f>
        <v>480</v>
      </c>
      <c r="O117" s="3" t="n">
        <f aca="false">IFERROR(__xludf.dummyfunction("if($T117&lt;&gt;"""",VALUE(REGEXEXTRACT($T117, O$1&amp;""[\w &amp;]*, (\d+\.\d+)"")),"""")
"),480)</f>
        <v>480</v>
      </c>
      <c r="P117" s="2" t="n">
        <f aca="false">IFERROR(__xludf.dummyfunction("if($T117&lt;&gt;"""",VALUE(REGEXEXTRACT($T117, P$1&amp;""[\w &amp;]*, (\d+\.\d+)"")),"""")
"),476.31)</f>
        <v>476.31</v>
      </c>
      <c r="Q117" s="2" t="n">
        <f aca="false">IFERROR(__xludf.dummyfunction("if($T117&lt;&gt;"""",VALUE(REGEXEXTRACT($T117, Q$1&amp;""[\w &amp;]*, (\d+\.\d+)"")),"""")
"),474.26)</f>
        <v>474.26</v>
      </c>
      <c r="R117" s="2" t="n">
        <f aca="false">IFERROR(__xludf.dummyfunction("if($T117&lt;&gt;"""",VALUE(REGEXEXTRACT($T117, SUBSTITUTE(R$1, ""+"", ""\+"")&amp;""[\w &amp;]*, (\d+\.\d+)"")),"""")"),486.23)</f>
        <v>486.23</v>
      </c>
      <c r="S117" s="2" t="n">
        <f aca="false">IFERROR(__xludf.dummyfunction("if($T117&lt;&gt;"""",VALUE(REGEXEXTRACT($T117, SUBSTITUTE(S$1, ""+"", ""\+"")&amp;""[\w &amp;]*, (\d+\.\d+)"")),"""")"),488.28)</f>
        <v>488.28</v>
      </c>
      <c r="T117" s="5" t="s">
        <v>534</v>
      </c>
    </row>
    <row r="118" customFormat="false" ht="15.75" hidden="false" customHeight="false" outlineLevel="0" collapsed="false">
      <c r="A118" s="4" t="n">
        <f aca="false">IFERROR(__xludf.dummyfunction("""COMPUTED_VALUE"""),45568.6666666667)</f>
        <v>45568.6666666667</v>
      </c>
      <c r="B118" s="2" t="n">
        <f aca="false">IFERROR(__xludf.dummyfunction("""COMPUTED_VALUE"""),479.74)</f>
        <v>479.74</v>
      </c>
      <c r="C118" s="2" t="n">
        <f aca="false">IFERROR(__xludf.dummyfunction("""COMPUTED_VALUE"""),484.55)</f>
        <v>484.55</v>
      </c>
      <c r="D118" s="2" t="n">
        <f aca="false">IFERROR(__xludf.dummyfunction("""COMPUTED_VALUE"""),478.99)</f>
        <v>478.99</v>
      </c>
      <c r="E118" s="2" t="n">
        <f aca="false">IFERROR(__xludf.dummyfunction("""COMPUTED_VALUE"""),481.59)</f>
        <v>481.59</v>
      </c>
      <c r="F118" s="3" t="n">
        <f aca="false">IFERROR(__xludf.dummyfunction("if($T118&lt;&gt;"""",VALUE(REGEXEXTRACT(SUBSTITUTE ($T118,F$1&amp;"" CE"",""""), F$1&amp;""[\w &amp;]*, (\d+\.\d+)"")),"""")
"),475)</f>
        <v>475</v>
      </c>
      <c r="G118" s="3" t="n">
        <f aca="false">IFERROR(__xludf.dummyfunction("if($T118&lt;&gt;"""",VALUE(REGEXEXTRACT($T118, G$1&amp;""[\w &amp;]*, (\d+\.\d+)"")),"""")
"),487)</f>
        <v>487</v>
      </c>
      <c r="H118" s="3" t="n">
        <f aca="false">IFERROR(__xludf.dummyfunction("if($T118&lt;&gt;"""",VALUE(REGEXEXTRACT($T118, H$1&amp;""[\w &amp;]*, (\d+\.\d+)"")),"""")
"),503)</f>
        <v>503</v>
      </c>
      <c r="I118" s="3" t="n">
        <f aca="false">IFERROR(__xludf.dummyfunction("if($T118&lt;&gt;"""",VALUE(REGEXEXTRACT(SUBSTITUTE ($T118,I$1&amp;"" CE"",""""), I$1&amp;""[\w &amp;]*, (\d+\.\d+)"")),"""")
"),460)</f>
        <v>460</v>
      </c>
      <c r="J118" s="3" t="n">
        <f aca="false">IFERROR(__xludf.dummyfunction("if($T118&lt;&gt;"""",VALUE(REGEXEXTRACT($T118, J$1&amp;""[\w &amp;]*, (\d+\.\d+)"")),"""")
"),480)</f>
        <v>480</v>
      </c>
      <c r="K118" s="3" t="n">
        <f aca="false">IFERROR(__xludf.dummyfunction("if($T118&lt;&gt;"""",VALUE(REGEXEXTRACT($T118, K$1&amp;""[\w &amp;]*, (\d+\.\d+)"")),"""")
"),468)</f>
        <v>468</v>
      </c>
      <c r="L118" s="3" t="n">
        <f aca="false">IFERROR(__xludf.dummyfunction("if($T118&lt;&gt;"""",VALUE(REGEXEXTRACT(SUBSTITUTE ($T118,L$1&amp;"" CE"",""""), L$1&amp;""[\w &amp;]*, (\d+\.\d+)"")),"""")
"),482.5)</f>
        <v>482.5</v>
      </c>
      <c r="M118" s="3" t="n">
        <f aca="false">IFERROR(__xludf.dummyfunction("if($T118&lt;&gt;"""",VALUE(REGEXEXTRACT($T118, M$1&amp;""[\w &amp;]*, (\d+\.\d+)"")),"""")
"),483)</f>
        <v>483</v>
      </c>
      <c r="N118" s="3" t="n">
        <f aca="false">IFERROR(__xludf.dummyfunction("if($T118&lt;&gt;"""",VALUE(REGEXEXTRACT(SUBSTITUTE ($T118,N$1&amp;"" CE"",""""), N$1&amp;""[\w &amp;]*, (\d+\.\d+)"")),"""")
"),480)</f>
        <v>480</v>
      </c>
      <c r="O118" s="3" t="n">
        <f aca="false">IFERROR(__xludf.dummyfunction("if($T118&lt;&gt;"""",VALUE(REGEXEXTRACT($T118, O$1&amp;""[\w &amp;]*, (\d+\.\d+)"")),"""")
"),483)</f>
        <v>483</v>
      </c>
      <c r="P118" s="2" t="n">
        <f aca="false">IFERROR(__xludf.dummyfunction("if($T118&lt;&gt;"""",VALUE(REGEXEXTRACT($T118, P$1&amp;""[\w &amp;]*, (\d+\.\d+)"")),"""")
"),476.03)</f>
        <v>476.03</v>
      </c>
      <c r="Q118" s="2" t="n">
        <f aca="false">IFERROR(__xludf.dummyfunction("if($T118&lt;&gt;"""",VALUE(REGEXEXTRACT($T118, Q$1&amp;""[\w &amp;]*, (\d+\.\d+)"")),"""")
"),474.14)</f>
        <v>474.14</v>
      </c>
      <c r="R118" s="2" t="n">
        <f aca="false">IFERROR(__xludf.dummyfunction("if($T118&lt;&gt;"""",VALUE(REGEXEXTRACT($T118, SUBSTITUTE(R$1, ""+"", ""\+"")&amp;""[\w &amp;]*, (\d+\.\d+)"")),"""")"),485.11)</f>
        <v>485.11</v>
      </c>
      <c r="S118" s="2" t="n">
        <f aca="false">IFERROR(__xludf.dummyfunction("if($T118&lt;&gt;"""",VALUE(REGEXEXTRACT($T118, SUBSTITUTE(S$1, ""+"", ""\+"")&amp;""[\w &amp;]*, (\d+\.\d+)"")),"""")"),487)</f>
        <v>487</v>
      </c>
      <c r="T118" s="5" t="s">
        <v>535</v>
      </c>
    </row>
    <row r="119" customFormat="false" ht="15.75" hidden="false" customHeight="false" outlineLevel="0" collapsed="false">
      <c r="A119" s="4" t="n">
        <f aca="false">IFERROR(__xludf.dummyfunction("""COMPUTED_VALUE"""),45569.6666666667)</f>
        <v>45569.6666666667</v>
      </c>
      <c r="B119" s="2" t="n">
        <f aca="false">IFERROR(__xludf.dummyfunction("""COMPUTED_VALUE"""),487.45)</f>
        <v>487.45</v>
      </c>
      <c r="C119" s="2" t="n">
        <f aca="false">IFERROR(__xludf.dummyfunction("""COMPUTED_VALUE"""),487.88)</f>
        <v>487.88</v>
      </c>
      <c r="D119" s="2" t="n">
        <f aca="false">IFERROR(__xludf.dummyfunction("""COMPUTED_VALUE"""),482.39)</f>
        <v>482.39</v>
      </c>
      <c r="E119" s="2" t="n">
        <f aca="false">IFERROR(__xludf.dummyfunction("""COMPUTED_VALUE"""),487.32)</f>
        <v>487.32</v>
      </c>
      <c r="F119" s="3" t="n">
        <f aca="false">IFERROR(__xludf.dummyfunction("if($T119&lt;&gt;"""",VALUE(REGEXEXTRACT(SUBSTITUTE ($T119,F$1&amp;"" CE"",""""), F$1&amp;""[\w &amp;]*, (\d+\.\d+)"")),"""")
"),475)</f>
        <v>475</v>
      </c>
      <c r="G119" s="3" t="n">
        <f aca="false">IFERROR(__xludf.dummyfunction("if($T119&lt;&gt;"""",VALUE(REGEXEXTRACT($T119, G$1&amp;""[\w &amp;]*, (\d+\.\d+)"")),"""")
"),487)</f>
        <v>487</v>
      </c>
      <c r="H119" s="3" t="n">
        <f aca="false">IFERROR(__xludf.dummyfunction("if($T119&lt;&gt;"""",VALUE(REGEXEXTRACT($T119, H$1&amp;""[\w &amp;]*, (\d+\.\d+)"")),"""")
"),503)</f>
        <v>503</v>
      </c>
      <c r="I119" s="3" t="n">
        <f aca="false">IFERROR(__xludf.dummyfunction("if($T119&lt;&gt;"""",VALUE(REGEXEXTRACT(SUBSTITUTE ($T119,I$1&amp;"" CE"",""""), I$1&amp;""[\w &amp;]*, (\d+\.\d+)"")),"""")
"),475)</f>
        <v>475</v>
      </c>
      <c r="J119" s="3" t="n">
        <f aca="false">IFERROR(__xludf.dummyfunction("if($T119&lt;&gt;"""",VALUE(REGEXEXTRACT($T119, J$1&amp;""[\w &amp;]*, (\d+\.\d+)"")),"""")
"),475)</f>
        <v>475</v>
      </c>
      <c r="K119" s="3" t="n">
        <f aca="false">IFERROR(__xludf.dummyfunction("if($T119&lt;&gt;"""",VALUE(REGEXEXTRACT($T119, K$1&amp;""[\w &amp;]*, (\d+\.\d+)"")),"""")
"),469)</f>
        <v>469</v>
      </c>
      <c r="L119" s="3" t="n">
        <f aca="false">IFERROR(__xludf.dummyfunction("if($T119&lt;&gt;"""",VALUE(REGEXEXTRACT(SUBSTITUTE ($T119,L$1&amp;"" CE"",""""), L$1&amp;""[\w &amp;]*, (\d+\.\d+)"")),"""")
"),480)</f>
        <v>480</v>
      </c>
      <c r="M119" s="3" t="n">
        <f aca="false">IFERROR(__xludf.dummyfunction("if($T119&lt;&gt;"""",VALUE(REGEXEXTRACT($T119, M$1&amp;""[\w &amp;]*, (\d+\.\d+)"")),"""")
"),480)</f>
        <v>480</v>
      </c>
      <c r="N119" s="3" t="n">
        <f aca="false">IFERROR(__xludf.dummyfunction("if($T119&lt;&gt;"""",VALUE(REGEXEXTRACT(SUBSTITUTE ($T119,N$1&amp;"" CE"",""""), N$1&amp;""[\w &amp;]*, (\d+\.\d+)"")),"""")
"),480)</f>
        <v>480</v>
      </c>
      <c r="O119" s="3" t="n">
        <f aca="false">IFERROR(__xludf.dummyfunction("if($T119&lt;&gt;"""",VALUE(REGEXEXTRACT($T119, O$1&amp;""[\w &amp;]*, (\d+\.\d+)"")),"""")
"),483)</f>
        <v>483</v>
      </c>
      <c r="P119" s="2" t="n">
        <f aca="false">IFERROR(__xludf.dummyfunction("if($T119&lt;&gt;"""",VALUE(REGEXEXTRACT($T119, P$1&amp;""[\w &amp;]*, (\d+\.\d+)"")),"""")
"),478.35)</f>
        <v>478.35</v>
      </c>
      <c r="Q119" s="2" t="n">
        <f aca="false">IFERROR(__xludf.dummyfunction("if($T119&lt;&gt;"""",VALUE(REGEXEXTRACT($T119, Q$1&amp;""[\w &amp;]*, (\d+\.\d+)"")),"""")
"),473.21)</f>
        <v>473.21</v>
      </c>
      <c r="R119" s="2" t="n">
        <f aca="false">IFERROR(__xludf.dummyfunction("if($T119&lt;&gt;"""",VALUE(REGEXEXTRACT($T119, SUBSTITUTE(R$1, ""+"", ""\+"")&amp;""[\w &amp;]*, (\d+\.\d+)"")),"""")"),488.65)</f>
        <v>488.65</v>
      </c>
      <c r="S119" s="2" t="n">
        <f aca="false">IFERROR(__xludf.dummyfunction("if($T119&lt;&gt;"""",VALUE(REGEXEXTRACT($T119, SUBSTITUTE(S$1, ""+"", ""\+"")&amp;""[\w &amp;]*, (\d+\.\d+)"")),"""")"),493.79)</f>
        <v>493.79</v>
      </c>
      <c r="T119" s="5" t="s">
        <v>536</v>
      </c>
    </row>
    <row r="120" customFormat="false" ht="15.75" hidden="false" customHeight="false" outlineLevel="0" collapsed="false">
      <c r="A120" s="4" t="n">
        <f aca="false">IFERROR(__xludf.dummyfunction("""COMPUTED_VALUE"""),45572.6666666667)</f>
        <v>45572.6666666667</v>
      </c>
      <c r="B120" s="2" t="n">
        <f aca="false">IFERROR(__xludf.dummyfunction("""COMPUTED_VALUE"""),485.39)</f>
        <v>485.39</v>
      </c>
      <c r="C120" s="2" t="n">
        <f aca="false">IFERROR(__xludf.dummyfunction("""COMPUTED_VALUE"""),486.57)</f>
        <v>486.57</v>
      </c>
      <c r="D120" s="2" t="n">
        <f aca="false">IFERROR(__xludf.dummyfunction("""COMPUTED_VALUE"""),480.87)</f>
        <v>480.87</v>
      </c>
      <c r="E120" s="2" t="n">
        <f aca="false">IFERROR(__xludf.dummyfunction("""COMPUTED_VALUE"""),482.1)</f>
        <v>482.1</v>
      </c>
      <c r="F120" s="3" t="n">
        <f aca="false">IFERROR(__xludf.dummyfunction("if($T120&lt;&gt;"""",VALUE(REGEXEXTRACT(SUBSTITUTE ($T120,F$1&amp;"" CE"",""""), F$1&amp;""[\w &amp;]*, (\d+\.\d+)"")),"""")
"),475)</f>
        <v>475</v>
      </c>
      <c r="G120" s="3" t="n">
        <f aca="false">IFERROR(__xludf.dummyfunction("if($T120&lt;&gt;"""",VALUE(REGEXEXTRACT($T120, G$1&amp;""[\w &amp;]*, (\d+\.\d+)"")),"""")
"),490)</f>
        <v>490</v>
      </c>
      <c r="H120" s="3" t="n">
        <f aca="false">IFERROR(__xludf.dummyfunction("if($T120&lt;&gt;"""",VALUE(REGEXEXTRACT($T120, H$1&amp;""[\w &amp;]*, (\d+\.\d+)"")),"""")
"),503)</f>
        <v>503</v>
      </c>
      <c r="I120" s="3" t="n">
        <f aca="false">IFERROR(__xludf.dummyfunction("if($T120&lt;&gt;"""",VALUE(REGEXEXTRACT(SUBSTITUTE ($T120,I$1&amp;"" CE"",""""), I$1&amp;""[\w &amp;]*, (\d+\.\d+)"")),"""")
"),480)</f>
        <v>480</v>
      </c>
      <c r="J120" s="3" t="n">
        <f aca="false">IFERROR(__xludf.dummyfunction("if($T120&lt;&gt;"""",VALUE(REGEXEXTRACT($T120, J$1&amp;""[\w &amp;]*, (\d+\.\d+)"")),"""")
"),484)</f>
        <v>484</v>
      </c>
      <c r="K120" s="3" t="n">
        <f aca="false">IFERROR(__xludf.dummyfunction("if($T120&lt;&gt;"""",VALUE(REGEXEXTRACT($T120, K$1&amp;""[\w &amp;]*, (\d+\.\d+)"")),"""")
"),459)</f>
        <v>459</v>
      </c>
      <c r="L120" s="3" t="n">
        <f aca="false">IFERROR(__xludf.dummyfunction("if($T120&lt;&gt;"""",VALUE(REGEXEXTRACT(SUBSTITUTE ($T120,L$1&amp;"" CE"",""""), L$1&amp;""[\w &amp;]*, (\d+\.\d+)"")),"""")
"),485)</f>
        <v>485</v>
      </c>
      <c r="M120" s="3" t="n">
        <f aca="false">IFERROR(__xludf.dummyfunction("if($T120&lt;&gt;"""",VALUE(REGEXEXTRACT($T120, M$1&amp;""[\w &amp;]*, (\d+\.\d+)"")),"""")
"),487)</f>
        <v>487</v>
      </c>
      <c r="N120" s="3" t="n">
        <f aca="false">IFERROR(__xludf.dummyfunction("if($T120&lt;&gt;"""",VALUE(REGEXEXTRACT(SUBSTITUTE ($T120,N$1&amp;"" CE"",""""), N$1&amp;""[\w &amp;]*, (\d+\.\d+)"")),"""")
"),480)</f>
        <v>480</v>
      </c>
      <c r="O120" s="3" t="n">
        <f aca="false">IFERROR(__xludf.dummyfunction("if($T120&lt;&gt;"""",VALUE(REGEXEXTRACT($T120, O$1&amp;""[\w &amp;]*, (\d+\.\d+)"")),"""")
"),485)</f>
        <v>485</v>
      </c>
      <c r="P120" s="2" t="n">
        <f aca="false">IFERROR(__xludf.dummyfunction("if($T120&lt;&gt;"""",VALUE(REGEXEXTRACT($T120, P$1&amp;""[\w &amp;]*, (\d+\.\d+)"")),"""")
"),483.19)</f>
        <v>483.19</v>
      </c>
      <c r="Q120" s="2" t="n">
        <f aca="false">IFERROR(__xludf.dummyfunction("if($T120&lt;&gt;"""",VALUE(REGEXEXTRACT($T120, Q$1&amp;""[\w &amp;]*, (\d+\.\d+)"")),"""")
"),481.48)</f>
        <v>481.48</v>
      </c>
      <c r="R120" s="2" t="n">
        <f aca="false">IFERROR(__xludf.dummyfunction("if($T120&lt;&gt;"""",VALUE(REGEXEXTRACT($T120, SUBSTITUTE(R$1, ""+"", ""\+"")&amp;""[\w &amp;]*, (\d+\.\d+)"")),"""")"),491.45)</f>
        <v>491.45</v>
      </c>
      <c r="S120" s="2" t="n">
        <f aca="false">IFERROR(__xludf.dummyfunction("if($T120&lt;&gt;"""",VALUE(REGEXEXTRACT($T120, SUBSTITUTE(S$1, ""+"", ""\+"")&amp;""[\w &amp;]*, (\d+\.\d+)"")),"""")"),493.16)</f>
        <v>493.16</v>
      </c>
      <c r="T120" s="5" t="s">
        <v>537</v>
      </c>
    </row>
    <row r="121" customFormat="false" ht="15.75" hidden="false" customHeight="false" outlineLevel="0" collapsed="false">
      <c r="A121" s="4" t="n">
        <f aca="false">IFERROR(__xludf.dummyfunction("""COMPUTED_VALUE"""),45573.6666666667)</f>
        <v>45573.6666666667</v>
      </c>
      <c r="B121" s="2" t="n">
        <f aca="false">IFERROR(__xludf.dummyfunction("""COMPUTED_VALUE"""),484.66)</f>
        <v>484.66</v>
      </c>
      <c r="C121" s="2" t="n">
        <f aca="false">IFERROR(__xludf.dummyfunction("""COMPUTED_VALUE"""),489.99)</f>
        <v>489.99</v>
      </c>
      <c r="D121" s="2" t="n">
        <f aca="false">IFERROR(__xludf.dummyfunction("""COMPUTED_VALUE"""),483.85)</f>
        <v>483.85</v>
      </c>
      <c r="E121" s="2" t="n">
        <f aca="false">IFERROR(__xludf.dummyfunction("""COMPUTED_VALUE"""),489.3)</f>
        <v>489.3</v>
      </c>
      <c r="F121" s="3" t="n">
        <f aca="false">IFERROR(__xludf.dummyfunction("if($T121&lt;&gt;"""",VALUE(REGEXEXTRACT(SUBSTITUTE ($T121,F$1&amp;"" CE"",""""), F$1&amp;""[\w &amp;]*, (\d+\.\d+)"")),"""")
"),475)</f>
        <v>475</v>
      </c>
      <c r="G121" s="3" t="n">
        <f aca="false">IFERROR(__xludf.dummyfunction("if($T121&lt;&gt;"""",VALUE(REGEXEXTRACT($T121, G$1&amp;""[\w &amp;]*, (\d+\.\d+)"")),"""")
"),487)</f>
        <v>487</v>
      </c>
      <c r="H121" s="3" t="n">
        <f aca="false">IFERROR(__xludf.dummyfunction("if($T121&lt;&gt;"""",VALUE(REGEXEXTRACT($T121, H$1&amp;""[\w &amp;]*, (\d+\.\d+)"")),"""")
"),492)</f>
        <v>492</v>
      </c>
      <c r="I121" s="3" t="n">
        <f aca="false">IFERROR(__xludf.dummyfunction("if($T121&lt;&gt;"""",VALUE(REGEXEXTRACT(SUBSTITUTE ($T121,I$1&amp;"" CE"",""""), I$1&amp;""[\w &amp;]*, (\d+\.\d+)"")),"""")
"),480)</f>
        <v>480</v>
      </c>
      <c r="J121" s="3" t="n">
        <f aca="false">IFERROR(__xludf.dummyfunction("if($T121&lt;&gt;"""",VALUE(REGEXEXTRACT($T121, J$1&amp;""[\w &amp;]*, (\d+\.\d+)"")),"""")
"),475)</f>
        <v>475</v>
      </c>
      <c r="K121" s="3" t="n">
        <f aca="false">IFERROR(__xludf.dummyfunction("if($T121&lt;&gt;"""",VALUE(REGEXEXTRACT($T121, K$1&amp;""[\w &amp;]*, (\d+\.\d+)"")),"""")
"),459)</f>
        <v>459</v>
      </c>
      <c r="L121" s="3" t="n">
        <f aca="false">IFERROR(__xludf.dummyfunction("if($T121&lt;&gt;"""",VALUE(REGEXEXTRACT(SUBSTITUTE ($T121,L$1&amp;"" CE"",""""), L$1&amp;""[\w &amp;]*, (\d+\.\d+)"")),"""")
"),483)</f>
        <v>483</v>
      </c>
      <c r="M121" s="3" t="n">
        <f aca="false">IFERROR(__xludf.dummyfunction("if($T121&lt;&gt;"""",VALUE(REGEXEXTRACT($T121, M$1&amp;""[\w &amp;]*, (\d+\.\d+)"")),"""")
"),483)</f>
        <v>483</v>
      </c>
      <c r="N121" s="3" t="n">
        <f aca="false">IFERROR(__xludf.dummyfunction("if($T121&lt;&gt;"""",VALUE(REGEXEXTRACT(SUBSTITUTE ($T121,N$1&amp;"" CE"",""""), N$1&amp;""[\w &amp;]*, (\d+\.\d+)"")),"""")
"),480)</f>
        <v>480</v>
      </c>
      <c r="O121" s="3" t="n">
        <f aca="false">IFERROR(__xludf.dummyfunction("if($T121&lt;&gt;"""",VALUE(REGEXEXTRACT($T121, O$1&amp;""[\w &amp;]*, (\d+\.\d+)"")),"""")
"),485)</f>
        <v>485</v>
      </c>
      <c r="P121" s="2" t="n">
        <f aca="false">IFERROR(__xludf.dummyfunction("if($T121&lt;&gt;"""",VALUE(REGEXEXTRACT($T121, P$1&amp;""[\w &amp;]*, (\d+\.\d+)"")),"""")
"),477.17)</f>
        <v>477.17</v>
      </c>
      <c r="Q121" s="2" t="n">
        <f aca="false">IFERROR(__xludf.dummyfunction("if($T121&lt;&gt;"""",VALUE(REGEXEXTRACT($T121, Q$1&amp;""[\w &amp;]*, (\d+\.\d+)"")),"""")
"),475.12)</f>
        <v>475.12</v>
      </c>
      <c r="R121" s="2" t="n">
        <f aca="false">IFERROR(__xludf.dummyfunction("if($T121&lt;&gt;"""",VALUE(REGEXEXTRACT($T121, SUBSTITUTE(R$1, ""+"", ""\+"")&amp;""[\w &amp;]*, (\d+\.\d+)"")),"""")"),487.03)</f>
        <v>487.03</v>
      </c>
      <c r="S121" s="2" t="n">
        <f aca="false">IFERROR(__xludf.dummyfunction("if($T121&lt;&gt;"""",VALUE(REGEXEXTRACT($T121, SUBSTITUTE(S$1, ""+"", ""\+"")&amp;""[\w &amp;]*, (\d+\.\d+)"")),"""")"),489.08)</f>
        <v>489.08</v>
      </c>
      <c r="T121" s="5" t="s">
        <v>538</v>
      </c>
    </row>
    <row r="122" customFormat="false" ht="15.75" hidden="false" customHeight="false" outlineLevel="0" collapsed="false">
      <c r="A122" s="4" t="n">
        <f aca="false">IFERROR(__xludf.dummyfunction("""COMPUTED_VALUE"""),45574.6666666667)</f>
        <v>45574.6666666667</v>
      </c>
      <c r="B122" s="2" t="n">
        <f aca="false">IFERROR(__xludf.dummyfunction("""COMPUTED_VALUE"""),489)</f>
        <v>489</v>
      </c>
      <c r="C122" s="2" t="n">
        <f aca="false">IFERROR(__xludf.dummyfunction("""COMPUTED_VALUE"""),493.73)</f>
        <v>493.73</v>
      </c>
      <c r="D122" s="2" t="n">
        <f aca="false">IFERROR(__xludf.dummyfunction("""COMPUTED_VALUE"""),487.95)</f>
        <v>487.95</v>
      </c>
      <c r="E122" s="2" t="n">
        <f aca="false">IFERROR(__xludf.dummyfunction("""COMPUTED_VALUE"""),493.15)</f>
        <v>493.15</v>
      </c>
      <c r="F122" s="3" t="n">
        <f aca="false">IFERROR(__xludf.dummyfunction("if($T122&lt;&gt;"""",VALUE(REGEXEXTRACT(SUBSTITUTE ($T122,F$1&amp;"" CE"",""""), F$1&amp;""[\w &amp;]*, (\d+\.\d+)"")),"""")
"),500)</f>
        <v>500</v>
      </c>
      <c r="G122" s="3" t="n">
        <f aca="false">IFERROR(__xludf.dummyfunction("if($T122&lt;&gt;"""",VALUE(REGEXEXTRACT($T122, G$1&amp;""[\w &amp;]*, (\d+\.\d+)"")),"""")
"),493)</f>
        <v>493</v>
      </c>
      <c r="H122" s="3" t="n">
        <f aca="false">IFERROR(__xludf.dummyfunction("if($T122&lt;&gt;"""",VALUE(REGEXEXTRACT($T122, H$1&amp;""[\w &amp;]*, (\d+\.\d+)"")),"""")
"),502)</f>
        <v>502</v>
      </c>
      <c r="I122" s="3" t="n">
        <f aca="false">IFERROR(__xludf.dummyfunction("if($T122&lt;&gt;"""",VALUE(REGEXEXTRACT(SUBSTITUTE ($T122,I$1&amp;"" CE"",""""), I$1&amp;""[\w &amp;]*, (\d+\.\d+)"")),"""")
"),480)</f>
        <v>480</v>
      </c>
      <c r="J122" s="3" t="n">
        <f aca="false">IFERROR(__xludf.dummyfunction("if($T122&lt;&gt;"""",VALUE(REGEXEXTRACT($T122, J$1&amp;""[\w &amp;]*, (\d+\.\d+)"")),"""")
"),487)</f>
        <v>487</v>
      </c>
      <c r="K122" s="3" t="n">
        <f aca="false">IFERROR(__xludf.dummyfunction("if($T122&lt;&gt;"""",VALUE(REGEXEXTRACT($T122, K$1&amp;""[\w &amp;]*, (\d+\.\d+)"")),"""")
"),469)</f>
        <v>469</v>
      </c>
      <c r="L122" s="3" t="n">
        <f aca="false">IFERROR(__xludf.dummyfunction("if($T122&lt;&gt;"""",VALUE(REGEXEXTRACT(SUBSTITUTE ($T122,L$1&amp;"" CE"",""""), L$1&amp;""[\w &amp;]*, (\d+\.\d+)"")),"""")
"),487)</f>
        <v>487</v>
      </c>
      <c r="M122" s="3" t="n">
        <f aca="false">IFERROR(__xludf.dummyfunction("if($T122&lt;&gt;"""",VALUE(REGEXEXTRACT($T122, M$1&amp;""[\w &amp;]*, (\d+\.\d+)"")),"""")
"),489)</f>
        <v>489</v>
      </c>
      <c r="N122" s="3" t="n">
        <f aca="false">IFERROR(__xludf.dummyfunction("if($T122&lt;&gt;"""",VALUE(REGEXEXTRACT(SUBSTITUTE ($T122,N$1&amp;"" CE"",""""), N$1&amp;""[\w &amp;]*, (\d+\.\d+)"")),"""")
"),490)</f>
        <v>490</v>
      </c>
      <c r="O122" s="3" t="n">
        <f aca="false">IFERROR(__xludf.dummyfunction("if($T122&lt;&gt;"""",VALUE(REGEXEXTRACT($T122, O$1&amp;""[\w &amp;]*, (\d+\.\d+)"")),"""")
"),487)</f>
        <v>487</v>
      </c>
      <c r="P122" s="2" t="n">
        <f aca="false">IFERROR(__xludf.dummyfunction("if($T122&lt;&gt;"""",VALUE(REGEXEXTRACT($T122, P$1&amp;""[\w &amp;]*, (\d+\.\d+)"")),"""")
"),484.64)</f>
        <v>484.64</v>
      </c>
      <c r="Q122" s="2" t="n">
        <f aca="false">IFERROR(__xludf.dummyfunction("if($T122&lt;&gt;"""",VALUE(REGEXEXTRACT($T122, Q$1&amp;""[\w &amp;]*, (\d+\.\d+)"")),"""")
"),482.71)</f>
        <v>482.71</v>
      </c>
      <c r="R122" s="2" t="n">
        <f aca="false">IFERROR(__xludf.dummyfunction("if($T122&lt;&gt;"""",VALUE(REGEXEXTRACT($T122, SUBSTITUTE(R$1, ""+"", ""\+"")&amp;""[\w &amp;]*, (\d+\.\d+)"")),"""")"),493.96)</f>
        <v>493.96</v>
      </c>
      <c r="S122" s="2" t="n">
        <f aca="false">IFERROR(__xludf.dummyfunction("if($T122&lt;&gt;"""",VALUE(REGEXEXTRACT($T122, SUBSTITUTE(S$1, ""+"", ""\+"")&amp;""[\w &amp;]*, (\d+\.\d+)"")),"""")"),495.89)</f>
        <v>495.89</v>
      </c>
      <c r="T122" s="5" t="s">
        <v>539</v>
      </c>
    </row>
    <row r="123" customFormat="false" ht="15.75" hidden="false" customHeight="false" outlineLevel="0" collapsed="false">
      <c r="A123" s="4" t="n">
        <f aca="false">IFERROR(__xludf.dummyfunction("""COMPUTED_VALUE"""),45575.6666666667)</f>
        <v>45575.6666666667</v>
      </c>
      <c r="B123" s="2" t="n">
        <f aca="false">IFERROR(__xludf.dummyfunction("""COMPUTED_VALUE"""),490.85)</f>
        <v>490.85</v>
      </c>
      <c r="C123" s="2" t="n">
        <f aca="false">IFERROR(__xludf.dummyfunction("""COMPUTED_VALUE"""),494.47)</f>
        <v>494.47</v>
      </c>
      <c r="D123" s="2" t="n">
        <f aca="false">IFERROR(__xludf.dummyfunction("""COMPUTED_VALUE"""),489.53)</f>
        <v>489.53</v>
      </c>
      <c r="E123" s="2" t="n">
        <f aca="false">IFERROR(__xludf.dummyfunction("""COMPUTED_VALUE"""),492.59)</f>
        <v>492.59</v>
      </c>
      <c r="F123" s="3" t="n">
        <f aca="false">IFERROR(__xludf.dummyfunction("if($T123&lt;&gt;"""",VALUE(REGEXEXTRACT(SUBSTITUTE ($T123,F$1&amp;"" CE"",""""), F$1&amp;""[\w &amp;]*, (\d+\.\d+)"")),"""")
"),500)</f>
        <v>500</v>
      </c>
      <c r="G123" s="3" t="n">
        <f aca="false">IFERROR(__xludf.dummyfunction("if($T123&lt;&gt;"""",VALUE(REGEXEXTRACT($T123, G$1&amp;""[\w &amp;]*, (\d+\.\d+)"")),"""")
"),497)</f>
        <v>497</v>
      </c>
      <c r="H123" s="3" t="n">
        <f aca="false">IFERROR(__xludf.dummyfunction("if($T123&lt;&gt;"""",VALUE(REGEXEXTRACT($T123, H$1&amp;""[\w &amp;]*, (\d+\.\d+)"")),"""")
"),503)</f>
        <v>503</v>
      </c>
      <c r="I123" s="3" t="n">
        <f aca="false">IFERROR(__xludf.dummyfunction("if($T123&lt;&gt;"""",VALUE(REGEXEXTRACT(SUBSTITUTE ($T123,I$1&amp;"" CE"",""""), I$1&amp;""[\w &amp;]*, (\d+\.\d+)"")),"""")
"),480)</f>
        <v>480</v>
      </c>
      <c r="J123" s="3" t="n">
        <f aca="false">IFERROR(__xludf.dummyfunction("if($T123&lt;&gt;"""",VALUE(REGEXEXTRACT($T123, J$1&amp;""[\w &amp;]*, (\d+\.\d+)"")),"""")
"),488)</f>
        <v>488</v>
      </c>
      <c r="K123" s="3" t="n">
        <f aca="false">IFERROR(__xludf.dummyfunction("if($T123&lt;&gt;"""",VALUE(REGEXEXTRACT($T123, K$1&amp;""[\w &amp;]*, (\d+\.\d+)"")),"""")
"),478)</f>
        <v>478</v>
      </c>
      <c r="L123" s="3" t="n">
        <f aca="false">IFERROR(__xludf.dummyfunction("if($T123&lt;&gt;"""",VALUE(REGEXEXTRACT(SUBSTITUTE ($T123,L$1&amp;"" CE"",""""), L$1&amp;""[\w &amp;]*, (\d+\.\d+)"")),"""")
"),489)</f>
        <v>489</v>
      </c>
      <c r="M123" s="3" t="n">
        <f aca="false">IFERROR(__xludf.dummyfunction("if($T123&lt;&gt;"""",VALUE(REGEXEXTRACT($T123, M$1&amp;""[\w &amp;]*, (\d+\.\d+)"")),"""")
"),493)</f>
        <v>493</v>
      </c>
      <c r="N123" s="3" t="n">
        <f aca="false">IFERROR(__xludf.dummyfunction("if($T123&lt;&gt;"""",VALUE(REGEXEXTRACT(SUBSTITUTE ($T123,N$1&amp;"" CE"",""""), N$1&amp;""[\w &amp;]*, (\d+\.\d+)"")),"""")
"),490)</f>
        <v>490</v>
      </c>
      <c r="O123" s="3" t="n">
        <f aca="false">IFERROR(__xludf.dummyfunction("if($T123&lt;&gt;"""",VALUE(REGEXEXTRACT($T123, O$1&amp;""[\w &amp;]*, (\d+\.\d+)"")),"""")
"),488)</f>
        <v>488</v>
      </c>
      <c r="P123" s="2" t="n">
        <f aca="false">IFERROR(__xludf.dummyfunction("if($T123&lt;&gt;"""",VALUE(REGEXEXTRACT($T123, P$1&amp;""[\w &amp;]*, (\d+\.\d+)"")),"""")
"),488.94)</f>
        <v>488.94</v>
      </c>
      <c r="Q123" s="2" t="n">
        <f aca="false">IFERROR(__xludf.dummyfunction("if($T123&lt;&gt;"""",VALUE(REGEXEXTRACT($T123, Q$1&amp;""[\w &amp;]*, (\d+\.\d+)"")),"""")
"),487.07)</f>
        <v>487.07</v>
      </c>
      <c r="R123" s="2" t="n">
        <f aca="false">IFERROR(__xludf.dummyfunction("if($T123&lt;&gt;"""",VALUE(REGEXEXTRACT($T123, SUBSTITUTE(R$1, ""+"", ""\+"")&amp;""[\w &amp;]*, (\d+\.\d+)"")),"""")"),497.36)</f>
        <v>497.36</v>
      </c>
      <c r="S123" s="2" t="n">
        <f aca="false">IFERROR(__xludf.dummyfunction("if($T123&lt;&gt;"""",VALUE(REGEXEXTRACT($T123, SUBSTITUTE(S$1, ""+"", ""\+"")&amp;""[\w &amp;]*, (\d+\.\d+)"")),"""")"),499.23)</f>
        <v>499.23</v>
      </c>
      <c r="T123" s="5" t="s">
        <v>540</v>
      </c>
    </row>
    <row r="124" customFormat="false" ht="15.75" hidden="false" customHeight="false" outlineLevel="0" collapsed="false">
      <c r="A124" s="4" t="n">
        <f aca="false">IFERROR(__xludf.dummyfunction("""COMPUTED_VALUE"""),45576.6666666667)</f>
        <v>45576.6666666667</v>
      </c>
      <c r="B124" s="2" t="n">
        <f aca="false">IFERROR(__xludf.dummyfunction("""COMPUTED_VALUE"""),490.74)</f>
        <v>490.74</v>
      </c>
      <c r="C124" s="2" t="n">
        <f aca="false">IFERROR(__xludf.dummyfunction("""COMPUTED_VALUE"""),494.39)</f>
        <v>494.39</v>
      </c>
      <c r="D124" s="2" t="n">
        <f aca="false">IFERROR(__xludf.dummyfunction("""COMPUTED_VALUE"""),490.17)</f>
        <v>490.17</v>
      </c>
      <c r="E124" s="2" t="n">
        <f aca="false">IFERROR(__xludf.dummyfunction("""COMPUTED_VALUE"""),493.36)</f>
        <v>493.36</v>
      </c>
      <c r="F124" s="3" t="n">
        <f aca="false">IFERROR(__xludf.dummyfunction("if($T124&lt;&gt;"""",VALUE(REGEXEXTRACT(SUBSTITUTE ($T124,F$1&amp;"" CE"",""""), F$1&amp;""[\w &amp;]*, (\d+\.\d+)"")),"""")
"),500)</f>
        <v>500</v>
      </c>
      <c r="G124" s="3" t="n">
        <f aca="false">IFERROR(__xludf.dummyfunction("if($T124&lt;&gt;"""",VALUE(REGEXEXTRACT($T124, G$1&amp;""[\w &amp;]*, (\d+\.\d+)"")),"""")
"),495)</f>
        <v>495</v>
      </c>
      <c r="H124" s="3" t="n">
        <f aca="false">IFERROR(__xludf.dummyfunction("if($T124&lt;&gt;"""",VALUE(REGEXEXTRACT($T124, H$1&amp;""[\w &amp;]*, (\d+\.\d+)"")),"""")
"),503)</f>
        <v>503</v>
      </c>
      <c r="I124" s="3" t="n">
        <f aca="false">IFERROR(__xludf.dummyfunction("if($T124&lt;&gt;"""",VALUE(REGEXEXTRACT(SUBSTITUTE ($T124,I$1&amp;"" CE"",""""), I$1&amp;""[\w &amp;]*, (\d+\.\d+)"")),"""")
"),480)</f>
        <v>480</v>
      </c>
      <c r="J124" s="3" t="n">
        <f aca="false">IFERROR(__xludf.dummyfunction("if($T124&lt;&gt;"""",VALUE(REGEXEXTRACT($T124, J$1&amp;""[\w &amp;]*, (\d+\.\d+)"")),"""")
"),484)</f>
        <v>484</v>
      </c>
      <c r="K124" s="3" t="n">
        <f aca="false">IFERROR(__xludf.dummyfunction("if($T124&lt;&gt;"""",VALUE(REGEXEXTRACT($T124, K$1&amp;""[\w &amp;]*, (\d+\.\d+)"")),"""")
"),469)</f>
        <v>469</v>
      </c>
      <c r="L124" s="3" t="n">
        <f aca="false">IFERROR(__xludf.dummyfunction("if($T124&lt;&gt;"""",VALUE(REGEXEXTRACT(SUBSTITUTE ($T124,L$1&amp;"" CE"",""""), L$1&amp;""[\w &amp;]*, (\d+\.\d+)"")),"""")
"),489)</f>
        <v>489</v>
      </c>
      <c r="M124" s="3" t="n">
        <f aca="false">IFERROR(__xludf.dummyfunction("if($T124&lt;&gt;"""",VALUE(REGEXEXTRACT($T124, M$1&amp;""[\w &amp;]*, (\d+\.\d+)"")),"""")
"),490)</f>
        <v>490</v>
      </c>
      <c r="N124" s="3" t="n">
        <f aca="false">IFERROR(__xludf.dummyfunction("if($T124&lt;&gt;"""",VALUE(REGEXEXTRACT(SUBSTITUTE ($T124,N$1&amp;"" CE"",""""), N$1&amp;""[\w &amp;]*, (\d+\.\d+)"")),"""")
"),490)</f>
        <v>490</v>
      </c>
      <c r="O124" s="3" t="n">
        <f aca="false">IFERROR(__xludf.dummyfunction("if($T124&lt;&gt;"""",VALUE(REGEXEXTRACT($T124, O$1&amp;""[\w &amp;]*, (\d+\.\d+)"")),"""")
"),490)</f>
        <v>490</v>
      </c>
      <c r="P124" s="2" t="n">
        <f aca="false">IFERROR(__xludf.dummyfunction("if($T124&lt;&gt;"""",VALUE(REGEXEXTRACT($T124, P$1&amp;""[\w &amp;]*, (\d+\.\d+)"")),"""")
"),487.97)</f>
        <v>487.97</v>
      </c>
      <c r="Q124" s="2" t="n">
        <f aca="false">IFERROR(__xludf.dummyfunction("if($T124&lt;&gt;"""",VALUE(REGEXEXTRACT($T124, Q$1&amp;""[\w &amp;]*, (\d+\.\d+)"")),"""")
"),483.54)</f>
        <v>483.54</v>
      </c>
      <c r="R124" s="2" t="n">
        <f aca="false">IFERROR(__xludf.dummyfunction("if($T124&lt;&gt;"""",VALUE(REGEXEXTRACT($T124, SUBSTITUTE(R$1, ""+"", ""\+"")&amp;""[\w &amp;]*, (\d+\.\d+)"")),"""")"),497.21)</f>
        <v>497.21</v>
      </c>
      <c r="S124" s="2" t="n">
        <f aca="false">IFERROR(__xludf.dummyfunction("if($T124&lt;&gt;"""",VALUE(REGEXEXTRACT($T124, SUBSTITUTE(S$1, ""+"", ""\+"")&amp;""[\w &amp;]*, (\d+\.\d+)"")),"""")"),501.64)</f>
        <v>501.64</v>
      </c>
      <c r="T124" s="5" t="s">
        <v>541</v>
      </c>
    </row>
    <row r="125" customFormat="false" ht="15.75" hidden="false" customHeight="false" outlineLevel="0" collapsed="false">
      <c r="A125" s="4" t="n">
        <f aca="false">IFERROR(__xludf.dummyfunction("""COMPUTED_VALUE"""),45579.6666666667)</f>
        <v>45579.6666666667</v>
      </c>
      <c r="B125" s="2" t="n">
        <f aca="false">IFERROR(__xludf.dummyfunction("""COMPUTED_VALUE"""),495.77)</f>
        <v>495.77</v>
      </c>
      <c r="C125" s="2" t="n">
        <f aca="false">IFERROR(__xludf.dummyfunction("""COMPUTED_VALUE"""),498.83)</f>
        <v>498.83</v>
      </c>
      <c r="D125" s="2" t="n">
        <f aca="false">IFERROR(__xludf.dummyfunction("""COMPUTED_VALUE"""),495.26)</f>
        <v>495.26</v>
      </c>
      <c r="E125" s="2" t="n">
        <f aca="false">IFERROR(__xludf.dummyfunction("""COMPUTED_VALUE"""),497.5)</f>
        <v>497.5</v>
      </c>
      <c r="F125" s="3" t="n">
        <f aca="false">IFERROR(__xludf.dummyfunction("if($T125&lt;&gt;"""",VALUE(REGEXEXTRACT(SUBSTITUTE ($T125,F$1&amp;"" CE"",""""), F$1&amp;""[\w &amp;]*, (\d+\.\d+)"")),"""")
"),500)</f>
        <v>500</v>
      </c>
      <c r="G125" s="3" t="n">
        <f aca="false">IFERROR(__xludf.dummyfunction("if($T125&lt;&gt;"""",VALUE(REGEXEXTRACT($T125, G$1&amp;""[\w &amp;]*, (\d+\.\d+)"")),"""")
"),496)</f>
        <v>496</v>
      </c>
      <c r="H125" s="3" t="n">
        <f aca="false">IFERROR(__xludf.dummyfunction("if($T125&lt;&gt;"""",VALUE(REGEXEXTRACT($T125, H$1&amp;""[\w &amp;]*, (\d+\.\d+)"")),"""")
"),503)</f>
        <v>503</v>
      </c>
      <c r="I125" s="3" t="n">
        <f aca="false">IFERROR(__xludf.dummyfunction("if($T125&lt;&gt;"""",VALUE(REGEXEXTRACT(SUBSTITUTE ($T125,I$1&amp;"" CE"",""""), I$1&amp;""[\w &amp;]*, (\d+\.\d+)"")),"""")
"),488)</f>
        <v>488</v>
      </c>
      <c r="J125" s="3" t="n">
        <f aca="false">IFERROR(__xludf.dummyfunction("if($T125&lt;&gt;"""",VALUE(REGEXEXTRACT($T125, J$1&amp;""[\w &amp;]*, (\d+\.\d+)"")),"""")
"),488)</f>
        <v>488</v>
      </c>
      <c r="K125" s="3" t="n">
        <f aca="false">IFERROR(__xludf.dummyfunction("if($T125&lt;&gt;"""",VALUE(REGEXEXTRACT($T125, K$1&amp;""[\w &amp;]*, (\d+\.\d+)"")),"""")
"),487)</f>
        <v>487</v>
      </c>
      <c r="L125" s="3" t="n">
        <f aca="false">IFERROR(__xludf.dummyfunction("if($T125&lt;&gt;"""",VALUE(REGEXEXTRACT(SUBSTITUTE ($T125,L$1&amp;"" CE"",""""), L$1&amp;""[\w &amp;]*, (\d+\.\d+)"")),"""")
"),493)</f>
        <v>493</v>
      </c>
      <c r="M125" s="3" t="n">
        <f aca="false">IFERROR(__xludf.dummyfunction("if($T125&lt;&gt;"""",VALUE(REGEXEXTRACT($T125, M$1&amp;""[\w &amp;]*, (\d+\.\d+)"")),"""")
"),493)</f>
        <v>493</v>
      </c>
      <c r="N125" s="3" t="n">
        <f aca="false">IFERROR(__xludf.dummyfunction("if($T125&lt;&gt;"""",VALUE(REGEXEXTRACT(SUBSTITUTE ($T125,N$1&amp;"" CE"",""""), N$1&amp;""[\w &amp;]*, (\d+\.\d+)"")),"""")
"),490)</f>
        <v>490</v>
      </c>
      <c r="O125" s="3" t="n">
        <f aca="false">IFERROR(__xludf.dummyfunction("if($T125&lt;&gt;"""",VALUE(REGEXEXTRACT($T125, O$1&amp;""[\w &amp;]*, (\d+\.\d+)"")),"""")
"),493)</f>
        <v>493</v>
      </c>
      <c r="P125" s="2" t="n">
        <f aca="false">IFERROR(__xludf.dummyfunction("if($T125&lt;&gt;"""",VALUE(REGEXEXTRACT($T125, P$1&amp;""[\w &amp;]*, (\d+\.\d+)"")),"""")
"),489.49)</f>
        <v>489.49</v>
      </c>
      <c r="Q125" s="2" t="n">
        <f aca="false">IFERROR(__xludf.dummyfunction("if($T125&lt;&gt;"""",VALUE(REGEXEXTRACT($T125, Q$1&amp;""[\w &amp;]*, (\d+\.\d+)"")),"""")
"),487.88)</f>
        <v>487.88</v>
      </c>
      <c r="R125" s="2" t="n">
        <f aca="false">IFERROR(__xludf.dummyfunction("if($T125&lt;&gt;"""",VALUE(REGEXEXTRACT($T125, SUBSTITUTE(R$1, ""+"", ""\+"")&amp;""[\w &amp;]*, (\d+\.\d+)"")),"""")"),497.23)</f>
        <v>497.23</v>
      </c>
      <c r="S125" s="2" t="n">
        <f aca="false">IFERROR(__xludf.dummyfunction("if($T125&lt;&gt;"""",VALUE(REGEXEXTRACT($T125, SUBSTITUTE(S$1, ""+"", ""\+"")&amp;""[\w &amp;]*, (\d+\.\d+)"")),"""")"),498.84)</f>
        <v>498.84</v>
      </c>
      <c r="T125" s="5" t="s">
        <v>542</v>
      </c>
    </row>
    <row r="126" customFormat="false" ht="15.75" hidden="false" customHeight="false" outlineLevel="0" collapsed="false">
      <c r="A126" s="4" t="n">
        <f aca="false">IFERROR(__xludf.dummyfunction("""COMPUTED_VALUE"""),45580.6666666667)</f>
        <v>45580.6666666667</v>
      </c>
      <c r="B126" s="2" t="n">
        <f aca="false">IFERROR(__xludf.dummyfunction("""COMPUTED_VALUE"""),497.83)</f>
        <v>497.83</v>
      </c>
      <c r="C126" s="2" t="n">
        <f aca="false">IFERROR(__xludf.dummyfunction("""COMPUTED_VALUE"""),498.5)</f>
        <v>498.5</v>
      </c>
      <c r="D126" s="2" t="n">
        <f aca="false">IFERROR(__xludf.dummyfunction("""COMPUTED_VALUE"""),488.68)</f>
        <v>488.68</v>
      </c>
      <c r="E126" s="2" t="n">
        <f aca="false">IFERROR(__xludf.dummyfunction("""COMPUTED_VALUE"""),490.85)</f>
        <v>490.85</v>
      </c>
      <c r="F126" s="3" t="n">
        <f aca="false">IFERROR(__xludf.dummyfunction("if($T126&lt;&gt;"""",VALUE(REGEXEXTRACT(SUBSTITUTE ($T126,F$1&amp;"" CE"",""""), F$1&amp;""[\w &amp;]*, (\d+\.\d+)"")),"""")
"),500)</f>
        <v>500</v>
      </c>
      <c r="G126" s="3" t="n">
        <f aca="false">IFERROR(__xludf.dummyfunction("if($T126&lt;&gt;"""",VALUE(REGEXEXTRACT($T126, G$1&amp;""[\w &amp;]*, (\d+\.\d+)"")),"""")
"),500)</f>
        <v>500</v>
      </c>
      <c r="H126" s="3" t="n">
        <f aca="false">IFERROR(__xludf.dummyfunction("if($T126&lt;&gt;"""",VALUE(REGEXEXTRACT($T126, H$1&amp;""[\w &amp;]*, (\d+\.\d+)"")),"""")
"),502)</f>
        <v>502</v>
      </c>
      <c r="I126" s="3" t="n">
        <f aca="false">IFERROR(__xludf.dummyfunction("if($T126&lt;&gt;"""",VALUE(REGEXEXTRACT(SUBSTITUTE ($T126,I$1&amp;"" CE"",""""), I$1&amp;""[\w &amp;]*, (\d+\.\d+)"")),"""")
"),498)</f>
        <v>498</v>
      </c>
      <c r="J126" s="3" t="n">
        <f aca="false">IFERROR(__xludf.dummyfunction("if($T126&lt;&gt;"""",VALUE(REGEXEXTRACT($T126, J$1&amp;""[\w &amp;]*, (\d+\.\d+)"")),"""")
"),498)</f>
        <v>498</v>
      </c>
      <c r="K126" s="3" t="n">
        <f aca="false">IFERROR(__xludf.dummyfunction("if($T126&lt;&gt;"""",VALUE(REGEXEXTRACT($T126, K$1&amp;""[\w &amp;]*, (\d+\.\d+)"")),"""")
"),494.78)</f>
        <v>494.78</v>
      </c>
      <c r="L126" s="3" t="n">
        <f aca="false">IFERROR(__xludf.dummyfunction("if($T126&lt;&gt;"""",VALUE(REGEXEXTRACT(SUBSTITUTE ($T126,L$1&amp;"" CE"",""""), L$1&amp;""[\w &amp;]*, (\d+\.\d+)"")),"""")
"),493)</f>
        <v>493</v>
      </c>
      <c r="M126" s="3" t="n">
        <f aca="false">IFERROR(__xludf.dummyfunction("if($T126&lt;&gt;"""",VALUE(REGEXEXTRACT($T126, M$1&amp;""[\w &amp;]*, (\d+\.\d+)"")),"""")
"),498)</f>
        <v>498</v>
      </c>
      <c r="N126" s="3" t="n">
        <f aca="false">IFERROR(__xludf.dummyfunction("if($T126&lt;&gt;"""",VALUE(REGEXEXTRACT(SUBSTITUTE ($T126,N$1&amp;"" CE"",""""), N$1&amp;""[\w &amp;]*, (\d+\.\d+)"")),"""")
"),500)</f>
        <v>500</v>
      </c>
      <c r="O126" s="3" t="n">
        <f aca="false">IFERROR(__xludf.dummyfunction("if($T126&lt;&gt;"""",VALUE(REGEXEXTRACT($T126, O$1&amp;""[\w &amp;]*, (\d+\.\d+)"")),"""")
"),498)</f>
        <v>498</v>
      </c>
      <c r="P126" s="2" t="n">
        <f aca="false">IFERROR(__xludf.dummyfunction("if($T126&lt;&gt;"""",VALUE(REGEXEXTRACT($T126, P$1&amp;""[\w &amp;]*, (\d+\.\d+)"")),"""")
"),493.34)</f>
        <v>493.34</v>
      </c>
      <c r="Q126" s="2" t="n">
        <f aca="false">IFERROR(__xludf.dummyfunction("if($T126&lt;&gt;"""",VALUE(REGEXEXTRACT($T126, Q$1&amp;""[\w &amp;]*, (\d+\.\d+)"")),"""")
"),491.62)</f>
        <v>491.62</v>
      </c>
      <c r="R126" s="2" t="n">
        <f aca="false">IFERROR(__xludf.dummyfunction("if($T126&lt;&gt;"""",VALUE(REGEXEXTRACT($T126, SUBSTITUTE(R$1, ""+"", ""\+"")&amp;""[\w &amp;]*, (\d+\.\d+)"")),"""")"),501.66)</f>
        <v>501.66</v>
      </c>
      <c r="S126" s="2" t="n">
        <f aca="false">IFERROR(__xludf.dummyfunction("if($T126&lt;&gt;"""",VALUE(REGEXEXTRACT($T126, SUBSTITUTE(S$1, ""+"", ""\+"")&amp;""[\w &amp;]*, (\d+\.\d+)"")),"""")"),503.38)</f>
        <v>503.38</v>
      </c>
      <c r="T126" s="5" t="s">
        <v>543</v>
      </c>
    </row>
    <row r="127" customFormat="false" ht="15.75" hidden="false" customHeight="false" outlineLevel="0" collapsed="false">
      <c r="A127" s="4" t="n">
        <f aca="false">IFERROR(__xludf.dummyfunction("""COMPUTED_VALUE"""),45581.6666666667)</f>
        <v>45581.6666666667</v>
      </c>
      <c r="B127" s="2" t="n">
        <f aca="false">IFERROR(__xludf.dummyfunction("""COMPUTED_VALUE"""),491.18)</f>
        <v>491.18</v>
      </c>
      <c r="C127" s="2" t="n">
        <f aca="false">IFERROR(__xludf.dummyfunction("""COMPUTED_VALUE"""),491.69)</f>
        <v>491.69</v>
      </c>
      <c r="D127" s="2" t="n">
        <f aca="false">IFERROR(__xludf.dummyfunction("""COMPUTED_VALUE"""),487.57)</f>
        <v>487.57</v>
      </c>
      <c r="E127" s="2" t="n">
        <f aca="false">IFERROR(__xludf.dummyfunction("""COMPUTED_VALUE"""),490.91)</f>
        <v>490.91</v>
      </c>
      <c r="F127" s="3" t="n">
        <f aca="false">IFERROR(__xludf.dummyfunction("if($T127&lt;&gt;"""",VALUE(REGEXEXTRACT(SUBSTITUTE ($T127,F$1&amp;"" CE"",""""), F$1&amp;""[\w &amp;]*, (\d+\.\d+)"")),"""")
"),490)</f>
        <v>490</v>
      </c>
      <c r="G127" s="3" t="n">
        <f aca="false">IFERROR(__xludf.dummyfunction("if($T127&lt;&gt;"""",VALUE(REGEXEXTRACT($T127, G$1&amp;""[\w &amp;]*, (\d+\.\d+)"")),"""")
"),492)</f>
        <v>492</v>
      </c>
      <c r="H127" s="3" t="n">
        <f aca="false">IFERROR(__xludf.dummyfunction("if($T127&lt;&gt;"""",VALUE(REGEXEXTRACT($T127, H$1&amp;""[\w &amp;]*, (\d+\.\d+)"")),"""")
"),502)</f>
        <v>502</v>
      </c>
      <c r="I127" s="3" t="n">
        <f aca="false">IFERROR(__xludf.dummyfunction("if($T127&lt;&gt;"""",VALUE(REGEXEXTRACT(SUBSTITUTE ($T127,I$1&amp;"" CE"",""""), I$1&amp;""[\w &amp;]*, (\d+\.\d+)"")),"""")
"),490)</f>
        <v>490</v>
      </c>
      <c r="J127" s="3" t="n">
        <f aca="false">IFERROR(__xludf.dummyfunction("if($T127&lt;&gt;"""",VALUE(REGEXEXTRACT($T127, J$1&amp;""[\w &amp;]*, (\d+\.\d+)"")),"""")
"),489)</f>
        <v>489</v>
      </c>
      <c r="K127" s="3" t="n">
        <f aca="false">IFERROR(__xludf.dummyfunction("if($T127&lt;&gt;"""",VALUE(REGEXEXTRACT($T127, K$1&amp;""[\w &amp;]*, (\d+\.\d+)"")),"""")
"),484)</f>
        <v>484</v>
      </c>
      <c r="L127" s="3" t="n">
        <f aca="false">IFERROR(__xludf.dummyfunction("if($T127&lt;&gt;"""",VALUE(REGEXEXTRACT(SUBSTITUTE ($T127,L$1&amp;"" CE"",""""), L$1&amp;""[\w &amp;]*, (\d+\.\d+)"")),"""")
"),489)</f>
        <v>489</v>
      </c>
      <c r="M127" s="3" t="n">
        <f aca="false">IFERROR(__xludf.dummyfunction("if($T127&lt;&gt;"""",VALUE(REGEXEXTRACT($T127, M$1&amp;""[\w &amp;]*, (\d+\.\d+)"")),"""")
"),490)</f>
        <v>490</v>
      </c>
      <c r="N127" s="3" t="n">
        <f aca="false">IFERROR(__xludf.dummyfunction("if($T127&lt;&gt;"""",VALUE(REGEXEXTRACT(SUBSTITUTE ($T127,N$1&amp;"" CE"",""""), N$1&amp;""[\w &amp;]*, (\d+\.\d+)"")),"""")
"),490)</f>
        <v>490</v>
      </c>
      <c r="O127" s="3" t="n">
        <f aca="false">IFERROR(__xludf.dummyfunction("if($T127&lt;&gt;"""",VALUE(REGEXEXTRACT($T127, O$1&amp;""[\w &amp;]*, (\d+\.\d+)"")),"""")
"),490)</f>
        <v>490</v>
      </c>
      <c r="P127" s="2" t="n">
        <f aca="false">IFERROR(__xludf.dummyfunction("if($T127&lt;&gt;"""",VALUE(REGEXEXTRACT($T127, P$1&amp;""[\w &amp;]*, (\d+\.\d+)"")),"""")
"),486.32)</f>
        <v>486.32</v>
      </c>
      <c r="Q127" s="2" t="n">
        <f aca="false">IFERROR(__xludf.dummyfunction("if($T127&lt;&gt;"""",VALUE(REGEXEXTRACT($T127, Q$1&amp;""[\w &amp;]*, (\d+\.\d+)"")),"""")
"),484.44)</f>
        <v>484.44</v>
      </c>
      <c r="R127" s="2" t="n">
        <f aca="false">IFERROR(__xludf.dummyfunction("if($T127&lt;&gt;"""",VALUE(REGEXEXTRACT($T127, SUBSTITUTE(R$1, ""+"", ""\+"")&amp;""[\w &amp;]*, (\d+\.\d+)"")),"""")"),495.38)</f>
        <v>495.38</v>
      </c>
      <c r="S127" s="2" t="n">
        <f aca="false">IFERROR(__xludf.dummyfunction("if($T127&lt;&gt;"""",VALUE(REGEXEXTRACT($T127, SUBSTITUTE(S$1, ""+"", ""\+"")&amp;""[\w &amp;]*, (\d+\.\d+)"")),"""")"),497.26)</f>
        <v>497.26</v>
      </c>
      <c r="T127" s="5" t="s">
        <v>544</v>
      </c>
    </row>
    <row r="128" customFormat="false" ht="15.75" hidden="false" customHeight="false" outlineLevel="0" collapsed="false">
      <c r="A128" s="4" t="n">
        <f aca="false">IFERROR(__xludf.dummyfunction("""COMPUTED_VALUE"""),45582.6666666667)</f>
        <v>45582.6666666667</v>
      </c>
      <c r="B128" s="2" t="n">
        <f aca="false">IFERROR(__xludf.dummyfunction("""COMPUTED_VALUE"""),496.44)</f>
        <v>496.44</v>
      </c>
      <c r="C128" s="2" t="n">
        <f aca="false">IFERROR(__xludf.dummyfunction("""COMPUTED_VALUE"""),496.49)</f>
        <v>496.49</v>
      </c>
      <c r="D128" s="2" t="n">
        <f aca="false">IFERROR(__xludf.dummyfunction("""COMPUTED_VALUE"""),491.19)</f>
        <v>491.19</v>
      </c>
      <c r="E128" s="2" t="n">
        <f aca="false">IFERROR(__xludf.dummyfunction("""COMPUTED_VALUE"""),491.25)</f>
        <v>491.25</v>
      </c>
      <c r="F128" s="3" t="n">
        <f aca="false">IFERROR(__xludf.dummyfunction("if($T128&lt;&gt;"""",VALUE(REGEXEXTRACT(SUBSTITUTE ($T128,F$1&amp;"" CE"",""""), F$1&amp;""[\w &amp;]*, (\d+\.\d+)"")),"""")
"),490)</f>
        <v>490</v>
      </c>
      <c r="G128" s="3" t="n">
        <f aca="false">IFERROR(__xludf.dummyfunction("if($T128&lt;&gt;"""",VALUE(REGEXEXTRACT($T128, G$1&amp;""[\w &amp;]*, (\d+\.\d+)"")),"""")
"),494)</f>
        <v>494</v>
      </c>
      <c r="H128" s="3" t="n">
        <f aca="false">IFERROR(__xludf.dummyfunction("if($T128&lt;&gt;"""",VALUE(REGEXEXTRACT($T128, H$1&amp;""[\w &amp;]*, (\d+\.\d+)"")),"""")
"),503)</f>
        <v>503</v>
      </c>
      <c r="I128" s="3" t="n">
        <f aca="false">IFERROR(__xludf.dummyfunction("if($T128&lt;&gt;"""",VALUE(REGEXEXTRACT(SUBSTITUTE ($T128,I$1&amp;"" CE"",""""), I$1&amp;""[\w &amp;]*, (\d+\.\d+)"")),"""")
"),490)</f>
        <v>490</v>
      </c>
      <c r="J128" s="3" t="n">
        <f aca="false">IFERROR(__xludf.dummyfunction("if($T128&lt;&gt;"""",VALUE(REGEXEXTRACT($T128, J$1&amp;""[\w &amp;]*, (\d+\.\d+)"")),"""")
"),490)</f>
        <v>490</v>
      </c>
      <c r="K128" s="3" t="n">
        <f aca="false">IFERROR(__xludf.dummyfunction("if($T128&lt;&gt;"""",VALUE(REGEXEXTRACT($T128, K$1&amp;""[\w &amp;]*, (\d+\.\d+)"")),"""")
"),483)</f>
        <v>483</v>
      </c>
      <c r="L128" s="3" t="n">
        <f aca="false">IFERROR(__xludf.dummyfunction("if($T128&lt;&gt;"""",VALUE(REGEXEXTRACT(SUBSTITUTE ($T128,L$1&amp;"" CE"",""""), L$1&amp;""[\w &amp;]*, (\d+\.\d+)"")),"""")
"),489)</f>
        <v>489</v>
      </c>
      <c r="M128" s="3" t="n">
        <f aca="false">IFERROR(__xludf.dummyfunction("if($T128&lt;&gt;"""",VALUE(REGEXEXTRACT($T128, M$1&amp;""[\w &amp;]*, (\d+\.\d+)"")),"""")
"),490)</f>
        <v>490</v>
      </c>
      <c r="N128" s="3" t="n">
        <f aca="false">IFERROR(__xludf.dummyfunction("if($T128&lt;&gt;"""",VALUE(REGEXEXTRACT(SUBSTITUTE ($T128,N$1&amp;"" CE"",""""), N$1&amp;""[\w &amp;]*, (\d+\.\d+)"")),"""")
"),490)</f>
        <v>490</v>
      </c>
      <c r="O128" s="3" t="n">
        <f aca="false">IFERROR(__xludf.dummyfunction("if($T128&lt;&gt;"""",VALUE(REGEXEXTRACT($T128, O$1&amp;""[\w &amp;]*, (\d+\.\d+)"")),"""")
"),490)</f>
        <v>490</v>
      </c>
      <c r="P128" s="2" t="n">
        <f aca="false">IFERROR(__xludf.dummyfunction("if($T128&lt;&gt;"""",VALUE(REGEXEXTRACT($T128, P$1&amp;""[\w &amp;]*, (\d+\.\d+)"")),"""")
"),486.46)</f>
        <v>486.46</v>
      </c>
      <c r="Q128" s="2" t="n">
        <f aca="false">IFERROR(__xludf.dummyfunction("if($T128&lt;&gt;"""",VALUE(REGEXEXTRACT($T128, Q$1&amp;""[\w &amp;]*, (\d+\.\d+)"")),"""")
"),484.62)</f>
        <v>484.62</v>
      </c>
      <c r="R128" s="2" t="n">
        <f aca="false">IFERROR(__xludf.dummyfunction("if($T128&lt;&gt;"""",VALUE(REGEXEXTRACT($T128, SUBSTITUTE(R$1, ""+"", ""\+"")&amp;""[\w &amp;]*, (\d+\.\d+)"")),"""")"),495.36)</f>
        <v>495.36</v>
      </c>
      <c r="S128" s="2" t="n">
        <f aca="false">IFERROR(__xludf.dummyfunction("if($T128&lt;&gt;"""",VALUE(REGEXEXTRACT($T128, SUBSTITUTE(S$1, ""+"", ""\+"")&amp;""[\w &amp;]*, (\d+\.\d+)"")),"""")"),497.2)</f>
        <v>497.2</v>
      </c>
      <c r="T128" s="5" t="s">
        <v>545</v>
      </c>
    </row>
    <row r="129" customFormat="false" ht="15.75" hidden="false" customHeight="false" outlineLevel="0" collapsed="false">
      <c r="A129" s="4" t="n">
        <f aca="false">IFERROR(__xludf.dummyfunction("""COMPUTED_VALUE"""),45583.6666666667)</f>
        <v>45583.6666666667</v>
      </c>
      <c r="B129" s="2" t="n">
        <f aca="false">IFERROR(__xludf.dummyfunction("""COMPUTED_VALUE"""),494.06)</f>
        <v>494.06</v>
      </c>
      <c r="C129" s="2" t="n">
        <f aca="false">IFERROR(__xludf.dummyfunction("""COMPUTED_VALUE"""),495.57)</f>
        <v>495.57</v>
      </c>
      <c r="D129" s="2" t="n">
        <f aca="false">IFERROR(__xludf.dummyfunction("""COMPUTED_VALUE"""),493.3)</f>
        <v>493.3</v>
      </c>
      <c r="E129" s="2" t="n">
        <f aca="false">IFERROR(__xludf.dummyfunction("""COMPUTED_VALUE"""),494.47)</f>
        <v>494.47</v>
      </c>
      <c r="F129" s="3" t="n">
        <f aca="false">IFERROR(__xludf.dummyfunction("if($T129&lt;&gt;"""",VALUE(REGEXEXTRACT(SUBSTITUTE ($T129,F$1&amp;"" CE"",""""), F$1&amp;""[\w &amp;]*, (\d+\.\d+)"")),"""")
"),490)</f>
        <v>490</v>
      </c>
      <c r="G129" s="3" t="n">
        <f aca="false">IFERROR(__xludf.dummyfunction("if($T129&lt;&gt;"""",VALUE(REGEXEXTRACT($T129, G$1&amp;""[\w &amp;]*, (\d+\.\d+)"")),"""")
"),496)</f>
        <v>496</v>
      </c>
      <c r="H129" s="3" t="n">
        <f aca="false">IFERROR(__xludf.dummyfunction("if($T129&lt;&gt;"""",VALUE(REGEXEXTRACT($T129, H$1&amp;""[\w &amp;]*, (\d+\.\d+)"")),"""")
"),503)</f>
        <v>503</v>
      </c>
      <c r="I129" s="3" t="n">
        <f aca="false">IFERROR(__xludf.dummyfunction("if($T129&lt;&gt;"""",VALUE(REGEXEXTRACT(SUBSTITUTE ($T129,I$1&amp;"" CE"",""""), I$1&amp;""[\w &amp;]*, (\d+\.\d+)"")),"""")
"),490)</f>
        <v>490</v>
      </c>
      <c r="J129" s="3" t="n">
        <f aca="false">IFERROR(__xludf.dummyfunction("if($T129&lt;&gt;"""",VALUE(REGEXEXTRACT($T129, J$1&amp;""[\w &amp;]*, (\d+\.\d+)"")),"""")
"),486)</f>
        <v>486</v>
      </c>
      <c r="K129" s="3" t="n">
        <f aca="false">IFERROR(__xludf.dummyfunction("if($T129&lt;&gt;"""",VALUE(REGEXEXTRACT($T129, K$1&amp;""[\w &amp;]*, (\d+\.\d+)"")),"""")
"),483)</f>
        <v>483</v>
      </c>
      <c r="L129" s="3" t="n">
        <f aca="false">IFERROR(__xludf.dummyfunction("if($T129&lt;&gt;"""",VALUE(REGEXEXTRACT(SUBSTITUTE ($T129,L$1&amp;"" CE"",""""), L$1&amp;""[\w &amp;]*, (\d+\.\d+)"")),"""")
"),491)</f>
        <v>491</v>
      </c>
      <c r="M129" s="3" t="n">
        <f aca="false">IFERROR(__xludf.dummyfunction("if($T129&lt;&gt;"""",VALUE(REGEXEXTRACT($T129, M$1&amp;""[\w &amp;]*, (\d+\.\d+)"")),"""")
"),491)</f>
        <v>491</v>
      </c>
      <c r="N129" s="3" t="n">
        <f aca="false">IFERROR(__xludf.dummyfunction("if($T129&lt;&gt;"""",VALUE(REGEXEXTRACT(SUBSTITUTE ($T129,N$1&amp;"" CE"",""""), N$1&amp;""[\w &amp;]*, (\d+\.\d+)"")),"""")
"),490)</f>
        <v>490</v>
      </c>
      <c r="O129" s="3" t="n">
        <f aca="false">IFERROR(__xludf.dummyfunction("if($T129&lt;&gt;"""",VALUE(REGEXEXTRACT($T129, O$1&amp;""[\w &amp;]*, (\d+\.\d+)"")),"""")
"),490)</f>
        <v>490</v>
      </c>
      <c r="P129" s="2" t="n">
        <f aca="false">IFERROR(__xludf.dummyfunction("if($T129&lt;&gt;"""",VALUE(REGEXEXTRACT($T129, P$1&amp;""[\w &amp;]*, (\d+\.\d+)"")),"""")
"),486.83)</f>
        <v>486.83</v>
      </c>
      <c r="Q129" s="2" t="n">
        <f aca="false">IFERROR(__xludf.dummyfunction("if($T129&lt;&gt;"""",VALUE(REGEXEXTRACT($T129, Q$1&amp;""[\w &amp;]*, (\d+\.\d+)"")),"""")
"),482.42)</f>
        <v>482.42</v>
      </c>
      <c r="R129" s="2" t="n">
        <f aca="false">IFERROR(__xludf.dummyfunction("if($T129&lt;&gt;"""",VALUE(REGEXEXTRACT($T129, SUBSTITUTE(R$1, ""+"", ""\+"")&amp;""[\w &amp;]*, (\d+\.\d+)"")),"""")"),495.67)</f>
        <v>495.67</v>
      </c>
      <c r="S129" s="2" t="n">
        <f aca="false">IFERROR(__xludf.dummyfunction("if($T129&lt;&gt;"""",VALUE(REGEXEXTRACT($T129, SUBSTITUTE(S$1, ""+"", ""\+"")&amp;""[\w &amp;]*, (\d+\.\d+)"")),"""")"),500.08)</f>
        <v>500.08</v>
      </c>
      <c r="T129" s="5" t="s">
        <v>546</v>
      </c>
    </row>
    <row r="130" customFormat="false" ht="15.75" hidden="false" customHeight="false" outlineLevel="0" collapsed="false">
      <c r="A130" s="4" t="n">
        <f aca="false">IFERROR(__xludf.dummyfunction("""COMPUTED_VALUE"""),45586.6666666667)</f>
        <v>45586.6666666667</v>
      </c>
      <c r="B130" s="2" t="n">
        <f aca="false">IFERROR(__xludf.dummyfunction("""COMPUTED_VALUE"""),493.25)</f>
        <v>493.25</v>
      </c>
      <c r="C130" s="2" t="n">
        <f aca="false">IFERROR(__xludf.dummyfunction("""COMPUTED_VALUE"""),496.23)</f>
        <v>496.23</v>
      </c>
      <c r="D130" s="2" t="n">
        <f aca="false">IFERROR(__xludf.dummyfunction("""COMPUTED_VALUE"""),491.31)</f>
        <v>491.31</v>
      </c>
      <c r="E130" s="2" t="n">
        <f aca="false">IFERROR(__xludf.dummyfunction("""COMPUTED_VALUE"""),495.42)</f>
        <v>495.42</v>
      </c>
      <c r="F130" s="3" t="n">
        <f aca="false">IFERROR(__xludf.dummyfunction("if($T130&lt;&gt;"""",VALUE(REGEXEXTRACT(SUBSTITUTE ($T130,F$1&amp;"" CE"",""""), F$1&amp;""[\w &amp;]*, (\d+\.\d+)"")),"""")
"),494)</f>
        <v>494</v>
      </c>
      <c r="G130" s="3" t="n">
        <f aca="false">IFERROR(__xludf.dummyfunction("if($T130&lt;&gt;"""",VALUE(REGEXEXTRACT($T130, G$1&amp;""[\w &amp;]*, (\d+\.\d+)"")),"""")
"),497)</f>
        <v>497</v>
      </c>
      <c r="H130" s="3" t="n">
        <f aca="false">IFERROR(__xludf.dummyfunction("if($T130&lt;&gt;"""",VALUE(REGEXEXTRACT($T130, H$1&amp;""[\w &amp;]*, (\d+\.\d+)"")),"""")
"),503)</f>
        <v>503</v>
      </c>
      <c r="I130" s="3" t="n">
        <f aca="false">IFERROR(__xludf.dummyfunction("if($T130&lt;&gt;"""",VALUE(REGEXEXTRACT(SUBSTITUTE ($T130,I$1&amp;"" CE"",""""), I$1&amp;""[\w &amp;]*, (\d+\.\d+)"")),"""")
"),494)</f>
        <v>494</v>
      </c>
      <c r="J130" s="3" t="n">
        <f aca="false">IFERROR(__xludf.dummyfunction("if($T130&lt;&gt;"""",VALUE(REGEXEXTRACT($T130, J$1&amp;""[\w &amp;]*, (\d+\.\d+)"")),"""")
"),487)</f>
        <v>487</v>
      </c>
      <c r="K130" s="3" t="n">
        <f aca="false">IFERROR(__xludf.dummyfunction("if($T130&lt;&gt;"""",VALUE(REGEXEXTRACT($T130, K$1&amp;""[\w &amp;]*, (\d+\.\d+)"")),"""")
"),483)</f>
        <v>483</v>
      </c>
      <c r="L130" s="3" t="n">
        <f aca="false">IFERROR(__xludf.dummyfunction("if($T130&lt;&gt;"""",VALUE(REGEXEXTRACT(SUBSTITUTE ($T130,L$1&amp;"" CE"",""""), L$1&amp;""[\w &amp;]*, (\d+\.\d+)"")),"""")
"),493)</f>
        <v>493</v>
      </c>
      <c r="M130" s="3" t="n">
        <f aca="false">IFERROR(__xludf.dummyfunction("if($T130&lt;&gt;"""",VALUE(REGEXEXTRACT($T130, M$1&amp;""[\w &amp;]*, (\d+\.\d+)"")),"""")
"),493)</f>
        <v>493</v>
      </c>
      <c r="N130" s="3" t="n">
        <f aca="false">IFERROR(__xludf.dummyfunction("if($T130&lt;&gt;"""",VALUE(REGEXEXTRACT(SUBSTITUTE ($T130,N$1&amp;"" CE"",""""), N$1&amp;""[\w &amp;]*, (\d+\.\d+)"")),"""")
"),495)</f>
        <v>495</v>
      </c>
      <c r="O130" s="3" t="n">
        <f aca="false">IFERROR(__xludf.dummyfunction("if($T130&lt;&gt;"""",VALUE(REGEXEXTRACT($T130, O$1&amp;""[\w &amp;]*, (\d+\.\d+)"")),"""")
"),494)</f>
        <v>494</v>
      </c>
      <c r="P130" s="2" t="n">
        <f aca="false">IFERROR(__xludf.dummyfunction("if($T130&lt;&gt;"""",VALUE(REGEXEXTRACT($T130, P$1&amp;""[\w &amp;]*, (\d+\.\d+)"")),"""")
"),490.9)</f>
        <v>490.9</v>
      </c>
      <c r="Q130" s="2" t="n">
        <f aca="false">IFERROR(__xludf.dummyfunction("if($T130&lt;&gt;"""",VALUE(REGEXEXTRACT($T130, Q$1&amp;""[\w &amp;]*, (\d+\.\d+)"")),"""")
"),489.42)</f>
        <v>489.42</v>
      </c>
      <c r="R130" s="2" t="n">
        <f aca="false">IFERROR(__xludf.dummyfunction("if($T130&lt;&gt;"""",VALUE(REGEXEXTRACT($T130, SUBSTITUTE(R$1, ""+"", ""\+"")&amp;""[\w &amp;]*, (\d+\.\d+)"")),"""")"),498.04)</f>
        <v>498.04</v>
      </c>
      <c r="S130" s="2" t="n">
        <f aca="false">IFERROR(__xludf.dummyfunction("if($T130&lt;&gt;"""",VALUE(REGEXEXTRACT($T130, SUBSTITUTE(S$1, ""+"", ""\+"")&amp;""[\w &amp;]*, (\d+\.\d+)"")),"""")"),499.52)</f>
        <v>499.52</v>
      </c>
      <c r="T130" s="5" t="s">
        <v>547</v>
      </c>
    </row>
    <row r="131" customFormat="false" ht="15.75" hidden="false" customHeight="false" outlineLevel="0" collapsed="false">
      <c r="A131" s="4" t="n">
        <f aca="false">IFERROR(__xludf.dummyfunction("""COMPUTED_VALUE"""),45587.6666666667)</f>
        <v>45587.6666666667</v>
      </c>
      <c r="B131" s="2" t="n">
        <f aca="false">IFERROR(__xludf.dummyfunction("""COMPUTED_VALUE"""),492.73)</f>
        <v>492.73</v>
      </c>
      <c r="C131" s="2" t="n">
        <f aca="false">IFERROR(__xludf.dummyfunction("""COMPUTED_VALUE"""),497.45)</f>
        <v>497.45</v>
      </c>
      <c r="D131" s="2" t="n">
        <f aca="false">IFERROR(__xludf.dummyfunction("""COMPUTED_VALUE"""),491.97)</f>
        <v>491.97</v>
      </c>
      <c r="E131" s="2" t="n">
        <f aca="false">IFERROR(__xludf.dummyfunction("""COMPUTED_VALUE"""),495.96)</f>
        <v>495.96</v>
      </c>
      <c r="F131" s="3" t="n">
        <f aca="false">IFERROR(__xludf.dummyfunction("if($T131&lt;&gt;"""",VALUE(REGEXEXTRACT(SUBSTITUTE ($T131,F$1&amp;"" CE"",""""), F$1&amp;""[\w &amp;]*, (\d+\.\d+)"")),"""")
"),495)</f>
        <v>495</v>
      </c>
      <c r="G131" s="3" t="n">
        <f aca="false">IFERROR(__xludf.dummyfunction("if($T131&lt;&gt;"""",VALUE(REGEXEXTRACT($T131, G$1&amp;""[\w &amp;]*, (\d+\.\d+)"")),"""")
"),500)</f>
        <v>500</v>
      </c>
      <c r="H131" s="3" t="n">
        <f aca="false">IFERROR(__xludf.dummyfunction("if($T131&lt;&gt;"""",VALUE(REGEXEXTRACT($T131, H$1&amp;""[\w &amp;]*, (\d+\.\d+)"")),"""")
"),502)</f>
        <v>502</v>
      </c>
      <c r="I131" s="3" t="n">
        <f aca="false">IFERROR(__xludf.dummyfunction("if($T131&lt;&gt;"""",VALUE(REGEXEXTRACT(SUBSTITUTE ($T131,I$1&amp;"" CE"",""""), I$1&amp;""[\w &amp;]*, (\d+\.\d+)"")),"""")
"),493)</f>
        <v>493</v>
      </c>
      <c r="J131" s="3" t="n">
        <f aca="false">IFERROR(__xludf.dummyfunction("if($T131&lt;&gt;"""",VALUE(REGEXEXTRACT($T131, J$1&amp;""[\w &amp;]*, (\d+\.\d+)"")),"""")
"),493)</f>
        <v>493</v>
      </c>
      <c r="K131" s="3" t="n">
        <f aca="false">IFERROR(__xludf.dummyfunction("if($T131&lt;&gt;"""",VALUE(REGEXEXTRACT($T131, K$1&amp;""[\w &amp;]*, (\d+\.\d+)"")),"""")
"),483)</f>
        <v>483</v>
      </c>
      <c r="L131" s="3" t="n">
        <f aca="false">IFERROR(__xludf.dummyfunction("if($T131&lt;&gt;"""",VALUE(REGEXEXTRACT(SUBSTITUTE ($T131,L$1&amp;"" CE"",""""), L$1&amp;""[\w &amp;]*, (\d+\.\d+)"")),"""")
"),494)</f>
        <v>494</v>
      </c>
      <c r="M131" s="3" t="n">
        <f aca="false">IFERROR(__xludf.dummyfunction("if($T131&lt;&gt;"""",VALUE(REGEXEXTRACT($T131, M$1&amp;""[\w &amp;]*, (\d+\.\d+)"")),"""")
"),494)</f>
        <v>494</v>
      </c>
      <c r="N131" s="3" t="n">
        <f aca="false">IFERROR(__xludf.dummyfunction("if($T131&lt;&gt;"""",VALUE(REGEXEXTRACT(SUBSTITUTE ($T131,N$1&amp;"" CE"",""""), N$1&amp;""[\w &amp;]*, (\d+\.\d+)"")),"""")
"),495)</f>
        <v>495</v>
      </c>
      <c r="O131" s="3" t="n">
        <f aca="false">IFERROR(__xludf.dummyfunction("if($T131&lt;&gt;"""",VALUE(REGEXEXTRACT($T131, O$1&amp;""[\w &amp;]*, (\d+\.\d+)"")),"""")
"),495)</f>
        <v>495</v>
      </c>
      <c r="P131" s="2" t="n">
        <f aca="false">IFERROR(__xludf.dummyfunction("if($T131&lt;&gt;"""",VALUE(REGEXEXTRACT($T131, P$1&amp;""[\w &amp;]*, (\d+\.\d+)"")),"""")
"),491.14)</f>
        <v>491.14</v>
      </c>
      <c r="Q131" s="2" t="n">
        <f aca="false">IFERROR(__xludf.dummyfunction("if($T131&lt;&gt;"""",VALUE(REGEXEXTRACT($T131, Q$1&amp;""[\w &amp;]*, (\d+\.\d+)"")),"""")
"),489.37)</f>
        <v>489.37</v>
      </c>
      <c r="R131" s="2" t="n">
        <f aca="false">IFERROR(__xludf.dummyfunction("if($T131&lt;&gt;"""",VALUE(REGEXEXTRACT($T131, SUBSTITUTE(R$1, ""+"", ""\+"")&amp;""[\w &amp;]*, (\d+\.\d+)"")),"""")"),499.7)</f>
        <v>499.7</v>
      </c>
      <c r="S131" s="2" t="n">
        <f aca="false">IFERROR(__xludf.dummyfunction("if($T131&lt;&gt;"""",VALUE(REGEXEXTRACT($T131, SUBSTITUTE(S$1, ""+"", ""\+"")&amp;""[\w &amp;]*, (\d+\.\d+)"")),"""")"),501.47)</f>
        <v>501.47</v>
      </c>
      <c r="T131" s="5" t="s">
        <v>548</v>
      </c>
    </row>
    <row r="132" customFormat="false" ht="15.75" hidden="false" customHeight="false" outlineLevel="0" collapsed="false">
      <c r="A132" s="4" t="n">
        <f aca="false">IFERROR(__xludf.dummyfunction("""COMPUTED_VALUE"""),45588.6666666667)</f>
        <v>45588.6666666667</v>
      </c>
      <c r="B132" s="2" t="n">
        <f aca="false">IFERROR(__xludf.dummyfunction("""COMPUTED_VALUE"""),493.59)</f>
        <v>493.59</v>
      </c>
      <c r="C132" s="2" t="n">
        <f aca="false">IFERROR(__xludf.dummyfunction("""COMPUTED_VALUE"""),494.25)</f>
        <v>494.25</v>
      </c>
      <c r="D132" s="2" t="n">
        <f aca="false">IFERROR(__xludf.dummyfunction("""COMPUTED_VALUE"""),485.05)</f>
        <v>485.05</v>
      </c>
      <c r="E132" s="2" t="n">
        <f aca="false">IFERROR(__xludf.dummyfunction("""COMPUTED_VALUE"""),488.36)</f>
        <v>488.36</v>
      </c>
      <c r="F132" s="3" t="n">
        <f aca="false">IFERROR(__xludf.dummyfunction("if($T132&lt;&gt;"""",VALUE(REGEXEXTRACT(SUBSTITUTE ($T132,F$1&amp;"" CE"",""""), F$1&amp;""[\w &amp;]*, (\d+\.\d+)"")),"""")
"),500)</f>
        <v>500</v>
      </c>
      <c r="G132" s="3" t="n">
        <f aca="false">IFERROR(__xludf.dummyfunction("if($T132&lt;&gt;"""",VALUE(REGEXEXTRACT($T132, G$1&amp;""[\w &amp;]*, (\d+\.\d+)"")),"""")
"),499)</f>
        <v>499</v>
      </c>
      <c r="H132" s="3" t="n">
        <f aca="false">IFERROR(__xludf.dummyfunction("if($T132&lt;&gt;"""",VALUE(REGEXEXTRACT($T132, H$1&amp;""[\w &amp;]*, (\d+\.\d+)"")),"""")
"),503)</f>
        <v>503</v>
      </c>
      <c r="I132" s="3" t="n">
        <f aca="false">IFERROR(__xludf.dummyfunction("if($T132&lt;&gt;"""",VALUE(REGEXEXTRACT(SUBSTITUTE ($T132,I$1&amp;"" CE"",""""), I$1&amp;""[\w &amp;]*, (\d+\.\d+)"")),"""")
"),494)</f>
        <v>494</v>
      </c>
      <c r="J132" s="3" t="n">
        <f aca="false">IFERROR(__xludf.dummyfunction("if($T132&lt;&gt;"""",VALUE(REGEXEXTRACT($T132, J$1&amp;""[\w &amp;]*, (\d+\.\d+)"")),"""")
"),494)</f>
        <v>494</v>
      </c>
      <c r="K132" s="3" t="n">
        <f aca="false">IFERROR(__xludf.dummyfunction("if($T132&lt;&gt;"""",VALUE(REGEXEXTRACT($T132, K$1&amp;""[\w &amp;]*, (\d+\.\d+)"")),"""")
"),483)</f>
        <v>483</v>
      </c>
      <c r="L132" s="3" t="n">
        <f aca="false">IFERROR(__xludf.dummyfunction("if($T132&lt;&gt;"""",VALUE(REGEXEXTRACT(SUBSTITUTE ($T132,L$1&amp;"" CE"",""""), L$1&amp;""[\w &amp;]*, (\d+\.\d+)"")),"""")
"),495)</f>
        <v>495</v>
      </c>
      <c r="M132" s="3" t="n">
        <f aca="false">IFERROR(__xludf.dummyfunction("if($T132&lt;&gt;"""",VALUE(REGEXEXTRACT($T132, M$1&amp;""[\w &amp;]*, (\d+\.\d+)"")),"""")
"),496)</f>
        <v>496</v>
      </c>
      <c r="N132" s="3" t="n">
        <f aca="false">IFERROR(__xludf.dummyfunction("if($T132&lt;&gt;"""",VALUE(REGEXEXTRACT(SUBSTITUTE ($T132,N$1&amp;"" CE"",""""), N$1&amp;""[\w &amp;]*, (\d+\.\d+)"")),"""")
"),495)</f>
        <v>495</v>
      </c>
      <c r="O132" s="3" t="n">
        <f aca="false">IFERROR(__xludf.dummyfunction("if($T132&lt;&gt;"""",VALUE(REGEXEXTRACT($T132, O$1&amp;""[\w &amp;]*, (\d+\.\d+)"")),"""")
"),494)</f>
        <v>494</v>
      </c>
      <c r="P132" s="2" t="n">
        <f aca="false">IFERROR(__xludf.dummyfunction("if($T132&lt;&gt;"""",VALUE(REGEXEXTRACT($T132, P$1&amp;""[\w &amp;]*, (\d+\.\d+)"")),"""")
"),491.63)</f>
        <v>491.63</v>
      </c>
      <c r="Q132" s="2" t="n">
        <f aca="false">IFERROR(__xludf.dummyfunction("if($T132&lt;&gt;"""",VALUE(REGEXEXTRACT($T132, Q$1&amp;""[\w &amp;]*, (\d+\.\d+)"")),"""")
"),489.84)</f>
        <v>489.84</v>
      </c>
      <c r="R132" s="2" t="n">
        <f aca="false">IFERROR(__xludf.dummyfunction("if($T132&lt;&gt;"""",VALUE(REGEXEXTRACT($T132, SUBSTITUTE(R$1, ""+"", ""\+"")&amp;""[\w &amp;]*, (\d+\.\d+)"")),"""")"),500.29)</f>
        <v>500.29</v>
      </c>
      <c r="S132" s="2" t="n">
        <f aca="false">IFERROR(__xludf.dummyfunction("if($T132&lt;&gt;"""",VALUE(REGEXEXTRACT($T132, SUBSTITUTE(S$1, ""+"", ""\+"")&amp;""[\w &amp;]*, (\d+\.\d+)"")),"""")"),502.08)</f>
        <v>502.08</v>
      </c>
      <c r="T132" s="5" t="s">
        <v>549</v>
      </c>
    </row>
    <row r="133" customFormat="false" ht="15.75" hidden="false" customHeight="false" outlineLevel="0" collapsed="false">
      <c r="A133" s="4" t="n">
        <f aca="false">IFERROR(__xludf.dummyfunction("""COMPUTED_VALUE"""),45589.6666666667)</f>
        <v>45589.6666666667</v>
      </c>
      <c r="B133" s="2" t="n">
        <f aca="false">IFERROR(__xludf.dummyfunction("""COMPUTED_VALUE"""),492.11)</f>
        <v>492.11</v>
      </c>
      <c r="C133" s="2" t="n">
        <f aca="false">IFERROR(__xludf.dummyfunction("""COMPUTED_VALUE"""),493)</f>
        <v>493</v>
      </c>
      <c r="D133" s="2" t="n">
        <f aca="false">IFERROR(__xludf.dummyfunction("""COMPUTED_VALUE"""),489.44)</f>
        <v>489.44</v>
      </c>
      <c r="E133" s="2" t="n">
        <f aca="false">IFERROR(__xludf.dummyfunction("""COMPUTED_VALUE"""),492.32)</f>
        <v>492.32</v>
      </c>
      <c r="F133" s="3" t="n">
        <f aca="false">IFERROR(__xludf.dummyfunction("if($T133&lt;&gt;"""",VALUE(REGEXEXTRACT(SUBSTITUTE ($T133,F$1&amp;"" CE"",""""), F$1&amp;""[\w &amp;]*, (\d+\.\d+)"")),"""")
"),494)</f>
        <v>494</v>
      </c>
      <c r="G133" s="3" t="n">
        <f aca="false">IFERROR(__xludf.dummyfunction("if($T133&lt;&gt;"""",VALUE(REGEXEXTRACT($T133, G$1&amp;""[\w &amp;]*, (\d+\.\d+)"")),"""")
"),494)</f>
        <v>494</v>
      </c>
      <c r="H133" s="3" t="n">
        <f aca="false">IFERROR(__xludf.dummyfunction("if($T133&lt;&gt;"""",VALUE(REGEXEXTRACT($T133, H$1&amp;""[\w &amp;]*, (\d+\.\d+)"")),"""")
"),503)</f>
        <v>503</v>
      </c>
      <c r="I133" s="3" t="n">
        <f aca="false">IFERROR(__xludf.dummyfunction("if($T133&lt;&gt;"""",VALUE(REGEXEXTRACT(SUBSTITUTE ($T133,I$1&amp;"" CE"",""""), I$1&amp;""[\w &amp;]*, (\d+\.\d+)"")),"""")
"),485)</f>
        <v>485</v>
      </c>
      <c r="J133" s="3" t="n">
        <f aca="false">IFERROR(__xludf.dummyfunction("if($T133&lt;&gt;"""",VALUE(REGEXEXTRACT($T133, J$1&amp;""[\w &amp;]*, (\d+\.\d+)"")),"""")
"),484)</f>
        <v>484</v>
      </c>
      <c r="K133" s="3" t="n">
        <f aca="false">IFERROR(__xludf.dummyfunction("if($T133&lt;&gt;"""",VALUE(REGEXEXTRACT($T133, K$1&amp;""[\w &amp;]*, (\d+\.\d+)"")),"""")
"),483)</f>
        <v>483</v>
      </c>
      <c r="L133" s="3" t="n">
        <f aca="false">IFERROR(__xludf.dummyfunction("if($T133&lt;&gt;"""",VALUE(REGEXEXTRACT(SUBSTITUTE ($T133,L$1&amp;"" CE"",""""), L$1&amp;""[\w &amp;]*, (\d+\.\d+)"")),"""")
"),489)</f>
        <v>489</v>
      </c>
      <c r="M133" s="3" t="n">
        <f aca="false">IFERROR(__xludf.dummyfunction("if($T133&lt;&gt;"""",VALUE(REGEXEXTRACT($T133, M$1&amp;""[\w &amp;]*, (\d+\.\d+)"")),"""")
"),487)</f>
        <v>487</v>
      </c>
      <c r="N133" s="3" t="n">
        <f aca="false">IFERROR(__xludf.dummyfunction("if($T133&lt;&gt;"""",VALUE(REGEXEXTRACT(SUBSTITUTE ($T133,N$1&amp;"" CE"",""""), N$1&amp;""[\w &amp;]*, (\d+\.\d+)"")),"""")
"),490)</f>
        <v>490</v>
      </c>
      <c r="O133" s="3" t="n">
        <f aca="false">IFERROR(__xludf.dummyfunction("if($T133&lt;&gt;"""",VALUE(REGEXEXTRACT($T133, O$1&amp;""[\w &amp;]*, (\d+\.\d+)"")),"""")
"),490)</f>
        <v>490</v>
      </c>
      <c r="P133" s="2" t="n">
        <f aca="false">IFERROR(__xludf.dummyfunction("if($T133&lt;&gt;"""",VALUE(REGEXEXTRACT($T133, P$1&amp;""[\w &amp;]*, (\d+\.\d+)"")),"""")
"),483.89)</f>
        <v>483.89</v>
      </c>
      <c r="Q133" s="2" t="n">
        <f aca="false">IFERROR(__xludf.dummyfunction("if($T133&lt;&gt;"""",VALUE(REGEXEXTRACT($T133, Q$1&amp;""[\w &amp;]*, (\d+\.\d+)"")),"""")
"),482.04)</f>
        <v>482.04</v>
      </c>
      <c r="R133" s="2" t="n">
        <f aca="false">IFERROR(__xludf.dummyfunction("if($T133&lt;&gt;"""",VALUE(REGEXEXTRACT($T133, SUBSTITUTE(R$1, ""+"", ""\+"")&amp;""[\w &amp;]*, (\d+\.\d+)"")),"""")"),492.83)</f>
        <v>492.83</v>
      </c>
      <c r="S133" s="2" t="n">
        <f aca="false">IFERROR(__xludf.dummyfunction("if($T133&lt;&gt;"""",VALUE(REGEXEXTRACT($T133, SUBSTITUTE(S$1, ""+"", ""\+"")&amp;""[\w &amp;]*, (\d+\.\d+)"")),"""")"),494.68)</f>
        <v>494.68</v>
      </c>
      <c r="T133" s="5" t="s">
        <v>550</v>
      </c>
    </row>
    <row r="134" customFormat="false" ht="15.75" hidden="false" customHeight="false" outlineLevel="0" collapsed="false">
      <c r="A134" s="4" t="n">
        <f aca="false">IFERROR(__xludf.dummyfunction("""COMPUTED_VALUE"""),45590.6666666667)</f>
        <v>45590.6666666667</v>
      </c>
      <c r="B134" s="2" t="n">
        <f aca="false">IFERROR(__xludf.dummyfunction("""COMPUTED_VALUE"""),495.14)</f>
        <v>495.14</v>
      </c>
      <c r="C134" s="2" t="n">
        <f aca="false">IFERROR(__xludf.dummyfunction("""COMPUTED_VALUE"""),500.28)</f>
        <v>500.28</v>
      </c>
      <c r="D134" s="2" t="n">
        <f aca="false">IFERROR(__xludf.dummyfunction("""COMPUTED_VALUE"""),494.43)</f>
        <v>494.43</v>
      </c>
      <c r="E134" s="2" t="n">
        <f aca="false">IFERROR(__xludf.dummyfunction("""COMPUTED_VALUE"""),495.32)</f>
        <v>495.32</v>
      </c>
      <c r="F134" s="3" t="n">
        <f aca="false">IFERROR(__xludf.dummyfunction("if($T134&lt;&gt;"""",VALUE(REGEXEXTRACT(SUBSTITUTE ($T134,F$1&amp;"" CE"",""""), F$1&amp;""[\w &amp;]*, (\d+\.\d+)"")),"""")
"),495)</f>
        <v>495</v>
      </c>
      <c r="G134" s="3" t="n">
        <f aca="false">IFERROR(__xludf.dummyfunction("if($T134&lt;&gt;"""",VALUE(REGEXEXTRACT($T134, G$1&amp;""[\w &amp;]*, (\d+\.\d+)"")),"""")
"),497)</f>
        <v>497</v>
      </c>
      <c r="H134" s="3" t="n">
        <f aca="false">IFERROR(__xludf.dummyfunction("if($T134&lt;&gt;"""",VALUE(REGEXEXTRACT($T134, H$1&amp;""[\w &amp;]*, (\d+\.\d+)"")),"""")
"),503)</f>
        <v>503</v>
      </c>
      <c r="I134" s="3" t="n">
        <f aca="false">IFERROR(__xludf.dummyfunction("if($T134&lt;&gt;"""",VALUE(REGEXEXTRACT(SUBSTITUTE ($T134,I$1&amp;"" CE"",""""), I$1&amp;""[\w &amp;]*, (\d+\.\d+)"")),"""")
"),480)</f>
        <v>480</v>
      </c>
      <c r="J134" s="3" t="n">
        <f aca="false">IFERROR(__xludf.dummyfunction("if($T134&lt;&gt;"""",VALUE(REGEXEXTRACT($T134, J$1&amp;""[\w &amp;]*, (\d+\.\d+)"")),"""")
"),485)</f>
        <v>485</v>
      </c>
      <c r="K134" s="3" t="n">
        <f aca="false">IFERROR(__xludf.dummyfunction("if($T134&lt;&gt;"""",VALUE(REGEXEXTRACT($T134, K$1&amp;""[\w &amp;]*, (\d+\.\d+)"")),"""")
"),483)</f>
        <v>483</v>
      </c>
      <c r="L134" s="3" t="n">
        <f aca="false">IFERROR(__xludf.dummyfunction("if($T134&lt;&gt;"""",VALUE(REGEXEXTRACT(SUBSTITUTE ($T134,L$1&amp;"" CE"",""""), L$1&amp;""[\w &amp;]*, (\d+\.\d+)"")),"""")
"),492)</f>
        <v>492</v>
      </c>
      <c r="M134" s="3" t="n">
        <f aca="false">IFERROR(__xludf.dummyfunction("if($T134&lt;&gt;"""",VALUE(REGEXEXTRACT($T134, M$1&amp;""[\w &amp;]*, (\d+\.\d+)"")),"""")
"),491)</f>
        <v>491</v>
      </c>
      <c r="N134" s="3" t="n">
        <f aca="false">IFERROR(__xludf.dummyfunction("if($T134&lt;&gt;"""",VALUE(REGEXEXTRACT(SUBSTITUTE ($T134,N$1&amp;"" CE"",""""), N$1&amp;""[\w &amp;]*, (\d+\.\d+)"")),"""")
"),490)</f>
        <v>490</v>
      </c>
      <c r="O134" s="3" t="n">
        <f aca="false">IFERROR(__xludf.dummyfunction("if($T134&lt;&gt;"""",VALUE(REGEXEXTRACT($T134, O$1&amp;""[\w &amp;]*, (\d+\.\d+)"")),"""")
"),495)</f>
        <v>495</v>
      </c>
      <c r="P134" s="2" t="n">
        <f aca="false">IFERROR(__xludf.dummyfunction("if($T134&lt;&gt;"""",VALUE(REGEXEXTRACT($T134, P$1&amp;""[\w &amp;]*, (\d+\.\d+)"")),"""")
"),487.33)</f>
        <v>487.33</v>
      </c>
      <c r="Q134" s="2" t="n">
        <f aca="false">IFERROR(__xludf.dummyfunction("if($T134&lt;&gt;"""",VALUE(REGEXEXTRACT($T134, Q$1&amp;""[\w &amp;]*, (\d+\.\d+)"")),"""")
"),482.36)</f>
        <v>482.36</v>
      </c>
      <c r="R134" s="2" t="n">
        <f aca="false">IFERROR(__xludf.dummyfunction("if($T134&lt;&gt;"""",VALUE(REGEXEXTRACT($T134, SUBSTITUTE(R$1, ""+"", ""\+"")&amp;""[\w &amp;]*, (\d+\.\d+)"")),"""")"),497.31)</f>
        <v>497.31</v>
      </c>
      <c r="S134" s="2" t="n">
        <f aca="false">IFERROR(__xludf.dummyfunction("if($T134&lt;&gt;"""",VALUE(REGEXEXTRACT($T134, SUBSTITUTE(S$1, ""+"", ""\+"")&amp;""[\w &amp;]*, (\d+\.\d+)"")),"""")"),502.28)</f>
        <v>502.28</v>
      </c>
      <c r="T134" s="5" t="s">
        <v>551</v>
      </c>
    </row>
    <row r="135" customFormat="false" ht="15.75" hidden="false" customHeight="false" outlineLevel="0" collapsed="false">
      <c r="A135" s="4" t="n">
        <f aca="false">IFERROR(__xludf.dummyfunction("""COMPUTED_VALUE"""),45593.6666666667)</f>
        <v>45593.6666666667</v>
      </c>
      <c r="B135" s="2" t="n">
        <f aca="false">IFERROR(__xludf.dummyfunction("""COMPUTED_VALUE"""),498.46)</f>
        <v>498.46</v>
      </c>
      <c r="C135" s="2" t="n">
        <f aca="false">IFERROR(__xludf.dummyfunction("""COMPUTED_VALUE"""),498.52)</f>
        <v>498.52</v>
      </c>
      <c r="D135" s="2" t="n">
        <f aca="false">IFERROR(__xludf.dummyfunction("""COMPUTED_VALUE"""),495.1)</f>
        <v>495.1</v>
      </c>
      <c r="E135" s="2" t="n">
        <f aca="false">IFERROR(__xludf.dummyfunction("""COMPUTED_VALUE"""),495.4)</f>
        <v>495.4</v>
      </c>
      <c r="F135" s="3" t="n">
        <f aca="false">IFERROR(__xludf.dummyfunction("if($T135&lt;&gt;"""",VALUE(REGEXEXTRACT(SUBSTITUTE ($T135,F$1&amp;"" CE"",""""), F$1&amp;""[\w &amp;]*, (\d+\.\d+)"")),"""")
"),500)</f>
        <v>500</v>
      </c>
      <c r="G135" s="3" t="n">
        <f aca="false">IFERROR(__xludf.dummyfunction("if($T135&lt;&gt;"""",VALUE(REGEXEXTRACT($T135, G$1&amp;""[\w &amp;]*, (\d+\.\d+)"")),"""")
"),500)</f>
        <v>500</v>
      </c>
      <c r="H135" s="3" t="n">
        <f aca="false">IFERROR(__xludf.dummyfunction("if($T135&lt;&gt;"""",VALUE(REGEXEXTRACT($T135, H$1&amp;""[\w &amp;]*, (\d+\.\d+)"")),"""")
"),503)</f>
        <v>503</v>
      </c>
      <c r="I135" s="3" t="n">
        <f aca="false">IFERROR(__xludf.dummyfunction("if($T135&lt;&gt;"""",VALUE(REGEXEXTRACT(SUBSTITUTE ($T135,I$1&amp;"" CE"",""""), I$1&amp;""[\w &amp;]*, (\d+\.\d+)"")),"""")
"),480)</f>
        <v>480</v>
      </c>
      <c r="J135" s="3" t="n">
        <f aca="false">IFERROR(__xludf.dummyfunction("if($T135&lt;&gt;"""",VALUE(REGEXEXTRACT($T135, J$1&amp;""[\w &amp;]*, (\d+\.\d+)"")),"""")
"),492)</f>
        <v>492</v>
      </c>
      <c r="K135" s="3" t="n">
        <f aca="false">IFERROR(__xludf.dummyfunction("if($T135&lt;&gt;"""",VALUE(REGEXEXTRACT($T135, K$1&amp;""[\w &amp;]*, (\d+\.\d+)"")),"""")
"),478)</f>
        <v>478</v>
      </c>
      <c r="L135" s="3" t="n">
        <f aca="false">IFERROR(__xludf.dummyfunction("if($T135&lt;&gt;"""",VALUE(REGEXEXTRACT(SUBSTITUTE ($T135,L$1&amp;"" CE"",""""), L$1&amp;""[\w &amp;]*, (\d+\.\d+)"")),"""")
"),494)</f>
        <v>494</v>
      </c>
      <c r="M135" s="3" t="n">
        <f aca="false">IFERROR(__xludf.dummyfunction("if($T135&lt;&gt;"""",VALUE(REGEXEXTRACT($T135, M$1&amp;""[\w &amp;]*, (\d+\.\d+)"")),"""")
"),495)</f>
        <v>495</v>
      </c>
      <c r="N135" s="3" t="n">
        <f aca="false">IFERROR(__xludf.dummyfunction("if($T135&lt;&gt;"""",VALUE(REGEXEXTRACT(SUBSTITUTE ($T135,N$1&amp;"" CE"",""""), N$1&amp;""[\w &amp;]*, (\d+\.\d+)"")),"""")
"),500)</f>
        <v>500</v>
      </c>
      <c r="O135" s="3" t="n">
        <f aca="false">IFERROR(__xludf.dummyfunction("if($T135&lt;&gt;"""",VALUE(REGEXEXTRACT($T135, O$1&amp;""[\w &amp;]*, (\d+\.\d+)"")),"""")
"),498)</f>
        <v>498</v>
      </c>
      <c r="P135" s="2" t="n">
        <f aca="false">IFERROR(__xludf.dummyfunction("if($T135&lt;&gt;"""",VALUE(REGEXEXTRACT($T135, P$1&amp;""[\w &amp;]*, (\d+\.\d+)"")),"""")
"),490.48)</f>
        <v>490.48</v>
      </c>
      <c r="Q135" s="2" t="n">
        <f aca="false">IFERROR(__xludf.dummyfunction("if($T135&lt;&gt;"""",VALUE(REGEXEXTRACT($T135, Q$1&amp;""[\w &amp;]*, (\d+\.\d+)"")),"""")
"),488.48)</f>
        <v>488.48</v>
      </c>
      <c r="R135" s="2" t="n">
        <f aca="false">IFERROR(__xludf.dummyfunction("if($T135&lt;&gt;"""",VALUE(REGEXEXTRACT($T135, SUBSTITUTE(R$1, ""+"", ""\+"")&amp;""[\w &amp;]*, (\d+\.\d+)"")),"""")"),500.16)</f>
        <v>500.16</v>
      </c>
      <c r="S135" s="2" t="n">
        <f aca="false">IFERROR(__xludf.dummyfunction("if($T135&lt;&gt;"""",VALUE(REGEXEXTRACT($T135, SUBSTITUTE(S$1, ""+"", ""\+"")&amp;""[\w &amp;]*, (\d+\.\d+)"")),"""")"),502.16)</f>
        <v>502.16</v>
      </c>
      <c r="T135" s="5" t="s">
        <v>552</v>
      </c>
    </row>
    <row r="136" customFormat="false" ht="15.75" hidden="false" customHeight="false" outlineLevel="0" collapsed="false">
      <c r="A136" s="4" t="n">
        <f aca="false">IFERROR(__xludf.dummyfunction("""COMPUTED_VALUE"""),45594.6666666667)</f>
        <v>45594.6666666667</v>
      </c>
      <c r="B136" s="2" t="n">
        <f aca="false">IFERROR(__xludf.dummyfunction("""COMPUTED_VALUE"""),495.72)</f>
        <v>495.72</v>
      </c>
      <c r="C136" s="2" t="n">
        <f aca="false">IFERROR(__xludf.dummyfunction("""COMPUTED_VALUE"""),501.35)</f>
        <v>501.35</v>
      </c>
      <c r="D136" s="2" t="n">
        <f aca="false">IFERROR(__xludf.dummyfunction("""COMPUTED_VALUE"""),493.85)</f>
        <v>493.85</v>
      </c>
      <c r="E136" s="2" t="n">
        <f aca="false">IFERROR(__xludf.dummyfunction("""COMPUTED_VALUE"""),500.16)</f>
        <v>500.16</v>
      </c>
      <c r="F136" s="3" t="n">
        <f aca="false">IFERROR(__xludf.dummyfunction("if($T136&lt;&gt;"""",VALUE(REGEXEXTRACT(SUBSTITUTE ($T136,F$1&amp;"" CE"",""""), F$1&amp;""[\w &amp;]*, (\d+\.\d+)"")),"""")
"),497)</f>
        <v>497</v>
      </c>
      <c r="G136" s="3" t="n">
        <f aca="false">IFERROR(__xludf.dummyfunction("if($T136&lt;&gt;"""",VALUE(REGEXEXTRACT($T136, G$1&amp;""[\w &amp;]*, (\d+\.\d+)"")),"""")
"),497)</f>
        <v>497</v>
      </c>
      <c r="H136" s="3" t="n">
        <f aca="false">IFERROR(__xludf.dummyfunction("if($T136&lt;&gt;"""",VALUE(REGEXEXTRACT($T136, H$1&amp;""[\w &amp;]*, (\d+\.\d+)"")),"""")
"),498)</f>
        <v>498</v>
      </c>
      <c r="I136" s="3" t="n">
        <f aca="false">IFERROR(__xludf.dummyfunction("if($T136&lt;&gt;"""",VALUE(REGEXEXTRACT(SUBSTITUTE ($T136,I$1&amp;"" CE"",""""), I$1&amp;""[\w &amp;]*, (\d+\.\d+)"")),"""")
"),480)</f>
        <v>480</v>
      </c>
      <c r="J136" s="3" t="n">
        <f aca="false">IFERROR(__xludf.dummyfunction("if($T136&lt;&gt;"""",VALUE(REGEXEXTRACT($T136, J$1&amp;""[\w &amp;]*, (\d+\.\d+)"")),"""")
"),490)</f>
        <v>490</v>
      </c>
      <c r="K136" s="3" t="n">
        <f aca="false">IFERROR(__xludf.dummyfunction("if($T136&lt;&gt;"""",VALUE(REGEXEXTRACT($T136, K$1&amp;""[\w &amp;]*, (\d+\.\d+)"")),"""")
"),478)</f>
        <v>478</v>
      </c>
      <c r="L136" s="3" t="n">
        <f aca="false">IFERROR(__xludf.dummyfunction("if($T136&lt;&gt;"""",VALUE(REGEXEXTRACT(SUBSTITUTE ($T136,L$1&amp;"" CE"",""""), L$1&amp;""[\w &amp;]*, (\d+\.\d+)"")),"""")
"),496)</f>
        <v>496</v>
      </c>
      <c r="M136" s="3" t="n">
        <f aca="false">IFERROR(__xludf.dummyfunction("if($T136&lt;&gt;"""",VALUE(REGEXEXTRACT($T136, M$1&amp;""[\w &amp;]*, (\d+\.\d+)"")),"""")
"),496)</f>
        <v>496</v>
      </c>
      <c r="N136" s="3" t="n">
        <f aca="false">IFERROR(__xludf.dummyfunction("if($T136&lt;&gt;"""",VALUE(REGEXEXTRACT(SUBSTITUTE ($T136,N$1&amp;"" CE"",""""), N$1&amp;""[\w &amp;]*, (\d+\.\d+)"")),"""")
"),500)</f>
        <v>500</v>
      </c>
      <c r="O136" s="3" t="n">
        <f aca="false">IFERROR(__xludf.dummyfunction("if($T136&lt;&gt;"""",VALUE(REGEXEXTRACT($T136, O$1&amp;""[\w &amp;]*, (\d+\.\d+)"")),"""")
"),497)</f>
        <v>497</v>
      </c>
      <c r="P136" s="2" t="n">
        <f aca="false">IFERROR(__xludf.dummyfunction("if($T136&lt;&gt;"""",VALUE(REGEXEXTRACT($T136, P$1&amp;""[\w &amp;]*, (\d+\.\d+)"")),"""")
"),489.99)</f>
        <v>489.99</v>
      </c>
      <c r="Q136" s="2" t="n">
        <f aca="false">IFERROR(__xludf.dummyfunction("if($T136&lt;&gt;"""",VALUE(REGEXEXTRACT($T136, Q$1&amp;""[\w &amp;]*, (\d+\.\d+)"")),"""")
"),487.75)</f>
        <v>487.75</v>
      </c>
      <c r="R136" s="2" t="n">
        <f aca="false">IFERROR(__xludf.dummyfunction("if($T136&lt;&gt;"""",VALUE(REGEXEXTRACT($T136, SUBSTITUTE(R$1, ""+"", ""\+"")&amp;""[\w &amp;]*, (\d+\.\d+)"")),"""")"),500.81)</f>
        <v>500.81</v>
      </c>
      <c r="S136" s="2" t="n">
        <f aca="false">IFERROR(__xludf.dummyfunction("if($T136&lt;&gt;"""",VALUE(REGEXEXTRACT($T136, SUBSTITUTE(S$1, ""+"", ""\+"")&amp;""[\w &amp;]*, (\d+\.\d+)"")),"""")"),503.05)</f>
        <v>503.05</v>
      </c>
      <c r="T136" s="5" t="s">
        <v>553</v>
      </c>
    </row>
    <row r="137" customFormat="false" ht="15.75" hidden="false" customHeight="false" outlineLevel="0" collapsed="false">
      <c r="A137" s="4" t="n">
        <f aca="false">IFERROR(__xludf.dummyfunction("""COMPUTED_VALUE"""),45595.6666666667)</f>
        <v>45595.6666666667</v>
      </c>
      <c r="B137" s="2" t="n">
        <f aca="false">IFERROR(__xludf.dummyfunction("""COMPUTED_VALUE"""),499.39)</f>
        <v>499.39</v>
      </c>
      <c r="C137" s="2" t="n">
        <f aca="false">IFERROR(__xludf.dummyfunction("""COMPUTED_VALUE"""),500.35)</f>
        <v>500.35</v>
      </c>
      <c r="D137" s="2" t="n">
        <f aca="false">IFERROR(__xludf.dummyfunction("""COMPUTED_VALUE"""),495.89)</f>
        <v>495.89</v>
      </c>
      <c r="E137" s="2" t="n">
        <f aca="false">IFERROR(__xludf.dummyfunction("""COMPUTED_VALUE"""),496.38)</f>
        <v>496.38</v>
      </c>
      <c r="F137" s="3" t="n">
        <f aca="false">IFERROR(__xludf.dummyfunction("if($T137&lt;&gt;"""",VALUE(REGEXEXTRACT(SUBSTITUTE ($T137,F$1&amp;"" CE"",""""), F$1&amp;""[\w &amp;]*, (\d+\.\d+)"")),"""")
"),500)</f>
        <v>500</v>
      </c>
      <c r="G137" s="3" t="n">
        <f aca="false">IFERROR(__xludf.dummyfunction("if($T137&lt;&gt;"""",VALUE(REGEXEXTRACT($T137, G$1&amp;""[\w &amp;]*, (\d+\.\d+)"")),"""")
"),503)</f>
        <v>503</v>
      </c>
      <c r="H137" s="3" t="n">
        <f aca="false">IFERROR(__xludf.dummyfunction("if($T137&lt;&gt;"""",VALUE(REGEXEXTRACT($T137, H$1&amp;""[\w &amp;]*, (\d+\.\d+)"")),"""")
"),512)</f>
        <v>512</v>
      </c>
      <c r="I137" s="3" t="n">
        <f aca="false">IFERROR(__xludf.dummyfunction("if($T137&lt;&gt;"""",VALUE(REGEXEXTRACT(SUBSTITUTE ($T137,I$1&amp;"" CE"",""""), I$1&amp;""[\w &amp;]*, (\d+\.\d+)"")),"""")
"),480)</f>
        <v>480</v>
      </c>
      <c r="J137" s="3" t="n">
        <f aca="false">IFERROR(__xludf.dummyfunction("if($T137&lt;&gt;"""",VALUE(REGEXEXTRACT($T137, J$1&amp;""[\w &amp;]*, (\d+\.\d+)"")),"""")
"),496)</f>
        <v>496</v>
      </c>
      <c r="K137" s="3" t="n">
        <f aca="false">IFERROR(__xludf.dummyfunction("if($T137&lt;&gt;"""",VALUE(REGEXEXTRACT($T137, K$1&amp;""[\w &amp;]*, (\d+\.\d+)"")),"""")
"),483)</f>
        <v>483</v>
      </c>
      <c r="L137" s="3" t="n">
        <f aca="false">IFERROR(__xludf.dummyfunction("if($T137&lt;&gt;"""",VALUE(REGEXEXTRACT(SUBSTITUTE ($T137,L$1&amp;"" CE"",""""), L$1&amp;""[\w &amp;]*, (\d+\.\d+)"")),"""")
"),499)</f>
        <v>499</v>
      </c>
      <c r="M137" s="3" t="n">
        <f aca="false">IFERROR(__xludf.dummyfunction("if($T137&lt;&gt;"""",VALUE(REGEXEXTRACT($T137, M$1&amp;""[\w &amp;]*, (\d+\.\d+)"")),"""")
"),499)</f>
        <v>499</v>
      </c>
      <c r="N137" s="3" t="n">
        <f aca="false">IFERROR(__xludf.dummyfunction("if($T137&lt;&gt;"""",VALUE(REGEXEXTRACT(SUBSTITUTE ($T137,N$1&amp;"" CE"",""""), N$1&amp;""[\w &amp;]*, (\d+\.\d+)"")),"""")
"),500)</f>
        <v>500</v>
      </c>
      <c r="O137" s="3" t="n">
        <f aca="false">IFERROR(__xludf.dummyfunction("if($T137&lt;&gt;"""",VALUE(REGEXEXTRACT($T137, O$1&amp;""[\w &amp;]*, (\d+\.\d+)"")),"""")
"),500)</f>
        <v>500</v>
      </c>
      <c r="P137" s="2" t="n">
        <f aca="false">IFERROR(__xludf.dummyfunction("if($T137&lt;&gt;"""",VALUE(REGEXEXTRACT($T137, P$1&amp;""[\w &amp;]*, (\d+\.\d+)"")),"""")
"),494.5)</f>
        <v>494.5</v>
      </c>
      <c r="Q137" s="2" t="n">
        <f aca="false">IFERROR(__xludf.dummyfunction("if($T137&lt;&gt;"""",VALUE(REGEXEXTRACT($T137, Q$1&amp;""[\w &amp;]*, (\d+\.\d+)"")),"""")
"),492.16)</f>
        <v>492.16</v>
      </c>
      <c r="R137" s="2" t="n">
        <f aca="false">IFERROR(__xludf.dummyfunction("if($T137&lt;&gt;"""",VALUE(REGEXEXTRACT($T137, SUBSTITUTE(R$1, ""+"", ""\+"")&amp;""[\w &amp;]*, (\d+\.\d+)"")),"""")"),505.82)</f>
        <v>505.82</v>
      </c>
      <c r="S137" s="2" t="n">
        <f aca="false">IFERROR(__xludf.dummyfunction("if($T137&lt;&gt;"""",VALUE(REGEXEXTRACT($T137, SUBSTITUTE(S$1, ""+"", ""\+"")&amp;""[\w &amp;]*, (\d+\.\d+)"")),"""")"),508.16)</f>
        <v>508.16</v>
      </c>
      <c r="T137" s="5" t="s">
        <v>554</v>
      </c>
    </row>
    <row r="138" customFormat="false" ht="15.75" hidden="false" customHeight="false" outlineLevel="0" collapsed="false">
      <c r="A138" s="4" t="n">
        <f aca="false">IFERROR(__xludf.dummyfunction("""COMPUTED_VALUE"""),45596.6666666667)</f>
        <v>45596.6666666667</v>
      </c>
      <c r="B138" s="2" t="n">
        <f aca="false">IFERROR(__xludf.dummyfunction("""COMPUTED_VALUE"""),492.38)</f>
        <v>492.38</v>
      </c>
      <c r="C138" s="2" t="n">
        <f aca="false">IFERROR(__xludf.dummyfunction("""COMPUTED_VALUE"""),492.43)</f>
        <v>492.43</v>
      </c>
      <c r="D138" s="2" t="n">
        <f aca="false">IFERROR(__xludf.dummyfunction("""COMPUTED_VALUE"""),483.75)</f>
        <v>483.75</v>
      </c>
      <c r="E138" s="2" t="n">
        <f aca="false">IFERROR(__xludf.dummyfunction("""COMPUTED_VALUE"""),483.85)</f>
        <v>483.85</v>
      </c>
      <c r="F138" s="3" t="n">
        <f aca="false">IFERROR(__xludf.dummyfunction("if($T138&lt;&gt;"""",VALUE(REGEXEXTRACT(SUBSTITUTE ($T138,F$1&amp;"" CE"",""""), F$1&amp;""[\w &amp;]*, (\d+\.\d+)"")),"""")
"),500)</f>
        <v>500</v>
      </c>
      <c r="G138" s="3" t="n">
        <f aca="false">IFERROR(__xludf.dummyfunction("if($T138&lt;&gt;"""",VALUE(REGEXEXTRACT($T138, G$1&amp;""[\w &amp;]*, (\d+\.\d+)"")),"""")
"),500)</f>
        <v>500</v>
      </c>
      <c r="H138" s="3" t="n">
        <f aca="false">IFERROR(__xludf.dummyfunction("if($T138&lt;&gt;"""",VALUE(REGEXEXTRACT($T138, H$1&amp;""[\w &amp;]*, (\d+\.\d+)"")),"""")
"),504)</f>
        <v>504</v>
      </c>
      <c r="I138" s="3" t="n">
        <f aca="false">IFERROR(__xludf.dummyfunction("if($T138&lt;&gt;"""",VALUE(REGEXEXTRACT(SUBSTITUTE ($T138,I$1&amp;"" CE"",""""), I$1&amp;""[\w &amp;]*, (\d+\.\d+)"")),"""")
"),480)</f>
        <v>480</v>
      </c>
      <c r="J138" s="3" t="n">
        <f aca="false">IFERROR(__xludf.dummyfunction("if($T138&lt;&gt;"""",VALUE(REGEXEXTRACT($T138, J$1&amp;""[\w &amp;]*, (\d+\.\d+)"")),"""")
"),492)</f>
        <v>492</v>
      </c>
      <c r="K138" s="3" t="n">
        <f aca="false">IFERROR(__xludf.dummyfunction("if($T138&lt;&gt;"""",VALUE(REGEXEXTRACT($T138, K$1&amp;""[\w &amp;]*, (\d+\.\d+)"")),"""")
"),484)</f>
        <v>484</v>
      </c>
      <c r="L138" s="3" t="n">
        <f aca="false">IFERROR(__xludf.dummyfunction("if($T138&lt;&gt;"""",VALUE(REGEXEXTRACT(SUBSTITUTE ($T138,L$1&amp;"" CE"",""""), L$1&amp;""[\w &amp;]*, (\d+\.\d+)"")),"""")
"),496)</f>
        <v>496</v>
      </c>
      <c r="M138" s="3" t="n">
        <f aca="false">IFERROR(__xludf.dummyfunction("if($T138&lt;&gt;"""",VALUE(REGEXEXTRACT($T138, M$1&amp;""[\w &amp;]*, (\d+\.\d+)"")),"""")
"),497)</f>
        <v>497</v>
      </c>
      <c r="N138" s="3" t="n">
        <f aca="false">IFERROR(__xludf.dummyfunction("if($T138&lt;&gt;"""",VALUE(REGEXEXTRACT(SUBSTITUTE ($T138,N$1&amp;"" CE"",""""), N$1&amp;""[\w &amp;]*, (\d+\.\d+)"")),"""")
"),500)</f>
        <v>500</v>
      </c>
      <c r="O138" s="3" t="n">
        <f aca="false">IFERROR(__xludf.dummyfunction("if($T138&lt;&gt;"""",VALUE(REGEXEXTRACT($T138, O$1&amp;""[\w &amp;]*, (\d+\.\d+)"")),"""")
"),500)</f>
        <v>500</v>
      </c>
      <c r="P138" s="2" t="n">
        <f aca="false">IFERROR(__xludf.dummyfunction("if($T138&lt;&gt;"""",VALUE(REGEXEXTRACT($T138, P$1&amp;""[\w &amp;]*, (\d+\.\d+)"")),"""")
"),491.03)</f>
        <v>491.03</v>
      </c>
      <c r="Q138" s="2" t="n">
        <f aca="false">IFERROR(__xludf.dummyfunction("if($T138&lt;&gt;"""",VALUE(REGEXEXTRACT($T138, Q$1&amp;""[\w &amp;]*, (\d+\.\d+)"")),"""")
"),488.9)</f>
        <v>488.9</v>
      </c>
      <c r="R138" s="2" t="n">
        <f aca="false">IFERROR(__xludf.dummyfunction("if($T138&lt;&gt;"""",VALUE(REGEXEXTRACT($T138, SUBSTITUTE(R$1, ""+"", ""\+"")&amp;""[\w &amp;]*, (\d+\.\d+)"")),"""")"),501.73)</f>
        <v>501.73</v>
      </c>
      <c r="S138" s="2" t="n">
        <f aca="false">IFERROR(__xludf.dummyfunction("if($T138&lt;&gt;"""",VALUE(REGEXEXTRACT($T138, SUBSTITUTE(S$1, ""+"", ""\+"")&amp;""[\w &amp;]*, (\d+\.\d+)"")),"""")"),503.86)</f>
        <v>503.86</v>
      </c>
      <c r="T138" s="5" t="s">
        <v>555</v>
      </c>
    </row>
    <row r="139" customFormat="false" ht="15.75" hidden="false" customHeight="false" outlineLevel="0" collapsed="false">
      <c r="A139" s="4" t="n">
        <f aca="false">IFERROR(__xludf.dummyfunction("""COMPUTED_VALUE"""),45597.6666666667)</f>
        <v>45597.6666666667</v>
      </c>
      <c r="B139" s="2" t="n">
        <f aca="false">IFERROR(__xludf.dummyfunction("""COMPUTED_VALUE"""),485.5)</f>
        <v>485.5</v>
      </c>
      <c r="C139" s="2" t="n">
        <f aca="false">IFERROR(__xludf.dummyfunction("""COMPUTED_VALUE"""),490.75)</f>
        <v>490.75</v>
      </c>
      <c r="D139" s="2" t="n">
        <f aca="false">IFERROR(__xludf.dummyfunction("""COMPUTED_VALUE"""),485.2)</f>
        <v>485.2</v>
      </c>
      <c r="E139" s="2" t="n">
        <f aca="false">IFERROR(__xludf.dummyfunction("""COMPUTED_VALUE"""),487.43)</f>
        <v>487.43</v>
      </c>
      <c r="F139" s="3" t="n">
        <f aca="false">IFERROR(__xludf.dummyfunction("if($T139&lt;&gt;"""",VALUE(REGEXEXTRACT(SUBSTITUTE ($T139,F$1&amp;"" CE"",""""), F$1&amp;""[\w &amp;]*, (\d+\.\d+)"")),"""")
"),490)</f>
        <v>490</v>
      </c>
      <c r="G139" s="3" t="n">
        <f aca="false">IFERROR(__xludf.dummyfunction("if($T139&lt;&gt;"""",VALUE(REGEXEXTRACT($T139, G$1&amp;""[\w &amp;]*, (\d+\.\d+)"")),"""")
"),486)</f>
        <v>486</v>
      </c>
      <c r="H139" s="3" t="n">
        <f aca="false">IFERROR(__xludf.dummyfunction("if($T139&lt;&gt;"""",VALUE(REGEXEXTRACT($T139, H$1&amp;""[\w &amp;]*, (\d+\.\d+)"")),"""")
"),504)</f>
        <v>504</v>
      </c>
      <c r="I139" s="3" t="n">
        <f aca="false">IFERROR(__xludf.dummyfunction("if($T139&lt;&gt;"""",VALUE(REGEXEXTRACT(SUBSTITUTE ($T139,I$1&amp;"" CE"",""""), I$1&amp;""[\w &amp;]*, (\d+\.\d+)"")),"""")
"),485)</f>
        <v>485</v>
      </c>
      <c r="J139" s="3" t="n">
        <f aca="false">IFERROR(__xludf.dummyfunction("if($T139&lt;&gt;"""",VALUE(REGEXEXTRACT($T139, J$1&amp;""[\w &amp;]*, (\d+\.\d+)"")),"""")
"),480)</f>
        <v>480</v>
      </c>
      <c r="K139" s="3" t="n">
        <f aca="false">IFERROR(__xludf.dummyfunction("if($T139&lt;&gt;"""",VALUE(REGEXEXTRACT($T139, K$1&amp;""[\w &amp;]*, (\d+\.\d+)"")),"""")
"),478)</f>
        <v>478</v>
      </c>
      <c r="L139" s="3" t="n">
        <f aca="false">IFERROR(__xludf.dummyfunction("if($T139&lt;&gt;"""",VALUE(REGEXEXTRACT(SUBSTITUTE ($T139,L$1&amp;"" CE"",""""), L$1&amp;""[\w &amp;]*, (\d+\.\d+)"")),"""")
"),485)</f>
        <v>485</v>
      </c>
      <c r="M139" s="3" t="n">
        <f aca="false">IFERROR(__xludf.dummyfunction("if($T139&lt;&gt;"""",VALUE(REGEXEXTRACT($T139, M$1&amp;""[\w &amp;]*, (\d+\.\d+)"")),"""")
"),485)</f>
        <v>485</v>
      </c>
      <c r="N139" s="3" t="n">
        <f aca="false">IFERROR(__xludf.dummyfunction("if($T139&lt;&gt;"""",VALUE(REGEXEXTRACT(SUBSTITUTE ($T139,N$1&amp;"" CE"",""""), N$1&amp;""[\w &amp;]*, (\d+\.\d+)"")),"""")
"),480)</f>
        <v>480</v>
      </c>
      <c r="O139" s="3" t="n">
        <f aca="false">IFERROR(__xludf.dummyfunction("if($T139&lt;&gt;"""",VALUE(REGEXEXTRACT($T139, O$1&amp;""[\w &amp;]*, (\d+\.\d+)"")),"""")
"),485)</f>
        <v>485</v>
      </c>
      <c r="P139" s="2" t="n">
        <f aca="false">IFERROR(__xludf.dummyfunction("if($T139&lt;&gt;"""",VALUE(REGEXEXTRACT($T139, P$1&amp;""[\w &amp;]*, (\d+\.\d+)"")),"""")
"),477.84)</f>
        <v>477.84</v>
      </c>
      <c r="Q139" s="2" t="n">
        <f aca="false">IFERROR(__xludf.dummyfunction("if($T139&lt;&gt;"""",VALUE(REGEXEXTRACT($T139, Q$1&amp;""[\w &amp;]*, (\d+\.\d+)"")),"""")
"),471.83)</f>
        <v>471.83</v>
      </c>
      <c r="R139" s="2" t="n">
        <f aca="false">IFERROR(__xludf.dummyfunction("if($T139&lt;&gt;"""",VALUE(REGEXEXTRACT($T139, SUBSTITUTE(R$1, ""+"", ""\+"")&amp;""[\w &amp;]*, (\d+\.\d+)"")),"""")"),489.86)</f>
        <v>489.86</v>
      </c>
      <c r="S139" s="2" t="n">
        <f aca="false">IFERROR(__xludf.dummyfunction("if($T139&lt;&gt;"""",VALUE(REGEXEXTRACT($T139, SUBSTITUTE(S$1, ""+"", ""\+"")&amp;""[\w &amp;]*, (\d+\.\d+)"")),"""")"),495.87)</f>
        <v>495.87</v>
      </c>
      <c r="T139" s="5" t="s">
        <v>556</v>
      </c>
    </row>
    <row r="140" customFormat="false" ht="15.75" hidden="false" customHeight="false" outlineLevel="0" collapsed="false">
      <c r="A140" s="4" t="n">
        <f aca="false">IFERROR(__xludf.dummyfunction("""COMPUTED_VALUE"""),45600.6666666667)</f>
        <v>45600.6666666667</v>
      </c>
      <c r="B140" s="2" t="n">
        <f aca="false">IFERROR(__xludf.dummyfunction("""COMPUTED_VALUE"""),486.82)</f>
        <v>486.82</v>
      </c>
      <c r="C140" s="2" t="n">
        <f aca="false">IFERROR(__xludf.dummyfunction("""COMPUTED_VALUE"""),489.38)</f>
        <v>489.38</v>
      </c>
      <c r="D140" s="2" t="n">
        <f aca="false">IFERROR(__xludf.dummyfunction("""COMPUTED_VALUE"""),484.25)</f>
        <v>484.25</v>
      </c>
      <c r="E140" s="2" t="n">
        <f aca="false">IFERROR(__xludf.dummyfunction("""COMPUTED_VALUE"""),486.01)</f>
        <v>486.01</v>
      </c>
      <c r="F140" s="3" t="n">
        <f aca="false">IFERROR(__xludf.dummyfunction("if($T140&lt;&gt;"""",VALUE(REGEXEXTRACT(SUBSTITUTE ($T140,F$1&amp;"" CE"",""""), F$1&amp;""[\w &amp;]*, (\d+\.\d+)"")),"""")
"),500)</f>
        <v>500</v>
      </c>
      <c r="G140" s="3" t="n">
        <f aca="false">IFERROR(__xludf.dummyfunction("if($T140&lt;&gt;"""",VALUE(REGEXEXTRACT($T140, G$1&amp;""[\w &amp;]*, (\d+\.\d+)"")),"""")
"),492)</f>
        <v>492</v>
      </c>
      <c r="H140" s="3" t="n">
        <f aca="false">IFERROR(__xludf.dummyfunction("if($T140&lt;&gt;"""",VALUE(REGEXEXTRACT($T140, H$1&amp;""[\w &amp;]*, (\d+\.\d+)"")),"""")
"),504)</f>
        <v>504</v>
      </c>
      <c r="I140" s="3" t="n">
        <f aca="false">IFERROR(__xludf.dummyfunction("if($T140&lt;&gt;"""",VALUE(REGEXEXTRACT(SUBSTITUTE ($T140,I$1&amp;"" CE"",""""), I$1&amp;""[\w &amp;]*, (\d+\.\d+)"")),"""")
"),480)</f>
        <v>480</v>
      </c>
      <c r="J140" s="3" t="n">
        <f aca="false">IFERROR(__xludf.dummyfunction("if($T140&lt;&gt;"""",VALUE(REGEXEXTRACT($T140, J$1&amp;""[\w &amp;]*, (\d+\.\d+)"")),"""")
"),487)</f>
        <v>487</v>
      </c>
      <c r="K140" s="3" t="n">
        <f aca="false">IFERROR(__xludf.dummyfunction("if($T140&lt;&gt;"""",VALUE(REGEXEXTRACT($T140, K$1&amp;""[\w &amp;]*, (\d+\.\d+)"")),"""")
"),479)</f>
        <v>479</v>
      </c>
      <c r="L140" s="3" t="n">
        <f aca="false">IFERROR(__xludf.dummyfunction("if($T140&lt;&gt;"""",VALUE(REGEXEXTRACT(SUBSTITUTE ($T140,L$1&amp;"" CE"",""""), L$1&amp;""[\w &amp;]*, (\d+\.\d+)"")),"""")
"),490)</f>
        <v>490</v>
      </c>
      <c r="M140" s="3" t="n">
        <f aca="false">IFERROR(__xludf.dummyfunction("if($T140&lt;&gt;"""",VALUE(REGEXEXTRACT($T140, M$1&amp;""[\w &amp;]*, (\d+\.\d+)"")),"""")
"),487)</f>
        <v>487</v>
      </c>
      <c r="N140" s="3" t="n">
        <f aca="false">IFERROR(__xludf.dummyfunction("if($T140&lt;&gt;"""",VALUE(REGEXEXTRACT(SUBSTITUTE ($T140,N$1&amp;"" CE"",""""), N$1&amp;""[\w &amp;]*, (\d+\.\d+)"")),"""")
"),490)</f>
        <v>490</v>
      </c>
      <c r="O140" s="3" t="n">
        <f aca="false">IFERROR(__xludf.dummyfunction("if($T140&lt;&gt;"""",VALUE(REGEXEXTRACT($T140, O$1&amp;""[\w &amp;]*, (\d+\.\d+)"")),"""")
"),487)</f>
        <v>487</v>
      </c>
      <c r="P140" s="2" t="n">
        <f aca="false">IFERROR(__xludf.dummyfunction("if($T140&lt;&gt;"""",VALUE(REGEXEXTRACT($T140, P$1&amp;""[\w &amp;]*, (\d+\.\d+)"")),"""")
"),481.86)</f>
        <v>481.86</v>
      </c>
      <c r="Q140" s="2" t="n">
        <f aca="false">IFERROR(__xludf.dummyfunction("if($T140&lt;&gt;"""",VALUE(REGEXEXTRACT($T140, Q$1&amp;""[\w &amp;]*, (\d+\.\d+)"")),"""")
"),479.55)</f>
        <v>479.55</v>
      </c>
      <c r="R140" s="2" t="n">
        <f aca="false">IFERROR(__xludf.dummyfunction("if($T140&lt;&gt;"""",VALUE(REGEXEXTRACT($T140, SUBSTITUTE(R$1, ""+"", ""\+"")&amp;""[\w &amp;]*, (\d+\.\d+)"")),"""")"),493)</f>
        <v>493</v>
      </c>
      <c r="S140" s="2" t="n">
        <f aca="false">IFERROR(__xludf.dummyfunction("if($T140&lt;&gt;"""",VALUE(REGEXEXTRACT($T140, SUBSTITUTE(S$1, ""+"", ""\+"")&amp;""[\w &amp;]*, (\d+\.\d+)"")),"""")"),495.31)</f>
        <v>495.31</v>
      </c>
      <c r="T140" s="5" t="s">
        <v>557</v>
      </c>
    </row>
    <row r="141" customFormat="false" ht="15.75" hidden="false" customHeight="false" outlineLevel="0" collapsed="false">
      <c r="A141" s="4" t="n">
        <f aca="false">IFERROR(__xludf.dummyfunction("""COMPUTED_VALUE"""),45601.6666666667)</f>
        <v>45601.6666666667</v>
      </c>
      <c r="B141" s="2" t="n">
        <f aca="false">IFERROR(__xludf.dummyfunction("""COMPUTED_VALUE"""),487.61)</f>
        <v>487.61</v>
      </c>
      <c r="C141" s="2" t="n">
        <f aca="false">IFERROR(__xludf.dummyfunction("""COMPUTED_VALUE"""),492.88)</f>
        <v>492.88</v>
      </c>
      <c r="D141" s="2" t="n">
        <f aca="false">IFERROR(__xludf.dummyfunction("""COMPUTED_VALUE"""),487.52)</f>
        <v>487.52</v>
      </c>
      <c r="E141" s="2" t="n">
        <f aca="false">IFERROR(__xludf.dummyfunction("""COMPUTED_VALUE"""),492.21)</f>
        <v>492.21</v>
      </c>
      <c r="F141" s="3" t="n">
        <f aca="false">IFERROR(__xludf.dummyfunction("if($T141&lt;&gt;"""",VALUE(REGEXEXTRACT(SUBSTITUTE ($T141,F$1&amp;"" CE"",""""), F$1&amp;""[\w &amp;]*, (\d+\.\d+)"")),"""")
"),490)</f>
        <v>490</v>
      </c>
      <c r="G141" s="3" t="n">
        <f aca="false">IFERROR(__xludf.dummyfunction("if($T141&lt;&gt;"""",VALUE(REGEXEXTRACT($T141, G$1&amp;""[\w &amp;]*, (\d+\.\d+)"")),"""")
"),490)</f>
        <v>490</v>
      </c>
      <c r="H141" s="3" t="n">
        <f aca="false">IFERROR(__xludf.dummyfunction("if($T141&lt;&gt;"""",VALUE(REGEXEXTRACT($T141, H$1&amp;""[\w &amp;]*, (\d+\.\d+)"")),"""")
"),504)</f>
        <v>504</v>
      </c>
      <c r="I141" s="3" t="n">
        <f aca="false">IFERROR(__xludf.dummyfunction("if($T141&lt;&gt;"""",VALUE(REGEXEXTRACT(SUBSTITUTE ($T141,I$1&amp;"" CE"",""""), I$1&amp;""[\w &amp;]*, (\d+\.\d+)"")),"""")
"),487)</f>
        <v>487</v>
      </c>
      <c r="J141" s="3" t="n">
        <f aca="false">IFERROR(__xludf.dummyfunction("if($T141&lt;&gt;"""",VALUE(REGEXEXTRACT($T141, J$1&amp;""[\w &amp;]*, (\d+\.\d+)"")),"""")
"),487)</f>
        <v>487</v>
      </c>
      <c r="K141" s="3" t="n">
        <f aca="false">IFERROR(__xludf.dummyfunction("if($T141&lt;&gt;"""",VALUE(REGEXEXTRACT($T141, K$1&amp;""[\w &amp;]*, (\d+\.\d+)"")),"""")
"),479)</f>
        <v>479</v>
      </c>
      <c r="L141" s="3" t="n">
        <f aca="false">IFERROR(__xludf.dummyfunction("if($T141&lt;&gt;"""",VALUE(REGEXEXTRACT(SUBSTITUTE ($T141,L$1&amp;"" CE"",""""), L$1&amp;""[\w &amp;]*, (\d+\.\d+)"")),"""")
"),487.5)</f>
        <v>487.5</v>
      </c>
      <c r="M141" s="3" t="n">
        <f aca="false">IFERROR(__xludf.dummyfunction("if($T141&lt;&gt;"""",VALUE(REGEXEXTRACT($T141, M$1&amp;""[\w &amp;]*, (\d+\.\d+)"")),"""")
"),487)</f>
        <v>487</v>
      </c>
      <c r="N141" s="3" t="n">
        <f aca="false">IFERROR(__xludf.dummyfunction("if($T141&lt;&gt;"""",VALUE(REGEXEXTRACT(SUBSTITUTE ($T141,N$1&amp;"" CE"",""""), N$1&amp;""[\w &amp;]*, (\d+\.\d+)"")),"""")
"),490)</f>
        <v>490</v>
      </c>
      <c r="O141" s="3" t="n">
        <f aca="false">IFERROR(__xludf.dummyfunction("if($T141&lt;&gt;"""",VALUE(REGEXEXTRACT($T141, O$1&amp;""[\w &amp;]*, (\d+\.\d+)"")),"""")
"),487)</f>
        <v>487</v>
      </c>
      <c r="P141" s="2" t="n">
        <f aca="false">IFERROR(__xludf.dummyfunction("if($T141&lt;&gt;"""",VALUE(REGEXEXTRACT($T141, P$1&amp;""[\w &amp;]*, (\d+\.\d+)"")),"""")
"),479.42)</f>
        <v>479.42</v>
      </c>
      <c r="Q141" s="2" t="n">
        <f aca="false">IFERROR(__xludf.dummyfunction("if($T141&lt;&gt;"""",VALUE(REGEXEXTRACT($T141, Q$1&amp;""[\w &amp;]*, (\d+\.\d+)"")),"""")
"),476.69)</f>
        <v>476.69</v>
      </c>
      <c r="R141" s="2" t="n">
        <f aca="false">IFERROR(__xludf.dummyfunction("if($T141&lt;&gt;"""",VALUE(REGEXEXTRACT($T141, SUBSTITUTE(R$1, ""+"", ""\+"")&amp;""[\w &amp;]*, (\d+\.\d+)"")),"""")"),492.6)</f>
        <v>492.6</v>
      </c>
      <c r="S141" s="2" t="n">
        <f aca="false">IFERROR(__xludf.dummyfunction("if($T141&lt;&gt;"""",VALUE(REGEXEXTRACT($T141, SUBSTITUTE(S$1, ""+"", ""\+"")&amp;""[\w &amp;]*, (\d+\.\d+)"")),"""")"),495.33)</f>
        <v>495.33</v>
      </c>
      <c r="T141" s="5" t="s">
        <v>558</v>
      </c>
    </row>
    <row r="142" customFormat="false" ht="15.75" hidden="false" customHeight="false" outlineLevel="0" collapsed="false">
      <c r="A142" s="4" t="n">
        <f aca="false">IFERROR(__xludf.dummyfunction("""COMPUTED_VALUE"""),45602.6666666667)</f>
        <v>45602.6666666667</v>
      </c>
      <c r="B142" s="2" t="n">
        <f aca="false">IFERROR(__xludf.dummyfunction("""COMPUTED_VALUE"""),500.56)</f>
        <v>500.56</v>
      </c>
      <c r="C142" s="2" t="n">
        <f aca="false">IFERROR(__xludf.dummyfunction("""COMPUTED_VALUE"""),506.41)</f>
        <v>506.41</v>
      </c>
      <c r="D142" s="2" t="n">
        <f aca="false">IFERROR(__xludf.dummyfunction("""COMPUTED_VALUE"""),499.6)</f>
        <v>499.6</v>
      </c>
      <c r="E142" s="2" t="n">
        <f aca="false">IFERROR(__xludf.dummyfunction("""COMPUTED_VALUE"""),505.58)</f>
        <v>505.58</v>
      </c>
      <c r="F142" s="3" t="n">
        <f aca="false">IFERROR(__xludf.dummyfunction("if($T142&lt;&gt;"""",VALUE(REGEXEXTRACT(SUBSTITUTE ($T142,F$1&amp;"" CE"",""""), F$1&amp;""[\w &amp;]*, (\d+\.\d+)"")),"""")
"),500)</f>
        <v>500</v>
      </c>
      <c r="G142" s="3" t="n">
        <f aca="false">IFERROR(__xludf.dummyfunction("if($T142&lt;&gt;"""",VALUE(REGEXEXTRACT($T142, G$1&amp;""[\w &amp;]*, (\d+\.\d+)"")),"""")
"),500)</f>
        <v>500</v>
      </c>
      <c r="H142" s="3" t="n">
        <f aca="false">IFERROR(__xludf.dummyfunction("if($T142&lt;&gt;"""",VALUE(REGEXEXTRACT($T142, H$1&amp;""[\w &amp;]*, (\d+\.\d+)"")),"""")
"),504)</f>
        <v>504</v>
      </c>
      <c r="I142" s="3" t="n">
        <f aca="false">IFERROR(__xludf.dummyfunction("if($T142&lt;&gt;"""",VALUE(REGEXEXTRACT(SUBSTITUTE ($T142,I$1&amp;"" CE"",""""), I$1&amp;""[\w &amp;]*, (\d+\.\d+)"")),"""")
"),480)</f>
        <v>480</v>
      </c>
      <c r="J142" s="3" t="n">
        <f aca="false">IFERROR(__xludf.dummyfunction("if($T142&lt;&gt;"""",VALUE(REGEXEXTRACT($T142, J$1&amp;""[\w &amp;]*, (\d+\.\d+)"")),"""")
"),485)</f>
        <v>485</v>
      </c>
      <c r="K142" s="3" t="n">
        <f aca="false">IFERROR(__xludf.dummyfunction("if($T142&lt;&gt;"""",VALUE(REGEXEXTRACT($T142, K$1&amp;""[\w &amp;]*, (\d+\.\d+)"")),"""")
"),478)</f>
        <v>478</v>
      </c>
      <c r="L142" s="3" t="n">
        <f aca="false">IFERROR(__xludf.dummyfunction("if($T142&lt;&gt;"""",VALUE(REGEXEXTRACT(SUBSTITUTE ($T142,L$1&amp;"" CE"",""""), L$1&amp;""[\w &amp;]*, (\d+\.\d+)"")),"""")
"),491)</f>
        <v>491</v>
      </c>
      <c r="M142" s="3" t="n">
        <f aca="false">IFERROR(__xludf.dummyfunction("if($T142&lt;&gt;"""",VALUE(REGEXEXTRACT($T142, M$1&amp;""[\w &amp;]*, (\d+\.\d+)"")),"""")
"),492)</f>
        <v>492</v>
      </c>
      <c r="N142" s="3" t="n">
        <f aca="false">IFERROR(__xludf.dummyfunction("if($T142&lt;&gt;"""",VALUE(REGEXEXTRACT(SUBSTITUTE ($T142,N$1&amp;"" CE"",""""), N$1&amp;""[\w &amp;]*, (\d+\.\d+)"")),"""")
"),500)</f>
        <v>500</v>
      </c>
      <c r="O142" s="3" t="n">
        <f aca="false">IFERROR(__xludf.dummyfunction("if($T142&lt;&gt;"""",VALUE(REGEXEXTRACT($T142, O$1&amp;""[\w &amp;]*, (\d+\.\d+)"")),"""")
"),500)</f>
        <v>500</v>
      </c>
      <c r="P142" s="2" t="n">
        <f aca="false">IFERROR(__xludf.dummyfunction("if($T142&lt;&gt;"""",VALUE(REGEXEXTRACT($T142, P$1&amp;""[\w &amp;]*, (\d+\.\d+)"")),"""")
"),485.83)</f>
        <v>485.83</v>
      </c>
      <c r="Q142" s="2" t="n">
        <f aca="false">IFERROR(__xludf.dummyfunction("if($T142&lt;&gt;"""",VALUE(REGEXEXTRACT($T142, Q$1&amp;""[\w &amp;]*, (\d+\.\d+)"")),"""")
"),483.19)</f>
        <v>483.19</v>
      </c>
      <c r="R142" s="2" t="n">
        <f aca="false">IFERROR(__xludf.dummyfunction("if($T142&lt;&gt;"""",VALUE(REGEXEXTRACT($T142, SUBSTITUTE(R$1, ""+"", ""\+"")&amp;""[\w &amp;]*, (\d+\.\d+)"")),"""")"),498.59)</f>
        <v>498.59</v>
      </c>
      <c r="S142" s="2" t="n">
        <f aca="false">IFERROR(__xludf.dummyfunction("if($T142&lt;&gt;"""",VALUE(REGEXEXTRACT($T142, SUBSTITUTE(S$1, ""+"", ""\+"")&amp;""[\w &amp;]*, (\d+\.\d+)"")),"""")"),501.23)</f>
        <v>501.23</v>
      </c>
      <c r="T142" s="5" t="s">
        <v>559</v>
      </c>
    </row>
    <row r="143" customFormat="false" ht="15.75" hidden="false" customHeight="false" outlineLevel="0" collapsed="false">
      <c r="A143" s="4" t="n">
        <f aca="false">IFERROR(__xludf.dummyfunction("""COMPUTED_VALUE"""),45603.6666666667)</f>
        <v>45603.6666666667</v>
      </c>
      <c r="B143" s="2" t="n">
        <f aca="false">IFERROR(__xludf.dummyfunction("""COMPUTED_VALUE"""),508.4)</f>
        <v>508.4</v>
      </c>
      <c r="C143" s="2" t="n">
        <f aca="false">IFERROR(__xludf.dummyfunction("""COMPUTED_VALUE"""),514.33)</f>
        <v>514.33</v>
      </c>
      <c r="D143" s="2" t="n">
        <f aca="false">IFERROR(__xludf.dummyfunction("""COMPUTED_VALUE"""),508.34)</f>
        <v>508.34</v>
      </c>
      <c r="E143" s="2" t="n">
        <f aca="false">IFERROR(__xludf.dummyfunction("""COMPUTED_VALUE"""),513.54)</f>
        <v>513.54</v>
      </c>
      <c r="F143" s="3" t="n">
        <f aca="false">IFERROR(__xludf.dummyfunction("if($T143&lt;&gt;"""",VALUE(REGEXEXTRACT(SUBSTITUTE ($T143,F$1&amp;"" CE"",""""), F$1&amp;""[\w &amp;]*, (\d+\.\d+)"")),"""")
"),500)</f>
        <v>500</v>
      </c>
      <c r="G143" s="3" t="n">
        <f aca="false">IFERROR(__xludf.dummyfunction("if($T143&lt;&gt;"""",VALUE(REGEXEXTRACT($T143, G$1&amp;""[\w &amp;]*, (\d+\.\d+)"")),"""")
"),511)</f>
        <v>511</v>
      </c>
      <c r="H143" s="3" t="n">
        <f aca="false">IFERROR(__xludf.dummyfunction("if($T143&lt;&gt;"""",VALUE(REGEXEXTRACT($T143, H$1&amp;""[\w &amp;]*, (\d+\.\d+)"")),"""")
"),513)</f>
        <v>513</v>
      </c>
      <c r="I143" s="3" t="n">
        <f aca="false">IFERROR(__xludf.dummyfunction("if($T143&lt;&gt;"""",VALUE(REGEXEXTRACT(SUBSTITUTE ($T143,I$1&amp;"" CE"",""""), I$1&amp;""[\w &amp;]*, (\d+\.\d+)"")),"""")
"),490)</f>
        <v>490</v>
      </c>
      <c r="J143" s="3" t="n">
        <f aca="false">IFERROR(__xludf.dummyfunction("if($T143&lt;&gt;"""",VALUE(REGEXEXTRACT($T143, J$1&amp;""[\w &amp;]*, (\d+\.\d+)"")),"""")
"),499)</f>
        <v>499</v>
      </c>
      <c r="K143" s="3" t="n">
        <f aca="false">IFERROR(__xludf.dummyfunction("if($T143&lt;&gt;"""",VALUE(REGEXEXTRACT($T143, K$1&amp;""[\w &amp;]*, (\d+\.\d+)"")),"""")
"),484)</f>
        <v>484</v>
      </c>
      <c r="L143" s="3" t="n">
        <f aca="false">IFERROR(__xludf.dummyfunction("if($T143&lt;&gt;"""",VALUE(REGEXEXTRACT(SUBSTITUTE ($T143,L$1&amp;"" CE"",""""), L$1&amp;""[\w &amp;]*, (\d+\.\d+)"")),"""")
"),499)</f>
        <v>499</v>
      </c>
      <c r="M143" s="3" t="n">
        <f aca="false">IFERROR(__xludf.dummyfunction("if($T143&lt;&gt;"""",VALUE(REGEXEXTRACT($T143, M$1&amp;""[\w &amp;]*, (\d+\.\d+)"")),"""")
"),503)</f>
        <v>503</v>
      </c>
      <c r="N143" s="3" t="n">
        <f aca="false">IFERROR(__xludf.dummyfunction("if($T143&lt;&gt;"""",VALUE(REGEXEXTRACT(SUBSTITUTE ($T143,N$1&amp;"" CE"",""""), N$1&amp;""[\w &amp;]*, (\d+\.\d+)"")),"""")
"),500)</f>
        <v>500</v>
      </c>
      <c r="O143" s="3" t="n">
        <f aca="false">IFERROR(__xludf.dummyfunction("if($T143&lt;&gt;"""",VALUE(REGEXEXTRACT($T143, O$1&amp;""[\w &amp;]*, (\d+\.\d+)"")),"""")
"),505)</f>
        <v>505</v>
      </c>
      <c r="P143" s="2" t="n">
        <f aca="false">IFERROR(__xludf.dummyfunction("if($T143&lt;&gt;"""",VALUE(REGEXEXTRACT($T143, P$1&amp;""[\w &amp;]*, (\d+\.\d+)"")),"""")
"),501.59)</f>
        <v>501.59</v>
      </c>
      <c r="Q143" s="2" t="n">
        <f aca="false">IFERROR(__xludf.dummyfunction("if($T143&lt;&gt;"""",VALUE(REGEXEXTRACT($T143, Q$1&amp;""[\w &amp;]*, (\d+\.\d+)"")),"""")
"),499.94)</f>
        <v>499.94</v>
      </c>
      <c r="R143" s="2" t="n">
        <f aca="false">IFERROR(__xludf.dummyfunction("if($T143&lt;&gt;"""",VALUE(REGEXEXTRACT($T143, SUBSTITUTE(R$1, ""+"", ""\+"")&amp;""[\w &amp;]*, (\d+\.\d+)"")),"""")"),509.57)</f>
        <v>509.57</v>
      </c>
      <c r="S143" s="2" t="n">
        <f aca="false">IFERROR(__xludf.dummyfunction("if($T143&lt;&gt;"""",VALUE(REGEXEXTRACT($T143, SUBSTITUTE(S$1, ""+"", ""\+"")&amp;""[\w &amp;]*, (\d+\.\d+)"")),"""")"),511.22)</f>
        <v>511.22</v>
      </c>
      <c r="T143" s="5" t="s">
        <v>560</v>
      </c>
    </row>
    <row r="144" customFormat="false" ht="15.75" hidden="false" customHeight="false" outlineLevel="0" collapsed="false">
      <c r="A144" s="4" t="n">
        <f aca="false">IFERROR(__xludf.dummyfunction("""COMPUTED_VALUE"""),45604.6666666667)</f>
        <v>45604.6666666667</v>
      </c>
      <c r="B144" s="2" t="n">
        <f aca="false">IFERROR(__xludf.dummyfunction("""COMPUTED_VALUE"""),513.04)</f>
        <v>513.04</v>
      </c>
      <c r="C144" s="2" t="n">
        <f aca="false">IFERROR(__xludf.dummyfunction("""COMPUTED_VALUE"""),514.92)</f>
        <v>514.92</v>
      </c>
      <c r="D144" s="2" t="n">
        <f aca="false">IFERROR(__xludf.dummyfunction("""COMPUTED_VALUE"""),512.41)</f>
        <v>512.41</v>
      </c>
      <c r="E144" s="2" t="n">
        <f aca="false">IFERROR(__xludf.dummyfunction("""COMPUTED_VALUE"""),514.14)</f>
        <v>514.14</v>
      </c>
      <c r="F144" s="3" t="n">
        <f aca="false">IFERROR(__xludf.dummyfunction("if($T144&lt;&gt;"""",VALUE(REGEXEXTRACT(SUBSTITUTE ($T144,F$1&amp;"" CE"",""""), F$1&amp;""[\w &amp;]*, (\d+\.\d+)"")),"""")
"),515)</f>
        <v>515</v>
      </c>
      <c r="G144" s="3" t="n">
        <f aca="false">IFERROR(__xludf.dummyfunction("if($T144&lt;&gt;"""",VALUE(REGEXEXTRACT($T144, G$1&amp;""[\w &amp;]*, (\d+\.\d+)"")),"""")
"),515)</f>
        <v>515</v>
      </c>
      <c r="H144" s="3" t="n">
        <f aca="false">IFERROR(__xludf.dummyfunction("if($T144&lt;&gt;"""",VALUE(REGEXEXTRACT($T144, H$1&amp;""[\w &amp;]*, (\d+\.\d+)"")),"""")
"),517)</f>
        <v>517</v>
      </c>
      <c r="I144" s="3" t="n">
        <f aca="false">IFERROR(__xludf.dummyfunction("if($T144&lt;&gt;"""",VALUE(REGEXEXTRACT(SUBSTITUTE ($T144,I$1&amp;"" CE"",""""), I$1&amp;""[\w &amp;]*, (\d+\.\d+)"")),"""")
"),510)</f>
        <v>510</v>
      </c>
      <c r="J144" s="3" t="n">
        <f aca="false">IFERROR(__xludf.dummyfunction("if($T144&lt;&gt;"""",VALUE(REGEXEXTRACT($T144, J$1&amp;""[\w &amp;]*, (\d+\.\d+)"")),"""")
"),509)</f>
        <v>509</v>
      </c>
      <c r="K144" s="3" t="n">
        <f aca="false">IFERROR(__xludf.dummyfunction("if($T144&lt;&gt;"""",VALUE(REGEXEXTRACT($T144, K$1&amp;""[\w &amp;]*, (\d+\.\d+)"")),"""")
"),484)</f>
        <v>484</v>
      </c>
      <c r="L144" s="3" t="n">
        <f aca="false">IFERROR(__xludf.dummyfunction("if($T144&lt;&gt;"""",VALUE(REGEXEXTRACT(SUBSTITUTE ($T144,L$1&amp;"" CE"",""""), L$1&amp;""[\w &amp;]*, (\d+\.\d+)"")),"""")
"),509)</f>
        <v>509</v>
      </c>
      <c r="M144" s="3" t="n">
        <f aca="false">IFERROR(__xludf.dummyfunction("if($T144&lt;&gt;"""",VALUE(REGEXEXTRACT($T144, M$1&amp;""[\w &amp;]*, (\d+\.\d+)"")),"""")
"),514)</f>
        <v>514</v>
      </c>
      <c r="N144" s="3" t="n">
        <f aca="false">IFERROR(__xludf.dummyfunction("if($T144&lt;&gt;"""",VALUE(REGEXEXTRACT(SUBSTITUTE ($T144,N$1&amp;"" CE"",""""), N$1&amp;""[\w &amp;]*, (\d+\.\d+)"")),"""")
"),510)</f>
        <v>510</v>
      </c>
      <c r="O144" s="3" t="n">
        <f aca="false">IFERROR(__xludf.dummyfunction("if($T144&lt;&gt;"""",VALUE(REGEXEXTRACT($T144, O$1&amp;""[\w &amp;]*, (\d+\.\d+)"")),"""")
"),510)</f>
        <v>510</v>
      </c>
      <c r="P144" s="2" t="n">
        <f aca="false">IFERROR(__xludf.dummyfunction("if($T144&lt;&gt;"""",VALUE(REGEXEXTRACT($T144, P$1&amp;""[\w &amp;]*, (\d+\.\d+)"")),"""")
"),509.56)</f>
        <v>509.56</v>
      </c>
      <c r="Q144" s="2" t="n">
        <f aca="false">IFERROR(__xludf.dummyfunction("if($T144&lt;&gt;"""",VALUE(REGEXEXTRACT($T144, Q$1&amp;""[\w &amp;]*, (\d+\.\d+)"")),"""")
"),505.58)</f>
        <v>505.58</v>
      </c>
      <c r="R144" s="2" t="n">
        <f aca="false">IFERROR(__xludf.dummyfunction("if($T144&lt;&gt;"""",VALUE(REGEXEXTRACT($T144, SUBSTITUTE(R$1, ""+"", ""\+"")&amp;""[\w &amp;]*, (\d+\.\d+)"")),"""")"),517.52)</f>
        <v>517.52</v>
      </c>
      <c r="S144" s="2" t="n">
        <f aca="false">IFERROR(__xludf.dummyfunction("if($T144&lt;&gt;"""",VALUE(REGEXEXTRACT($T144, SUBSTITUTE(S$1, ""+"", ""\+"")&amp;""[\w &amp;]*, (\d+\.\d+)"")),"""")"),521.5)</f>
        <v>521.5</v>
      </c>
      <c r="T144" s="5" t="s">
        <v>561</v>
      </c>
    </row>
    <row r="145" customFormat="false" ht="15.75" hidden="false" customHeight="false" outlineLevel="0" collapsed="false">
      <c r="A145" s="4" t="n">
        <f aca="false">IFERROR(__xludf.dummyfunction("""COMPUTED_VALUE"""),45607.6666666667)</f>
        <v>45607.6666666667</v>
      </c>
      <c r="B145" s="2" t="n">
        <f aca="false">IFERROR(__xludf.dummyfunction("""COMPUTED_VALUE"""),515.37)</f>
        <v>515.37</v>
      </c>
      <c r="C145" s="2" t="n">
        <f aca="false">IFERROR(__xludf.dummyfunction("""COMPUTED_VALUE"""),515.58)</f>
        <v>515.58</v>
      </c>
      <c r="D145" s="2" t="n">
        <f aca="false">IFERROR(__xludf.dummyfunction("""COMPUTED_VALUE"""),510.92)</f>
        <v>510.92</v>
      </c>
      <c r="E145" s="2" t="n">
        <f aca="false">IFERROR(__xludf.dummyfunction("""COMPUTED_VALUE"""),513.84)</f>
        <v>513.84</v>
      </c>
      <c r="F145" s="3" t="n">
        <f aca="false">IFERROR(__xludf.dummyfunction("if($T145&lt;&gt;"""",VALUE(REGEXEXTRACT(SUBSTITUTE ($T145,F$1&amp;"" CE"",""""), F$1&amp;""[\w &amp;]*, (\d+\.\d+)"")),"""")
"),515)</f>
        <v>515</v>
      </c>
      <c r="G145" s="3" t="n">
        <f aca="false">IFERROR(__xludf.dummyfunction("if($T145&lt;&gt;"""",VALUE(REGEXEXTRACT($T145, G$1&amp;""[\w &amp;]*, (\d+\.\d+)"")),"""")
"),518)</f>
        <v>518</v>
      </c>
      <c r="H145" s="3" t="n">
        <f aca="false">IFERROR(__xludf.dummyfunction("if($T145&lt;&gt;"""",VALUE(REGEXEXTRACT($T145, H$1&amp;""[\w &amp;]*, (\d+\.\d+)"")),"""")
"),517)</f>
        <v>517</v>
      </c>
      <c r="I145" s="3" t="n">
        <f aca="false">IFERROR(__xludf.dummyfunction("if($T145&lt;&gt;"""",VALUE(REGEXEXTRACT(SUBSTITUTE ($T145,I$1&amp;"" CE"",""""), I$1&amp;""[\w &amp;]*, (\d+\.\d+)"")),"""")
"),510)</f>
        <v>510</v>
      </c>
      <c r="J145" s="3" t="n">
        <f aca="false">IFERROR(__xludf.dummyfunction("if($T145&lt;&gt;"""",VALUE(REGEXEXTRACT($T145, J$1&amp;""[\w &amp;]*, (\d+\.\d+)"")),"""")
"),511)</f>
        <v>511</v>
      </c>
      <c r="K145" s="3" t="n">
        <f aca="false">IFERROR(__xludf.dummyfunction("if($T145&lt;&gt;"""",VALUE(REGEXEXTRACT($T145, K$1&amp;""[\w &amp;]*, (\d+\.\d+)"")),"""")
"),484)</f>
        <v>484</v>
      </c>
      <c r="L145" s="3" t="n">
        <f aca="false">IFERROR(__xludf.dummyfunction("if($T145&lt;&gt;"""",VALUE(REGEXEXTRACT(SUBSTITUTE ($T145,L$1&amp;"" CE"",""""), L$1&amp;""[\w &amp;]*, (\d+\.\d+)"")),"""")
"),509)</f>
        <v>509</v>
      </c>
      <c r="M145" s="3" t="n">
        <f aca="false">IFERROR(__xludf.dummyfunction("if($T145&lt;&gt;"""",VALUE(REGEXEXTRACT($T145, M$1&amp;""[\w &amp;]*, (\d+\.\d+)"")),"""")
"),514)</f>
        <v>514</v>
      </c>
      <c r="N145" s="3" t="n">
        <f aca="false">IFERROR(__xludf.dummyfunction("if($T145&lt;&gt;"""",VALUE(REGEXEXTRACT(SUBSTITUTE ($T145,N$1&amp;"" CE"",""""), N$1&amp;""[\w &amp;]*, (\d+\.\d+)"")),"""")
"),510)</f>
        <v>510</v>
      </c>
      <c r="O145" s="3" t="n">
        <f aca="false">IFERROR(__xludf.dummyfunction("if($T145&lt;&gt;"""",VALUE(REGEXEXTRACT($T145, O$1&amp;""[\w &amp;]*, (\d+\.\d+)"")),"""")
"),515)</f>
        <v>515</v>
      </c>
      <c r="P145" s="2" t="n">
        <f aca="false">IFERROR(__xludf.dummyfunction("if($T145&lt;&gt;"""",VALUE(REGEXEXTRACT($T145, P$1&amp;""[\w &amp;]*, (\d+\.\d+)"")),"""")
"),510.56)</f>
        <v>510.56</v>
      </c>
      <c r="Q145" s="2" t="n">
        <f aca="false">IFERROR(__xludf.dummyfunction("if($T145&lt;&gt;"""",VALUE(REGEXEXTRACT($T145, Q$1&amp;""[\w &amp;]*, (\d+\.\d+)"")),"""")
"),509.07)</f>
        <v>509.07</v>
      </c>
      <c r="R145" s="2" t="n">
        <f aca="false">IFERROR(__xludf.dummyfunction("if($T145&lt;&gt;"""",VALUE(REGEXEXTRACT($T145, SUBSTITUTE(R$1, ""+"", ""\+"")&amp;""[\w &amp;]*, (\d+\.\d+)"")),"""")"),517.72)</f>
        <v>517.72</v>
      </c>
      <c r="S145" s="2" t="n">
        <f aca="false">IFERROR(__xludf.dummyfunction("if($T145&lt;&gt;"""",VALUE(REGEXEXTRACT($T145, SUBSTITUTE(S$1, ""+"", ""\+"")&amp;""[\w &amp;]*, (\d+\.\d+)"")),"""")"),519.21)</f>
        <v>519.21</v>
      </c>
      <c r="T145" s="5" t="s">
        <v>562</v>
      </c>
    </row>
    <row r="146" customFormat="false" ht="15.75" hidden="false" customHeight="false" outlineLevel="0" collapsed="false">
      <c r="A146" s="4" t="n">
        <f aca="false">IFERROR(__xludf.dummyfunction("""COMPUTED_VALUE"""),45608.6666666667)</f>
        <v>45608.6666666667</v>
      </c>
      <c r="B146" s="2" t="n">
        <f aca="false">IFERROR(__xludf.dummyfunction("""COMPUTED_VALUE"""),513.77)</f>
        <v>513.77</v>
      </c>
      <c r="C146" s="2" t="n">
        <f aca="false">IFERROR(__xludf.dummyfunction("""COMPUTED_VALUE"""),514.66)</f>
        <v>514.66</v>
      </c>
      <c r="D146" s="2" t="n">
        <f aca="false">IFERROR(__xludf.dummyfunction("""COMPUTED_VALUE"""),509.83)</f>
        <v>509.83</v>
      </c>
      <c r="E146" s="2" t="n">
        <f aca="false">IFERROR(__xludf.dummyfunction("""COMPUTED_VALUE"""),512.91)</f>
        <v>512.91</v>
      </c>
      <c r="F146" s="3" t="n">
        <f aca="false">IFERROR(__xludf.dummyfunction("if($T146&lt;&gt;"""",VALUE(REGEXEXTRACT(SUBSTITUTE ($T146,F$1&amp;"" CE"",""""), F$1&amp;""[\w &amp;]*, (\d+\.\d+)"")),"""")
"),515)</f>
        <v>515</v>
      </c>
      <c r="G146" s="3" t="n">
        <f aca="false">IFERROR(__xludf.dummyfunction("if($T146&lt;&gt;"""",VALUE(REGEXEXTRACT($T146, G$1&amp;""[\w &amp;]*, (\d+\.\d+)"")),"""")
"),516)</f>
        <v>516</v>
      </c>
      <c r="H146" s="3" t="n">
        <f aca="false">IFERROR(__xludf.dummyfunction("if($T146&lt;&gt;"""",VALUE(REGEXEXTRACT($T146, H$1&amp;""[\w &amp;]*, (\d+\.\d+)"")),"""")
"),518)</f>
        <v>518</v>
      </c>
      <c r="I146" s="3" t="n">
        <f aca="false">IFERROR(__xludf.dummyfunction("if($T146&lt;&gt;"""",VALUE(REGEXEXTRACT(SUBSTITUTE ($T146,I$1&amp;"" CE"",""""), I$1&amp;""[\w &amp;]*, (\d+\.\d+)"")),"""")
"),510)</f>
        <v>510</v>
      </c>
      <c r="J146" s="3" t="n">
        <f aca="false">IFERROR(__xludf.dummyfunction("if($T146&lt;&gt;"""",VALUE(REGEXEXTRACT($T146, J$1&amp;""[\w &amp;]*, (\d+\.\d+)"")),"""")
"),512)</f>
        <v>512</v>
      </c>
      <c r="K146" s="3" t="n">
        <f aca="false">IFERROR(__xludf.dummyfunction("if($T146&lt;&gt;"""",VALUE(REGEXEXTRACT($T146, K$1&amp;""[\w &amp;]*, (\d+\.\d+)"")),"""")
"),498)</f>
        <v>498</v>
      </c>
      <c r="L146" s="3" t="n">
        <f aca="false">IFERROR(__xludf.dummyfunction("if($T146&lt;&gt;"""",VALUE(REGEXEXTRACT(SUBSTITUTE ($T146,L$1&amp;"" CE"",""""), L$1&amp;""[\w &amp;]*, (\d+\.\d+)"")),"""")
"),509)</f>
        <v>509</v>
      </c>
      <c r="M146" s="3" t="n">
        <f aca="false">IFERROR(__xludf.dummyfunction("if($T146&lt;&gt;"""",VALUE(REGEXEXTRACT($T146, M$1&amp;""[\w &amp;]*, (\d+\.\d+)"")),"""")
"),513)</f>
        <v>513</v>
      </c>
      <c r="N146" s="3" t="n">
        <f aca="false">IFERROR(__xludf.dummyfunction("if($T146&lt;&gt;"""",VALUE(REGEXEXTRACT(SUBSTITUTE ($T146,N$1&amp;"" CE"",""""), N$1&amp;""[\w &amp;]*, (\d+\.\d+)"")),"""")
"),510)</f>
        <v>510</v>
      </c>
      <c r="O146" s="3" t="n">
        <f aca="false">IFERROR(__xludf.dummyfunction("if($T146&lt;&gt;"""",VALUE(REGEXEXTRACT($T146, O$1&amp;""[\w &amp;]*, (\d+\.\d+)"")),"""")
"),510)</f>
        <v>510</v>
      </c>
      <c r="P146" s="2" t="n">
        <f aca="false">IFERROR(__xludf.dummyfunction("if($T146&lt;&gt;"""",VALUE(REGEXEXTRACT($T146, P$1&amp;""[\w &amp;]*, (\d+\.\d+)"")),"""")
"),510.12)</f>
        <v>510.12</v>
      </c>
      <c r="Q146" s="2" t="n">
        <f aca="false">IFERROR(__xludf.dummyfunction("if($T146&lt;&gt;"""",VALUE(REGEXEXTRACT($T146, Q$1&amp;""[\w &amp;]*, (\d+\.\d+)"")),"""")
"),508.58)</f>
        <v>508.58</v>
      </c>
      <c r="R146" s="2" t="n">
        <f aca="false">IFERROR(__xludf.dummyfunction("if($T146&lt;&gt;"""",VALUE(REGEXEXTRACT($T146, SUBSTITUTE(R$1, ""+"", ""\+"")&amp;""[\w &amp;]*, (\d+\.\d+)"")),"""")"),517.56)</f>
        <v>517.56</v>
      </c>
      <c r="S146" s="2" t="n">
        <f aca="false">IFERROR(__xludf.dummyfunction("if($T146&lt;&gt;"""",VALUE(REGEXEXTRACT($T146, SUBSTITUTE(S$1, ""+"", ""\+"")&amp;""[\w &amp;]*, (\d+\.\d+)"")),"""")"),519.1)</f>
        <v>519.1</v>
      </c>
      <c r="T146" s="5" t="s">
        <v>563</v>
      </c>
    </row>
    <row r="147" customFormat="false" ht="15.75" hidden="false" customHeight="false" outlineLevel="0" collapsed="false">
      <c r="A147" s="4" t="n">
        <f aca="false">IFERROR(__xludf.dummyfunction("""COMPUTED_VALUE"""),45609.6666666667)</f>
        <v>45609.6666666667</v>
      </c>
      <c r="B147" s="2" t="n">
        <f aca="false">IFERROR(__xludf.dummyfunction("""COMPUTED_VALUE"""),512.4)</f>
        <v>512.4</v>
      </c>
      <c r="C147" s="2" t="n">
        <f aca="false">IFERROR(__xludf.dummyfunction("""COMPUTED_VALUE"""),514.98)</f>
        <v>514.98</v>
      </c>
      <c r="D147" s="2" t="n">
        <f aca="false">IFERROR(__xludf.dummyfunction("""COMPUTED_VALUE"""),509.95)</f>
        <v>509.95</v>
      </c>
      <c r="E147" s="2" t="n">
        <f aca="false">IFERROR(__xludf.dummyfunction("""COMPUTED_VALUE"""),512.25)</f>
        <v>512.25</v>
      </c>
      <c r="F147" s="3" t="n">
        <f aca="false">IFERROR(__xludf.dummyfunction("if($T147&lt;&gt;"""",VALUE(REGEXEXTRACT(SUBSTITUTE ($T147,F$1&amp;"" CE"",""""), F$1&amp;""[\w &amp;]*, (\d+\.\d+)"")),"""")
"),515)</f>
        <v>515</v>
      </c>
      <c r="G147" s="3" t="n">
        <f aca="false">IFERROR(__xludf.dummyfunction("if($T147&lt;&gt;"""",VALUE(REGEXEXTRACT($T147, G$1&amp;""[\w &amp;]*, (\d+\.\d+)"")),"""")
"),517)</f>
        <v>517</v>
      </c>
      <c r="H147" s="3" t="n">
        <f aca="false">IFERROR(__xludf.dummyfunction("if($T147&lt;&gt;"""",VALUE(REGEXEXTRACT($T147, H$1&amp;""[\w &amp;]*, (\d+\.\d+)"")),"""")
"),524)</f>
        <v>524</v>
      </c>
      <c r="I147" s="3" t="n">
        <f aca="false">IFERROR(__xludf.dummyfunction("if($T147&lt;&gt;"""",VALUE(REGEXEXTRACT(SUBSTITUTE ($T147,I$1&amp;"" CE"",""""), I$1&amp;""[\w &amp;]*, (\d+\.\d+)"")),"""")
"),500)</f>
        <v>500</v>
      </c>
      <c r="J147" s="3" t="n">
        <f aca="false">IFERROR(__xludf.dummyfunction("if($T147&lt;&gt;"""",VALUE(REGEXEXTRACT($T147, J$1&amp;""[\w &amp;]*, (\d+\.\d+)"")),"""")
"),507)</f>
        <v>507</v>
      </c>
      <c r="K147" s="3" t="n">
        <f aca="false">IFERROR(__xludf.dummyfunction("if($T147&lt;&gt;"""",VALUE(REGEXEXTRACT($T147, K$1&amp;""[\w &amp;]*, (\d+\.\d+)"")),"""")
"),498)</f>
        <v>498</v>
      </c>
      <c r="L147" s="3" t="n">
        <f aca="false">IFERROR(__xludf.dummyfunction("if($T147&lt;&gt;"""",VALUE(REGEXEXTRACT(SUBSTITUTE ($T147,L$1&amp;"" CE"",""""), L$1&amp;""[\w &amp;]*, (\d+\.\d+)"")),"""")
"),509)</f>
        <v>509</v>
      </c>
      <c r="M147" s="3" t="n">
        <f aca="false">IFERROR(__xludf.dummyfunction("if($T147&lt;&gt;"""",VALUE(REGEXEXTRACT($T147, M$1&amp;""[\w &amp;]*, (\d+\.\d+)"")),"""")
"),512)</f>
        <v>512</v>
      </c>
      <c r="N147" s="3" t="n">
        <f aca="false">IFERROR(__xludf.dummyfunction("if($T147&lt;&gt;"""",VALUE(REGEXEXTRACT(SUBSTITUTE ($T147,N$1&amp;"" CE"",""""), N$1&amp;""[\w &amp;]*, (\d+\.\d+)"")),"""")
"),510)</f>
        <v>510</v>
      </c>
      <c r="O147" s="3" t="n">
        <f aca="false">IFERROR(__xludf.dummyfunction("if($T147&lt;&gt;"""",VALUE(REGEXEXTRACT($T147, O$1&amp;""[\w &amp;]*, (\d+\.\d+)"")),"""")
"),513)</f>
        <v>513</v>
      </c>
      <c r="P147" s="2" t="n">
        <f aca="false">IFERROR(__xludf.dummyfunction("if($T147&lt;&gt;"""",VALUE(REGEXEXTRACT($T147, P$1&amp;""[\w &amp;]*, (\d+\.\d+)"")),"""")
"),508.73)</f>
        <v>508.73</v>
      </c>
      <c r="Q147" s="2" t="n">
        <f aca="false">IFERROR(__xludf.dummyfunction("if($T147&lt;&gt;"""",VALUE(REGEXEXTRACT($T147, Q$1&amp;""[\w &amp;]*, (\d+\.\d+)"")),"""")
"),507)</f>
        <v>507</v>
      </c>
      <c r="R147" s="2" t="n">
        <f aca="false">IFERROR(__xludf.dummyfunction("if($T147&lt;&gt;"""",VALUE(REGEXEXTRACT($T147, SUBSTITUTE(R$1, ""+"", ""\+"")&amp;""[\w &amp;]*, (\d+\.\d+)"")),"""")"),517.09)</f>
        <v>517.09</v>
      </c>
      <c r="S147" s="2" t="n">
        <f aca="false">IFERROR(__xludf.dummyfunction("if($T147&lt;&gt;"""",VALUE(REGEXEXTRACT($T147, SUBSTITUTE(S$1, ""+"", ""\+"")&amp;""[\w &amp;]*, (\d+\.\d+)"")),"""")"),518.82)</f>
        <v>518.82</v>
      </c>
      <c r="T147" s="5" t="s">
        <v>564</v>
      </c>
    </row>
    <row r="148" customFormat="false" ht="15.75" hidden="false" customHeight="false" outlineLevel="0" collapsed="false">
      <c r="A148" s="4" t="n">
        <f aca="false">IFERROR(__xludf.dummyfunction("""COMPUTED_VALUE"""),45610.6666666667)</f>
        <v>45610.6666666667</v>
      </c>
      <c r="B148" s="2" t="n">
        <f aca="false">IFERROR(__xludf.dummyfunction("""COMPUTED_VALUE"""),511.91)</f>
        <v>511.91</v>
      </c>
      <c r="C148" s="2" t="n">
        <f aca="false">IFERROR(__xludf.dummyfunction("""COMPUTED_VALUE"""),512.79)</f>
        <v>512.79</v>
      </c>
      <c r="D148" s="2" t="n">
        <f aca="false">IFERROR(__xludf.dummyfunction("""COMPUTED_VALUE"""),507.77)</f>
        <v>507.77</v>
      </c>
      <c r="E148" s="2" t="n">
        <f aca="false">IFERROR(__xludf.dummyfunction("""COMPUTED_VALUE"""),508.69)</f>
        <v>508.69</v>
      </c>
      <c r="F148" s="3" t="n">
        <f aca="false">IFERROR(__xludf.dummyfunction("if($T148&lt;&gt;"""",VALUE(REGEXEXTRACT(SUBSTITUTE ($T148,F$1&amp;"" CE"",""""), F$1&amp;""[\w &amp;]*, (\d+\.\d+)"")),"""")
"),515)</f>
        <v>515</v>
      </c>
      <c r="G148" s="3" t="n">
        <f aca="false">IFERROR(__xludf.dummyfunction("if($T148&lt;&gt;"""",VALUE(REGEXEXTRACT($T148, G$1&amp;""[\w &amp;]*, (\d+\.\d+)"")),"""")
"),516)</f>
        <v>516</v>
      </c>
      <c r="H148" s="3" t="n">
        <f aca="false">IFERROR(__xludf.dummyfunction("if($T148&lt;&gt;"""",VALUE(REGEXEXTRACT($T148, H$1&amp;""[\w &amp;]*, (\d+\.\d+)"")),"""")
"),518)</f>
        <v>518</v>
      </c>
      <c r="I148" s="3" t="n">
        <f aca="false">IFERROR(__xludf.dummyfunction("if($T148&lt;&gt;"""",VALUE(REGEXEXTRACT(SUBSTITUTE ($T148,I$1&amp;"" CE"",""""), I$1&amp;""[\w &amp;]*, (\d+\.\d+)"")),"""")
"),510)</f>
        <v>510</v>
      </c>
      <c r="J148" s="3" t="n">
        <f aca="false">IFERROR(__xludf.dummyfunction("if($T148&lt;&gt;"""",VALUE(REGEXEXTRACT($T148, J$1&amp;""[\w &amp;]*, (\d+\.\d+)"")),"""")
"),510)</f>
        <v>510</v>
      </c>
      <c r="K148" s="3" t="n">
        <f aca="false">IFERROR(__xludf.dummyfunction("if($T148&lt;&gt;"""",VALUE(REGEXEXTRACT($T148, K$1&amp;""[\w &amp;]*, (\d+\.\d+)"")),"""")
"),498)</f>
        <v>498</v>
      </c>
      <c r="L148" s="3" t="n">
        <f aca="false">IFERROR(__xludf.dummyfunction("if($T148&lt;&gt;"""",VALUE(REGEXEXTRACT(SUBSTITUTE ($T148,L$1&amp;"" CE"",""""), L$1&amp;""[\w &amp;]*, (\d+\.\d+)"")),"""")
"),510)</f>
        <v>510</v>
      </c>
      <c r="M148" s="3" t="n">
        <f aca="false">IFERROR(__xludf.dummyfunction("if($T148&lt;&gt;"""",VALUE(REGEXEXTRACT($T148, M$1&amp;""[\w &amp;]*, (\d+\.\d+)"")),"""")
"),510)</f>
        <v>510</v>
      </c>
      <c r="N148" s="3" t="n">
        <f aca="false">IFERROR(__xludf.dummyfunction("if($T148&lt;&gt;"""",VALUE(REGEXEXTRACT(SUBSTITUTE ($T148,N$1&amp;"" CE"",""""), N$1&amp;""[\w &amp;]*, (\d+\.\d+)"")),"""")
"),510)</f>
        <v>510</v>
      </c>
      <c r="O148" s="3" t="n">
        <f aca="false">IFERROR(__xludf.dummyfunction("if($T148&lt;&gt;"""",VALUE(REGEXEXTRACT($T148, O$1&amp;""[\w &amp;]*, (\d+\.\d+)"")),"""")
"),513)</f>
        <v>513</v>
      </c>
      <c r="P148" s="2" t="n">
        <f aca="false">IFERROR(__xludf.dummyfunction("if($T148&lt;&gt;"""",VALUE(REGEXEXTRACT($T148, P$1&amp;""[\w &amp;]*, (\d+\.\d+)"")),"""")
"),508.02)</f>
        <v>508.02</v>
      </c>
      <c r="Q148" s="2" t="n">
        <f aca="false">IFERROR(__xludf.dummyfunction("if($T148&lt;&gt;"""",VALUE(REGEXEXTRACT($T148, Q$1&amp;""[\w &amp;]*, (\d+\.\d+)"")),"""")
"),506.27)</f>
        <v>506.27</v>
      </c>
      <c r="R148" s="2" t="n">
        <f aca="false">IFERROR(__xludf.dummyfunction("if($T148&lt;&gt;"""",VALUE(REGEXEXTRACT($T148, SUBSTITUTE(R$1, ""+"", ""\+"")&amp;""[\w &amp;]*, (\d+\.\d+)"")),"""")"),516.48)</f>
        <v>516.48</v>
      </c>
      <c r="S148" s="2" t="n">
        <f aca="false">IFERROR(__xludf.dummyfunction("if($T148&lt;&gt;"""",VALUE(REGEXEXTRACT($T148, SUBSTITUTE(S$1, ""+"", ""\+"")&amp;""[\w &amp;]*, (\d+\.\d+)"")),"""")"),518.23)</f>
        <v>518.23</v>
      </c>
      <c r="T148" s="5" t="s">
        <v>565</v>
      </c>
    </row>
    <row r="149" customFormat="false" ht="15.75" hidden="false" customHeight="false" outlineLevel="0" collapsed="false">
      <c r="A149" s="4" t="n">
        <f aca="false">IFERROR(__xludf.dummyfunction("""COMPUTED_VALUE"""),45611.6666666667)</f>
        <v>45611.6666666667</v>
      </c>
      <c r="B149" s="2" t="n">
        <f aca="false">IFERROR(__xludf.dummyfunction("""COMPUTED_VALUE"""),502.94)</f>
        <v>502.94</v>
      </c>
      <c r="C149" s="2" t="n">
        <f aca="false">IFERROR(__xludf.dummyfunction("""COMPUTED_VALUE"""),503.33)</f>
        <v>503.33</v>
      </c>
      <c r="D149" s="2" t="n">
        <f aca="false">IFERROR(__xludf.dummyfunction("""COMPUTED_VALUE"""),494.49)</f>
        <v>494.49</v>
      </c>
      <c r="E149" s="2" t="n">
        <f aca="false">IFERROR(__xludf.dummyfunction("""COMPUTED_VALUE"""),496.57)</f>
        <v>496.57</v>
      </c>
      <c r="F149" s="3" t="n">
        <f aca="false">IFERROR(__xludf.dummyfunction("if($T149&lt;&gt;"""",VALUE(REGEXEXTRACT(SUBSTITUTE ($T149,F$1&amp;"" CE"",""""), F$1&amp;""[\w &amp;]*, (\d+\.\d+)"")),"""")
"),510)</f>
        <v>510</v>
      </c>
      <c r="G149" s="3" t="n">
        <f aca="false">IFERROR(__xludf.dummyfunction("if($T149&lt;&gt;"""",VALUE(REGEXEXTRACT($T149, G$1&amp;""[\w &amp;]*, (\d+\.\d+)"")),"""")
"),515)</f>
        <v>515</v>
      </c>
      <c r="H149" s="3" t="n">
        <f aca="false">IFERROR(__xludf.dummyfunction("if($T149&lt;&gt;"""",VALUE(REGEXEXTRACT($T149, H$1&amp;""[\w &amp;]*, (\d+\.\d+)"")),"""")
"),523)</f>
        <v>523</v>
      </c>
      <c r="I149" s="3" t="n">
        <f aca="false">IFERROR(__xludf.dummyfunction("if($T149&lt;&gt;"""",VALUE(REGEXEXTRACT(SUBSTITUTE ($T149,I$1&amp;"" CE"",""""), I$1&amp;""[\w &amp;]*, (\d+\.\d+)"")),"""")
"),500)</f>
        <v>500</v>
      </c>
      <c r="J149" s="3" t="n">
        <f aca="false">IFERROR(__xludf.dummyfunction("if($T149&lt;&gt;"""",VALUE(REGEXEXTRACT($T149, J$1&amp;""[\w &amp;]*, (\d+\.\d+)"")),"""")
"),500)</f>
        <v>500</v>
      </c>
      <c r="K149" s="3" t="n">
        <f aca="false">IFERROR(__xludf.dummyfunction("if($T149&lt;&gt;"""",VALUE(REGEXEXTRACT($T149, K$1&amp;""[\w &amp;]*, (\d+\.\d+)"")),"""")
"),498)</f>
        <v>498</v>
      </c>
      <c r="L149" s="3" t="n">
        <f aca="false">IFERROR(__xludf.dummyfunction("if($T149&lt;&gt;"""",VALUE(REGEXEXTRACT(SUBSTITUTE ($T149,L$1&amp;"" CE"",""""), L$1&amp;""[\w &amp;]*, (\d+\.\d+)"")),"""")
"),509)</f>
        <v>509</v>
      </c>
      <c r="M149" s="3" t="n">
        <f aca="false">IFERROR(__xludf.dummyfunction("if($T149&lt;&gt;"""",VALUE(REGEXEXTRACT($T149, M$1&amp;""[\w &amp;]*, (\d+\.\d+)"")),"""")
"),509)</f>
        <v>509</v>
      </c>
      <c r="N149" s="3" t="n">
        <f aca="false">IFERROR(__xludf.dummyfunction("if($T149&lt;&gt;"""",VALUE(REGEXEXTRACT(SUBSTITUTE ($T149,N$1&amp;"" CE"",""""), N$1&amp;""[\w &amp;]*, (\d+\.\d+)"")),"""")
"),510)</f>
        <v>510</v>
      </c>
      <c r="O149" s="3" t="n">
        <f aca="false">IFERROR(__xludf.dummyfunction("if($T149&lt;&gt;"""",VALUE(REGEXEXTRACT($T149, O$1&amp;""[\w &amp;]*, (\d+\.\d+)"")),"""")
"),510)</f>
        <v>510</v>
      </c>
      <c r="P149" s="2" t="n">
        <f aca="false">IFERROR(__xludf.dummyfunction("if($T149&lt;&gt;"""",VALUE(REGEXEXTRACT($T149, P$1&amp;""[\w &amp;]*, (\d+\.\d+)"")),"""")
"),504.5)</f>
        <v>504.5</v>
      </c>
      <c r="Q149" s="2" t="n">
        <f aca="false">IFERROR(__xludf.dummyfunction("if($T149&lt;&gt;"""",VALUE(REGEXEXTRACT($T149, Q$1&amp;""[\w &amp;]*, (\d+\.\d+)"")),"""")
"),500.32)</f>
        <v>500.32</v>
      </c>
      <c r="R149" s="2" t="n">
        <f aca="false">IFERROR(__xludf.dummyfunction("if($T149&lt;&gt;"""",VALUE(REGEXEXTRACT($T149, SUBSTITUTE(R$1, ""+"", ""\+"")&amp;""[\w &amp;]*, (\d+\.\d+)"")),"""")"),512.88)</f>
        <v>512.88</v>
      </c>
      <c r="S149" s="2" t="n">
        <f aca="false">IFERROR(__xludf.dummyfunction("if($T149&lt;&gt;"""",VALUE(REGEXEXTRACT($T149, SUBSTITUTE(S$1, ""+"", ""\+"")&amp;""[\w &amp;]*, (\d+\.\d+)"")),"""")"),517.06)</f>
        <v>517.06</v>
      </c>
      <c r="T149" s="5" t="s">
        <v>566</v>
      </c>
    </row>
    <row r="150" customFormat="false" ht="15.75" hidden="false" customHeight="false" outlineLevel="0" collapsed="false">
      <c r="A150" s="4" t="n">
        <f aca="false">IFERROR(__xludf.dummyfunction("""COMPUTED_VALUE"""),45614.6666666667)</f>
        <v>45614.6666666667</v>
      </c>
      <c r="B150" s="2" t="n">
        <f aca="false">IFERROR(__xludf.dummyfunction("""COMPUTED_VALUE"""),498.13)</f>
        <v>498.13</v>
      </c>
      <c r="C150" s="2" t="n">
        <f aca="false">IFERROR(__xludf.dummyfunction("""COMPUTED_VALUE"""),502.14)</f>
        <v>502.14</v>
      </c>
      <c r="D150" s="2" t="n">
        <f aca="false">IFERROR(__xludf.dummyfunction("""COMPUTED_VALUE"""),496.73)</f>
        <v>496.73</v>
      </c>
      <c r="E150" s="2" t="n">
        <f aca="false">IFERROR(__xludf.dummyfunction("""COMPUTED_VALUE"""),500.02)</f>
        <v>500.02</v>
      </c>
      <c r="F150" s="3" t="n">
        <f aca="false">IFERROR(__xludf.dummyfunction("if($T150&lt;&gt;"""",VALUE(REGEXEXTRACT(SUBSTITUTE ($T150,F$1&amp;"" CE"",""""), F$1&amp;""[\w &amp;]*, (\d+\.\d+)"")),"""")
"),500)</f>
        <v>500</v>
      </c>
      <c r="G150" s="3" t="n">
        <f aca="false">IFERROR(__xludf.dummyfunction("if($T150&lt;&gt;"""",VALUE(REGEXEXTRACT($T150, G$1&amp;""[\w &amp;]*, (\d+\.\d+)"")),"""")
"),500)</f>
        <v>500</v>
      </c>
      <c r="H150" s="3" t="n">
        <f aca="false">IFERROR(__xludf.dummyfunction("if($T150&lt;&gt;"""",VALUE(REGEXEXTRACT($T150, H$1&amp;""[\w &amp;]*, (\d+\.\d+)"")),"""")
"),502)</f>
        <v>502</v>
      </c>
      <c r="I150" s="3" t="n">
        <f aca="false">IFERROR(__xludf.dummyfunction("if($T150&lt;&gt;"""",VALUE(REGEXEXTRACT(SUBSTITUTE ($T150,I$1&amp;"" CE"",""""), I$1&amp;""[\w &amp;]*, (\d+\.\d+)"")),"""")
"),490)</f>
        <v>490</v>
      </c>
      <c r="J150" s="3" t="n">
        <f aca="false">IFERROR(__xludf.dummyfunction("if($T150&lt;&gt;"""",VALUE(REGEXEXTRACT($T150, J$1&amp;""[\w &amp;]*, (\d+\.\d+)"")),"""")
"),495)</f>
        <v>495</v>
      </c>
      <c r="K150" s="3" t="n">
        <f aca="false">IFERROR(__xludf.dummyfunction("if($T150&lt;&gt;"""",VALUE(REGEXEXTRACT($T150, K$1&amp;""[\w &amp;]*, (\d+\.\d+)"")),"""")
"),484)</f>
        <v>484</v>
      </c>
      <c r="L150" s="3" t="n">
        <f aca="false">IFERROR(__xludf.dummyfunction("if($T150&lt;&gt;"""",VALUE(REGEXEXTRACT(SUBSTITUTE ($T150,L$1&amp;"" CE"",""""), L$1&amp;""[\w &amp;]*, (\d+\.\d+)"")),"""")
"),496)</f>
        <v>496</v>
      </c>
      <c r="M150" s="3" t="n">
        <f aca="false">IFERROR(__xludf.dummyfunction("if($T150&lt;&gt;"""",VALUE(REGEXEXTRACT($T150, M$1&amp;""[\w &amp;]*, (\d+\.\d+)"")),"""")
"),496)</f>
        <v>496</v>
      </c>
      <c r="N150" s="3" t="n">
        <f aca="false">IFERROR(__xludf.dummyfunction("if($T150&lt;&gt;"""",VALUE(REGEXEXTRACT(SUBSTITUTE ($T150,N$1&amp;"" CE"",""""), N$1&amp;""[\w &amp;]*, (\d+\.\d+)"")),"""")
"),500)</f>
        <v>500</v>
      </c>
      <c r="O150" s="3" t="n">
        <f aca="false">IFERROR(__xludf.dummyfunction("if($T150&lt;&gt;"""",VALUE(REGEXEXTRACT($T150, O$1&amp;""[\w &amp;]*, (\d+\.\d+)"")),"""")
"),500)</f>
        <v>500</v>
      </c>
      <c r="P150" s="2" t="n">
        <f aca="false">IFERROR(__xludf.dummyfunction("if($T150&lt;&gt;"""",VALUE(REGEXEXTRACT($T150, P$1&amp;""[\w &amp;]*, (\d+\.\d+)"")),"""")
"),492.3)</f>
        <v>492.3</v>
      </c>
      <c r="Q150" s="2" t="n">
        <f aca="false">IFERROR(__xludf.dummyfunction("if($T150&lt;&gt;"""",VALUE(REGEXEXTRACT($T150, Q$1&amp;""[\w &amp;]*, (\d+\.\d+)"")),"""")
"),490.53)</f>
        <v>490.53</v>
      </c>
      <c r="R150" s="2" t="n">
        <f aca="false">IFERROR(__xludf.dummyfunction("if($T150&lt;&gt;"""",VALUE(REGEXEXTRACT($T150, SUBSTITUTE(R$1, ""+"", ""\+"")&amp;""[\w &amp;]*, (\d+\.\d+)"")),"""")"),500.84)</f>
        <v>500.84</v>
      </c>
      <c r="S150" s="2" t="n">
        <f aca="false">IFERROR(__xludf.dummyfunction("if($T150&lt;&gt;"""",VALUE(REGEXEXTRACT($T150, SUBSTITUTE(S$1, ""+"", ""\+"")&amp;""[\w &amp;]*, (\d+\.\d+)"")),"""")"),502.61)</f>
        <v>502.61</v>
      </c>
      <c r="T150" s="5" t="s">
        <v>567</v>
      </c>
    </row>
    <row r="151" customFormat="false" ht="15.75" hidden="false" customHeight="false" outlineLevel="0" collapsed="false">
      <c r="A151" s="4" t="n">
        <f aca="false">IFERROR(__xludf.dummyfunction("""COMPUTED_VALUE"""),45615.6666666667)</f>
        <v>45615.6666666667</v>
      </c>
      <c r="B151" s="2" t="n">
        <f aca="false">IFERROR(__xludf.dummyfunction("""COMPUTED_VALUE"""),497.42)</f>
        <v>497.42</v>
      </c>
      <c r="C151" s="2" t="n">
        <f aca="false">IFERROR(__xludf.dummyfunction("""COMPUTED_VALUE"""),503.95)</f>
        <v>503.95</v>
      </c>
      <c r="D151" s="2" t="n">
        <f aca="false">IFERROR(__xludf.dummyfunction("""COMPUTED_VALUE"""),497.08)</f>
        <v>497.08</v>
      </c>
      <c r="E151" s="2" t="n">
        <f aca="false">IFERROR(__xludf.dummyfunction("""COMPUTED_VALUE"""),503.46)</f>
        <v>503.46</v>
      </c>
      <c r="F151" s="3" t="n">
        <f aca="false">IFERROR(__xludf.dummyfunction("if($T151&lt;&gt;"""",VALUE(REGEXEXTRACT(SUBSTITUTE ($T151,F$1&amp;"" CE"",""""), F$1&amp;""[\w &amp;]*, (\d+\.\d+)"")),"""")
"),500)</f>
        <v>500</v>
      </c>
      <c r="G151" s="3" t="n">
        <f aca="false">IFERROR(__xludf.dummyfunction("if($T151&lt;&gt;"""",VALUE(REGEXEXTRACT($T151, G$1&amp;""[\w &amp;]*, (\d+\.\d+)"")),"""")
"),504)</f>
        <v>504</v>
      </c>
      <c r="H151" s="3" t="n">
        <f aca="false">IFERROR(__xludf.dummyfunction("if($T151&lt;&gt;"""",VALUE(REGEXEXTRACT($T151, H$1&amp;""[\w &amp;]*, (\d+\.\d+)"")),"""")
"),523)</f>
        <v>523</v>
      </c>
      <c r="I151" s="3" t="n">
        <f aca="false">IFERROR(__xludf.dummyfunction("if($T151&lt;&gt;"""",VALUE(REGEXEXTRACT(SUBSTITUTE ($T151,I$1&amp;"" CE"",""""), I$1&amp;""[\w &amp;]*, (\d+\.\d+)"")),"""")
"),490)</f>
        <v>490</v>
      </c>
      <c r="J151" s="3" t="n">
        <f aca="false">IFERROR(__xludf.dummyfunction("if($T151&lt;&gt;"""",VALUE(REGEXEXTRACT($T151, J$1&amp;""[\w &amp;]*, (\d+\.\d+)"")),"""")
"),495)</f>
        <v>495</v>
      </c>
      <c r="K151" s="3" t="n">
        <f aca="false">IFERROR(__xludf.dummyfunction("if($T151&lt;&gt;"""",VALUE(REGEXEXTRACT($T151, K$1&amp;""[\w &amp;]*, (\d+\.\d+)"")),"""")
"),484)</f>
        <v>484</v>
      </c>
      <c r="L151" s="3" t="n">
        <f aca="false">IFERROR(__xludf.dummyfunction("if($T151&lt;&gt;"""",VALUE(REGEXEXTRACT(SUBSTITUTE ($T151,L$1&amp;"" CE"",""""), L$1&amp;""[\w &amp;]*, (\d+\.\d+)"")),"""")
"),499)</f>
        <v>499</v>
      </c>
      <c r="M151" s="3" t="n">
        <f aca="false">IFERROR(__xludf.dummyfunction("if($T151&lt;&gt;"""",VALUE(REGEXEXTRACT($T151, M$1&amp;""[\w &amp;]*, (\d+\.\d+)"")),"""")
"),499)</f>
        <v>499</v>
      </c>
      <c r="N151" s="3" t="n">
        <f aca="false">IFERROR(__xludf.dummyfunction("if($T151&lt;&gt;"""",VALUE(REGEXEXTRACT(SUBSTITUTE ($T151,N$1&amp;"" CE"",""""), N$1&amp;""[\w &amp;]*, (\d+\.\d+)"")),"""")
"),500)</f>
        <v>500</v>
      </c>
      <c r="O151" s="3" t="n">
        <f aca="false">IFERROR(__xludf.dummyfunction("if($T151&lt;&gt;"""",VALUE(REGEXEXTRACT($T151, O$1&amp;""[\w &amp;]*, (\d+\.\d+)"")),"""")
"),501)</f>
        <v>501</v>
      </c>
      <c r="P151" s="2" t="n">
        <f aca="false">IFERROR(__xludf.dummyfunction("if($T151&lt;&gt;"""",VALUE(REGEXEXTRACT($T151, P$1&amp;""[\w &amp;]*, (\d+\.\d+)"")),"""")
"),495.35)</f>
        <v>495.35</v>
      </c>
      <c r="Q151" s="2" t="n">
        <f aca="false">IFERROR(__xludf.dummyfunction("if($T151&lt;&gt;"""",VALUE(REGEXEXTRACT($T151, Q$1&amp;""[\w &amp;]*, (\d+\.\d+)"")),"""")
"),493.42)</f>
        <v>493.42</v>
      </c>
      <c r="R151" s="2" t="n">
        <f aca="false">IFERROR(__xludf.dummyfunction("if($T151&lt;&gt;"""",VALUE(REGEXEXTRACT($T151, SUBSTITUTE(R$1, ""+"", ""\+"")&amp;""[\w &amp;]*, (\d+\.\d+)"")),"""")"),504.69)</f>
        <v>504.69</v>
      </c>
      <c r="S151" s="2" t="n">
        <f aca="false">IFERROR(__xludf.dummyfunction("if($T151&lt;&gt;"""",VALUE(REGEXEXTRACT($T151, SUBSTITUTE(S$1, ""+"", ""\+"")&amp;""[\w &amp;]*, (\d+\.\d+)"")),"""")"),506.62)</f>
        <v>506.62</v>
      </c>
      <c r="T151" s="5" t="s">
        <v>568</v>
      </c>
    </row>
    <row r="152" customFormat="false" ht="15.75" hidden="false" customHeight="false" outlineLevel="0" collapsed="false">
      <c r="A152" s="4" t="n">
        <f aca="false">IFERROR(__xludf.dummyfunction("""COMPUTED_VALUE"""),45616.6666666667)</f>
        <v>45616.6666666667</v>
      </c>
      <c r="B152" s="2" t="n">
        <f aca="false">IFERROR(__xludf.dummyfunction("""COMPUTED_VALUE"""),503.16)</f>
        <v>503.16</v>
      </c>
      <c r="C152" s="2" t="n">
        <f aca="false">IFERROR(__xludf.dummyfunction("""COMPUTED_VALUE"""),503.48)</f>
        <v>503.48</v>
      </c>
      <c r="D152" s="2" t="n">
        <f aca="false">IFERROR(__xludf.dummyfunction("""COMPUTED_VALUE"""),496.56)</f>
        <v>496.56</v>
      </c>
      <c r="E152" s="2" t="n">
        <f aca="false">IFERROR(__xludf.dummyfunction("""COMPUTED_VALUE"""),503.17)</f>
        <v>503.17</v>
      </c>
      <c r="F152" s="3" t="n">
        <f aca="false">IFERROR(__xludf.dummyfunction("if($T152&lt;&gt;"""",VALUE(REGEXEXTRACT(SUBSTITUTE ($T152,F$1&amp;"" CE"",""""), F$1&amp;""[\w &amp;]*, (\d+\.\d+)"")),"""")
"),500)</f>
        <v>500</v>
      </c>
      <c r="G152" s="3" t="n">
        <f aca="false">IFERROR(__xludf.dummyfunction("if($T152&lt;&gt;"""",VALUE(REGEXEXTRACT($T152, G$1&amp;""[\w &amp;]*, (\d+\.\d+)"")),"""")
"),506)</f>
        <v>506</v>
      </c>
      <c r="H152" s="3" t="n">
        <f aca="false">IFERROR(__xludf.dummyfunction("if($T152&lt;&gt;"""",VALUE(REGEXEXTRACT($T152, H$1&amp;""[\w &amp;]*, (\d+\.\d+)"")),"""")
"),512)</f>
        <v>512</v>
      </c>
      <c r="I152" s="3" t="n">
        <f aca="false">IFERROR(__xludf.dummyfunction("if($T152&lt;&gt;"""",VALUE(REGEXEXTRACT(SUBSTITUTE ($T152,I$1&amp;"" CE"",""""), I$1&amp;""[\w &amp;]*, (\d+\.\d+)"")),"""")
"),500)</f>
        <v>500</v>
      </c>
      <c r="J152" s="3" t="n">
        <f aca="false">IFERROR(__xludf.dummyfunction("if($T152&lt;&gt;"""",VALUE(REGEXEXTRACT($T152, J$1&amp;""[\w &amp;]*, (\d+\.\d+)"")),"""")
"),501)</f>
        <v>501</v>
      </c>
      <c r="K152" s="3" t="n">
        <f aca="false">IFERROR(__xludf.dummyfunction("if($T152&lt;&gt;"""",VALUE(REGEXEXTRACT($T152, K$1&amp;""[\w &amp;]*, (\d+\.\d+)"")),"""")
"),483)</f>
        <v>483</v>
      </c>
      <c r="L152" s="3" t="n">
        <f aca="false">IFERROR(__xludf.dummyfunction("if($T152&lt;&gt;"""",VALUE(REGEXEXTRACT(SUBSTITUTE ($T152,L$1&amp;"" CE"",""""), L$1&amp;""[\w &amp;]*, (\d+\.\d+)"")),"""")
"),502)</f>
        <v>502</v>
      </c>
      <c r="M152" s="3" t="n">
        <f aca="false">IFERROR(__xludf.dummyfunction("if($T152&lt;&gt;"""",VALUE(REGEXEXTRACT($T152, M$1&amp;""[\w &amp;]*, (\d+\.\d+)"")),"""")
"),504)</f>
        <v>504</v>
      </c>
      <c r="N152" s="3" t="n">
        <f aca="false">IFERROR(__xludf.dummyfunction("if($T152&lt;&gt;"""",VALUE(REGEXEXTRACT(SUBSTITUTE ($T152,N$1&amp;"" CE"",""""), N$1&amp;""[\w &amp;]*, (\d+\.\d+)"")),"""")
"),500)</f>
        <v>500</v>
      </c>
      <c r="O152" s="3" t="n">
        <f aca="false">IFERROR(__xludf.dummyfunction("if($T152&lt;&gt;"""",VALUE(REGEXEXTRACT($T152, O$1&amp;""[\w &amp;]*, (\d+\.\d+)"")),"""")
"),501)</f>
        <v>501</v>
      </c>
      <c r="P152" s="2" t="n">
        <f aca="false">IFERROR(__xludf.dummyfunction("if($T152&lt;&gt;"""",VALUE(REGEXEXTRACT($T152, P$1&amp;""[\w &amp;]*, (\d+\.\d+)"")),"""")
"),498.67)</f>
        <v>498.67</v>
      </c>
      <c r="Q152" s="2" t="n">
        <f aca="false">IFERROR(__xludf.dummyfunction("if($T152&lt;&gt;"""",VALUE(REGEXEXTRACT($T152, Q$1&amp;""[\w &amp;]*, (\d+\.\d+)"")),"""")
"),496.68)</f>
        <v>496.68</v>
      </c>
      <c r="R152" s="2" t="n">
        <f aca="false">IFERROR(__xludf.dummyfunction("if($T152&lt;&gt;"""",VALUE(REGEXEXTRACT($T152, SUBSTITUTE(R$1, ""+"", ""\+"")&amp;""[\w &amp;]*, (\d+\.\d+)"")),"""")"),508.25)</f>
        <v>508.25</v>
      </c>
      <c r="S152" s="2" t="n">
        <f aca="false">IFERROR(__xludf.dummyfunction("if($T152&lt;&gt;"""",VALUE(REGEXEXTRACT($T152, SUBSTITUTE(S$1, ""+"", ""\+"")&amp;""[\w &amp;]*, (\d+\.\d+)"")),"""")"),510.24)</f>
        <v>510.24</v>
      </c>
      <c r="T152" s="5" t="s">
        <v>569</v>
      </c>
    </row>
    <row r="153" customFormat="false" ht="15.75" hidden="false" customHeight="false" outlineLevel="0" collapsed="false">
      <c r="A153" s="4" t="n">
        <f aca="false">IFERROR(__xludf.dummyfunction("""COMPUTED_VALUE"""),45617.6666666667)</f>
        <v>45617.6666666667</v>
      </c>
      <c r="B153" s="2" t="n">
        <f aca="false">IFERROR(__xludf.dummyfunction("""COMPUTED_VALUE"""),506.24)</f>
        <v>506.24</v>
      </c>
      <c r="C153" s="2" t="n">
        <f aca="false">IFERROR(__xludf.dummyfunction("""COMPUTED_VALUE"""),506.96)</f>
        <v>506.96</v>
      </c>
      <c r="D153" s="2" t="n">
        <f aca="false">IFERROR(__xludf.dummyfunction("""COMPUTED_VALUE"""),497.56)</f>
        <v>497.56</v>
      </c>
      <c r="E153" s="2" t="n">
        <f aca="false">IFERROR(__xludf.dummyfunction("""COMPUTED_VALUE"""),504.98)</f>
        <v>504.98</v>
      </c>
      <c r="F153" s="3" t="n">
        <f aca="false">IFERROR(__xludf.dummyfunction("if($T153&lt;&gt;"""",VALUE(REGEXEXTRACT(SUBSTITUTE ($T153,F$1&amp;"" CE"",""""), F$1&amp;""[\w &amp;]*, (\d+\.\d+)"")),"""")
"),500)</f>
        <v>500</v>
      </c>
      <c r="G153" s="3" t="n">
        <f aca="false">IFERROR(__xludf.dummyfunction("if($T153&lt;&gt;"""",VALUE(REGEXEXTRACT($T153, G$1&amp;""[\w &amp;]*, (\d+\.\d+)"")),"""")
"),505)</f>
        <v>505</v>
      </c>
      <c r="H153" s="3" t="n">
        <f aca="false">IFERROR(__xludf.dummyfunction("if($T153&lt;&gt;"""",VALUE(REGEXEXTRACT($T153, H$1&amp;""[\w &amp;]*, (\d+\.\d+)"")),"""")
"),512)</f>
        <v>512</v>
      </c>
      <c r="I153" s="3" t="n">
        <f aca="false">IFERROR(__xludf.dummyfunction("if($T153&lt;&gt;"""",VALUE(REGEXEXTRACT(SUBSTITUTE ($T153,I$1&amp;"" CE"",""""), I$1&amp;""[\w &amp;]*, (\d+\.\d+)"")),"""")
"),500)</f>
        <v>500</v>
      </c>
      <c r="J153" s="3" t="n">
        <f aca="false">IFERROR(__xludf.dummyfunction("if($T153&lt;&gt;"""",VALUE(REGEXEXTRACT($T153, J$1&amp;""[\w &amp;]*, (\d+\.\d+)"")),"""")
"),490)</f>
        <v>490</v>
      </c>
      <c r="K153" s="3" t="n">
        <f aca="false">IFERROR(__xludf.dummyfunction("if($T153&lt;&gt;"""",VALUE(REGEXEXTRACT($T153, K$1&amp;""[\w &amp;]*, (\d+\.\d+)"")),"""")
"),489)</f>
        <v>489</v>
      </c>
      <c r="L153" s="3" t="n">
        <f aca="false">IFERROR(__xludf.dummyfunction("if($T153&lt;&gt;"""",VALUE(REGEXEXTRACT(SUBSTITUTE ($T153,L$1&amp;"" CE"",""""), L$1&amp;""[\w &amp;]*, (\d+\.\d+)"")),"""")
"),499)</f>
        <v>499</v>
      </c>
      <c r="M153" s="3" t="n">
        <f aca="false">IFERROR(__xludf.dummyfunction("if($T153&lt;&gt;"""",VALUE(REGEXEXTRACT($T153, M$1&amp;""[\w &amp;]*, (\d+\.\d+)"")),"""")
"),499)</f>
        <v>499</v>
      </c>
      <c r="N153" s="3" t="n">
        <f aca="false">IFERROR(__xludf.dummyfunction("if($T153&lt;&gt;"""",VALUE(REGEXEXTRACT(SUBSTITUTE ($T153,N$1&amp;"" CE"",""""), N$1&amp;""[\w &amp;]*, (\d+\.\d+)"")),"""")
"),500)</f>
        <v>500</v>
      </c>
      <c r="O153" s="3" t="n">
        <f aca="false">IFERROR(__xludf.dummyfunction("if($T153&lt;&gt;"""",VALUE(REGEXEXTRACT($T153, O$1&amp;""[\w &amp;]*, (\d+\.\d+)"")),"""")
"),504)</f>
        <v>504</v>
      </c>
      <c r="P153" s="2" t="n">
        <f aca="false">IFERROR(__xludf.dummyfunction("if($T153&lt;&gt;"""",VALUE(REGEXEXTRACT($T153, P$1&amp;""[\w &amp;]*, (\d+\.\d+)"")),"""")
"),498.37)</f>
        <v>498.37</v>
      </c>
      <c r="Q153" s="2" t="n">
        <f aca="false">IFERROR(__xludf.dummyfunction("if($T153&lt;&gt;"""",VALUE(REGEXEXTRACT($T153, Q$1&amp;""[\w &amp;]*, (\d+\.\d+)"")),"""")
"),496.48)</f>
        <v>496.48</v>
      </c>
      <c r="R153" s="2" t="n">
        <f aca="false">IFERROR(__xludf.dummyfunction("if($T153&lt;&gt;"""",VALUE(REGEXEXTRACT($T153, SUBSTITUTE(R$1, ""+"", ""\+"")&amp;""[\w &amp;]*, (\d+\.\d+)"")),"""")"),507.97)</f>
        <v>507.97</v>
      </c>
      <c r="S153" s="2" t="n">
        <f aca="false">IFERROR(__xludf.dummyfunction("if($T153&lt;&gt;"""",VALUE(REGEXEXTRACT($T153, SUBSTITUTE(S$1, ""+"", ""\+"")&amp;""[\w &amp;]*, (\d+\.\d+)"")),"""")"),509.86)</f>
        <v>509.86</v>
      </c>
      <c r="T153" s="5" t="s">
        <v>570</v>
      </c>
    </row>
    <row r="154" customFormat="false" ht="15.75" hidden="false" customHeight="false" outlineLevel="0" collapsed="false">
      <c r="A154" s="4" t="n">
        <f aca="false">IFERROR(__xludf.dummyfunction("""COMPUTED_VALUE"""),45618.6666666667)</f>
        <v>45618.6666666667</v>
      </c>
      <c r="B154" s="2" t="n">
        <f aca="false">IFERROR(__xludf.dummyfunction("""COMPUTED_VALUE"""),504.42)</f>
        <v>504.42</v>
      </c>
      <c r="C154" s="2" t="n">
        <f aca="false">IFERROR(__xludf.dummyfunction("""COMPUTED_VALUE"""),506.53)</f>
        <v>506.53</v>
      </c>
      <c r="D154" s="2" t="n">
        <f aca="false">IFERROR(__xludf.dummyfunction("""COMPUTED_VALUE"""),502.78)</f>
        <v>502.78</v>
      </c>
      <c r="E154" s="2" t="n">
        <f aca="false">IFERROR(__xludf.dummyfunction("""COMPUTED_VALUE"""),505.79)</f>
        <v>505.79</v>
      </c>
      <c r="F154" s="3" t="n">
        <f aca="false">IFERROR(__xludf.dummyfunction("if($T154&lt;&gt;"""",VALUE(REGEXEXTRACT(SUBSTITUTE ($T154,F$1&amp;"" CE"",""""), F$1&amp;""[\w &amp;]*, (\d+\.\d+)"")),"""")
"),510)</f>
        <v>510</v>
      </c>
      <c r="G154" s="3" t="n">
        <f aca="false">IFERROR(__xludf.dummyfunction("if($T154&lt;&gt;"""",VALUE(REGEXEXTRACT($T154, G$1&amp;""[\w &amp;]*, (\d+\.\d+)"")),"""")
"),508)</f>
        <v>508</v>
      </c>
      <c r="H154" s="3" t="n">
        <f aca="false">IFERROR(__xludf.dummyfunction("if($T154&lt;&gt;"""",VALUE(REGEXEXTRACT($T154, H$1&amp;""[\w &amp;]*, (\d+\.\d+)"")),"""")
"),512)</f>
        <v>512</v>
      </c>
      <c r="I154" s="3" t="n">
        <f aca="false">IFERROR(__xludf.dummyfunction("if($T154&lt;&gt;"""",VALUE(REGEXEXTRACT(SUBSTITUTE ($T154,I$1&amp;"" CE"",""""), I$1&amp;""[\w &amp;]*, (\d+\.\d+)"")),"""")
"),500)</f>
        <v>500</v>
      </c>
      <c r="J154" s="3" t="n">
        <f aca="false">IFERROR(__xludf.dummyfunction("if($T154&lt;&gt;"""",VALUE(REGEXEXTRACT($T154, J$1&amp;""[\w &amp;]*, (\d+\.\d+)"")),"""")
"),500)</f>
        <v>500</v>
      </c>
      <c r="K154" s="3" t="n">
        <f aca="false">IFERROR(__xludf.dummyfunction("if($T154&lt;&gt;"""",VALUE(REGEXEXTRACT($T154, K$1&amp;""[\w &amp;]*, (\d+\.\d+)"")),"""")
"),489)</f>
        <v>489</v>
      </c>
      <c r="L154" s="3" t="n">
        <f aca="false">IFERROR(__xludf.dummyfunction("if($T154&lt;&gt;"""",VALUE(REGEXEXTRACT(SUBSTITUTE ($T154,L$1&amp;"" CE"",""""), L$1&amp;""[\w &amp;]*, (\d+\.\d+)"")),"""")
"),502.5)</f>
        <v>502.5</v>
      </c>
      <c r="M154" s="3" t="n">
        <f aca="false">IFERROR(__xludf.dummyfunction("if($T154&lt;&gt;"""",VALUE(REGEXEXTRACT($T154, M$1&amp;""[\w &amp;]*, (\d+\.\d+)"")),"""")
"),504)</f>
        <v>504</v>
      </c>
      <c r="N154" s="3" t="n">
        <f aca="false">IFERROR(__xludf.dummyfunction("if($T154&lt;&gt;"""",VALUE(REGEXEXTRACT(SUBSTITUTE ($T154,N$1&amp;"" CE"",""""), N$1&amp;""[\w &amp;]*, (\d+\.\d+)"")),"""")
"),500)</f>
        <v>500</v>
      </c>
      <c r="O154" s="3" t="n">
        <f aca="false">IFERROR(__xludf.dummyfunction("if($T154&lt;&gt;"""",VALUE(REGEXEXTRACT($T154, O$1&amp;""[\w &amp;]*, (\d+\.\d+)"")),"""")
"),500)</f>
        <v>500</v>
      </c>
      <c r="P154" s="2" t="n">
        <f aca="false">IFERROR(__xludf.dummyfunction("if($T154&lt;&gt;"""",VALUE(REGEXEXTRACT($T154, P$1&amp;""[\w &amp;]*, (\d+\.\d+)"")),"""")
"),500.6)</f>
        <v>500.6</v>
      </c>
      <c r="Q154" s="2" t="n">
        <f aca="false">IFERROR(__xludf.dummyfunction("if($T154&lt;&gt;"""",VALUE(REGEXEXTRACT($T154, Q$1&amp;""[\w &amp;]*, (\d+\.\d+)"")),"""")
"),496.23)</f>
        <v>496.23</v>
      </c>
      <c r="R154" s="2" t="n">
        <f aca="false">IFERROR(__xludf.dummyfunction("if($T154&lt;&gt;"""",VALUE(REGEXEXTRACT($T154, SUBSTITUTE(R$1, ""+"", ""\+"")&amp;""[\w &amp;]*, (\d+\.\d+)"")),"""")"),509.36)</f>
        <v>509.36</v>
      </c>
      <c r="S154" s="2" t="n">
        <f aca="false">IFERROR(__xludf.dummyfunction("if($T154&lt;&gt;"""",VALUE(REGEXEXTRACT($T154, SUBSTITUTE(S$1, ""+"", ""\+"")&amp;""[\w &amp;]*, (\d+\.\d+)"")),"""")"),513.73)</f>
        <v>513.73</v>
      </c>
      <c r="T154" s="5" t="s">
        <v>571</v>
      </c>
    </row>
    <row r="155" customFormat="false" ht="15.75" hidden="false" customHeight="false" outlineLevel="0" collapsed="false">
      <c r="A155" s="4" t="n">
        <f aca="false">IFERROR(__xludf.dummyfunction("""COMPUTED_VALUE"""),45621.6666666667)</f>
        <v>45621.6666666667</v>
      </c>
      <c r="B155" s="2" t="n">
        <f aca="false">IFERROR(__xludf.dummyfunction("""COMPUTED_VALUE"""),509.9)</f>
        <v>509.9</v>
      </c>
      <c r="C155" s="2" t="n">
        <f aca="false">IFERROR(__xludf.dummyfunction("""COMPUTED_VALUE"""),511.45)</f>
        <v>511.45</v>
      </c>
      <c r="D155" s="2" t="n">
        <f aca="false">IFERROR(__xludf.dummyfunction("""COMPUTED_VALUE"""),504.26)</f>
        <v>504.26</v>
      </c>
      <c r="E155" s="2" t="n">
        <f aca="false">IFERROR(__xludf.dummyfunction("""COMPUTED_VALUE"""),506.59)</f>
        <v>506.59</v>
      </c>
      <c r="F155" s="3" t="n">
        <f aca="false">IFERROR(__xludf.dummyfunction("if($T155&lt;&gt;"""",VALUE(REGEXEXTRACT(SUBSTITUTE ($T155,F$1&amp;"" CE"",""""), F$1&amp;""[\w &amp;]*, (\d+\.\d+)"")),"""")
"),510)</f>
        <v>510</v>
      </c>
      <c r="G155" s="3" t="n">
        <f aca="false">IFERROR(__xludf.dummyfunction("if($T155&lt;&gt;"""",VALUE(REGEXEXTRACT($T155, G$1&amp;""[\w &amp;]*, (\d+\.\d+)"")),"""")
"),509)</f>
        <v>509</v>
      </c>
      <c r="H155" s="3" t="n">
        <f aca="false">IFERROR(__xludf.dummyfunction("if($T155&lt;&gt;"""",VALUE(REGEXEXTRACT($T155, H$1&amp;""[\w &amp;]*, (\d+\.\d+)"")),"""")
"),513)</f>
        <v>513</v>
      </c>
      <c r="I155" s="3" t="n">
        <f aca="false">IFERROR(__xludf.dummyfunction("if($T155&lt;&gt;"""",VALUE(REGEXEXTRACT(SUBSTITUTE ($T155,I$1&amp;"" CE"",""""), I$1&amp;""[\w &amp;]*, (\d+\.\d+)"")),"""")
"),500)</f>
        <v>500</v>
      </c>
      <c r="J155" s="3" t="n">
        <f aca="false">IFERROR(__xludf.dummyfunction("if($T155&lt;&gt;"""",VALUE(REGEXEXTRACT($T155, J$1&amp;""[\w &amp;]*, (\d+\.\d+)"")),"""")
"),500)</f>
        <v>500</v>
      </c>
      <c r="K155" s="3" t="n">
        <f aca="false">IFERROR(__xludf.dummyfunction("if($T155&lt;&gt;"""",VALUE(REGEXEXTRACT($T155, K$1&amp;""[\w &amp;]*, (\d+\.\d+)"")),"""")
"),489)</f>
        <v>489</v>
      </c>
      <c r="L155" s="3" t="n">
        <f aca="false">IFERROR(__xludf.dummyfunction("if($T155&lt;&gt;"""",VALUE(REGEXEXTRACT(SUBSTITUTE ($T155,L$1&amp;"" CE"",""""), L$1&amp;""[\w &amp;]*, (\d+\.\d+)"")),"""")
"),505)</f>
        <v>505</v>
      </c>
      <c r="M155" s="3" t="n">
        <f aca="false">IFERROR(__xludf.dummyfunction("if($T155&lt;&gt;"""",VALUE(REGEXEXTRACT($T155, M$1&amp;""[\w &amp;]*, (\d+\.\d+)"")),"""")
"),504)</f>
        <v>504</v>
      </c>
      <c r="N155" s="3" t="n">
        <f aca="false">IFERROR(__xludf.dummyfunction("if($T155&lt;&gt;"""",VALUE(REGEXEXTRACT(SUBSTITUTE ($T155,N$1&amp;"" CE"",""""), N$1&amp;""[\w &amp;]*, (\d+\.\d+)"")),"""")
"),500)</f>
        <v>500</v>
      </c>
      <c r="O155" s="3" t="n">
        <f aca="false">IFERROR(__xludf.dummyfunction("if($T155&lt;&gt;"""",VALUE(REGEXEXTRACT($T155, O$1&amp;""[\w &amp;]*, (\d+\.\d+)"")),"""")
"),506)</f>
        <v>506</v>
      </c>
      <c r="P155" s="2" t="n">
        <f aca="false">IFERROR(__xludf.dummyfunction("if($T155&lt;&gt;"""",VALUE(REGEXEXTRACT($T155, P$1&amp;""[\w &amp;]*, (\d+\.\d+)"")),"""")
"),502.29)</f>
        <v>502.29</v>
      </c>
      <c r="Q155" s="2" t="n">
        <f aca="false">IFERROR(__xludf.dummyfunction("if($T155&lt;&gt;"""",VALUE(REGEXEXTRACT($T155, Q$1&amp;""[\w &amp;]*, (\d+\.\d+)"")),"""")
"),500.84)</f>
        <v>500.84</v>
      </c>
      <c r="R155" s="2" t="n">
        <f aca="false">IFERROR(__xludf.dummyfunction("if($T155&lt;&gt;"""",VALUE(REGEXEXTRACT($T155, SUBSTITUTE(R$1, ""+"", ""\+"")&amp;""[\w &amp;]*, (\d+\.\d+)"")),"""")"),509.29)</f>
        <v>509.29</v>
      </c>
      <c r="S155" s="2" t="n">
        <f aca="false">IFERROR(__xludf.dummyfunction("if($T155&lt;&gt;"""",VALUE(REGEXEXTRACT($T155, SUBSTITUTE(S$1, ""+"", ""\+"")&amp;""[\w &amp;]*, (\d+\.\d+)"")),"""")"),510.74)</f>
        <v>510.74</v>
      </c>
      <c r="T155" s="5" t="s">
        <v>572</v>
      </c>
    </row>
    <row r="156" customFormat="false" ht="15.75" hidden="false" customHeight="false" outlineLevel="0" collapsed="false">
      <c r="A156" s="4" t="n">
        <f aca="false">IFERROR(__xludf.dummyfunction("""COMPUTED_VALUE"""),45622.6666666667)</f>
        <v>45622.6666666667</v>
      </c>
      <c r="B156" s="2" t="n">
        <f aca="false">IFERROR(__xludf.dummyfunction("""COMPUTED_VALUE"""),508.08)</f>
        <v>508.08</v>
      </c>
      <c r="C156" s="2" t="n">
        <f aca="false">IFERROR(__xludf.dummyfunction("""COMPUTED_VALUE"""),510.14)</f>
        <v>510.14</v>
      </c>
      <c r="D156" s="2" t="n">
        <f aca="false">IFERROR(__xludf.dummyfunction("""COMPUTED_VALUE"""),507.23)</f>
        <v>507.23</v>
      </c>
      <c r="E156" s="2" t="n">
        <f aca="false">IFERROR(__xludf.dummyfunction("""COMPUTED_VALUE"""),509.31)</f>
        <v>509.31</v>
      </c>
      <c r="F156" s="3" t="n">
        <f aca="false">IFERROR(__xludf.dummyfunction("if($T156&lt;&gt;"""",VALUE(REGEXEXTRACT(SUBSTITUTE ($T156,F$1&amp;"" CE"",""""), F$1&amp;""[\w &amp;]*, (\d+\.\d+)"")),"""")
"),510)</f>
        <v>510</v>
      </c>
      <c r="G156" s="3" t="n">
        <f aca="false">IFERROR(__xludf.dummyfunction("if($T156&lt;&gt;"""",VALUE(REGEXEXTRACT($T156, G$1&amp;""[\w &amp;]*, (\d+\.\d+)"")),"""")
"),510)</f>
        <v>510</v>
      </c>
      <c r="H156" s="3" t="n">
        <f aca="false">IFERROR(__xludf.dummyfunction("if($T156&lt;&gt;"""",VALUE(REGEXEXTRACT($T156, H$1&amp;""[\w &amp;]*, (\d+\.\d+)"")),"""")
"),512)</f>
        <v>512</v>
      </c>
      <c r="I156" s="3" t="n">
        <f aca="false">IFERROR(__xludf.dummyfunction("if($T156&lt;&gt;"""",VALUE(REGEXEXTRACT(SUBSTITUTE ($T156,I$1&amp;"" CE"",""""), I$1&amp;""[\w &amp;]*, (\d+\.\d+)"")),"""")
"),500)</f>
        <v>500</v>
      </c>
      <c r="J156" s="3" t="n">
        <f aca="false">IFERROR(__xludf.dummyfunction("if($T156&lt;&gt;"""",VALUE(REGEXEXTRACT($T156, J$1&amp;""[\w &amp;]*, (\d+\.\d+)"")),"""")
"),503)</f>
        <v>503</v>
      </c>
      <c r="K156" s="3" t="n">
        <f aca="false">IFERROR(__xludf.dummyfunction("if($T156&lt;&gt;"""",VALUE(REGEXEXTRACT($T156, K$1&amp;""[\w &amp;]*, (\d+\.\d+)"")),"""")
"),483)</f>
        <v>483</v>
      </c>
      <c r="L156" s="3" t="n">
        <f aca="false">IFERROR(__xludf.dummyfunction("if($T156&lt;&gt;"""",VALUE(REGEXEXTRACT(SUBSTITUTE ($T156,L$1&amp;"" CE"",""""), L$1&amp;""[\w &amp;]*, (\d+\.\d+)"")),"""")
"),505)</f>
        <v>505</v>
      </c>
      <c r="M156" s="3" t="n">
        <f aca="false">IFERROR(__xludf.dummyfunction("if($T156&lt;&gt;"""",VALUE(REGEXEXTRACT($T156, M$1&amp;""[\w &amp;]*, (\d+\.\d+)"")),"""")
"),505)</f>
        <v>505</v>
      </c>
      <c r="N156" s="3" t="n">
        <f aca="false">IFERROR(__xludf.dummyfunction("if($T156&lt;&gt;"""",VALUE(REGEXEXTRACT(SUBSTITUTE ($T156,N$1&amp;"" CE"",""""), N$1&amp;""[\w &amp;]*, (\d+\.\d+)"")),"""")
"),510)</f>
        <v>510</v>
      </c>
      <c r="O156" s="3" t="n">
        <f aca="false">IFERROR(__xludf.dummyfunction("if($T156&lt;&gt;"""",VALUE(REGEXEXTRACT($T156, O$1&amp;""[\w &amp;]*, (\d+\.\d+)"")),"""")
"),510)</f>
        <v>510</v>
      </c>
      <c r="P156" s="2" t="n">
        <f aca="false">IFERROR(__xludf.dummyfunction("if($T156&lt;&gt;"""",VALUE(REGEXEXTRACT($T156, P$1&amp;""[\w &amp;]*, (\d+\.\d+)"")),"""")
"),503.03)</f>
        <v>503.03</v>
      </c>
      <c r="Q156" s="2" t="n">
        <f aca="false">IFERROR(__xludf.dummyfunction("if($T156&lt;&gt;"""",VALUE(REGEXEXTRACT($T156, Q$1&amp;""[\w &amp;]*, (\d+\.\d+)"")),"""")
"),501.55)</f>
        <v>501.55</v>
      </c>
      <c r="R156" s="2" t="n">
        <f aca="false">IFERROR(__xludf.dummyfunction("if($T156&lt;&gt;"""",VALUE(REGEXEXTRACT($T156, SUBSTITUTE(R$1, ""+"", ""\+"")&amp;""[\w &amp;]*, (\d+\.\d+)"")),"""")"),510.15)</f>
        <v>510.15</v>
      </c>
      <c r="S156" s="2" t="n">
        <f aca="false">IFERROR(__xludf.dummyfunction("if($T156&lt;&gt;"""",VALUE(REGEXEXTRACT($T156, SUBSTITUTE(S$1, ""+"", ""\+"")&amp;""[\w &amp;]*, (\d+\.\d+)"")),"""")"),511.63)</f>
        <v>511.63</v>
      </c>
      <c r="T156" s="5" t="s">
        <v>573</v>
      </c>
    </row>
    <row r="157" customFormat="false" ht="15.75" hidden="false" customHeight="false" outlineLevel="0" collapsed="false">
      <c r="A157" s="4" t="n">
        <f aca="false">IFERROR(__xludf.dummyfunction("""COMPUTED_VALUE"""),45623.6666666667)</f>
        <v>45623.6666666667</v>
      </c>
      <c r="B157" s="2" t="n">
        <f aca="false">IFERROR(__xludf.dummyfunction("""COMPUTED_VALUE"""),508.17)</f>
        <v>508.17</v>
      </c>
      <c r="C157" s="2" t="n">
        <f aca="false">IFERROR(__xludf.dummyfunction("""COMPUTED_VALUE"""),508.24)</f>
        <v>508.24</v>
      </c>
      <c r="D157" s="2" t="n">
        <f aca="false">IFERROR(__xludf.dummyfunction("""COMPUTED_VALUE"""),501.93)</f>
        <v>501.93</v>
      </c>
      <c r="E157" s="2" t="n">
        <f aca="false">IFERROR(__xludf.dummyfunction("""COMPUTED_VALUE"""),505.3)</f>
        <v>505.3</v>
      </c>
      <c r="F157" s="3" t="n">
        <f aca="false">IFERROR(__xludf.dummyfunction("if($T157&lt;&gt;"""",VALUE(REGEXEXTRACT(SUBSTITUTE ($T157,F$1&amp;"" CE"",""""), F$1&amp;""[\w &amp;]*, (\d+\.\d+)"")),"""")
"),510)</f>
        <v>510</v>
      </c>
      <c r="G157" s="3" t="n">
        <f aca="false">IFERROR(__xludf.dummyfunction("if($T157&lt;&gt;"""",VALUE(REGEXEXTRACT($T157, G$1&amp;""[\w &amp;]*, (\d+\.\d+)"")),"""")
"),512)</f>
        <v>512</v>
      </c>
      <c r="H157" s="3" t="n">
        <f aca="false">IFERROR(__xludf.dummyfunction("if($T157&lt;&gt;"""",VALUE(REGEXEXTRACT($T157, H$1&amp;""[\w &amp;]*, (\d+\.\d+)"")),"""")
"),512)</f>
        <v>512</v>
      </c>
      <c r="I157" s="3" t="n">
        <f aca="false">IFERROR(__xludf.dummyfunction("if($T157&lt;&gt;"""",VALUE(REGEXEXTRACT(SUBSTITUTE ($T157,I$1&amp;"" CE"",""""), I$1&amp;""[\w &amp;]*, (\d+\.\d+)"")),"""")
"),490)</f>
        <v>490</v>
      </c>
      <c r="J157" s="3" t="n">
        <f aca="false">IFERROR(__xludf.dummyfunction("if($T157&lt;&gt;"""",VALUE(REGEXEXTRACT($T157, J$1&amp;""[\w &amp;]*, (\d+\.\d+)"")),"""")
"),507)</f>
        <v>507</v>
      </c>
      <c r="K157" s="3" t="n">
        <f aca="false">IFERROR(__xludf.dummyfunction("if($T157&lt;&gt;"""",VALUE(REGEXEXTRACT($T157, K$1&amp;""[\w &amp;]*, (\d+\.\d+)"")),"""")
"),504)</f>
        <v>504</v>
      </c>
      <c r="L157" s="3" t="n">
        <f aca="false">IFERROR(__xludf.dummyfunction("if($T157&lt;&gt;"""",VALUE(REGEXEXTRACT(SUBSTITUTE ($T157,L$1&amp;"" CE"",""""), L$1&amp;""[\w &amp;]*, (\d+\.\d+)"")),"""")
"),509)</f>
        <v>509</v>
      </c>
      <c r="M157" s="3" t="n">
        <f aca="false">IFERROR(__xludf.dummyfunction("if($T157&lt;&gt;"""",VALUE(REGEXEXTRACT($T157, M$1&amp;""[\w &amp;]*, (\d+\.\d+)"")),"""")
"),509)</f>
        <v>509</v>
      </c>
      <c r="N157" s="3" t="n">
        <f aca="false">IFERROR(__xludf.dummyfunction("if($T157&lt;&gt;"""",VALUE(REGEXEXTRACT(SUBSTITUTE ($T157,N$1&amp;"" CE"",""""), N$1&amp;""[\w &amp;]*, (\d+\.\d+)"")),"""")
"),510)</f>
        <v>510</v>
      </c>
      <c r="O157" s="3" t="n">
        <f aca="false">IFERROR(__xludf.dummyfunction("if($T157&lt;&gt;"""",VALUE(REGEXEXTRACT($T157, O$1&amp;""[\w &amp;]*, (\d+\.\d+)"")),"""")
"),509)</f>
        <v>509</v>
      </c>
      <c r="P157" s="2" t="n">
        <f aca="false">IFERROR(__xludf.dummyfunction("if($T157&lt;&gt;"""",VALUE(REGEXEXTRACT($T157, P$1&amp;""[\w &amp;]*, (\d+\.\d+)"")),"""")
"),506.17)</f>
        <v>506.17</v>
      </c>
      <c r="Q157" s="2" t="n">
        <f aca="false">IFERROR(__xludf.dummyfunction("if($T157&lt;&gt;"""",VALUE(REGEXEXTRACT($T157, Q$1&amp;""[\w &amp;]*, (\d+\.\d+)"")),"""")
"),503.87)</f>
        <v>503.87</v>
      </c>
      <c r="R157" s="2" t="n">
        <f aca="false">IFERROR(__xludf.dummyfunction("if($T157&lt;&gt;"""",VALUE(REGEXEXTRACT($T157, SUBSTITUTE(R$1, ""+"", ""\+"")&amp;""[\w &amp;]*, (\d+\.\d+)"")),"""")"),512.45)</f>
        <v>512.45</v>
      </c>
      <c r="S157" s="2" t="n">
        <f aca="false">IFERROR(__xludf.dummyfunction("if($T157&lt;&gt;"""",VALUE(REGEXEXTRACT($T157, SUBSTITUTE(S$1, ""+"", ""\+"")&amp;""[\w &amp;]*, (\d+\.\d+)"")),"""")"),514.75)</f>
        <v>514.75</v>
      </c>
      <c r="T157" s="5" t="s">
        <v>574</v>
      </c>
    </row>
    <row r="158" customFormat="false" ht="15.75" hidden="false" customHeight="false" outlineLevel="0" collapsed="false">
      <c r="A158" s="4" t="n">
        <f aca="false">IFERROR(__xludf.dummyfunction("""COMPUTED_VALUE"""),45625.5451388889)</f>
        <v>45625.5451388889</v>
      </c>
      <c r="B158" s="2" t="n">
        <f aca="false">IFERROR(__xludf.dummyfunction("""COMPUTED_VALUE"""),505.93)</f>
        <v>505.93</v>
      </c>
      <c r="C158" s="2" t="n">
        <f aca="false">IFERROR(__xludf.dummyfunction("""COMPUTED_VALUE"""),510.34)</f>
        <v>510.34</v>
      </c>
      <c r="D158" s="2" t="n">
        <f aca="false">IFERROR(__xludf.dummyfunction("""COMPUTED_VALUE"""),505.31)</f>
        <v>505.31</v>
      </c>
      <c r="E158" s="2" t="n">
        <f aca="false">IFERROR(__xludf.dummyfunction("""COMPUTED_VALUE"""),509.74)</f>
        <v>509.74</v>
      </c>
      <c r="F158" s="3" t="n">
        <f aca="false">IFERROR(__xludf.dummyfunction("if($T158&lt;&gt;"""",VALUE(REGEXEXTRACT(SUBSTITUTE ($T158,F$1&amp;"" CE"",""""), F$1&amp;""[\w &amp;]*, (\d+\.\d+)"")),"""")
"),505)</f>
        <v>505</v>
      </c>
      <c r="G158" s="3" t="n">
        <f aca="false">IFERROR(__xludf.dummyfunction("if($T158&lt;&gt;"""",VALUE(REGEXEXTRACT($T158, G$1&amp;""[\w &amp;]*, (\d+\.\d+)"")),"""")
"),507)</f>
        <v>507</v>
      </c>
      <c r="H158" s="3" t="n">
        <f aca="false">IFERROR(__xludf.dummyfunction("if($T158&lt;&gt;"""",VALUE(REGEXEXTRACT($T158, H$1&amp;""[\w &amp;]*, (\d+\.\d+)"")),"""")
"),513)</f>
        <v>513</v>
      </c>
      <c r="I158" s="3" t="n">
        <f aca="false">IFERROR(__xludf.dummyfunction("if($T158&lt;&gt;"""",VALUE(REGEXEXTRACT(SUBSTITUTE ($T158,I$1&amp;"" CE"",""""), I$1&amp;""[\w &amp;]*, (\d+\.\d+)"")),"""")
"),500)</f>
        <v>500</v>
      </c>
      <c r="J158" s="3" t="n">
        <f aca="false">IFERROR(__xludf.dummyfunction("if($T158&lt;&gt;"""",VALUE(REGEXEXTRACT($T158, J$1&amp;""[\w &amp;]*, (\d+\.\d+)"")),"""")
"),500)</f>
        <v>500</v>
      </c>
      <c r="K158" s="3" t="n">
        <f aca="false">IFERROR(__xludf.dummyfunction("if($T158&lt;&gt;"""",VALUE(REGEXEXTRACT($T158, K$1&amp;""[\w &amp;]*, (\d+\.\d+)"")),"""")
"),483)</f>
        <v>483</v>
      </c>
      <c r="L158" s="3" t="n">
        <f aca="false">IFERROR(__xludf.dummyfunction("if($T158&lt;&gt;"""",VALUE(REGEXEXTRACT(SUBSTITUTE ($T158,L$1&amp;"" CE"",""""), L$1&amp;""[\w &amp;]*, (\d+\.\d+)"")),"""")
"),504)</f>
        <v>504</v>
      </c>
      <c r="M158" s="3" t="n">
        <f aca="false">IFERROR(__xludf.dummyfunction("if($T158&lt;&gt;"""",VALUE(REGEXEXTRACT($T158, M$1&amp;""[\w &amp;]*, (\d+\.\d+)"")),"""")
"),504)</f>
        <v>504</v>
      </c>
      <c r="N158" s="3" t="n">
        <f aca="false">IFERROR(__xludf.dummyfunction("if($T158&lt;&gt;"""",VALUE(REGEXEXTRACT(SUBSTITUTE ($T158,N$1&amp;"" CE"",""""), N$1&amp;""[\w &amp;]*, (\d+\.\d+)"")),"""")
"),500)</f>
        <v>500</v>
      </c>
      <c r="O158" s="3" t="n">
        <f aca="false">IFERROR(__xludf.dummyfunction("if($T158&lt;&gt;"""",VALUE(REGEXEXTRACT($T158, O$1&amp;""[\w &amp;]*, (\d+\.\d+)"")),"""")
"),505)</f>
        <v>505</v>
      </c>
      <c r="P158" s="2" t="n">
        <f aca="false">IFERROR(__xludf.dummyfunction("if($T158&lt;&gt;"""",VALUE(REGEXEXTRACT($T158, P$1&amp;""[\w &amp;]*, (\d+\.\d+)"")),"""")
"),501.96)</f>
        <v>501.96</v>
      </c>
      <c r="Q158" s="2" t="n">
        <f aca="false">IFERROR(__xludf.dummyfunction("if($T158&lt;&gt;"""",VALUE(REGEXEXTRACT($T158, Q$1&amp;""[\w &amp;]*, (\d+\.\d+)"")),"""")
"),498.63)</f>
        <v>498.63</v>
      </c>
      <c r="R158" s="2" t="n">
        <f aca="false">IFERROR(__xludf.dummyfunction("if($T158&lt;&gt;"""",VALUE(REGEXEXTRACT($T158, SUBSTITUTE(R$1, ""+"", ""\+"")&amp;""[\w &amp;]*, (\d+\.\d+)"")),"""")"),508.64)</f>
        <v>508.64</v>
      </c>
      <c r="S158" s="2" t="n">
        <f aca="false">IFERROR(__xludf.dummyfunction("if($T158&lt;&gt;"""",VALUE(REGEXEXTRACT($T158, SUBSTITUTE(S$1, ""+"", ""\+"")&amp;""[\w &amp;]*, (\d+\.\d+)"")),"""")"),511.97)</f>
        <v>511.97</v>
      </c>
      <c r="T158" s="5" t="s">
        <v>575</v>
      </c>
    </row>
    <row r="159" customFormat="false" ht="15.75" hidden="false" customHeight="false" outlineLevel="0" collapsed="false">
      <c r="A159" s="4" t="n">
        <f aca="false">IFERROR(__xludf.dummyfunction("""COMPUTED_VALUE"""),45628.6666666667)</f>
        <v>45628.6666666667</v>
      </c>
      <c r="B159" s="2" t="n">
        <f aca="false">IFERROR(__xludf.dummyfunction("""COMPUTED_VALUE"""),511.01)</f>
        <v>511.01</v>
      </c>
      <c r="C159" s="2" t="n">
        <f aca="false">IFERROR(__xludf.dummyfunction("""COMPUTED_VALUE"""),516.26)</f>
        <v>516.26</v>
      </c>
      <c r="D159" s="2" t="n">
        <f aca="false">IFERROR(__xludf.dummyfunction("""COMPUTED_VALUE"""),510.62)</f>
        <v>510.62</v>
      </c>
      <c r="E159" s="2" t="n">
        <f aca="false">IFERROR(__xludf.dummyfunction("""COMPUTED_VALUE"""),515.29)</f>
        <v>515.29</v>
      </c>
      <c r="F159" s="3" t="n">
        <f aca="false">IFERROR(__xludf.dummyfunction("if($T159&lt;&gt;"""",VALUE(REGEXEXTRACT(SUBSTITUTE ($T159,F$1&amp;"" CE"",""""), F$1&amp;""[\w &amp;]*, (\d+\.\d+)"")),"""")
"),510)</f>
        <v>510</v>
      </c>
      <c r="G159" s="3" t="n">
        <f aca="false">IFERROR(__xludf.dummyfunction("if($T159&lt;&gt;"""",VALUE(REGEXEXTRACT($T159, G$1&amp;""[\w &amp;]*, (\d+\.\d+)"")),"""")
"),511)</f>
        <v>511</v>
      </c>
      <c r="H159" s="3" t="n">
        <f aca="false">IFERROR(__xludf.dummyfunction("if($T159&lt;&gt;"""",VALUE(REGEXEXTRACT($T159, H$1&amp;""[\w &amp;]*, (\d+\.\d+)"")),"""")
"),525)</f>
        <v>525</v>
      </c>
      <c r="I159" s="3" t="n">
        <f aca="false">IFERROR(__xludf.dummyfunction("if($T159&lt;&gt;"""",VALUE(REGEXEXTRACT(SUBSTITUTE ($T159,I$1&amp;"" CE"",""""), I$1&amp;""[\w &amp;]*, (\d+\.\d+)"")),"""")
"),500)</f>
        <v>500</v>
      </c>
      <c r="J159" s="3" t="n">
        <f aca="false">IFERROR(__xludf.dummyfunction("if($T159&lt;&gt;"""",VALUE(REGEXEXTRACT($T159, J$1&amp;""[\w &amp;]*, (\d+\.\d+)"")),"""")
"),507)</f>
        <v>507</v>
      </c>
      <c r="K159" s="3" t="n">
        <f aca="false">IFERROR(__xludf.dummyfunction("if($T159&lt;&gt;"""",VALUE(REGEXEXTRACT($T159, K$1&amp;""[\w &amp;]*, (\d+\.\d+)"")),"""")
"),503)</f>
        <v>503</v>
      </c>
      <c r="L159" s="3" t="n">
        <f aca="false">IFERROR(__xludf.dummyfunction("if($T159&lt;&gt;"""",VALUE(REGEXEXTRACT(SUBSTITUTE ($T159,L$1&amp;"" CE"",""""), L$1&amp;""[\w &amp;]*, (\d+\.\d+)"")),"""")
"),509)</f>
        <v>509</v>
      </c>
      <c r="M159" s="3" t="n">
        <f aca="false">IFERROR(__xludf.dummyfunction("if($T159&lt;&gt;"""",VALUE(REGEXEXTRACT($T159, M$1&amp;""[\w &amp;]*, (\d+\.\d+)"")),"""")
"),509)</f>
        <v>509</v>
      </c>
      <c r="N159" s="3" t="n">
        <f aca="false">IFERROR(__xludf.dummyfunction("if($T159&lt;&gt;"""",VALUE(REGEXEXTRACT(SUBSTITUTE ($T159,N$1&amp;"" CE"",""""), N$1&amp;""[\w &amp;]*, (\d+\.\d+)"")),"""")
"),510)</f>
        <v>510</v>
      </c>
      <c r="O159" s="3" t="n">
        <f aca="false">IFERROR(__xludf.dummyfunction("if($T159&lt;&gt;"""",VALUE(REGEXEXTRACT($T159, O$1&amp;""[\w &amp;]*, (\d+\.\d+)"")),"""")
"),508)</f>
        <v>508</v>
      </c>
      <c r="P159" s="2" t="n">
        <f aca="false">IFERROR(__xludf.dummyfunction("if($T159&lt;&gt;"""",VALUE(REGEXEXTRACT($T159, P$1&amp;""[\w &amp;]*, (\d+\.\d+)"")),"""")
"),506.49)</f>
        <v>506.49</v>
      </c>
      <c r="Q159" s="2" t="n">
        <f aca="false">IFERROR(__xludf.dummyfunction("if($T159&lt;&gt;"""",VALUE(REGEXEXTRACT($T159, Q$1&amp;""[\w &amp;]*, (\d+\.\d+)"")),"""")
"),505.15)</f>
        <v>505.15</v>
      </c>
      <c r="R159" s="2" t="n">
        <f aca="false">IFERROR(__xludf.dummyfunction("if($T159&lt;&gt;"""",VALUE(REGEXEXTRACT($T159, SUBSTITUTE(R$1, ""+"", ""\+"")&amp;""[\w &amp;]*, (\d+\.\d+)"")),"""")"),512.99)</f>
        <v>512.99</v>
      </c>
      <c r="S159" s="2" t="n">
        <f aca="false">IFERROR(__xludf.dummyfunction("if($T159&lt;&gt;"""",VALUE(REGEXEXTRACT($T159, SUBSTITUTE(S$1, ""+"", ""\+"")&amp;""[\w &amp;]*, (\d+\.\d+)"")),"""")"),514.33)</f>
        <v>514.33</v>
      </c>
      <c r="T159" s="5" t="s">
        <v>576</v>
      </c>
    </row>
    <row r="160" customFormat="false" ht="15.75" hidden="false" customHeight="false" outlineLevel="0" collapsed="false">
      <c r="A160" s="4" t="n">
        <f aca="false">IFERROR(__xludf.dummyfunction("""COMPUTED_VALUE"""),45629.6666666667)</f>
        <v>45629.6666666667</v>
      </c>
      <c r="B160" s="2" t="n">
        <f aca="false">IFERROR(__xludf.dummyfunction("""COMPUTED_VALUE"""),513.95)</f>
        <v>513.95</v>
      </c>
      <c r="C160" s="2" t="n">
        <f aca="false">IFERROR(__xludf.dummyfunction("""COMPUTED_VALUE"""),517.15)</f>
        <v>517.15</v>
      </c>
      <c r="D160" s="2" t="n">
        <f aca="false">IFERROR(__xludf.dummyfunction("""COMPUTED_VALUE"""),513.37)</f>
        <v>513.37</v>
      </c>
      <c r="E160" s="2" t="n">
        <f aca="false">IFERROR(__xludf.dummyfunction("""COMPUTED_VALUE"""),516.87)</f>
        <v>516.87</v>
      </c>
      <c r="F160" s="3" t="n">
        <f aca="false">IFERROR(__xludf.dummyfunction("if($T160&lt;&gt;"""",VALUE(REGEXEXTRACT(SUBSTITUTE ($T160,F$1&amp;"" CE"",""""), F$1&amp;""[\w &amp;]*, (\d+\.\d+)"")),"""")
"),510)</f>
        <v>510</v>
      </c>
      <c r="G160" s="3" t="n">
        <f aca="false">IFERROR(__xludf.dummyfunction("if($T160&lt;&gt;"""",VALUE(REGEXEXTRACT($T160, G$1&amp;""[\w &amp;]*, (\d+\.\d+)"")),"""")
"),520)</f>
        <v>520</v>
      </c>
      <c r="H160" s="3" t="n">
        <f aca="false">IFERROR(__xludf.dummyfunction("if($T160&lt;&gt;"""",VALUE(REGEXEXTRACT($T160, H$1&amp;""[\w &amp;]*, (\d+\.\d+)"")),"""")
"),523)</f>
        <v>523</v>
      </c>
      <c r="I160" s="3" t="n">
        <f aca="false">IFERROR(__xludf.dummyfunction("if($T160&lt;&gt;"""",VALUE(REGEXEXTRACT(SUBSTITUTE ($T160,I$1&amp;"" CE"",""""), I$1&amp;""[\w &amp;]*, (\d+\.\d+)"")),"""")
"),515)</f>
        <v>515</v>
      </c>
      <c r="J160" s="3" t="n">
        <f aca="false">IFERROR(__xludf.dummyfunction("if($T160&lt;&gt;"""",VALUE(REGEXEXTRACT($T160, J$1&amp;""[\w &amp;]*, (\d+\.\d+)"")),"""")
"),515)</f>
        <v>515</v>
      </c>
      <c r="K160" s="3" t="n">
        <f aca="false">IFERROR(__xludf.dummyfunction("if($T160&lt;&gt;"""",VALUE(REGEXEXTRACT($T160, K$1&amp;""[\w &amp;]*, (\d+\.\d+)"")),"""")
"),503)</f>
        <v>503</v>
      </c>
      <c r="L160" s="3" t="n">
        <f aca="false">IFERROR(__xludf.dummyfunction("if($T160&lt;&gt;"""",VALUE(REGEXEXTRACT(SUBSTITUTE ($T160,L$1&amp;"" CE"",""""), L$1&amp;""[\w &amp;]*, (\d+\.\d+)"")),"""")
"),514)</f>
        <v>514</v>
      </c>
      <c r="M160" s="3" t="n">
        <f aca="false">IFERROR(__xludf.dummyfunction("if($T160&lt;&gt;"""",VALUE(REGEXEXTRACT($T160, M$1&amp;""[\w &amp;]*, (\d+\.\d+)"")),"""")
"),515)</f>
        <v>515</v>
      </c>
      <c r="N160" s="3" t="n">
        <f aca="false">IFERROR(__xludf.dummyfunction("if($T160&lt;&gt;"""",VALUE(REGEXEXTRACT(SUBSTITUTE ($T160,N$1&amp;"" CE"",""""), N$1&amp;""[\w &amp;]*, (\d+\.\d+)"")),"""")
"),510)</f>
        <v>510</v>
      </c>
      <c r="O160" s="3" t="n">
        <f aca="false">IFERROR(__xludf.dummyfunction("if($T160&lt;&gt;"""",VALUE(REGEXEXTRACT($T160, O$1&amp;""[\w &amp;]*, (\d+\.\d+)"")),"""")
"),515)</f>
        <v>515</v>
      </c>
      <c r="P160" s="2" t="n">
        <f aca="false">IFERROR(__xludf.dummyfunction("if($T160&lt;&gt;"""",VALUE(REGEXEXTRACT($T160, P$1&amp;""[\w &amp;]*, (\d+\.\d+)"")),"""")
"),511.61)</f>
        <v>511.61</v>
      </c>
      <c r="Q160" s="2" t="n">
        <f aca="false">IFERROR(__xludf.dummyfunction("if($T160&lt;&gt;"""",VALUE(REGEXEXTRACT($T160, Q$1&amp;""[\w &amp;]*, (\d+\.\d+)"")),"""")
"),510.09)</f>
        <v>510.09</v>
      </c>
      <c r="R160" s="2" t="n">
        <f aca="false">IFERROR(__xludf.dummyfunction("if($T160&lt;&gt;"""",VALUE(REGEXEXTRACT($T160, SUBSTITUTE(R$1, ""+"", ""\+"")&amp;""[\w &amp;]*, (\d+\.\d+)"")),"""")"),518.97)</f>
        <v>518.97</v>
      </c>
      <c r="S160" s="2" t="n">
        <f aca="false">IFERROR(__xludf.dummyfunction("if($T160&lt;&gt;"""",VALUE(REGEXEXTRACT($T160, SUBSTITUTE(S$1, ""+"", ""\+"")&amp;""[\w &amp;]*, (\d+\.\d+)"")),"""")"),520.49)</f>
        <v>520.49</v>
      </c>
      <c r="T160" s="5" t="s">
        <v>577</v>
      </c>
    </row>
    <row r="161" customFormat="false" ht="15.75" hidden="false" customHeight="false" outlineLevel="0" collapsed="false">
      <c r="A161" s="4" t="n">
        <f aca="false">IFERROR(__xludf.dummyfunction("""COMPUTED_VALUE"""),45630.6666666667)</f>
        <v>45630.6666666667</v>
      </c>
      <c r="B161" s="2" t="n">
        <f aca="false">IFERROR(__xludf.dummyfunction("""COMPUTED_VALUE"""),520.32)</f>
        <v>520.32</v>
      </c>
      <c r="C161" s="2" t="n">
        <f aca="false">IFERROR(__xludf.dummyfunction("""COMPUTED_VALUE"""),523.52)</f>
        <v>523.52</v>
      </c>
      <c r="D161" s="2" t="n">
        <f aca="false">IFERROR(__xludf.dummyfunction("""COMPUTED_VALUE"""),519.6)</f>
        <v>519.6</v>
      </c>
      <c r="E161" s="2" t="n">
        <f aca="false">IFERROR(__xludf.dummyfunction("""COMPUTED_VALUE"""),523.26)</f>
        <v>523.26</v>
      </c>
      <c r="F161" s="3" t="n">
        <f aca="false">IFERROR(__xludf.dummyfunction("if($T161&lt;&gt;"""",VALUE(REGEXEXTRACT(SUBSTITUTE ($T161,F$1&amp;"" CE"",""""), F$1&amp;""[\w &amp;]*, (\d+\.\d+)"")),"""")
"),520)</f>
        <v>520</v>
      </c>
      <c r="G161" s="3" t="n">
        <f aca="false">IFERROR(__xludf.dummyfunction("if($T161&lt;&gt;"""",VALUE(REGEXEXTRACT($T161, G$1&amp;""[\w &amp;]*, (\d+\.\d+)"")),"""")
"),520)</f>
        <v>520</v>
      </c>
      <c r="H161" s="3" t="n">
        <f aca="false">IFERROR(__xludf.dummyfunction("if($T161&lt;&gt;"""",VALUE(REGEXEXTRACT($T161, H$1&amp;""[\w &amp;]*, (\d+\.\d+)"")),"""")
"),522)</f>
        <v>522</v>
      </c>
      <c r="I161" s="3" t="n">
        <f aca="false">IFERROR(__xludf.dummyfunction("if($T161&lt;&gt;"""",VALUE(REGEXEXTRACT(SUBSTITUTE ($T161,I$1&amp;"" CE"",""""), I$1&amp;""[\w &amp;]*, (\d+\.\d+)"")),"""")
"),500)</f>
        <v>500</v>
      </c>
      <c r="J161" s="3" t="n">
        <f aca="false">IFERROR(__xludf.dummyfunction("if($T161&lt;&gt;"""",VALUE(REGEXEXTRACT($T161, J$1&amp;""[\w &amp;]*, (\d+\.\d+)"")),"""")
"),515)</f>
        <v>515</v>
      </c>
      <c r="K161" s="3" t="n">
        <f aca="false">IFERROR(__xludf.dummyfunction("if($T161&lt;&gt;"""",VALUE(REGEXEXTRACT($T161, K$1&amp;""[\w &amp;]*, (\d+\.\d+)"")),"""")
"),503)</f>
        <v>503</v>
      </c>
      <c r="L161" s="3" t="n">
        <f aca="false">IFERROR(__xludf.dummyfunction("if($T161&lt;&gt;"""",VALUE(REGEXEXTRACT(SUBSTITUTE ($T161,L$1&amp;"" CE"",""""), L$1&amp;""[\w &amp;]*, (\d+\.\d+)"")),"""")
"),514)</f>
        <v>514</v>
      </c>
      <c r="M161" s="3" t="n">
        <f aca="false">IFERROR(__xludf.dummyfunction("if($T161&lt;&gt;"""",VALUE(REGEXEXTRACT($T161, M$1&amp;""[\w &amp;]*, (\d+\.\d+)"")),"""")
"),516)</f>
        <v>516</v>
      </c>
      <c r="N161" s="3" t="n">
        <f aca="false">IFERROR(__xludf.dummyfunction("if($T161&lt;&gt;"""",VALUE(REGEXEXTRACT(SUBSTITUTE ($T161,N$1&amp;"" CE"",""""), N$1&amp;""[\w &amp;]*, (\d+\.\d+)"")),"""")
"),520)</f>
        <v>520</v>
      </c>
      <c r="O161" s="3" t="n">
        <f aca="false">IFERROR(__xludf.dummyfunction("if($T161&lt;&gt;"""",VALUE(REGEXEXTRACT($T161, O$1&amp;""[\w &amp;]*, (\d+\.\d+)"")),"""")
"),520)</f>
        <v>520</v>
      </c>
      <c r="P161" s="2" t="n">
        <f aca="false">IFERROR(__xludf.dummyfunction("if($T161&lt;&gt;"""",VALUE(REGEXEXTRACT($T161, P$1&amp;""[\w &amp;]*, (\d+\.\d+)"")),"""")
"),513.35)</f>
        <v>513.35</v>
      </c>
      <c r="Q161" s="2" t="n">
        <f aca="false">IFERROR(__xludf.dummyfunction("if($T161&lt;&gt;"""",VALUE(REGEXEXTRACT($T161, Q$1&amp;""[\w &amp;]*, (\d+\.\d+)"")),"""")
"),511.89)</f>
        <v>511.89</v>
      </c>
      <c r="R161" s="2" t="n">
        <f aca="false">IFERROR(__xludf.dummyfunction("if($T161&lt;&gt;"""",VALUE(REGEXEXTRACT($T161, SUBSTITUTE(R$1, ""+"", ""\+"")&amp;""[\w &amp;]*, (\d+\.\d+)"")),"""")"),520.39)</f>
        <v>520.39</v>
      </c>
      <c r="S161" s="2" t="n">
        <f aca="false">IFERROR(__xludf.dummyfunction("if($T161&lt;&gt;"""",VALUE(REGEXEXTRACT($T161, SUBSTITUTE(S$1, ""+"", ""\+"")&amp;""[\w &amp;]*, (\d+\.\d+)"")),"""")"),521.85)</f>
        <v>521.85</v>
      </c>
      <c r="T161" s="5" t="s">
        <v>578</v>
      </c>
    </row>
    <row r="162" customFormat="false" ht="15.75" hidden="false" customHeight="false" outlineLevel="0" collapsed="false">
      <c r="A162" s="4" t="n">
        <f aca="false">IFERROR(__xludf.dummyfunction("""COMPUTED_VALUE"""),45631.6666666667)</f>
        <v>45631.6666666667</v>
      </c>
      <c r="B162" s="2" t="n">
        <f aca="false">IFERROR(__xludf.dummyfunction("""COMPUTED_VALUE"""),523.31)</f>
        <v>523.31</v>
      </c>
      <c r="C162" s="2" t="n">
        <f aca="false">IFERROR(__xludf.dummyfunction("""COMPUTED_VALUE"""),524.04)</f>
        <v>524.04</v>
      </c>
      <c r="D162" s="2" t="n">
        <f aca="false">IFERROR(__xludf.dummyfunction("""COMPUTED_VALUE"""),521.42)</f>
        <v>521.42</v>
      </c>
      <c r="E162" s="2" t="n">
        <f aca="false">IFERROR(__xludf.dummyfunction("""COMPUTED_VALUE"""),521.81)</f>
        <v>521.81</v>
      </c>
      <c r="F162" s="3" t="n">
        <f aca="false">IFERROR(__xludf.dummyfunction("if($T162&lt;&gt;"""",VALUE(REGEXEXTRACT(SUBSTITUTE ($T162,F$1&amp;"" CE"",""""), F$1&amp;""[\w &amp;]*, (\d+\.\d+)"")),"""")
"),510)</f>
        <v>510</v>
      </c>
      <c r="G162" s="3" t="n">
        <f aca="false">IFERROR(__xludf.dummyfunction("if($T162&lt;&gt;"""",VALUE(REGEXEXTRACT($T162, G$1&amp;""[\w &amp;]*, (\d+\.\d+)"")),"""")
"),528)</f>
        <v>528</v>
      </c>
      <c r="H162" s="3" t="n">
        <f aca="false">IFERROR(__xludf.dummyfunction("if($T162&lt;&gt;"""",VALUE(REGEXEXTRACT($T162, H$1&amp;""[\w &amp;]*, (\d+\.\d+)"")),"""")
"),528)</f>
        <v>528</v>
      </c>
      <c r="I162" s="3" t="n">
        <f aca="false">IFERROR(__xludf.dummyfunction("if($T162&lt;&gt;"""",VALUE(REGEXEXTRACT(SUBSTITUTE ($T162,I$1&amp;"" CE"",""""), I$1&amp;""[\w &amp;]*, (\d+\.\d+)"")),"""")
"),520)</f>
        <v>520</v>
      </c>
      <c r="J162" s="3" t="n">
        <f aca="false">IFERROR(__xludf.dummyfunction("if($T162&lt;&gt;"""",VALUE(REGEXEXTRACT($T162, J$1&amp;""[\w &amp;]*, (\d+\.\d+)"")),"""")
"),520)</f>
        <v>520</v>
      </c>
      <c r="K162" s="3" t="n">
        <f aca="false">IFERROR(__xludf.dummyfunction("if($T162&lt;&gt;"""",VALUE(REGEXEXTRACT($T162, K$1&amp;""[\w &amp;]*, (\d+\.\d+)"")),"""")
"),503)</f>
        <v>503</v>
      </c>
      <c r="L162" s="3" t="n">
        <f aca="false">IFERROR(__xludf.dummyfunction("if($T162&lt;&gt;"""",VALUE(REGEXEXTRACT(SUBSTITUTE ($T162,L$1&amp;"" CE"",""""), L$1&amp;""[\w &amp;]*, (\d+\.\d+)"")),"""")
"),519)</f>
        <v>519</v>
      </c>
      <c r="M162" s="3" t="n">
        <f aca="false">IFERROR(__xludf.dummyfunction("if($T162&lt;&gt;"""",VALUE(REGEXEXTRACT($T162, M$1&amp;""[\w &amp;]*, (\d+\.\d+)"")),"""")
"),522)</f>
        <v>522</v>
      </c>
      <c r="N162" s="3" t="n">
        <f aca="false">IFERROR(__xludf.dummyfunction("if($T162&lt;&gt;"""",VALUE(REGEXEXTRACT(SUBSTITUTE ($T162,N$1&amp;"" CE"",""""), N$1&amp;""[\w &amp;]*, (\d+\.\d+)"")),"""")
"),520)</f>
        <v>520</v>
      </c>
      <c r="O162" s="3" t="n">
        <f aca="false">IFERROR(__xludf.dummyfunction("if($T162&lt;&gt;"""",VALUE(REGEXEXTRACT($T162, O$1&amp;""[\w &amp;]*, (\d+\.\d+)"")),"""")
"),523)</f>
        <v>523</v>
      </c>
      <c r="P162" s="2" t="n">
        <f aca="false">IFERROR(__xludf.dummyfunction("if($T162&lt;&gt;"""",VALUE(REGEXEXTRACT($T162, P$1&amp;""[\w &amp;]*, (\d+\.\d+)"")),"""")
"),520.03)</f>
        <v>520.03</v>
      </c>
      <c r="Q162" s="2" t="n">
        <f aca="false">IFERROR(__xludf.dummyfunction("if($T162&lt;&gt;"""",VALUE(REGEXEXTRACT($T162, Q$1&amp;""[\w &amp;]*, (\d+\.\d+)"")),"""")
"),518.69)</f>
        <v>518.69</v>
      </c>
      <c r="R162" s="2" t="n">
        <f aca="false">IFERROR(__xludf.dummyfunction("if($T162&lt;&gt;"""",VALUE(REGEXEXTRACT($T162, SUBSTITUTE(R$1, ""+"", ""\+"")&amp;""[\w &amp;]*, (\d+\.\d+)"")),"""")"),526.49)</f>
        <v>526.49</v>
      </c>
      <c r="S162" s="2" t="n">
        <f aca="false">IFERROR(__xludf.dummyfunction("if($T162&lt;&gt;"""",VALUE(REGEXEXTRACT($T162, SUBSTITUTE(S$1, ""+"", ""\+"")&amp;""[\w &amp;]*, (\d+\.\d+)"")),"""")"),527.83)</f>
        <v>527.83</v>
      </c>
      <c r="T162" s="5" t="s">
        <v>579</v>
      </c>
    </row>
    <row r="163" customFormat="false" ht="15.75" hidden="false" customHeight="false" outlineLevel="0" collapsed="false">
      <c r="A163" s="4" t="n">
        <f aca="false">IFERROR(__xludf.dummyfunction("""COMPUTED_VALUE"""),45632.6666666667)</f>
        <v>45632.6666666667</v>
      </c>
      <c r="B163" s="2" t="n">
        <f aca="false">IFERROR(__xludf.dummyfunction("""COMPUTED_VALUE"""),522.48)</f>
        <v>522.48</v>
      </c>
      <c r="C163" s="2" t="n">
        <f aca="false">IFERROR(__xludf.dummyfunction("""COMPUTED_VALUE"""),526.72)</f>
        <v>526.72</v>
      </c>
      <c r="D163" s="2" t="n">
        <f aca="false">IFERROR(__xludf.dummyfunction("""COMPUTED_VALUE"""),522.35)</f>
        <v>522.35</v>
      </c>
      <c r="E163" s="2" t="n">
        <f aca="false">IFERROR(__xludf.dummyfunction("""COMPUTED_VALUE"""),526.48)</f>
        <v>526.48</v>
      </c>
      <c r="F163" s="3" t="n">
        <f aca="false">IFERROR(__xludf.dummyfunction("if($T163&lt;&gt;"""",VALUE(REGEXEXTRACT(SUBSTITUTE ($T163,F$1&amp;"" CE"",""""), F$1&amp;""[\w &amp;]*, (\d+\.\d+)"")),"""")
"),520)</f>
        <v>520</v>
      </c>
      <c r="G163" s="3" t="n">
        <f aca="false">IFERROR(__xludf.dummyfunction("if($T163&lt;&gt;"""",VALUE(REGEXEXTRACT($T163, G$1&amp;""[\w &amp;]*, (\d+\.\d+)"")),"""")
"),530)</f>
        <v>530</v>
      </c>
      <c r="H163" s="3" t="n">
        <f aca="false">IFERROR(__xludf.dummyfunction("if($T163&lt;&gt;"""",VALUE(REGEXEXTRACT($T163, H$1&amp;""[\w &amp;]*, (\d+\.\d+)"")),"""")
"),533)</f>
        <v>533</v>
      </c>
      <c r="I163" s="3" t="n">
        <f aca="false">IFERROR(__xludf.dummyfunction("if($T163&lt;&gt;"""",VALUE(REGEXEXTRACT(SUBSTITUTE ($T163,I$1&amp;"" CE"",""""), I$1&amp;""[\w &amp;]*, (\d+\.\d+)"")),"""")
"),525)</f>
        <v>525</v>
      </c>
      <c r="J163" s="3" t="n">
        <f aca="false">IFERROR(__xludf.dummyfunction("if($T163&lt;&gt;"""",VALUE(REGEXEXTRACT($T163, J$1&amp;""[\w &amp;]*, (\d+\.\d+)"")),"""")
"),524)</f>
        <v>524</v>
      </c>
      <c r="K163" s="3" t="n">
        <f aca="false">IFERROR(__xludf.dummyfunction("if($T163&lt;&gt;"""",VALUE(REGEXEXTRACT($T163, K$1&amp;""[\w &amp;]*, (\d+\.\d+)"")),"""")
"),521)</f>
        <v>521</v>
      </c>
      <c r="L163" s="3" t="n">
        <f aca="false">IFERROR(__xludf.dummyfunction("if($T163&lt;&gt;"""",VALUE(REGEXEXTRACT(SUBSTITUTE ($T163,L$1&amp;"" CE"",""""), L$1&amp;""[\w &amp;]*, (\d+\.\d+)"")),"""")
"),524)</f>
        <v>524</v>
      </c>
      <c r="M163" s="3" t="n">
        <f aca="false">IFERROR(__xludf.dummyfunction("if($T163&lt;&gt;"""",VALUE(REGEXEXTRACT($T163, M$1&amp;""[\w &amp;]*, (\d+\.\d+)"")),"""")
"),526)</f>
        <v>526</v>
      </c>
      <c r="N163" s="3" t="n">
        <f aca="false">IFERROR(__xludf.dummyfunction("if($T163&lt;&gt;"""",VALUE(REGEXEXTRACT(SUBSTITUTE ($T163,N$1&amp;"" CE"",""""), N$1&amp;""[\w &amp;]*, (\d+\.\d+)"")),"""")
"),525)</f>
        <v>525</v>
      </c>
      <c r="O163" s="3" t="n">
        <f aca="false">IFERROR(__xludf.dummyfunction("if($T163&lt;&gt;"""",VALUE(REGEXEXTRACT($T163, O$1&amp;""[\w &amp;]*, (\d+\.\d+)"")),"""")
"),525)</f>
        <v>525</v>
      </c>
      <c r="P163" s="2" t="n">
        <f aca="false">IFERROR(__xludf.dummyfunction("if($T163&lt;&gt;"""",VALUE(REGEXEXTRACT($T163, P$1&amp;""[\w &amp;]*, (\d+\.\d+)"")),"""")
"),523.33)</f>
        <v>523.33</v>
      </c>
      <c r="Q163" s="2" t="n">
        <f aca="false">IFERROR(__xludf.dummyfunction("if($T163&lt;&gt;"""",VALUE(REGEXEXTRACT($T163, Q$1&amp;""[\w &amp;]*, (\d+\.\d+)"")),"""")
"),522.02)</f>
        <v>522.02</v>
      </c>
      <c r="R163" s="2" t="n">
        <f aca="false">IFERROR(__xludf.dummyfunction("if($T163&lt;&gt;"""",VALUE(REGEXEXTRACT($T163, SUBSTITUTE(R$1, ""+"", ""\+"")&amp;""[\w &amp;]*, (\d+\.\d+)"")),"""")"),529.63)</f>
        <v>529.63</v>
      </c>
      <c r="S163" s="2" t="n">
        <f aca="false">IFERROR(__xludf.dummyfunction("if($T163&lt;&gt;"""",VALUE(REGEXEXTRACT($T163, SUBSTITUTE(S$1, ""+"", ""\+"")&amp;""[\w &amp;]*, (\d+\.\d+)"")),"""")"),530.94)</f>
        <v>530.94</v>
      </c>
      <c r="T163" s="5" t="s">
        <v>580</v>
      </c>
    </row>
    <row r="164" customFormat="false" ht="15.75" hidden="false" customHeight="false" outlineLevel="0" collapsed="false">
      <c r="A164" s="4" t="n">
        <f aca="false">IFERROR(__xludf.dummyfunction("""COMPUTED_VALUE"""),45635.6666666667)</f>
        <v>45635.6666666667</v>
      </c>
      <c r="B164" s="2" t="n">
        <f aca="false">IFERROR(__xludf.dummyfunction("""COMPUTED_VALUE"""),525.55)</f>
        <v>525.55</v>
      </c>
      <c r="C164" s="2" t="n">
        <f aca="false">IFERROR(__xludf.dummyfunction("""COMPUTED_VALUE"""),526.35)</f>
        <v>526.35</v>
      </c>
      <c r="D164" s="2" t="n">
        <f aca="false">IFERROR(__xludf.dummyfunction("""COMPUTED_VALUE"""),521.22)</f>
        <v>521.22</v>
      </c>
      <c r="E164" s="2" t="n">
        <f aca="false">IFERROR(__xludf.dummyfunction("""COMPUTED_VALUE"""),522.38)</f>
        <v>522.38</v>
      </c>
      <c r="F164" s="3" t="n">
        <f aca="false">IFERROR(__xludf.dummyfunction("if($T164&lt;&gt;"""",VALUE(REGEXEXTRACT(SUBSTITUTE ($T164,F$1&amp;"" CE"",""""), F$1&amp;""[\w &amp;]*, (\d+\.\d+)"")),"""")
"),510)</f>
        <v>510</v>
      </c>
      <c r="G164" s="3" t="n">
        <f aca="false">IFERROR(__xludf.dummyfunction("if($T164&lt;&gt;"""",VALUE(REGEXEXTRACT($T164, G$1&amp;""[\w &amp;]*, (\d+\.\d+)"")),"""")
"),524)</f>
        <v>524</v>
      </c>
      <c r="H164" s="3" t="n">
        <f aca="false">IFERROR(__xludf.dummyfunction("if($T164&lt;&gt;"""",VALUE(REGEXEXTRACT($T164, H$1&amp;""[\w &amp;]*, (\d+\.\d+)"")),"""")
"),528)</f>
        <v>528</v>
      </c>
      <c r="I164" s="3" t="n">
        <f aca="false">IFERROR(__xludf.dummyfunction("if($T164&lt;&gt;"""",VALUE(REGEXEXTRACT(SUBSTITUTE ($T164,I$1&amp;"" CE"",""""), I$1&amp;""[\w &amp;]*, (\d+\.\d+)"")),"""")
"),520)</f>
        <v>520</v>
      </c>
      <c r="J164" s="3" t="n">
        <f aca="false">IFERROR(__xludf.dummyfunction("if($T164&lt;&gt;"""",VALUE(REGEXEXTRACT($T164, J$1&amp;""[\w &amp;]*, (\d+\.\d+)"")),"""")
"),520)</f>
        <v>520</v>
      </c>
      <c r="K164" s="3" t="n">
        <f aca="false">IFERROR(__xludf.dummyfunction("if($T164&lt;&gt;"""",VALUE(REGEXEXTRACT($T164, K$1&amp;""[\w &amp;]*, (\d+\.\d+)"")),"""")
"),514)</f>
        <v>514</v>
      </c>
      <c r="L164" s="3" t="n">
        <f aca="false">IFERROR(__xludf.dummyfunction("if($T164&lt;&gt;"""",VALUE(REGEXEXTRACT(SUBSTITUTE ($T164,L$1&amp;"" CE"",""""), L$1&amp;""[\w &amp;]*, (\d+\.\d+)"")),"""")
"),519)</f>
        <v>519</v>
      </c>
      <c r="M164" s="3" t="n">
        <f aca="false">IFERROR(__xludf.dummyfunction("if($T164&lt;&gt;"""",VALUE(REGEXEXTRACT($T164, M$1&amp;""[\w &amp;]*, (\d+\.\d+)"")),"""")
"),520)</f>
        <v>520</v>
      </c>
      <c r="N164" s="3" t="n">
        <f aca="false">IFERROR(__xludf.dummyfunction("if($T164&lt;&gt;"""",VALUE(REGEXEXTRACT(SUBSTITUTE ($T164,N$1&amp;"" CE"",""""), N$1&amp;""[\w &amp;]*, (\d+\.\d+)"")),"""")
"),520)</f>
        <v>520</v>
      </c>
      <c r="O164" s="3" t="n">
        <f aca="false">IFERROR(__xludf.dummyfunction("if($T164&lt;&gt;"""",VALUE(REGEXEXTRACT($T164, O$1&amp;""[\w &amp;]*, (\d+\.\d+)"")),"""")
"),520)</f>
        <v>520</v>
      </c>
      <c r="P164" s="2" t="n">
        <f aca="false">IFERROR(__xludf.dummyfunction("if($T164&lt;&gt;"""",VALUE(REGEXEXTRACT($T164, P$1&amp;""[\w &amp;]*, (\d+\.\d+)"")),"""")
"),518.22)</f>
        <v>518.22</v>
      </c>
      <c r="Q164" s="2" t="n">
        <f aca="false">IFERROR(__xludf.dummyfunction("if($T164&lt;&gt;"""",VALUE(REGEXEXTRACT($T164, Q$1&amp;""[\w &amp;]*, (\d+\.\d+)"")),"""")
"),514.63)</f>
        <v>514.63</v>
      </c>
      <c r="R164" s="2" t="n">
        <f aca="false">IFERROR(__xludf.dummyfunction("if($T164&lt;&gt;"""",VALUE(REGEXEXTRACT($T164, SUBSTITUTE(R$1, ""+"", ""\+"")&amp;""[\w &amp;]*, (\d+\.\d+)"")),"""")"),525.4)</f>
        <v>525.4</v>
      </c>
      <c r="S164" s="2" t="n">
        <f aca="false">IFERROR(__xludf.dummyfunction("if($T164&lt;&gt;"""",VALUE(REGEXEXTRACT($T164, SUBSTITUTE(S$1, ""+"", ""\+"")&amp;""[\w &amp;]*, (\d+\.\d+)"")),"""")"),528.99)</f>
        <v>528.99</v>
      </c>
      <c r="T164" s="5" t="s">
        <v>581</v>
      </c>
    </row>
    <row r="165" customFormat="false" ht="15.75" hidden="false" customHeight="false" outlineLevel="0" collapsed="false">
      <c r="A165" s="4" t="n">
        <f aca="false">IFERROR(__xludf.dummyfunction("""COMPUTED_VALUE"""),45636.6666666667)</f>
        <v>45636.6666666667</v>
      </c>
      <c r="B165" s="2" t="n">
        <f aca="false">IFERROR(__xludf.dummyfunction("""COMPUTED_VALUE"""),523.62)</f>
        <v>523.62</v>
      </c>
      <c r="C165" s="2" t="n">
        <f aca="false">IFERROR(__xludf.dummyfunction("""COMPUTED_VALUE"""),525.38)</f>
        <v>525.38</v>
      </c>
      <c r="D165" s="2" t="n">
        <f aca="false">IFERROR(__xludf.dummyfunction("""COMPUTED_VALUE"""),519.16)</f>
        <v>519.16</v>
      </c>
      <c r="E165" s="2" t="n">
        <f aca="false">IFERROR(__xludf.dummyfunction("""COMPUTED_VALUE"""),520.6)</f>
        <v>520.6</v>
      </c>
      <c r="F165" s="3" t="n">
        <f aca="false">IFERROR(__xludf.dummyfunction("if($T165&lt;&gt;"""",VALUE(REGEXEXTRACT(SUBSTITUTE ($T165,F$1&amp;"" CE"",""""), F$1&amp;""[\w &amp;]*, (\d+\.\d+)"")),"""")
"),520)</f>
        <v>520</v>
      </c>
      <c r="G165" s="3" t="n">
        <f aca="false">IFERROR(__xludf.dummyfunction("if($T165&lt;&gt;"""",VALUE(REGEXEXTRACT($T165, G$1&amp;""[\w &amp;]*, (\d+\.\d+)"")),"""")
"),525)</f>
        <v>525</v>
      </c>
      <c r="H165" s="3" t="n">
        <f aca="false">IFERROR(__xludf.dummyfunction("if($T165&lt;&gt;"""",VALUE(REGEXEXTRACT($T165, H$1&amp;""[\w &amp;]*, (\d+\.\d+)"")),"""")
"),533)</f>
        <v>533</v>
      </c>
      <c r="I165" s="3" t="n">
        <f aca="false">IFERROR(__xludf.dummyfunction("if($T165&lt;&gt;"""",VALUE(REGEXEXTRACT(SUBSTITUTE ($T165,I$1&amp;"" CE"",""""), I$1&amp;""[\w &amp;]*, (\d+\.\d+)"")),"""")
"),520)</f>
        <v>520</v>
      </c>
      <c r="J165" s="3" t="n">
        <f aca="false">IFERROR(__xludf.dummyfunction("if($T165&lt;&gt;"""",VALUE(REGEXEXTRACT($T165, J$1&amp;""[\w &amp;]*, (\d+\.\d+)"")),"""")
"),520)</f>
        <v>520</v>
      </c>
      <c r="K165" s="3" t="n">
        <f aca="false">IFERROR(__xludf.dummyfunction("if($T165&lt;&gt;"""",VALUE(REGEXEXTRACT($T165, K$1&amp;""[\w &amp;]*, (\d+\.\d+)"")),"""")
"),518)</f>
        <v>518</v>
      </c>
      <c r="L165" s="3" t="n">
        <f aca="false">IFERROR(__xludf.dummyfunction("if($T165&lt;&gt;"""",VALUE(REGEXEXTRACT(SUBSTITUTE ($T165,L$1&amp;"" CE"",""""), L$1&amp;""[\w &amp;]*, (\d+\.\d+)"")),"""")
"),521)</f>
        <v>521</v>
      </c>
      <c r="M165" s="3" t="n">
        <f aca="false">IFERROR(__xludf.dummyfunction("if($T165&lt;&gt;"""",VALUE(REGEXEXTRACT($T165, M$1&amp;""[\w &amp;]*, (\d+\.\d+)"")),"""")
"),521)</f>
        <v>521</v>
      </c>
      <c r="N165" s="3" t="n">
        <f aca="false">IFERROR(__xludf.dummyfunction("if($T165&lt;&gt;"""",VALUE(REGEXEXTRACT(SUBSTITUTE ($T165,N$1&amp;"" CE"",""""), N$1&amp;""[\w &amp;]*, (\d+\.\d+)"")),"""")
"),520)</f>
        <v>520</v>
      </c>
      <c r="O165" s="3" t="n">
        <f aca="false">IFERROR(__xludf.dummyfunction("if($T165&lt;&gt;"""",VALUE(REGEXEXTRACT($T165, O$1&amp;""[\w &amp;]*, (\d+\.\d+)"")),"""")
"),523)</f>
        <v>523</v>
      </c>
      <c r="P165" s="2" t="n">
        <f aca="false">IFERROR(__xludf.dummyfunction("if($T165&lt;&gt;"""",VALUE(REGEXEXTRACT($T165, P$1&amp;""[\w &amp;]*, (\d+\.\d+)"")),"""")
"),518.65)</f>
        <v>518.65</v>
      </c>
      <c r="Q165" s="2" t="n">
        <f aca="false">IFERROR(__xludf.dummyfunction("if($T165&lt;&gt;"""",VALUE(REGEXEXTRACT($T165, Q$1&amp;""[\w &amp;]*, (\d+\.\d+)"")),"""")
"),517.11)</f>
        <v>517.11</v>
      </c>
      <c r="R165" s="2" t="n">
        <f aca="false">IFERROR(__xludf.dummyfunction("if($T165&lt;&gt;"""",VALUE(REGEXEXTRACT($T165, SUBSTITUTE(R$1, ""+"", ""\+"")&amp;""[\w &amp;]*, (\d+\.\d+)"")),"""")"),526.11)</f>
        <v>526.11</v>
      </c>
      <c r="S165" s="2" t="n">
        <f aca="false">IFERROR(__xludf.dummyfunction("if($T165&lt;&gt;"""",VALUE(REGEXEXTRACT($T165, SUBSTITUTE(S$1, ""+"", ""\+"")&amp;""[\w &amp;]*, (\d+\.\d+)"")),"""")"),527.65)</f>
        <v>527.65</v>
      </c>
      <c r="T165" s="5" t="s">
        <v>582</v>
      </c>
    </row>
    <row r="166" customFormat="false" ht="15.75" hidden="false" customHeight="false" outlineLevel="0" collapsed="false">
      <c r="A166" s="4" t="n">
        <f aca="false">IFERROR(__xludf.dummyfunction("""COMPUTED_VALUE"""),45637.6666666667)</f>
        <v>45637.6666666667</v>
      </c>
      <c r="B166" s="2" t="n">
        <f aca="false">IFERROR(__xludf.dummyfunction("""COMPUTED_VALUE"""),525)</f>
        <v>525</v>
      </c>
      <c r="C166" s="2" t="n">
        <f aca="false">IFERROR(__xludf.dummyfunction("""COMPUTED_VALUE"""),530.61)</f>
        <v>530.61</v>
      </c>
      <c r="D166" s="2" t="n">
        <f aca="false">IFERROR(__xludf.dummyfunction("""COMPUTED_VALUE"""),524.59)</f>
        <v>524.59</v>
      </c>
      <c r="E166" s="2" t="n">
        <f aca="false">IFERROR(__xludf.dummyfunction("""COMPUTED_VALUE"""),529.92)</f>
        <v>529.92</v>
      </c>
      <c r="F166" s="3" t="n">
        <f aca="false">IFERROR(__xludf.dummyfunction("if($T166&lt;&gt;"""",VALUE(REGEXEXTRACT(SUBSTITUTE ($T166,F$1&amp;"" CE"",""""), F$1&amp;""[\w &amp;]*, (\d+\.\d+)"")),"""")
"),510)</f>
        <v>510</v>
      </c>
      <c r="G166" s="3" t="n">
        <f aca="false">IFERROR(__xludf.dummyfunction("if($T166&lt;&gt;"""",VALUE(REGEXEXTRACT($T166, G$1&amp;""[\w &amp;]*, (\d+\.\d+)"")),"""")
"),525)</f>
        <v>525</v>
      </c>
      <c r="H166" s="3" t="n">
        <f aca="false">IFERROR(__xludf.dummyfunction("if($T166&lt;&gt;"""",VALUE(REGEXEXTRACT($T166, H$1&amp;""[\w &amp;]*, (\d+\.\d+)"")),"""")
"),528)</f>
        <v>528</v>
      </c>
      <c r="I166" s="3" t="n">
        <f aca="false">IFERROR(__xludf.dummyfunction("if($T166&lt;&gt;"""",VALUE(REGEXEXTRACT(SUBSTITUTE ($T166,I$1&amp;"" CE"",""""), I$1&amp;""[\w &amp;]*, (\d+\.\d+)"")),"""")
"),517)</f>
        <v>517</v>
      </c>
      <c r="J166" s="3" t="n">
        <f aca="false">IFERROR(__xludf.dummyfunction("if($T166&lt;&gt;"""",VALUE(REGEXEXTRACT($T166, J$1&amp;""[\w &amp;]*, (\d+\.\d+)"")),"""")
"),517)</f>
        <v>517</v>
      </c>
      <c r="K166" s="3" t="n">
        <f aca="false">IFERROR(__xludf.dummyfunction("if($T166&lt;&gt;"""",VALUE(REGEXEXTRACT($T166, K$1&amp;""[\w &amp;]*, (\d+\.\d+)"")),"""")
"),515)</f>
        <v>515</v>
      </c>
      <c r="L166" s="3" t="n">
        <f aca="false">IFERROR(__xludf.dummyfunction("if($T166&lt;&gt;"""",VALUE(REGEXEXTRACT(SUBSTITUTE ($T166,L$1&amp;"" CE"",""""), L$1&amp;""[\w &amp;]*, (\d+\.\d+)"")),"""")
"),519)</f>
        <v>519</v>
      </c>
      <c r="M166" s="3" t="n">
        <f aca="false">IFERROR(__xludf.dummyfunction("if($T166&lt;&gt;"""",VALUE(REGEXEXTRACT($T166, M$1&amp;""[\w &amp;]*, (\d+\.\d+)"")),"""")
"),521)</f>
        <v>521</v>
      </c>
      <c r="N166" s="3" t="n">
        <f aca="false">IFERROR(__xludf.dummyfunction("if($T166&lt;&gt;"""",VALUE(REGEXEXTRACT(SUBSTITUTE ($T166,N$1&amp;"" CE"",""""), N$1&amp;""[\w &amp;]*, (\d+\.\d+)"")),"""")
"),520)</f>
        <v>520</v>
      </c>
      <c r="O166" s="3" t="n">
        <f aca="false">IFERROR(__xludf.dummyfunction("if($T166&lt;&gt;"""",VALUE(REGEXEXTRACT($T166, O$1&amp;""[\w &amp;]*, (\d+\.\d+)"")),"""")
"),521)</f>
        <v>521</v>
      </c>
      <c r="P166" s="2" t="n">
        <f aca="false">IFERROR(__xludf.dummyfunction("if($T166&lt;&gt;"""",VALUE(REGEXEXTRACT($T166, P$1&amp;""[\w &amp;]*, (\d+\.\d+)"")),"""")
"),516.59)</f>
        <v>516.59</v>
      </c>
      <c r="Q166" s="2" t="n">
        <f aca="false">IFERROR(__xludf.dummyfunction("if($T166&lt;&gt;"""",VALUE(REGEXEXTRACT($T166, Q$1&amp;""[\w &amp;]*, (\d+\.\d+)"")),"""")
"),514.93)</f>
        <v>514.93</v>
      </c>
      <c r="R166" s="2" t="n">
        <f aca="false">IFERROR(__xludf.dummyfunction("if($T166&lt;&gt;"""",VALUE(REGEXEXTRACT($T166, SUBSTITUTE(R$1, ""+"", ""\+"")&amp;""[\w &amp;]*, (\d+\.\d+)"")),"""")"),524.61)</f>
        <v>524.61</v>
      </c>
      <c r="S166" s="2" t="n">
        <f aca="false">IFERROR(__xludf.dummyfunction("if($T166&lt;&gt;"""",VALUE(REGEXEXTRACT($T166, SUBSTITUTE(S$1, ""+"", ""\+"")&amp;""[\w &amp;]*, (\d+\.\d+)"")),"""")"),526.27)</f>
        <v>526.27</v>
      </c>
      <c r="T166" s="5" t="s">
        <v>583</v>
      </c>
    </row>
    <row r="167" customFormat="false" ht="15.75" hidden="false" customHeight="false" outlineLevel="0" collapsed="false">
      <c r="A167" s="4" t="n">
        <f aca="false">IFERROR(__xludf.dummyfunction("""COMPUTED_VALUE"""),45638.6666666667)</f>
        <v>45638.6666666667</v>
      </c>
      <c r="B167" s="2" t="n">
        <f aca="false">IFERROR(__xludf.dummyfunction("""COMPUTED_VALUE"""),527.68)</f>
        <v>527.68</v>
      </c>
      <c r="C167" s="2" t="n">
        <f aca="false">IFERROR(__xludf.dummyfunction("""COMPUTED_VALUE"""),528.96)</f>
        <v>528.96</v>
      </c>
      <c r="D167" s="2" t="n">
        <f aca="false">IFERROR(__xludf.dummyfunction("""COMPUTED_VALUE"""),526.02)</f>
        <v>526.02</v>
      </c>
      <c r="E167" s="2" t="n">
        <f aca="false">IFERROR(__xludf.dummyfunction("""COMPUTED_VALUE"""),526.5)</f>
        <v>526.5</v>
      </c>
      <c r="F167" s="3" t="n">
        <f aca="false">IFERROR(__xludf.dummyfunction("if($T167&lt;&gt;"""",VALUE(REGEXEXTRACT(SUBSTITUTE ($T167,F$1&amp;"" CE"",""""), F$1&amp;""[\w &amp;]*, (\d+\.\d+)"")),"""")
"),530)</f>
        <v>530</v>
      </c>
      <c r="G167" s="3" t="n">
        <f aca="false">IFERROR(__xludf.dummyfunction("if($T167&lt;&gt;"""",VALUE(REGEXEXTRACT($T167, G$1&amp;""[\w &amp;]*, (\d+\.\d+)"")),"""")
"),533)</f>
        <v>533</v>
      </c>
      <c r="H167" s="3" t="n">
        <f aca="false">IFERROR(__xludf.dummyfunction("if($T167&lt;&gt;"""",VALUE(REGEXEXTRACT($T167, H$1&amp;""[\w &amp;]*, (\d+\.\d+)"")),"""")
"),538)</f>
        <v>538</v>
      </c>
      <c r="I167" s="3" t="n">
        <f aca="false">IFERROR(__xludf.dummyfunction("if($T167&lt;&gt;"""",VALUE(REGEXEXTRACT(SUBSTITUTE ($T167,I$1&amp;"" CE"",""""), I$1&amp;""[\w &amp;]*, (\d+\.\d+)"")),"""")
"),528)</f>
        <v>528</v>
      </c>
      <c r="J167" s="3" t="n">
        <f aca="false">IFERROR(__xludf.dummyfunction("if($T167&lt;&gt;"""",VALUE(REGEXEXTRACT($T167, J$1&amp;""[\w &amp;]*, (\d+\.\d+)"")),"""")
"),526)</f>
        <v>526</v>
      </c>
      <c r="K167" s="3" t="n">
        <f aca="false">IFERROR(__xludf.dummyfunction("if($T167&lt;&gt;"""",VALUE(REGEXEXTRACT($T167, K$1&amp;""[\w &amp;]*, (\d+\.\d+)"")),"""")
"),503)</f>
        <v>503</v>
      </c>
      <c r="L167" s="3" t="n">
        <f aca="false">IFERROR(__xludf.dummyfunction("if($T167&lt;&gt;"""",VALUE(REGEXEXTRACT(SUBSTITUTE ($T167,L$1&amp;"" CE"",""""), L$1&amp;""[\w &amp;]*, (\d+\.\d+)"")),"""")
"),529)</f>
        <v>529</v>
      </c>
      <c r="M167" s="3" t="n">
        <f aca="false">IFERROR(__xludf.dummyfunction("if($T167&lt;&gt;"""",VALUE(REGEXEXTRACT($T167, M$1&amp;""[\w &amp;]*, (\d+\.\d+)"")),"""")
"),529)</f>
        <v>529</v>
      </c>
      <c r="N167" s="3" t="n">
        <f aca="false">IFERROR(__xludf.dummyfunction("if($T167&lt;&gt;"""",VALUE(REGEXEXTRACT(SUBSTITUTE ($T167,N$1&amp;"" CE"",""""), N$1&amp;""[\w &amp;]*, (\d+\.\d+)"")),"""")
"),530)</f>
        <v>530</v>
      </c>
      <c r="O167" s="3" t="n">
        <f aca="false">IFERROR(__xludf.dummyfunction("if($T167&lt;&gt;"""",VALUE(REGEXEXTRACT($T167, O$1&amp;""[\w &amp;]*, (\d+\.\d+)"")),"""")
"),528)</f>
        <v>528</v>
      </c>
      <c r="P167" s="2" t="n">
        <f aca="false">IFERROR(__xludf.dummyfunction("if($T167&lt;&gt;"""",VALUE(REGEXEXTRACT($T167, P$1&amp;""[\w &amp;]*, (\d+\.\d+)"")),"""")
"),526.51)</f>
        <v>526.51</v>
      </c>
      <c r="Q167" s="2" t="n">
        <f aca="false">IFERROR(__xludf.dummyfunction("if($T167&lt;&gt;"""",VALUE(REGEXEXTRACT($T167, Q$1&amp;""[\w &amp;]*, (\d+\.\d+)"")),"""")
"),525.1)</f>
        <v>525.1</v>
      </c>
      <c r="R167" s="2" t="n">
        <f aca="false">IFERROR(__xludf.dummyfunction("if($T167&lt;&gt;"""",VALUE(REGEXEXTRACT($T167, SUBSTITUTE(R$1, ""+"", ""\+"")&amp;""[\w &amp;]*, (\d+\.\d+)"")),"""")"),533.33)</f>
        <v>533.33</v>
      </c>
      <c r="S167" s="2" t="n">
        <f aca="false">IFERROR(__xludf.dummyfunction("if($T167&lt;&gt;"""",VALUE(REGEXEXTRACT($T167, SUBSTITUTE(S$1, ""+"", ""\+"")&amp;""[\w &amp;]*, (\d+\.\d+)"")),"""")"),534.74)</f>
        <v>534.74</v>
      </c>
      <c r="T167" s="5" t="s">
        <v>584</v>
      </c>
    </row>
    <row r="168" customFormat="false" ht="15.75" hidden="false" customHeight="false" outlineLevel="0" collapsed="false">
      <c r="A168" s="4" t="n">
        <f aca="false">IFERROR(__xludf.dummyfunction("""COMPUTED_VALUE"""),45639.6666666667)</f>
        <v>45639.6666666667</v>
      </c>
      <c r="B168" s="2" t="n">
        <f aca="false">IFERROR(__xludf.dummyfunction("""COMPUTED_VALUE"""),530.46)</f>
        <v>530.46</v>
      </c>
      <c r="C168" s="2" t="n">
        <f aca="false">IFERROR(__xludf.dummyfunction("""COMPUTED_VALUE"""),533.17)</f>
        <v>533.17</v>
      </c>
      <c r="D168" s="2" t="n">
        <f aca="false">IFERROR(__xludf.dummyfunction("""COMPUTED_VALUE"""),527.3)</f>
        <v>527.3</v>
      </c>
      <c r="E168" s="2" t="n">
        <f aca="false">IFERROR(__xludf.dummyfunction("""COMPUTED_VALUE"""),530.53)</f>
        <v>530.53</v>
      </c>
      <c r="F168" s="3" t="n">
        <f aca="false">IFERROR(__xludf.dummyfunction("if($T168&lt;&gt;"""",VALUE(REGEXEXTRACT(SUBSTITUTE ($T168,F$1&amp;"" CE"",""""), F$1&amp;""[\w &amp;]*, (\d+\.\d+)"")),"""")
"),520)</f>
        <v>520</v>
      </c>
      <c r="G168" s="3" t="n">
        <f aca="false">IFERROR(__xludf.dummyfunction("if($T168&lt;&gt;"""",VALUE(REGEXEXTRACT($T168, G$1&amp;""[\w &amp;]*, (\d+\.\d+)"")),"""")
"),530)</f>
        <v>530</v>
      </c>
      <c r="H168" s="3" t="n">
        <f aca="false">IFERROR(__xludf.dummyfunction("if($T168&lt;&gt;"""",VALUE(REGEXEXTRACT($T168, H$1&amp;""[\w &amp;]*, (\d+\.\d+)"")),"""")
"),532)</f>
        <v>532</v>
      </c>
      <c r="I168" s="3" t="n">
        <f aca="false">IFERROR(__xludf.dummyfunction("if($T168&lt;&gt;"""",VALUE(REGEXEXTRACT(SUBSTITUTE ($T168,I$1&amp;"" CE"",""""), I$1&amp;""[\w &amp;]*, (\d+\.\d+)"")),"""")
"),522)</f>
        <v>522</v>
      </c>
      <c r="J168" s="3" t="n">
        <f aca="false">IFERROR(__xludf.dummyfunction("if($T168&lt;&gt;"""",VALUE(REGEXEXTRACT($T168, J$1&amp;""[\w &amp;]*, (\d+\.\d+)"")),"""")
"),522)</f>
        <v>522</v>
      </c>
      <c r="K168" s="3" t="n">
        <f aca="false">IFERROR(__xludf.dummyfunction("if($T168&lt;&gt;"""",VALUE(REGEXEXTRACT($T168, K$1&amp;""[\w &amp;]*, (\d+\.\d+)"")),"""")
"),503)</f>
        <v>503</v>
      </c>
      <c r="L168" s="3" t="n">
        <f aca="false">IFERROR(__xludf.dummyfunction("if($T168&lt;&gt;"""",VALUE(REGEXEXTRACT(SUBSTITUTE ($T168,L$1&amp;"" CE"",""""), L$1&amp;""[\w &amp;]*, (\d+\.\d+)"")),"""")
"),527)</f>
        <v>527</v>
      </c>
      <c r="M168" s="3" t="n">
        <f aca="false">IFERROR(__xludf.dummyfunction("if($T168&lt;&gt;"""",VALUE(REGEXEXTRACT($T168, M$1&amp;""[\w &amp;]*, (\d+\.\d+)"")),"""")
"),527)</f>
        <v>527</v>
      </c>
      <c r="N168" s="3" t="n">
        <f aca="false">IFERROR(__xludf.dummyfunction("if($T168&lt;&gt;"""",VALUE(REGEXEXTRACT(SUBSTITUTE ($T168,N$1&amp;"" CE"",""""), N$1&amp;""[\w &amp;]*, (\d+\.\d+)"")),"""")
"),520)</f>
        <v>520</v>
      </c>
      <c r="O168" s="3" t="n">
        <f aca="false">IFERROR(__xludf.dummyfunction("if($T168&lt;&gt;"""",VALUE(REGEXEXTRACT($T168, O$1&amp;""[\w &amp;]*, (\d+\.\d+)"")),"""")
"),522)</f>
        <v>522</v>
      </c>
      <c r="P168" s="2" t="n">
        <f aca="false">IFERROR(__xludf.dummyfunction("if($T168&lt;&gt;"""",VALUE(REGEXEXTRACT($T168, P$1&amp;""[\w &amp;]*, (\d+\.\d+)"")),"""")
"),522.75)</f>
        <v>522.75</v>
      </c>
      <c r="Q168" s="2" t="n">
        <f aca="false">IFERROR(__xludf.dummyfunction("if($T168&lt;&gt;"""",VALUE(REGEXEXTRACT($T168, Q$1&amp;""[\w &amp;]*, (\d+\.\d+)"")),"""")
"),518.8)</f>
        <v>518.8</v>
      </c>
      <c r="R168" s="2" t="n">
        <f aca="false">IFERROR(__xludf.dummyfunction("if($T168&lt;&gt;"""",VALUE(REGEXEXTRACT($T168, SUBSTITUTE(R$1, ""+"", ""\+"")&amp;""[\w &amp;]*, (\d+\.\d+)"")),"""")"),530.25)</f>
        <v>530.25</v>
      </c>
      <c r="S168" s="2" t="n">
        <f aca="false">IFERROR(__xludf.dummyfunction("if($T168&lt;&gt;"""",VALUE(REGEXEXTRACT($T168, SUBSTITUTE(S$1, ""+"", ""\+"")&amp;""[\w &amp;]*, (\d+\.\d+)"")),"""")"),534.2)</f>
        <v>534.2</v>
      </c>
      <c r="T168" s="5" t="s">
        <v>585</v>
      </c>
    </row>
    <row r="169" customFormat="false" ht="15.75" hidden="false" customHeight="false" outlineLevel="0" collapsed="false">
      <c r="A169" s="4" t="n">
        <f aca="false">IFERROR(__xludf.dummyfunction("""COMPUTED_VALUE"""),45642.6666666667)</f>
        <v>45642.6666666667</v>
      </c>
      <c r="B169" s="2" t="n">
        <f aca="false">IFERROR(__xludf.dummyfunction("""COMPUTED_VALUE"""),533.08)</f>
        <v>533.08</v>
      </c>
      <c r="C169" s="2" t="n">
        <f aca="false">IFERROR(__xludf.dummyfunction("""COMPUTED_VALUE"""),539.15)</f>
        <v>539.15</v>
      </c>
      <c r="D169" s="2" t="n">
        <f aca="false">IFERROR(__xludf.dummyfunction("""COMPUTED_VALUE"""),533)</f>
        <v>533</v>
      </c>
      <c r="E169" s="2" t="n">
        <f aca="false">IFERROR(__xludf.dummyfunction("""COMPUTED_VALUE"""),538.17)</f>
        <v>538.17</v>
      </c>
      <c r="F169" s="3" t="n">
        <f aca="false">IFERROR(__xludf.dummyfunction("if($T169&lt;&gt;"""",VALUE(REGEXEXTRACT(SUBSTITUTE ($T169,F$1&amp;"" CE"",""""), F$1&amp;""[\w &amp;]*, (\d+\.\d+)"")),"""")
"),530)</f>
        <v>530</v>
      </c>
      <c r="G169" s="3" t="n">
        <f aca="false">IFERROR(__xludf.dummyfunction("if($T169&lt;&gt;"""",VALUE(REGEXEXTRACT($T169, G$1&amp;""[\w &amp;]*, (\d+\.\d+)"")),"""")
"),534)</f>
        <v>534</v>
      </c>
      <c r="H169" s="3" t="n">
        <f aca="false">IFERROR(__xludf.dummyfunction("if($T169&lt;&gt;"""",VALUE(REGEXEXTRACT($T169, H$1&amp;""[\w &amp;]*, (\d+\.\d+)"")),"""")
"),538)</f>
        <v>538</v>
      </c>
      <c r="I169" s="3" t="n">
        <f aca="false">IFERROR(__xludf.dummyfunction("if($T169&lt;&gt;"""",VALUE(REGEXEXTRACT(SUBSTITUTE ($T169,I$1&amp;"" CE"",""""), I$1&amp;""[\w &amp;]*, (\d+\.\d+)"")),"""")
"),520)</f>
        <v>520</v>
      </c>
      <c r="J169" s="3" t="n">
        <f aca="false">IFERROR(__xludf.dummyfunction("if($T169&lt;&gt;"""",VALUE(REGEXEXTRACT($T169, J$1&amp;""[\w &amp;]*, (\d+\.\d+)"")),"""")
"),528)</f>
        <v>528</v>
      </c>
      <c r="K169" s="3" t="n">
        <f aca="false">IFERROR(__xludf.dummyfunction("if($T169&lt;&gt;"""",VALUE(REGEXEXTRACT($T169, K$1&amp;""[\w &amp;]*, (\d+\.\d+)"")),"""")
"),503)</f>
        <v>503</v>
      </c>
      <c r="L169" s="3" t="n">
        <f aca="false">IFERROR(__xludf.dummyfunction("if($T169&lt;&gt;"""",VALUE(REGEXEXTRACT(SUBSTITUTE ($T169,L$1&amp;"" CE"",""""), L$1&amp;""[\w &amp;]*, (\d+\.\d+)"")),"""")
"),528)</f>
        <v>528</v>
      </c>
      <c r="M169" s="3" t="n">
        <f aca="false">IFERROR(__xludf.dummyfunction("if($T169&lt;&gt;"""",VALUE(REGEXEXTRACT($T169, M$1&amp;""[\w &amp;]*, (\d+\.\d+)"")),"""")
"),529)</f>
        <v>529</v>
      </c>
      <c r="N169" s="3" t="n">
        <f aca="false">IFERROR(__xludf.dummyfunction("if($T169&lt;&gt;"""",VALUE(REGEXEXTRACT(SUBSTITUTE ($T169,N$1&amp;"" CE"",""""), N$1&amp;""[\w &amp;]*, (\d+\.\d+)"")),"""")
"),530)</f>
        <v>530</v>
      </c>
      <c r="O169" s="3" t="n">
        <f aca="false">IFERROR(__xludf.dummyfunction("if($T169&lt;&gt;"""",VALUE(REGEXEXTRACT($T169, O$1&amp;""[\w &amp;]*, (\d+\.\d+)"")),"""")
"),530)</f>
        <v>530</v>
      </c>
      <c r="P169" s="2" t="n">
        <f aca="false">IFERROR(__xludf.dummyfunction("if($T169&lt;&gt;"""",VALUE(REGEXEXTRACT($T169, P$1&amp;""[\w &amp;]*, (\d+\.\d+)"")),"""")
"),527.19)</f>
        <v>527.19</v>
      </c>
      <c r="Q169" s="2" t="n">
        <f aca="false">IFERROR(__xludf.dummyfunction("if($T169&lt;&gt;"""",VALUE(REGEXEXTRACT($T169, Q$1&amp;""[\w &amp;]*, (\d+\.\d+)"")),"""")
"),525.81)</f>
        <v>525.81</v>
      </c>
      <c r="R169" s="2" t="n">
        <f aca="false">IFERROR(__xludf.dummyfunction("if($T169&lt;&gt;"""",VALUE(REGEXEXTRACT($T169, SUBSTITUTE(R$1, ""+"", ""\+"")&amp;""[\w &amp;]*, (\d+\.\d+)"")),"""")"),533.87)</f>
        <v>533.87</v>
      </c>
      <c r="S169" s="2" t="n">
        <f aca="false">IFERROR(__xludf.dummyfunction("if($T169&lt;&gt;"""",VALUE(REGEXEXTRACT($T169, SUBSTITUTE(S$1, ""+"", ""\+"")&amp;""[\w &amp;]*, (\d+\.\d+)"")),"""")"),535.25)</f>
        <v>535.25</v>
      </c>
      <c r="T169" s="5" t="s">
        <v>586</v>
      </c>
    </row>
    <row r="170" customFormat="false" ht="15.75" hidden="false" customHeight="false" outlineLevel="0" collapsed="false">
      <c r="A170" s="4" t="n">
        <f aca="false">IFERROR(__xludf.dummyfunction("""COMPUTED_VALUE"""),45643.6666666667)</f>
        <v>45643.6666666667</v>
      </c>
      <c r="B170" s="2" t="n">
        <f aca="false">IFERROR(__xludf.dummyfunction("""COMPUTED_VALUE"""),536.36)</f>
        <v>536.36</v>
      </c>
      <c r="C170" s="2" t="n">
        <f aca="false">IFERROR(__xludf.dummyfunction("""COMPUTED_VALUE"""),537.48)</f>
        <v>537.48</v>
      </c>
      <c r="D170" s="2" t="n">
        <f aca="false">IFERROR(__xludf.dummyfunction("""COMPUTED_VALUE"""),534.13)</f>
        <v>534.13</v>
      </c>
      <c r="E170" s="2" t="n">
        <f aca="false">IFERROR(__xludf.dummyfunction("""COMPUTED_VALUE"""),535.8)</f>
        <v>535.8</v>
      </c>
      <c r="F170" s="3" t="n">
        <f aca="false">IFERROR(__xludf.dummyfunction("if($T170&lt;&gt;"""",VALUE(REGEXEXTRACT(SUBSTITUTE ($T170,F$1&amp;"" CE"",""""), F$1&amp;""[\w &amp;]*, (\d+\.\d+)"")),"""")
"),550)</f>
        <v>550</v>
      </c>
      <c r="G170" s="3" t="n">
        <f aca="false">IFERROR(__xludf.dummyfunction("if($T170&lt;&gt;"""",VALUE(REGEXEXTRACT($T170, G$1&amp;""[\w &amp;]*, (\d+\.\d+)"")),"""")
"),540)</f>
        <v>540</v>
      </c>
      <c r="H170" s="3" t="n">
        <f aca="false">IFERROR(__xludf.dummyfunction("if($T170&lt;&gt;"""",VALUE(REGEXEXTRACT($T170, H$1&amp;""[\w &amp;]*, (\d+\.\d+)"")),"""")
"),542)</f>
        <v>542</v>
      </c>
      <c r="I170" s="3" t="n">
        <f aca="false">IFERROR(__xludf.dummyfunction("if($T170&lt;&gt;"""",VALUE(REGEXEXTRACT(SUBSTITUTE ($T170,I$1&amp;"" CE"",""""), I$1&amp;""[\w &amp;]*, (\d+\.\d+)"")),"""")
"),536)</f>
        <v>536</v>
      </c>
      <c r="J170" s="3" t="n">
        <f aca="false">IFERROR(__xludf.dummyfunction("if($T170&lt;&gt;"""",VALUE(REGEXEXTRACT($T170, J$1&amp;""[\w &amp;]*, (\d+\.\d+)"")),"""")
"),536)</f>
        <v>536</v>
      </c>
      <c r="K170" s="3" t="n">
        <f aca="false">IFERROR(__xludf.dummyfunction("if($T170&lt;&gt;"""",VALUE(REGEXEXTRACT($T170, K$1&amp;""[\w &amp;]*, (\d+\.\d+)"")),"""")
"),503)</f>
        <v>503</v>
      </c>
      <c r="L170" s="3" t="n">
        <f aca="false">IFERROR(__xludf.dummyfunction("if($T170&lt;&gt;"""",VALUE(REGEXEXTRACT(SUBSTITUTE ($T170,L$1&amp;"" CE"",""""), L$1&amp;""[\w &amp;]*, (\d+\.\d+)"")),"""")
"),529)</f>
        <v>529</v>
      </c>
      <c r="M170" s="3" t="n">
        <f aca="false">IFERROR(__xludf.dummyfunction("if($T170&lt;&gt;"""",VALUE(REGEXEXTRACT($T170, M$1&amp;""[\w &amp;]*, (\d+\.\d+)"")),"""")
"),538)</f>
        <v>538</v>
      </c>
      <c r="N170" s="3" t="n">
        <f aca="false">IFERROR(__xludf.dummyfunction("if($T170&lt;&gt;"""",VALUE(REGEXEXTRACT(SUBSTITUTE ($T170,N$1&amp;"" CE"",""""), N$1&amp;""[\w &amp;]*, (\d+\.\d+)"")),"""")
"),535)</f>
        <v>535</v>
      </c>
      <c r="O170" s="3" t="n">
        <f aca="false">IFERROR(__xludf.dummyfunction("if($T170&lt;&gt;"""",VALUE(REGEXEXTRACT($T170, O$1&amp;""[\w &amp;]*, (\d+\.\d+)"")),"""")
"),536)</f>
        <v>536</v>
      </c>
      <c r="P170" s="2" t="n">
        <f aca="false">IFERROR(__xludf.dummyfunction("if($T170&lt;&gt;"""",VALUE(REGEXEXTRACT($T170, P$1&amp;""[\w &amp;]*, (\d+\.\d+)"")),"""")
"),533.86)</f>
        <v>533.86</v>
      </c>
      <c r="Q170" s="2" t="n">
        <f aca="false">IFERROR(__xludf.dummyfunction("if($T170&lt;&gt;"""",VALUE(REGEXEXTRACT($T170, Q$1&amp;""[\w &amp;]*, (\d+\.\d+)"")),"""")
"),532.07)</f>
        <v>532.07</v>
      </c>
      <c r="R170" s="2" t="n">
        <f aca="false">IFERROR(__xludf.dummyfunction("if($T170&lt;&gt;"""",VALUE(REGEXEXTRACT($T170, SUBSTITUTE(R$1, ""+"", ""\+"")&amp;""[\w &amp;]*, (\d+\.\d+)"")),"""")"),542.48)</f>
        <v>542.48</v>
      </c>
      <c r="S170" s="2" t="n">
        <f aca="false">IFERROR(__xludf.dummyfunction("if($T170&lt;&gt;"""",VALUE(REGEXEXTRACT($T170, SUBSTITUTE(S$1, ""+"", ""\+"")&amp;""[\w &amp;]*, (\d+\.\d+)"")),"""")"),544.27)</f>
        <v>544.27</v>
      </c>
      <c r="T170" s="5" t="s">
        <v>587</v>
      </c>
    </row>
    <row r="171" customFormat="false" ht="15.75" hidden="false" customHeight="false" outlineLevel="0" collapsed="false">
      <c r="A171" s="4" t="n">
        <f aca="false">IFERROR(__xludf.dummyfunction("""COMPUTED_VALUE"""),45644.6666666667)</f>
        <v>45644.6666666667</v>
      </c>
      <c r="B171" s="2" t="n">
        <f aca="false">IFERROR(__xludf.dummyfunction("""COMPUTED_VALUE"""),535.15)</f>
        <v>535.15</v>
      </c>
      <c r="C171" s="2" t="n">
        <f aca="false">IFERROR(__xludf.dummyfunction("""COMPUTED_VALUE"""),536.88)</f>
        <v>536.88</v>
      </c>
      <c r="D171" s="2" t="n">
        <f aca="false">IFERROR(__xludf.dummyfunction("""COMPUTED_VALUE"""),515.01)</f>
        <v>515.01</v>
      </c>
      <c r="E171" s="2" t="n">
        <f aca="false">IFERROR(__xludf.dummyfunction("""COMPUTED_VALUE"""),516.47)</f>
        <v>516.47</v>
      </c>
      <c r="F171" s="3" t="n">
        <f aca="false">IFERROR(__xludf.dummyfunction("if($T171&lt;&gt;"""",VALUE(REGEXEXTRACT(SUBSTITUTE ($T171,F$1&amp;"" CE"",""""), F$1&amp;""[\w &amp;]*, (\d+\.\d+)"")),"""")
"),540)</f>
        <v>540</v>
      </c>
      <c r="G171" s="3" t="n">
        <f aca="false">IFERROR(__xludf.dummyfunction("if($T171&lt;&gt;"""",VALUE(REGEXEXTRACT($T171, G$1&amp;""[\w &amp;]*, (\d+\.\d+)"")),"""")
"),539)</f>
        <v>539</v>
      </c>
      <c r="H171" s="3" t="n">
        <f aca="false">IFERROR(__xludf.dummyfunction("if($T171&lt;&gt;"""",VALUE(REGEXEXTRACT($T171, H$1&amp;""[\w &amp;]*, (\d+\.\d+)"")),"""")
"),545)</f>
        <v>545</v>
      </c>
      <c r="I171" s="3" t="n">
        <f aca="false">IFERROR(__xludf.dummyfunction("if($T171&lt;&gt;"""",VALUE(REGEXEXTRACT(SUBSTITUTE ($T171,I$1&amp;"" CE"",""""), I$1&amp;""[\w &amp;]*, (\d+\.\d+)"")),"""")
"),520)</f>
        <v>520</v>
      </c>
      <c r="J171" s="3" t="n">
        <f aca="false">IFERROR(__xludf.dummyfunction("if($T171&lt;&gt;"""",VALUE(REGEXEXTRACT($T171, J$1&amp;""[\w &amp;]*, (\d+\.\d+)"")),"""")
"),535)</f>
        <v>535</v>
      </c>
      <c r="K171" s="3" t="n">
        <f aca="false">IFERROR(__xludf.dummyfunction("if($T171&lt;&gt;"""",VALUE(REGEXEXTRACT($T171, K$1&amp;""[\w &amp;]*, (\d+\.\d+)"")),"""")
"),499)</f>
        <v>499</v>
      </c>
      <c r="L171" s="3" t="n">
        <f aca="false">IFERROR(__xludf.dummyfunction("if($T171&lt;&gt;"""",VALUE(REGEXEXTRACT(SUBSTITUTE ($T171,L$1&amp;"" CE"",""""), L$1&amp;""[\w &amp;]*, (\d+\.\d+)"")),"""")
"),529)</f>
        <v>529</v>
      </c>
      <c r="M171" s="3" t="n">
        <f aca="false">IFERROR(__xludf.dummyfunction("if($T171&lt;&gt;"""",VALUE(REGEXEXTRACT($T171, M$1&amp;""[\w &amp;]*, (\d+\.\d+)"")),"""")
"),535)</f>
        <v>535</v>
      </c>
      <c r="N171" s="3" t="n">
        <f aca="false">IFERROR(__xludf.dummyfunction("if($T171&lt;&gt;"""",VALUE(REGEXEXTRACT(SUBSTITUTE ($T171,N$1&amp;"" CE"",""""), N$1&amp;""[\w &amp;]*, (\d+\.\d+)"")),"""")
"),535)</f>
        <v>535</v>
      </c>
      <c r="O171" s="3" t="n">
        <f aca="false">IFERROR(__xludf.dummyfunction("if($T171&lt;&gt;"""",VALUE(REGEXEXTRACT($T171, O$1&amp;""[\w &amp;]*, (\d+\.\d+)"")),"""")
"),535)</f>
        <v>535</v>
      </c>
      <c r="P171" s="2" t="n">
        <f aca="false">IFERROR(__xludf.dummyfunction("if($T171&lt;&gt;"""",VALUE(REGEXEXTRACT($T171, P$1&amp;""[\w &amp;]*, (\d+\.\d+)"")),"""")
"),531.17)</f>
        <v>531.17</v>
      </c>
      <c r="Q171" s="2" t="n">
        <f aca="false">IFERROR(__xludf.dummyfunction("if($T171&lt;&gt;"""",VALUE(REGEXEXTRACT($T171, Q$1&amp;""[\w &amp;]*, (\d+\.\d+)"")),"""")
"),529.25)</f>
        <v>529.25</v>
      </c>
      <c r="R171" s="2" t="n">
        <f aca="false">IFERROR(__xludf.dummyfunction("if($T171&lt;&gt;"""",VALUE(REGEXEXTRACT($T171, SUBSTITUTE(R$1, ""+"", ""\+"")&amp;""[\w &amp;]*, (\d+\.\d+)"")),"""")"),540.43)</f>
        <v>540.43</v>
      </c>
      <c r="S171" s="2" t="n">
        <f aca="false">IFERROR(__xludf.dummyfunction("if($T171&lt;&gt;"""",VALUE(REGEXEXTRACT($T171, SUBSTITUTE(S$1, ""+"", ""\+"")&amp;""[\w &amp;]*, (\d+\.\d+)"")),"""")"),542.35)</f>
        <v>542.35</v>
      </c>
      <c r="T171" s="5" t="s">
        <v>588</v>
      </c>
    </row>
    <row r="172" customFormat="false" ht="15.75" hidden="false" customHeight="false" outlineLevel="0" collapsed="false">
      <c r="A172" s="4" t="n">
        <f aca="false">IFERROR(__xludf.dummyfunction("""COMPUTED_VALUE"""),45645.6666666667)</f>
        <v>45645.6666666667</v>
      </c>
      <c r="B172" s="2" t="n">
        <f aca="false">IFERROR(__xludf.dummyfunction("""COMPUTED_VALUE"""),521.19)</f>
        <v>521.19</v>
      </c>
      <c r="C172" s="2" t="n">
        <f aca="false">IFERROR(__xludf.dummyfunction("""COMPUTED_VALUE"""),521.76)</f>
        <v>521.76</v>
      </c>
      <c r="D172" s="2" t="n">
        <f aca="false">IFERROR(__xludf.dummyfunction("""COMPUTED_VALUE"""),513.83)</f>
        <v>513.83</v>
      </c>
      <c r="E172" s="2" t="n">
        <f aca="false">IFERROR(__xludf.dummyfunction("""COMPUTED_VALUE"""),514.17)</f>
        <v>514.17</v>
      </c>
      <c r="F172" s="3" t="n">
        <f aca="false">IFERROR(__xludf.dummyfunction("if($T172&lt;&gt;"""",VALUE(REGEXEXTRACT(SUBSTITUTE ($T172,F$1&amp;"" CE"",""""), F$1&amp;""[\w &amp;]*, (\d+\.\d+)"")),"""")
"),510)</f>
        <v>510</v>
      </c>
      <c r="G172" s="3" t="n">
        <f aca="false">IFERROR(__xludf.dummyfunction("if($T172&lt;&gt;"""",VALUE(REGEXEXTRACT($T172, G$1&amp;""[\w &amp;]*, (\d+\.\d+)"")),"""")
"),525)</f>
        <v>525</v>
      </c>
      <c r="H172" s="3" t="n">
        <f aca="false">IFERROR(__xludf.dummyfunction("if($T172&lt;&gt;"""",VALUE(REGEXEXTRACT($T172, H$1&amp;""[\w &amp;]*, (\d+\.\d+)"")),"""")
"),537)</f>
        <v>537</v>
      </c>
      <c r="I172" s="3" t="n">
        <f aca="false">IFERROR(__xludf.dummyfunction("if($T172&lt;&gt;"""",VALUE(REGEXEXTRACT(SUBSTITUTE ($T172,I$1&amp;"" CE"",""""), I$1&amp;""[\w &amp;]*, (\d+\.\d+)"")),"""")
"),500)</f>
        <v>500</v>
      </c>
      <c r="J172" s="3" t="n">
        <f aca="false">IFERROR(__xludf.dummyfunction("if($T172&lt;&gt;"""",VALUE(REGEXEXTRACT($T172, J$1&amp;""[\w &amp;]*, (\d+\.\d+)"")),"""")
"),515)</f>
        <v>515</v>
      </c>
      <c r="K172" s="3" t="n">
        <f aca="false">IFERROR(__xludf.dummyfunction("if($T172&lt;&gt;"""",VALUE(REGEXEXTRACT($T172, K$1&amp;""[\w &amp;]*, (\d+\.\d+)"")),"""")
"),499)</f>
        <v>499</v>
      </c>
      <c r="L172" s="3" t="n">
        <f aca="false">IFERROR(__xludf.dummyfunction("if($T172&lt;&gt;"""",VALUE(REGEXEXTRACT(SUBSTITUTE ($T172,L$1&amp;"" CE"",""""), L$1&amp;""[\w &amp;]*, (\d+\.\d+)"")),"""")
"),524)</f>
        <v>524</v>
      </c>
      <c r="M172" s="3" t="n">
        <f aca="false">IFERROR(__xludf.dummyfunction("if($T172&lt;&gt;"""",VALUE(REGEXEXTRACT($T172, M$1&amp;""[\w &amp;]*, (\d+\.\d+)"")),"""")
"),524)</f>
        <v>524</v>
      </c>
      <c r="N172" s="3" t="n">
        <f aca="false">IFERROR(__xludf.dummyfunction("if($T172&lt;&gt;"""",VALUE(REGEXEXTRACT(SUBSTITUTE ($T172,N$1&amp;"" CE"",""""), N$1&amp;""[\w &amp;]*, (\d+\.\d+)"")),"""")
"),520)</f>
        <v>520</v>
      </c>
      <c r="O172" s="3" t="n">
        <f aca="false">IFERROR(__xludf.dummyfunction("if($T172&lt;&gt;"""",VALUE(REGEXEXTRACT($T172, O$1&amp;""[\w &amp;]*, (\d+\.\d+)"")),"""")
"),520)</f>
        <v>520</v>
      </c>
      <c r="P172" s="2" t="n">
        <f aca="false">IFERROR(__xludf.dummyfunction("if($T172&lt;&gt;"""",VALUE(REGEXEXTRACT($T172, P$1&amp;""[\w &amp;]*, (\d+\.\d+)"")),"""")
"),509.89)</f>
        <v>509.89</v>
      </c>
      <c r="Q172" s="2" t="n">
        <f aca="false">IFERROR(__xludf.dummyfunction("if($T172&lt;&gt;"""",VALUE(REGEXEXTRACT($T172, Q$1&amp;""[\w &amp;]*, (\d+\.\d+)"")),"""")
"),507.17)</f>
        <v>507.17</v>
      </c>
      <c r="R172" s="2" t="n">
        <f aca="false">IFERROR(__xludf.dummyfunction("if($T172&lt;&gt;"""",VALUE(REGEXEXTRACT($T172, SUBSTITUTE(R$1, ""+"", ""\+"")&amp;""[\w &amp;]*, (\d+\.\d+)"")),"""")"),523.05)</f>
        <v>523.05</v>
      </c>
      <c r="S172" s="2" t="n">
        <f aca="false">IFERROR(__xludf.dummyfunction("if($T172&lt;&gt;"""",VALUE(REGEXEXTRACT($T172, SUBSTITUTE(S$1, ""+"", ""\+"")&amp;""[\w &amp;]*, (\d+\.\d+)"")),"""")"),525.77)</f>
        <v>525.77</v>
      </c>
      <c r="T172" s="5" t="s">
        <v>589</v>
      </c>
    </row>
    <row r="173" customFormat="false" ht="15.75" hidden="false" customHeight="false" outlineLevel="0" collapsed="false">
      <c r="A173" s="4" t="n">
        <f aca="false">IFERROR(__xludf.dummyfunction("""COMPUTED_VALUE"""),45646.6666666667)</f>
        <v>45646.6666666667</v>
      </c>
      <c r="B173" s="2" t="n">
        <f aca="false">IFERROR(__xludf.dummyfunction("""COMPUTED_VALUE"""),510.44)</f>
        <v>510.44</v>
      </c>
      <c r="C173" s="2" t="n">
        <f aca="false">IFERROR(__xludf.dummyfunction("""COMPUTED_VALUE"""),524.82)</f>
        <v>524.82</v>
      </c>
      <c r="D173" s="2" t="n">
        <f aca="false">IFERROR(__xludf.dummyfunction("""COMPUTED_VALUE"""),509.29)</f>
        <v>509.29</v>
      </c>
      <c r="E173" s="2" t="n">
        <f aca="false">IFERROR(__xludf.dummyfunction("""COMPUTED_VALUE"""),518.66)</f>
        <v>518.66</v>
      </c>
      <c r="F173" s="3" t="n">
        <f aca="false">IFERROR(__xludf.dummyfunction("if($T173&lt;&gt;"""",VALUE(REGEXEXTRACT(SUBSTITUTE ($T173,F$1&amp;"" CE"",""""), F$1&amp;""[\w &amp;]*, (\d+\.\d+)"")),"""")
"),510)</f>
        <v>510</v>
      </c>
      <c r="G173" s="3" t="n">
        <f aca="false">IFERROR(__xludf.dummyfunction("if($T173&lt;&gt;"""",VALUE(REGEXEXTRACT($T173, G$1&amp;""[\w &amp;]*, (\d+\.\d+)"")),"""")
"),520)</f>
        <v>520</v>
      </c>
      <c r="H173" s="3" t="n">
        <f aca="false">IFERROR(__xludf.dummyfunction("if($T173&lt;&gt;"""",VALUE(REGEXEXTRACT($T173, H$1&amp;""[\w &amp;]*, (\d+\.\d+)"")),"""")
"),537)</f>
        <v>537</v>
      </c>
      <c r="I173" s="3" t="n">
        <f aca="false">IFERROR(__xludf.dummyfunction("if($T173&lt;&gt;"""",VALUE(REGEXEXTRACT(SUBSTITUTE ($T173,I$1&amp;"" CE"",""""), I$1&amp;""[\w &amp;]*, (\d+\.\d+)"")),"""")
"),510)</f>
        <v>510</v>
      </c>
      <c r="J173" s="3" t="n">
        <f aca="false">IFERROR(__xludf.dummyfunction("if($T173&lt;&gt;"""",VALUE(REGEXEXTRACT($T173, J$1&amp;""[\w &amp;]*, (\d+\.\d+)"")),"""")
"),505)</f>
        <v>505</v>
      </c>
      <c r="K173" s="3" t="n">
        <f aca="false">IFERROR(__xludf.dummyfunction("if($T173&lt;&gt;"""",VALUE(REGEXEXTRACT($T173, K$1&amp;""[\w &amp;]*, (\d+\.\d+)"")),"""")
"),499)</f>
        <v>499</v>
      </c>
      <c r="L173" s="3" t="n">
        <f aca="false">IFERROR(__xludf.dummyfunction("if($T173&lt;&gt;"""",VALUE(REGEXEXTRACT(SUBSTITUTE ($T173,L$1&amp;"" CE"",""""), L$1&amp;""[\w &amp;]*, (\d+\.\d+)"")),"""")
"),521)</f>
        <v>521</v>
      </c>
      <c r="M173" s="3" t="n">
        <f aca="false">IFERROR(__xludf.dummyfunction("if($T173&lt;&gt;"""",VALUE(REGEXEXTRACT($T173, M$1&amp;""[\w &amp;]*, (\d+\.\d+)"")),"""")
"),517)</f>
        <v>517</v>
      </c>
      <c r="N173" s="3" t="n">
        <f aca="false">IFERROR(__xludf.dummyfunction("if($T173&lt;&gt;"""",VALUE(REGEXEXTRACT(SUBSTITUTE ($T173,N$1&amp;"" CE"",""""), N$1&amp;""[\w &amp;]*, (\d+\.\d+)"")),"""")
"),510)</f>
        <v>510</v>
      </c>
      <c r="O173" s="3" t="n">
        <f aca="false">IFERROR(__xludf.dummyfunction("if($T173&lt;&gt;"""",VALUE(REGEXEXTRACT($T173, O$1&amp;""[\w &amp;]*, (\d+\.\d+)"")),"""")
"),510)</f>
        <v>510</v>
      </c>
      <c r="P173" s="2" t="n">
        <f aca="false">IFERROR(__xludf.dummyfunction("if($T173&lt;&gt;"""",VALUE(REGEXEXTRACT($T173, P$1&amp;""[\w &amp;]*, (\d+\.\d+)"")),"""")
"),508.34)</f>
        <v>508.34</v>
      </c>
      <c r="Q173" s="2" t="n">
        <f aca="false">IFERROR(__xludf.dummyfunction("if($T173&lt;&gt;"""",VALUE(REGEXEXTRACT($T173, Q$1&amp;""[\w &amp;]*, (\d+\.\d+)"")),"""")
"),502.46)</f>
        <v>502.46</v>
      </c>
      <c r="R173" s="2" t="n">
        <f aca="false">IFERROR(__xludf.dummyfunction("if($T173&lt;&gt;"""",VALUE(REGEXEXTRACT($T173, SUBSTITUTE(R$1, ""+"", ""\+"")&amp;""[\w &amp;]*, (\d+\.\d+)"")),"""")"),520)</f>
        <v>520</v>
      </c>
      <c r="S173" s="2" t="n">
        <f aca="false">IFERROR(__xludf.dummyfunction("if($T173&lt;&gt;"""",VALUE(REGEXEXTRACT($T173, SUBSTITUTE(S$1, ""+"", ""\+"")&amp;""[\w &amp;]*, (\d+\.\d+)"")),"""")"),525.88)</f>
        <v>525.88</v>
      </c>
      <c r="T173" s="5" t="s">
        <v>590</v>
      </c>
    </row>
    <row r="174" customFormat="false" ht="15.75" hidden="false" customHeight="false" outlineLevel="0" collapsed="false">
      <c r="A174" s="4" t="n">
        <f aca="false">IFERROR(__xludf.dummyfunction("""COMPUTED_VALUE"""),45649.6666666667)</f>
        <v>45649.6666666667</v>
      </c>
      <c r="B174" s="2" t="n">
        <f aca="false">IFERROR(__xludf.dummyfunction("""COMPUTED_VALUE"""),519.55)</f>
        <v>519.55</v>
      </c>
      <c r="C174" s="2" t="n">
        <f aca="false">IFERROR(__xludf.dummyfunction("""COMPUTED_VALUE"""),523.25)</f>
        <v>523.25</v>
      </c>
      <c r="D174" s="2" t="n">
        <f aca="false">IFERROR(__xludf.dummyfunction("""COMPUTED_VALUE"""),516.13)</f>
        <v>516.13</v>
      </c>
      <c r="E174" s="2" t="n">
        <f aca="false">IFERROR(__xludf.dummyfunction("""COMPUTED_VALUE"""),522.87)</f>
        <v>522.87</v>
      </c>
      <c r="F174" s="3" t="n">
        <f aca="false">IFERROR(__xludf.dummyfunction("if($T174&lt;&gt;"""",VALUE(REGEXEXTRACT(SUBSTITUTE ($T174,F$1&amp;"" CE"",""""), F$1&amp;""[\w &amp;]*, (\d+\.\d+)"")),"""")
"),520)</f>
        <v>520</v>
      </c>
      <c r="G174" s="3" t="n">
        <f aca="false">IFERROR(__xludf.dummyfunction("if($T174&lt;&gt;"""",VALUE(REGEXEXTRACT($T174, G$1&amp;""[\w &amp;]*, (\d+\.\d+)"")),"""")
"),525)</f>
        <v>525</v>
      </c>
      <c r="H174" s="3" t="n">
        <f aca="false">IFERROR(__xludf.dummyfunction("if($T174&lt;&gt;"""",VALUE(REGEXEXTRACT($T174, H$1&amp;""[\w &amp;]*, (\d+\.\d+)"")),"""")
"),537)</f>
        <v>537</v>
      </c>
      <c r="I174" s="3" t="n">
        <f aca="false">IFERROR(__xludf.dummyfunction("if($T174&lt;&gt;"""",VALUE(REGEXEXTRACT(SUBSTITUTE ($T174,I$1&amp;"" CE"",""""), I$1&amp;""[\w &amp;]*, (\d+\.\d+)"")),"""")
"),500)</f>
        <v>500</v>
      </c>
      <c r="J174" s="3" t="n">
        <f aca="false">IFERROR(__xludf.dummyfunction("if($T174&lt;&gt;"""",VALUE(REGEXEXTRACT($T174, J$1&amp;""[\w &amp;]*, (\d+\.\d+)"")),"""")
"),519)</f>
        <v>519</v>
      </c>
      <c r="K174" s="3" t="n">
        <f aca="false">IFERROR(__xludf.dummyfunction("if($T174&lt;&gt;"""",VALUE(REGEXEXTRACT($T174, K$1&amp;""[\w &amp;]*, (\d+\.\d+)"")),"""")
"),504)</f>
        <v>504</v>
      </c>
      <c r="L174" s="3" t="n">
        <f aca="false">IFERROR(__xludf.dummyfunction("if($T174&lt;&gt;"""",VALUE(REGEXEXTRACT(SUBSTITUTE ($T174,L$1&amp;"" CE"",""""), L$1&amp;""[\w &amp;]*, (\d+\.\d+)"")),"""")
"),520)</f>
        <v>520</v>
      </c>
      <c r="M174" s="3" t="n">
        <f aca="false">IFERROR(__xludf.dummyfunction("if($T174&lt;&gt;"""",VALUE(REGEXEXTRACT($T174, M$1&amp;""[\w &amp;]*, (\d+\.\d+)"")),"""")
"),519)</f>
        <v>519</v>
      </c>
      <c r="N174" s="3" t="n">
        <f aca="false">IFERROR(__xludf.dummyfunction("if($T174&lt;&gt;"""",VALUE(REGEXEXTRACT(SUBSTITUTE ($T174,N$1&amp;"" CE"",""""), N$1&amp;""[\w &amp;]*, (\d+\.\d+)"")),"""")
"),520)</f>
        <v>520</v>
      </c>
      <c r="O174" s="3" t="n">
        <f aca="false">IFERROR(__xludf.dummyfunction("if($T174&lt;&gt;"""",VALUE(REGEXEXTRACT($T174, O$1&amp;""[\w &amp;]*, (\d+\.\d+)"")),"""")
"),520)</f>
        <v>520</v>
      </c>
      <c r="P174" s="2" t="n">
        <f aca="false">IFERROR(__xludf.dummyfunction("if($T174&lt;&gt;"""",VALUE(REGEXEXTRACT($T174, P$1&amp;""[\w &amp;]*, (\d+\.\d+)"")),"""")
"),514.55)</f>
        <v>514.55</v>
      </c>
      <c r="Q174" s="2" t="n">
        <f aca="false">IFERROR(__xludf.dummyfunction("if($T174&lt;&gt;"""",VALUE(REGEXEXTRACT($T174, Q$1&amp;""[\w &amp;]*, (\d+\.\d+)"")),"""")
"),512.85)</f>
        <v>512.85</v>
      </c>
      <c r="R174" s="2" t="n">
        <f aca="false">IFERROR(__xludf.dummyfunction("if($T174&lt;&gt;"""",VALUE(REGEXEXTRACT($T174, SUBSTITUTE(R$1, ""+"", ""\+"")&amp;""[\w &amp;]*, (\d+\.\d+)"")),"""")"),522.77)</f>
        <v>522.77</v>
      </c>
      <c r="S174" s="2" t="n">
        <f aca="false">IFERROR(__xludf.dummyfunction("if($T174&lt;&gt;"""",VALUE(REGEXEXTRACT($T174, SUBSTITUTE(S$1, ""+"", ""\+"")&amp;""[\w &amp;]*, (\d+\.\d+)"")),"""")"),524.47)</f>
        <v>524.47</v>
      </c>
      <c r="T174" s="5" t="s">
        <v>591</v>
      </c>
    </row>
    <row r="175" customFormat="false" ht="15.75" hidden="false" customHeight="false" outlineLevel="0" collapsed="false">
      <c r="A175" s="4" t="n">
        <f aca="false">IFERROR(__xludf.dummyfunction("""COMPUTED_VALUE"""),45650.5451388889)</f>
        <v>45650.5451388889</v>
      </c>
      <c r="B175" s="2" t="n">
        <f aca="false">IFERROR(__xludf.dummyfunction("""COMPUTED_VALUE"""),524.83)</f>
        <v>524.83</v>
      </c>
      <c r="C175" s="2" t="n">
        <f aca="false">IFERROR(__xludf.dummyfunction("""COMPUTED_VALUE"""),530.05)</f>
        <v>530.05</v>
      </c>
      <c r="D175" s="2" t="n">
        <f aca="false">IFERROR(__xludf.dummyfunction("""COMPUTED_VALUE"""),524.19)</f>
        <v>524.19</v>
      </c>
      <c r="E175" s="2" t="n">
        <f aca="false">IFERROR(__xludf.dummyfunction("""COMPUTED_VALUE"""),529.96)</f>
        <v>529.96</v>
      </c>
      <c r="F175" s="3" t="n">
        <f aca="false">IFERROR(__xludf.dummyfunction("if($T175&lt;&gt;"""",VALUE(REGEXEXTRACT(SUBSTITUTE ($T175,F$1&amp;"" CE"",""""), F$1&amp;""[\w &amp;]*, (\d+\.\d+)"")),"""")
"),525)</f>
        <v>525</v>
      </c>
      <c r="G175" s="3" t="n">
        <f aca="false">IFERROR(__xludf.dummyfunction("if($T175&lt;&gt;"""",VALUE(REGEXEXTRACT($T175, G$1&amp;""[\w &amp;]*, (\d+\.\d+)"")),"""")
"),525)</f>
        <v>525</v>
      </c>
      <c r="H175" s="3" t="n">
        <f aca="false">IFERROR(__xludf.dummyfunction("if($T175&lt;&gt;"""",VALUE(REGEXEXTRACT($T175, H$1&amp;""[\w &amp;]*, (\d+\.\d+)"")),"""")
"),537)</f>
        <v>537</v>
      </c>
      <c r="I175" s="3" t="n">
        <f aca="false">IFERROR(__xludf.dummyfunction("if($T175&lt;&gt;"""",VALUE(REGEXEXTRACT(SUBSTITUTE ($T175,I$1&amp;"" CE"",""""), I$1&amp;""[\w &amp;]*, (\d+\.\d+)"")),"""")
"),500)</f>
        <v>500</v>
      </c>
      <c r="J175" s="3" t="n">
        <f aca="false">IFERROR(__xludf.dummyfunction("if($T175&lt;&gt;"""",VALUE(REGEXEXTRACT($T175, J$1&amp;""[\w &amp;]*, (\d+\.\d+)"")),"""")
"),519)</f>
        <v>519</v>
      </c>
      <c r="K175" s="3" t="n">
        <f aca="false">IFERROR(__xludf.dummyfunction("if($T175&lt;&gt;"""",VALUE(REGEXEXTRACT($T175, K$1&amp;""[\w &amp;]*, (\d+\.\d+)"")),"""")
"),503)</f>
        <v>503</v>
      </c>
      <c r="L175" s="3" t="n">
        <f aca="false">IFERROR(__xludf.dummyfunction("if($T175&lt;&gt;"""",VALUE(REGEXEXTRACT(SUBSTITUTE ($T175,L$1&amp;"" CE"",""""), L$1&amp;""[\w &amp;]*, (\d+\.\d+)"")),"""")
"),521)</f>
        <v>521</v>
      </c>
      <c r="M175" s="3" t="n">
        <f aca="false">IFERROR(__xludf.dummyfunction("if($T175&lt;&gt;"""",VALUE(REGEXEXTRACT($T175, M$1&amp;""[\w &amp;]*, (\d+\.\d+)"")),"""")
"),522)</f>
        <v>522</v>
      </c>
      <c r="N175" s="3" t="n">
        <f aca="false">IFERROR(__xludf.dummyfunction("if($T175&lt;&gt;"""",VALUE(REGEXEXTRACT(SUBSTITUTE ($T175,N$1&amp;"" CE"",""""), N$1&amp;""[\w &amp;]*, (\d+\.\d+)"")),"""")
"),520)</f>
        <v>520</v>
      </c>
      <c r="O175" s="3" t="n">
        <f aca="false">IFERROR(__xludf.dummyfunction("if($T175&lt;&gt;"""",VALUE(REGEXEXTRACT($T175, O$1&amp;""[\w &amp;]*, (\d+\.\d+)"")),"""")
"),522)</f>
        <v>522</v>
      </c>
      <c r="P175" s="2" t="n">
        <f aca="false">IFERROR(__xludf.dummyfunction("if($T175&lt;&gt;"""",VALUE(REGEXEXTRACT($T175, P$1&amp;""[\w &amp;]*, (\d+\.\d+)"")),"""")
"),519.27)</f>
        <v>519.27</v>
      </c>
      <c r="Q175" s="2" t="n">
        <f aca="false">IFERROR(__xludf.dummyfunction("if($T175&lt;&gt;"""",VALUE(REGEXEXTRACT($T175, Q$1&amp;""[\w &amp;]*, (\d+\.\d+)"")),"""")
"),516.64)</f>
        <v>516.64</v>
      </c>
      <c r="R175" s="2" t="n">
        <f aca="false">IFERROR(__xludf.dummyfunction("if($T175&lt;&gt;"""",VALUE(REGEXEXTRACT($T175, SUBSTITUTE(R$1, ""+"", ""\+"")&amp;""[\w &amp;]*, (\d+\.\d+)"")),"""")"),526.47)</f>
        <v>526.47</v>
      </c>
      <c r="S175" s="2" t="n">
        <f aca="false">IFERROR(__xludf.dummyfunction("if($T175&lt;&gt;"""",VALUE(REGEXEXTRACT($T175, SUBSTITUTE(S$1, ""+"", ""\+"")&amp;""[\w &amp;]*, (\d+\.\d+)"")),"""")"),529.1)</f>
        <v>529.1</v>
      </c>
      <c r="T175" s="5" t="s">
        <v>592</v>
      </c>
    </row>
    <row r="176" customFormat="false" ht="15.75" hidden="false" customHeight="false" outlineLevel="0" collapsed="false">
      <c r="A176" s="4" t="n">
        <f aca="false">IFERROR(__xludf.dummyfunction("""COMPUTED_VALUE"""),45652.6666666667)</f>
        <v>45652.6666666667</v>
      </c>
      <c r="B176" s="2" t="n">
        <f aca="false">IFERROR(__xludf.dummyfunction("""COMPUTED_VALUE"""),528.32)</f>
        <v>528.32</v>
      </c>
      <c r="C176" s="2" t="n">
        <f aca="false">IFERROR(__xludf.dummyfunction("""COMPUTED_VALUE"""),531.24)</f>
        <v>531.24</v>
      </c>
      <c r="D176" s="2" t="n">
        <f aca="false">IFERROR(__xludf.dummyfunction("""COMPUTED_VALUE"""),526.31)</f>
        <v>526.31</v>
      </c>
      <c r="E176" s="2" t="n">
        <f aca="false">IFERROR(__xludf.dummyfunction("""COMPUTED_VALUE"""),529.6)</f>
        <v>529.6</v>
      </c>
      <c r="F176" s="3" t="n">
        <f aca="false">IFERROR(__xludf.dummyfunction("if($T176&lt;&gt;"""",VALUE(REGEXEXTRACT(SUBSTITUTE ($T176,F$1&amp;"" CE"",""""), F$1&amp;""[\w &amp;]*, (\d+\.\d+)"")),"""")
"),535)</f>
        <v>535</v>
      </c>
      <c r="G176" s="3" t="n">
        <f aca="false">IFERROR(__xludf.dummyfunction("if($T176&lt;&gt;"""",VALUE(REGEXEXTRACT($T176, G$1&amp;""[\w &amp;]*, (\d+\.\d+)"")),"""")
"),530)</f>
        <v>530</v>
      </c>
      <c r="H176" s="3" t="n">
        <f aca="false">IFERROR(__xludf.dummyfunction("if($T176&lt;&gt;"""",VALUE(REGEXEXTRACT($T176, H$1&amp;""[\w &amp;]*, (\d+\.\d+)"")),"""")
"),537)</f>
        <v>537</v>
      </c>
      <c r="I176" s="3" t="n">
        <f aca="false">IFERROR(__xludf.dummyfunction("if($T176&lt;&gt;"""",VALUE(REGEXEXTRACT(SUBSTITUTE ($T176,I$1&amp;"" CE"",""""), I$1&amp;""[\w &amp;]*, (\d+\.\d+)"")),"""")
"),520)</f>
        <v>520</v>
      </c>
      <c r="J176" s="3" t="n">
        <f aca="false">IFERROR(__xludf.dummyfunction("if($T176&lt;&gt;"""",VALUE(REGEXEXTRACT($T176, J$1&amp;""[\w &amp;]*, (\d+\.\d+)"")),"""")
"),528)</f>
        <v>528</v>
      </c>
      <c r="K176" s="3" t="n">
        <f aca="false">IFERROR(__xludf.dummyfunction("if($T176&lt;&gt;"""",VALUE(REGEXEXTRACT($T176, K$1&amp;""[\w &amp;]*, (\d+\.\d+)"")),"""")
"),503)</f>
        <v>503</v>
      </c>
      <c r="L176" s="3" t="n">
        <f aca="false">IFERROR(__xludf.dummyfunction("if($T176&lt;&gt;"""",VALUE(REGEXEXTRACT(SUBSTITUTE ($T176,L$1&amp;"" CE"",""""), L$1&amp;""[\w &amp;]*, (\d+\.\d+)"")),"""")
"),524)</f>
        <v>524</v>
      </c>
      <c r="M176" s="3" t="n">
        <f aca="false">IFERROR(__xludf.dummyfunction("if($T176&lt;&gt;"""",VALUE(REGEXEXTRACT($T176, M$1&amp;""[\w &amp;]*, (\d+\.\d+)"")),"""")
"),528)</f>
        <v>528</v>
      </c>
      <c r="N176" s="3" t="n">
        <f aca="false">IFERROR(__xludf.dummyfunction("if($T176&lt;&gt;"""",VALUE(REGEXEXTRACT(SUBSTITUTE ($T176,N$1&amp;"" CE"",""""), N$1&amp;""[\w &amp;]*, (\d+\.\d+)"")),"""")
"),530)</f>
        <v>530</v>
      </c>
      <c r="O176" s="3" t="n">
        <f aca="false">IFERROR(__xludf.dummyfunction("if($T176&lt;&gt;"""",VALUE(REGEXEXTRACT($T176, O$1&amp;""[\w &amp;]*, (\d+\.\d+)"")),"""")
"),530)</f>
        <v>530</v>
      </c>
      <c r="P176" s="2" t="n">
        <f aca="false">IFERROR(__xludf.dummyfunction("if($T176&lt;&gt;"""",VALUE(REGEXEXTRACT($T176, P$1&amp;""[\w &amp;]*, (\d+\.\d+)"")),"""")
"),527.04)</f>
        <v>527.04</v>
      </c>
      <c r="Q176" s="2" t="n">
        <f aca="false">IFERROR(__xludf.dummyfunction("if($T176&lt;&gt;"""",VALUE(REGEXEXTRACT($T176, Q$1&amp;""[\w &amp;]*, (\d+\.\d+)"")),"""")
"),525.83)</f>
        <v>525.83</v>
      </c>
      <c r="R176" s="2" t="n">
        <f aca="false">IFERROR(__xludf.dummyfunction("if($T176&lt;&gt;"""",VALUE(REGEXEXTRACT($T176, SUBSTITUTE(R$1, ""+"", ""\+"")&amp;""[\w &amp;]*, (\d+\.\d+)"")),"""")"),532.88)</f>
        <v>532.88</v>
      </c>
      <c r="S176" s="2" t="n">
        <f aca="false">IFERROR(__xludf.dummyfunction("if($T176&lt;&gt;"""",VALUE(REGEXEXTRACT($T176, SUBSTITUTE(S$1, ""+"", ""\+"")&amp;""[\w &amp;]*, (\d+\.\d+)"")),"""")"),534.09)</f>
        <v>534.09</v>
      </c>
      <c r="T176" s="5" t="s">
        <v>593</v>
      </c>
    </row>
    <row r="177" customFormat="false" ht="15.75" hidden="false" customHeight="false" outlineLevel="0" collapsed="false">
      <c r="A177" s="4" t="n">
        <f aca="false">IFERROR(__xludf.dummyfunction("""COMPUTED_VALUE"""),45653.6666666667)</f>
        <v>45653.6666666667</v>
      </c>
      <c r="B177" s="2" t="n">
        <f aca="false">IFERROR(__xludf.dummyfunction("""COMPUTED_VALUE"""),526.01)</f>
        <v>526.01</v>
      </c>
      <c r="C177" s="2" t="n">
        <f aca="false">IFERROR(__xludf.dummyfunction("""COMPUTED_VALUE"""),526.45)</f>
        <v>526.45</v>
      </c>
      <c r="D177" s="2" t="n">
        <f aca="false">IFERROR(__xludf.dummyfunction("""COMPUTED_VALUE"""),517.86)</f>
        <v>517.86</v>
      </c>
      <c r="E177" s="2" t="n">
        <f aca="false">IFERROR(__xludf.dummyfunction("""COMPUTED_VALUE"""),522.56)</f>
        <v>522.56</v>
      </c>
      <c r="F177" s="3" t="n">
        <f aca="false">IFERROR(__xludf.dummyfunction("if($T177&lt;&gt;"""",VALUE(REGEXEXTRACT(SUBSTITUTE ($T177,F$1&amp;"" CE"",""""), F$1&amp;""[\w &amp;]*, (\d+\.\d+)"")),"""")
"),535)</f>
        <v>535</v>
      </c>
      <c r="G177" s="3" t="n">
        <f aca="false">IFERROR(__xludf.dummyfunction("if($T177&lt;&gt;"""",VALUE(REGEXEXTRACT($T177, G$1&amp;""[\w &amp;]*, (\d+\.\d+)"")),"""")
"),530)</f>
        <v>530</v>
      </c>
      <c r="H177" s="3" t="n">
        <f aca="false">IFERROR(__xludf.dummyfunction("if($T177&lt;&gt;"""",VALUE(REGEXEXTRACT($T177, H$1&amp;""[\w &amp;]*, (\d+\.\d+)"")),"""")
"),538)</f>
        <v>538</v>
      </c>
      <c r="I177" s="3" t="n">
        <f aca="false">IFERROR(__xludf.dummyfunction("if($T177&lt;&gt;"""",VALUE(REGEXEXTRACT(SUBSTITUTE ($T177,I$1&amp;"" CE"",""""), I$1&amp;""[\w &amp;]*, (\d+\.\d+)"")),"""")
"),520)</f>
        <v>520</v>
      </c>
      <c r="J177" s="3" t="n">
        <f aca="false">IFERROR(__xludf.dummyfunction("if($T177&lt;&gt;"""",VALUE(REGEXEXTRACT($T177, J$1&amp;""[\w &amp;]*, (\d+\.\d+)"")),"""")
"),528)</f>
        <v>528</v>
      </c>
      <c r="K177" s="3" t="n">
        <f aca="false">IFERROR(__xludf.dummyfunction("if($T177&lt;&gt;"""",VALUE(REGEXEXTRACT($T177, K$1&amp;""[\w &amp;]*, (\d+\.\d+)"")),"""")
"),503)</f>
        <v>503</v>
      </c>
      <c r="L177" s="3" t="n">
        <f aca="false">IFERROR(__xludf.dummyfunction("if($T177&lt;&gt;"""",VALUE(REGEXEXTRACT(SUBSTITUTE ($T177,L$1&amp;"" CE"",""""), L$1&amp;""[\w &amp;]*, (\d+\.\d+)"")),"""")
"),528)</f>
        <v>528</v>
      </c>
      <c r="M177" s="3" t="n">
        <f aca="false">IFERROR(__xludf.dummyfunction("if($T177&lt;&gt;"""",VALUE(REGEXEXTRACT($T177, M$1&amp;""[\w &amp;]*, (\d+\.\d+)"")),"""")
"),528)</f>
        <v>528</v>
      </c>
      <c r="N177" s="3" t="n">
        <f aca="false">IFERROR(__xludf.dummyfunction("if($T177&lt;&gt;"""",VALUE(REGEXEXTRACT(SUBSTITUTE ($T177,N$1&amp;"" CE"",""""), N$1&amp;""[\w &amp;]*, (\d+\.\d+)"")),"""")
"),530)</f>
        <v>530</v>
      </c>
      <c r="O177" s="3" t="n">
        <f aca="false">IFERROR(__xludf.dummyfunction("if($T177&lt;&gt;"""",VALUE(REGEXEXTRACT($T177, O$1&amp;""[\w &amp;]*, (\d+\.\d+)"")),"""")
"),530)</f>
        <v>530</v>
      </c>
      <c r="P177" s="2" t="n">
        <f aca="false">IFERROR(__xludf.dummyfunction("if($T177&lt;&gt;"""",VALUE(REGEXEXTRACT($T177, P$1&amp;""[\w &amp;]*, (\d+\.\d+)"")),"""")
"),525.67)</f>
        <v>525.67</v>
      </c>
      <c r="Q177" s="2" t="n">
        <f aca="false">IFERROR(__xludf.dummyfunction("if($T177&lt;&gt;"""",VALUE(REGEXEXTRACT($T177, Q$1&amp;""[\w &amp;]*, (\d+\.\d+)"")),"""")
"),521.74)</f>
        <v>521.74</v>
      </c>
      <c r="R177" s="2" t="n">
        <f aca="false">IFERROR(__xludf.dummyfunction("if($T177&lt;&gt;"""",VALUE(REGEXEXTRACT($T177, SUBSTITUTE(R$1, ""+"", ""\+"")&amp;""[\w &amp;]*, (\d+\.\d+)"")),"""")"),533.53)</f>
        <v>533.53</v>
      </c>
      <c r="S177" s="2" t="n">
        <f aca="false">IFERROR(__xludf.dummyfunction("if($T177&lt;&gt;"""",VALUE(REGEXEXTRACT($T177, SUBSTITUTE(S$1, ""+"", ""\+"")&amp;""[\w &amp;]*, (\d+\.\d+)"")),"""")"),537.46)</f>
        <v>537.46</v>
      </c>
      <c r="T177" s="5" t="s">
        <v>594</v>
      </c>
    </row>
    <row r="178" customFormat="false" ht="15.75" hidden="false" customHeight="false" outlineLevel="0" collapsed="false">
      <c r="A178" s="4" t="n">
        <f aca="false">IFERROR(__xludf.dummyfunction("""COMPUTED_VALUE"""),45656.6666666667)</f>
        <v>45656.6666666667</v>
      </c>
      <c r="B178" s="2" t="n">
        <f aca="false">IFERROR(__xludf.dummyfunction("""COMPUTED_VALUE"""),515.51)</f>
        <v>515.51</v>
      </c>
      <c r="C178" s="2" t="n">
        <f aca="false">IFERROR(__xludf.dummyfunction("""COMPUTED_VALUE"""),519.36)</f>
        <v>519.36</v>
      </c>
      <c r="D178" s="2" t="n">
        <f aca="false">IFERROR(__xludf.dummyfunction("""COMPUTED_VALUE"""),511.83)</f>
        <v>511.83</v>
      </c>
      <c r="E178" s="2" t="n">
        <f aca="false">IFERROR(__xludf.dummyfunction("""COMPUTED_VALUE"""),515.61)</f>
        <v>515.61</v>
      </c>
      <c r="F178" s="3" t="n">
        <f aca="false">IFERROR(__xludf.dummyfunction("if($T178&lt;&gt;"""",VALUE(REGEXEXTRACT(SUBSTITUTE ($T178,F$1&amp;"" CE"",""""), F$1&amp;""[\w &amp;]*, (\d+\.\d+)"")),"""")
"),525)</f>
        <v>525</v>
      </c>
      <c r="G178" s="3" t="n">
        <f aca="false">IFERROR(__xludf.dummyfunction("if($T178&lt;&gt;"""",VALUE(REGEXEXTRACT($T178, G$1&amp;""[\w &amp;]*, (\d+\.\d+)"")),"""")
"),525)</f>
        <v>525</v>
      </c>
      <c r="H178" s="3" t="n">
        <f aca="false">IFERROR(__xludf.dummyfunction("if($T178&lt;&gt;"""",VALUE(REGEXEXTRACT($T178, H$1&amp;""[\w &amp;]*, (\d+\.\d+)"")),"""")
"),538)</f>
        <v>538</v>
      </c>
      <c r="I178" s="3" t="n">
        <f aca="false">IFERROR(__xludf.dummyfunction("if($T178&lt;&gt;"""",VALUE(REGEXEXTRACT(SUBSTITUTE ($T178,I$1&amp;"" CE"",""""), I$1&amp;""[\w &amp;]*, (\d+\.\d+)"")),"""")
"),520)</f>
        <v>520</v>
      </c>
      <c r="J178" s="3" t="n">
        <f aca="false">IFERROR(__xludf.dummyfunction("if($T178&lt;&gt;"""",VALUE(REGEXEXTRACT($T178, J$1&amp;""[\w &amp;]*, (\d+\.\d+)"")),"""")
"),515)</f>
        <v>515</v>
      </c>
      <c r="K178" s="3" t="n">
        <f aca="false">IFERROR(__xludf.dummyfunction("if($T178&lt;&gt;"""",VALUE(REGEXEXTRACT($T178, K$1&amp;""[\w &amp;]*, (\d+\.\d+)"")),"""")
"),509)</f>
        <v>509</v>
      </c>
      <c r="L178" s="3" t="n">
        <f aca="false">IFERROR(__xludf.dummyfunction("if($T178&lt;&gt;"""",VALUE(REGEXEXTRACT(SUBSTITUTE ($T178,L$1&amp;"" CE"",""""), L$1&amp;""[\w &amp;]*, (\d+\.\d+)"")),"""")
"),521)</f>
        <v>521</v>
      </c>
      <c r="M178" s="3" t="n">
        <f aca="false">IFERROR(__xludf.dummyfunction("if($T178&lt;&gt;"""",VALUE(REGEXEXTRACT($T178, M$1&amp;""[\w &amp;]*, (\d+\.\d+)"")),"""")
"),521)</f>
        <v>521</v>
      </c>
      <c r="N178" s="3" t="n">
        <f aca="false">IFERROR(__xludf.dummyfunction("if($T178&lt;&gt;"""",VALUE(REGEXEXTRACT(SUBSTITUTE ($T178,N$1&amp;"" CE"",""""), N$1&amp;""[\w &amp;]*, (\d+\.\d+)"")),"""")
"),520)</f>
        <v>520</v>
      </c>
      <c r="O178" s="3" t="n">
        <f aca="false">IFERROR(__xludf.dummyfunction("if($T178&lt;&gt;"""",VALUE(REGEXEXTRACT($T178, O$1&amp;""[\w &amp;]*, (\d+\.\d+)"")),"""")
"),520)</f>
        <v>520</v>
      </c>
      <c r="P178" s="2" t="n">
        <f aca="false">IFERROR(__xludf.dummyfunction("if($T178&lt;&gt;"""",VALUE(REGEXEXTRACT($T178, P$1&amp;""[\w &amp;]*, (\d+\.\d+)"")),"""")
"),518.92)</f>
        <v>518.92</v>
      </c>
      <c r="Q178" s="2" t="n">
        <f aca="false">IFERROR(__xludf.dummyfunction("if($T178&lt;&gt;"""",VALUE(REGEXEXTRACT($T178, Q$1&amp;""[\w &amp;]*, (\d+\.\d+)"")),"""")
"),517.41)</f>
        <v>517.41</v>
      </c>
      <c r="R178" s="2" t="n">
        <f aca="false">IFERROR(__xludf.dummyfunction("if($T178&lt;&gt;"""",VALUE(REGEXEXTRACT($T178, SUBSTITUTE(R$1, ""+"", ""\+"")&amp;""[\w &amp;]*, (\d+\.\d+)"")),"""")"),526.2)</f>
        <v>526.2</v>
      </c>
      <c r="S178" s="2" t="n">
        <f aca="false">IFERROR(__xludf.dummyfunction("if($T178&lt;&gt;"""",VALUE(REGEXEXTRACT($T178, SUBSTITUTE(S$1, ""+"", ""\+"")&amp;""[\w &amp;]*, (\d+\.\d+)"")),"""")"),527.71)</f>
        <v>527.71</v>
      </c>
      <c r="T178" s="5" t="s">
        <v>595</v>
      </c>
    </row>
    <row r="179" customFormat="false" ht="15.75" hidden="false" customHeight="false" outlineLevel="0" collapsed="false">
      <c r="A179" s="4" t="n">
        <f aca="false">IFERROR(__xludf.dummyfunction("""COMPUTED_VALUE"""),45657.6666666667)</f>
        <v>45657.6666666667</v>
      </c>
      <c r="B179" s="2" t="n">
        <f aca="false">IFERROR(__xludf.dummyfunction("""COMPUTED_VALUE"""),516.9)</f>
        <v>516.9</v>
      </c>
      <c r="C179" s="2" t="n">
        <f aca="false">IFERROR(__xludf.dummyfunction("""COMPUTED_VALUE"""),517.66)</f>
        <v>517.66</v>
      </c>
      <c r="D179" s="2" t="n">
        <f aca="false">IFERROR(__xludf.dummyfunction("""COMPUTED_VALUE"""),510.26)</f>
        <v>510.26</v>
      </c>
      <c r="E179" s="2" t="n">
        <f aca="false">IFERROR(__xludf.dummyfunction("""COMPUTED_VALUE"""),511.23)</f>
        <v>511.23</v>
      </c>
      <c r="F179" s="3" t="n">
        <f aca="false">IFERROR(__xludf.dummyfunction("if($T179&lt;&gt;"""",VALUE(REGEXEXTRACT(SUBSTITUTE ($T179,F$1&amp;"" CE"",""""), F$1&amp;""[\w &amp;]*, (\d+\.\d+)"")),"""")
"),520)</f>
        <v>520</v>
      </c>
      <c r="G179" s="3" t="n">
        <f aca="false">IFERROR(__xludf.dummyfunction("if($T179&lt;&gt;"""",VALUE(REGEXEXTRACT($T179, G$1&amp;""[\w &amp;]*, (\d+\.\d+)"")),"""")
"),520)</f>
        <v>520</v>
      </c>
      <c r="H179" s="3" t="n">
        <f aca="false">IFERROR(__xludf.dummyfunction("if($T179&lt;&gt;"""",VALUE(REGEXEXTRACT($T179, H$1&amp;""[\w &amp;]*, (\d+\.\d+)"")),"""")
"),540)</f>
        <v>540</v>
      </c>
      <c r="I179" s="3" t="n">
        <f aca="false">IFERROR(__xludf.dummyfunction("if($T179&lt;&gt;"""",VALUE(REGEXEXTRACT(SUBSTITUTE ($T179,I$1&amp;"" CE"",""""), I$1&amp;""[\w &amp;]*, (\d+\.\d+)"")),"""")
"),515)</f>
        <v>515</v>
      </c>
      <c r="J179" s="3" t="n">
        <f aca="false">IFERROR(__xludf.dummyfunction("if($T179&lt;&gt;"""",VALUE(REGEXEXTRACT($T179, J$1&amp;""[\w &amp;]*, (\d+\.\d+)"")),"""")
"),515)</f>
        <v>515</v>
      </c>
      <c r="K179" s="3" t="n">
        <f aca="false">IFERROR(__xludf.dummyfunction("if($T179&lt;&gt;"""",VALUE(REGEXEXTRACT($T179, K$1&amp;""[\w &amp;]*, (\d+\.\d+)"")),"""")
"),509)</f>
        <v>509</v>
      </c>
      <c r="L179" s="3" t="n">
        <f aca="false">IFERROR(__xludf.dummyfunction("if($T179&lt;&gt;"""",VALUE(REGEXEXTRACT(SUBSTITUTE ($T179,L$1&amp;"" CE"",""""), L$1&amp;""[\w &amp;]*, (\d+\.\d+)"")),"""")
"),520)</f>
        <v>520</v>
      </c>
      <c r="M179" s="3" t="n">
        <f aca="false">IFERROR(__xludf.dummyfunction("if($T179&lt;&gt;"""",VALUE(REGEXEXTRACT($T179, M$1&amp;""[\w &amp;]*, (\d+\.\d+)"")),"""")
"),518)</f>
        <v>518</v>
      </c>
      <c r="N179" s="3" t="n">
        <f aca="false">IFERROR(__xludf.dummyfunction("if($T179&lt;&gt;"""",VALUE(REGEXEXTRACT(SUBSTITUTE ($T179,N$1&amp;"" CE"",""""), N$1&amp;""[\w &amp;]*, (\d+\.\d+)"")),"""")
"),520)</f>
        <v>520</v>
      </c>
      <c r="O179" s="3" t="n">
        <f aca="false">IFERROR(__xludf.dummyfunction("if($T179&lt;&gt;"""",VALUE(REGEXEXTRACT($T179, O$1&amp;""[\w &amp;]*, (\d+\.\d+)"")),"""")
"),515)</f>
        <v>515</v>
      </c>
      <c r="P179" s="2" t="n">
        <f aca="false">IFERROR(__xludf.dummyfunction("if($T179&lt;&gt;"""",VALUE(REGEXEXTRACT($T179, P$1&amp;""[\w &amp;]*, (\d+\.\d+)"")),"""")
"),510.85)</f>
        <v>510.85</v>
      </c>
      <c r="Q179" s="2" t="n">
        <f aca="false">IFERROR(__xludf.dummyfunction("if($T179&lt;&gt;"""",VALUE(REGEXEXTRACT($T179, Q$1&amp;""[\w &amp;]*, (\d+\.\d+)"")),"""")
"),507.37)</f>
        <v>507.37</v>
      </c>
      <c r="R179" s="2" t="n">
        <f aca="false">IFERROR(__xludf.dummyfunction("if($T179&lt;&gt;"""",VALUE(REGEXEXTRACT($T179, SUBSTITUTE(R$1, ""+"", ""\+"")&amp;""[\w &amp;]*, (\d+\.\d+)"")),"""")"),520.37)</f>
        <v>520.37</v>
      </c>
      <c r="S179" s="2" t="n">
        <f aca="false">IFERROR(__xludf.dummyfunction("if($T179&lt;&gt;"""",VALUE(REGEXEXTRACT($T179, SUBSTITUTE(S$1, ""+"", ""\+"")&amp;""[\w &amp;]*, (\d+\.\d+)"")),"""")"),523.85)</f>
        <v>523.85</v>
      </c>
      <c r="T179" s="5" t="s">
        <v>596</v>
      </c>
    </row>
    <row r="180" customFormat="false" ht="15.75" hidden="false" customHeight="false" outlineLevel="0" collapsed="false">
      <c r="A180" s="4" t="n">
        <f aca="false">IFERROR(__xludf.dummyfunction("""COMPUTED_VALUE"""),45659.6666666667)</f>
        <v>45659.6666666667</v>
      </c>
      <c r="B180" s="2" t="n">
        <f aca="false">IFERROR(__xludf.dummyfunction("""COMPUTED_VALUE"""),514.3)</f>
        <v>514.3</v>
      </c>
      <c r="C180" s="2" t="n">
        <f aca="false">IFERROR(__xludf.dummyfunction("""COMPUTED_VALUE"""),516.64)</f>
        <v>516.64</v>
      </c>
      <c r="D180" s="2" t="n">
        <f aca="false">IFERROR(__xludf.dummyfunction("""COMPUTED_VALUE"""),505.71)</f>
        <v>505.71</v>
      </c>
      <c r="E180" s="2" t="n">
        <f aca="false">IFERROR(__xludf.dummyfunction("""COMPUTED_VALUE"""),510.23)</f>
        <v>510.23</v>
      </c>
      <c r="F180" s="3" t="n">
        <f aca="false">IFERROR(__xludf.dummyfunction("if($T180&lt;&gt;"""",VALUE(REGEXEXTRACT(SUBSTITUTE ($T180,F$1&amp;"" CE"",""""), F$1&amp;""[\w &amp;]*, (\d+\.\d+)"")),"""")
"),520)</f>
        <v>520</v>
      </c>
      <c r="G180" s="3" t="n">
        <f aca="false">IFERROR(__xludf.dummyfunction("if($T180&lt;&gt;"""",VALUE(REGEXEXTRACT($T180, G$1&amp;""[\w &amp;]*, (\d+\.\d+)"")),"""")
"),518)</f>
        <v>518</v>
      </c>
      <c r="H180" s="3" t="n">
        <f aca="false">IFERROR(__xludf.dummyfunction("if($T180&lt;&gt;"""",VALUE(REGEXEXTRACT($T180, H$1&amp;""[\w &amp;]*, (\d+\.\d+)"")),"""")
"),540)</f>
        <v>540</v>
      </c>
      <c r="I180" s="3" t="n">
        <f aca="false">IFERROR(__xludf.dummyfunction("if($T180&lt;&gt;"""",VALUE(REGEXEXTRACT(SUBSTITUTE ($T180,I$1&amp;"" CE"",""""), I$1&amp;""[\w &amp;]*, (\d+\.\d+)"")),"""")
"),520)</f>
        <v>520</v>
      </c>
      <c r="J180" s="3" t="n">
        <f aca="false">IFERROR(__xludf.dummyfunction("if($T180&lt;&gt;"""",VALUE(REGEXEXTRACT($T180, J$1&amp;""[\w &amp;]*, (\d+\.\d+)"")),"""")
"),515)</f>
        <v>515</v>
      </c>
      <c r="K180" s="3" t="n">
        <f aca="false">IFERROR(__xludf.dummyfunction("if($T180&lt;&gt;"""",VALUE(REGEXEXTRACT($T180, K$1&amp;""[\w &amp;]*, (\d+\.\d+)"")),"""")
"),504)</f>
        <v>504</v>
      </c>
      <c r="L180" s="3" t="n">
        <f aca="false">IFERROR(__xludf.dummyfunction("if($T180&lt;&gt;"""",VALUE(REGEXEXTRACT(SUBSTITUTE ($T180,L$1&amp;"" CE"",""""), L$1&amp;""[\w &amp;]*, (\d+\.\d+)"")),"""")
"),516)</f>
        <v>516</v>
      </c>
      <c r="M180" s="3" t="n">
        <f aca="false">IFERROR(__xludf.dummyfunction("if($T180&lt;&gt;"""",VALUE(REGEXEXTRACT($T180, M$1&amp;""[\w &amp;]*, (\d+\.\d+)"")),"""")
"),516)</f>
        <v>516</v>
      </c>
      <c r="N180" s="3" t="n">
        <f aca="false">IFERROR(__xludf.dummyfunction("if($T180&lt;&gt;"""",VALUE(REGEXEXTRACT(SUBSTITUTE ($T180,N$1&amp;"" CE"",""""), N$1&amp;""[\w &amp;]*, (\d+\.\d+)"")),"""")
"),520)</f>
        <v>520</v>
      </c>
      <c r="O180" s="3" t="n">
        <f aca="false">IFERROR(__xludf.dummyfunction("if($T180&lt;&gt;"""",VALUE(REGEXEXTRACT($T180, O$1&amp;""[\w &amp;]*, (\d+\.\d+)"")),"""")
"),518)</f>
        <v>518</v>
      </c>
      <c r="P180" s="2" t="n">
        <f aca="false">IFERROR(__xludf.dummyfunction("if($T180&lt;&gt;"""",VALUE(REGEXEXTRACT($T180, P$1&amp;""[\w &amp;]*, (\d+\.\d+)"")),"""")
"),514.44)</f>
        <v>514.44</v>
      </c>
      <c r="Q180" s="2" t="n">
        <f aca="false">IFERROR(__xludf.dummyfunction("if($T180&lt;&gt;"""",VALUE(REGEXEXTRACT($T180, Q$1&amp;""[\w &amp;]*, (\d+\.\d+)"")),"""")
"),512.72)</f>
        <v>512.72</v>
      </c>
      <c r="R180" s="2" t="n">
        <f aca="false">IFERROR(__xludf.dummyfunction("if($T180&lt;&gt;"""",VALUE(REGEXEXTRACT($T180, SUBSTITUTE(R$1, ""+"", ""\+"")&amp;""[\w &amp;]*, (\d+\.\d+)"")),"""")"),522.72)</f>
        <v>522.72</v>
      </c>
      <c r="S180" s="2" t="n">
        <f aca="false">IFERROR(__xludf.dummyfunction("if($T180&lt;&gt;"""",VALUE(REGEXEXTRACT($T180, SUBSTITUTE(S$1, ""+"", ""\+"")&amp;""[\w &amp;]*, (\d+\.\d+)"")),"""")"),524.44)</f>
        <v>524.44</v>
      </c>
      <c r="T180" s="5" t="s">
        <v>597</v>
      </c>
    </row>
    <row r="181" customFormat="false" ht="15.75" hidden="false" customHeight="false" outlineLevel="0" collapsed="false">
      <c r="A181" s="4" t="n">
        <f aca="false">IFERROR(__xludf.dummyfunction("""COMPUTED_VALUE"""),45660.6666666667)</f>
        <v>45660.6666666667</v>
      </c>
      <c r="B181" s="2" t="n">
        <f aca="false">IFERROR(__xludf.dummyfunction("""COMPUTED_VALUE"""),513.35)</f>
        <v>513.35</v>
      </c>
      <c r="C181" s="2" t="n">
        <f aca="false">IFERROR(__xludf.dummyfunction("""COMPUTED_VALUE"""),519.65)</f>
        <v>519.65</v>
      </c>
      <c r="D181" s="2" t="n">
        <f aca="false">IFERROR(__xludf.dummyfunction("""COMPUTED_VALUE"""),512.53)</f>
        <v>512.53</v>
      </c>
      <c r="E181" s="2" t="n">
        <f aca="false">IFERROR(__xludf.dummyfunction("""COMPUTED_VALUE"""),518.58)</f>
        <v>518.58</v>
      </c>
      <c r="F181" s="3" t="n">
        <f aca="false">IFERROR(__xludf.dummyfunction("if($T181&lt;&gt;"""",VALUE(REGEXEXTRACT(SUBSTITUTE ($T181,F$1&amp;"" CE"",""""), F$1&amp;""[\w &amp;]*, (\d+\.\d+)"")),"""")
"),520)</f>
        <v>520</v>
      </c>
      <c r="G181" s="3" t="n">
        <f aca="false">IFERROR(__xludf.dummyfunction("if($T181&lt;&gt;"""",VALUE(REGEXEXTRACT($T181, G$1&amp;""[\w &amp;]*, (\d+\.\d+)"")),"""")
"),520)</f>
        <v>520</v>
      </c>
      <c r="H181" s="3" t="n">
        <f aca="false">IFERROR(__xludf.dummyfunction("if($T181&lt;&gt;"""",VALUE(REGEXEXTRACT($T181, H$1&amp;""[\w &amp;]*, (\d+\.\d+)"")),"""")
"),540)</f>
        <v>540</v>
      </c>
      <c r="I181" s="3" t="n">
        <f aca="false">IFERROR(__xludf.dummyfunction("if($T181&lt;&gt;"""",VALUE(REGEXEXTRACT(SUBSTITUTE ($T181,I$1&amp;"" CE"",""""), I$1&amp;""[\w &amp;]*, (\d+\.\d+)"")),"""")
"),500)</f>
        <v>500</v>
      </c>
      <c r="J181" s="3" t="n">
        <f aca="false">IFERROR(__xludf.dummyfunction("if($T181&lt;&gt;"""",VALUE(REGEXEXTRACT($T181, J$1&amp;""[\w &amp;]*, (\d+\.\d+)"")),"""")
"),510)</f>
        <v>510</v>
      </c>
      <c r="K181" s="3" t="n">
        <f aca="false">IFERROR(__xludf.dummyfunction("if($T181&lt;&gt;"""",VALUE(REGEXEXTRACT($T181, K$1&amp;""[\w &amp;]*, (\d+\.\d+)"")),"""")
"),504)</f>
        <v>504</v>
      </c>
      <c r="L181" s="3" t="n">
        <f aca="false">IFERROR(__xludf.dummyfunction("if($T181&lt;&gt;"""",VALUE(REGEXEXTRACT(SUBSTITUTE ($T181,L$1&amp;"" CE"",""""), L$1&amp;""[\w &amp;]*, (\d+\.\d+)"")),"""")
"),511)</f>
        <v>511</v>
      </c>
      <c r="M181" s="3" t="n">
        <f aca="false">IFERROR(__xludf.dummyfunction("if($T181&lt;&gt;"""",VALUE(REGEXEXTRACT($T181, M$1&amp;""[\w &amp;]*, (\d+\.\d+)"")),"""")
"),511)</f>
        <v>511</v>
      </c>
      <c r="N181" s="3" t="n">
        <f aca="false">IFERROR(__xludf.dummyfunction("if($T181&lt;&gt;"""",VALUE(REGEXEXTRACT(SUBSTITUTE ($T181,N$1&amp;"" CE"",""""), N$1&amp;""[\w &amp;]*, (\d+\.\d+)"")),"""")
"),510)</f>
        <v>510</v>
      </c>
      <c r="O181" s="3" t="n">
        <f aca="false">IFERROR(__xludf.dummyfunction("if($T181&lt;&gt;"""",VALUE(REGEXEXTRACT($T181, O$1&amp;""[\w &amp;]*, (\d+\.\d+)"")),"""")
"),510)</f>
        <v>510</v>
      </c>
      <c r="P181" s="2" t="n">
        <f aca="false">IFERROR(__xludf.dummyfunction("if($T181&lt;&gt;"""",VALUE(REGEXEXTRACT($T181, P$1&amp;""[\w &amp;]*, (\d+\.\d+)"")),"""")
"),505.31)</f>
        <v>505.31</v>
      </c>
      <c r="Q181" s="2" t="n">
        <f aca="false">IFERROR(__xludf.dummyfunction("if($T181&lt;&gt;"""",VALUE(REGEXEXTRACT($T181, Q$1&amp;""[\w &amp;]*, (\d+\.\d+)"")),"""")
"),500.39)</f>
        <v>500.39</v>
      </c>
      <c r="R181" s="2" t="n">
        <f aca="false">IFERROR(__xludf.dummyfunction("if($T181&lt;&gt;"""",VALUE(REGEXEXTRACT($T181, SUBSTITUTE(R$1, ""+"", ""\+"")&amp;""[\w &amp;]*, (\d+\.\d+)"")),"""")"),515.15)</f>
        <v>515.15</v>
      </c>
      <c r="S181" s="2" t="n">
        <f aca="false">IFERROR(__xludf.dummyfunction("if($T181&lt;&gt;"""",VALUE(REGEXEXTRACT($T181, SUBSTITUTE(S$1, ""+"", ""\+"")&amp;""[\w &amp;]*, (\d+\.\d+)"")),"""")"),520.07)</f>
        <v>520.07</v>
      </c>
      <c r="T181" s="5" t="s">
        <v>598</v>
      </c>
    </row>
    <row r="182" customFormat="false" ht="15.75" hidden="false" customHeight="false" outlineLevel="0" collapsed="false">
      <c r="A182" s="4" t="n">
        <f aca="false">IFERROR(__xludf.dummyfunction("""COMPUTED_VALUE"""),45663.6666666667)</f>
        <v>45663.6666666667</v>
      </c>
      <c r="B182" s="2" t="n">
        <f aca="false">IFERROR(__xludf.dummyfunction("""COMPUTED_VALUE"""),524.02)</f>
        <v>524.02</v>
      </c>
      <c r="C182" s="2" t="n">
        <f aca="false">IFERROR(__xludf.dummyfunction("""COMPUTED_VALUE"""),527.92)</f>
        <v>527.92</v>
      </c>
      <c r="D182" s="2" t="n">
        <f aca="false">IFERROR(__xludf.dummyfunction("""COMPUTED_VALUE"""),522.03)</f>
        <v>522.03</v>
      </c>
      <c r="E182" s="2" t="n">
        <f aca="false">IFERROR(__xludf.dummyfunction("""COMPUTED_VALUE"""),524.54)</f>
        <v>524.54</v>
      </c>
      <c r="F182" s="3" t="n">
        <f aca="false">IFERROR(__xludf.dummyfunction("if($T182&lt;&gt;"""",VALUE(REGEXEXTRACT(SUBSTITUTE ($T182,F$1&amp;"" CE"",""""), F$1&amp;""[\w &amp;]*, (\d+\.\d+)"")),"""")
"),520)</f>
        <v>520</v>
      </c>
      <c r="G182" s="3" t="n">
        <f aca="false">IFERROR(__xludf.dummyfunction("if($T182&lt;&gt;"""",VALUE(REGEXEXTRACT($T182, G$1&amp;""[\w &amp;]*, (\d+\.\d+)"")),"""")
"),515)</f>
        <v>515</v>
      </c>
      <c r="H182" s="3" t="n">
        <f aca="false">IFERROR(__xludf.dummyfunction("if($T182&lt;&gt;"""",VALUE(REGEXEXTRACT($T182, H$1&amp;""[\w &amp;]*, (\d+\.\d+)"")),"""")
"),540)</f>
        <v>540</v>
      </c>
      <c r="I182" s="3" t="n">
        <f aca="false">IFERROR(__xludf.dummyfunction("if($T182&lt;&gt;"""",VALUE(REGEXEXTRACT(SUBSTITUTE ($T182,I$1&amp;"" CE"",""""), I$1&amp;""[\w &amp;]*, (\d+\.\d+)"")),"""")
"),500)</f>
        <v>500</v>
      </c>
      <c r="J182" s="3" t="n">
        <f aca="false">IFERROR(__xludf.dummyfunction("if($T182&lt;&gt;"""",VALUE(REGEXEXTRACT($T182, J$1&amp;""[\w &amp;]*, (\d+\.\d+)"")),"""")
"),505)</f>
        <v>505</v>
      </c>
      <c r="K182" s="3" t="n">
        <f aca="false">IFERROR(__xludf.dummyfunction("if($T182&lt;&gt;"""",VALUE(REGEXEXTRACT($T182, K$1&amp;""[\w &amp;]*, (\d+\.\d+)"")),"""")
"),509)</f>
        <v>509</v>
      </c>
      <c r="L182" s="3" t="n">
        <f aca="false">IFERROR(__xludf.dummyfunction("if($T182&lt;&gt;"""",VALUE(REGEXEXTRACT(SUBSTITUTE ($T182,L$1&amp;"" CE"",""""), L$1&amp;""[\w &amp;]*, (\d+\.\d+)"")),"""")
"),512.5)</f>
        <v>512.5</v>
      </c>
      <c r="M182" s="3" t="n">
        <f aca="false">IFERROR(__xludf.dummyfunction("if($T182&lt;&gt;"""",VALUE(REGEXEXTRACT($T182, M$1&amp;""[\w &amp;]*, (\d+\.\d+)"")),"""")
"),511)</f>
        <v>511</v>
      </c>
      <c r="N182" s="3" t="n">
        <f aca="false">IFERROR(__xludf.dummyfunction("if($T182&lt;&gt;"""",VALUE(REGEXEXTRACT(SUBSTITUTE ($T182,N$1&amp;"" CE"",""""), N$1&amp;""[\w &amp;]*, (\d+\.\d+)"")),"""")
"),510)</f>
        <v>510</v>
      </c>
      <c r="O182" s="3" t="n">
        <f aca="false">IFERROR(__xludf.dummyfunction("if($T182&lt;&gt;"""",VALUE(REGEXEXTRACT($T182, O$1&amp;""[\w &amp;]*, (\d+\.\d+)"")),"""")
"),514)</f>
        <v>514</v>
      </c>
      <c r="P182" s="2" t="n">
        <f aca="false">IFERROR(__xludf.dummyfunction("if($T182&lt;&gt;"""",VALUE(REGEXEXTRACT($T182, P$1&amp;""[\w &amp;]*, (\d+\.\d+)"")),"""")
"),507.03)</f>
        <v>507.03</v>
      </c>
      <c r="Q182" s="2" t="n">
        <f aca="false">IFERROR(__xludf.dummyfunction("if($T182&lt;&gt;"""",VALUE(REGEXEXTRACT($T182, Q$1&amp;""[\w &amp;]*, (\d+\.\d+)"")),"""")
"),505.3)</f>
        <v>505.3</v>
      </c>
      <c r="R182" s="2" t="n">
        <f aca="false">IFERROR(__xludf.dummyfunction("if($T182&lt;&gt;"""",VALUE(REGEXEXTRACT($T182, SUBSTITUTE(R$1, ""+"", ""\+"")&amp;""[\w &amp;]*, (\d+\.\d+)"")),"""")"),515.43)</f>
        <v>515.43</v>
      </c>
      <c r="S182" s="2" t="n">
        <f aca="false">IFERROR(__xludf.dummyfunction("if($T182&lt;&gt;"""",VALUE(REGEXEXTRACT($T182, SUBSTITUTE(S$1, ""+"", ""\+"")&amp;""[\w &amp;]*, (\d+\.\d+)"")),"""")"),517.16)</f>
        <v>517.16</v>
      </c>
      <c r="T182" s="5" t="s">
        <v>599</v>
      </c>
    </row>
    <row r="183" customFormat="false" ht="15.75" hidden="false" customHeight="false" outlineLevel="0" collapsed="false">
      <c r="A183" s="4" t="n">
        <f aca="false">IFERROR(__xludf.dummyfunction("""COMPUTED_VALUE"""),45664.6666666667)</f>
        <v>45664.6666666667</v>
      </c>
      <c r="B183" s="2" t="n">
        <f aca="false">IFERROR(__xludf.dummyfunction("""COMPUTED_VALUE"""),525.59)</f>
        <v>525.59</v>
      </c>
      <c r="C183" s="2" t="n">
        <f aca="false">IFERROR(__xludf.dummyfunction("""COMPUTED_VALUE"""),525.99)</f>
        <v>525.99</v>
      </c>
      <c r="D183" s="2" t="n">
        <f aca="false">IFERROR(__xludf.dummyfunction("""COMPUTED_VALUE"""),513.28)</f>
        <v>513.28</v>
      </c>
      <c r="E183" s="2" t="n">
        <f aca="false">IFERROR(__xludf.dummyfunction("""COMPUTED_VALUE"""),515.18)</f>
        <v>515.18</v>
      </c>
      <c r="F183" s="3" t="n">
        <f aca="false">IFERROR(__xludf.dummyfunction("if($T183&lt;&gt;"""",VALUE(REGEXEXTRACT(SUBSTITUTE ($T183,F$1&amp;"" CE"",""""), F$1&amp;""[\w &amp;]*, (\d+\.\d+)"")),"""")
"),520)</f>
        <v>520</v>
      </c>
      <c r="G183" s="3" t="n">
        <f aca="false">IFERROR(__xludf.dummyfunction("if($T183&lt;&gt;"""",VALUE(REGEXEXTRACT($T183, G$1&amp;""[\w &amp;]*, (\d+\.\d+)"")),"""")
"),530)</f>
        <v>530</v>
      </c>
      <c r="H183" s="3" t="n">
        <f aca="false">IFERROR(__xludf.dummyfunction("if($T183&lt;&gt;"""",VALUE(REGEXEXTRACT($T183, H$1&amp;""[\w &amp;]*, (\d+\.\d+)"")),"""")
"),534)</f>
        <v>534</v>
      </c>
      <c r="I183" s="3" t="n">
        <f aca="false">IFERROR(__xludf.dummyfunction("if($T183&lt;&gt;"""",VALUE(REGEXEXTRACT(SUBSTITUTE ($T183,I$1&amp;"" CE"",""""), I$1&amp;""[\w &amp;]*, (\d+\.\d+)"")),"""")
"),520)</f>
        <v>520</v>
      </c>
      <c r="J183" s="3" t="n">
        <f aca="false">IFERROR(__xludf.dummyfunction("if($T183&lt;&gt;"""",VALUE(REGEXEXTRACT($T183, J$1&amp;""[\w &amp;]*, (\d+\.\d+)"")),"""")
"),516)</f>
        <v>516</v>
      </c>
      <c r="K183" s="3" t="n">
        <f aca="false">IFERROR(__xludf.dummyfunction("if($T183&lt;&gt;"""",VALUE(REGEXEXTRACT($T183, K$1&amp;""[\w &amp;]*, (\d+\.\d+)"")),"""")
"),519)</f>
        <v>519</v>
      </c>
      <c r="L183" s="3" t="n">
        <f aca="false">IFERROR(__xludf.dummyfunction("if($T183&lt;&gt;"""",VALUE(REGEXEXTRACT(SUBSTITUTE ($T183,L$1&amp;"" CE"",""""), L$1&amp;""[\w &amp;]*, (\d+\.\d+)"")),"""")
"),523)</f>
        <v>523</v>
      </c>
      <c r="M183" s="3" t="n">
        <f aca="false">IFERROR(__xludf.dummyfunction("if($T183&lt;&gt;"""",VALUE(REGEXEXTRACT($T183, M$1&amp;""[\w &amp;]*, (\d+\.\d+)"")),"""")
"),523)</f>
        <v>523</v>
      </c>
      <c r="N183" s="3" t="n">
        <f aca="false">IFERROR(__xludf.dummyfunction("if($T183&lt;&gt;"""",VALUE(REGEXEXTRACT(SUBSTITUTE ($T183,N$1&amp;"" CE"",""""), N$1&amp;""[\w &amp;]*, (\d+\.\d+)"")),"""")
"),520)</f>
        <v>520</v>
      </c>
      <c r="O183" s="3" t="n">
        <f aca="false">IFERROR(__xludf.dummyfunction("if($T183&lt;&gt;"""",VALUE(REGEXEXTRACT($T183, O$1&amp;""[\w &amp;]*, (\d+\.\d+)"")),"""")
"),525)</f>
        <v>525</v>
      </c>
      <c r="P183" s="2" t="n">
        <f aca="false">IFERROR(__xludf.dummyfunction("if($T183&lt;&gt;"""",VALUE(REGEXEXTRACT($T183, P$1&amp;""[\w &amp;]*, (\d+\.\d+)"")),"""")
"),520.1)</f>
        <v>520.1</v>
      </c>
      <c r="Q183" s="2" t="n">
        <f aca="false">IFERROR(__xludf.dummyfunction("if($T183&lt;&gt;"""",VALUE(REGEXEXTRACT($T183, Q$1&amp;""[\w &amp;]*, (\d+\.\d+)"")),"""")
"),518.26)</f>
        <v>518.26</v>
      </c>
      <c r="R183" s="2" t="n">
        <f aca="false">IFERROR(__xludf.dummyfunction("if($T183&lt;&gt;"""",VALUE(REGEXEXTRACT($T183, SUBSTITUTE(R$1, ""+"", ""\+"")&amp;""[\w &amp;]*, (\d+\.\d+)"")),"""")"),528.98)</f>
        <v>528.98</v>
      </c>
      <c r="S183" s="2" t="n">
        <f aca="false">IFERROR(__xludf.dummyfunction("if($T183&lt;&gt;"""",VALUE(REGEXEXTRACT($T183, SUBSTITUTE(S$1, ""+"", ""\+"")&amp;""[\w &amp;]*, (\d+\.\d+)"")),"""")"),530.82)</f>
        <v>530.82</v>
      </c>
      <c r="T183" s="5" t="s">
        <v>600</v>
      </c>
    </row>
    <row r="184" customFormat="false" ht="15.75" hidden="false" customHeight="false" outlineLevel="0" collapsed="false">
      <c r="A184" s="4" t="n">
        <f aca="false">IFERROR(__xludf.dummyfunction("""COMPUTED_VALUE"""),45665.6666666667)</f>
        <v>45665.6666666667</v>
      </c>
      <c r="B184" s="2" t="n">
        <f aca="false">IFERROR(__xludf.dummyfunction("""COMPUTED_VALUE"""),515.08)</f>
        <v>515.08</v>
      </c>
      <c r="C184" s="2" t="n">
        <f aca="false">IFERROR(__xludf.dummyfunction("""COMPUTED_VALUE"""),516.92)</f>
        <v>516.92</v>
      </c>
      <c r="D184" s="2" t="n">
        <f aca="false">IFERROR(__xludf.dummyfunction("""COMPUTED_VALUE"""),510.57)</f>
        <v>510.57</v>
      </c>
      <c r="E184" s="2" t="n">
        <f aca="false">IFERROR(__xludf.dummyfunction("""COMPUTED_VALUE"""),515.27)</f>
        <v>515.27</v>
      </c>
      <c r="F184" s="3" t="n">
        <f aca="false">IFERROR(__xludf.dummyfunction("if($T184&lt;&gt;"""",VALUE(REGEXEXTRACT(SUBSTITUTE ($T184,F$1&amp;"" CE"",""""), F$1&amp;""[\w &amp;]*, (\d+\.\d+)"")),"""")
"),520)</f>
        <v>520</v>
      </c>
      <c r="G184" s="3" t="n">
        <f aca="false">IFERROR(__xludf.dummyfunction("if($T184&lt;&gt;"""",VALUE(REGEXEXTRACT($T184, G$1&amp;""[\w &amp;]*, (\d+\.\d+)"")),"""")
"),518)</f>
        <v>518</v>
      </c>
      <c r="H184" s="3" t="n">
        <f aca="false">IFERROR(__xludf.dummyfunction("if($T184&lt;&gt;"""",VALUE(REGEXEXTRACT($T184, H$1&amp;""[\w &amp;]*, (\d+\.\d+)"")),"""")
"),532)</f>
        <v>532</v>
      </c>
      <c r="I184" s="3" t="n">
        <f aca="false">IFERROR(__xludf.dummyfunction("if($T184&lt;&gt;"""",VALUE(REGEXEXTRACT(SUBSTITUTE ($T184,I$1&amp;"" CE"",""""), I$1&amp;""[\w &amp;]*, (\d+\.\d+)"")),"""")
"),520)</f>
        <v>520</v>
      </c>
      <c r="J184" s="3" t="n">
        <f aca="false">IFERROR(__xludf.dummyfunction("if($T184&lt;&gt;"""",VALUE(REGEXEXTRACT($T184, J$1&amp;""[\w &amp;]*, (\d+\.\d+)"")),"""")
"),510)</f>
        <v>510</v>
      </c>
      <c r="K184" s="3" t="n">
        <f aca="false">IFERROR(__xludf.dummyfunction("if($T184&lt;&gt;"""",VALUE(REGEXEXTRACT($T184, K$1&amp;""[\w &amp;]*, (\d+\.\d+)"")),"""")
"),508)</f>
        <v>508</v>
      </c>
      <c r="L184" s="3" t="n">
        <f aca="false">IFERROR(__xludf.dummyfunction("if($T184&lt;&gt;"""",VALUE(REGEXEXTRACT(SUBSTITUTE ($T184,L$1&amp;"" CE"",""""), L$1&amp;""[\w &amp;]*, (\d+\.\d+)"")),"""")
"),515)</f>
        <v>515</v>
      </c>
      <c r="M184" s="3" t="n">
        <f aca="false">IFERROR(__xludf.dummyfunction("if($T184&lt;&gt;"""",VALUE(REGEXEXTRACT($T184, M$1&amp;""[\w &amp;]*, (\d+\.\d+)"")),"""")
"),515)</f>
        <v>515</v>
      </c>
      <c r="N184" s="3" t="n">
        <f aca="false">IFERROR(__xludf.dummyfunction("if($T184&lt;&gt;"""",VALUE(REGEXEXTRACT(SUBSTITUTE ($T184,N$1&amp;"" CE"",""""), N$1&amp;""[\w &amp;]*, (\d+\.\d+)"")),"""")
"),520)</f>
        <v>520</v>
      </c>
      <c r="O184" s="3" t="n">
        <f aca="false">IFERROR(__xludf.dummyfunction("if($T184&lt;&gt;"""",VALUE(REGEXEXTRACT($T184, O$1&amp;""[\w &amp;]*, (\d+\.\d+)"")),"""")
"),520)</f>
        <v>520</v>
      </c>
      <c r="P184" s="2" t="n">
        <f aca="false">IFERROR(__xludf.dummyfunction("if($T184&lt;&gt;"""",VALUE(REGEXEXTRACT($T184, P$1&amp;""[\w &amp;]*, (\d+\.\d+)"")),"""")
"),510.53)</f>
        <v>510.53</v>
      </c>
      <c r="Q184" s="2" t="n">
        <f aca="false">IFERROR(__xludf.dummyfunction("if($T184&lt;&gt;"""",VALUE(REGEXEXTRACT($T184, Q$1&amp;""[\w &amp;]*, (\d+\.\d+)"")),"""")
"),508.6)</f>
        <v>508.6</v>
      </c>
      <c r="R184" s="2" t="n">
        <f aca="false">IFERROR(__xludf.dummyfunction("if($T184&lt;&gt;"""",VALUE(REGEXEXTRACT($T184, SUBSTITUTE(R$1, ""+"", ""\+"")&amp;""[\w &amp;]*, (\d+\.\d+)"")),"""")"),519.83)</f>
        <v>519.83</v>
      </c>
      <c r="S184" s="2" t="n">
        <f aca="false">IFERROR(__xludf.dummyfunction("if($T184&lt;&gt;"""",VALUE(REGEXEXTRACT($T184, SUBSTITUTE(S$1, ""+"", ""\+"")&amp;""[\w &amp;]*, (\d+\.\d+)"")),"""")"),521.76)</f>
        <v>521.76</v>
      </c>
      <c r="T184" s="5" t="s">
        <v>601</v>
      </c>
    </row>
    <row r="185" customFormat="false" ht="15.75" hidden="false" customHeight="false" outlineLevel="0" collapsed="false">
      <c r="A185" s="4" t="n">
        <f aca="false">IFERROR(__xludf.dummyfunction("""COMPUTED_VALUE"""),45667.6666666667)</f>
        <v>45667.6666666667</v>
      </c>
      <c r="B185" s="2" t="n">
        <f aca="false">IFERROR(__xludf.dummyfunction("""COMPUTED_VALUE"""),511.48)</f>
        <v>511.48</v>
      </c>
      <c r="C185" s="2" t="n">
        <f aca="false">IFERROR(__xludf.dummyfunction("""COMPUTED_VALUE"""),511.58)</f>
        <v>511.58</v>
      </c>
      <c r="D185" s="2" t="n">
        <f aca="false">IFERROR(__xludf.dummyfunction("""COMPUTED_VALUE"""),503.92)</f>
        <v>503.92</v>
      </c>
      <c r="E185" s="2" t="n">
        <f aca="false">IFERROR(__xludf.dummyfunction("""COMPUTED_VALUE"""),507.19)</f>
        <v>507.19</v>
      </c>
      <c r="F185" s="3" t="n">
        <f aca="false">IFERROR(__xludf.dummyfunction("if($T185&lt;&gt;"""",VALUE(REGEXEXTRACT(SUBSTITUTE ($T185,F$1&amp;"" CE"",""""), F$1&amp;""[\w &amp;]*, (\d+\.\d+)"")),"""")
"),520)</f>
        <v>520</v>
      </c>
      <c r="G185" s="3" t="n">
        <f aca="false">IFERROR(__xludf.dummyfunction("if($T185&lt;&gt;"""",VALUE(REGEXEXTRACT($T185, G$1&amp;""[\w &amp;]*, (\d+\.\d+)"")),"""")
"),525)</f>
        <v>525</v>
      </c>
      <c r="H185" s="3" t="n">
        <f aca="false">IFERROR(__xludf.dummyfunction("if($T185&lt;&gt;"""",VALUE(REGEXEXTRACT($T185, H$1&amp;""[\w &amp;]*, (\d+\.\d+)"")),"""")
"),532)</f>
        <v>532</v>
      </c>
      <c r="I185" s="3" t="n">
        <f aca="false">IFERROR(__xludf.dummyfunction("if($T185&lt;&gt;"""",VALUE(REGEXEXTRACT(SUBSTITUTE ($T185,I$1&amp;"" CE"",""""), I$1&amp;""[\w &amp;]*, (\d+\.\d+)"")),"""")
"),520)</f>
        <v>520</v>
      </c>
      <c r="J185" s="3" t="n">
        <f aca="false">IFERROR(__xludf.dummyfunction("if($T185&lt;&gt;"""",VALUE(REGEXEXTRACT($T185, J$1&amp;""[\w &amp;]*, (\d+\.\d+)"")),"""")
"),510)</f>
        <v>510</v>
      </c>
      <c r="K185" s="3" t="n">
        <f aca="false">IFERROR(__xludf.dummyfunction("if($T185&lt;&gt;"""",VALUE(REGEXEXTRACT($T185, K$1&amp;""[\w &amp;]*, (\d+\.\d+)"")),"""")
"),508)</f>
        <v>508</v>
      </c>
      <c r="L185" s="3" t="n">
        <f aca="false">IFERROR(__xludf.dummyfunction("if($T185&lt;&gt;"""",VALUE(REGEXEXTRACT(SUBSTITUTE ($T185,L$1&amp;"" CE"",""""), L$1&amp;""[\w &amp;]*, (\d+\.\d+)"")),"""")
"),515)</f>
        <v>515</v>
      </c>
      <c r="M185" s="3" t="n">
        <f aca="false">IFERROR(__xludf.dummyfunction("if($T185&lt;&gt;"""",VALUE(REGEXEXTRACT($T185, M$1&amp;""[\w &amp;]*, (\d+\.\d+)"")),"""")
"),515)</f>
        <v>515</v>
      </c>
      <c r="N185" s="3" t="n">
        <f aca="false">IFERROR(__xludf.dummyfunction("if($T185&lt;&gt;"""",VALUE(REGEXEXTRACT(SUBSTITUTE ($T185,N$1&amp;"" CE"",""""), N$1&amp;""[\w &amp;]*, (\d+\.\d+)"")),"""")
"),520)</f>
        <v>520</v>
      </c>
      <c r="O185" s="3" t="n">
        <f aca="false">IFERROR(__xludf.dummyfunction("if($T185&lt;&gt;"""",VALUE(REGEXEXTRACT($T185, O$1&amp;""[\w &amp;]*, (\d+\.\d+)"")),"""")
"),520)</f>
        <v>520</v>
      </c>
      <c r="P185" s="2" t="n">
        <f aca="false">IFERROR(__xludf.dummyfunction("if($T185&lt;&gt;"""",VALUE(REGEXEXTRACT($T185, P$1&amp;""[\w &amp;]*, (\d+\.\d+)"")),"""")
"),510.56)</f>
        <v>510.56</v>
      </c>
      <c r="Q185" s="2" t="n">
        <f aca="false">IFERROR(__xludf.dummyfunction("if($T185&lt;&gt;"""",VALUE(REGEXEXTRACT($T185, Q$1&amp;""[\w &amp;]*, (\d+\.\d+)"")),"""")
"),505.85)</f>
        <v>505.85</v>
      </c>
      <c r="R185" s="2" t="n">
        <f aca="false">IFERROR(__xludf.dummyfunction("if($T185&lt;&gt;"""",VALUE(REGEXEXTRACT($T185, SUBSTITUTE(R$1, ""+"", ""\+"")&amp;""[\w &amp;]*, (\d+\.\d+)"")),"""")"),519.98)</f>
        <v>519.98</v>
      </c>
      <c r="S185" s="2" t="n">
        <f aca="false">IFERROR(__xludf.dummyfunction("if($T185&lt;&gt;"""",VALUE(REGEXEXTRACT($T185, SUBSTITUTE(S$1, ""+"", ""\+"")&amp;""[\w &amp;]*, (\d+\.\d+)"")),"""")"),524.69)</f>
        <v>524.69</v>
      </c>
      <c r="T185" s="5" t="s">
        <v>602</v>
      </c>
    </row>
    <row r="186" customFormat="false" ht="15.75" hidden="false" customHeight="false" outlineLevel="0" collapsed="false">
      <c r="A186" s="4" t="n">
        <f aca="false">IFERROR(__xludf.dummyfunction("""COMPUTED_VALUE"""),45670.6666666667)</f>
        <v>45670.6666666667</v>
      </c>
      <c r="B186" s="2" t="n">
        <f aca="false">IFERROR(__xludf.dummyfunction("""COMPUTED_VALUE"""),501.2)</f>
        <v>501.2</v>
      </c>
      <c r="C186" s="2" t="n">
        <f aca="false">IFERROR(__xludf.dummyfunction("""COMPUTED_VALUE"""),506.02)</f>
        <v>506.02</v>
      </c>
      <c r="D186" s="2" t="n">
        <f aca="false">IFERROR(__xludf.dummyfunction("""COMPUTED_VALUE"""),499.7)</f>
        <v>499.7</v>
      </c>
      <c r="E186" s="2" t="n">
        <f aca="false">IFERROR(__xludf.dummyfunction("""COMPUTED_VALUE"""),505.56)</f>
        <v>505.56</v>
      </c>
      <c r="F186" s="3" t="n">
        <f aca="false">IFERROR(__xludf.dummyfunction("if($T186&lt;&gt;"""",VALUE(REGEXEXTRACT(SUBSTITUTE ($T186,F$1&amp;"" CE"",""""), F$1&amp;""[\w &amp;]*, (\d+\.\d+)"")),"""")
"),500)</f>
        <v>500</v>
      </c>
      <c r="G186" s="3" t="n">
        <f aca="false">IFERROR(__xludf.dummyfunction("if($T186&lt;&gt;"""",VALUE(REGEXEXTRACT($T186, G$1&amp;""[\w &amp;]*, (\d+\.\d+)"")),"""")
"),513)</f>
        <v>513</v>
      </c>
      <c r="H186" s="3" t="n">
        <f aca="false">IFERROR(__xludf.dummyfunction("if($T186&lt;&gt;"""",VALUE(REGEXEXTRACT($T186, H$1&amp;""[\w &amp;]*, (\d+\.\d+)"")),"""")
"),532)</f>
        <v>532</v>
      </c>
      <c r="I186" s="3" t="n">
        <f aca="false">IFERROR(__xludf.dummyfunction("if($T186&lt;&gt;"""",VALUE(REGEXEXTRACT(SUBSTITUTE ($T186,I$1&amp;"" CE"",""""), I$1&amp;""[\w &amp;]*, (\d+\.\d+)"")),"""")
"),500)</f>
        <v>500</v>
      </c>
      <c r="J186" s="3" t="n">
        <f aca="false">IFERROR(__xludf.dummyfunction("if($T186&lt;&gt;"""",VALUE(REGEXEXTRACT($T186, J$1&amp;""[\w &amp;]*, (\d+\.\d+)"")),"""")
"),498)</f>
        <v>498</v>
      </c>
      <c r="K186" s="3" t="n">
        <f aca="false">IFERROR(__xludf.dummyfunction("if($T186&lt;&gt;"""",VALUE(REGEXEXTRACT($T186, K$1&amp;""[\w &amp;]*, (\d+\.\d+)"")),"""")
"),498)</f>
        <v>498</v>
      </c>
      <c r="L186" s="3" t="n">
        <f aca="false">IFERROR(__xludf.dummyfunction("if($T186&lt;&gt;"""",VALUE(REGEXEXTRACT(SUBSTITUTE ($T186,L$1&amp;"" CE"",""""), L$1&amp;""[\w &amp;]*, (\d+\.\d+)"")),"""")
"),510)</f>
        <v>510</v>
      </c>
      <c r="M186" s="3" t="n">
        <f aca="false">IFERROR(__xludf.dummyfunction("if($T186&lt;&gt;"""",VALUE(REGEXEXTRACT($T186, M$1&amp;""[\w &amp;]*, (\d+\.\d+)"")),"""")
"),507)</f>
        <v>507</v>
      </c>
      <c r="N186" s="3" t="n">
        <f aca="false">IFERROR(__xludf.dummyfunction("if($T186&lt;&gt;"""",VALUE(REGEXEXTRACT(SUBSTITUTE ($T186,N$1&amp;"" CE"",""""), N$1&amp;""[\w &amp;]*, (\d+\.\d+)"")),"""")
"),500)</f>
        <v>500</v>
      </c>
      <c r="O186" s="3" t="n">
        <f aca="false">IFERROR(__xludf.dummyfunction("if($T186&lt;&gt;"""",VALUE(REGEXEXTRACT($T186, O$1&amp;""[\w &amp;]*, (\d+\.\d+)"")),"""")
"),510)</f>
        <v>510</v>
      </c>
      <c r="P186" s="2" t="n">
        <f aca="false">IFERROR(__xludf.dummyfunction("if($T186&lt;&gt;"""",VALUE(REGEXEXTRACT($T186, P$1&amp;""[\w &amp;]*, (\d+\.\d+)"")),"""")
"),502.29)</f>
        <v>502.29</v>
      </c>
      <c r="Q186" s="2" t="n">
        <f aca="false">IFERROR(__xludf.dummyfunction("if($T186&lt;&gt;"""",VALUE(REGEXEXTRACT($T186, Q$1&amp;""[\w &amp;]*, (\d+\.\d+)"")),"""")
"),500.26)</f>
        <v>500.26</v>
      </c>
      <c r="R186" s="2" t="n">
        <f aca="false">IFERROR(__xludf.dummyfunction("if($T186&lt;&gt;"""",VALUE(REGEXEXTRACT($T186, SUBSTITUTE(R$1, ""+"", ""\+"")&amp;""[\w &amp;]*, (\d+\.\d+)"")),"""")"),512.09)</f>
        <v>512.09</v>
      </c>
      <c r="S186" s="2" t="n">
        <f aca="false">IFERROR(__xludf.dummyfunction("if($T186&lt;&gt;"""",VALUE(REGEXEXTRACT($T186, SUBSTITUTE(S$1, ""+"", ""\+"")&amp;""[\w &amp;]*, (\d+\.\d+)"")),"""")"),514.12)</f>
        <v>514.12</v>
      </c>
      <c r="T186" s="5" t="s">
        <v>603</v>
      </c>
    </row>
    <row r="187" customFormat="false" ht="15.75" hidden="false" customHeight="false" outlineLevel="0" collapsed="false">
      <c r="A187" s="4" t="n">
        <f aca="false">IFERROR(__xludf.dummyfunction("""COMPUTED_VALUE"""),45671.6666666667)</f>
        <v>45671.6666666667</v>
      </c>
      <c r="B187" s="2" t="n">
        <f aca="false">IFERROR(__xludf.dummyfunction("""COMPUTED_VALUE"""),508.74)</f>
        <v>508.74</v>
      </c>
      <c r="C187" s="2" t="n">
        <f aca="false">IFERROR(__xludf.dummyfunction("""COMPUTED_VALUE"""),510.16)</f>
        <v>510.16</v>
      </c>
      <c r="D187" s="2" t="n">
        <f aca="false">IFERROR(__xludf.dummyfunction("""COMPUTED_VALUE"""),501.59)</f>
        <v>501.59</v>
      </c>
      <c r="E187" s="2" t="n">
        <f aca="false">IFERROR(__xludf.dummyfunction("""COMPUTED_VALUE"""),505.08)</f>
        <v>505.08</v>
      </c>
      <c r="F187" s="3" t="n">
        <f aca="false">IFERROR(__xludf.dummyfunction("if($T187&lt;&gt;"""",VALUE(REGEXEXTRACT(SUBSTITUTE ($T187,F$1&amp;"" CE"",""""), F$1&amp;""[\w &amp;]*, (\d+\.\d+)"")),"""")
"),500)</f>
        <v>500</v>
      </c>
      <c r="G187" s="3" t="n">
        <f aca="false">IFERROR(__xludf.dummyfunction("if($T187&lt;&gt;"""",VALUE(REGEXEXTRACT($T187, G$1&amp;""[\w &amp;]*, (\d+\.\d+)"")),"""")
"),511)</f>
        <v>511</v>
      </c>
      <c r="H187" s="3" t="n">
        <f aca="false">IFERROR(__xludf.dummyfunction("if($T187&lt;&gt;"""",VALUE(REGEXEXTRACT($T187, H$1&amp;""[\w &amp;]*, (\d+\.\d+)"")),"""")
"),532)</f>
        <v>532</v>
      </c>
      <c r="I187" s="3" t="n">
        <f aca="false">IFERROR(__xludf.dummyfunction("if($T187&lt;&gt;"""",VALUE(REGEXEXTRACT(SUBSTITUTE ($T187,I$1&amp;"" CE"",""""), I$1&amp;""[\w &amp;]*, (\d+\.\d+)"")),"""")
"),500)</f>
        <v>500</v>
      </c>
      <c r="J187" s="3" t="n">
        <f aca="false">IFERROR(__xludf.dummyfunction("if($T187&lt;&gt;"""",VALUE(REGEXEXTRACT($T187, J$1&amp;""[\w &amp;]*, (\d+\.\d+)"")),"""")
"),500)</f>
        <v>500</v>
      </c>
      <c r="K187" s="3" t="n">
        <f aca="false">IFERROR(__xludf.dummyfunction("if($T187&lt;&gt;"""",VALUE(REGEXEXTRACT($T187, K$1&amp;""[\w &amp;]*, (\d+\.\d+)"")),"""")
"),498)</f>
        <v>498</v>
      </c>
      <c r="L187" s="3" t="n">
        <f aca="false">IFERROR(__xludf.dummyfunction("if($T187&lt;&gt;"""",VALUE(REGEXEXTRACT(SUBSTITUTE ($T187,L$1&amp;"" CE"",""""), L$1&amp;""[\w &amp;]*, (\d+\.\d+)"")),"""")
"),510)</f>
        <v>510</v>
      </c>
      <c r="M187" s="3" t="n">
        <f aca="false">IFERROR(__xludf.dummyfunction("if($T187&lt;&gt;"""",VALUE(REGEXEXTRACT($T187, M$1&amp;""[\w &amp;]*, (\d+\.\d+)"")),"""")
"),505)</f>
        <v>505</v>
      </c>
      <c r="N187" s="3" t="n">
        <f aca="false">IFERROR(__xludf.dummyfunction("if($T187&lt;&gt;"""",VALUE(REGEXEXTRACT(SUBSTITUTE ($T187,N$1&amp;"" CE"",""""), N$1&amp;""[\w &amp;]*, (\d+\.\d+)"")),"""")
"),500)</f>
        <v>500</v>
      </c>
      <c r="O187" s="3" t="n">
        <f aca="false">IFERROR(__xludf.dummyfunction("if($T187&lt;&gt;"""",VALUE(REGEXEXTRACT($T187, O$1&amp;""[\w &amp;]*, (\d+\.\d+)"")),"""")
"),505)</f>
        <v>505</v>
      </c>
      <c r="P187" s="2" t="n">
        <f aca="false">IFERROR(__xludf.dummyfunction("if($T187&lt;&gt;"""",VALUE(REGEXEXTRACT($T187, P$1&amp;""[\w &amp;]*, (\d+\.\d+)"")),"""")
"),500.15)</f>
        <v>500.15</v>
      </c>
      <c r="Q187" s="2" t="n">
        <f aca="false">IFERROR(__xludf.dummyfunction("if($T187&lt;&gt;"""",VALUE(REGEXEXTRACT($T187, Q$1&amp;""[\w &amp;]*, (\d+\.\d+)"")),"""")
"),497.91)</f>
        <v>497.91</v>
      </c>
      <c r="R187" s="2" t="n">
        <f aca="false">IFERROR(__xludf.dummyfunction("if($T187&lt;&gt;"""",VALUE(REGEXEXTRACT($T187, SUBSTITUTE(R$1, ""+"", ""\+"")&amp;""[\w &amp;]*, (\d+\.\d+)"")),"""")"),510.97)</f>
        <v>510.97</v>
      </c>
      <c r="S187" s="2" t="n">
        <f aca="false">IFERROR(__xludf.dummyfunction("if($T187&lt;&gt;"""",VALUE(REGEXEXTRACT($T187, SUBSTITUTE(S$1, ""+"", ""\+"")&amp;""[\w &amp;]*, (\d+\.\d+)"")),"""")"),513.21)</f>
        <v>513.21</v>
      </c>
      <c r="T187" s="5" t="s">
        <v>604</v>
      </c>
    </row>
    <row r="188" customFormat="false" ht="15.75" hidden="false" customHeight="false" outlineLevel="0" collapsed="false">
      <c r="A188" s="4" t="n">
        <f aca="false">IFERROR(__xludf.dummyfunction("""COMPUTED_VALUE"""),45672.6666666667)</f>
        <v>45672.6666666667</v>
      </c>
      <c r="B188" s="2" t="n">
        <f aca="false">IFERROR(__xludf.dummyfunction("""COMPUTED_VALUE"""),513.03)</f>
        <v>513.03</v>
      </c>
      <c r="C188" s="2" t="n">
        <f aca="false">IFERROR(__xludf.dummyfunction("""COMPUTED_VALUE"""),517.85)</f>
        <v>517.85</v>
      </c>
      <c r="D188" s="2" t="n">
        <f aca="false">IFERROR(__xludf.dummyfunction("""COMPUTED_VALUE"""),511.46)</f>
        <v>511.46</v>
      </c>
      <c r="E188" s="2" t="n">
        <f aca="false">IFERROR(__xludf.dummyfunction("""COMPUTED_VALUE"""),516.7)</f>
        <v>516.7</v>
      </c>
      <c r="F188" s="3" t="n">
        <f aca="false">IFERROR(__xludf.dummyfunction("if($T188&lt;&gt;"""",VALUE(REGEXEXTRACT(SUBSTITUTE ($T188,F$1&amp;"" CE"",""""), F$1&amp;""[\w &amp;]*, (\d+\.\d+)"")),"""")
"),500)</f>
        <v>500</v>
      </c>
      <c r="G188" s="3" t="n">
        <f aca="false">IFERROR(__xludf.dummyfunction("if($T188&lt;&gt;"""",VALUE(REGEXEXTRACT($T188, G$1&amp;""[\w &amp;]*, (\d+\.\d+)"")),"""")
"),512)</f>
        <v>512</v>
      </c>
      <c r="H188" s="3" t="n">
        <f aca="false">IFERROR(__xludf.dummyfunction("if($T188&lt;&gt;"""",VALUE(REGEXEXTRACT($T188, H$1&amp;""[\w &amp;]*, (\d+\.\d+)"")),"""")
"),532)</f>
        <v>532</v>
      </c>
      <c r="I188" s="3" t="n">
        <f aca="false">IFERROR(__xludf.dummyfunction("if($T188&lt;&gt;"""",VALUE(REGEXEXTRACT(SUBSTITUTE ($T188,I$1&amp;"" CE"",""""), I$1&amp;""[\w &amp;]*, (\d+\.\d+)"")),"""")
"),500)</f>
        <v>500</v>
      </c>
      <c r="J188" s="3" t="n">
        <f aca="false">IFERROR(__xludf.dummyfunction("if($T188&lt;&gt;"""",VALUE(REGEXEXTRACT($T188, J$1&amp;""[\w &amp;]*, (\d+\.\d+)"")),"""")
"),500)</f>
        <v>500</v>
      </c>
      <c r="K188" s="3" t="n">
        <f aca="false">IFERROR(__xludf.dummyfunction("if($T188&lt;&gt;"""",VALUE(REGEXEXTRACT($T188, K$1&amp;""[\w &amp;]*, (\d+\.\d+)"")),"""")
"),499)</f>
        <v>499</v>
      </c>
      <c r="L188" s="3" t="n">
        <f aca="false">IFERROR(__xludf.dummyfunction("if($T188&lt;&gt;"""",VALUE(REGEXEXTRACT(SUBSTITUTE ($T188,L$1&amp;"" CE"",""""), L$1&amp;""[\w &amp;]*, (\d+\.\d+)"")),"""")
"),510)</f>
        <v>510</v>
      </c>
      <c r="M188" s="3" t="n">
        <f aca="false">IFERROR(__xludf.dummyfunction("if($T188&lt;&gt;"""",VALUE(REGEXEXTRACT($T188, M$1&amp;""[\w &amp;]*, (\d+\.\d+)"")),"""")
"),503)</f>
        <v>503</v>
      </c>
      <c r="N188" s="3" t="n">
        <f aca="false">IFERROR(__xludf.dummyfunction("if($T188&lt;&gt;"""",VALUE(REGEXEXTRACT(SUBSTITUTE ($T188,N$1&amp;"" CE"",""""), N$1&amp;""[\w &amp;]*, (\d+\.\d+)"")),"""")
"),500)</f>
        <v>500</v>
      </c>
      <c r="O188" s="3" t="n">
        <f aca="false">IFERROR(__xludf.dummyfunction("if($T188&lt;&gt;"""",VALUE(REGEXEXTRACT($T188, O$1&amp;""[\w &amp;]*, (\d+\.\d+)"")),"""")
"),500)</f>
        <v>500</v>
      </c>
      <c r="P188" s="2" t="n">
        <f aca="false">IFERROR(__xludf.dummyfunction("if($T188&lt;&gt;"""",VALUE(REGEXEXTRACT($T188, P$1&amp;""[\w &amp;]*, (\d+\.\d+)"")),"""")
"),499.33)</f>
        <v>499.33</v>
      </c>
      <c r="Q188" s="2" t="n">
        <f aca="false">IFERROR(__xludf.dummyfunction("if($T188&lt;&gt;"""",VALUE(REGEXEXTRACT($T188, Q$1&amp;""[\w &amp;]*, (\d+\.\d+)"")),"""")
"),496.94)</f>
        <v>496.94</v>
      </c>
      <c r="R188" s="2" t="n">
        <f aca="false">IFERROR(__xludf.dummyfunction("if($T188&lt;&gt;"""",VALUE(REGEXEXTRACT($T188, SUBSTITUTE(R$1, ""+"", ""\+"")&amp;""[\w &amp;]*, (\d+\.\d+)"")),"""")"),510.83)</f>
        <v>510.83</v>
      </c>
      <c r="S188" s="2" t="n">
        <f aca="false">IFERROR(__xludf.dummyfunction("if($T188&lt;&gt;"""",VALUE(REGEXEXTRACT($T188, SUBSTITUTE(S$1, ""+"", ""\+"")&amp;""[\w &amp;]*, (\d+\.\d+)"")),"""")"),513.22)</f>
        <v>513.22</v>
      </c>
      <c r="T188" s="5" t="s">
        <v>605</v>
      </c>
    </row>
    <row r="189" customFormat="false" ht="15.75" hidden="false" customHeight="false" outlineLevel="0" collapsed="false">
      <c r="A189" s="4" t="n">
        <f aca="false">IFERROR(__xludf.dummyfunction("""COMPUTED_VALUE"""),45673.6666666667)</f>
        <v>45673.6666666667</v>
      </c>
      <c r="B189" s="2" t="n">
        <f aca="false">IFERROR(__xludf.dummyfunction("""COMPUTED_VALUE"""),518.98)</f>
        <v>518.98</v>
      </c>
      <c r="C189" s="2" t="n">
        <f aca="false">IFERROR(__xludf.dummyfunction("""COMPUTED_VALUE"""),519.06)</f>
        <v>519.06</v>
      </c>
      <c r="D189" s="2" t="n">
        <f aca="false">IFERROR(__xludf.dummyfunction("""COMPUTED_VALUE"""),512.95)</f>
        <v>512.95</v>
      </c>
      <c r="E189" s="2" t="n">
        <f aca="false">IFERROR(__xludf.dummyfunction("""COMPUTED_VALUE"""),513.08)</f>
        <v>513.08</v>
      </c>
      <c r="F189" s="3" t="n">
        <f aca="false">IFERROR(__xludf.dummyfunction("if($T189&lt;&gt;"""",VALUE(REGEXEXTRACT(SUBSTITUTE ($T189,F$1&amp;"" CE"",""""), F$1&amp;""[\w &amp;]*, (\d+\.\d+)"")),"""")
"),520)</f>
        <v>520</v>
      </c>
      <c r="G189" s="3" t="n">
        <f aca="false">IFERROR(__xludf.dummyfunction("if($T189&lt;&gt;"""",VALUE(REGEXEXTRACT($T189, G$1&amp;""[\w &amp;]*, (\d+\.\d+)"")),"""")
"),522)</f>
        <v>522</v>
      </c>
      <c r="H189" s="3" t="n">
        <f aca="false">IFERROR(__xludf.dummyfunction("if($T189&lt;&gt;"""",VALUE(REGEXEXTRACT($T189, H$1&amp;""[\w &amp;]*, (\d+\.\d+)"")),"""")
"),522)</f>
        <v>522</v>
      </c>
      <c r="I189" s="3" t="n">
        <f aca="false">IFERROR(__xludf.dummyfunction("if($T189&lt;&gt;"""",VALUE(REGEXEXTRACT(SUBSTITUTE ($T189,I$1&amp;"" CE"",""""), I$1&amp;""[\w &amp;]*, (\d+\.\d+)"")),"""")
"),520)</f>
        <v>520</v>
      </c>
      <c r="J189" s="3" t="n">
        <f aca="false">IFERROR(__xludf.dummyfunction("if($T189&lt;&gt;"""",VALUE(REGEXEXTRACT($T189, J$1&amp;""[\w &amp;]*, (\d+\.\d+)"")),"""")
"),511)</f>
        <v>511</v>
      </c>
      <c r="K189" s="3" t="n">
        <f aca="false">IFERROR(__xludf.dummyfunction("if($T189&lt;&gt;"""",VALUE(REGEXEXTRACT($T189, K$1&amp;""[\w &amp;]*, (\d+\.\d+)"")),"""")
"),499)</f>
        <v>499</v>
      </c>
      <c r="L189" s="3" t="n">
        <f aca="false">IFERROR(__xludf.dummyfunction("if($T189&lt;&gt;"""",VALUE(REGEXEXTRACT(SUBSTITUTE ($T189,L$1&amp;"" CE"",""""), L$1&amp;""[\w &amp;]*, (\d+\.\d+)"")),"""")
"),515)</f>
        <v>515</v>
      </c>
      <c r="M189" s="3" t="n">
        <f aca="false">IFERROR(__xludf.dummyfunction("if($T189&lt;&gt;"""",VALUE(REGEXEXTRACT($T189, M$1&amp;""[\w &amp;]*, (\d+\.\d+)"")),"""")
"),516)</f>
        <v>516</v>
      </c>
      <c r="N189" s="3" t="n">
        <f aca="false">IFERROR(__xludf.dummyfunction("if($T189&lt;&gt;"""",VALUE(REGEXEXTRACT(SUBSTITUTE ($T189,N$1&amp;"" CE"",""""), N$1&amp;""[\w &amp;]*, (\d+\.\d+)"")),"""")
"),520)</f>
        <v>520</v>
      </c>
      <c r="O189" s="3" t="n">
        <f aca="false">IFERROR(__xludf.dummyfunction("if($T189&lt;&gt;"""",VALUE(REGEXEXTRACT($T189, O$1&amp;""[\w &amp;]*, (\d+\.\d+)"")),"""")
"),515)</f>
        <v>515</v>
      </c>
      <c r="P189" s="2" t="n">
        <f aca="false">IFERROR(__xludf.dummyfunction("if($T189&lt;&gt;"""",VALUE(REGEXEXTRACT($T189, P$1&amp;""[\w &amp;]*, (\d+\.\d+)"")),"""")
"),512.27)</f>
        <v>512.27</v>
      </c>
      <c r="Q189" s="2" t="n">
        <f aca="false">IFERROR(__xludf.dummyfunction("if($T189&lt;&gt;"""",VALUE(REGEXEXTRACT($T189, Q$1&amp;""[\w &amp;]*, (\d+\.\d+)"")),"""")
"),510.44)</f>
        <v>510.44</v>
      </c>
      <c r="R189" s="2" t="n">
        <f aca="false">IFERROR(__xludf.dummyfunction("if($T189&lt;&gt;"""",VALUE(REGEXEXTRACT($T189, SUBSTITUTE(R$1, ""+"", ""\+"")&amp;""[\w &amp;]*, (\d+\.\d+)"")),"""")"),521.13)</f>
        <v>521.13</v>
      </c>
      <c r="S189" s="2" t="n">
        <f aca="false">IFERROR(__xludf.dummyfunction("if($T189&lt;&gt;"""",VALUE(REGEXEXTRACT($T189, SUBSTITUTE(S$1, ""+"", ""\+"")&amp;""[\w &amp;]*, (\d+\.\d+)"")),"""")"),522.96)</f>
        <v>522.96</v>
      </c>
      <c r="T189" s="5" t="s">
        <v>606</v>
      </c>
    </row>
    <row r="190" customFormat="false" ht="15.75" hidden="false" customHeight="false" outlineLevel="0" collapsed="false">
      <c r="A190" s="4" t="n">
        <f aca="false">IFERROR(__xludf.dummyfunction("""COMPUTED_VALUE"""),45674.6666666667)</f>
        <v>45674.6666666667</v>
      </c>
      <c r="B190" s="2" t="n">
        <f aca="false">IFERROR(__xludf.dummyfunction("""COMPUTED_VALUE"""),522.85)</f>
        <v>522.85</v>
      </c>
      <c r="C190" s="2" t="n">
        <f aca="false">IFERROR(__xludf.dummyfunction("""COMPUTED_VALUE"""),524.07)</f>
        <v>524.07</v>
      </c>
      <c r="D190" s="2" t="n">
        <f aca="false">IFERROR(__xludf.dummyfunction("""COMPUTED_VALUE"""),513.11)</f>
        <v>513.11</v>
      </c>
      <c r="E190" s="2" t="n">
        <f aca="false">IFERROR(__xludf.dummyfunction("""COMPUTED_VALUE"""),521.74)</f>
        <v>521.74</v>
      </c>
      <c r="F190" s="3" t="n">
        <f aca="false">IFERROR(__xludf.dummyfunction("if($T190&lt;&gt;"""",VALUE(REGEXEXTRACT(SUBSTITUTE ($T190,F$1&amp;"" CE"",""""), F$1&amp;""[\w &amp;]*, (\d+\.\d+)"")),"""")
"),510)</f>
        <v>510</v>
      </c>
      <c r="G190" s="3" t="n">
        <f aca="false">IFERROR(__xludf.dummyfunction("if($T190&lt;&gt;"""",VALUE(REGEXEXTRACT($T190, G$1&amp;""[\w &amp;]*, (\d+\.\d+)"")),"""")
"),518)</f>
        <v>518</v>
      </c>
      <c r="H190" s="3" t="n">
        <f aca="false">IFERROR(__xludf.dummyfunction("if($T190&lt;&gt;"""",VALUE(REGEXEXTRACT($T190, H$1&amp;""[\w &amp;]*, (\d+\.\d+)"")),"""")
"),520)</f>
        <v>520</v>
      </c>
      <c r="I190" s="3" t="n">
        <f aca="false">IFERROR(__xludf.dummyfunction("if($T190&lt;&gt;"""",VALUE(REGEXEXTRACT(SUBSTITUTE ($T190,I$1&amp;"" CE"",""""), I$1&amp;""[\w &amp;]*, (\d+\.\d+)"")),"""")
"),510)</f>
        <v>510</v>
      </c>
      <c r="J190" s="3" t="n">
        <f aca="false">IFERROR(__xludf.dummyfunction("if($T190&lt;&gt;"""",VALUE(REGEXEXTRACT($T190, J$1&amp;""[\w &amp;]*, (\d+\.\d+)"")),"""")
"),510)</f>
        <v>510</v>
      </c>
      <c r="K190" s="3" t="n">
        <f aca="false">IFERROR(__xludf.dummyfunction("if($T190&lt;&gt;"""",VALUE(REGEXEXTRACT($T190, K$1&amp;""[\w &amp;]*, (\d+\.\d+)"")),"""")
"),499)</f>
        <v>499</v>
      </c>
      <c r="L190" s="3" t="n">
        <f aca="false">IFERROR(__xludf.dummyfunction("if($T190&lt;&gt;"""",VALUE(REGEXEXTRACT(SUBSTITUTE ($T190,L$1&amp;"" CE"",""""), L$1&amp;""[\w &amp;]*, (\d+\.\d+)"")),"""")
"),515)</f>
        <v>515</v>
      </c>
      <c r="M190" s="3" t="n">
        <f aca="false">IFERROR(__xludf.dummyfunction("if($T190&lt;&gt;"""",VALUE(REGEXEXTRACT($T190, M$1&amp;""[\w &amp;]*, (\d+\.\d+)"")),"""")
"),515)</f>
        <v>515</v>
      </c>
      <c r="N190" s="3" t="n">
        <f aca="false">IFERROR(__xludf.dummyfunction("if($T190&lt;&gt;"""",VALUE(REGEXEXTRACT(SUBSTITUTE ($T190,N$1&amp;"" CE"",""""), N$1&amp;""[\w &amp;]*, (\d+\.\d+)"")),"""")
"),510)</f>
        <v>510</v>
      </c>
      <c r="O190" s="3" t="n">
        <f aca="false">IFERROR(__xludf.dummyfunction("if($T190&lt;&gt;"""",VALUE(REGEXEXTRACT($T190, O$1&amp;""[\w &amp;]*, (\d+\.\d+)"")),"""")
"),510)</f>
        <v>510</v>
      </c>
      <c r="P190" s="2" t="n">
        <f aca="false">IFERROR(__xludf.dummyfunction("if($T190&lt;&gt;"""",VALUE(REGEXEXTRACT($T190, P$1&amp;""[\w &amp;]*, (\d+\.\d+)"")),"""")
"),508.64)</f>
        <v>508.64</v>
      </c>
      <c r="Q190" s="2" t="n">
        <f aca="false">IFERROR(__xludf.dummyfunction("if($T190&lt;&gt;"""",VALUE(REGEXEXTRACT($T190, Q$1&amp;""[\w &amp;]*, (\d+\.\d+)"")),"""")
"),503.15)</f>
        <v>503.15</v>
      </c>
      <c r="R190" s="2" t="n">
        <f aca="false">IFERROR(__xludf.dummyfunction("if($T190&lt;&gt;"""",VALUE(REGEXEXTRACT($T190, SUBSTITUTE(R$1, ""+"", ""\+"")&amp;""[\w &amp;]*, (\d+\.\d+)"")),"""")"),517.52)</f>
        <v>517.52</v>
      </c>
      <c r="S190" s="2" t="n">
        <f aca="false">IFERROR(__xludf.dummyfunction("if($T190&lt;&gt;"""",VALUE(REGEXEXTRACT($T190, SUBSTITUTE(S$1, ""+"", ""\+"")&amp;""[\w &amp;]*, (\d+\.\d+)"")),"""")"),523.01)</f>
        <v>523.01</v>
      </c>
      <c r="T190" s="5" t="s">
        <v>607</v>
      </c>
    </row>
    <row r="191" customFormat="false" ht="15.75" hidden="false" customHeight="false" outlineLevel="0" collapsed="false">
      <c r="A191" s="4" t="n">
        <f aca="false">IFERROR(__xludf.dummyfunction("""COMPUTED_VALUE"""),45678.6666666667)</f>
        <v>45678.6666666667</v>
      </c>
      <c r="B191" s="2" t="n">
        <f aca="false">IFERROR(__xludf.dummyfunction("""COMPUTED_VALUE"""),524.48)</f>
        <v>524.48</v>
      </c>
      <c r="C191" s="2" t="n">
        <f aca="false">IFERROR(__xludf.dummyfunction("""COMPUTED_VALUE"""),525.97)</f>
        <v>525.97</v>
      </c>
      <c r="D191" s="2" t="n">
        <f aca="false">IFERROR(__xludf.dummyfunction("""COMPUTED_VALUE"""),520.06)</f>
        <v>520.06</v>
      </c>
      <c r="E191" s="2" t="n">
        <f aca="false">IFERROR(__xludf.dummyfunction("""COMPUTED_VALUE"""),524.8)</f>
        <v>524.8</v>
      </c>
      <c r="F191" s="3" t="n">
        <f aca="false">IFERROR(__xludf.dummyfunction("if($T191&lt;&gt;"""",VALUE(REGEXEXTRACT(SUBSTITUTE ($T191,F$1&amp;"" CE"",""""), F$1&amp;""[\w &amp;]*, (\d+\.\d+)"")),"""")
"),530)</f>
        <v>530</v>
      </c>
      <c r="G191" s="3" t="n">
        <f aca="false">IFERROR(__xludf.dummyfunction("if($T191&lt;&gt;"""",VALUE(REGEXEXTRACT($T191, G$1&amp;""[\w &amp;]*, (\d+\.\d+)"")),"""")
"),530)</f>
        <v>530</v>
      </c>
      <c r="H191" s="3" t="n">
        <f aca="false">IFERROR(__xludf.dummyfunction("if($T191&lt;&gt;"""",VALUE(REGEXEXTRACT($T191, H$1&amp;""[\w &amp;]*, (\d+\.\d+)"")),"""")
"),532)</f>
        <v>532</v>
      </c>
      <c r="I191" s="3" t="n">
        <f aca="false">IFERROR(__xludf.dummyfunction("if($T191&lt;&gt;"""",VALUE(REGEXEXTRACT(SUBSTITUTE ($T191,I$1&amp;"" CE"",""""), I$1&amp;""[\w &amp;]*, (\d+\.\d+)"")),"""")
"),500)</f>
        <v>500</v>
      </c>
      <c r="J191" s="3" t="n">
        <f aca="false">IFERROR(__xludf.dummyfunction("if($T191&lt;&gt;"""",VALUE(REGEXEXTRACT($T191, J$1&amp;""[\w &amp;]*, (\d+\.\d+)"")),"""")
"),515)</f>
        <v>515</v>
      </c>
      <c r="K191" s="3" t="n">
        <f aca="false">IFERROR(__xludf.dummyfunction("if($T191&lt;&gt;"""",VALUE(REGEXEXTRACT($T191, K$1&amp;""[\w &amp;]*, (\d+\.\d+)"")),"""")
"),498)</f>
        <v>498</v>
      </c>
      <c r="L191" s="3" t="n">
        <f aca="false">IFERROR(__xludf.dummyfunction("if($T191&lt;&gt;"""",VALUE(REGEXEXTRACT(SUBSTITUTE ($T191,L$1&amp;"" CE"",""""), L$1&amp;""[\w &amp;]*, (\d+\.\d+)"")),"""")
"),520)</f>
        <v>520</v>
      </c>
      <c r="M191" s="3" t="n">
        <f aca="false">IFERROR(__xludf.dummyfunction("if($T191&lt;&gt;"""",VALUE(REGEXEXTRACT($T191, M$1&amp;""[\w &amp;]*, (\d+\.\d+)"")),"""")
"),520)</f>
        <v>520</v>
      </c>
      <c r="N191" s="3" t="n">
        <f aca="false">IFERROR(__xludf.dummyfunction("if($T191&lt;&gt;"""",VALUE(REGEXEXTRACT(SUBSTITUTE ($T191,N$1&amp;"" CE"",""""), N$1&amp;""[\w &amp;]*, (\d+\.\d+)"")),"""")
"),530)</f>
        <v>530</v>
      </c>
      <c r="O191" s="3" t="n">
        <f aca="false">IFERROR(__xludf.dummyfunction("if($T191&lt;&gt;"""",VALUE(REGEXEXTRACT($T191, O$1&amp;""[\w &amp;]*, (\d+\.\d+)"")),"""")
"),521)</f>
        <v>521</v>
      </c>
      <c r="P191" s="2" t="n">
        <f aca="false">IFERROR(__xludf.dummyfunction("if($T191&lt;&gt;"""",VALUE(REGEXEXTRACT($T191, P$1&amp;""[\w &amp;]*, (\d+\.\d+)"")),"""")
"),518.25)</f>
        <v>518.25</v>
      </c>
      <c r="Q191" s="2" t="n">
        <f aca="false">IFERROR(__xludf.dummyfunction("if($T191&lt;&gt;"""",VALUE(REGEXEXTRACT($T191, Q$1&amp;""[\w &amp;]*, (\d+\.\d+)"")),"""")
"),516.81)</f>
        <v>516.81</v>
      </c>
      <c r="R191" s="2" t="n">
        <f aca="false">IFERROR(__xludf.dummyfunction("if($T191&lt;&gt;"""",VALUE(REGEXEXTRACT($T191, SUBSTITUTE(R$1, ""+"", ""\+"")&amp;""[\w &amp;]*, (\d+\.\d+)"")),"""")"),525.23)</f>
        <v>525.23</v>
      </c>
      <c r="S191" s="2" t="n">
        <f aca="false">IFERROR(__xludf.dummyfunction("if($T191&lt;&gt;"""",VALUE(REGEXEXTRACT($T191, SUBSTITUTE(S$1, ""+"", ""\+"")&amp;""[\w &amp;]*, (\d+\.\d+)"")),"""")"),526.67)</f>
        <v>526.67</v>
      </c>
      <c r="T191" s="5" t="s">
        <v>608</v>
      </c>
    </row>
    <row r="192" customFormat="false" ht="15.75" hidden="false" customHeight="false" outlineLevel="0" collapsed="false">
      <c r="A192" s="4" t="n">
        <f aca="false">IFERROR(__xludf.dummyfunction("""COMPUTED_VALUE"""),45679.6666666667)</f>
        <v>45679.6666666667</v>
      </c>
      <c r="B192" s="2" t="n">
        <f aca="false">IFERROR(__xludf.dummyfunction("""COMPUTED_VALUE"""),529.57)</f>
        <v>529.57</v>
      </c>
      <c r="C192" s="2" t="n">
        <f aca="false">IFERROR(__xludf.dummyfunction("""COMPUTED_VALUE"""),533.82)</f>
        <v>533.82</v>
      </c>
      <c r="D192" s="2" t="n">
        <f aca="false">IFERROR(__xludf.dummyfunction("""COMPUTED_VALUE"""),529.26)</f>
        <v>529.26</v>
      </c>
      <c r="E192" s="2" t="n">
        <f aca="false">IFERROR(__xludf.dummyfunction("""COMPUTED_VALUE"""),531.51)</f>
        <v>531.51</v>
      </c>
      <c r="F192" s="3" t="n">
        <f aca="false">IFERROR(__xludf.dummyfunction("if($T192&lt;&gt;"""",VALUE(REGEXEXTRACT(SUBSTITUTE ($T192,F$1&amp;"" CE"",""""), F$1&amp;""[\w &amp;]*, (\d+\.\d+)"")),"""")
"),530)</f>
        <v>530</v>
      </c>
      <c r="G192" s="3" t="n">
        <f aca="false">IFERROR(__xludf.dummyfunction("if($T192&lt;&gt;"""",VALUE(REGEXEXTRACT($T192, G$1&amp;""[\w &amp;]*, (\d+\.\d+)"")),"""")
"),530)</f>
        <v>530</v>
      </c>
      <c r="H192" s="3" t="n">
        <f aca="false">IFERROR(__xludf.dummyfunction("if($T192&lt;&gt;"""",VALUE(REGEXEXTRACT($T192, H$1&amp;""[\w &amp;]*, (\d+\.\d+)"")),"""")
"),532)</f>
        <v>532</v>
      </c>
      <c r="I192" s="3" t="n">
        <f aca="false">IFERROR(__xludf.dummyfunction("if($T192&lt;&gt;"""",VALUE(REGEXEXTRACT(SUBSTITUTE ($T192,I$1&amp;"" CE"",""""), I$1&amp;""[\w &amp;]*, (\d+\.\d+)"")),"""")
"),500)</f>
        <v>500</v>
      </c>
      <c r="J192" s="3" t="n">
        <f aca="false">IFERROR(__xludf.dummyfunction("if($T192&lt;&gt;"""",VALUE(REGEXEXTRACT($T192, J$1&amp;""[\w &amp;]*, (\d+\.\d+)"")),"""")
"),520)</f>
        <v>520</v>
      </c>
      <c r="K192" s="3" t="n">
        <f aca="false">IFERROR(__xludf.dummyfunction("if($T192&lt;&gt;"""",VALUE(REGEXEXTRACT($T192, K$1&amp;""[\w &amp;]*, (\d+\.\d+)"")),"""")
"),498)</f>
        <v>498</v>
      </c>
      <c r="L192" s="3" t="n">
        <f aca="false">IFERROR(__xludf.dummyfunction("if($T192&lt;&gt;"""",VALUE(REGEXEXTRACT(SUBSTITUTE ($T192,L$1&amp;"" CE"",""""), L$1&amp;""[\w &amp;]*, (\d+\.\d+)"")),"""")
"),522.5)</f>
        <v>522.5</v>
      </c>
      <c r="M192" s="3" t="n">
        <f aca="false">IFERROR(__xludf.dummyfunction("if($T192&lt;&gt;"""",VALUE(REGEXEXTRACT($T192, M$1&amp;""[\w &amp;]*, (\d+\.\d+)"")),"""")
"),524)</f>
        <v>524</v>
      </c>
      <c r="N192" s="3" t="n">
        <f aca="false">IFERROR(__xludf.dummyfunction("if($T192&lt;&gt;"""",VALUE(REGEXEXTRACT(SUBSTITUTE ($T192,N$1&amp;"" CE"",""""), N$1&amp;""[\w &amp;]*, (\d+\.\d+)"")),"""")
"),530)</f>
        <v>530</v>
      </c>
      <c r="O192" s="3" t="n">
        <f aca="false">IFERROR(__xludf.dummyfunction("if($T192&lt;&gt;"""",VALUE(REGEXEXTRACT($T192, O$1&amp;""[\w &amp;]*, (\d+\.\d+)"")),"""")
"),530)</f>
        <v>530</v>
      </c>
      <c r="P192" s="2" t="n">
        <f aca="false">IFERROR(__xludf.dummyfunction("if($T192&lt;&gt;"""",VALUE(REGEXEXTRACT($T192, P$1&amp;""[\w &amp;]*, (\d+\.\d+)"")),"""")
"),520.37)</f>
        <v>520.37</v>
      </c>
      <c r="Q192" s="2" t="n">
        <f aca="false">IFERROR(__xludf.dummyfunction("if($T192&lt;&gt;"""",VALUE(REGEXEXTRACT($T192, Q$1&amp;""[\w &amp;]*, (\d+\.\d+)"")),"""")
"),518.54)</f>
        <v>518.54</v>
      </c>
      <c r="R192" s="2" t="n">
        <f aca="false">IFERROR(__xludf.dummyfunction("if($T192&lt;&gt;"""",VALUE(REGEXEXTRACT($T192, SUBSTITUTE(R$1, ""+"", ""\+"")&amp;""[\w &amp;]*, (\d+\.\d+)"")),"""")"),529.23)</f>
        <v>529.23</v>
      </c>
      <c r="S192" s="2" t="n">
        <f aca="false">IFERROR(__xludf.dummyfunction("if($T192&lt;&gt;"""",VALUE(REGEXEXTRACT($T192, SUBSTITUTE(S$1, ""+"", ""\+"")&amp;""[\w &amp;]*, (\d+\.\d+)"")),"""")"),531.06)</f>
        <v>531.06</v>
      </c>
      <c r="T192" s="5" t="s">
        <v>609</v>
      </c>
    </row>
    <row r="193" customFormat="false" ht="15.75" hidden="false" customHeight="false" outlineLevel="0" collapsed="false">
      <c r="A193" s="4" t="n">
        <f aca="false">IFERROR(__xludf.dummyfunction("""COMPUTED_VALUE"""),45680.6666666667)</f>
        <v>45680.6666666667</v>
      </c>
      <c r="B193" s="2" t="n">
        <f aca="false">IFERROR(__xludf.dummyfunction("""COMPUTED_VALUE"""),529.04)</f>
        <v>529.04</v>
      </c>
      <c r="C193" s="2" t="n">
        <f aca="false">IFERROR(__xludf.dummyfunction("""COMPUTED_VALUE"""),532.76)</f>
        <v>532.76</v>
      </c>
      <c r="D193" s="2" t="n">
        <f aca="false">IFERROR(__xludf.dummyfunction("""COMPUTED_VALUE"""),528.45)</f>
        <v>528.45</v>
      </c>
      <c r="E193" s="2" t="n">
        <f aca="false">IFERROR(__xludf.dummyfunction("""COMPUTED_VALUE"""),532.64)</f>
        <v>532.64</v>
      </c>
      <c r="F193" s="3" t="n">
        <f aca="false">IFERROR(__xludf.dummyfunction("if($T193&lt;&gt;"""",VALUE(REGEXEXTRACT(SUBSTITUTE ($T193,F$1&amp;"" CE"",""""), F$1&amp;""[\w &amp;]*, (\d+\.\d+)"")),"""")
"),540)</f>
        <v>540</v>
      </c>
      <c r="G193" s="3" t="n">
        <f aca="false">IFERROR(__xludf.dummyfunction("if($T193&lt;&gt;"""",VALUE(REGEXEXTRACT($T193, G$1&amp;""[\w &amp;]*, (\d+\.\d+)"")),"""")
"),535)</f>
        <v>535</v>
      </c>
      <c r="H193" s="3" t="n">
        <f aca="false">IFERROR(__xludf.dummyfunction("if($T193&lt;&gt;"""",VALUE(REGEXEXTRACT($T193, H$1&amp;""[\w &amp;]*, (\d+\.\d+)"")),"""")
"),545)</f>
        <v>545</v>
      </c>
      <c r="I193" s="3" t="n">
        <f aca="false">IFERROR(__xludf.dummyfunction("if($T193&lt;&gt;"""",VALUE(REGEXEXTRACT(SUBSTITUTE ($T193,I$1&amp;"" CE"",""""), I$1&amp;""[\w &amp;]*, (\d+\.\d+)"")),"""")
"),530)</f>
        <v>530</v>
      </c>
      <c r="J193" s="3" t="n">
        <f aca="false">IFERROR(__xludf.dummyfunction("if($T193&lt;&gt;"""",VALUE(REGEXEXTRACT($T193, J$1&amp;""[\w &amp;]*, (\d+\.\d+)"")),"""")
"),530)</f>
        <v>530</v>
      </c>
      <c r="K193" s="3" t="n">
        <f aca="false">IFERROR(__xludf.dummyfunction("if($T193&lt;&gt;"""",VALUE(REGEXEXTRACT($T193, K$1&amp;""[\w &amp;]*, (\d+\.\d+)"")),"""")
"),498)</f>
        <v>498</v>
      </c>
      <c r="L193" s="3" t="n">
        <f aca="false">IFERROR(__xludf.dummyfunction("if($T193&lt;&gt;"""",VALUE(REGEXEXTRACT(SUBSTITUTE ($T193,L$1&amp;"" CE"",""""), L$1&amp;""[\w &amp;]*, (\d+\.\d+)"")),"""")
"),529)</f>
        <v>529</v>
      </c>
      <c r="M193" s="3" t="n">
        <f aca="false">IFERROR(__xludf.dummyfunction("if($T193&lt;&gt;"""",VALUE(REGEXEXTRACT($T193, M$1&amp;""[\w &amp;]*, (\d+\.\d+)"")),"""")
"),532)</f>
        <v>532</v>
      </c>
      <c r="N193" s="3" t="n">
        <f aca="false">IFERROR(__xludf.dummyfunction("if($T193&lt;&gt;"""",VALUE(REGEXEXTRACT(SUBSTITUTE ($T193,N$1&amp;"" CE"",""""), N$1&amp;""[\w &amp;]*, (\d+\.\d+)"")),"""")
"),530)</f>
        <v>530</v>
      </c>
      <c r="O193" s="3" t="n">
        <f aca="false">IFERROR(__xludf.dummyfunction("if($T193&lt;&gt;"""",VALUE(REGEXEXTRACT($T193, O$1&amp;""[\w &amp;]*, (\d+\.\d+)"")),"""")
"),532)</f>
        <v>532</v>
      </c>
      <c r="P193" s="2" t="n">
        <f aca="false">IFERROR(__xludf.dummyfunction("if($T193&lt;&gt;"""",VALUE(REGEXEXTRACT($T193, P$1&amp;""[\w &amp;]*, (\d+\.\d+)"")),"""")
"),527.61)</f>
        <v>527.61</v>
      </c>
      <c r="Q193" s="2" t="n">
        <f aca="false">IFERROR(__xludf.dummyfunction("if($T193&lt;&gt;"""",VALUE(REGEXEXTRACT($T193, Q$1&amp;""[\w &amp;]*, (\d+\.\d+)"")),"""")
"),526.07)</f>
        <v>526.07</v>
      </c>
      <c r="R193" s="2" t="n">
        <f aca="false">IFERROR(__xludf.dummyfunction("if($T193&lt;&gt;"""",VALUE(REGEXEXTRACT($T193, SUBSTITUTE(R$1, ""+"", ""\+"")&amp;""[\w &amp;]*, (\d+\.\d+)"")),"""")"),535.41)</f>
        <v>535.41</v>
      </c>
      <c r="S193" s="2" t="n">
        <f aca="false">IFERROR(__xludf.dummyfunction("if($T193&lt;&gt;"""",VALUE(REGEXEXTRACT($T193, SUBSTITUTE(S$1, ""+"", ""\+"")&amp;""[\w &amp;]*, (\d+\.\d+)"")),"""")"),536.95)</f>
        <v>536.95</v>
      </c>
      <c r="T193" s="5" t="s">
        <v>610</v>
      </c>
    </row>
    <row r="194" customFormat="false" ht="15.75" hidden="false" customHeight="false" outlineLevel="0" collapsed="false">
      <c r="A194" s="4" t="n">
        <f aca="false">IFERROR(__xludf.dummyfunction("""COMPUTED_VALUE"""),45681.6666666667)</f>
        <v>45681.6666666667</v>
      </c>
      <c r="B194" s="2" t="n">
        <f aca="false">IFERROR(__xludf.dummyfunction("""COMPUTED_VALUE"""),533.02)</f>
        <v>533.02</v>
      </c>
      <c r="C194" s="2" t="n">
        <f aca="false">IFERROR(__xludf.dummyfunction("""COMPUTED_VALUE"""),533.79)</f>
        <v>533.79</v>
      </c>
      <c r="D194" s="2" t="n">
        <f aca="false">IFERROR(__xludf.dummyfunction("""COMPUTED_VALUE"""),528.15)</f>
        <v>528.15</v>
      </c>
      <c r="E194" s="2" t="n">
        <f aca="false">IFERROR(__xludf.dummyfunction("""COMPUTED_VALUE"""),529.63)</f>
        <v>529.63</v>
      </c>
      <c r="F194" s="3" t="n">
        <f aca="false">IFERROR(__xludf.dummyfunction("if($T194&lt;&gt;"""",VALUE(REGEXEXTRACT(SUBSTITUTE ($T194,F$1&amp;"" CE"",""""), F$1&amp;""[\w &amp;]*, (\d+\.\d+)"")),"""")
"),540)</f>
        <v>540</v>
      </c>
      <c r="G194" s="3" t="n">
        <f aca="false">IFERROR(__xludf.dummyfunction("if($T194&lt;&gt;"""",VALUE(REGEXEXTRACT($T194, G$1&amp;""[\w &amp;]*, (\d+\.\d+)"")),"""")
"),535)</f>
        <v>535</v>
      </c>
      <c r="H194" s="3" t="n">
        <f aca="false">IFERROR(__xludf.dummyfunction("if($T194&lt;&gt;"""",VALUE(REGEXEXTRACT($T194, H$1&amp;""[\w &amp;]*, (\d+\.\d+)"")),"""")
"),545)</f>
        <v>545</v>
      </c>
      <c r="I194" s="3" t="n">
        <f aca="false">IFERROR(__xludf.dummyfunction("if($T194&lt;&gt;"""",VALUE(REGEXEXTRACT(SUBSTITUTE ($T194,I$1&amp;"" CE"",""""), I$1&amp;""[\w &amp;]*, (\d+\.\d+)"")),"""")
"),530)</f>
        <v>530</v>
      </c>
      <c r="J194" s="3" t="n">
        <f aca="false">IFERROR(__xludf.dummyfunction("if($T194&lt;&gt;"""",VALUE(REGEXEXTRACT($T194, J$1&amp;""[\w &amp;]*, (\d+\.\d+)"")),"""")
"),525)</f>
        <v>525</v>
      </c>
      <c r="K194" s="3" t="n">
        <f aca="false">IFERROR(__xludf.dummyfunction("if($T194&lt;&gt;"""",VALUE(REGEXEXTRACT($T194, K$1&amp;""[\w &amp;]*, (\d+\.\d+)"")),"""")
"),498)</f>
        <v>498</v>
      </c>
      <c r="L194" s="3" t="n">
        <f aca="false">IFERROR(__xludf.dummyfunction("if($T194&lt;&gt;"""",VALUE(REGEXEXTRACT(SUBSTITUTE ($T194,L$1&amp;"" CE"",""""), L$1&amp;""[\w &amp;]*, (\d+\.\d+)"")),"""")
"),529)</f>
        <v>529</v>
      </c>
      <c r="M194" s="3" t="n">
        <f aca="false">IFERROR(__xludf.dummyfunction("if($T194&lt;&gt;"""",VALUE(REGEXEXTRACT($T194, M$1&amp;""[\w &amp;]*, (\d+\.\d+)"")),"""")
"),529)</f>
        <v>529</v>
      </c>
      <c r="N194" s="3" t="n">
        <f aca="false">IFERROR(__xludf.dummyfunction("if($T194&lt;&gt;"""",VALUE(REGEXEXTRACT(SUBSTITUTE ($T194,N$1&amp;"" CE"",""""), N$1&amp;""[\w &amp;]*, (\d+\.\d+)"")),"""")
"),530)</f>
        <v>530</v>
      </c>
      <c r="O194" s="3" t="n">
        <f aca="false">IFERROR(__xludf.dummyfunction("if($T194&lt;&gt;"""",VALUE(REGEXEXTRACT($T194, O$1&amp;""[\w &amp;]*, (\d+\.\d+)"")),"""")
"),530)</f>
        <v>530</v>
      </c>
      <c r="P194" s="2" t="n">
        <f aca="false">IFERROR(__xludf.dummyfunction("if($T194&lt;&gt;"""",VALUE(REGEXEXTRACT($T194, P$1&amp;""[\w &amp;]*, (\d+\.\d+)"")),"""")
"),528.25)</f>
        <v>528.25</v>
      </c>
      <c r="Q194" s="2" t="n">
        <f aca="false">IFERROR(__xludf.dummyfunction("if($T194&lt;&gt;"""",VALUE(REGEXEXTRACT($T194, Q$1&amp;""[\w &amp;]*, (\d+\.\d+)"")),"""")
"),523.94)</f>
        <v>523.94</v>
      </c>
      <c r="R194" s="2" t="n">
        <f aca="false">IFERROR(__xludf.dummyfunction("if($T194&lt;&gt;"""",VALUE(REGEXEXTRACT($T194, SUBSTITUTE(R$1, ""+"", ""\+"")&amp;""[\w &amp;]*, (\d+\.\d+)"")),"""")"),537.03)</f>
        <v>537.03</v>
      </c>
      <c r="S194" s="2" t="n">
        <f aca="false">IFERROR(__xludf.dummyfunction("if($T194&lt;&gt;"""",VALUE(REGEXEXTRACT($T194, SUBSTITUTE(S$1, ""+"", ""\+"")&amp;""[\w &amp;]*, (\d+\.\d+)"")),"""")"),541.34)</f>
        <v>541.34</v>
      </c>
      <c r="T194" s="5" t="s">
        <v>611</v>
      </c>
    </row>
    <row r="195" customFormat="false" ht="15.75" hidden="false" customHeight="false" outlineLevel="0" collapsed="false">
      <c r="A195" s="4" t="n">
        <f aca="false">IFERROR(__xludf.dummyfunction("""COMPUTED_VALUE"""),45684.6666666667)</f>
        <v>45684.6666666667</v>
      </c>
      <c r="B195" s="2" t="n">
        <f aca="false">IFERROR(__xludf.dummyfunction("""COMPUTED_VALUE"""),511)</f>
        <v>511</v>
      </c>
      <c r="C195" s="2" t="n">
        <f aca="false">IFERROR(__xludf.dummyfunction("""COMPUTED_VALUE"""),517.99)</f>
        <v>517.99</v>
      </c>
      <c r="D195" s="2" t="n">
        <f aca="false">IFERROR(__xludf.dummyfunction("""COMPUTED_VALUE"""),510.15)</f>
        <v>510.15</v>
      </c>
      <c r="E195" s="2" t="n">
        <f aca="false">IFERROR(__xludf.dummyfunction("""COMPUTED_VALUE"""),514.21)</f>
        <v>514.21</v>
      </c>
      <c r="F195" s="3" t="n">
        <f aca="false">IFERROR(__xludf.dummyfunction("if($T195&lt;&gt;"""",VALUE(REGEXEXTRACT(SUBSTITUTE ($T195,F$1&amp;"" CE"",""""), F$1&amp;""[\w &amp;]*, (\d+\.\d+)"")),"""")
"),530)</f>
        <v>530</v>
      </c>
      <c r="G195" s="3" t="n">
        <f aca="false">IFERROR(__xludf.dummyfunction("if($T195&lt;&gt;"""",VALUE(REGEXEXTRACT($T195, G$1&amp;""[\w &amp;]*, (\d+\.\d+)"")),"""")
"),533)</f>
        <v>533</v>
      </c>
      <c r="H195" s="3" t="n">
        <f aca="false">IFERROR(__xludf.dummyfunction("if($T195&lt;&gt;"""",VALUE(REGEXEXTRACT($T195, H$1&amp;""[\w &amp;]*, (\d+\.\d+)"")),"""")
"),545)</f>
        <v>545</v>
      </c>
      <c r="I195" s="3" t="n">
        <f aca="false">IFERROR(__xludf.dummyfunction("if($T195&lt;&gt;"""",VALUE(REGEXEXTRACT(SUBSTITUTE ($T195,I$1&amp;"" CE"",""""), I$1&amp;""[\w &amp;]*, (\d+\.\d+)"")),"""")
"),528)</f>
        <v>528</v>
      </c>
      <c r="J195" s="3" t="n">
        <f aca="false">IFERROR(__xludf.dummyfunction("if($T195&lt;&gt;"""",VALUE(REGEXEXTRACT($T195, J$1&amp;""[\w &amp;]*, (\d+\.\d+)"")),"""")
"),528)</f>
        <v>528</v>
      </c>
      <c r="K195" s="3" t="n">
        <f aca="false">IFERROR(__xludf.dummyfunction("if($T195&lt;&gt;"""",VALUE(REGEXEXTRACT($T195, K$1&amp;""[\w &amp;]*, (\d+\.\d+)"")),"""")
"),527)</f>
        <v>527</v>
      </c>
      <c r="L195" s="3" t="n">
        <f aca="false">IFERROR(__xludf.dummyfunction("if($T195&lt;&gt;"""",VALUE(REGEXEXTRACT(SUBSTITUTE ($T195,L$1&amp;"" CE"",""""), L$1&amp;""[\w &amp;]*, (\d+\.\d+)"")),"""")
"),529)</f>
        <v>529</v>
      </c>
      <c r="M195" s="3" t="n">
        <f aca="false">IFERROR(__xludf.dummyfunction("if($T195&lt;&gt;"""",VALUE(REGEXEXTRACT($T195, M$1&amp;""[\w &amp;]*, (\d+\.\d+)"")),"""")
"),529)</f>
        <v>529</v>
      </c>
      <c r="N195" s="3" t="n">
        <f aca="false">IFERROR(__xludf.dummyfunction("if($T195&lt;&gt;"""",VALUE(REGEXEXTRACT(SUBSTITUTE ($T195,N$1&amp;"" CE"",""""), N$1&amp;""[\w &amp;]*, (\d+\.\d+)"")),"""")
"),530)</f>
        <v>530</v>
      </c>
      <c r="O195" s="3" t="n">
        <f aca="false">IFERROR(__xludf.dummyfunction("if($T195&lt;&gt;"""",VALUE(REGEXEXTRACT($T195, O$1&amp;""[\w &amp;]*, (\d+\.\d+)"")),"""")
"),528)</f>
        <v>528</v>
      </c>
      <c r="P195" s="2" t="n">
        <f aca="false">IFERROR(__xludf.dummyfunction("if($T195&lt;&gt;"""",VALUE(REGEXEXTRACT($T195, P$1&amp;""[\w &amp;]*, (\d+\.\d+)"")),"""")
"),525.67)</f>
        <v>525.67</v>
      </c>
      <c r="Q195" s="2" t="n">
        <f aca="false">IFERROR(__xludf.dummyfunction("if($T195&lt;&gt;"""",VALUE(REGEXEXTRACT($T195, Q$1&amp;""[\w &amp;]*, (\d+\.\d+)"")),"""")
"),524.03)</f>
        <v>524.03</v>
      </c>
      <c r="R195" s="2" t="n">
        <f aca="false">IFERROR(__xludf.dummyfunction("if($T195&lt;&gt;"""",VALUE(REGEXEXTRACT($T195, SUBSTITUTE(R$1, ""+"", ""\+"")&amp;""[\w &amp;]*, (\d+\.\d+)"")),"""")"),533.59)</f>
        <v>533.59</v>
      </c>
      <c r="S195" s="2" t="n">
        <f aca="false">IFERROR(__xludf.dummyfunction("if($T195&lt;&gt;"""",VALUE(REGEXEXTRACT($T195, SUBSTITUTE(S$1, ""+"", ""\+"")&amp;""[\w &amp;]*, (\d+\.\d+)"")),"""")"),535.23)</f>
        <v>535.23</v>
      </c>
      <c r="T195" s="5" t="s">
        <v>612</v>
      </c>
    </row>
    <row r="196" customFormat="false" ht="15.75" hidden="false" customHeight="false" outlineLevel="0" collapsed="false">
      <c r="A196" s="4" t="n">
        <f aca="false">IFERROR(__xludf.dummyfunction("""COMPUTED_VALUE"""),45685.6666666667)</f>
        <v>45685.6666666667</v>
      </c>
      <c r="B196" s="2" t="n">
        <f aca="false">IFERROR(__xludf.dummyfunction("""COMPUTED_VALUE"""),515.22)</f>
        <v>515.22</v>
      </c>
      <c r="C196" s="2" t="n">
        <f aca="false">IFERROR(__xludf.dummyfunction("""COMPUTED_VALUE"""),523)</f>
        <v>523</v>
      </c>
      <c r="D196" s="2" t="n">
        <f aca="false">IFERROR(__xludf.dummyfunction("""COMPUTED_VALUE"""),511.78)</f>
        <v>511.78</v>
      </c>
      <c r="E196" s="2" t="n">
        <f aca="false">IFERROR(__xludf.dummyfunction("""COMPUTED_VALUE"""),521.81)</f>
        <v>521.81</v>
      </c>
      <c r="F196" s="3" t="n">
        <f aca="false">IFERROR(__xludf.dummyfunction("if($T196&lt;&gt;"""",VALUE(REGEXEXTRACT(SUBSTITUTE ($T196,F$1&amp;"" CE"",""""), F$1&amp;""[\w &amp;]*, (\d+\.\d+)"")),"""")
"),525)</f>
        <v>525</v>
      </c>
      <c r="G196" s="3" t="n">
        <f aca="false">IFERROR(__xludf.dummyfunction("if($T196&lt;&gt;"""",VALUE(REGEXEXTRACT($T196, G$1&amp;""[\w &amp;]*, (\d+\.\d+)"")),"""")
"),520)</f>
        <v>520</v>
      </c>
      <c r="H196" s="3" t="n">
        <f aca="false">IFERROR(__xludf.dummyfunction("if($T196&lt;&gt;"""",VALUE(REGEXEXTRACT($T196, H$1&amp;""[\w &amp;]*, (\d+\.\d+)"")),"""")
"),532)</f>
        <v>532</v>
      </c>
      <c r="I196" s="3" t="n">
        <f aca="false">IFERROR(__xludf.dummyfunction("if($T196&lt;&gt;"""",VALUE(REGEXEXTRACT(SUBSTITUTE ($T196,I$1&amp;"" CE"",""""), I$1&amp;""[\w &amp;]*, (\d+\.\d+)"")),"""")
"),520)</f>
        <v>520</v>
      </c>
      <c r="J196" s="3" t="n">
        <f aca="false">IFERROR(__xludf.dummyfunction("if($T196&lt;&gt;"""",VALUE(REGEXEXTRACT($T196, J$1&amp;""[\w &amp;]*, (\d+\.\d+)"")),"""")
"),510)</f>
        <v>510</v>
      </c>
      <c r="K196" s="3" t="n">
        <f aca="false">IFERROR(__xludf.dummyfunction("if($T196&lt;&gt;"""",VALUE(REGEXEXTRACT($T196, K$1&amp;""[\w &amp;]*, (\d+\.\d+)"")),"""")
"),508)</f>
        <v>508</v>
      </c>
      <c r="L196" s="3" t="n">
        <f aca="false">IFERROR(__xludf.dummyfunction("if($T196&lt;&gt;"""",VALUE(REGEXEXTRACT(SUBSTITUTE ($T196,L$1&amp;"" CE"",""""), L$1&amp;""[\w &amp;]*, (\d+\.\d+)"")),"""")
"),515)</f>
        <v>515</v>
      </c>
      <c r="M196" s="3" t="n">
        <f aca="false">IFERROR(__xludf.dummyfunction("if($T196&lt;&gt;"""",VALUE(REGEXEXTRACT($T196, M$1&amp;""[\w &amp;]*, (\d+\.\d+)"")),"""")
"),513)</f>
        <v>513</v>
      </c>
      <c r="N196" s="3" t="n">
        <f aca="false">IFERROR(__xludf.dummyfunction("if($T196&lt;&gt;"""",VALUE(REGEXEXTRACT(SUBSTITUTE ($T196,N$1&amp;"" CE"",""""), N$1&amp;""[\w &amp;]*, (\d+\.\d+)"")),"""")
"),520)</f>
        <v>520</v>
      </c>
      <c r="O196" s="3" t="n">
        <f aca="false">IFERROR(__xludf.dummyfunction("if($T196&lt;&gt;"""",VALUE(REGEXEXTRACT($T196, O$1&amp;""[\w &amp;]*, (\d+\.\d+)"")),"""")
"),515)</f>
        <v>515</v>
      </c>
      <c r="P196" s="2" t="n">
        <f aca="false">IFERROR(__xludf.dummyfunction("if($T196&lt;&gt;"""",VALUE(REGEXEXTRACT($T196, P$1&amp;""[\w &amp;]*, (\d+\.\d+)"")),"""")
"),508.89)</f>
        <v>508.89</v>
      </c>
      <c r="Q196" s="2" t="n">
        <f aca="false">IFERROR(__xludf.dummyfunction("if($T196&lt;&gt;"""",VALUE(REGEXEXTRACT($T196, Q$1&amp;""[\w &amp;]*, (\d+\.\d+)"")),"""")
"),506.68)</f>
        <v>506.68</v>
      </c>
      <c r="R196" s="2" t="n">
        <f aca="false">IFERROR(__xludf.dummyfunction("if($T196&lt;&gt;"""",VALUE(REGEXEXTRACT($T196, SUBSTITUTE(R$1, ""+"", ""\+"")&amp;""[\w &amp;]*, (\d+\.\d+)"")),"""")"),519.53)</f>
        <v>519.53</v>
      </c>
      <c r="S196" s="2" t="n">
        <f aca="false">IFERROR(__xludf.dummyfunction("if($T196&lt;&gt;"""",VALUE(REGEXEXTRACT($T196, SUBSTITUTE(S$1, ""+"", ""\+"")&amp;""[\w &amp;]*, (\d+\.\d+)"")),"""")"),521.74)</f>
        <v>521.74</v>
      </c>
      <c r="T196" s="5" t="s">
        <v>613</v>
      </c>
    </row>
    <row r="197" customFormat="false" ht="15.75" hidden="false" customHeight="false" outlineLevel="0" collapsed="false">
      <c r="A197" s="4" t="n">
        <f aca="false">IFERROR(__xludf.dummyfunction("""COMPUTED_VALUE"""),45686.6666666667)</f>
        <v>45686.6666666667</v>
      </c>
      <c r="B197" s="2" t="n">
        <f aca="false">IFERROR(__xludf.dummyfunction("""COMPUTED_VALUE"""),522.46)</f>
        <v>522.46</v>
      </c>
      <c r="C197" s="2" t="n">
        <f aca="false">IFERROR(__xludf.dummyfunction("""COMPUTED_VALUE"""),522.59)</f>
        <v>522.59</v>
      </c>
      <c r="D197" s="2" t="n">
        <f aca="false">IFERROR(__xludf.dummyfunction("""COMPUTED_VALUE"""),516.9)</f>
        <v>516.9</v>
      </c>
      <c r="E197" s="2" t="n">
        <f aca="false">IFERROR(__xludf.dummyfunction("""COMPUTED_VALUE"""),520.83)</f>
        <v>520.83</v>
      </c>
      <c r="F197" s="3" t="n">
        <f aca="false">IFERROR(__xludf.dummyfunction("if($T197&lt;&gt;"""",VALUE(REGEXEXTRACT(SUBSTITUTE ($T197,F$1&amp;"" CE"",""""), F$1&amp;""[\w &amp;]*, (\d+\.\d+)"")),"""")
"),525)</f>
        <v>525</v>
      </c>
      <c r="G197" s="3" t="n">
        <f aca="false">IFERROR(__xludf.dummyfunction("if($T197&lt;&gt;"""",VALUE(REGEXEXTRACT($T197, G$1&amp;""[\w &amp;]*, (\d+\.\d+)"")),"""")
"),525)</f>
        <v>525</v>
      </c>
      <c r="H197" s="3" t="n">
        <f aca="false">IFERROR(__xludf.dummyfunction("if($T197&lt;&gt;"""",VALUE(REGEXEXTRACT($T197, H$1&amp;""[\w &amp;]*, (\d+\.\d+)"")),"""")
"),538)</f>
        <v>538</v>
      </c>
      <c r="I197" s="3" t="n">
        <f aca="false">IFERROR(__xludf.dummyfunction("if($T197&lt;&gt;"""",VALUE(REGEXEXTRACT(SUBSTITUTE ($T197,I$1&amp;"" CE"",""""), I$1&amp;""[\w &amp;]*, (\d+\.\d+)"")),"""")
"),520)</f>
        <v>520</v>
      </c>
      <c r="J197" s="3" t="n">
        <f aca="false">IFERROR(__xludf.dummyfunction("if($T197&lt;&gt;"""",VALUE(REGEXEXTRACT($T197, J$1&amp;""[\w &amp;]*, (\d+\.\d+)"")),"""")
"),510)</f>
        <v>510</v>
      </c>
      <c r="K197" s="3" t="n">
        <f aca="false">IFERROR(__xludf.dummyfunction("if($T197&lt;&gt;"""",VALUE(REGEXEXTRACT($T197, K$1&amp;""[\w &amp;]*, (\d+\.\d+)"")),"""")
"),508)</f>
        <v>508</v>
      </c>
      <c r="L197" s="3" t="n">
        <f aca="false">IFERROR(__xludf.dummyfunction("if($T197&lt;&gt;"""",VALUE(REGEXEXTRACT(SUBSTITUTE ($T197,L$1&amp;"" CE"",""""), L$1&amp;""[\w &amp;]*, (\d+\.\d+)"")),"""")
"),521)</f>
        <v>521</v>
      </c>
      <c r="M197" s="3" t="n">
        <f aca="false">IFERROR(__xludf.dummyfunction("if($T197&lt;&gt;"""",VALUE(REGEXEXTRACT($T197, M$1&amp;""[\w &amp;]*, (\d+\.\d+)"")),"""")
"),519)</f>
        <v>519</v>
      </c>
      <c r="N197" s="3" t="n">
        <f aca="false">IFERROR(__xludf.dummyfunction("if($T197&lt;&gt;"""",VALUE(REGEXEXTRACT(SUBSTITUTE ($T197,N$1&amp;"" CE"",""""), N$1&amp;""[\w &amp;]*, (\d+\.\d+)"")),"""")
"),520)</f>
        <v>520</v>
      </c>
      <c r="O197" s="3" t="n">
        <f aca="false">IFERROR(__xludf.dummyfunction("if($T197&lt;&gt;"""",VALUE(REGEXEXTRACT($T197, O$1&amp;""[\w &amp;]*, (\d+\.\d+)"")),"""")
"),520)</f>
        <v>520</v>
      </c>
      <c r="P197" s="2" t="n">
        <f aca="false">IFERROR(__xludf.dummyfunction("if($T197&lt;&gt;"""",VALUE(REGEXEXTRACT($T197, P$1&amp;""[\w &amp;]*, (\d+\.\d+)"")),"""")
"),516.28)</f>
        <v>516.28</v>
      </c>
      <c r="Q197" s="2" t="n">
        <f aca="false">IFERROR(__xludf.dummyfunction("if($T197&lt;&gt;"""",VALUE(REGEXEXTRACT($T197, Q$1&amp;""[\w &amp;]*, (\d+\.\d+)"")),"""")
"),513.99)</f>
        <v>513.99</v>
      </c>
      <c r="R197" s="2" t="n">
        <f aca="false">IFERROR(__xludf.dummyfunction("if($T197&lt;&gt;"""",VALUE(REGEXEXTRACT($T197, SUBSTITUTE(R$1, ""+"", ""\+"")&amp;""[\w &amp;]*, (\d+\.\d+)"")),"""")"),527.34)</f>
        <v>527.34</v>
      </c>
      <c r="S197" s="2" t="n">
        <f aca="false">IFERROR(__xludf.dummyfunction("if($T197&lt;&gt;"""",VALUE(REGEXEXTRACT($T197, SUBSTITUTE(S$1, ""+"", ""\+"")&amp;""[\w &amp;]*, (\d+\.\d+)"")),"""")"),529.63)</f>
        <v>529.63</v>
      </c>
      <c r="T197" s="5" t="s">
        <v>614</v>
      </c>
    </row>
    <row r="198" customFormat="false" ht="15.75" hidden="false" customHeight="false" outlineLevel="0" collapsed="false">
      <c r="A198" s="4" t="n">
        <f aca="false">IFERROR(__xludf.dummyfunction("""COMPUTED_VALUE"""),45687.6666666667)</f>
        <v>45687.6666666667</v>
      </c>
      <c r="B198" s="2" t="n">
        <f aca="false">IFERROR(__xludf.dummyfunction("""COMPUTED_VALUE"""),523.71)</f>
        <v>523.71</v>
      </c>
      <c r="C198" s="2" t="n">
        <f aca="false">IFERROR(__xludf.dummyfunction("""COMPUTED_VALUE"""),526.1)</f>
        <v>526.1</v>
      </c>
      <c r="D198" s="2" t="n">
        <f aca="false">IFERROR(__xludf.dummyfunction("""COMPUTED_VALUE"""),518.21)</f>
        <v>518.21</v>
      </c>
      <c r="E198" s="2" t="n">
        <f aca="false">IFERROR(__xludf.dummyfunction("""COMPUTED_VALUE"""),523.05)</f>
        <v>523.05</v>
      </c>
      <c r="F198" s="3" t="n">
        <f aca="false">IFERROR(__xludf.dummyfunction("if($T198&lt;&gt;"""",VALUE(REGEXEXTRACT(SUBSTITUTE ($T198,F$1&amp;"" CE"",""""), F$1&amp;""[\w &amp;]*, (\d+\.\d+)"")),"""")
"),525)</f>
        <v>525</v>
      </c>
      <c r="G198" s="3" t="n">
        <f aca="false">IFERROR(__xludf.dummyfunction("if($T198&lt;&gt;"""",VALUE(REGEXEXTRACT($T198, G$1&amp;""[\w &amp;]*, (\d+\.\d+)"")),"""")
"),525)</f>
        <v>525</v>
      </c>
      <c r="H198" s="3" t="n">
        <f aca="false">IFERROR(__xludf.dummyfunction("if($T198&lt;&gt;"""",VALUE(REGEXEXTRACT($T198, H$1&amp;""[\w &amp;]*, (\d+\.\d+)"")),"""")
"),532)</f>
        <v>532</v>
      </c>
      <c r="I198" s="3" t="n">
        <f aca="false">IFERROR(__xludf.dummyfunction("if($T198&lt;&gt;"""",VALUE(REGEXEXTRACT(SUBSTITUTE ($T198,I$1&amp;"" CE"",""""), I$1&amp;""[\w &amp;]*, (\d+\.\d+)"")),"""")
"),520)</f>
        <v>520</v>
      </c>
      <c r="J198" s="3" t="n">
        <f aca="false">IFERROR(__xludf.dummyfunction("if($T198&lt;&gt;"""",VALUE(REGEXEXTRACT($T198, J$1&amp;""[\w &amp;]*, (\d+\.\d+)"")),"""")
"),516)</f>
        <v>516</v>
      </c>
      <c r="K198" s="3" t="n">
        <f aca="false">IFERROR(__xludf.dummyfunction("if($T198&lt;&gt;"""",VALUE(REGEXEXTRACT($T198, K$1&amp;""[\w &amp;]*, (\d+\.\d+)"")),"""")
"),508)</f>
        <v>508</v>
      </c>
      <c r="L198" s="3" t="n">
        <f aca="false">IFERROR(__xludf.dummyfunction("if($T198&lt;&gt;"""",VALUE(REGEXEXTRACT(SUBSTITUTE ($T198,L$1&amp;"" CE"",""""), L$1&amp;""[\w &amp;]*, (\d+\.\d+)"")),"""")
"),521)</f>
        <v>521</v>
      </c>
      <c r="M198" s="3" t="n">
        <f aca="false">IFERROR(__xludf.dummyfunction("if($T198&lt;&gt;"""",VALUE(REGEXEXTRACT($T198, M$1&amp;""[\w &amp;]*, (\d+\.\d+)"")),"""")
"),518)</f>
        <v>518</v>
      </c>
      <c r="N198" s="3" t="n">
        <f aca="false">IFERROR(__xludf.dummyfunction("if($T198&lt;&gt;"""",VALUE(REGEXEXTRACT(SUBSTITUTE ($T198,N$1&amp;"" CE"",""""), N$1&amp;""[\w &amp;]*, (\d+\.\d+)"")),"""")
"),520)</f>
        <v>520</v>
      </c>
      <c r="O198" s="3" t="n">
        <f aca="false">IFERROR(__xludf.dummyfunction("if($T198&lt;&gt;"""",VALUE(REGEXEXTRACT($T198, O$1&amp;""[\w &amp;]*, (\d+\.\d+)"")),"""")
"),520)</f>
        <v>520</v>
      </c>
      <c r="P198" s="2" t="n">
        <f aca="false">IFERROR(__xludf.dummyfunction("if($T198&lt;&gt;"""",VALUE(REGEXEXTRACT($T198, P$1&amp;""[\w &amp;]*, (\d+\.\d+)"")),"""")
"),515.7)</f>
        <v>515.7</v>
      </c>
      <c r="Q198" s="2" t="n">
        <f aca="false">IFERROR(__xludf.dummyfunction("if($T198&lt;&gt;"""",VALUE(REGEXEXTRACT($T198, Q$1&amp;""[\w &amp;]*, (\d+\.\d+)"")),"""")
"),513.57)</f>
        <v>513.57</v>
      </c>
      <c r="R198" s="2" t="n">
        <f aca="false">IFERROR(__xludf.dummyfunction("if($T198&lt;&gt;"""",VALUE(REGEXEXTRACT($T198, SUBSTITUTE(R$1, ""+"", ""\+"")&amp;""[\w &amp;]*, (\d+\.\d+)"")),"""")"),525.96)</f>
        <v>525.96</v>
      </c>
      <c r="S198" s="2" t="n">
        <f aca="false">IFERROR(__xludf.dummyfunction("if($T198&lt;&gt;"""",VALUE(REGEXEXTRACT($T198, SUBSTITUTE(S$1, ""+"", ""\+"")&amp;""[\w &amp;]*, (\d+\.\d+)"")),"""")"),528.09)</f>
        <v>528.09</v>
      </c>
      <c r="T198" s="5" t="s">
        <v>615</v>
      </c>
    </row>
    <row r="199" customFormat="false" ht="15.75" hidden="false" customHeight="false" outlineLevel="0" collapsed="false">
      <c r="A199" s="4" t="n">
        <f aca="false">IFERROR(__xludf.dummyfunction("""COMPUTED_VALUE"""),45688.6666666667)</f>
        <v>45688.6666666667</v>
      </c>
      <c r="B199" s="2" t="n">
        <f aca="false">IFERROR(__xludf.dummyfunction("""COMPUTED_VALUE"""),526.92)</f>
        <v>526.92</v>
      </c>
      <c r="C199" s="2" t="n">
        <f aca="false">IFERROR(__xludf.dummyfunction("""COMPUTED_VALUE"""),531.52)</f>
        <v>531.52</v>
      </c>
      <c r="D199" s="2" t="n">
        <f aca="false">IFERROR(__xludf.dummyfunction("""COMPUTED_VALUE"""),521.19)</f>
        <v>521.19</v>
      </c>
      <c r="E199" s="2" t="n">
        <f aca="false">IFERROR(__xludf.dummyfunction("""COMPUTED_VALUE"""),522.29)</f>
        <v>522.29</v>
      </c>
      <c r="F199" s="3" t="n">
        <f aca="false">IFERROR(__xludf.dummyfunction("if($T199&lt;&gt;"""",VALUE(REGEXEXTRACT(SUBSTITUTE ($T199,F$1&amp;"" CE"",""""), F$1&amp;""[\w &amp;]*, (\d+\.\d+)"")),"""")
"),525)</f>
        <v>525</v>
      </c>
      <c r="G199" s="3" t="n">
        <f aca="false">IFERROR(__xludf.dummyfunction("if($T199&lt;&gt;"""",VALUE(REGEXEXTRACT($T199, G$1&amp;""[\w &amp;]*, (\d+\.\d+)"")),"""")
"),530)</f>
        <v>530</v>
      </c>
      <c r="H199" s="3" t="n">
        <f aca="false">IFERROR(__xludf.dummyfunction("if($T199&lt;&gt;"""",VALUE(REGEXEXTRACT($T199, H$1&amp;""[\w &amp;]*, (\d+\.\d+)"")),"""")
"),538)</f>
        <v>538</v>
      </c>
      <c r="I199" s="3" t="n">
        <f aca="false">IFERROR(__xludf.dummyfunction("if($T199&lt;&gt;"""",VALUE(REGEXEXTRACT(SUBSTITUTE ($T199,I$1&amp;"" CE"",""""), I$1&amp;""[\w &amp;]*, (\d+\.\d+)"")),"""")
"),520)</f>
        <v>520</v>
      </c>
      <c r="J199" s="3" t="n">
        <f aca="false">IFERROR(__xludf.dummyfunction("if($T199&lt;&gt;"""",VALUE(REGEXEXTRACT($T199, J$1&amp;""[\w &amp;]*, (\d+\.\d+)"")),"""")
"),521)</f>
        <v>521</v>
      </c>
      <c r="K199" s="3" t="n">
        <f aca="false">IFERROR(__xludf.dummyfunction("if($T199&lt;&gt;"""",VALUE(REGEXEXTRACT($T199, K$1&amp;""[\w &amp;]*, (\d+\.\d+)"")),"""")
"),508)</f>
        <v>508</v>
      </c>
      <c r="L199" s="3" t="n">
        <f aca="false">IFERROR(__xludf.dummyfunction("if($T199&lt;&gt;"""",VALUE(REGEXEXTRACT(SUBSTITUTE ($T199,L$1&amp;"" CE"",""""), L$1&amp;""[\w &amp;]*, (\d+\.\d+)"")),"""")
"),521)</f>
        <v>521</v>
      </c>
      <c r="M199" s="3" t="n">
        <f aca="false">IFERROR(__xludf.dummyfunction("if($T199&lt;&gt;"""",VALUE(REGEXEXTRACT($T199, M$1&amp;""[\w &amp;]*, (\d+\.\d+)"")),"""")
"),523)</f>
        <v>523</v>
      </c>
      <c r="N199" s="3" t="n">
        <f aca="false">IFERROR(__xludf.dummyfunction("if($T199&lt;&gt;"""",VALUE(REGEXEXTRACT(SUBSTITUTE ($T199,N$1&amp;"" CE"",""""), N$1&amp;""[\w &amp;]*, (\d+\.\d+)"")),"""")
"),525)</f>
        <v>525</v>
      </c>
      <c r="O199" s="3" t="n">
        <f aca="false">IFERROR(__xludf.dummyfunction("if($T199&lt;&gt;"""",VALUE(REGEXEXTRACT($T199, O$1&amp;""[\w &amp;]*, (\d+\.\d+)"")),"""")
"),525)</f>
        <v>525</v>
      </c>
      <c r="P199" s="2" t="n">
        <f aca="false">IFERROR(__xludf.dummyfunction("if($T199&lt;&gt;"""",VALUE(REGEXEXTRACT($T199, P$1&amp;""[\w &amp;]*, (\d+\.\d+)"")),"""")
"),517.82)</f>
        <v>517.82</v>
      </c>
      <c r="Q199" s="2" t="n">
        <f aca="false">IFERROR(__xludf.dummyfunction("if($T199&lt;&gt;"""",VALUE(REGEXEXTRACT($T199, Q$1&amp;""[\w &amp;]*, (\d+\.\d+)"")),"""")
"),512.6)</f>
        <v>512.6</v>
      </c>
      <c r="R199" s="2" t="n">
        <f aca="false">IFERROR(__xludf.dummyfunction("if($T199&lt;&gt;"""",VALUE(REGEXEXTRACT($T199, SUBSTITUTE(R$1, ""+"", ""\+"")&amp;""[\w &amp;]*, (\d+\.\d+)"")),"""")"),528.28)</f>
        <v>528.28</v>
      </c>
      <c r="S199" s="2" t="n">
        <f aca="false">IFERROR(__xludf.dummyfunction("if($T199&lt;&gt;"""",VALUE(REGEXEXTRACT($T199, SUBSTITUTE(S$1, ""+"", ""\+"")&amp;""[\w &amp;]*, (\d+\.\d+)"")),"""")"),533.5)</f>
        <v>533.5</v>
      </c>
      <c r="T199" s="5" t="s">
        <v>616</v>
      </c>
    </row>
    <row r="200" customFormat="false" ht="15.75" hidden="false" customHeight="false" outlineLevel="0" collapsed="false">
      <c r="A200" s="4" t="n">
        <f aca="false">IFERROR(__xludf.dummyfunction("""COMPUTED_VALUE"""),45691.6666666667)</f>
        <v>45691.6666666667</v>
      </c>
      <c r="B200" s="2" t="n">
        <f aca="false">IFERROR(__xludf.dummyfunction("""COMPUTED_VALUE"""),513.47)</f>
        <v>513.47</v>
      </c>
      <c r="C200" s="2" t="n">
        <f aca="false">IFERROR(__xludf.dummyfunction("""COMPUTED_VALUE"""),520.85)</f>
        <v>520.85</v>
      </c>
      <c r="D200" s="2" t="n">
        <f aca="false">IFERROR(__xludf.dummyfunction("""COMPUTED_VALUE"""),511.05)</f>
        <v>511.05</v>
      </c>
      <c r="E200" s="2" t="n">
        <f aca="false">IFERROR(__xludf.dummyfunction("""COMPUTED_VALUE"""),518.11)</f>
        <v>518.11</v>
      </c>
      <c r="F200" s="3" t="n">
        <f aca="false">IFERROR(__xludf.dummyfunction("if($T200&lt;&gt;"""",VALUE(REGEXEXTRACT(SUBSTITUTE ($T200,F$1&amp;"" CE"",""""), F$1&amp;""[\w &amp;]*, (\d+\.\d+)"")),"""")
"),520)</f>
        <v>520</v>
      </c>
      <c r="G200" s="3" t="n">
        <f aca="false">IFERROR(__xludf.dummyfunction("if($T200&lt;&gt;"""",VALUE(REGEXEXTRACT($T200, G$1&amp;""[\w &amp;]*, (\d+\.\d+)"")),"""")
"),523)</f>
        <v>523</v>
      </c>
      <c r="H200" s="3" t="n">
        <f aca="false">IFERROR(__xludf.dummyfunction("if($T200&lt;&gt;"""",VALUE(REGEXEXTRACT($T200, H$1&amp;""[\w &amp;]*, (\d+\.\d+)"")),"""")
"),540)</f>
        <v>540</v>
      </c>
      <c r="I200" s="3" t="n">
        <f aca="false">IFERROR(__xludf.dummyfunction("if($T200&lt;&gt;"""",VALUE(REGEXEXTRACT(SUBSTITUTE ($T200,I$1&amp;"" CE"",""""), I$1&amp;""[\w &amp;]*, (\d+\.\d+)"")),"""")
"),510)</f>
        <v>510</v>
      </c>
      <c r="J200" s="3" t="n">
        <f aca="false">IFERROR(__xludf.dummyfunction("if($T200&lt;&gt;"""",VALUE(REGEXEXTRACT($T200, J$1&amp;""[\w &amp;]*, (\d+\.\d+)"")),"""")
"),510)</f>
        <v>510</v>
      </c>
      <c r="K200" s="3" t="n">
        <f aca="false">IFERROR(__xludf.dummyfunction("if($T200&lt;&gt;"""",VALUE(REGEXEXTRACT($T200, K$1&amp;""[\w &amp;]*, (\d+\.\d+)"")),"""")
"),505)</f>
        <v>505</v>
      </c>
      <c r="L200" s="3" t="n">
        <f aca="false">IFERROR(__xludf.dummyfunction("if($T200&lt;&gt;"""",VALUE(REGEXEXTRACT(SUBSTITUTE ($T200,L$1&amp;"" CE"",""""), L$1&amp;""[\w &amp;]*, (\d+\.\d+)"")),"""")
"),520)</f>
        <v>520</v>
      </c>
      <c r="M200" s="3" t="n">
        <f aca="false">IFERROR(__xludf.dummyfunction("if($T200&lt;&gt;"""",VALUE(REGEXEXTRACT($T200, M$1&amp;""[\w &amp;]*, (\d+\.\d+)"")),"""")
"),518)</f>
        <v>518</v>
      </c>
      <c r="N200" s="3" t="n">
        <f aca="false">IFERROR(__xludf.dummyfunction("if($T200&lt;&gt;"""",VALUE(REGEXEXTRACT(SUBSTITUTE ($T200,N$1&amp;"" CE"",""""), N$1&amp;""[\w &amp;]*, (\d+\.\d+)"")),"""")
"),520)</f>
        <v>520</v>
      </c>
      <c r="O200" s="3" t="n">
        <f aca="false">IFERROR(__xludf.dummyfunction("if($T200&lt;&gt;"""",VALUE(REGEXEXTRACT($T200, O$1&amp;""[\w &amp;]*, (\d+\.\d+)"")),"""")
"),520)</f>
        <v>520</v>
      </c>
      <c r="P200" s="2" t="n">
        <f aca="false">IFERROR(__xludf.dummyfunction("if($T200&lt;&gt;"""",VALUE(REGEXEXTRACT($T200, P$1&amp;""[\w &amp;]*, (\d+\.\d+)"")),"""")
"),512.18)</f>
        <v>512.18</v>
      </c>
      <c r="Q200" s="2" t="n">
        <f aca="false">IFERROR(__xludf.dummyfunction("if($T200&lt;&gt;"""",VALUE(REGEXEXTRACT($T200, Q$1&amp;""[\w &amp;]*, (\d+\.\d+)"")),"""")
"),509.73)</f>
        <v>509.73</v>
      </c>
      <c r="R200" s="2" t="n">
        <f aca="false">IFERROR(__xludf.dummyfunction("if($T200&lt;&gt;"""",VALUE(REGEXEXTRACT($T200, SUBSTITUTE(R$1, ""+"", ""\+"")&amp;""[\w &amp;]*, (\d+\.\d+)"")),"""")"),524.04)</f>
        <v>524.04</v>
      </c>
      <c r="S200" s="2" t="n">
        <f aca="false">IFERROR(__xludf.dummyfunction("if($T200&lt;&gt;"""",VALUE(REGEXEXTRACT($T200, SUBSTITUTE(S$1, ""+"", ""\+"")&amp;""[\w &amp;]*, (\d+\.\d+)"")),"""")"),526.49)</f>
        <v>526.49</v>
      </c>
      <c r="T200" s="5" t="s">
        <v>617</v>
      </c>
    </row>
    <row r="201" customFormat="false" ht="15.75" hidden="false" customHeight="false" outlineLevel="0" collapsed="false">
      <c r="A201" s="4" t="n">
        <f aca="false">IFERROR(__xludf.dummyfunction("""COMPUTED_VALUE"""),45692.6666666667)</f>
        <v>45692.6666666667</v>
      </c>
      <c r="B201" s="2" t="n">
        <f aca="false">IFERROR(__xludf.dummyfunction("""COMPUTED_VALUE"""),518.63)</f>
        <v>518.63</v>
      </c>
      <c r="C201" s="2" t="n">
        <f aca="false">IFERROR(__xludf.dummyfunction("""COMPUTED_VALUE"""),525.11)</f>
        <v>525.11</v>
      </c>
      <c r="D201" s="2" t="n">
        <f aca="false">IFERROR(__xludf.dummyfunction("""COMPUTED_VALUE"""),518.23)</f>
        <v>518.23</v>
      </c>
      <c r="E201" s="2" t="n">
        <f aca="false">IFERROR(__xludf.dummyfunction("""COMPUTED_VALUE"""),524.47)</f>
        <v>524.47</v>
      </c>
      <c r="F201" s="3" t="n">
        <f aca="false">IFERROR(__xludf.dummyfunction("if($T201&lt;&gt;"""",VALUE(REGEXEXTRACT(SUBSTITUTE ($T201,F$1&amp;"" CE"",""""), F$1&amp;""[\w &amp;]*, (\d+\.\d+)"")),"""")
"),520)</f>
        <v>520</v>
      </c>
      <c r="G201" s="3" t="n">
        <f aca="false">IFERROR(__xludf.dummyfunction("if($T201&lt;&gt;"""",VALUE(REGEXEXTRACT($T201, G$1&amp;""[\w &amp;]*, (\d+\.\d+)"")),"""")
"),527)</f>
        <v>527</v>
      </c>
      <c r="H201" s="3" t="n">
        <f aca="false">IFERROR(__xludf.dummyfunction("if($T201&lt;&gt;"""",VALUE(REGEXEXTRACT($T201, H$1&amp;""[\w &amp;]*, (\d+\.\d+)"")),"""")
"),540)</f>
        <v>540</v>
      </c>
      <c r="I201" s="3" t="n">
        <f aca="false">IFERROR(__xludf.dummyfunction("if($T201&lt;&gt;"""",VALUE(REGEXEXTRACT(SUBSTITUTE ($T201,I$1&amp;"" CE"",""""), I$1&amp;""[\w &amp;]*, (\d+\.\d+)"")),"""")
"),510)</f>
        <v>510</v>
      </c>
      <c r="J201" s="3" t="n">
        <f aca="false">IFERROR(__xludf.dummyfunction("if($T201&lt;&gt;"""",VALUE(REGEXEXTRACT($T201, J$1&amp;""[\w &amp;]*, (\d+\.\d+)"")),"""")
"),520)</f>
        <v>520</v>
      </c>
      <c r="K201" s="3" t="n">
        <f aca="false">IFERROR(__xludf.dummyfunction("if($T201&lt;&gt;"""",VALUE(REGEXEXTRACT($T201, K$1&amp;""[\w &amp;]*, (\d+\.\d+)"")),"""")
"),508)</f>
        <v>508</v>
      </c>
      <c r="L201" s="3" t="n">
        <f aca="false">IFERROR(__xludf.dummyfunction("if($T201&lt;&gt;"""",VALUE(REGEXEXTRACT(SUBSTITUTE ($T201,L$1&amp;"" CE"",""""), L$1&amp;""[\w &amp;]*, (\d+\.\d+)"")),"""")
"),523)</f>
        <v>523</v>
      </c>
      <c r="M201" s="3" t="n">
        <f aca="false">IFERROR(__xludf.dummyfunction("if($T201&lt;&gt;"""",VALUE(REGEXEXTRACT($T201, M$1&amp;""[\w &amp;]*, (\d+\.\d+)"")),"""")
"),523)</f>
        <v>523</v>
      </c>
      <c r="N201" s="3" t="n">
        <f aca="false">IFERROR(__xludf.dummyfunction("if($T201&lt;&gt;"""",VALUE(REGEXEXTRACT(SUBSTITUTE ($T201,N$1&amp;"" CE"",""""), N$1&amp;""[\w &amp;]*, (\d+\.\d+)"")),"""")
"),520)</f>
        <v>520</v>
      </c>
      <c r="O201" s="3" t="n">
        <f aca="false">IFERROR(__xludf.dummyfunction("if($T201&lt;&gt;"""",VALUE(REGEXEXTRACT($T201, O$1&amp;""[\w &amp;]*, (\d+\.\d+)"")),"""")
"),525)</f>
        <v>525</v>
      </c>
      <c r="P201" s="2" t="n">
        <f aca="false">IFERROR(__xludf.dummyfunction("if($T201&lt;&gt;"""",VALUE(REGEXEXTRACT($T201, P$1&amp;""[\w &amp;]*, (\d+\.\d+)"")),"""")
"),517.11)</f>
        <v>517.11</v>
      </c>
      <c r="Q201" s="2" t="n">
        <f aca="false">IFERROR(__xludf.dummyfunction("if($T201&lt;&gt;"""",VALUE(REGEXEXTRACT($T201, Q$1&amp;""[\w &amp;]*, (\d+\.\d+)"")),"""")
"),514.97)</f>
        <v>514.97</v>
      </c>
      <c r="R201" s="2" t="n">
        <f aca="false">IFERROR(__xludf.dummyfunction("if($T201&lt;&gt;"""",VALUE(REGEXEXTRACT($T201, SUBSTITUTE(R$1, ""+"", ""\+"")&amp;""[\w &amp;]*, (\d+\.\d+)"")),"""")"),527.47)</f>
        <v>527.47</v>
      </c>
      <c r="S201" s="2" t="n">
        <f aca="false">IFERROR(__xludf.dummyfunction("if($T201&lt;&gt;"""",VALUE(REGEXEXTRACT($T201, SUBSTITUTE(S$1, ""+"", ""\+"")&amp;""[\w &amp;]*, (\d+\.\d+)"")),"""")"),529.61)</f>
        <v>529.61</v>
      </c>
      <c r="T201" s="5" t="s">
        <v>618</v>
      </c>
    </row>
    <row r="202" customFormat="false" ht="15.75" hidden="false" customHeight="false" outlineLevel="0" collapsed="false">
      <c r="A202" s="4" t="n">
        <f aca="false">IFERROR(__xludf.dummyfunction("""COMPUTED_VALUE"""),45693.6666666667)</f>
        <v>45693.6666666667</v>
      </c>
      <c r="B202" s="2" t="n">
        <f aca="false">IFERROR(__xludf.dummyfunction("""COMPUTED_VALUE"""),521.82)</f>
        <v>521.82</v>
      </c>
      <c r="C202" s="2" t="n">
        <f aca="false">IFERROR(__xludf.dummyfunction("""COMPUTED_VALUE"""),527.01)</f>
        <v>527.01</v>
      </c>
      <c r="D202" s="2" t="n">
        <f aca="false">IFERROR(__xludf.dummyfunction("""COMPUTED_VALUE"""),520.62)</f>
        <v>520.62</v>
      </c>
      <c r="E202" s="2" t="n">
        <f aca="false">IFERROR(__xludf.dummyfunction("""COMPUTED_VALUE"""),526.85)</f>
        <v>526.85</v>
      </c>
      <c r="F202" s="3" t="n">
        <f aca="false">IFERROR(__xludf.dummyfunction("if($T202&lt;&gt;"""",VALUE(REGEXEXTRACT(SUBSTITUTE ($T202,F$1&amp;"" CE"",""""), F$1&amp;""[\w &amp;]*, (\d+\.\d+)"")),"""")
"),535)</f>
        <v>535</v>
      </c>
      <c r="G202" s="3" t="n">
        <f aca="false">IFERROR(__xludf.dummyfunction("if($T202&lt;&gt;"""",VALUE(REGEXEXTRACT($T202, G$1&amp;""[\w &amp;]*, (\d+\.\d+)"")),"""")
"),525)</f>
        <v>525</v>
      </c>
      <c r="H202" s="3" t="n">
        <f aca="false">IFERROR(__xludf.dummyfunction("if($T202&lt;&gt;"""",VALUE(REGEXEXTRACT($T202, H$1&amp;""[\w &amp;]*, (\d+\.\d+)"")),"""")
"),540)</f>
        <v>540</v>
      </c>
      <c r="I202" s="3" t="n">
        <f aca="false">IFERROR(__xludf.dummyfunction("if($T202&lt;&gt;"""",VALUE(REGEXEXTRACT(SUBSTITUTE ($T202,I$1&amp;"" CE"",""""), I$1&amp;""[\w &amp;]*, (\d+\.\d+)"")),"""")
"),510)</f>
        <v>510</v>
      </c>
      <c r="J202" s="3" t="n">
        <f aca="false">IFERROR(__xludf.dummyfunction("if($T202&lt;&gt;"""",VALUE(REGEXEXTRACT($T202, J$1&amp;""[\w &amp;]*, (\d+\.\d+)"")),"""")
"),519)</f>
        <v>519</v>
      </c>
      <c r="K202" s="3" t="n">
        <f aca="false">IFERROR(__xludf.dummyfunction("if($T202&lt;&gt;"""",VALUE(REGEXEXTRACT($T202, K$1&amp;""[\w &amp;]*, (\d+\.\d+)"")),"""")
"),505)</f>
        <v>505</v>
      </c>
      <c r="L202" s="3" t="n">
        <f aca="false">IFERROR(__xludf.dummyfunction("if($T202&lt;&gt;"""",VALUE(REGEXEXTRACT(SUBSTITUTE ($T202,L$1&amp;"" CE"",""""), L$1&amp;""[\w &amp;]*, (\d+\.\d+)"")),"""")
"),524)</f>
        <v>524</v>
      </c>
      <c r="M202" s="3" t="n">
        <f aca="false">IFERROR(__xludf.dummyfunction("if($T202&lt;&gt;"""",VALUE(REGEXEXTRACT($T202, M$1&amp;""[\w &amp;]*, (\d+\.\d+)"")),"""")
"),524)</f>
        <v>524</v>
      </c>
      <c r="N202" s="3" t="n">
        <f aca="false">IFERROR(__xludf.dummyfunction("if($T202&lt;&gt;"""",VALUE(REGEXEXTRACT(SUBSTITUTE ($T202,N$1&amp;"" CE"",""""), N$1&amp;""[\w &amp;]*, (\d+\.\d+)"")),"""")
"),520)</f>
        <v>520</v>
      </c>
      <c r="O202" s="3" t="n">
        <f aca="false">IFERROR(__xludf.dummyfunction("if($T202&lt;&gt;"""",VALUE(REGEXEXTRACT($T202, O$1&amp;""[\w &amp;]*, (\d+\.\d+)"")),"""")
"),525)</f>
        <v>525</v>
      </c>
      <c r="P202" s="2" t="n">
        <f aca="false">IFERROR(__xludf.dummyfunction("if($T202&lt;&gt;"""",VALUE(REGEXEXTRACT($T202, P$1&amp;""[\w &amp;]*, (\d+\.\d+)"")),"""")
"),519.28)</f>
        <v>519.28</v>
      </c>
      <c r="Q202" s="2" t="n">
        <f aca="false">IFERROR(__xludf.dummyfunction("if($T202&lt;&gt;"""",VALUE(REGEXEXTRACT($T202, Q$1&amp;""[\w &amp;]*, (\d+\.\d+)"")),"""")
"),517.13)</f>
        <v>517.13</v>
      </c>
      <c r="R202" s="2" t="n">
        <f aca="false">IFERROR(__xludf.dummyfunction("if($T202&lt;&gt;"""",VALUE(REGEXEXTRACT($T202, SUBSTITUTE(R$1, ""+"", ""\+"")&amp;""[\w &amp;]*, (\d+\.\d+)"")),"""")"),529.66)</f>
        <v>529.66</v>
      </c>
      <c r="S202" s="2" t="n">
        <f aca="false">IFERROR(__xludf.dummyfunction("if($T202&lt;&gt;"""",VALUE(REGEXEXTRACT($T202, SUBSTITUTE(S$1, ""+"", ""\+"")&amp;""[\w &amp;]*, (\d+\.\d+)"")),"""")"),531.81)</f>
        <v>531.81</v>
      </c>
      <c r="T202" s="5" t="s">
        <v>619</v>
      </c>
    </row>
    <row r="203" customFormat="false" ht="15.75" hidden="false" customHeight="false" outlineLevel="0" collapsed="false">
      <c r="A203" s="4" t="n">
        <f aca="false">IFERROR(__xludf.dummyfunction("""COMPUTED_VALUE"""),45694.6666666667)</f>
        <v>45694.6666666667</v>
      </c>
      <c r="B203" s="2" t="n">
        <f aca="false">IFERROR(__xludf.dummyfunction("""COMPUTED_VALUE"""),527.36)</f>
        <v>527.36</v>
      </c>
      <c r="C203" s="2" t="n">
        <f aca="false">IFERROR(__xludf.dummyfunction("""COMPUTED_VALUE"""),529.81)</f>
        <v>529.81</v>
      </c>
      <c r="D203" s="2" t="n">
        <f aca="false">IFERROR(__xludf.dummyfunction("""COMPUTED_VALUE"""),525.74)</f>
        <v>525.74</v>
      </c>
      <c r="E203" s="2" t="n">
        <f aca="false">IFERROR(__xludf.dummyfunction("""COMPUTED_VALUE"""),529.6)</f>
        <v>529.6</v>
      </c>
      <c r="F203" s="3" t="n">
        <f aca="false">IFERROR(__xludf.dummyfunction("if($T203&lt;&gt;"""",VALUE(REGEXEXTRACT(SUBSTITUTE ($T203,F$1&amp;"" CE"",""""), F$1&amp;""[\w &amp;]*, (\d+\.\d+)"")),"""")
"),535)</f>
        <v>535</v>
      </c>
      <c r="G203" s="3" t="n">
        <f aca="false">IFERROR(__xludf.dummyfunction("if($T203&lt;&gt;"""",VALUE(REGEXEXTRACT($T203, G$1&amp;""[\w &amp;]*, (\d+\.\d+)"")),"""")
"),530)</f>
        <v>530</v>
      </c>
      <c r="H203" s="3" t="n">
        <f aca="false">IFERROR(__xludf.dummyfunction("if($T203&lt;&gt;"""",VALUE(REGEXEXTRACT($T203, H$1&amp;""[\w &amp;]*, (\d+\.\d+)"")),"""")
"),540)</f>
        <v>540</v>
      </c>
      <c r="I203" s="3" t="n">
        <f aca="false">IFERROR(__xludf.dummyfunction("if($T203&lt;&gt;"""",VALUE(REGEXEXTRACT(SUBSTITUTE ($T203,I$1&amp;"" CE"",""""), I$1&amp;""[\w &amp;]*, (\d+\.\d+)"")),"""")
"),520)</f>
        <v>520</v>
      </c>
      <c r="J203" s="3" t="n">
        <f aca="false">IFERROR(__xludf.dummyfunction("if($T203&lt;&gt;"""",VALUE(REGEXEXTRACT($T203, J$1&amp;""[\w &amp;]*, (\d+\.\d+)"")),"""")
"),523)</f>
        <v>523</v>
      </c>
      <c r="K203" s="3" t="n">
        <f aca="false">IFERROR(__xludf.dummyfunction("if($T203&lt;&gt;"""",VALUE(REGEXEXTRACT($T203, K$1&amp;""[\w &amp;]*, (\d+\.\d+)"")),"""")
"),507)</f>
        <v>507</v>
      </c>
      <c r="L203" s="3" t="n">
        <f aca="false">IFERROR(__xludf.dummyfunction("if($T203&lt;&gt;"""",VALUE(REGEXEXTRACT(SUBSTITUTE ($T203,L$1&amp;"" CE"",""""), L$1&amp;""[\w &amp;]*, (\d+\.\d+)"")),"""")
"),523)</f>
        <v>523</v>
      </c>
      <c r="M203" s="3" t="n">
        <f aca="false">IFERROR(__xludf.dummyfunction("if($T203&lt;&gt;"""",VALUE(REGEXEXTRACT($T203, M$1&amp;""[\w &amp;]*, (\d+\.\d+)"")),"""")
"),526)</f>
        <v>526</v>
      </c>
      <c r="N203" s="3" t="n">
        <f aca="false">IFERROR(__xludf.dummyfunction("if($T203&lt;&gt;"""",VALUE(REGEXEXTRACT(SUBSTITUTE ($T203,N$1&amp;"" CE"",""""), N$1&amp;""[\w &amp;]*, (\d+\.\d+)"")),"""")
"),530)</f>
        <v>530</v>
      </c>
      <c r="O203" s="3" t="n">
        <f aca="false">IFERROR(__xludf.dummyfunction("if($T203&lt;&gt;"""",VALUE(REGEXEXTRACT($T203, O$1&amp;""[\w &amp;]*, (\d+\.\d+)"")),"""")
"),525)</f>
        <v>525</v>
      </c>
      <c r="P203" s="2" t="n">
        <f aca="false">IFERROR(__xludf.dummyfunction("if($T203&lt;&gt;"""",VALUE(REGEXEXTRACT($T203, P$1&amp;""[\w &amp;]*, (\d+\.\d+)"")),"""")
"),522.47)</f>
        <v>522.47</v>
      </c>
      <c r="Q203" s="2" t="n">
        <f aca="false">IFERROR(__xludf.dummyfunction("if($T203&lt;&gt;"""",VALUE(REGEXEXTRACT($T203, Q$1&amp;""[\w &amp;]*, (\d+\.\d+)"")),"""")
"),520.69)</f>
        <v>520.69</v>
      </c>
      <c r="R203" s="2" t="n">
        <f aca="false">IFERROR(__xludf.dummyfunction("if($T203&lt;&gt;"""",VALUE(REGEXEXTRACT($T203, SUBSTITUTE(R$1, ""+"", ""\+"")&amp;""[\w &amp;]*, (\d+\.\d+)"")),"""")"),531.23)</f>
        <v>531.23</v>
      </c>
      <c r="S203" s="2" t="n">
        <f aca="false">IFERROR(__xludf.dummyfunction("if($T203&lt;&gt;"""",VALUE(REGEXEXTRACT($T203, SUBSTITUTE(S$1, ""+"", ""\+"")&amp;""[\w &amp;]*, (\d+\.\d+)"")),"""")"),533.01)</f>
        <v>533.01</v>
      </c>
      <c r="T203" s="5" t="s">
        <v>620</v>
      </c>
    </row>
    <row r="204" customFormat="false" ht="15.75" hidden="false" customHeight="false" outlineLevel="0" collapsed="false">
      <c r="A204" s="4" t="n">
        <f aca="false">IFERROR(__xludf.dummyfunction("""COMPUTED_VALUE"""),45695.6666666667)</f>
        <v>45695.6666666667</v>
      </c>
      <c r="B204" s="2" t="n">
        <f aca="false">IFERROR(__xludf.dummyfunction("""COMPUTED_VALUE"""),530.14)</f>
        <v>530.14</v>
      </c>
      <c r="C204" s="2" t="n">
        <f aca="false">IFERROR(__xludf.dummyfunction("""COMPUTED_VALUE"""),532.1)</f>
        <v>532.1</v>
      </c>
      <c r="D204" s="2" t="n">
        <f aca="false">IFERROR(__xludf.dummyfunction("""COMPUTED_VALUE"""),522.19)</f>
        <v>522.19</v>
      </c>
      <c r="E204" s="2" t="n">
        <f aca="false">IFERROR(__xludf.dummyfunction("""COMPUTED_VALUE"""),522.92)</f>
        <v>522.92</v>
      </c>
      <c r="F204" s="3" t="n">
        <f aca="false">IFERROR(__xludf.dummyfunction("if($T204&lt;&gt;"""",VALUE(REGEXEXTRACT(SUBSTITUTE ($T204,F$1&amp;"" CE"",""""), F$1&amp;""[\w &amp;]*, (\d+\.\d+)"")),"""")
"),535)</f>
        <v>535</v>
      </c>
      <c r="G204" s="3" t="n">
        <f aca="false">IFERROR(__xludf.dummyfunction("if($T204&lt;&gt;"""",VALUE(REGEXEXTRACT($T204, G$1&amp;""[\w &amp;]*, (\d+\.\d+)"")),"""")
"),535)</f>
        <v>535</v>
      </c>
      <c r="H204" s="3" t="n">
        <f aca="false">IFERROR(__xludf.dummyfunction("if($T204&lt;&gt;"""",VALUE(REGEXEXTRACT($T204, H$1&amp;""[\w &amp;]*, (\d+\.\d+)"")),"""")
"),538)</f>
        <v>538</v>
      </c>
      <c r="I204" s="3" t="n">
        <f aca="false">IFERROR(__xludf.dummyfunction("if($T204&lt;&gt;"""",VALUE(REGEXEXTRACT(SUBSTITUTE ($T204,I$1&amp;"" CE"",""""), I$1&amp;""[\w &amp;]*, (\d+\.\d+)"")),"""")
"),520)</f>
        <v>520</v>
      </c>
      <c r="J204" s="3" t="n">
        <f aca="false">IFERROR(__xludf.dummyfunction("if($T204&lt;&gt;"""",VALUE(REGEXEXTRACT($T204, J$1&amp;""[\w &amp;]*, (\d+\.\d+)"")),"""")
"),520)</f>
        <v>520</v>
      </c>
      <c r="K204" s="3" t="n">
        <f aca="false">IFERROR(__xludf.dummyfunction("if($T204&lt;&gt;"""",VALUE(REGEXEXTRACT($T204, K$1&amp;""[\w &amp;]*, (\d+\.\d+)"")),"""")
"),507)</f>
        <v>507</v>
      </c>
      <c r="L204" s="3" t="n">
        <f aca="false">IFERROR(__xludf.dummyfunction("if($T204&lt;&gt;"""",VALUE(REGEXEXTRACT(SUBSTITUTE ($T204,L$1&amp;"" CE"",""""), L$1&amp;""[\w &amp;]*, (\d+\.\d+)"")),"""")
"),524)</f>
        <v>524</v>
      </c>
      <c r="M204" s="3" t="n">
        <f aca="false">IFERROR(__xludf.dummyfunction("if($T204&lt;&gt;"""",VALUE(REGEXEXTRACT($T204, M$1&amp;""[\w &amp;]*, (\d+\.\d+)"")),"""")
"),527.5)</f>
        <v>527.5</v>
      </c>
      <c r="N204" s="3" t="n">
        <f aca="false">IFERROR(__xludf.dummyfunction("if($T204&lt;&gt;"""",VALUE(REGEXEXTRACT(SUBSTITUTE ($T204,N$1&amp;"" CE"",""""), N$1&amp;""[\w &amp;]*, (\d+\.\d+)"")),"""")
"),530)</f>
        <v>530</v>
      </c>
      <c r="O204" s="3" t="n">
        <f aca="false">IFERROR(__xludf.dummyfunction("if($T204&lt;&gt;"""",VALUE(REGEXEXTRACT($T204, O$1&amp;""[\w &amp;]*, (\d+\.\d+)"")),"""")
"),530)</f>
        <v>530</v>
      </c>
      <c r="P204" s="2" t="n">
        <f aca="false">IFERROR(__xludf.dummyfunction("if($T204&lt;&gt;"""",VALUE(REGEXEXTRACT($T204, P$1&amp;""[\w &amp;]*, (\d+\.\d+)"")),"""")
"),524.96)</f>
        <v>524.96</v>
      </c>
      <c r="Q204" s="2" t="n">
        <f aca="false">IFERROR(__xludf.dummyfunction("if($T204&lt;&gt;"""",VALUE(REGEXEXTRACT($T204, Q$1&amp;""[\w &amp;]*, (\d+\.\d+)"")),"""")
"),520.32)</f>
        <v>520.32</v>
      </c>
      <c r="R204" s="2" t="n">
        <f aca="false">IFERROR(__xludf.dummyfunction("if($T204&lt;&gt;"""",VALUE(REGEXEXTRACT($T204, SUBSTITUTE(R$1, ""+"", ""\+"")&amp;""[\w &amp;]*, (\d+\.\d+)"")),"""")"),534.24)</f>
        <v>534.24</v>
      </c>
      <c r="S204" s="2" t="n">
        <f aca="false">IFERROR(__xludf.dummyfunction("if($T204&lt;&gt;"""",VALUE(REGEXEXTRACT($T204, SUBSTITUTE(S$1, ""+"", ""\+"")&amp;""[\w &amp;]*, (\d+\.\d+)"")),"""")"),538.88)</f>
        <v>538.88</v>
      </c>
      <c r="T204" s="5" t="s">
        <v>621</v>
      </c>
    </row>
    <row r="205" customFormat="false" ht="15.75" hidden="false" customHeight="false" outlineLevel="0" collapsed="false">
      <c r="A205" s="4"/>
      <c r="B205" s="2"/>
      <c r="C205" s="2"/>
      <c r="D205" s="2"/>
      <c r="E205" s="2"/>
      <c r="F205" s="3" t="n">
        <f aca="false">IFERROR(__xludf.dummyfunction("if($T205&lt;&gt;"""",VALUE(REGEXEXTRACT(SUBSTITUTE ($T205,F$1&amp;"" CE"",""""), F$1&amp;""[\w &amp;]*, (\d+\.\d+)"")),"""")
"),530)</f>
        <v>530</v>
      </c>
      <c r="G205" s="3" t="n">
        <f aca="false">IFERROR(__xludf.dummyfunction("if($T205&lt;&gt;"""",VALUE(REGEXEXTRACT($T205, G$1&amp;""[\w &amp;]*, (\d+\.\d+)"")),"""")
"),530)</f>
        <v>530</v>
      </c>
      <c r="H205" s="3" t="n">
        <f aca="false">IFERROR(__xludf.dummyfunction("if($T205&lt;&gt;"""",VALUE(REGEXEXTRACT($T205, H$1&amp;""[\w &amp;]*, (\d+\.\d+)"")),"""")
"),532)</f>
        <v>532</v>
      </c>
      <c r="I205" s="3" t="n">
        <f aca="false">IFERROR(__xludf.dummyfunction("if($T205&lt;&gt;"""",VALUE(REGEXEXTRACT(SUBSTITUTE ($T205,I$1&amp;"" CE"",""""), I$1&amp;""[\w &amp;]*, (\d+\.\d+)"")),"""")
"),500)</f>
        <v>500</v>
      </c>
      <c r="J205" s="3" t="n">
        <f aca="false">IFERROR(__xludf.dummyfunction("if($T205&lt;&gt;"""",VALUE(REGEXEXTRACT($T205, J$1&amp;""[\w &amp;]*, (\d+\.\d+)"")),"""")
"),515)</f>
        <v>515</v>
      </c>
      <c r="K205" s="3" t="n">
        <f aca="false">IFERROR(__xludf.dummyfunction("if($T205&lt;&gt;"""",VALUE(REGEXEXTRACT($T205, K$1&amp;""[\w &amp;]*, (\d+\.\d+)"")),"""")
"),498)</f>
        <v>498</v>
      </c>
      <c r="L205" s="3" t="n">
        <f aca="false">IFERROR(__xludf.dummyfunction("if($T205&lt;&gt;"""",VALUE(REGEXEXTRACT(SUBSTITUTE ($T205,L$1&amp;"" CE"",""""), L$1&amp;""[\w &amp;]*, (\d+\.\d+)"")),"""")
"),520)</f>
        <v>520</v>
      </c>
      <c r="M205" s="3" t="n">
        <f aca="false">IFERROR(__xludf.dummyfunction("if($T205&lt;&gt;"""",VALUE(REGEXEXTRACT($T205, M$1&amp;""[\w &amp;]*, (\d+\.\d+)"")),"""")
"),520)</f>
        <v>520</v>
      </c>
      <c r="N205" s="3" t="n">
        <f aca="false">IFERROR(__xludf.dummyfunction("if($T205&lt;&gt;"""",VALUE(REGEXEXTRACT(SUBSTITUTE ($T205,N$1&amp;"" CE"",""""), N$1&amp;""[\w &amp;]*, (\d+\.\d+)"")),"""")
"),530)</f>
        <v>530</v>
      </c>
      <c r="O205" s="3" t="n">
        <f aca="false">IFERROR(__xludf.dummyfunction("if($T205&lt;&gt;"""",VALUE(REGEXEXTRACT($T205, O$1&amp;""[\w &amp;]*, (\d+\.\d+)"")),"""")
"),521)</f>
        <v>521</v>
      </c>
      <c r="P205" s="2" t="n">
        <f aca="false">IFERROR(__xludf.dummyfunction("if($T205&lt;&gt;"""",VALUE(REGEXEXTRACT($T205, P$1&amp;""[\w &amp;]*, (\d+\.\d+)"")),"""")
"),516.81)</f>
        <v>516.81</v>
      </c>
      <c r="Q205" s="2" t="n">
        <f aca="false">IFERROR(__xludf.dummyfunction("if($T205&lt;&gt;"""",VALUE(REGEXEXTRACT($T205, Q$1&amp;""[\w &amp;]*, (\d+\.\d+)"")),"""")
"),515.7)</f>
        <v>515.7</v>
      </c>
      <c r="R205" s="2" t="n">
        <f aca="false">IFERROR(__xludf.dummyfunction("if($T205&lt;&gt;"""",VALUE(REGEXEXTRACT($T205, SUBSTITUTE(R$1, ""+"", ""\+"")&amp;""[\w &amp;]*, (\d+\.\d+)"")),"""")"),526.67)</f>
        <v>526.67</v>
      </c>
      <c r="S205" s="2" t="n">
        <f aca="false">IFERROR(__xludf.dummyfunction("if($T205&lt;&gt;"""",VALUE(REGEXEXTRACT($T205, SUBSTITUTE(S$1, ""+"", ""\+"")&amp;""[\w &amp;]*, (\d+\.\d+)"")),"""")"),527.78)</f>
        <v>527.78</v>
      </c>
      <c r="T205" s="5" t="s">
        <v>622</v>
      </c>
    </row>
    <row r="206" customFormat="false" ht="15.75" hidden="false" customHeight="false" outlineLevel="0" collapsed="false">
      <c r="A206" s="4"/>
      <c r="B206" s="2"/>
      <c r="C206" s="2"/>
      <c r="D206" s="2"/>
      <c r="E206" s="2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2"/>
      <c r="Q206" s="2"/>
      <c r="R206" s="2"/>
      <c r="S206" s="2"/>
      <c r="T206" s="5"/>
    </row>
    <row r="207" customFormat="false" ht="15.75" hidden="false" customHeight="false" outlineLevel="0" collapsed="false">
      <c r="A207" s="4"/>
      <c r="B207" s="2"/>
      <c r="C207" s="2"/>
      <c r="D207" s="2"/>
      <c r="E207" s="2"/>
      <c r="F207" s="3" t="n">
        <f aca="false">IFERROR(__xludf.dummyfunction("if($T207&lt;&gt;"""",VALUE(REGEXEXTRACT(SUBSTITUTE ($T207,F$1&amp;"" CE"",""""), F$1&amp;""[\w &amp;]*, (\d+\.\d+)"")),"""")
"),520)</f>
        <v>520</v>
      </c>
      <c r="G207" s="3" t="n">
        <f aca="false">IFERROR(__xludf.dummyfunction("if($T207&lt;&gt;"""",VALUE(REGEXEXTRACT($T207, G$1&amp;""[\w &amp;]*, (\d+\.\d+)"")),"""")
"),515)</f>
        <v>515</v>
      </c>
      <c r="H207" s="3" t="n">
        <f aca="false">IFERROR(__xludf.dummyfunction("if($T207&lt;&gt;"""",VALUE(REGEXEXTRACT($T207, H$1&amp;""[\w &amp;]*, (\d+\.\d+)"")),"""")
"),532)</f>
        <v>532</v>
      </c>
      <c r="I207" s="3" t="n">
        <f aca="false">IFERROR(__xludf.dummyfunction("if($T207&lt;&gt;"""",VALUE(REGEXEXTRACT(SUBSTITUTE ($T207,I$1&amp;"" CE"",""""), I$1&amp;""[\w &amp;]*, (\d+\.\d+)"")),"""")
"),520)</f>
        <v>520</v>
      </c>
      <c r="J207" s="3" t="n">
        <f aca="false">IFERROR(__xludf.dummyfunction("if($T207&lt;&gt;"""",VALUE(REGEXEXTRACT($T207, J$1&amp;""[\w &amp;]*, (\d+\.\d+)"")),"""")
"),512)</f>
        <v>512</v>
      </c>
      <c r="K207" s="3" t="n">
        <f aca="false">IFERROR(__xludf.dummyfunction("if($T207&lt;&gt;"""",VALUE(REGEXEXTRACT($T207, K$1&amp;""[\w &amp;]*, (\d+\.\d+)"")),"""")
"),508)</f>
        <v>508</v>
      </c>
      <c r="L207" s="3" t="n">
        <f aca="false">IFERROR(__xludf.dummyfunction("if($T207&lt;&gt;"""",VALUE(REGEXEXTRACT(SUBSTITUTE ($T207,L$1&amp;"" CE"",""""), L$1&amp;""[\w &amp;]*, (\d+\.\d+)"")),"""")
"),515)</f>
        <v>515</v>
      </c>
      <c r="M207" s="3" t="n">
        <f aca="false">IFERROR(__xludf.dummyfunction("if($T207&lt;&gt;"""",VALUE(REGEXEXTRACT($T207, M$1&amp;""[\w &amp;]*, (\d+\.\d+)"")),"""")
"),512)</f>
        <v>512</v>
      </c>
      <c r="N207" s="3" t="n">
        <f aca="false">IFERROR(__xludf.dummyfunction("if($T207&lt;&gt;"""",VALUE(REGEXEXTRACT(SUBSTITUTE ($T207,N$1&amp;"" CE"",""""), N$1&amp;""[\w &amp;]*, (\d+\.\d+)"")),"""")
"),520)</f>
        <v>520</v>
      </c>
      <c r="O207" s="3" t="n">
        <f aca="false">IFERROR(__xludf.dummyfunction("if($T207&lt;&gt;"""",VALUE(REGEXEXTRACT($T207, O$1&amp;""[\w &amp;]*, (\d+\.\d+)"")),"""")
"),515)</f>
        <v>515</v>
      </c>
      <c r="P207" s="2" t="n">
        <f aca="false">IFERROR(__xludf.dummyfunction("if($T207&lt;&gt;"""",VALUE(REGEXEXTRACT($T207, P$1&amp;""[\w &amp;]*, (\d+\.\d+)"")),"""")
"),510.7)</f>
        <v>510.7</v>
      </c>
      <c r="Q207" s="2" t="n">
        <f aca="false">IFERROR(__xludf.dummyfunction("if($T207&lt;&gt;"""",VALUE(REGEXEXTRACT($T207, Q$1&amp;""[\w &amp;]*, (\d+\.\d+)"")),"""")
"),508.81)</f>
        <v>508.81</v>
      </c>
      <c r="R207" s="2" t="n">
        <f aca="false">IFERROR(__xludf.dummyfunction("if($T207&lt;&gt;"""",VALUE(REGEXEXTRACT($T207, SUBSTITUTE(R$1, ""+"", ""\+"")&amp;""[\w &amp;]*, (\d+\.\d+)"")),"""")"),519.84)</f>
        <v>519.84</v>
      </c>
      <c r="S207" s="2" t="n">
        <f aca="false">IFERROR(__xludf.dummyfunction("if($T207&lt;&gt;"""",VALUE(REGEXEXTRACT($T207, SUBSTITUTE(S$1, ""+"", ""\+"")&amp;""[\w &amp;]*, (\d+\.\d+)"")),"""")"),521.73)</f>
        <v>521.73</v>
      </c>
      <c r="T207" s="5" t="s">
        <v>623</v>
      </c>
    </row>
    <row r="208" customFormat="false" ht="15.75" hidden="false" customHeight="false" outlineLevel="0" collapsed="false">
      <c r="A208" s="4"/>
      <c r="B208" s="2"/>
      <c r="C208" s="2"/>
      <c r="D208" s="2"/>
      <c r="E208" s="2"/>
      <c r="F208" s="3" t="n">
        <f aca="false">IFERROR(__xludf.dummyfunction("if($T208&lt;&gt;"""",VALUE(REGEXEXTRACT(SUBSTITUTE ($T208,F$1&amp;"" CE"",""""), F$1&amp;""[\w &amp;]*, (\d+\.\d+)"")),"""")
"),520)</f>
        <v>520</v>
      </c>
      <c r="G208" s="3" t="n">
        <f aca="false">IFERROR(__xludf.dummyfunction("if($T208&lt;&gt;"""",VALUE(REGEXEXTRACT($T208, G$1&amp;""[\w &amp;]*, (\d+\.\d+)"")),"""")
"),515)</f>
        <v>515</v>
      </c>
      <c r="H208" s="3" t="n">
        <f aca="false">IFERROR(__xludf.dummyfunction("if($T208&lt;&gt;"""",VALUE(REGEXEXTRACT($T208, H$1&amp;""[\w &amp;]*, (\d+\.\d+)"")),"""")
"),540)</f>
        <v>540</v>
      </c>
      <c r="I208" s="3" t="n">
        <f aca="false">IFERROR(__xludf.dummyfunction("if($T208&lt;&gt;"""",VALUE(REGEXEXTRACT(SUBSTITUTE ($T208,I$1&amp;"" CE"",""""), I$1&amp;""[\w &amp;]*, (\d+\.\d+)"")),"""")
"),500)</f>
        <v>500</v>
      </c>
      <c r="J208" s="3" t="n">
        <f aca="false">IFERROR(__xludf.dummyfunction("if($T208&lt;&gt;"""",VALUE(REGEXEXTRACT($T208, J$1&amp;""[\w &amp;]*, (\d+\.\d+)"")),"""")
"),505)</f>
        <v>505</v>
      </c>
      <c r="K208" s="3" t="n">
        <f aca="false">IFERROR(__xludf.dummyfunction("if($T208&lt;&gt;"""",VALUE(REGEXEXTRACT($T208, K$1&amp;""[\w &amp;]*, (\d+\.\d+)"")),"""")
"),509)</f>
        <v>509</v>
      </c>
      <c r="L208" s="3" t="n">
        <f aca="false">IFERROR(__xludf.dummyfunction("if($T208&lt;&gt;"""",VALUE(REGEXEXTRACT(SUBSTITUTE ($T208,L$1&amp;"" CE"",""""), L$1&amp;""[\w &amp;]*, (\d+\.\d+)"")),"""")
"),512.5)</f>
        <v>512.5</v>
      </c>
      <c r="M208" s="3" t="n">
        <f aca="false">IFERROR(__xludf.dummyfunction("if($T208&lt;&gt;"""",VALUE(REGEXEXTRACT($T208, M$1&amp;""[\w &amp;]*, (\d+\.\d+)"")),"""")
"),511)</f>
        <v>511</v>
      </c>
      <c r="N208" s="3" t="n">
        <f aca="false">IFERROR(__xludf.dummyfunction("if($T208&lt;&gt;"""",VALUE(REGEXEXTRACT(SUBSTITUTE ($T208,N$1&amp;"" CE"",""""), N$1&amp;""[\w &amp;]*, (\d+\.\d+)"")),"""")
"),510)</f>
        <v>510</v>
      </c>
      <c r="O208" s="3" t="n">
        <f aca="false">IFERROR(__xludf.dummyfunction("if($T208&lt;&gt;"""",VALUE(REGEXEXTRACT($T208, O$1&amp;""[\w &amp;]*, (\d+\.\d+)"")),"""")
"),514)</f>
        <v>514</v>
      </c>
      <c r="P208" s="2" t="n">
        <f aca="false">IFERROR(__xludf.dummyfunction("if($T208&lt;&gt;"""",VALUE(REGEXEXTRACT($T208, P$1&amp;""[\w &amp;]*, (\d+\.\d+)"")),"""")
"),505.3)</f>
        <v>505.3</v>
      </c>
      <c r="Q208" s="2" t="n">
        <f aca="false">IFERROR(__xludf.dummyfunction("if($T208&lt;&gt;"""",VALUE(REGEXEXTRACT($T208, Q$1&amp;""[\w &amp;]*, (\d+\.\d+)"")),"""")
"),503.96)</f>
        <v>503.96</v>
      </c>
      <c r="R208" s="2" t="n">
        <f aca="false">IFERROR(__xludf.dummyfunction("if($T208&lt;&gt;"""",VALUE(REGEXEXTRACT($T208, SUBSTITUTE(R$1, ""+"", ""\+"")&amp;""[\w &amp;]*, (\d+\.\d+)"")),"""")"),517.16)</f>
        <v>517.16</v>
      </c>
      <c r="S208" s="2" t="n">
        <f aca="false">IFERROR(__xludf.dummyfunction("if($T208&lt;&gt;"""",VALUE(REGEXEXTRACT($T208, SUBSTITUTE(S$1, ""+"", ""\+"")&amp;""[\w &amp;]*, (\d+\.\d+)"")),"""")"),518.5)</f>
        <v>518.5</v>
      </c>
      <c r="T208" s="5" t="s">
        <v>624</v>
      </c>
    </row>
    <row r="209" customFormat="false" ht="15.75" hidden="false" customHeight="false" outlineLevel="0" collapsed="false">
      <c r="A209" s="4"/>
      <c r="B209" s="2"/>
      <c r="C209" s="2"/>
      <c r="D209" s="2"/>
      <c r="E209" s="2"/>
      <c r="F209" s="3" t="str">
        <f aca="false">IFERROR(__xludf.dummyfunction("if($T209&lt;&gt;"""",VALUE(REGEXEXTRACT(SUBSTITUTE ($T209,F$1&amp;"" CE"",""""), F$1&amp;""[\w &amp;]*, (\d+\.\d+)"")),"""")
"),"")</f>
        <v/>
      </c>
      <c r="G209" s="3" t="str">
        <f aca="false">IFERROR(__xludf.dummyfunction("if($T209&lt;&gt;"""",VALUE(REGEXEXTRACT($T209, G$1&amp;""[\w &amp;]*, (\d+\.\d+)"")),"""")
"),"")</f>
        <v/>
      </c>
      <c r="H209" s="3" t="str">
        <f aca="false">IFERROR(__xludf.dummyfunction("if($T209&lt;&gt;"""",VALUE(REGEXEXTRACT($T209, H$1&amp;""[\w &amp;]*, (\d+\.\d+)"")),"""")
"),"")</f>
        <v/>
      </c>
      <c r="I209" s="3" t="str">
        <f aca="false">IFERROR(__xludf.dummyfunction("if($T209&lt;&gt;"""",VALUE(REGEXEXTRACT(SUBSTITUTE ($T209,I$1&amp;"" CE"",""""), I$1&amp;""[\w &amp;]*, (\d+\.\d+)"")),"""")
"),"")</f>
        <v/>
      </c>
      <c r="J209" s="3" t="str">
        <f aca="false">IFERROR(__xludf.dummyfunction("if($T209&lt;&gt;"""",VALUE(REGEXEXTRACT($T209, J$1&amp;""[\w &amp;]*, (\d+\.\d+)"")),"""")
"),"")</f>
        <v/>
      </c>
      <c r="K209" s="3" t="str">
        <f aca="false">IFERROR(__xludf.dummyfunction("if($T209&lt;&gt;"""",VALUE(REGEXEXTRACT($T209, K$1&amp;""[\w &amp;]*, (\d+\.\d+)"")),"""")
"),"")</f>
        <v/>
      </c>
      <c r="L209" s="3" t="str">
        <f aca="false">IFERROR(__xludf.dummyfunction("if($T209&lt;&gt;"""",VALUE(REGEXEXTRACT(SUBSTITUTE ($T209,L$1&amp;"" CE"",""""), L$1&amp;""[\w &amp;]*, (\d+\.\d+)"")),"""")
"),"")</f>
        <v/>
      </c>
      <c r="M209" s="3" t="str">
        <f aca="false">IFERROR(__xludf.dummyfunction("if($T209&lt;&gt;"""",VALUE(REGEXEXTRACT($T209, M$1&amp;""[\w &amp;]*, (\d+\.\d+)"")),"""")
"),"")</f>
        <v/>
      </c>
      <c r="N209" s="3" t="str">
        <f aca="false">IFERROR(__xludf.dummyfunction("if($T209&lt;&gt;"""",VALUE(REGEXEXTRACT(SUBSTITUTE ($T209,N$1&amp;"" CE"",""""), N$1&amp;""[\w &amp;]*, (\d+\.\d+)"")),"""")
"),"")</f>
        <v/>
      </c>
      <c r="O209" s="3" t="str">
        <f aca="false">IFERROR(__xludf.dummyfunction("if($T209&lt;&gt;"""",VALUE(REGEXEXTRACT($T209, O$1&amp;""[\w &amp;]*, (\d+\.\d+)"")),"""")
"),"")</f>
        <v/>
      </c>
      <c r="P209" s="2" t="str">
        <f aca="false">IFERROR(__xludf.dummyfunction("if($T209&lt;&gt;"""",VALUE(REGEXEXTRACT($T209, P$1&amp;""[\w &amp;]*, (\d+\.\d+)"")),"""")
"),"")</f>
        <v/>
      </c>
      <c r="Q209" s="2" t="str">
        <f aca="false">IFERROR(__xludf.dummyfunction("if($T209&lt;&gt;"""",VALUE(REGEXEXTRACT($T209, Q$1&amp;""[\w &amp;]*, (\d+\.\d+)"")),"""")
"),"")</f>
        <v/>
      </c>
      <c r="R209" s="2" t="str">
        <f aca="false">IFERROR(__xludf.dummyfunction("if($T209&lt;&gt;"""",VALUE(REGEXEXTRACT($T209, SUBSTITUTE(R$1, ""+"", ""\+"")&amp;""[\w &amp;]*, (\d+\.\d+)"")),"""")"),"")</f>
        <v/>
      </c>
      <c r="S209" s="2" t="str">
        <f aca="false">IFERROR(__xludf.dummyfunction("if($T209&lt;&gt;"""",VALUE(REGEXEXTRACT($T209, SUBSTITUTE(S$1, ""+"", ""\+"")&amp;""[\w &amp;]*, (\d+\.\d+)"")),"""")"),"")</f>
        <v/>
      </c>
      <c r="T209" s="5"/>
    </row>
    <row r="210" customFormat="false" ht="15.75" hidden="false" customHeight="false" outlineLevel="0" collapsed="false">
      <c r="A210" s="4"/>
      <c r="B210" s="2"/>
      <c r="C210" s="2"/>
      <c r="D210" s="2"/>
      <c r="E210" s="2"/>
      <c r="F210" s="3" t="str">
        <f aca="false">IFERROR(__xludf.dummyfunction("if($T210&lt;&gt;"""",VALUE(REGEXEXTRACT(SUBSTITUTE ($T210,F$1&amp;"" CE"",""""), F$1&amp;""[\w &amp;]*, (\d+\.\d+)"")),"""")
"),"")</f>
        <v/>
      </c>
      <c r="G210" s="3" t="str">
        <f aca="false">IFERROR(__xludf.dummyfunction("if($T210&lt;&gt;"""",VALUE(REGEXEXTRACT($T210, G$1&amp;""[\w &amp;]*, (\d+\.\d+)"")),"""")
"),"")</f>
        <v/>
      </c>
      <c r="H210" s="3" t="str">
        <f aca="false">IFERROR(__xludf.dummyfunction("if($T210&lt;&gt;"""",VALUE(REGEXEXTRACT($T210, H$1&amp;""[\w &amp;]*, (\d+\.\d+)"")),"""")
"),"")</f>
        <v/>
      </c>
      <c r="I210" s="3" t="str">
        <f aca="false">IFERROR(__xludf.dummyfunction("if($T210&lt;&gt;"""",VALUE(REGEXEXTRACT(SUBSTITUTE ($T210,I$1&amp;"" CE"",""""), I$1&amp;""[\w &amp;]*, (\d+\.\d+)"")),"""")
"),"")</f>
        <v/>
      </c>
      <c r="J210" s="3" t="str">
        <f aca="false">IFERROR(__xludf.dummyfunction("if($T210&lt;&gt;"""",VALUE(REGEXEXTRACT($T210, J$1&amp;""[\w &amp;]*, (\d+\.\d+)"")),"""")
"),"")</f>
        <v/>
      </c>
      <c r="K210" s="3" t="str">
        <f aca="false">IFERROR(__xludf.dummyfunction("if($T210&lt;&gt;"""",VALUE(REGEXEXTRACT($T210, K$1&amp;""[\w &amp;]*, (\d+\.\d+)"")),"""")
"),"")</f>
        <v/>
      </c>
      <c r="L210" s="3" t="str">
        <f aca="false">IFERROR(__xludf.dummyfunction("if($T210&lt;&gt;"""",VALUE(REGEXEXTRACT(SUBSTITUTE ($T210,L$1&amp;"" CE"",""""), L$1&amp;""[\w &amp;]*, (\d+\.\d+)"")),"""")
"),"")</f>
        <v/>
      </c>
      <c r="M210" s="3" t="str">
        <f aca="false">IFERROR(__xludf.dummyfunction("if($T210&lt;&gt;"""",VALUE(REGEXEXTRACT($T210, M$1&amp;""[\w &amp;]*, (\d+\.\d+)"")),"""")
"),"")</f>
        <v/>
      </c>
      <c r="N210" s="3" t="str">
        <f aca="false">IFERROR(__xludf.dummyfunction("if($T210&lt;&gt;"""",VALUE(REGEXEXTRACT(SUBSTITUTE ($T210,N$1&amp;"" CE"",""""), N$1&amp;""[\w &amp;]*, (\d+\.\d+)"")),"""")
"),"")</f>
        <v/>
      </c>
      <c r="O210" s="3" t="str">
        <f aca="false">IFERROR(__xludf.dummyfunction("if($T210&lt;&gt;"""",VALUE(REGEXEXTRACT($T210, O$1&amp;""[\w &amp;]*, (\d+\.\d+)"")),"""")
"),"")</f>
        <v/>
      </c>
      <c r="P210" s="2" t="str">
        <f aca="false">IFERROR(__xludf.dummyfunction("if($T210&lt;&gt;"""",VALUE(REGEXEXTRACT($T210, P$1&amp;""[\w &amp;]*, (\d+\.\d+)"")),"""")
"),"")</f>
        <v/>
      </c>
      <c r="Q210" s="2" t="str">
        <f aca="false">IFERROR(__xludf.dummyfunction("if($T210&lt;&gt;"""",VALUE(REGEXEXTRACT($T210, Q$1&amp;""[\w &amp;]*, (\d+\.\d+)"")),"""")
"),"")</f>
        <v/>
      </c>
      <c r="R210" s="2" t="str">
        <f aca="false">IFERROR(__xludf.dummyfunction("if($T210&lt;&gt;"""",VALUE(REGEXEXTRACT($T210, SUBSTITUTE(R$1, ""+"", ""\+"")&amp;""[\w &amp;]*, (\d+\.\d+)"")),"""")"),"")</f>
        <v/>
      </c>
      <c r="S210" s="2" t="str">
        <f aca="false">IFERROR(__xludf.dummyfunction("if($T210&lt;&gt;"""",VALUE(REGEXEXTRACT($T210, SUBSTITUTE(S$1, ""+"", ""\+"")&amp;""[\w &amp;]*, (\d+\.\d+)"")),"""")"),"")</f>
        <v/>
      </c>
      <c r="T210" s="5"/>
    </row>
    <row r="211" customFormat="false" ht="15.75" hidden="false" customHeight="false" outlineLevel="0" collapsed="false">
      <c r="A211" s="4"/>
      <c r="B211" s="2"/>
      <c r="C211" s="2"/>
      <c r="D211" s="2"/>
      <c r="E211" s="2"/>
      <c r="F211" s="3" t="str">
        <f aca="false">IFERROR(__xludf.dummyfunction("if($T211&lt;&gt;"""",VALUE(REGEXEXTRACT(SUBSTITUTE ($T211,F$1&amp;"" CE"",""""), F$1&amp;""[\w &amp;]*, (\d+\.\d+)"")),"""")
"),"")</f>
        <v/>
      </c>
      <c r="G211" s="3" t="str">
        <f aca="false">IFERROR(__xludf.dummyfunction("if($T211&lt;&gt;"""",VALUE(REGEXEXTRACT($T211, G$1&amp;""[\w &amp;]*, (\d+\.\d+)"")),"""")
"),"")</f>
        <v/>
      </c>
      <c r="H211" s="3" t="str">
        <f aca="false">IFERROR(__xludf.dummyfunction("if($T211&lt;&gt;"""",VALUE(REGEXEXTRACT($T211, H$1&amp;""[\w &amp;]*, (\d+\.\d+)"")),"""")
"),"")</f>
        <v/>
      </c>
      <c r="I211" s="3" t="str">
        <f aca="false">IFERROR(__xludf.dummyfunction("if($T211&lt;&gt;"""",VALUE(REGEXEXTRACT(SUBSTITUTE ($T211,I$1&amp;"" CE"",""""), I$1&amp;""[\w &amp;]*, (\d+\.\d+)"")),"""")
"),"")</f>
        <v/>
      </c>
      <c r="J211" s="3" t="str">
        <f aca="false">IFERROR(__xludf.dummyfunction("if($T211&lt;&gt;"""",VALUE(REGEXEXTRACT($T211, J$1&amp;""[\w &amp;]*, (\d+\.\d+)"")),"""")
"),"")</f>
        <v/>
      </c>
      <c r="K211" s="3" t="str">
        <f aca="false">IFERROR(__xludf.dummyfunction("if($T211&lt;&gt;"""",VALUE(REGEXEXTRACT($T211, K$1&amp;""[\w &amp;]*, (\d+\.\d+)"")),"""")
"),"")</f>
        <v/>
      </c>
      <c r="L211" s="3" t="str">
        <f aca="false">IFERROR(__xludf.dummyfunction("if($T211&lt;&gt;"""",VALUE(REGEXEXTRACT(SUBSTITUTE ($T211,L$1&amp;"" CE"",""""), L$1&amp;""[\w &amp;]*, (\d+\.\d+)"")),"""")
"),"")</f>
        <v/>
      </c>
      <c r="M211" s="3" t="str">
        <f aca="false">IFERROR(__xludf.dummyfunction("if($T211&lt;&gt;"""",VALUE(REGEXEXTRACT($T211, M$1&amp;""[\w &amp;]*, (\d+\.\d+)"")),"""")
"),"")</f>
        <v/>
      </c>
      <c r="N211" s="3" t="str">
        <f aca="false">IFERROR(__xludf.dummyfunction("if($T211&lt;&gt;"""",VALUE(REGEXEXTRACT(SUBSTITUTE ($T211,N$1&amp;"" CE"",""""), N$1&amp;""[\w &amp;]*, (\d+\.\d+)"")),"""")
"),"")</f>
        <v/>
      </c>
      <c r="O211" s="3" t="str">
        <f aca="false">IFERROR(__xludf.dummyfunction("if($T211&lt;&gt;"""",VALUE(REGEXEXTRACT($T211, O$1&amp;""[\w &amp;]*, (\d+\.\d+)"")),"""")
"),"")</f>
        <v/>
      </c>
      <c r="P211" s="2" t="str">
        <f aca="false">IFERROR(__xludf.dummyfunction("if($T211&lt;&gt;"""",VALUE(REGEXEXTRACT($T211, P$1&amp;""[\w &amp;]*, (\d+\.\d+)"")),"""")
"),"")</f>
        <v/>
      </c>
      <c r="Q211" s="2" t="str">
        <f aca="false">IFERROR(__xludf.dummyfunction("if($T211&lt;&gt;"""",VALUE(REGEXEXTRACT($T211, Q$1&amp;""[\w &amp;]*, (\d+\.\d+)"")),"""")
"),"")</f>
        <v/>
      </c>
      <c r="R211" s="2" t="str">
        <f aca="false">IFERROR(__xludf.dummyfunction("if($T211&lt;&gt;"""",VALUE(REGEXEXTRACT($T211, SUBSTITUTE(R$1, ""+"", ""\+"")&amp;""[\w &amp;]*, (\d+\.\d+)"")),"""")"),"")</f>
        <v/>
      </c>
      <c r="S211" s="2" t="str">
        <f aca="false">IFERROR(__xludf.dummyfunction("if($T211&lt;&gt;"""",VALUE(REGEXEXTRACT($T211, SUBSTITUTE(S$1, ""+"", ""\+"")&amp;""[\w &amp;]*, (\d+\.\d+)"")),"""")"),"")</f>
        <v/>
      </c>
      <c r="T211" s="5"/>
    </row>
    <row r="212" customFormat="false" ht="15.75" hidden="false" customHeight="false" outlineLevel="0" collapsed="false">
      <c r="A212" s="4"/>
      <c r="B212" s="2"/>
      <c r="C212" s="2"/>
      <c r="D212" s="2"/>
      <c r="E212" s="2"/>
      <c r="F212" s="3" t="str">
        <f aca="false">IFERROR(__xludf.dummyfunction("if($T212&lt;&gt;"""",VALUE(REGEXEXTRACT(SUBSTITUTE ($T212,F$1&amp;"" CE"",""""), F$1&amp;""[\w &amp;]*, (\d+\.\d+)"")),"""")
"),"")</f>
        <v/>
      </c>
      <c r="G212" s="3" t="str">
        <f aca="false">IFERROR(__xludf.dummyfunction("if($T212&lt;&gt;"""",VALUE(REGEXEXTRACT($T212, G$1&amp;""[\w &amp;]*, (\d+\.\d+)"")),"""")
"),"")</f>
        <v/>
      </c>
      <c r="H212" s="3" t="str">
        <f aca="false">IFERROR(__xludf.dummyfunction("if($T212&lt;&gt;"""",VALUE(REGEXEXTRACT($T212, H$1&amp;""[\w &amp;]*, (\d+\.\d+)"")),"""")
"),"")</f>
        <v/>
      </c>
      <c r="I212" s="3" t="str">
        <f aca="false">IFERROR(__xludf.dummyfunction("if($T212&lt;&gt;"""",VALUE(REGEXEXTRACT(SUBSTITUTE ($T212,I$1&amp;"" CE"",""""), I$1&amp;""[\w &amp;]*, (\d+\.\d+)"")),"""")
"),"")</f>
        <v/>
      </c>
      <c r="J212" s="3" t="str">
        <f aca="false">IFERROR(__xludf.dummyfunction("if($T212&lt;&gt;"""",VALUE(REGEXEXTRACT($T212, J$1&amp;""[\w &amp;]*, (\d+\.\d+)"")),"""")
"),"")</f>
        <v/>
      </c>
      <c r="K212" s="3" t="str">
        <f aca="false">IFERROR(__xludf.dummyfunction("if($T212&lt;&gt;"""",VALUE(REGEXEXTRACT($T212, K$1&amp;""[\w &amp;]*, (\d+\.\d+)"")),"""")
"),"")</f>
        <v/>
      </c>
      <c r="L212" s="3" t="str">
        <f aca="false">IFERROR(__xludf.dummyfunction("if($T212&lt;&gt;"""",VALUE(REGEXEXTRACT(SUBSTITUTE ($T212,L$1&amp;"" CE"",""""), L$1&amp;""[\w &amp;]*, (\d+\.\d+)"")),"""")
"),"")</f>
        <v/>
      </c>
      <c r="M212" s="3" t="str">
        <f aca="false">IFERROR(__xludf.dummyfunction("if($T212&lt;&gt;"""",VALUE(REGEXEXTRACT($T212, M$1&amp;""[\w &amp;]*, (\d+\.\d+)"")),"""")
"),"")</f>
        <v/>
      </c>
      <c r="N212" s="3" t="str">
        <f aca="false">IFERROR(__xludf.dummyfunction("if($T212&lt;&gt;"""",VALUE(REGEXEXTRACT(SUBSTITUTE ($T212,N$1&amp;"" CE"",""""), N$1&amp;""[\w &amp;]*, (\d+\.\d+)"")),"""")
"),"")</f>
        <v/>
      </c>
      <c r="O212" s="3" t="str">
        <f aca="false">IFERROR(__xludf.dummyfunction("if($T212&lt;&gt;"""",VALUE(REGEXEXTRACT($T212, O$1&amp;""[\w &amp;]*, (\d+\.\d+)"")),"""")
"),"")</f>
        <v/>
      </c>
      <c r="P212" s="2" t="str">
        <f aca="false">IFERROR(__xludf.dummyfunction("if($T212&lt;&gt;"""",VALUE(REGEXEXTRACT($T212, P$1&amp;""[\w &amp;]*, (\d+\.\d+)"")),"""")
"),"")</f>
        <v/>
      </c>
      <c r="Q212" s="2" t="str">
        <f aca="false">IFERROR(__xludf.dummyfunction("if($T212&lt;&gt;"""",VALUE(REGEXEXTRACT($T212, Q$1&amp;""[\w &amp;]*, (\d+\.\d+)"")),"""")
"),"")</f>
        <v/>
      </c>
      <c r="R212" s="2" t="str">
        <f aca="false">IFERROR(__xludf.dummyfunction("if($T212&lt;&gt;"""",VALUE(REGEXEXTRACT($T212, SUBSTITUTE(R$1, ""+"", ""\+"")&amp;""[\w &amp;]*, (\d+\.\d+)"")),"""")"),"")</f>
        <v/>
      </c>
      <c r="S212" s="2" t="str">
        <f aca="false">IFERROR(__xludf.dummyfunction("if($T212&lt;&gt;"""",VALUE(REGEXEXTRACT($T212, SUBSTITUTE(S$1, ""+"", ""\+"")&amp;""[\w &amp;]*, (\d+\.\d+)"")),"""")"),"")</f>
        <v/>
      </c>
      <c r="T212" s="5"/>
    </row>
    <row r="213" customFormat="false" ht="15.75" hidden="false" customHeight="false" outlineLevel="0" collapsed="false">
      <c r="A213" s="4"/>
      <c r="B213" s="2"/>
      <c r="C213" s="2"/>
      <c r="D213" s="2"/>
      <c r="E213" s="2"/>
      <c r="F213" s="3" t="str">
        <f aca="false">IFERROR(__xludf.dummyfunction("if($T213&lt;&gt;"""",VALUE(REGEXEXTRACT(SUBSTITUTE ($T213,F$1&amp;"" CE"",""""), F$1&amp;""[\w &amp;]*, (\d+\.\d+)"")),"""")
"),"")</f>
        <v/>
      </c>
      <c r="G213" s="3" t="str">
        <f aca="false">IFERROR(__xludf.dummyfunction("if($T213&lt;&gt;"""",VALUE(REGEXEXTRACT($T213, G$1&amp;""[\w &amp;]*, (\d+\.\d+)"")),"""")
"),"")</f>
        <v/>
      </c>
      <c r="H213" s="3" t="str">
        <f aca="false">IFERROR(__xludf.dummyfunction("if($T213&lt;&gt;"""",VALUE(REGEXEXTRACT($T213, H$1&amp;""[\w &amp;]*, (\d+\.\d+)"")),"""")
"),"")</f>
        <v/>
      </c>
      <c r="I213" s="3" t="str">
        <f aca="false">IFERROR(__xludf.dummyfunction("if($T213&lt;&gt;"""",VALUE(REGEXEXTRACT(SUBSTITUTE ($T213,I$1&amp;"" CE"",""""), I$1&amp;""[\w &amp;]*, (\d+\.\d+)"")),"""")
"),"")</f>
        <v/>
      </c>
      <c r="J213" s="3" t="str">
        <f aca="false">IFERROR(__xludf.dummyfunction("if($T213&lt;&gt;"""",VALUE(REGEXEXTRACT($T213, J$1&amp;""[\w &amp;]*, (\d+\.\d+)"")),"""")
"),"")</f>
        <v/>
      </c>
      <c r="K213" s="3" t="str">
        <f aca="false">IFERROR(__xludf.dummyfunction("if($T213&lt;&gt;"""",VALUE(REGEXEXTRACT($T213, K$1&amp;""[\w &amp;]*, (\d+\.\d+)"")),"""")
"),"")</f>
        <v/>
      </c>
      <c r="L213" s="3" t="str">
        <f aca="false">IFERROR(__xludf.dummyfunction("if($T213&lt;&gt;"""",VALUE(REGEXEXTRACT(SUBSTITUTE ($T213,L$1&amp;"" CE"",""""), L$1&amp;""[\w &amp;]*, (\d+\.\d+)"")),"""")
"),"")</f>
        <v/>
      </c>
      <c r="M213" s="3" t="str">
        <f aca="false">IFERROR(__xludf.dummyfunction("if($T213&lt;&gt;"""",VALUE(REGEXEXTRACT($T213, M$1&amp;""[\w &amp;]*, (\d+\.\d+)"")),"""")
"),"")</f>
        <v/>
      </c>
      <c r="N213" s="3" t="str">
        <f aca="false">IFERROR(__xludf.dummyfunction("if($T213&lt;&gt;"""",VALUE(REGEXEXTRACT(SUBSTITUTE ($T213,N$1&amp;"" CE"",""""), N$1&amp;""[\w &amp;]*, (\d+\.\d+)"")),"""")
"),"")</f>
        <v/>
      </c>
      <c r="O213" s="3" t="str">
        <f aca="false">IFERROR(__xludf.dummyfunction("if($T213&lt;&gt;"""",VALUE(REGEXEXTRACT($T213, O$1&amp;""[\w &amp;]*, (\d+\.\d+)"")),"""")
"),"")</f>
        <v/>
      </c>
      <c r="P213" s="2" t="str">
        <f aca="false">IFERROR(__xludf.dummyfunction("if($T213&lt;&gt;"""",VALUE(REGEXEXTRACT($T213, P$1&amp;""[\w &amp;]*, (\d+\.\d+)"")),"""")
"),"")</f>
        <v/>
      </c>
      <c r="Q213" s="2" t="str">
        <f aca="false">IFERROR(__xludf.dummyfunction("if($T213&lt;&gt;"""",VALUE(REGEXEXTRACT($T213, Q$1&amp;""[\w &amp;]*, (\d+\.\d+)"")),"""")
"),"")</f>
        <v/>
      </c>
      <c r="R213" s="2" t="str">
        <f aca="false">IFERROR(__xludf.dummyfunction("if($T213&lt;&gt;"""",VALUE(REGEXEXTRACT($T213, SUBSTITUTE(R$1, ""+"", ""\+"")&amp;""[\w &amp;]*, (\d+\.\d+)"")),"""")"),"")</f>
        <v/>
      </c>
      <c r="S213" s="2" t="str">
        <f aca="false">IFERROR(__xludf.dummyfunction("if($T213&lt;&gt;"""",VALUE(REGEXEXTRACT($T213, SUBSTITUTE(S$1, ""+"", ""\+"")&amp;""[\w &amp;]*, (\d+\.\d+)"")),"""")"),"")</f>
        <v/>
      </c>
      <c r="T213" s="5"/>
    </row>
    <row r="214" customFormat="false" ht="15.75" hidden="false" customHeight="false" outlineLevel="0" collapsed="false">
      <c r="A214" s="4"/>
      <c r="B214" s="2"/>
      <c r="C214" s="2"/>
      <c r="D214" s="2"/>
      <c r="E214" s="2"/>
      <c r="F214" s="3" t="str">
        <f aca="false">IFERROR(__xludf.dummyfunction("if($T214&lt;&gt;"""",VALUE(REGEXEXTRACT(SUBSTITUTE ($T214,F$1&amp;"" CE"",""""), F$1&amp;""[\w &amp;]*, (\d+\.\d+)"")),"""")
"),"")</f>
        <v/>
      </c>
      <c r="G214" s="3" t="str">
        <f aca="false">IFERROR(__xludf.dummyfunction("if($T214&lt;&gt;"""",VALUE(REGEXEXTRACT($T214, G$1&amp;""[\w &amp;]*, (\d+\.\d+)"")),"""")
"),"")</f>
        <v/>
      </c>
      <c r="H214" s="3" t="str">
        <f aca="false">IFERROR(__xludf.dummyfunction("if($T214&lt;&gt;"""",VALUE(REGEXEXTRACT($T214, H$1&amp;""[\w &amp;]*, (\d+\.\d+)"")),"""")
"),"")</f>
        <v/>
      </c>
      <c r="I214" s="3" t="str">
        <f aca="false">IFERROR(__xludf.dummyfunction("if($T214&lt;&gt;"""",VALUE(REGEXEXTRACT(SUBSTITUTE ($T214,I$1&amp;"" CE"",""""), I$1&amp;""[\w &amp;]*, (\d+\.\d+)"")),"""")
"),"")</f>
        <v/>
      </c>
      <c r="J214" s="3" t="str">
        <f aca="false">IFERROR(__xludf.dummyfunction("if($T214&lt;&gt;"""",VALUE(REGEXEXTRACT($T214, J$1&amp;""[\w &amp;]*, (\d+\.\d+)"")),"""")
"),"")</f>
        <v/>
      </c>
      <c r="K214" s="3" t="str">
        <f aca="false">IFERROR(__xludf.dummyfunction("if($T214&lt;&gt;"""",VALUE(REGEXEXTRACT($T214, K$1&amp;""[\w &amp;]*, (\d+\.\d+)"")),"""")
"),"")</f>
        <v/>
      </c>
      <c r="L214" s="3" t="str">
        <f aca="false">IFERROR(__xludf.dummyfunction("if($T214&lt;&gt;"""",VALUE(REGEXEXTRACT(SUBSTITUTE ($T214,L$1&amp;"" CE"",""""), L$1&amp;""[\w &amp;]*, (\d+\.\d+)"")),"""")
"),"")</f>
        <v/>
      </c>
      <c r="M214" s="3" t="str">
        <f aca="false">IFERROR(__xludf.dummyfunction("if($T214&lt;&gt;"""",VALUE(REGEXEXTRACT($T214, M$1&amp;""[\w &amp;]*, (\d+\.\d+)"")),"""")
"),"")</f>
        <v/>
      </c>
      <c r="N214" s="3" t="str">
        <f aca="false">IFERROR(__xludf.dummyfunction("if($T214&lt;&gt;"""",VALUE(REGEXEXTRACT(SUBSTITUTE ($T214,N$1&amp;"" CE"",""""), N$1&amp;""[\w &amp;]*, (\d+\.\d+)"")),"""")
"),"")</f>
        <v/>
      </c>
      <c r="O214" s="3" t="str">
        <f aca="false">IFERROR(__xludf.dummyfunction("if($T214&lt;&gt;"""",VALUE(REGEXEXTRACT($T214, O$1&amp;""[\w &amp;]*, (\d+\.\d+)"")),"""")
"),"")</f>
        <v/>
      </c>
      <c r="P214" s="2" t="str">
        <f aca="false">IFERROR(__xludf.dummyfunction("if($T214&lt;&gt;"""",VALUE(REGEXEXTRACT($T214, P$1&amp;""[\w &amp;]*, (\d+\.\d+)"")),"""")
"),"")</f>
        <v/>
      </c>
      <c r="Q214" s="2" t="str">
        <f aca="false">IFERROR(__xludf.dummyfunction("if($T214&lt;&gt;"""",VALUE(REGEXEXTRACT($T214, Q$1&amp;""[\w &amp;]*, (\d+\.\d+)"")),"""")
"),"")</f>
        <v/>
      </c>
      <c r="R214" s="2" t="str">
        <f aca="false">IFERROR(__xludf.dummyfunction("if($T214&lt;&gt;"""",VALUE(REGEXEXTRACT($T214, SUBSTITUTE(R$1, ""+"", ""\+"")&amp;""[\w &amp;]*, (\d+\.\d+)"")),"""")"),"")</f>
        <v/>
      </c>
      <c r="S214" s="2" t="str">
        <f aca="false">IFERROR(__xludf.dummyfunction("if($T214&lt;&gt;"""",VALUE(REGEXEXTRACT($T214, SUBSTITUTE(S$1, ""+"", ""\+"")&amp;""[\w &amp;]*, (\d+\.\d+)"")),"""")"),"")</f>
        <v/>
      </c>
      <c r="T214" s="5"/>
    </row>
    <row r="215" customFormat="false" ht="15.75" hidden="false" customHeight="false" outlineLevel="0" collapsed="false">
      <c r="A215" s="4"/>
      <c r="B215" s="2"/>
      <c r="C215" s="2"/>
      <c r="D215" s="2"/>
      <c r="E215" s="2"/>
      <c r="F215" s="3" t="str">
        <f aca="false">IFERROR(__xludf.dummyfunction("if($T215&lt;&gt;"""",VALUE(REGEXEXTRACT(SUBSTITUTE ($T215,F$1&amp;"" CE"",""""), F$1&amp;""[\w &amp;]*, (\d+\.\d+)"")),"""")
"),"")</f>
        <v/>
      </c>
      <c r="G215" s="3" t="str">
        <f aca="false">IFERROR(__xludf.dummyfunction("if($T215&lt;&gt;"""",VALUE(REGEXEXTRACT($T215, G$1&amp;""[\w &amp;]*, (\d+\.\d+)"")),"""")
"),"")</f>
        <v/>
      </c>
      <c r="H215" s="3" t="str">
        <f aca="false">IFERROR(__xludf.dummyfunction("if($T215&lt;&gt;"""",VALUE(REGEXEXTRACT($T215, H$1&amp;""[\w &amp;]*, (\d+\.\d+)"")),"""")
"),"")</f>
        <v/>
      </c>
      <c r="I215" s="3" t="str">
        <f aca="false">IFERROR(__xludf.dummyfunction("if($T215&lt;&gt;"""",VALUE(REGEXEXTRACT(SUBSTITUTE ($T215,I$1&amp;"" CE"",""""), I$1&amp;""[\w &amp;]*, (\d+\.\d+)"")),"""")
"),"")</f>
        <v/>
      </c>
      <c r="J215" s="3" t="str">
        <f aca="false">IFERROR(__xludf.dummyfunction("if($T215&lt;&gt;"""",VALUE(REGEXEXTRACT($T215, J$1&amp;""[\w &amp;]*, (\d+\.\d+)"")),"""")
"),"")</f>
        <v/>
      </c>
      <c r="K215" s="3" t="str">
        <f aca="false">IFERROR(__xludf.dummyfunction("if($T215&lt;&gt;"""",VALUE(REGEXEXTRACT($T215, K$1&amp;""[\w &amp;]*, (\d+\.\d+)"")),"""")
"),"")</f>
        <v/>
      </c>
      <c r="L215" s="3" t="str">
        <f aca="false">IFERROR(__xludf.dummyfunction("if($T215&lt;&gt;"""",VALUE(REGEXEXTRACT(SUBSTITUTE ($T215,L$1&amp;"" CE"",""""), L$1&amp;""[\w &amp;]*, (\d+\.\d+)"")),"""")
"),"")</f>
        <v/>
      </c>
      <c r="M215" s="3" t="str">
        <f aca="false">IFERROR(__xludf.dummyfunction("if($T215&lt;&gt;"""",VALUE(REGEXEXTRACT($T215, M$1&amp;""[\w &amp;]*, (\d+\.\d+)"")),"""")
"),"")</f>
        <v/>
      </c>
      <c r="N215" s="3" t="str">
        <f aca="false">IFERROR(__xludf.dummyfunction("if($T215&lt;&gt;"""",VALUE(REGEXEXTRACT(SUBSTITUTE ($T215,N$1&amp;"" CE"",""""), N$1&amp;""[\w &amp;]*, (\d+\.\d+)"")),"""")
"),"")</f>
        <v/>
      </c>
      <c r="O215" s="3" t="str">
        <f aca="false">IFERROR(__xludf.dummyfunction("if($T215&lt;&gt;"""",VALUE(REGEXEXTRACT($T215, O$1&amp;""[\w &amp;]*, (\d+\.\d+)"")),"""")
"),"")</f>
        <v/>
      </c>
      <c r="P215" s="2" t="str">
        <f aca="false">IFERROR(__xludf.dummyfunction("if($T215&lt;&gt;"""",VALUE(REGEXEXTRACT($T215, P$1&amp;""[\w &amp;]*, (\d+\.\d+)"")),"""")
"),"")</f>
        <v/>
      </c>
      <c r="Q215" s="2" t="str">
        <f aca="false">IFERROR(__xludf.dummyfunction("if($T215&lt;&gt;"""",VALUE(REGEXEXTRACT($T215, Q$1&amp;""[\w &amp;]*, (\d+\.\d+)"")),"""")
"),"")</f>
        <v/>
      </c>
      <c r="R215" s="2" t="str">
        <f aca="false">IFERROR(__xludf.dummyfunction("if($T215&lt;&gt;"""",VALUE(REGEXEXTRACT($T215, SUBSTITUTE(R$1, ""+"", ""\+"")&amp;""[\w &amp;]*, (\d+\.\d+)"")),"""")"),"")</f>
        <v/>
      </c>
      <c r="S215" s="2" t="str">
        <f aca="false">IFERROR(__xludf.dummyfunction("if($T215&lt;&gt;"""",VALUE(REGEXEXTRACT($T215, SUBSTITUTE(S$1, ""+"", ""\+"")&amp;""[\w &amp;]*, (\d+\.\d+)"")),"""")"),"")</f>
        <v/>
      </c>
      <c r="T215" s="5"/>
    </row>
    <row r="216" customFormat="false" ht="15.75" hidden="false" customHeight="false" outlineLevel="0" collapsed="false">
      <c r="A216" s="4"/>
      <c r="B216" s="2"/>
      <c r="C216" s="2"/>
      <c r="D216" s="2"/>
      <c r="E216" s="2"/>
      <c r="F216" s="3" t="str">
        <f aca="false">IFERROR(__xludf.dummyfunction("if($T216&lt;&gt;"""",VALUE(REGEXEXTRACT(SUBSTITUTE ($T216,F$1&amp;"" CE"",""""), F$1&amp;""[\w &amp;]*, (\d+\.\d+)"")),"""")
"),"")</f>
        <v/>
      </c>
      <c r="G216" s="3" t="str">
        <f aca="false">IFERROR(__xludf.dummyfunction("if($T216&lt;&gt;"""",VALUE(REGEXEXTRACT($T216, G$1&amp;""[\w &amp;]*, (\d+\.\d+)"")),"""")
"),"")</f>
        <v/>
      </c>
      <c r="H216" s="3" t="str">
        <f aca="false">IFERROR(__xludf.dummyfunction("if($T216&lt;&gt;"""",VALUE(REGEXEXTRACT($T216, H$1&amp;""[\w &amp;]*, (\d+\.\d+)"")),"""")
"),"")</f>
        <v/>
      </c>
      <c r="I216" s="3" t="str">
        <f aca="false">IFERROR(__xludf.dummyfunction("if($T216&lt;&gt;"""",VALUE(REGEXEXTRACT(SUBSTITUTE ($T216,I$1&amp;"" CE"",""""), I$1&amp;""[\w &amp;]*, (\d+\.\d+)"")),"""")
"),"")</f>
        <v/>
      </c>
      <c r="J216" s="3" t="str">
        <f aca="false">IFERROR(__xludf.dummyfunction("if($T216&lt;&gt;"""",VALUE(REGEXEXTRACT($T216, J$1&amp;""[\w &amp;]*, (\d+\.\d+)"")),"""")
"),"")</f>
        <v/>
      </c>
      <c r="K216" s="3" t="str">
        <f aca="false">IFERROR(__xludf.dummyfunction("if($T216&lt;&gt;"""",VALUE(REGEXEXTRACT($T216, K$1&amp;""[\w &amp;]*, (\d+\.\d+)"")),"""")
"),"")</f>
        <v/>
      </c>
      <c r="L216" s="3" t="str">
        <f aca="false">IFERROR(__xludf.dummyfunction("if($T216&lt;&gt;"""",VALUE(REGEXEXTRACT(SUBSTITUTE ($T216,L$1&amp;"" CE"",""""), L$1&amp;""[\w &amp;]*, (\d+\.\d+)"")),"""")
"),"")</f>
        <v/>
      </c>
      <c r="M216" s="3" t="str">
        <f aca="false">IFERROR(__xludf.dummyfunction("if($T216&lt;&gt;"""",VALUE(REGEXEXTRACT($T216, M$1&amp;""[\w &amp;]*, (\d+\.\d+)"")),"""")
"),"")</f>
        <v/>
      </c>
      <c r="N216" s="3" t="str">
        <f aca="false">IFERROR(__xludf.dummyfunction("if($T216&lt;&gt;"""",VALUE(REGEXEXTRACT(SUBSTITUTE ($T216,N$1&amp;"" CE"",""""), N$1&amp;""[\w &amp;]*, (\d+\.\d+)"")),"""")
"),"")</f>
        <v/>
      </c>
      <c r="O216" s="3" t="str">
        <f aca="false">IFERROR(__xludf.dummyfunction("if($T216&lt;&gt;"""",VALUE(REGEXEXTRACT($T216, O$1&amp;""[\w &amp;]*, (\d+\.\d+)"")),"""")
"),"")</f>
        <v/>
      </c>
      <c r="P216" s="2" t="str">
        <f aca="false">IFERROR(__xludf.dummyfunction("if($T216&lt;&gt;"""",VALUE(REGEXEXTRACT($T216, P$1&amp;""[\w &amp;]*, (\d+\.\d+)"")),"""")
"),"")</f>
        <v/>
      </c>
      <c r="Q216" s="2" t="str">
        <f aca="false">IFERROR(__xludf.dummyfunction("if($T216&lt;&gt;"""",VALUE(REGEXEXTRACT($T216, Q$1&amp;""[\w &amp;]*, (\d+\.\d+)"")),"""")
"),"")</f>
        <v/>
      </c>
      <c r="R216" s="2" t="str">
        <f aca="false">IFERROR(__xludf.dummyfunction("if($T216&lt;&gt;"""",VALUE(REGEXEXTRACT($T216, SUBSTITUTE(R$1, ""+"", ""\+"")&amp;""[\w &amp;]*, (\d+\.\d+)"")),"""")"),"")</f>
        <v/>
      </c>
      <c r="S216" s="2" t="str">
        <f aca="false">IFERROR(__xludf.dummyfunction("if($T216&lt;&gt;"""",VALUE(REGEXEXTRACT($T216, SUBSTITUTE(S$1, ""+"", ""\+"")&amp;""[\w &amp;]*, (\d+\.\d+)"")),"""")"),"")</f>
        <v/>
      </c>
      <c r="T216" s="5"/>
    </row>
    <row r="217" customFormat="false" ht="15.75" hidden="false" customHeight="false" outlineLevel="0" collapsed="false">
      <c r="A217" s="4"/>
      <c r="B217" s="2"/>
      <c r="C217" s="2"/>
      <c r="D217" s="2"/>
      <c r="E217" s="2"/>
      <c r="F217" s="3" t="str">
        <f aca="false">IFERROR(__xludf.dummyfunction("if($T217&lt;&gt;"""",VALUE(REGEXEXTRACT(SUBSTITUTE ($T217,F$1&amp;"" CE"",""""), F$1&amp;""[\w &amp;]*, (\d+\.\d+)"")),"""")
"),"")</f>
        <v/>
      </c>
      <c r="G217" s="3" t="str">
        <f aca="false">IFERROR(__xludf.dummyfunction("if($T217&lt;&gt;"""",VALUE(REGEXEXTRACT($T217, G$1&amp;""[\w &amp;]*, (\d+\.\d+)"")),"""")
"),"")</f>
        <v/>
      </c>
      <c r="H217" s="3" t="str">
        <f aca="false">IFERROR(__xludf.dummyfunction("if($T217&lt;&gt;"""",VALUE(REGEXEXTRACT($T217, H$1&amp;""[\w &amp;]*, (\d+\.\d+)"")),"""")
"),"")</f>
        <v/>
      </c>
      <c r="I217" s="3" t="str">
        <f aca="false">IFERROR(__xludf.dummyfunction("if($T217&lt;&gt;"""",VALUE(REGEXEXTRACT(SUBSTITUTE ($T217,I$1&amp;"" CE"",""""), I$1&amp;""[\w &amp;]*, (\d+\.\d+)"")),"""")
"),"")</f>
        <v/>
      </c>
      <c r="J217" s="3" t="str">
        <f aca="false">IFERROR(__xludf.dummyfunction("if($T217&lt;&gt;"""",VALUE(REGEXEXTRACT($T217, J$1&amp;""[\w &amp;]*, (\d+\.\d+)"")),"""")
"),"")</f>
        <v/>
      </c>
      <c r="K217" s="3" t="str">
        <f aca="false">IFERROR(__xludf.dummyfunction("if($T217&lt;&gt;"""",VALUE(REGEXEXTRACT($T217, K$1&amp;""[\w &amp;]*, (\d+\.\d+)"")),"""")
"),"")</f>
        <v/>
      </c>
      <c r="L217" s="3" t="str">
        <f aca="false">IFERROR(__xludf.dummyfunction("if($T217&lt;&gt;"""",VALUE(REGEXEXTRACT(SUBSTITUTE ($T217,L$1&amp;"" CE"",""""), L$1&amp;""[\w &amp;]*, (\d+\.\d+)"")),"""")
"),"")</f>
        <v/>
      </c>
      <c r="M217" s="3" t="str">
        <f aca="false">IFERROR(__xludf.dummyfunction("if($T217&lt;&gt;"""",VALUE(REGEXEXTRACT($T217, M$1&amp;""[\w &amp;]*, (\d+\.\d+)"")),"""")
"),"")</f>
        <v/>
      </c>
      <c r="N217" s="3" t="str">
        <f aca="false">IFERROR(__xludf.dummyfunction("if($T217&lt;&gt;"""",VALUE(REGEXEXTRACT(SUBSTITUTE ($T217,N$1&amp;"" CE"",""""), N$1&amp;""[\w &amp;]*, (\d+\.\d+)"")),"""")
"),"")</f>
        <v/>
      </c>
      <c r="O217" s="3" t="str">
        <f aca="false">IFERROR(__xludf.dummyfunction("if($T217&lt;&gt;"""",VALUE(REGEXEXTRACT($T217, O$1&amp;""[\w &amp;]*, (\d+\.\d+)"")),"""")
"),"")</f>
        <v/>
      </c>
      <c r="P217" s="2" t="str">
        <f aca="false">IFERROR(__xludf.dummyfunction("if($T217&lt;&gt;"""",VALUE(REGEXEXTRACT($T217, P$1&amp;""[\w &amp;]*, (\d+\.\d+)"")),"""")
"),"")</f>
        <v/>
      </c>
      <c r="Q217" s="2" t="str">
        <f aca="false">IFERROR(__xludf.dummyfunction("if($T217&lt;&gt;"""",VALUE(REGEXEXTRACT($T217, Q$1&amp;""[\w &amp;]*, (\d+\.\d+)"")),"""")
"),"")</f>
        <v/>
      </c>
      <c r="R217" s="2" t="str">
        <f aca="false">IFERROR(__xludf.dummyfunction("if($T217&lt;&gt;"""",VALUE(REGEXEXTRACT($T217, SUBSTITUTE(R$1, ""+"", ""\+"")&amp;""[\w &amp;]*, (\d+\.\d+)"")),"""")"),"")</f>
        <v/>
      </c>
      <c r="S217" s="2" t="str">
        <f aca="false">IFERROR(__xludf.dummyfunction("if($T217&lt;&gt;"""",VALUE(REGEXEXTRACT($T217, SUBSTITUTE(S$1, ""+"", ""\+"")&amp;""[\w &amp;]*, (\d+\.\d+)"")),"""")"),"")</f>
        <v/>
      </c>
      <c r="T217" s="5"/>
    </row>
    <row r="218" customFormat="false" ht="15.75" hidden="false" customHeight="false" outlineLevel="0" collapsed="false">
      <c r="A218" s="4"/>
      <c r="B218" s="2"/>
      <c r="C218" s="2"/>
      <c r="D218" s="2"/>
      <c r="E218" s="2"/>
      <c r="F218" s="3" t="str">
        <f aca="false">IFERROR(__xludf.dummyfunction("if($T218&lt;&gt;"""",VALUE(REGEXEXTRACT(SUBSTITUTE ($T218,F$1&amp;"" CE"",""""), F$1&amp;""[\w &amp;]*, (\d+\.\d+)"")),"""")
"),"")</f>
        <v/>
      </c>
      <c r="G218" s="3" t="str">
        <f aca="false">IFERROR(__xludf.dummyfunction("if($T218&lt;&gt;"""",VALUE(REGEXEXTRACT($T218, G$1&amp;""[\w &amp;]*, (\d+\.\d+)"")),"""")
"),"")</f>
        <v/>
      </c>
      <c r="H218" s="3" t="str">
        <f aca="false">IFERROR(__xludf.dummyfunction("if($T218&lt;&gt;"""",VALUE(REGEXEXTRACT($T218, H$1&amp;""[\w &amp;]*, (\d+\.\d+)"")),"""")
"),"")</f>
        <v/>
      </c>
      <c r="I218" s="3" t="str">
        <f aca="false">IFERROR(__xludf.dummyfunction("if($T218&lt;&gt;"""",VALUE(REGEXEXTRACT(SUBSTITUTE ($T218,I$1&amp;"" CE"",""""), I$1&amp;""[\w &amp;]*, (\d+\.\d+)"")),"""")
"),"")</f>
        <v/>
      </c>
      <c r="J218" s="3" t="str">
        <f aca="false">IFERROR(__xludf.dummyfunction("if($T218&lt;&gt;"""",VALUE(REGEXEXTRACT($T218, J$1&amp;""[\w &amp;]*, (\d+\.\d+)"")),"""")
"),"")</f>
        <v/>
      </c>
      <c r="K218" s="3" t="str">
        <f aca="false">IFERROR(__xludf.dummyfunction("if($T218&lt;&gt;"""",VALUE(REGEXEXTRACT($T218, K$1&amp;""[\w &amp;]*, (\d+\.\d+)"")),"""")
"),"")</f>
        <v/>
      </c>
      <c r="L218" s="3" t="str">
        <f aca="false">IFERROR(__xludf.dummyfunction("if($T218&lt;&gt;"""",VALUE(REGEXEXTRACT(SUBSTITUTE ($T218,L$1&amp;"" CE"",""""), L$1&amp;""[\w &amp;]*, (\d+\.\d+)"")),"""")
"),"")</f>
        <v/>
      </c>
      <c r="M218" s="3" t="str">
        <f aca="false">IFERROR(__xludf.dummyfunction("if($T218&lt;&gt;"""",VALUE(REGEXEXTRACT($T218, M$1&amp;""[\w &amp;]*, (\d+\.\d+)"")),"""")
"),"")</f>
        <v/>
      </c>
      <c r="N218" s="3" t="str">
        <f aca="false">IFERROR(__xludf.dummyfunction("if($T218&lt;&gt;"""",VALUE(REGEXEXTRACT(SUBSTITUTE ($T218,N$1&amp;"" CE"",""""), N$1&amp;""[\w &amp;]*, (\d+\.\d+)"")),"""")
"),"")</f>
        <v/>
      </c>
      <c r="O218" s="3" t="str">
        <f aca="false">IFERROR(__xludf.dummyfunction("if($T218&lt;&gt;"""",VALUE(REGEXEXTRACT($T218, O$1&amp;""[\w &amp;]*, (\d+\.\d+)"")),"""")
"),"")</f>
        <v/>
      </c>
      <c r="P218" s="2" t="str">
        <f aca="false">IFERROR(__xludf.dummyfunction("if($T218&lt;&gt;"""",VALUE(REGEXEXTRACT($T218, P$1&amp;""[\w &amp;]*, (\d+\.\d+)"")),"""")
"),"")</f>
        <v/>
      </c>
      <c r="Q218" s="2" t="str">
        <f aca="false">IFERROR(__xludf.dummyfunction("if($T218&lt;&gt;"""",VALUE(REGEXEXTRACT($T218, Q$1&amp;""[\w &amp;]*, (\d+\.\d+)"")),"""")
"),"")</f>
        <v/>
      </c>
      <c r="R218" s="2" t="str">
        <f aca="false">IFERROR(__xludf.dummyfunction("if($T218&lt;&gt;"""",VALUE(REGEXEXTRACT($T218, SUBSTITUTE(R$1, ""+"", ""\+"")&amp;""[\w &amp;]*, (\d+\.\d+)"")),"""")"),"")</f>
        <v/>
      </c>
      <c r="S218" s="2" t="str">
        <f aca="false">IFERROR(__xludf.dummyfunction("if($T218&lt;&gt;"""",VALUE(REGEXEXTRACT($T218, SUBSTITUTE(S$1, ""+"", ""\+"")&amp;""[\w &amp;]*, (\d+\.\d+)"")),"""")"),"")</f>
        <v/>
      </c>
      <c r="T218" s="5"/>
    </row>
    <row r="219" customFormat="false" ht="15.75" hidden="false" customHeight="false" outlineLevel="0" collapsed="false">
      <c r="A219" s="4"/>
      <c r="B219" s="2"/>
      <c r="C219" s="2"/>
      <c r="D219" s="2"/>
      <c r="E219" s="2"/>
      <c r="F219" s="3" t="str">
        <f aca="false">IFERROR(__xludf.dummyfunction("if($T219&lt;&gt;"""",VALUE(REGEXEXTRACT(SUBSTITUTE ($T219,F$1&amp;"" CE"",""""), F$1&amp;""[\w &amp;]*, (\d+\.\d+)"")),"""")
"),"")</f>
        <v/>
      </c>
      <c r="G219" s="3" t="str">
        <f aca="false">IFERROR(__xludf.dummyfunction("if($T219&lt;&gt;"""",VALUE(REGEXEXTRACT($T219, G$1&amp;""[\w &amp;]*, (\d+\.\d+)"")),"""")
"),"")</f>
        <v/>
      </c>
      <c r="H219" s="3"/>
      <c r="I219" s="3" t="str">
        <f aca="false">IFERROR(__xludf.dummyfunction("if($T219&lt;&gt;"""",VALUE(REGEXEXTRACT(SUBSTITUTE ($T219,I$1&amp;"" CE"",""""), I$1&amp;""[\w &amp;]*, (\d+\.\d+)"")),"""")
"),"")</f>
        <v/>
      </c>
      <c r="J219" s="3" t="str">
        <f aca="false">IFERROR(__xludf.dummyfunction("if($T219&lt;&gt;"""",VALUE(REGEXEXTRACT($T219, J$1&amp;""[\w &amp;]*, (\d+\.\d+)"")),"""")
"),"")</f>
        <v/>
      </c>
      <c r="K219" s="3"/>
      <c r="L219" s="3" t="str">
        <f aca="false">IFERROR(__xludf.dummyfunction("if($T219&lt;&gt;"""",VALUE(REGEXEXTRACT(SUBSTITUTE ($T219,L$1&amp;"" CE"",""""), L$1&amp;""[\w &amp;]*, (\d+\.\d+)"")),"""")
"),"")</f>
        <v/>
      </c>
      <c r="M219" s="3" t="str">
        <f aca="false">IFERROR(__xludf.dummyfunction("if($T219&lt;&gt;"""",VALUE(REGEXEXTRACT($T219, M$1&amp;""[\w &amp;]*, (\d+\.\d+)"")),"""")
"),"")</f>
        <v/>
      </c>
      <c r="N219" s="3" t="str">
        <f aca="false">IFERROR(__xludf.dummyfunction("if($T219&lt;&gt;"""",VALUE(REGEXEXTRACT(SUBSTITUTE ($T219,N$1&amp;"" CE"",""""), N$1&amp;""[\w &amp;]*, (\d+\.\d+)"")),"""")
"),"")</f>
        <v/>
      </c>
      <c r="O219" s="3" t="str">
        <f aca="false">IFERROR(__xludf.dummyfunction("if($T219&lt;&gt;"""",VALUE(REGEXEXTRACT($T219, O$1&amp;""[\w &amp;]*, (\d+\.\d+)"")),"""")
"),"")</f>
        <v/>
      </c>
      <c r="P219" s="2"/>
      <c r="Q219" s="2"/>
      <c r="R219" s="2"/>
      <c r="S219" s="2"/>
      <c r="T219" s="5"/>
    </row>
    <row r="220" customFormat="false" ht="15.75" hidden="false" customHeight="false" outlineLevel="0" collapsed="false">
      <c r="A220" s="4"/>
      <c r="B220" s="2"/>
      <c r="C220" s="2"/>
      <c r="D220" s="2"/>
      <c r="E220" s="2"/>
      <c r="F220" s="3" t="str">
        <f aca="false">IFERROR(__xludf.dummyfunction("if($T220&lt;&gt;"""",VALUE(REGEXEXTRACT(SUBSTITUTE ($T220,F$1&amp;"" CE"",""""), F$1&amp;""[\w &amp;]*, (\d+\.\d+)"")),"""")
"),"")</f>
        <v/>
      </c>
      <c r="G220" s="3" t="str">
        <f aca="false">IFERROR(__xludf.dummyfunction("if($T220&lt;&gt;"""",VALUE(REGEXEXTRACT($T220, G$1&amp;""[\w &amp;]*, (\d+\.\d+)"")),"""")
"),"")</f>
        <v/>
      </c>
      <c r="H220" s="3"/>
      <c r="I220" s="3" t="str">
        <f aca="false">IFERROR(__xludf.dummyfunction("if($T220&lt;&gt;"""",VALUE(REGEXEXTRACT(SUBSTITUTE ($T220,I$1&amp;"" CE"",""""), I$1&amp;""[\w &amp;]*, (\d+\.\d+)"")),"""")
"),"")</f>
        <v/>
      </c>
      <c r="J220" s="3" t="str">
        <f aca="false">IFERROR(__xludf.dummyfunction("if($T220&lt;&gt;"""",VALUE(REGEXEXTRACT($T220, J$1&amp;""[\w &amp;]*, (\d+\.\d+)"")),"""")
"),"")</f>
        <v/>
      </c>
      <c r="K220" s="3"/>
      <c r="L220" s="3" t="str">
        <f aca="false">IFERROR(__xludf.dummyfunction("if($T220&lt;&gt;"""",VALUE(REGEXEXTRACT(SUBSTITUTE ($T220,L$1&amp;"" CE"",""""), L$1&amp;""[\w &amp;]*, (\d+\.\d+)"")),"""")
"),"")</f>
        <v/>
      </c>
      <c r="M220" s="3" t="str">
        <f aca="false">IFERROR(__xludf.dummyfunction("if($T220&lt;&gt;"""",VALUE(REGEXEXTRACT($T220, M$1&amp;""[\w &amp;]*, (\d+\.\d+)"")),"""")
"),"")</f>
        <v/>
      </c>
      <c r="N220" s="3" t="str">
        <f aca="false">IFERROR(__xludf.dummyfunction("if($T220&lt;&gt;"""",VALUE(REGEXEXTRACT(SUBSTITUTE ($T220,N$1&amp;"" CE"",""""), N$1&amp;""[\w &amp;]*, (\d+\.\d+)"")),"""")
"),"")</f>
        <v/>
      </c>
      <c r="O220" s="3" t="str">
        <f aca="false">IFERROR(__xludf.dummyfunction("if($T220&lt;&gt;"""",VALUE(REGEXEXTRACT($T220, O$1&amp;""[\w &amp;]*, (\d+\.\d+)"")),"""")
"),"")</f>
        <v/>
      </c>
      <c r="P220" s="2"/>
      <c r="Q220" s="2"/>
      <c r="R220" s="2"/>
      <c r="S220" s="2"/>
      <c r="T220" s="5"/>
    </row>
    <row r="221" customFormat="false" ht="15.75" hidden="false" customHeight="false" outlineLevel="0" collapsed="false">
      <c r="A221" s="4"/>
      <c r="B221" s="2"/>
      <c r="C221" s="2"/>
      <c r="D221" s="2"/>
      <c r="E221" s="2"/>
      <c r="F221" s="3" t="str">
        <f aca="false">IFERROR(__xludf.dummyfunction("if($T221&lt;&gt;"""",VALUE(REGEXEXTRACT(SUBSTITUTE ($T221,F$1&amp;"" CE"",""""), F$1&amp;""[\w &amp;]*, (\d+\.\d+)"")),"""")
"),"")</f>
        <v/>
      </c>
      <c r="G221" s="3" t="str">
        <f aca="false">IFERROR(__xludf.dummyfunction("if($T221&lt;&gt;"""",VALUE(REGEXEXTRACT($T221, G$1&amp;""[\w &amp;]*, (\d+\.\d+)"")),"""")
"),"")</f>
        <v/>
      </c>
      <c r="H221" s="3"/>
      <c r="I221" s="3" t="str">
        <f aca="false">IFERROR(__xludf.dummyfunction("if($T221&lt;&gt;"""",VALUE(REGEXEXTRACT(SUBSTITUTE ($T221,I$1&amp;"" CE"",""""), I$1&amp;""[\w &amp;]*, (\d+\.\d+)"")),"""")
"),"")</f>
        <v/>
      </c>
      <c r="J221" s="3" t="str">
        <f aca="false">IFERROR(__xludf.dummyfunction("if($T221&lt;&gt;"""",VALUE(REGEXEXTRACT($T221, J$1&amp;""[\w &amp;]*, (\d+\.\d+)"")),"""")
"),"")</f>
        <v/>
      </c>
      <c r="K221" s="3"/>
      <c r="L221" s="3" t="str">
        <f aca="false">IFERROR(__xludf.dummyfunction("if($T221&lt;&gt;"""",VALUE(REGEXEXTRACT(SUBSTITUTE ($T221,L$1&amp;"" CE"",""""), L$1&amp;""[\w &amp;]*, (\d+\.\d+)"")),"""")
"),"")</f>
        <v/>
      </c>
      <c r="M221" s="3" t="str">
        <f aca="false">IFERROR(__xludf.dummyfunction("if($T221&lt;&gt;"""",VALUE(REGEXEXTRACT($T221, M$1&amp;""[\w &amp;]*, (\d+\.\d+)"")),"""")
"),"")</f>
        <v/>
      </c>
      <c r="N221" s="3" t="str">
        <f aca="false">IFERROR(__xludf.dummyfunction("if($T221&lt;&gt;"""",VALUE(REGEXEXTRACT(SUBSTITUTE ($T221,N$1&amp;"" CE"",""""), N$1&amp;""[\w &amp;]*, (\d+\.\d+)"")),"""")
"),"")</f>
        <v/>
      </c>
      <c r="O221" s="3" t="str">
        <f aca="false">IFERROR(__xludf.dummyfunction("if($T221&lt;&gt;"""",VALUE(REGEXEXTRACT($T221, O$1&amp;""[\w &amp;]*, (\d+\.\d+)"")),"""")
"),"")</f>
        <v/>
      </c>
      <c r="P221" s="2"/>
      <c r="Q221" s="2"/>
      <c r="R221" s="2"/>
      <c r="S221" s="2"/>
      <c r="T221" s="5"/>
    </row>
    <row r="222" customFormat="false" ht="15.75" hidden="false" customHeight="false" outlineLevel="0" collapsed="false">
      <c r="A222" s="4"/>
      <c r="B222" s="2"/>
      <c r="C222" s="2"/>
      <c r="D222" s="2"/>
      <c r="E222" s="2"/>
      <c r="F222" s="3" t="str">
        <f aca="false">IFERROR(__xludf.dummyfunction("if($T222&lt;&gt;"""",VALUE(REGEXEXTRACT(SUBSTITUTE ($T222,F$1&amp;"" CE"",""""), F$1&amp;""[\w &amp;]*, (\d+\.\d+)"")),"""")
"),"")</f>
        <v/>
      </c>
      <c r="G222" s="3" t="str">
        <f aca="false">IFERROR(__xludf.dummyfunction("if($T222&lt;&gt;"""",VALUE(REGEXEXTRACT($T222, G$1&amp;""[\w &amp;]*, (\d+\.\d+)"")),"""")
"),"")</f>
        <v/>
      </c>
      <c r="H222" s="3"/>
      <c r="I222" s="3" t="str">
        <f aca="false">IFERROR(__xludf.dummyfunction("if($T222&lt;&gt;"""",VALUE(REGEXEXTRACT(SUBSTITUTE ($T222,I$1&amp;"" CE"",""""), I$1&amp;""[\w &amp;]*, (\d+\.\d+)"")),"""")
"),"")</f>
        <v/>
      </c>
      <c r="J222" s="3" t="str">
        <f aca="false">IFERROR(__xludf.dummyfunction("if($T222&lt;&gt;"""",VALUE(REGEXEXTRACT($T222, J$1&amp;""[\w &amp;]*, (\d+\.\d+)"")),"""")
"),"")</f>
        <v/>
      </c>
      <c r="K222" s="3"/>
      <c r="L222" s="3" t="str">
        <f aca="false">IFERROR(__xludf.dummyfunction("if($T222&lt;&gt;"""",VALUE(REGEXEXTRACT(SUBSTITUTE ($T222,L$1&amp;"" CE"",""""), L$1&amp;""[\w &amp;]*, (\d+\.\d+)"")),"""")
"),"")</f>
        <v/>
      </c>
      <c r="M222" s="3" t="str">
        <f aca="false">IFERROR(__xludf.dummyfunction("if($T222&lt;&gt;"""",VALUE(REGEXEXTRACT($T222, M$1&amp;""[\w &amp;]*, (\d+\.\d+)"")),"""")
"),"")</f>
        <v/>
      </c>
      <c r="N222" s="3" t="str">
        <f aca="false">IFERROR(__xludf.dummyfunction("if($T222&lt;&gt;"""",VALUE(REGEXEXTRACT(SUBSTITUTE ($T222,N$1&amp;"" CE"",""""), N$1&amp;""[\w &amp;]*, (\d+\.\d+)"")),"""")
"),"")</f>
        <v/>
      </c>
      <c r="O222" s="3" t="str">
        <f aca="false">IFERROR(__xludf.dummyfunction("if($T222&lt;&gt;"""",VALUE(REGEXEXTRACT($T222, O$1&amp;""[\w &amp;]*, (\d+\.\d+)"")),"""")
"),"")</f>
        <v/>
      </c>
      <c r="P222" s="2"/>
      <c r="Q222" s="2"/>
      <c r="R222" s="2"/>
      <c r="S222" s="2"/>
      <c r="T222" s="5"/>
    </row>
    <row r="223" customFormat="false" ht="15.75" hidden="false" customHeight="false" outlineLevel="0" collapsed="false">
      <c r="A223" s="4"/>
      <c r="B223" s="2"/>
      <c r="C223" s="2"/>
      <c r="D223" s="2"/>
      <c r="E223" s="2"/>
      <c r="F223" s="3" t="str">
        <f aca="false">IFERROR(__xludf.dummyfunction("if($T223&lt;&gt;"""",VALUE(REGEXEXTRACT(SUBSTITUTE ($T223,F$1&amp;"" CE"",""""), F$1&amp;""[\w &amp;]*, (\d+\.\d+)"")),"""")
"),"")</f>
        <v/>
      </c>
      <c r="G223" s="3" t="str">
        <f aca="false">IFERROR(__xludf.dummyfunction("if($T223&lt;&gt;"""",VALUE(REGEXEXTRACT($T223, G$1&amp;""[\w &amp;]*, (\d+\.\d+)"")),"""")
"),"")</f>
        <v/>
      </c>
      <c r="H223" s="3"/>
      <c r="I223" s="3" t="str">
        <f aca="false">IFERROR(__xludf.dummyfunction("if($T223&lt;&gt;"""",VALUE(REGEXEXTRACT(SUBSTITUTE ($T223,I$1&amp;"" CE"",""""), I$1&amp;""[\w &amp;]*, (\d+\.\d+)"")),"""")
"),"")</f>
        <v/>
      </c>
      <c r="J223" s="3" t="str">
        <f aca="false">IFERROR(__xludf.dummyfunction("if($T223&lt;&gt;"""",VALUE(REGEXEXTRACT($T223, J$1&amp;""[\w &amp;]*, (\d+\.\d+)"")),"""")
"),"")</f>
        <v/>
      </c>
      <c r="K223" s="3"/>
      <c r="L223" s="3" t="str">
        <f aca="false">IFERROR(__xludf.dummyfunction("if($T223&lt;&gt;"""",VALUE(REGEXEXTRACT(SUBSTITUTE ($T223,L$1&amp;"" CE"",""""), L$1&amp;""[\w &amp;]*, (\d+\.\d+)"")),"""")
"),"")</f>
        <v/>
      </c>
      <c r="M223" s="3" t="str">
        <f aca="false">IFERROR(__xludf.dummyfunction("if($T223&lt;&gt;"""",VALUE(REGEXEXTRACT($T223, M$1&amp;""[\w &amp;]*, (\d+\.\d+)"")),"""")
"),"")</f>
        <v/>
      </c>
      <c r="N223" s="3" t="str">
        <f aca="false">IFERROR(__xludf.dummyfunction("if($T223&lt;&gt;"""",VALUE(REGEXEXTRACT(SUBSTITUTE ($T223,N$1&amp;"" CE"",""""), N$1&amp;""[\w &amp;]*, (\d+\.\d+)"")),"""")
"),"")</f>
        <v/>
      </c>
      <c r="O223" s="3" t="str">
        <f aca="false">IFERROR(__xludf.dummyfunction("if($T223&lt;&gt;"""",VALUE(REGEXEXTRACT($T223, O$1&amp;""[\w &amp;]*, (\d+\.\d+)"")),"""")
"),"")</f>
        <v/>
      </c>
      <c r="P223" s="2"/>
      <c r="Q223" s="2"/>
      <c r="R223" s="2"/>
      <c r="S223" s="2"/>
      <c r="T223" s="5"/>
    </row>
    <row r="224" customFormat="false" ht="15.75" hidden="false" customHeight="false" outlineLevel="0" collapsed="false">
      <c r="A224" s="4"/>
      <c r="B224" s="2"/>
      <c r="C224" s="2"/>
      <c r="D224" s="2"/>
      <c r="E224" s="2"/>
      <c r="F224" s="3" t="str">
        <f aca="false">IFERROR(__xludf.dummyfunction("if($T224&lt;&gt;"""",VALUE(REGEXEXTRACT(SUBSTITUTE ($T224,F$1&amp;"" CE"",""""), F$1&amp;""[\w &amp;]*, (\d+\.\d+)"")),"""")
"),"")</f>
        <v/>
      </c>
      <c r="G224" s="3" t="str">
        <f aca="false">IFERROR(__xludf.dummyfunction("if($T224&lt;&gt;"""",VALUE(REGEXEXTRACT($T224, G$1&amp;""[\w &amp;]*, (\d+\.\d+)"")),"""")
"),"")</f>
        <v/>
      </c>
      <c r="H224" s="3"/>
      <c r="I224" s="3" t="str">
        <f aca="false">IFERROR(__xludf.dummyfunction("if($T224&lt;&gt;"""",VALUE(REGEXEXTRACT(SUBSTITUTE ($T224,I$1&amp;"" CE"",""""), I$1&amp;""[\w &amp;]*, (\d+\.\d+)"")),"""")
"),"")</f>
        <v/>
      </c>
      <c r="J224" s="3" t="str">
        <f aca="false">IFERROR(__xludf.dummyfunction("if($T224&lt;&gt;"""",VALUE(REGEXEXTRACT($T224, J$1&amp;""[\w &amp;]*, (\d+\.\d+)"")),"""")
"),"")</f>
        <v/>
      </c>
      <c r="K224" s="3"/>
      <c r="L224" s="3" t="str">
        <f aca="false">IFERROR(__xludf.dummyfunction("if($T224&lt;&gt;"""",VALUE(REGEXEXTRACT(SUBSTITUTE ($T224,L$1&amp;"" CE"",""""), L$1&amp;""[\w &amp;]*, (\d+\.\d+)"")),"""")
"),"")</f>
        <v/>
      </c>
      <c r="M224" s="3" t="str">
        <f aca="false">IFERROR(__xludf.dummyfunction("if($T224&lt;&gt;"""",VALUE(REGEXEXTRACT($T224, M$1&amp;""[\w &amp;]*, (\d+\.\d+)"")),"""")
"),"")</f>
        <v/>
      </c>
      <c r="N224" s="3" t="str">
        <f aca="false">IFERROR(__xludf.dummyfunction("if($T224&lt;&gt;"""",VALUE(REGEXEXTRACT(SUBSTITUTE ($T224,N$1&amp;"" CE"",""""), N$1&amp;""[\w &amp;]*, (\d+\.\d+)"")),"""")
"),"")</f>
        <v/>
      </c>
      <c r="O224" s="3" t="str">
        <f aca="false">IFERROR(__xludf.dummyfunction("if($T224&lt;&gt;"""",VALUE(REGEXEXTRACT($T224, O$1&amp;""[\w &amp;]*, (\d+\.\d+)"")),"""")
"),"")</f>
        <v/>
      </c>
      <c r="P224" s="2"/>
      <c r="Q224" s="2"/>
      <c r="R224" s="2"/>
      <c r="S224" s="2"/>
      <c r="T224" s="5"/>
    </row>
    <row r="225" customFormat="false" ht="15.75" hidden="false" customHeight="false" outlineLevel="0" collapsed="false">
      <c r="A225" s="4"/>
      <c r="B225" s="2"/>
      <c r="C225" s="2"/>
      <c r="D225" s="2"/>
      <c r="E225" s="2"/>
      <c r="F225" s="3" t="str">
        <f aca="false">IFERROR(__xludf.dummyfunction("if($T225&lt;&gt;"""",VALUE(REGEXEXTRACT(SUBSTITUTE ($T225,F$1&amp;"" CE"",""""), F$1&amp;""[\w &amp;]*, (\d+\.\d+)"")),"""")
"),"")</f>
        <v/>
      </c>
      <c r="G225" s="3" t="str">
        <f aca="false">IFERROR(__xludf.dummyfunction("if($T225&lt;&gt;"""",VALUE(REGEXEXTRACT($T225, G$1&amp;""[\w &amp;]*, (\d+\.\d+)"")),"""")
"),"")</f>
        <v/>
      </c>
      <c r="H225" s="3"/>
      <c r="I225" s="3" t="str">
        <f aca="false">IFERROR(__xludf.dummyfunction("if($T225&lt;&gt;"""",VALUE(REGEXEXTRACT(SUBSTITUTE ($T225,I$1&amp;"" CE"",""""), I$1&amp;""[\w &amp;]*, (\d+\.\d+)"")),"""")
"),"")</f>
        <v/>
      </c>
      <c r="J225" s="3" t="str">
        <f aca="false">IFERROR(__xludf.dummyfunction("if($T225&lt;&gt;"""",VALUE(REGEXEXTRACT($T225, J$1&amp;""[\w &amp;]*, (\d+\.\d+)"")),"""")
"),"")</f>
        <v/>
      </c>
      <c r="K225" s="3"/>
      <c r="L225" s="3" t="str">
        <f aca="false">IFERROR(__xludf.dummyfunction("if($T225&lt;&gt;"""",VALUE(REGEXEXTRACT(SUBSTITUTE ($T225,L$1&amp;"" CE"",""""), L$1&amp;""[\w &amp;]*, (\d+\.\d+)"")),"""")
"),"")</f>
        <v/>
      </c>
      <c r="M225" s="3" t="str">
        <f aca="false">IFERROR(__xludf.dummyfunction("if($T225&lt;&gt;"""",VALUE(REGEXEXTRACT($T225, M$1&amp;""[\w &amp;]*, (\d+\.\d+)"")),"""")
"),"")</f>
        <v/>
      </c>
      <c r="N225" s="3" t="str">
        <f aca="false">IFERROR(__xludf.dummyfunction("if($T225&lt;&gt;"""",VALUE(REGEXEXTRACT(SUBSTITUTE ($T225,N$1&amp;"" CE"",""""), N$1&amp;""[\w &amp;]*, (\d+\.\d+)"")),"""")
"),"")</f>
        <v/>
      </c>
      <c r="O225" s="3" t="str">
        <f aca="false">IFERROR(__xludf.dummyfunction("if($T225&lt;&gt;"""",VALUE(REGEXEXTRACT($T225, O$1&amp;""[\w &amp;]*, (\d+\.\d+)"")),"""")
"),"")</f>
        <v/>
      </c>
      <c r="P225" s="2"/>
      <c r="Q225" s="2"/>
      <c r="R225" s="2"/>
      <c r="S225" s="2"/>
      <c r="T225" s="5"/>
    </row>
    <row r="226" customFormat="false" ht="15.75" hidden="false" customHeight="false" outlineLevel="0" collapsed="false">
      <c r="A226" s="4"/>
      <c r="B226" s="2"/>
      <c r="C226" s="2"/>
      <c r="D226" s="2"/>
      <c r="E226" s="2"/>
      <c r="F226" s="3" t="str">
        <f aca="false">IFERROR(__xludf.dummyfunction("if($T226&lt;&gt;"""",VALUE(REGEXEXTRACT(SUBSTITUTE ($T226,F$1&amp;"" CE"",""""), F$1&amp;""[\w &amp;]*, (\d+\.\d+)"")),"""")
"),"")</f>
        <v/>
      </c>
      <c r="G226" s="3" t="str">
        <f aca="false">IFERROR(__xludf.dummyfunction("if($T226&lt;&gt;"""",VALUE(REGEXEXTRACT($T226, G$1&amp;""[\w &amp;]*, (\d+\.\d+)"")),"""")
"),"")</f>
        <v/>
      </c>
      <c r="H226" s="3"/>
      <c r="I226" s="3" t="str">
        <f aca="false">IFERROR(__xludf.dummyfunction("if($T226&lt;&gt;"""",VALUE(REGEXEXTRACT(SUBSTITUTE ($T226,I$1&amp;"" CE"",""""), I$1&amp;""[\w &amp;]*, (\d+\.\d+)"")),"""")
"),"")</f>
        <v/>
      </c>
      <c r="J226" s="3" t="str">
        <f aca="false">IFERROR(__xludf.dummyfunction("if($T226&lt;&gt;"""",VALUE(REGEXEXTRACT($T226, J$1&amp;""[\w &amp;]*, (\d+\.\d+)"")),"""")
"),"")</f>
        <v/>
      </c>
      <c r="K226" s="3"/>
      <c r="L226" s="3" t="str">
        <f aca="false">IFERROR(__xludf.dummyfunction("if($T226&lt;&gt;"""",VALUE(REGEXEXTRACT(SUBSTITUTE ($T226,L$1&amp;"" CE"",""""), L$1&amp;""[\w &amp;]*, (\d+\.\d+)"")),"""")
"),"")</f>
        <v/>
      </c>
      <c r="M226" s="3" t="str">
        <f aca="false">IFERROR(__xludf.dummyfunction("if($T226&lt;&gt;"""",VALUE(REGEXEXTRACT($T226, M$1&amp;""[\w &amp;]*, (\d+\.\d+)"")),"""")
"),"")</f>
        <v/>
      </c>
      <c r="N226" s="3" t="str">
        <f aca="false">IFERROR(__xludf.dummyfunction("if($T226&lt;&gt;"""",VALUE(REGEXEXTRACT(SUBSTITUTE ($T226,N$1&amp;"" CE"",""""), N$1&amp;""[\w &amp;]*, (\d+\.\d+)"")),"""")
"),"")</f>
        <v/>
      </c>
      <c r="O226" s="3" t="str">
        <f aca="false">IFERROR(__xludf.dummyfunction("if($T226&lt;&gt;"""",VALUE(REGEXEXTRACT($T226, O$1&amp;""[\w &amp;]*, (\d+\.\d+)"")),"""")
"),"")</f>
        <v/>
      </c>
      <c r="P226" s="2"/>
      <c r="Q226" s="2"/>
      <c r="R226" s="2"/>
      <c r="S226" s="2"/>
      <c r="T226" s="5"/>
    </row>
    <row r="227" customFormat="false" ht="15.75" hidden="false" customHeight="false" outlineLevel="0" collapsed="false">
      <c r="A227" s="4"/>
      <c r="B227" s="2"/>
      <c r="C227" s="2"/>
      <c r="D227" s="2"/>
      <c r="E227" s="2"/>
      <c r="F227" s="3" t="str">
        <f aca="false">IFERROR(__xludf.dummyfunction("if($T227&lt;&gt;"""",VALUE(REGEXEXTRACT(SUBSTITUTE ($T227,F$1&amp;"" CE"",""""), F$1&amp;""[\w &amp;]*, (\d+\.\d+)"")),"""")
"),"")</f>
        <v/>
      </c>
      <c r="G227" s="3" t="str">
        <f aca="false">IFERROR(__xludf.dummyfunction("if($T227&lt;&gt;"""",VALUE(REGEXEXTRACT($T227, G$1&amp;""[\w &amp;]*, (\d+\.\d+)"")),"""")
"),"")</f>
        <v/>
      </c>
      <c r="H227" s="3"/>
      <c r="I227" s="3" t="str">
        <f aca="false">IFERROR(__xludf.dummyfunction("if($T227&lt;&gt;"""",VALUE(REGEXEXTRACT(SUBSTITUTE ($T227,I$1&amp;"" CE"",""""), I$1&amp;""[\w &amp;]*, (\d+\.\d+)"")),"""")
"),"")</f>
        <v/>
      </c>
      <c r="J227" s="3" t="str">
        <f aca="false">IFERROR(__xludf.dummyfunction("if($T227&lt;&gt;"""",VALUE(REGEXEXTRACT($T227, J$1&amp;""[\w &amp;]*, (\d+\.\d+)"")),"""")
"),"")</f>
        <v/>
      </c>
      <c r="K227" s="3"/>
      <c r="L227" s="3" t="str">
        <f aca="false">IFERROR(__xludf.dummyfunction("if($T227&lt;&gt;"""",VALUE(REGEXEXTRACT(SUBSTITUTE ($T227,L$1&amp;"" CE"",""""), L$1&amp;""[\w &amp;]*, (\d+\.\d+)"")),"""")
"),"")</f>
        <v/>
      </c>
      <c r="M227" s="3" t="str">
        <f aca="false">IFERROR(__xludf.dummyfunction("if($T227&lt;&gt;"""",VALUE(REGEXEXTRACT($T227, M$1&amp;""[\w &amp;]*, (\d+\.\d+)"")),"""")
"),"")</f>
        <v/>
      </c>
      <c r="N227" s="3" t="str">
        <f aca="false">IFERROR(__xludf.dummyfunction("if($T227&lt;&gt;"""",VALUE(REGEXEXTRACT(SUBSTITUTE ($T227,N$1&amp;"" CE"",""""), N$1&amp;""[\w &amp;]*, (\d+\.\d+)"")),"""")
"),"")</f>
        <v/>
      </c>
      <c r="O227" s="3" t="str">
        <f aca="false">IFERROR(__xludf.dummyfunction("if($T227&lt;&gt;"""",VALUE(REGEXEXTRACT($T227, O$1&amp;""[\w &amp;]*, (\d+\.\d+)"")),"""")
"),"")</f>
        <v/>
      </c>
      <c r="P227" s="2"/>
      <c r="Q227" s="2"/>
      <c r="R227" s="2"/>
      <c r="S227" s="2"/>
      <c r="T227" s="5"/>
    </row>
    <row r="228" customFormat="false" ht="15.75" hidden="false" customHeight="false" outlineLevel="0" collapsed="false">
      <c r="A228" s="4"/>
      <c r="B228" s="2"/>
      <c r="C228" s="2"/>
      <c r="D228" s="2"/>
      <c r="E228" s="2"/>
      <c r="F228" s="3" t="str">
        <f aca="false">IFERROR(__xludf.dummyfunction("if($T228&lt;&gt;"""",VALUE(REGEXEXTRACT(SUBSTITUTE ($T228,F$1&amp;"" CE"",""""), F$1&amp;""[\w &amp;]*, (\d+\.\d+)"")),"""")
"),"")</f>
        <v/>
      </c>
      <c r="G228" s="3" t="str">
        <f aca="false">IFERROR(__xludf.dummyfunction("if($T228&lt;&gt;"""",VALUE(REGEXEXTRACT($T228, G$1&amp;""[\w &amp;]*, (\d+\.\d+)"")),"""")
"),"")</f>
        <v/>
      </c>
      <c r="H228" s="3"/>
      <c r="I228" s="3" t="str">
        <f aca="false">IFERROR(__xludf.dummyfunction("if($T228&lt;&gt;"""",VALUE(REGEXEXTRACT(SUBSTITUTE ($T228,I$1&amp;"" CE"",""""), I$1&amp;""[\w &amp;]*, (\d+\.\d+)"")),"""")
"),"")</f>
        <v/>
      </c>
      <c r="J228" s="3" t="str">
        <f aca="false">IFERROR(__xludf.dummyfunction("if($T228&lt;&gt;"""",VALUE(REGEXEXTRACT($T228, J$1&amp;""[\w &amp;]*, (\d+\.\d+)"")),"""")
"),"")</f>
        <v/>
      </c>
      <c r="K228" s="3"/>
      <c r="L228" s="3" t="str">
        <f aca="false">IFERROR(__xludf.dummyfunction("if($T228&lt;&gt;"""",VALUE(REGEXEXTRACT(SUBSTITUTE ($T228,L$1&amp;"" CE"",""""), L$1&amp;""[\w &amp;]*, (\d+\.\d+)"")),"""")
"),"")</f>
        <v/>
      </c>
      <c r="M228" s="3" t="str">
        <f aca="false">IFERROR(__xludf.dummyfunction("if($T228&lt;&gt;"""",VALUE(REGEXEXTRACT($T228, M$1&amp;""[\w &amp;]*, (\d+\.\d+)"")),"""")
"),"")</f>
        <v/>
      </c>
      <c r="N228" s="3" t="str">
        <f aca="false">IFERROR(__xludf.dummyfunction("if($T228&lt;&gt;"""",VALUE(REGEXEXTRACT(SUBSTITUTE ($T228,N$1&amp;"" CE"",""""), N$1&amp;""[\w &amp;]*, (\d+\.\d+)"")),"""")
"),"")</f>
        <v/>
      </c>
      <c r="O228" s="3" t="str">
        <f aca="false">IFERROR(__xludf.dummyfunction("if($T228&lt;&gt;"""",VALUE(REGEXEXTRACT($T228, O$1&amp;""[\w &amp;]*, (\d+\.\d+)"")),"""")
"),"")</f>
        <v/>
      </c>
      <c r="P228" s="2"/>
      <c r="Q228" s="2"/>
      <c r="R228" s="2"/>
      <c r="S228" s="2"/>
      <c r="T228" s="5"/>
    </row>
    <row r="229" customFormat="false" ht="15.75" hidden="false" customHeight="false" outlineLevel="0" collapsed="false">
      <c r="A229" s="4"/>
      <c r="B229" s="2"/>
      <c r="C229" s="2"/>
      <c r="D229" s="2"/>
      <c r="E229" s="2"/>
      <c r="F229" s="3" t="str">
        <f aca="false">IFERROR(__xludf.dummyfunction("if($T229&lt;&gt;"""",VALUE(REGEXEXTRACT(SUBSTITUTE ($T229,F$1&amp;"" CE"",""""), F$1&amp;""[\w &amp;]*, (\d+\.\d+)"")),"""")
"),"")</f>
        <v/>
      </c>
      <c r="G229" s="3" t="str">
        <f aca="false">IFERROR(__xludf.dummyfunction("if($T229&lt;&gt;"""",VALUE(REGEXEXTRACT($T229, G$1&amp;""[\w &amp;]*, (\d+\.\d+)"")),"""")
"),"")</f>
        <v/>
      </c>
      <c r="H229" s="3"/>
      <c r="I229" s="3" t="str">
        <f aca="false">IFERROR(__xludf.dummyfunction("if($T229&lt;&gt;"""",VALUE(REGEXEXTRACT(SUBSTITUTE ($T229,I$1&amp;"" CE"",""""), I$1&amp;""[\w &amp;]*, (\d+\.\d+)"")),"""")
"),"")</f>
        <v/>
      </c>
      <c r="J229" s="3" t="str">
        <f aca="false">IFERROR(__xludf.dummyfunction("if($T229&lt;&gt;"""",VALUE(REGEXEXTRACT($T229, J$1&amp;""[\w &amp;]*, (\d+\.\d+)"")),"""")
"),"")</f>
        <v/>
      </c>
      <c r="K229" s="3"/>
      <c r="L229" s="3" t="str">
        <f aca="false">IFERROR(__xludf.dummyfunction("if($T229&lt;&gt;"""",VALUE(REGEXEXTRACT(SUBSTITUTE ($T229,L$1&amp;"" CE"",""""), L$1&amp;""[\w &amp;]*, (\d+\.\d+)"")),"""")
"),"")</f>
        <v/>
      </c>
      <c r="M229" s="3" t="str">
        <f aca="false">IFERROR(__xludf.dummyfunction("if($T229&lt;&gt;"""",VALUE(REGEXEXTRACT($T229, M$1&amp;""[\w &amp;]*, (\d+\.\d+)"")),"""")
"),"")</f>
        <v/>
      </c>
      <c r="N229" s="3" t="str">
        <f aca="false">IFERROR(__xludf.dummyfunction("if($T229&lt;&gt;"""",VALUE(REGEXEXTRACT(SUBSTITUTE ($T229,N$1&amp;"" CE"",""""), N$1&amp;""[\w &amp;]*, (\d+\.\d+)"")),"""")
"),"")</f>
        <v/>
      </c>
      <c r="O229" s="3" t="str">
        <f aca="false">IFERROR(__xludf.dummyfunction("if($T229&lt;&gt;"""",VALUE(REGEXEXTRACT($T229, O$1&amp;""[\w &amp;]*, (\d+\.\d+)"")),"""")
"),"")</f>
        <v/>
      </c>
      <c r="P229" s="2"/>
      <c r="Q229" s="2"/>
      <c r="R229" s="2"/>
      <c r="S229" s="2"/>
      <c r="T229" s="5"/>
    </row>
    <row r="230" customFormat="false" ht="15.75" hidden="false" customHeight="false" outlineLevel="0" collapsed="false">
      <c r="A230" s="4"/>
      <c r="B230" s="2"/>
      <c r="C230" s="2"/>
      <c r="D230" s="2"/>
      <c r="E230" s="2"/>
      <c r="F230" s="3" t="str">
        <f aca="false">IFERROR(__xludf.dummyfunction("if($T230&lt;&gt;"""",VALUE(REGEXEXTRACT(SUBSTITUTE ($T230,F$1&amp;"" CE"",""""), F$1&amp;""[\w &amp;]*, (\d+\.\d+)"")),"""")
"),"")</f>
        <v/>
      </c>
      <c r="G230" s="3" t="str">
        <f aca="false">IFERROR(__xludf.dummyfunction("if($T230&lt;&gt;"""",VALUE(REGEXEXTRACT($T230, G$1&amp;""[\w &amp;]*, (\d+\.\d+)"")),"""")
"),"")</f>
        <v/>
      </c>
      <c r="H230" s="3"/>
      <c r="I230" s="3" t="str">
        <f aca="false">IFERROR(__xludf.dummyfunction("if($T230&lt;&gt;"""",VALUE(REGEXEXTRACT(SUBSTITUTE ($T230,I$1&amp;"" CE"",""""), I$1&amp;""[\w &amp;]*, (\d+\.\d+)"")),"""")
"),"")</f>
        <v/>
      </c>
      <c r="J230" s="3" t="str">
        <f aca="false">IFERROR(__xludf.dummyfunction("if($T230&lt;&gt;"""",VALUE(REGEXEXTRACT($T230, J$1&amp;""[\w &amp;]*, (\d+\.\d+)"")),"""")
"),"")</f>
        <v/>
      </c>
      <c r="K230" s="3"/>
      <c r="L230" s="3" t="str">
        <f aca="false">IFERROR(__xludf.dummyfunction("if($T230&lt;&gt;"""",VALUE(REGEXEXTRACT(SUBSTITUTE ($T230,L$1&amp;"" CE"",""""), L$1&amp;""[\w &amp;]*, (\d+\.\d+)"")),"""")
"),"")</f>
        <v/>
      </c>
      <c r="M230" s="3" t="str">
        <f aca="false">IFERROR(__xludf.dummyfunction("if($T230&lt;&gt;"""",VALUE(REGEXEXTRACT($T230, M$1&amp;""[\w &amp;]*, (\d+\.\d+)"")),"""")
"),"")</f>
        <v/>
      </c>
      <c r="N230" s="3" t="str">
        <f aca="false">IFERROR(__xludf.dummyfunction("if($T230&lt;&gt;"""",VALUE(REGEXEXTRACT(SUBSTITUTE ($T230,N$1&amp;"" CE"",""""), N$1&amp;""[\w &amp;]*, (\d+\.\d+)"")),"""")
"),"")</f>
        <v/>
      </c>
      <c r="O230" s="3" t="str">
        <f aca="false">IFERROR(__xludf.dummyfunction("if($T230&lt;&gt;"""",VALUE(REGEXEXTRACT($T230, O$1&amp;""[\w &amp;]*, (\d+\.\d+)"")),"""")
"),"")</f>
        <v/>
      </c>
      <c r="P230" s="2"/>
      <c r="Q230" s="2"/>
      <c r="R230" s="2"/>
      <c r="S230" s="2"/>
      <c r="T230" s="5"/>
    </row>
    <row r="231" customFormat="false" ht="15.75" hidden="false" customHeight="false" outlineLevel="0" collapsed="false">
      <c r="A231" s="4"/>
      <c r="B231" s="2"/>
      <c r="C231" s="2"/>
      <c r="D231" s="2"/>
      <c r="E231" s="2"/>
      <c r="F231" s="3" t="str">
        <f aca="false">IFERROR(__xludf.dummyfunction("if($T231&lt;&gt;"""",VALUE(REGEXEXTRACT(SUBSTITUTE ($T231,F$1&amp;"" CE"",""""), F$1&amp;""[\w &amp;]*, (\d+\.\d+)"")),"""")
"),"")</f>
        <v/>
      </c>
      <c r="G231" s="3" t="str">
        <f aca="false">IFERROR(__xludf.dummyfunction("if($T231&lt;&gt;"""",VALUE(REGEXEXTRACT($T231, G$1&amp;""[\w &amp;]*, (\d+\.\d+)"")),"""")
"),"")</f>
        <v/>
      </c>
      <c r="H231" s="3"/>
      <c r="I231" s="3" t="str">
        <f aca="false">IFERROR(__xludf.dummyfunction("if($T231&lt;&gt;"""",VALUE(REGEXEXTRACT(SUBSTITUTE ($T231,I$1&amp;"" CE"",""""), I$1&amp;""[\w &amp;]*, (\d+\.\d+)"")),"""")
"),"")</f>
        <v/>
      </c>
      <c r="J231" s="3" t="str">
        <f aca="false">IFERROR(__xludf.dummyfunction("if($T231&lt;&gt;"""",VALUE(REGEXEXTRACT($T231, J$1&amp;""[\w &amp;]*, (\d+\.\d+)"")),"""")
"),"")</f>
        <v/>
      </c>
      <c r="K231" s="3"/>
      <c r="L231" s="3" t="str">
        <f aca="false">IFERROR(__xludf.dummyfunction("if($T231&lt;&gt;"""",VALUE(REGEXEXTRACT(SUBSTITUTE ($T231,L$1&amp;"" CE"",""""), L$1&amp;""[\w &amp;]*, (\d+\.\d+)"")),"""")
"),"")</f>
        <v/>
      </c>
      <c r="M231" s="3" t="str">
        <f aca="false">IFERROR(__xludf.dummyfunction("if($T231&lt;&gt;"""",VALUE(REGEXEXTRACT($T231, M$1&amp;""[\w &amp;]*, (\d+\.\d+)"")),"""")
"),"")</f>
        <v/>
      </c>
      <c r="N231" s="3" t="str">
        <f aca="false">IFERROR(__xludf.dummyfunction("if($T231&lt;&gt;"""",VALUE(REGEXEXTRACT(SUBSTITUTE ($T231,N$1&amp;"" CE"",""""), N$1&amp;""[\w &amp;]*, (\d+\.\d+)"")),"""")
"),"")</f>
        <v/>
      </c>
      <c r="O231" s="3" t="str">
        <f aca="false">IFERROR(__xludf.dummyfunction("if($T231&lt;&gt;"""",VALUE(REGEXEXTRACT($T231, O$1&amp;""[\w &amp;]*, (\d+\.\d+)"")),"""")
"),"")</f>
        <v/>
      </c>
      <c r="P231" s="2"/>
      <c r="Q231" s="2"/>
      <c r="R231" s="2"/>
      <c r="S231" s="2"/>
      <c r="T231" s="5"/>
    </row>
    <row r="232" customFormat="false" ht="15.75" hidden="false" customHeight="false" outlineLevel="0" collapsed="false">
      <c r="A232" s="4"/>
      <c r="B232" s="2"/>
      <c r="C232" s="2"/>
      <c r="D232" s="2"/>
      <c r="E232" s="2"/>
      <c r="F232" s="3" t="str">
        <f aca="false">IFERROR(__xludf.dummyfunction("if($T232&lt;&gt;"""",VALUE(REGEXEXTRACT(SUBSTITUTE ($T232,F$1&amp;"" CE"",""""), F$1&amp;""[\w &amp;]*, (\d+\.\d+)"")),"""")
"),"")</f>
        <v/>
      </c>
      <c r="G232" s="3" t="str">
        <f aca="false">IFERROR(__xludf.dummyfunction("if($T232&lt;&gt;"""",VALUE(REGEXEXTRACT($T232, G$1&amp;""[\w &amp;]*, (\d+\.\d+)"")),"""")
"),"")</f>
        <v/>
      </c>
      <c r="H232" s="3"/>
      <c r="I232" s="3" t="str">
        <f aca="false">IFERROR(__xludf.dummyfunction("if($T232&lt;&gt;"""",VALUE(REGEXEXTRACT(SUBSTITUTE ($T232,I$1&amp;"" CE"",""""), I$1&amp;""[\w &amp;]*, (\d+\.\d+)"")),"""")
"),"")</f>
        <v/>
      </c>
      <c r="J232" s="3" t="str">
        <f aca="false">IFERROR(__xludf.dummyfunction("if($T232&lt;&gt;"""",VALUE(REGEXEXTRACT($T232, J$1&amp;""[\w &amp;]*, (\d+\.\d+)"")),"""")
"),"")</f>
        <v/>
      </c>
      <c r="K232" s="3"/>
      <c r="L232" s="3" t="str">
        <f aca="false">IFERROR(__xludf.dummyfunction("if($T232&lt;&gt;"""",VALUE(REGEXEXTRACT(SUBSTITUTE ($T232,L$1&amp;"" CE"",""""), L$1&amp;""[\w &amp;]*, (\d+\.\d+)"")),"""")
"),"")</f>
        <v/>
      </c>
      <c r="M232" s="3" t="str">
        <f aca="false">IFERROR(__xludf.dummyfunction("if($T232&lt;&gt;"""",VALUE(REGEXEXTRACT($T232, M$1&amp;""[\w &amp;]*, (\d+\.\d+)"")),"""")
"),"")</f>
        <v/>
      </c>
      <c r="N232" s="3" t="str">
        <f aca="false">IFERROR(__xludf.dummyfunction("if($T232&lt;&gt;"""",VALUE(REGEXEXTRACT(SUBSTITUTE ($T232,N$1&amp;"" CE"",""""), N$1&amp;""[\w &amp;]*, (\d+\.\d+)"")),"""")
"),"")</f>
        <v/>
      </c>
      <c r="O232" s="3" t="str">
        <f aca="false">IFERROR(__xludf.dummyfunction("if($T232&lt;&gt;"""",VALUE(REGEXEXTRACT($T232, O$1&amp;""[\w &amp;]*, (\d+\.\d+)"")),"""")
"),"")</f>
        <v/>
      </c>
      <c r="P232" s="2"/>
      <c r="Q232" s="2"/>
      <c r="R232" s="2"/>
      <c r="S232" s="2"/>
      <c r="T232" s="5"/>
    </row>
    <row r="233" customFormat="false" ht="15.75" hidden="false" customHeight="false" outlineLevel="0" collapsed="false">
      <c r="A233" s="4"/>
      <c r="B233" s="2"/>
      <c r="C233" s="2"/>
      <c r="D233" s="2"/>
      <c r="E233" s="2"/>
      <c r="F233" s="3" t="str">
        <f aca="false">IFERROR(__xludf.dummyfunction("if($T233&lt;&gt;"""",VALUE(REGEXEXTRACT(SUBSTITUTE ($T233,F$1&amp;"" CE"",""""), F$1&amp;""[\w &amp;]*, (\d+\.\d+)"")),"""")
"),"")</f>
        <v/>
      </c>
      <c r="G233" s="3" t="str">
        <f aca="false">IFERROR(__xludf.dummyfunction("if($T233&lt;&gt;"""",VALUE(REGEXEXTRACT($T233, G$1&amp;""[\w &amp;]*, (\d+\.\d+)"")),"""")
"),"")</f>
        <v/>
      </c>
      <c r="H233" s="3"/>
      <c r="I233" s="3" t="str">
        <f aca="false">IFERROR(__xludf.dummyfunction("if($T233&lt;&gt;"""",VALUE(REGEXEXTRACT(SUBSTITUTE ($T233,I$1&amp;"" CE"",""""), I$1&amp;""[\w &amp;]*, (\d+\.\d+)"")),"""")
"),"")</f>
        <v/>
      </c>
      <c r="J233" s="3" t="str">
        <f aca="false">IFERROR(__xludf.dummyfunction("if($T233&lt;&gt;"""",VALUE(REGEXEXTRACT($T233, J$1&amp;""[\w &amp;]*, (\d+\.\d+)"")),"""")
"),"")</f>
        <v/>
      </c>
      <c r="K233" s="3"/>
      <c r="L233" s="3" t="str">
        <f aca="false">IFERROR(__xludf.dummyfunction("if($T233&lt;&gt;"""",VALUE(REGEXEXTRACT(SUBSTITUTE ($T233,L$1&amp;"" CE"",""""), L$1&amp;""[\w &amp;]*, (\d+\.\d+)"")),"""")
"),"")</f>
        <v/>
      </c>
      <c r="M233" s="3" t="str">
        <f aca="false">IFERROR(__xludf.dummyfunction("if($T233&lt;&gt;"""",VALUE(REGEXEXTRACT($T233, M$1&amp;""[\w &amp;]*, (\d+\.\d+)"")),"""")
"),"")</f>
        <v/>
      </c>
      <c r="N233" s="3" t="str">
        <f aca="false">IFERROR(__xludf.dummyfunction("if($T233&lt;&gt;"""",VALUE(REGEXEXTRACT(SUBSTITUTE ($T233,N$1&amp;"" CE"",""""), N$1&amp;""[\w &amp;]*, (\d+\.\d+)"")),"""")
"),"")</f>
        <v/>
      </c>
      <c r="O233" s="3" t="str">
        <f aca="false">IFERROR(__xludf.dummyfunction("if($T233&lt;&gt;"""",VALUE(REGEXEXTRACT($T233, O$1&amp;""[\w &amp;]*, (\d+\.\d+)"")),"""")
"),"")</f>
        <v/>
      </c>
      <c r="P233" s="2"/>
      <c r="Q233" s="2"/>
      <c r="R233" s="2"/>
      <c r="S233" s="2"/>
      <c r="T233" s="5"/>
    </row>
    <row r="234" customFormat="false" ht="15.75" hidden="false" customHeight="false" outlineLevel="0" collapsed="false">
      <c r="A234" s="4"/>
      <c r="B234" s="2"/>
      <c r="C234" s="2"/>
      <c r="D234" s="2"/>
      <c r="E234" s="2"/>
      <c r="F234" s="3" t="str">
        <f aca="false">IFERROR(__xludf.dummyfunction("if($T234&lt;&gt;"""",VALUE(REGEXEXTRACT(SUBSTITUTE ($T234,F$1&amp;"" CE"",""""), F$1&amp;""[\w &amp;]*, (\d+\.\d+)"")),"""")
"),"")</f>
        <v/>
      </c>
      <c r="G234" s="3" t="str">
        <f aca="false">IFERROR(__xludf.dummyfunction("if($T234&lt;&gt;"""",VALUE(REGEXEXTRACT($T234, G$1&amp;""[\w &amp;]*, (\d+\.\d+)"")),"""")
"),"")</f>
        <v/>
      </c>
      <c r="H234" s="3"/>
      <c r="I234" s="3" t="str">
        <f aca="false">IFERROR(__xludf.dummyfunction("if($T234&lt;&gt;"""",VALUE(REGEXEXTRACT(SUBSTITUTE ($T234,I$1&amp;"" CE"",""""), I$1&amp;""[\w &amp;]*, (\d+\.\d+)"")),"""")
"),"")</f>
        <v/>
      </c>
      <c r="J234" s="3" t="str">
        <f aca="false">IFERROR(__xludf.dummyfunction("if($T234&lt;&gt;"""",VALUE(REGEXEXTRACT($T234, J$1&amp;""[\w &amp;]*, (\d+\.\d+)"")),"""")
"),"")</f>
        <v/>
      </c>
      <c r="K234" s="3"/>
      <c r="L234" s="3" t="str">
        <f aca="false">IFERROR(__xludf.dummyfunction("if($T234&lt;&gt;"""",VALUE(REGEXEXTRACT(SUBSTITUTE ($T234,L$1&amp;"" CE"",""""), L$1&amp;""[\w &amp;]*, (\d+\.\d+)"")),"""")
"),"")</f>
        <v/>
      </c>
      <c r="M234" s="3" t="str">
        <f aca="false">IFERROR(__xludf.dummyfunction("if($T234&lt;&gt;"""",VALUE(REGEXEXTRACT($T234, M$1&amp;""[\w &amp;]*, (\d+\.\d+)"")),"""")
"),"")</f>
        <v/>
      </c>
      <c r="N234" s="3" t="str">
        <f aca="false">IFERROR(__xludf.dummyfunction("if($T234&lt;&gt;"""",VALUE(REGEXEXTRACT(SUBSTITUTE ($T234,N$1&amp;"" CE"",""""), N$1&amp;""[\w &amp;]*, (\d+\.\d+)"")),"""")
"),"")</f>
        <v/>
      </c>
      <c r="O234" s="3" t="str">
        <f aca="false">IFERROR(__xludf.dummyfunction("if($T234&lt;&gt;"""",VALUE(REGEXEXTRACT($T234, O$1&amp;""[\w &amp;]*, (\d+\.\d+)"")),"""")
"),"")</f>
        <v/>
      </c>
      <c r="P234" s="2"/>
      <c r="Q234" s="2"/>
      <c r="R234" s="2"/>
      <c r="S234" s="2"/>
      <c r="T234" s="5"/>
    </row>
    <row r="235" customFormat="false" ht="15.75" hidden="false" customHeight="false" outlineLevel="0" collapsed="false">
      <c r="A235" s="4"/>
      <c r="B235" s="2"/>
      <c r="C235" s="2"/>
      <c r="D235" s="2"/>
      <c r="E235" s="2"/>
      <c r="F235" s="3" t="str">
        <f aca="false">IFERROR(__xludf.dummyfunction("if($T235&lt;&gt;"""",VALUE(REGEXEXTRACT(SUBSTITUTE ($T235,F$1&amp;"" CE"",""""), F$1&amp;""[\w &amp;]*, (\d+\.\d+)"")),"""")
"),"")</f>
        <v/>
      </c>
      <c r="G235" s="3" t="str">
        <f aca="false">IFERROR(__xludf.dummyfunction("if($T235&lt;&gt;"""",VALUE(REGEXEXTRACT($T235, G$1&amp;""[\w &amp;]*, (\d+\.\d+)"")),"""")
"),"")</f>
        <v/>
      </c>
      <c r="H235" s="3"/>
      <c r="I235" s="3" t="str">
        <f aca="false">IFERROR(__xludf.dummyfunction("if($T235&lt;&gt;"""",VALUE(REGEXEXTRACT(SUBSTITUTE ($T235,I$1&amp;"" CE"",""""), I$1&amp;""[\w &amp;]*, (\d+\.\d+)"")),"""")
"),"")</f>
        <v/>
      </c>
      <c r="J235" s="3" t="str">
        <f aca="false">IFERROR(__xludf.dummyfunction("if($T235&lt;&gt;"""",VALUE(REGEXEXTRACT($T235, J$1&amp;""[\w &amp;]*, (\d+\.\d+)"")),"""")
"),"")</f>
        <v/>
      </c>
      <c r="K235" s="3"/>
      <c r="L235" s="3" t="str">
        <f aca="false">IFERROR(__xludf.dummyfunction("if($T235&lt;&gt;"""",VALUE(REGEXEXTRACT(SUBSTITUTE ($T235,L$1&amp;"" CE"",""""), L$1&amp;""[\w &amp;]*, (\d+\.\d+)"")),"""")
"),"")</f>
        <v/>
      </c>
      <c r="M235" s="3" t="str">
        <f aca="false">IFERROR(__xludf.dummyfunction("if($T235&lt;&gt;"""",VALUE(REGEXEXTRACT($T235, M$1&amp;""[\w &amp;]*, (\d+\.\d+)"")),"""")
"),"")</f>
        <v/>
      </c>
      <c r="N235" s="3" t="str">
        <f aca="false">IFERROR(__xludf.dummyfunction("if($T235&lt;&gt;"""",VALUE(REGEXEXTRACT(SUBSTITUTE ($T235,N$1&amp;"" CE"",""""), N$1&amp;""[\w &amp;]*, (\d+\.\d+)"")),"""")
"),"")</f>
        <v/>
      </c>
      <c r="O235" s="3" t="str">
        <f aca="false">IFERROR(__xludf.dummyfunction("if($T235&lt;&gt;"""",VALUE(REGEXEXTRACT($T235, O$1&amp;""[\w &amp;]*, (\d+\.\d+)"")),"""")
"),"")</f>
        <v/>
      </c>
      <c r="P235" s="2"/>
      <c r="Q235" s="2"/>
      <c r="R235" s="2"/>
      <c r="S235" s="2"/>
      <c r="T235" s="5"/>
    </row>
    <row r="236" customFormat="false" ht="15.75" hidden="false" customHeight="false" outlineLevel="0" collapsed="false">
      <c r="A236" s="4"/>
      <c r="B236" s="2"/>
      <c r="C236" s="2"/>
      <c r="D236" s="2"/>
      <c r="E236" s="2"/>
      <c r="F236" s="3" t="str">
        <f aca="false">IFERROR(__xludf.dummyfunction("if($T236&lt;&gt;"""",VALUE(REGEXEXTRACT(SUBSTITUTE ($T236,F$1&amp;"" CE"",""""), F$1&amp;""[\w &amp;]*, (\d+\.\d+)"")),"""")
"),"")</f>
        <v/>
      </c>
      <c r="G236" s="3" t="str">
        <f aca="false">IFERROR(__xludf.dummyfunction("if($T236&lt;&gt;"""",VALUE(REGEXEXTRACT($T236, G$1&amp;""[\w &amp;]*, (\d+\.\d+)"")),"""")
"),"")</f>
        <v/>
      </c>
      <c r="H236" s="3"/>
      <c r="I236" s="3" t="str">
        <f aca="false">IFERROR(__xludf.dummyfunction("if($T236&lt;&gt;"""",VALUE(REGEXEXTRACT(SUBSTITUTE ($T236,I$1&amp;"" CE"",""""), I$1&amp;""[\w &amp;]*, (\d+\.\d+)"")),"""")
"),"")</f>
        <v/>
      </c>
      <c r="J236" s="3" t="str">
        <f aca="false">IFERROR(__xludf.dummyfunction("if($T236&lt;&gt;"""",VALUE(REGEXEXTRACT($T236, J$1&amp;""[\w &amp;]*, (\d+\.\d+)"")),"""")
"),"")</f>
        <v/>
      </c>
      <c r="K236" s="3"/>
      <c r="L236" s="3" t="str">
        <f aca="false">IFERROR(__xludf.dummyfunction("if($T236&lt;&gt;"""",VALUE(REGEXEXTRACT(SUBSTITUTE ($T236,L$1&amp;"" CE"",""""), L$1&amp;""[\w &amp;]*, (\d+\.\d+)"")),"""")
"),"")</f>
        <v/>
      </c>
      <c r="M236" s="3" t="str">
        <f aca="false">IFERROR(__xludf.dummyfunction("if($T236&lt;&gt;"""",VALUE(REGEXEXTRACT($T236, M$1&amp;""[\w &amp;]*, (\d+\.\d+)"")),"""")
"),"")</f>
        <v/>
      </c>
      <c r="N236" s="3" t="str">
        <f aca="false">IFERROR(__xludf.dummyfunction("if($T236&lt;&gt;"""",VALUE(REGEXEXTRACT(SUBSTITUTE ($T236,N$1&amp;"" CE"",""""), N$1&amp;""[\w &amp;]*, (\d+\.\d+)"")),"""")
"),"")</f>
        <v/>
      </c>
      <c r="O236" s="3" t="str">
        <f aca="false">IFERROR(__xludf.dummyfunction("if($T236&lt;&gt;"""",VALUE(REGEXEXTRACT($T236, O$1&amp;""[\w &amp;]*, (\d+\.\d+)"")),"""")
"),"")</f>
        <v/>
      </c>
      <c r="P236" s="2"/>
      <c r="Q236" s="2"/>
      <c r="R236" s="2"/>
      <c r="S236" s="2"/>
      <c r="T236" s="5"/>
    </row>
    <row r="237" customFormat="false" ht="15.75" hidden="false" customHeight="false" outlineLevel="0" collapsed="false">
      <c r="A237" s="4"/>
      <c r="B237" s="2"/>
      <c r="C237" s="2"/>
      <c r="D237" s="2"/>
      <c r="E237" s="2"/>
      <c r="F237" s="3" t="str">
        <f aca="false">IFERROR(__xludf.dummyfunction("if($T237&lt;&gt;"""",VALUE(REGEXEXTRACT(SUBSTITUTE ($T237,F$1&amp;"" CE"",""""), F$1&amp;""[\w &amp;]*, (\d+\.\d+)"")),"""")
"),"")</f>
        <v/>
      </c>
      <c r="G237" s="3" t="str">
        <f aca="false">IFERROR(__xludf.dummyfunction("if($T237&lt;&gt;"""",VALUE(REGEXEXTRACT($T237, G$1&amp;""[\w &amp;]*, (\d+\.\d+)"")),"""")
"),"")</f>
        <v/>
      </c>
      <c r="H237" s="3"/>
      <c r="I237" s="3" t="str">
        <f aca="false">IFERROR(__xludf.dummyfunction("if($T237&lt;&gt;"""",VALUE(REGEXEXTRACT(SUBSTITUTE ($T237,I$1&amp;"" CE"",""""), I$1&amp;""[\w &amp;]*, (\d+\.\d+)"")),"""")
"),"")</f>
        <v/>
      </c>
      <c r="J237" s="3" t="str">
        <f aca="false">IFERROR(__xludf.dummyfunction("if($T237&lt;&gt;"""",VALUE(REGEXEXTRACT($T237, J$1&amp;""[\w &amp;]*, (\d+\.\d+)"")),"""")
"),"")</f>
        <v/>
      </c>
      <c r="K237" s="3"/>
      <c r="L237" s="3" t="str">
        <f aca="false">IFERROR(__xludf.dummyfunction("if($T237&lt;&gt;"""",VALUE(REGEXEXTRACT(SUBSTITUTE ($T237,L$1&amp;"" CE"",""""), L$1&amp;""[\w &amp;]*, (\d+\.\d+)"")),"""")
"),"")</f>
        <v/>
      </c>
      <c r="M237" s="3" t="str">
        <f aca="false">IFERROR(__xludf.dummyfunction("if($T237&lt;&gt;"""",VALUE(REGEXEXTRACT($T237, M$1&amp;""[\w &amp;]*, (\d+\.\d+)"")),"""")
"),"")</f>
        <v/>
      </c>
      <c r="N237" s="3" t="str">
        <f aca="false">IFERROR(__xludf.dummyfunction("if($T237&lt;&gt;"""",VALUE(REGEXEXTRACT(SUBSTITUTE ($T237,N$1&amp;"" CE"",""""), N$1&amp;""[\w &amp;]*, (\d+\.\d+)"")),"""")
"),"")</f>
        <v/>
      </c>
      <c r="O237" s="3" t="str">
        <f aca="false">IFERROR(__xludf.dummyfunction("if($T237&lt;&gt;"""",VALUE(REGEXEXTRACT($T237, O$1&amp;""[\w &amp;]*, (\d+\.\d+)"")),"""")
"),"")</f>
        <v/>
      </c>
      <c r="P237" s="2"/>
      <c r="Q237" s="2"/>
      <c r="R237" s="2"/>
      <c r="S237" s="2"/>
      <c r="T237" s="5"/>
    </row>
    <row r="238" customFormat="false" ht="15.75" hidden="false" customHeight="false" outlineLevel="0" collapsed="false">
      <c r="A238" s="4"/>
      <c r="B238" s="2"/>
      <c r="C238" s="2"/>
      <c r="D238" s="2"/>
      <c r="E238" s="2"/>
      <c r="F238" s="3" t="str">
        <f aca="false">IFERROR(__xludf.dummyfunction("if($T238&lt;&gt;"""",VALUE(REGEXEXTRACT(SUBSTITUTE ($T238,F$1&amp;"" CE"",""""), F$1&amp;""[\w &amp;]*, (\d+\.\d+)"")),"""")
"),"")</f>
        <v/>
      </c>
      <c r="G238" s="3" t="str">
        <f aca="false">IFERROR(__xludf.dummyfunction("if($T238&lt;&gt;"""",VALUE(REGEXEXTRACT($T238, G$1&amp;""[\w &amp;]*, (\d+\.\d+)"")),"""")
"),"")</f>
        <v/>
      </c>
      <c r="H238" s="3"/>
      <c r="I238" s="3" t="str">
        <f aca="false">IFERROR(__xludf.dummyfunction("if($T238&lt;&gt;"""",VALUE(REGEXEXTRACT(SUBSTITUTE ($T238,I$1&amp;"" CE"",""""), I$1&amp;""[\w &amp;]*, (\d+\.\d+)"")),"""")
"),"")</f>
        <v/>
      </c>
      <c r="J238" s="3" t="str">
        <f aca="false">IFERROR(__xludf.dummyfunction("if($T238&lt;&gt;"""",VALUE(REGEXEXTRACT($T238, J$1&amp;""[\w &amp;]*, (\d+\.\d+)"")),"""")
"),"")</f>
        <v/>
      </c>
      <c r="K238" s="3"/>
      <c r="L238" s="3" t="str">
        <f aca="false">IFERROR(__xludf.dummyfunction("if($T238&lt;&gt;"""",VALUE(REGEXEXTRACT(SUBSTITUTE ($T238,L$1&amp;"" CE"",""""), L$1&amp;""[\w &amp;]*, (\d+\.\d+)"")),"""")
"),"")</f>
        <v/>
      </c>
      <c r="M238" s="3" t="str">
        <f aca="false">IFERROR(__xludf.dummyfunction("if($T238&lt;&gt;"""",VALUE(REGEXEXTRACT($T238, M$1&amp;""[\w &amp;]*, (\d+\.\d+)"")),"""")
"),"")</f>
        <v/>
      </c>
      <c r="N238" s="3" t="str">
        <f aca="false">IFERROR(__xludf.dummyfunction("if($T238&lt;&gt;"""",VALUE(REGEXEXTRACT(SUBSTITUTE ($T238,N$1&amp;"" CE"",""""), N$1&amp;""[\w &amp;]*, (\d+\.\d+)"")),"""")
"),"")</f>
        <v/>
      </c>
      <c r="O238" s="3" t="str">
        <f aca="false">IFERROR(__xludf.dummyfunction("if($T238&lt;&gt;"""",VALUE(REGEXEXTRACT($T238, O$1&amp;""[\w &amp;]*, (\d+\.\d+)"")),"""")
"),"")</f>
        <v/>
      </c>
      <c r="P238" s="2"/>
      <c r="Q238" s="2"/>
      <c r="R238" s="2"/>
      <c r="S238" s="2"/>
      <c r="T238" s="5"/>
    </row>
    <row r="239" customFormat="false" ht="15.75" hidden="false" customHeight="false" outlineLevel="0" collapsed="false">
      <c r="A239" s="4"/>
      <c r="B239" s="2"/>
      <c r="C239" s="2"/>
      <c r="D239" s="2"/>
      <c r="E239" s="2"/>
      <c r="F239" s="3" t="str">
        <f aca="false">IFERROR(__xludf.dummyfunction("if($T239&lt;&gt;"""",VALUE(REGEXEXTRACT(SUBSTITUTE ($T239,F$1&amp;"" CE"",""""), F$1&amp;""[\w &amp;]*, (\d+\.\d+)"")),"""")
"),"")</f>
        <v/>
      </c>
      <c r="G239" s="3" t="str">
        <f aca="false">IFERROR(__xludf.dummyfunction("if($T239&lt;&gt;"""",VALUE(REGEXEXTRACT($T239, G$1&amp;""[\w &amp;]*, (\d+\.\d+)"")),"""")
"),"")</f>
        <v/>
      </c>
      <c r="H239" s="3"/>
      <c r="I239" s="3" t="str">
        <f aca="false">IFERROR(__xludf.dummyfunction("if($T239&lt;&gt;"""",VALUE(REGEXEXTRACT(SUBSTITUTE ($T239,I$1&amp;"" CE"",""""), I$1&amp;""[\w &amp;]*, (\d+\.\d+)"")),"""")
"),"")</f>
        <v/>
      </c>
      <c r="J239" s="3" t="str">
        <f aca="false">IFERROR(__xludf.dummyfunction("if($T239&lt;&gt;"""",VALUE(REGEXEXTRACT($T239, J$1&amp;""[\w &amp;]*, (\d+\.\d+)"")),"""")
"),"")</f>
        <v/>
      </c>
      <c r="K239" s="3"/>
      <c r="L239" s="3" t="str">
        <f aca="false">IFERROR(__xludf.dummyfunction("if($T239&lt;&gt;"""",VALUE(REGEXEXTRACT(SUBSTITUTE ($T239,L$1&amp;"" CE"",""""), L$1&amp;""[\w &amp;]*, (\d+\.\d+)"")),"""")
"),"")</f>
        <v/>
      </c>
      <c r="M239" s="3" t="str">
        <f aca="false">IFERROR(__xludf.dummyfunction("if($T239&lt;&gt;"""",VALUE(REGEXEXTRACT($T239, M$1&amp;""[\w &amp;]*, (\d+\.\d+)"")),"""")
"),"")</f>
        <v/>
      </c>
      <c r="N239" s="3" t="str">
        <f aca="false">IFERROR(__xludf.dummyfunction("if($T239&lt;&gt;"""",VALUE(REGEXEXTRACT(SUBSTITUTE ($T239,N$1&amp;"" CE"",""""), N$1&amp;""[\w &amp;]*, (\d+\.\d+)"")),"""")
"),"")</f>
        <v/>
      </c>
      <c r="O239" s="3" t="str">
        <f aca="false">IFERROR(__xludf.dummyfunction("if($T239&lt;&gt;"""",VALUE(REGEXEXTRACT($T239, O$1&amp;""[\w &amp;]*, (\d+\.\d+)"")),"""")
"),"")</f>
        <v/>
      </c>
      <c r="P239" s="2"/>
      <c r="Q239" s="2"/>
      <c r="R239" s="2"/>
      <c r="S239" s="2"/>
      <c r="T239" s="5"/>
    </row>
    <row r="240" customFormat="false" ht="15.75" hidden="false" customHeight="false" outlineLevel="0" collapsed="false">
      <c r="A240" s="4"/>
      <c r="B240" s="2"/>
      <c r="C240" s="2"/>
      <c r="D240" s="2"/>
      <c r="E240" s="2"/>
      <c r="F240" s="3" t="str">
        <f aca="false">IFERROR(__xludf.dummyfunction("if($T240&lt;&gt;"""",VALUE(REGEXEXTRACT(SUBSTITUTE ($T240,F$1&amp;"" CE"",""""), F$1&amp;""[\w &amp;]*, (\d+\.\d+)"")),"""")
"),"")</f>
        <v/>
      </c>
      <c r="G240" s="3" t="str">
        <f aca="false">IFERROR(__xludf.dummyfunction("if($T240&lt;&gt;"""",VALUE(REGEXEXTRACT($T240, G$1&amp;""[\w &amp;]*, (\d+\.\d+)"")),"""")
"),"")</f>
        <v/>
      </c>
      <c r="H240" s="3"/>
      <c r="I240" s="3" t="str">
        <f aca="false">IFERROR(__xludf.dummyfunction("if($T240&lt;&gt;"""",VALUE(REGEXEXTRACT(SUBSTITUTE ($T240,I$1&amp;"" CE"",""""), I$1&amp;""[\w &amp;]*, (\d+\.\d+)"")),"""")
"),"")</f>
        <v/>
      </c>
      <c r="J240" s="3" t="str">
        <f aca="false">IFERROR(__xludf.dummyfunction("if($T240&lt;&gt;"""",VALUE(REGEXEXTRACT($T240, J$1&amp;""[\w &amp;]*, (\d+\.\d+)"")),"""")
"),"")</f>
        <v/>
      </c>
      <c r="K240" s="3"/>
      <c r="L240" s="3" t="str">
        <f aca="false">IFERROR(__xludf.dummyfunction("if($T240&lt;&gt;"""",VALUE(REGEXEXTRACT(SUBSTITUTE ($T240,L$1&amp;"" CE"",""""), L$1&amp;""[\w &amp;]*, (\d+\.\d+)"")),"""")
"),"")</f>
        <v/>
      </c>
      <c r="M240" s="3" t="str">
        <f aca="false">IFERROR(__xludf.dummyfunction("if($T240&lt;&gt;"""",VALUE(REGEXEXTRACT($T240, M$1&amp;""[\w &amp;]*, (\d+\.\d+)"")),"""")
"),"")</f>
        <v/>
      </c>
      <c r="N240" s="3" t="str">
        <f aca="false">IFERROR(__xludf.dummyfunction("if($T240&lt;&gt;"""",VALUE(REGEXEXTRACT(SUBSTITUTE ($T240,N$1&amp;"" CE"",""""), N$1&amp;""[\w &amp;]*, (\d+\.\d+)"")),"""")
"),"")</f>
        <v/>
      </c>
      <c r="O240" s="3" t="str">
        <f aca="false">IFERROR(__xludf.dummyfunction("if($T240&lt;&gt;"""",VALUE(REGEXEXTRACT($T240, O$1&amp;""[\w &amp;]*, (\d+\.\d+)"")),"""")
"),"")</f>
        <v/>
      </c>
      <c r="P240" s="2"/>
      <c r="Q240" s="2"/>
      <c r="R240" s="2"/>
      <c r="S240" s="2"/>
      <c r="T240" s="5"/>
    </row>
    <row r="241" customFormat="false" ht="15.75" hidden="false" customHeight="false" outlineLevel="0" collapsed="false">
      <c r="A241" s="4"/>
      <c r="B241" s="2"/>
      <c r="C241" s="2"/>
      <c r="D241" s="2"/>
      <c r="E241" s="2"/>
      <c r="F241" s="3" t="str">
        <f aca="false">IFERROR(__xludf.dummyfunction("if($T241&lt;&gt;"""",VALUE(REGEXEXTRACT(SUBSTITUTE ($T241,F$1&amp;"" CE"",""""), F$1&amp;""[\w &amp;]*, (\d+\.\d+)"")),"""")
"),"")</f>
        <v/>
      </c>
      <c r="G241" s="3" t="str">
        <f aca="false">IFERROR(__xludf.dummyfunction("if($T241&lt;&gt;"""",VALUE(REGEXEXTRACT($T241, G$1&amp;""[\w &amp;]*, (\d+\.\d+)"")),"""")
"),"")</f>
        <v/>
      </c>
      <c r="H241" s="3"/>
      <c r="I241" s="3" t="str">
        <f aca="false">IFERROR(__xludf.dummyfunction("if($T241&lt;&gt;"""",VALUE(REGEXEXTRACT(SUBSTITUTE ($T241,I$1&amp;"" CE"",""""), I$1&amp;""[\w &amp;]*, (\d+\.\d+)"")),"""")
"),"")</f>
        <v/>
      </c>
      <c r="J241" s="3" t="str">
        <f aca="false">IFERROR(__xludf.dummyfunction("if($T241&lt;&gt;"""",VALUE(REGEXEXTRACT($T241, J$1&amp;""[\w &amp;]*, (\d+\.\d+)"")),"""")
"),"")</f>
        <v/>
      </c>
      <c r="K241" s="3"/>
      <c r="L241" s="3" t="str">
        <f aca="false">IFERROR(__xludf.dummyfunction("if($T241&lt;&gt;"""",VALUE(REGEXEXTRACT(SUBSTITUTE ($T241,L$1&amp;"" CE"",""""), L$1&amp;""[\w &amp;]*, (\d+\.\d+)"")),"""")
"),"")</f>
        <v/>
      </c>
      <c r="M241" s="3" t="str">
        <f aca="false">IFERROR(__xludf.dummyfunction("if($T241&lt;&gt;"""",VALUE(REGEXEXTRACT($T241, M$1&amp;""[\w &amp;]*, (\d+\.\d+)"")),"""")
"),"")</f>
        <v/>
      </c>
      <c r="N241" s="3" t="str">
        <f aca="false">IFERROR(__xludf.dummyfunction("if($T241&lt;&gt;"""",VALUE(REGEXEXTRACT(SUBSTITUTE ($T241,N$1&amp;"" CE"",""""), N$1&amp;""[\w &amp;]*, (\d+\.\d+)"")),"""")
"),"")</f>
        <v/>
      </c>
      <c r="O241" s="3" t="str">
        <f aca="false">IFERROR(__xludf.dummyfunction("if($T241&lt;&gt;"""",VALUE(REGEXEXTRACT($T241, O$1&amp;""[\w &amp;]*, (\d+\.\d+)"")),"""")
"),"")</f>
        <v/>
      </c>
      <c r="P241" s="2"/>
      <c r="Q241" s="2"/>
      <c r="R241" s="2"/>
      <c r="S241" s="2"/>
      <c r="T241" s="5"/>
    </row>
    <row r="242" customFormat="false" ht="15.75" hidden="false" customHeight="false" outlineLevel="0" collapsed="false">
      <c r="A242" s="4"/>
      <c r="B242" s="2"/>
      <c r="C242" s="2"/>
      <c r="D242" s="2"/>
      <c r="E242" s="2"/>
      <c r="F242" s="3" t="str">
        <f aca="false">IFERROR(__xludf.dummyfunction("if($T242&lt;&gt;"""",VALUE(REGEXEXTRACT(SUBSTITUTE ($T242,F$1&amp;"" CE"",""""), F$1&amp;""[\w &amp;]*, (\d+\.\d+)"")),"""")
"),"")</f>
        <v/>
      </c>
      <c r="G242" s="3" t="str">
        <f aca="false">IFERROR(__xludf.dummyfunction("if($T242&lt;&gt;"""",VALUE(REGEXEXTRACT($T242, G$1&amp;""[\w &amp;]*, (\d+\.\d+)"")),"""")
"),"")</f>
        <v/>
      </c>
      <c r="H242" s="3"/>
      <c r="I242" s="3" t="str">
        <f aca="false">IFERROR(__xludf.dummyfunction("if($T242&lt;&gt;"""",VALUE(REGEXEXTRACT(SUBSTITUTE ($T242,I$1&amp;"" CE"",""""), I$1&amp;""[\w &amp;]*, (\d+\.\d+)"")),"""")
"),"")</f>
        <v/>
      </c>
      <c r="J242" s="3" t="str">
        <f aca="false">IFERROR(__xludf.dummyfunction("if($T242&lt;&gt;"""",VALUE(REGEXEXTRACT($T242, J$1&amp;""[\w &amp;]*, (\d+\.\d+)"")),"""")
"),"")</f>
        <v/>
      </c>
      <c r="K242" s="3"/>
      <c r="L242" s="3" t="str">
        <f aca="false">IFERROR(__xludf.dummyfunction("if($T242&lt;&gt;"""",VALUE(REGEXEXTRACT(SUBSTITUTE ($T242,L$1&amp;"" CE"",""""), L$1&amp;""[\w &amp;]*, (\d+\.\d+)"")),"""")
"),"")</f>
        <v/>
      </c>
      <c r="M242" s="3" t="str">
        <f aca="false">IFERROR(__xludf.dummyfunction("if($T242&lt;&gt;"""",VALUE(REGEXEXTRACT($T242, M$1&amp;""[\w &amp;]*, (\d+\.\d+)"")),"""")
"),"")</f>
        <v/>
      </c>
      <c r="N242" s="3" t="str">
        <f aca="false">IFERROR(__xludf.dummyfunction("if($T242&lt;&gt;"""",VALUE(REGEXEXTRACT(SUBSTITUTE ($T242,N$1&amp;"" CE"",""""), N$1&amp;""[\w &amp;]*, (\d+\.\d+)"")),"""")
"),"")</f>
        <v/>
      </c>
      <c r="O242" s="3" t="str">
        <f aca="false">IFERROR(__xludf.dummyfunction("if($T242&lt;&gt;"""",VALUE(REGEXEXTRACT($T242, O$1&amp;""[\w &amp;]*, (\d+\.\d+)"")),"""")
"),"")</f>
        <v/>
      </c>
      <c r="P242" s="2"/>
      <c r="Q242" s="2"/>
      <c r="R242" s="2"/>
      <c r="S242" s="2"/>
      <c r="T242" s="5"/>
    </row>
    <row r="243" customFormat="false" ht="15.75" hidden="false" customHeight="false" outlineLevel="0" collapsed="false">
      <c r="A243" s="4"/>
      <c r="B243" s="2"/>
      <c r="C243" s="2"/>
      <c r="D243" s="2"/>
      <c r="E243" s="2"/>
      <c r="F243" s="3" t="str">
        <f aca="false">IFERROR(__xludf.dummyfunction("if($T243&lt;&gt;"""",VALUE(REGEXEXTRACT(SUBSTITUTE ($T243,F$1&amp;"" CE"",""""), F$1&amp;""[\w &amp;]*, (\d+\.\d+)"")),"""")
"),"")</f>
        <v/>
      </c>
      <c r="G243" s="3" t="str">
        <f aca="false">IFERROR(__xludf.dummyfunction("if($T243&lt;&gt;"""",VALUE(REGEXEXTRACT($T243, G$1&amp;""[\w &amp;]*, (\d+\.\d+)"")),"""")
"),"")</f>
        <v/>
      </c>
      <c r="H243" s="3"/>
      <c r="I243" s="3" t="str">
        <f aca="false">IFERROR(__xludf.dummyfunction("if($T243&lt;&gt;"""",VALUE(REGEXEXTRACT(SUBSTITUTE ($T243,I$1&amp;"" CE"",""""), I$1&amp;""[\w &amp;]*, (\d+\.\d+)"")),"""")
"),"")</f>
        <v/>
      </c>
      <c r="J243" s="3" t="str">
        <f aca="false">IFERROR(__xludf.dummyfunction("if($T243&lt;&gt;"""",VALUE(REGEXEXTRACT($T243, J$1&amp;""[\w &amp;]*, (\d+\.\d+)"")),"""")
"),"")</f>
        <v/>
      </c>
      <c r="K243" s="3"/>
      <c r="L243" s="3" t="str">
        <f aca="false">IFERROR(__xludf.dummyfunction("if($T243&lt;&gt;"""",VALUE(REGEXEXTRACT(SUBSTITUTE ($T243,L$1&amp;"" CE"",""""), L$1&amp;""[\w &amp;]*, (\d+\.\d+)"")),"""")
"),"")</f>
        <v/>
      </c>
      <c r="M243" s="3" t="str">
        <f aca="false">IFERROR(__xludf.dummyfunction("if($T243&lt;&gt;"""",VALUE(REGEXEXTRACT($T243, M$1&amp;""[\w &amp;]*, (\d+\.\d+)"")),"""")
"),"")</f>
        <v/>
      </c>
      <c r="N243" s="3" t="str">
        <f aca="false">IFERROR(__xludf.dummyfunction("if($T243&lt;&gt;"""",VALUE(REGEXEXTRACT(SUBSTITUTE ($T243,N$1&amp;"" CE"",""""), N$1&amp;""[\w &amp;]*, (\d+\.\d+)"")),"""")
"),"")</f>
        <v/>
      </c>
      <c r="O243" s="3" t="str">
        <f aca="false">IFERROR(__xludf.dummyfunction("if($T243&lt;&gt;"""",VALUE(REGEXEXTRACT($T243, O$1&amp;""[\w &amp;]*, (\d+\.\d+)"")),"""")
"),"")</f>
        <v/>
      </c>
      <c r="P243" s="2"/>
      <c r="Q243" s="2"/>
      <c r="R243" s="2"/>
      <c r="S243" s="2"/>
      <c r="T243" s="5"/>
    </row>
    <row r="244" customFormat="false" ht="15.75" hidden="false" customHeight="false" outlineLevel="0" collapsed="false">
      <c r="A244" s="4"/>
      <c r="B244" s="2"/>
      <c r="C244" s="2"/>
      <c r="D244" s="2"/>
      <c r="E244" s="2"/>
      <c r="F244" s="3" t="str">
        <f aca="false">IFERROR(__xludf.dummyfunction("if($T244&lt;&gt;"""",VALUE(REGEXEXTRACT(SUBSTITUTE ($T244,F$1&amp;"" CE"",""""), F$1&amp;""[\w &amp;]*, (\d+\.\d+)"")),"""")
"),"")</f>
        <v/>
      </c>
      <c r="G244" s="3" t="str">
        <f aca="false">IFERROR(__xludf.dummyfunction("if($T244&lt;&gt;"""",VALUE(REGEXEXTRACT($T244, G$1&amp;""[\w &amp;]*, (\d+\.\d+)"")),"""")
"),"")</f>
        <v/>
      </c>
      <c r="H244" s="3"/>
      <c r="I244" s="3" t="str">
        <f aca="false">IFERROR(__xludf.dummyfunction("if($T244&lt;&gt;"""",VALUE(REGEXEXTRACT(SUBSTITUTE ($T244,I$1&amp;"" CE"",""""), I$1&amp;""[\w &amp;]*, (\d+\.\d+)"")),"""")
"),"")</f>
        <v/>
      </c>
      <c r="J244" s="3" t="str">
        <f aca="false">IFERROR(__xludf.dummyfunction("if($T244&lt;&gt;"""",VALUE(REGEXEXTRACT($T244, J$1&amp;""[\w &amp;]*, (\d+\.\d+)"")),"""")
"),"")</f>
        <v/>
      </c>
      <c r="K244" s="3"/>
      <c r="L244" s="3" t="str">
        <f aca="false">IFERROR(__xludf.dummyfunction("if($T244&lt;&gt;"""",VALUE(REGEXEXTRACT(SUBSTITUTE ($T244,L$1&amp;"" CE"",""""), L$1&amp;""[\w &amp;]*, (\d+\.\d+)"")),"""")
"),"")</f>
        <v/>
      </c>
      <c r="M244" s="3" t="str">
        <f aca="false">IFERROR(__xludf.dummyfunction("if($T244&lt;&gt;"""",VALUE(REGEXEXTRACT($T244, M$1&amp;""[\w &amp;]*, (\d+\.\d+)"")),"""")
"),"")</f>
        <v/>
      </c>
      <c r="N244" s="3" t="str">
        <f aca="false">IFERROR(__xludf.dummyfunction("if($T244&lt;&gt;"""",VALUE(REGEXEXTRACT(SUBSTITUTE ($T244,N$1&amp;"" CE"",""""), N$1&amp;""[\w &amp;]*, (\d+\.\d+)"")),"""")
"),"")</f>
        <v/>
      </c>
      <c r="O244" s="3" t="str">
        <f aca="false">IFERROR(__xludf.dummyfunction("if($T244&lt;&gt;"""",VALUE(REGEXEXTRACT($T244, O$1&amp;""[\w &amp;]*, (\d+\.\d+)"")),"""")
"),"")</f>
        <v/>
      </c>
      <c r="P244" s="2"/>
      <c r="Q244" s="2"/>
      <c r="R244" s="2"/>
      <c r="S244" s="2"/>
      <c r="T244" s="5"/>
    </row>
    <row r="245" customFormat="false" ht="15.75" hidden="false" customHeight="false" outlineLevel="0" collapsed="false">
      <c r="A245" s="4"/>
      <c r="B245" s="2"/>
      <c r="C245" s="2"/>
      <c r="D245" s="2"/>
      <c r="E245" s="2"/>
      <c r="F245" s="3" t="str">
        <f aca="false">IFERROR(__xludf.dummyfunction("if($T245&lt;&gt;"""",VALUE(REGEXEXTRACT(SUBSTITUTE ($T245,F$1&amp;"" CE"",""""), F$1&amp;""[\w &amp;]*, (\d+\.\d+)"")),"""")
"),"")</f>
        <v/>
      </c>
      <c r="G245" s="3" t="str">
        <f aca="false">IFERROR(__xludf.dummyfunction("if($T245&lt;&gt;"""",VALUE(REGEXEXTRACT($T245, G$1&amp;""[\w &amp;]*, (\d+\.\d+)"")),"""")
"),"")</f>
        <v/>
      </c>
      <c r="H245" s="3"/>
      <c r="I245" s="3" t="str">
        <f aca="false">IFERROR(__xludf.dummyfunction("if($T245&lt;&gt;"""",VALUE(REGEXEXTRACT(SUBSTITUTE ($T245,I$1&amp;"" CE"",""""), I$1&amp;""[\w &amp;]*, (\d+\.\d+)"")),"""")
"),"")</f>
        <v/>
      </c>
      <c r="J245" s="3" t="str">
        <f aca="false">IFERROR(__xludf.dummyfunction("if($T245&lt;&gt;"""",VALUE(REGEXEXTRACT($T245, J$1&amp;""[\w &amp;]*, (\d+\.\d+)"")),"""")
"),"")</f>
        <v/>
      </c>
      <c r="K245" s="3"/>
      <c r="L245" s="3" t="str">
        <f aca="false">IFERROR(__xludf.dummyfunction("if($T245&lt;&gt;"""",VALUE(REGEXEXTRACT(SUBSTITUTE ($T245,L$1&amp;"" CE"",""""), L$1&amp;""[\w &amp;]*, (\d+\.\d+)"")),"""")
"),"")</f>
        <v/>
      </c>
      <c r="M245" s="3" t="str">
        <f aca="false">IFERROR(__xludf.dummyfunction("if($T245&lt;&gt;"""",VALUE(REGEXEXTRACT($T245, M$1&amp;""[\w &amp;]*, (\d+\.\d+)"")),"""")
"),"")</f>
        <v/>
      </c>
      <c r="N245" s="3" t="str">
        <f aca="false">IFERROR(__xludf.dummyfunction("if($T245&lt;&gt;"""",VALUE(REGEXEXTRACT(SUBSTITUTE ($T245,N$1&amp;"" CE"",""""), N$1&amp;""[\w &amp;]*, (\d+\.\d+)"")),"""")
"),"")</f>
        <v/>
      </c>
      <c r="O245" s="3" t="str">
        <f aca="false">IFERROR(__xludf.dummyfunction("if($T245&lt;&gt;"""",VALUE(REGEXEXTRACT($T245, O$1&amp;""[\w &amp;]*, (\d+\.\d+)"")),"""")
"),"")</f>
        <v/>
      </c>
      <c r="P245" s="2"/>
      <c r="Q245" s="2"/>
      <c r="R245" s="2"/>
      <c r="S245" s="2"/>
      <c r="T245" s="5"/>
    </row>
    <row r="246" customFormat="false" ht="15.75" hidden="false" customHeight="false" outlineLevel="0" collapsed="false">
      <c r="A246" s="4"/>
      <c r="B246" s="2"/>
      <c r="C246" s="2"/>
      <c r="D246" s="2"/>
      <c r="E246" s="2"/>
      <c r="F246" s="3" t="str">
        <f aca="false">IFERROR(__xludf.dummyfunction("if($T246&lt;&gt;"""",VALUE(REGEXEXTRACT(SUBSTITUTE ($T246,F$1&amp;"" CE"",""""), F$1&amp;""[\w &amp;]*, (\d+\.\d+)"")),"""")
"),"")</f>
        <v/>
      </c>
      <c r="G246" s="3" t="str">
        <f aca="false">IFERROR(__xludf.dummyfunction("if($T246&lt;&gt;"""",VALUE(REGEXEXTRACT($T246, G$1&amp;""[\w &amp;]*, (\d+\.\d+)"")),"""")
"),"")</f>
        <v/>
      </c>
      <c r="H246" s="3"/>
      <c r="I246" s="3" t="str">
        <f aca="false">IFERROR(__xludf.dummyfunction("if($T246&lt;&gt;"""",VALUE(REGEXEXTRACT(SUBSTITUTE ($T246,I$1&amp;"" CE"",""""), I$1&amp;""[\w &amp;]*, (\d+\.\d+)"")),"""")
"),"")</f>
        <v/>
      </c>
      <c r="J246" s="3" t="str">
        <f aca="false">IFERROR(__xludf.dummyfunction("if($T246&lt;&gt;"""",VALUE(REGEXEXTRACT($T246, J$1&amp;""[\w &amp;]*, (\d+\.\d+)"")),"""")
"),"")</f>
        <v/>
      </c>
      <c r="K246" s="3"/>
      <c r="L246" s="3" t="str">
        <f aca="false">IFERROR(__xludf.dummyfunction("if($T246&lt;&gt;"""",VALUE(REGEXEXTRACT(SUBSTITUTE ($T246,L$1&amp;"" CE"",""""), L$1&amp;""[\w &amp;]*, (\d+\.\d+)"")),"""")
"),"")</f>
        <v/>
      </c>
      <c r="M246" s="3" t="str">
        <f aca="false">IFERROR(__xludf.dummyfunction("if($T246&lt;&gt;"""",VALUE(REGEXEXTRACT($T246, M$1&amp;""[\w &amp;]*, (\d+\.\d+)"")),"""")
"),"")</f>
        <v/>
      </c>
      <c r="N246" s="3" t="str">
        <f aca="false">IFERROR(__xludf.dummyfunction("if($T246&lt;&gt;"""",VALUE(REGEXEXTRACT(SUBSTITUTE ($T246,N$1&amp;"" CE"",""""), N$1&amp;""[\w &amp;]*, (\d+\.\d+)"")),"""")
"),"")</f>
        <v/>
      </c>
      <c r="O246" s="3" t="str">
        <f aca="false">IFERROR(__xludf.dummyfunction("if($T246&lt;&gt;"""",VALUE(REGEXEXTRACT($T246, O$1&amp;""[\w &amp;]*, (\d+\.\d+)"")),"""")
"),"")</f>
        <v/>
      </c>
      <c r="P246" s="2"/>
      <c r="Q246" s="2"/>
      <c r="R246" s="2"/>
      <c r="S246" s="2"/>
      <c r="T246" s="5"/>
    </row>
    <row r="247" customFormat="false" ht="15.75" hidden="false" customHeight="false" outlineLevel="0" collapsed="false">
      <c r="A247" s="4"/>
      <c r="B247" s="2"/>
      <c r="C247" s="2"/>
      <c r="D247" s="2"/>
      <c r="E247" s="2"/>
      <c r="F247" s="3" t="str">
        <f aca="false">IFERROR(__xludf.dummyfunction("if($T247&lt;&gt;"""",VALUE(REGEXEXTRACT(SUBSTITUTE ($T247,F$1&amp;"" CE"",""""), F$1&amp;""[\w &amp;]*, (\d+\.\d+)"")),"""")
"),"")</f>
        <v/>
      </c>
      <c r="G247" s="3" t="str">
        <f aca="false">IFERROR(__xludf.dummyfunction("if($T247&lt;&gt;"""",VALUE(REGEXEXTRACT($T247, G$1&amp;""[\w &amp;]*, (\d+\.\d+)"")),"""")
"),"")</f>
        <v/>
      </c>
      <c r="H247" s="3"/>
      <c r="I247" s="3" t="str">
        <f aca="false">IFERROR(__xludf.dummyfunction("if($T247&lt;&gt;"""",VALUE(REGEXEXTRACT(SUBSTITUTE ($T247,I$1&amp;"" CE"",""""), I$1&amp;""[\w &amp;]*, (\d+\.\d+)"")),"""")
"),"")</f>
        <v/>
      </c>
      <c r="J247" s="3" t="str">
        <f aca="false">IFERROR(__xludf.dummyfunction("if($T247&lt;&gt;"""",VALUE(REGEXEXTRACT($T247, J$1&amp;""[\w &amp;]*, (\d+\.\d+)"")),"""")
"),"")</f>
        <v/>
      </c>
      <c r="K247" s="3"/>
      <c r="L247" s="3" t="str">
        <f aca="false">IFERROR(__xludf.dummyfunction("if($T247&lt;&gt;"""",VALUE(REGEXEXTRACT(SUBSTITUTE ($T247,L$1&amp;"" CE"",""""), L$1&amp;""[\w &amp;]*, (\d+\.\d+)"")),"""")
"),"")</f>
        <v/>
      </c>
      <c r="M247" s="3" t="str">
        <f aca="false">IFERROR(__xludf.dummyfunction("if($T247&lt;&gt;"""",VALUE(REGEXEXTRACT($T247, M$1&amp;""[\w &amp;]*, (\d+\.\d+)"")),"""")
"),"")</f>
        <v/>
      </c>
      <c r="N247" s="3" t="str">
        <f aca="false">IFERROR(__xludf.dummyfunction("if($T247&lt;&gt;"""",VALUE(REGEXEXTRACT(SUBSTITUTE ($T247,N$1&amp;"" CE"",""""), N$1&amp;""[\w &amp;]*, (\d+\.\d+)"")),"""")
"),"")</f>
        <v/>
      </c>
      <c r="O247" s="3" t="str">
        <f aca="false">IFERROR(__xludf.dummyfunction("if($T247&lt;&gt;"""",VALUE(REGEXEXTRACT($T247, O$1&amp;""[\w &amp;]*, (\d+\.\d+)"")),"""")
"),"")</f>
        <v/>
      </c>
      <c r="P247" s="2"/>
      <c r="Q247" s="2"/>
      <c r="R247" s="2"/>
      <c r="S247" s="2"/>
      <c r="T247" s="5"/>
    </row>
    <row r="248" customFormat="false" ht="15.75" hidden="false" customHeight="false" outlineLevel="0" collapsed="false">
      <c r="A248" s="4"/>
      <c r="B248" s="2"/>
      <c r="C248" s="2"/>
      <c r="D248" s="2"/>
      <c r="E248" s="2"/>
      <c r="F248" s="3" t="str">
        <f aca="false">IFERROR(__xludf.dummyfunction("if($T248&lt;&gt;"""",VALUE(REGEXEXTRACT(SUBSTITUTE ($T248,F$1&amp;"" CE"",""""), F$1&amp;""[\w &amp;]*, (\d+\.\d+)"")),"""")
"),"")</f>
        <v/>
      </c>
      <c r="G248" s="3" t="str">
        <f aca="false">IFERROR(__xludf.dummyfunction("if($T248&lt;&gt;"""",VALUE(REGEXEXTRACT($T248, G$1&amp;""[\w &amp;]*, (\d+\.\d+)"")),"""")
"),"")</f>
        <v/>
      </c>
      <c r="H248" s="3"/>
      <c r="I248" s="3" t="str">
        <f aca="false">IFERROR(__xludf.dummyfunction("if($T248&lt;&gt;"""",VALUE(REGEXEXTRACT(SUBSTITUTE ($T248,I$1&amp;"" CE"",""""), I$1&amp;""[\w &amp;]*, (\d+\.\d+)"")),"""")
"),"")</f>
        <v/>
      </c>
      <c r="J248" s="3" t="str">
        <f aca="false">IFERROR(__xludf.dummyfunction("if($T248&lt;&gt;"""",VALUE(REGEXEXTRACT($T248, J$1&amp;""[\w &amp;]*, (\d+\.\d+)"")),"""")
"),"")</f>
        <v/>
      </c>
      <c r="K248" s="3"/>
      <c r="L248" s="3" t="str">
        <f aca="false">IFERROR(__xludf.dummyfunction("if($T248&lt;&gt;"""",VALUE(REGEXEXTRACT(SUBSTITUTE ($T248,L$1&amp;"" CE"",""""), L$1&amp;""[\w &amp;]*, (\d+\.\d+)"")),"""")
"),"")</f>
        <v/>
      </c>
      <c r="M248" s="3" t="str">
        <f aca="false">IFERROR(__xludf.dummyfunction("if($T248&lt;&gt;"""",VALUE(REGEXEXTRACT($T248, M$1&amp;""[\w &amp;]*, (\d+\.\d+)"")),"""")
"),"")</f>
        <v/>
      </c>
      <c r="N248" s="3" t="str">
        <f aca="false">IFERROR(__xludf.dummyfunction("if($T248&lt;&gt;"""",VALUE(REGEXEXTRACT(SUBSTITUTE ($T248,N$1&amp;"" CE"",""""), N$1&amp;""[\w &amp;]*, (\d+\.\d+)"")),"""")
"),"")</f>
        <v/>
      </c>
      <c r="O248" s="3" t="str">
        <f aca="false">IFERROR(__xludf.dummyfunction("if($T248&lt;&gt;"""",VALUE(REGEXEXTRACT($T248, O$1&amp;""[\w &amp;]*, (\d+\.\d+)"")),"""")
"),"")</f>
        <v/>
      </c>
      <c r="P248" s="2"/>
      <c r="Q248" s="2"/>
      <c r="R248" s="2"/>
      <c r="S248" s="2"/>
      <c r="T248" s="5"/>
    </row>
    <row r="249" customFormat="false" ht="15.75" hidden="false" customHeight="false" outlineLevel="0" collapsed="false">
      <c r="A249" s="4"/>
      <c r="B249" s="2"/>
      <c r="C249" s="2"/>
      <c r="D249" s="2"/>
      <c r="E249" s="2"/>
      <c r="F249" s="3" t="str">
        <f aca="false">IFERROR(__xludf.dummyfunction("if($T249&lt;&gt;"""",VALUE(REGEXEXTRACT(SUBSTITUTE ($T249,F$1&amp;"" CE"",""""), F$1&amp;""[\w &amp;]*, (\d+\.\d+)"")),"""")
"),"")</f>
        <v/>
      </c>
      <c r="G249" s="3" t="str">
        <f aca="false">IFERROR(__xludf.dummyfunction("if($T249&lt;&gt;"""",VALUE(REGEXEXTRACT($T249, G$1&amp;""[\w &amp;]*, (\d+\.\d+)"")),"""")
"),"")</f>
        <v/>
      </c>
      <c r="H249" s="3"/>
      <c r="I249" s="3" t="str">
        <f aca="false">IFERROR(__xludf.dummyfunction("if($T249&lt;&gt;"""",VALUE(REGEXEXTRACT(SUBSTITUTE ($T249,I$1&amp;"" CE"",""""), I$1&amp;""[\w &amp;]*, (\d+\.\d+)"")),"""")
"),"")</f>
        <v/>
      </c>
      <c r="J249" s="3" t="str">
        <f aca="false">IFERROR(__xludf.dummyfunction("if($T249&lt;&gt;"""",VALUE(REGEXEXTRACT($T249, J$1&amp;""[\w &amp;]*, (\d+\.\d+)"")),"""")
"),"")</f>
        <v/>
      </c>
      <c r="K249" s="3"/>
      <c r="L249" s="3" t="str">
        <f aca="false">IFERROR(__xludf.dummyfunction("if($T249&lt;&gt;"""",VALUE(REGEXEXTRACT(SUBSTITUTE ($T249,L$1&amp;"" CE"",""""), L$1&amp;""[\w &amp;]*, (\d+\.\d+)"")),"""")
"),"")</f>
        <v/>
      </c>
      <c r="M249" s="3" t="str">
        <f aca="false">IFERROR(__xludf.dummyfunction("if($T249&lt;&gt;"""",VALUE(REGEXEXTRACT($T249, M$1&amp;""[\w &amp;]*, (\d+\.\d+)"")),"""")
"),"")</f>
        <v/>
      </c>
      <c r="N249" s="3" t="str">
        <f aca="false">IFERROR(__xludf.dummyfunction("if($T249&lt;&gt;"""",VALUE(REGEXEXTRACT(SUBSTITUTE ($T249,N$1&amp;"" CE"",""""), N$1&amp;""[\w &amp;]*, (\d+\.\d+)"")),"""")
"),"")</f>
        <v/>
      </c>
      <c r="O249" s="3" t="str">
        <f aca="false">IFERROR(__xludf.dummyfunction("if($T249&lt;&gt;"""",VALUE(REGEXEXTRACT($T249, O$1&amp;""[\w &amp;]*, (\d+\.\d+)"")),"""")
"),"")</f>
        <v/>
      </c>
      <c r="P249" s="2"/>
      <c r="Q249" s="2"/>
      <c r="R249" s="2"/>
      <c r="S249" s="2"/>
      <c r="T249" s="5"/>
    </row>
    <row r="250" customFormat="false" ht="15.75" hidden="false" customHeight="false" outlineLevel="0" collapsed="false">
      <c r="A250" s="4"/>
      <c r="B250" s="2"/>
      <c r="C250" s="2"/>
      <c r="D250" s="2"/>
      <c r="E250" s="2"/>
      <c r="F250" s="3" t="str">
        <f aca="false">IFERROR(__xludf.dummyfunction("if($T250&lt;&gt;"""",VALUE(REGEXEXTRACT(SUBSTITUTE ($T250,F$1&amp;"" CE"",""""), F$1&amp;""[\w &amp;]*, (\d+\.\d+)"")),"""")
"),"")</f>
        <v/>
      </c>
      <c r="G250" s="3" t="str">
        <f aca="false">IFERROR(__xludf.dummyfunction("if($T250&lt;&gt;"""",VALUE(REGEXEXTRACT($T250, G$1&amp;""[\w &amp;]*, (\d+\.\d+)"")),"""")
"),"")</f>
        <v/>
      </c>
      <c r="H250" s="3"/>
      <c r="I250" s="3" t="str">
        <f aca="false">IFERROR(__xludf.dummyfunction("if($T250&lt;&gt;"""",VALUE(REGEXEXTRACT(SUBSTITUTE ($T250,I$1&amp;"" CE"",""""), I$1&amp;""[\w &amp;]*, (\d+\.\d+)"")),"""")
"),"")</f>
        <v/>
      </c>
      <c r="J250" s="3" t="str">
        <f aca="false">IFERROR(__xludf.dummyfunction("if($T250&lt;&gt;"""",VALUE(REGEXEXTRACT($T250, J$1&amp;""[\w &amp;]*, (\d+\.\d+)"")),"""")
"),"")</f>
        <v/>
      </c>
      <c r="K250" s="3"/>
      <c r="L250" s="3" t="str">
        <f aca="false">IFERROR(__xludf.dummyfunction("if($T250&lt;&gt;"""",VALUE(REGEXEXTRACT(SUBSTITUTE ($T250,L$1&amp;"" CE"",""""), L$1&amp;""[\w &amp;]*, (\d+\.\d+)"")),"""")
"),"")</f>
        <v/>
      </c>
      <c r="M250" s="3" t="str">
        <f aca="false">IFERROR(__xludf.dummyfunction("if($T250&lt;&gt;"""",VALUE(REGEXEXTRACT($T250, M$1&amp;""[\w &amp;]*, (\d+\.\d+)"")),"""")
"),"")</f>
        <v/>
      </c>
      <c r="N250" s="3" t="str">
        <f aca="false">IFERROR(__xludf.dummyfunction("if($T250&lt;&gt;"""",VALUE(REGEXEXTRACT(SUBSTITUTE ($T250,N$1&amp;"" CE"",""""), N$1&amp;""[\w &amp;]*, (\d+\.\d+)"")),"""")
"),"")</f>
        <v/>
      </c>
      <c r="O250" s="3" t="str">
        <f aca="false">IFERROR(__xludf.dummyfunction("if($T250&lt;&gt;"""",VALUE(REGEXEXTRACT($T250, O$1&amp;""[\w &amp;]*, (\d+\.\d+)"")),"""")
"),"")</f>
        <v/>
      </c>
      <c r="P250" s="2"/>
      <c r="Q250" s="2"/>
      <c r="R250" s="2"/>
      <c r="S250" s="2"/>
      <c r="T250" s="5"/>
    </row>
    <row r="251" customFormat="false" ht="15.75" hidden="false" customHeight="false" outlineLevel="0" collapsed="false">
      <c r="A251" s="4"/>
      <c r="B251" s="2"/>
      <c r="C251" s="2"/>
      <c r="D251" s="2"/>
      <c r="E251" s="2"/>
      <c r="F251" s="3" t="str">
        <f aca="false">IFERROR(__xludf.dummyfunction("if($T251&lt;&gt;"""",VALUE(REGEXEXTRACT(SUBSTITUTE ($T251,F$1&amp;"" CE"",""""), F$1&amp;""[\w &amp;]*, (\d+\.\d+)"")),"""")
"),"")</f>
        <v/>
      </c>
      <c r="G251" s="3" t="str">
        <f aca="false">IFERROR(__xludf.dummyfunction("if($T251&lt;&gt;"""",VALUE(REGEXEXTRACT($T251, G$1&amp;""[\w &amp;]*, (\d+\.\d+)"")),"""")
"),"")</f>
        <v/>
      </c>
      <c r="H251" s="3"/>
      <c r="I251" s="3" t="str">
        <f aca="false">IFERROR(__xludf.dummyfunction("if($T251&lt;&gt;"""",VALUE(REGEXEXTRACT(SUBSTITUTE ($T251,I$1&amp;"" CE"",""""), I$1&amp;""[\w &amp;]*, (\d+\.\d+)"")),"""")
"),"")</f>
        <v/>
      </c>
      <c r="J251" s="3" t="str">
        <f aca="false">IFERROR(__xludf.dummyfunction("if($T251&lt;&gt;"""",VALUE(REGEXEXTRACT($T251, J$1&amp;""[\w &amp;]*, (\d+\.\d+)"")),"""")
"),"")</f>
        <v/>
      </c>
      <c r="K251" s="3"/>
      <c r="L251" s="3" t="str">
        <f aca="false">IFERROR(__xludf.dummyfunction("if($T251&lt;&gt;"""",VALUE(REGEXEXTRACT(SUBSTITUTE ($T251,L$1&amp;"" CE"",""""), L$1&amp;""[\w &amp;]*, (\d+\.\d+)"")),"""")
"),"")</f>
        <v/>
      </c>
      <c r="M251" s="3" t="str">
        <f aca="false">IFERROR(__xludf.dummyfunction("if($T251&lt;&gt;"""",VALUE(REGEXEXTRACT($T251, M$1&amp;""[\w &amp;]*, (\d+\.\d+)"")),"""")
"),"")</f>
        <v/>
      </c>
      <c r="N251" s="3" t="str">
        <f aca="false">IFERROR(__xludf.dummyfunction("if($T251&lt;&gt;"""",VALUE(REGEXEXTRACT(SUBSTITUTE ($T251,N$1&amp;"" CE"",""""), N$1&amp;""[\w &amp;]*, (\d+\.\d+)"")),"""")
"),"")</f>
        <v/>
      </c>
      <c r="O251" s="3" t="str">
        <f aca="false">IFERROR(__xludf.dummyfunction("if($T251&lt;&gt;"""",VALUE(REGEXEXTRACT($T251, O$1&amp;""[\w &amp;]*, (\d+\.\d+)"")),"""")
"),"")</f>
        <v/>
      </c>
      <c r="P251" s="2"/>
      <c r="Q251" s="2"/>
      <c r="R251" s="2"/>
      <c r="S251" s="2"/>
      <c r="T251" s="5"/>
    </row>
    <row r="252" customFormat="false" ht="15.75" hidden="false" customHeight="false" outlineLevel="0" collapsed="false">
      <c r="A252" s="4"/>
      <c r="B252" s="2"/>
      <c r="C252" s="2"/>
      <c r="D252" s="2"/>
      <c r="E252" s="2"/>
      <c r="F252" s="3" t="str">
        <f aca="false">IFERROR(__xludf.dummyfunction("if($T252&lt;&gt;"""",VALUE(REGEXEXTRACT(SUBSTITUTE ($T252,F$1&amp;"" CE"",""""), F$1&amp;""[\w &amp;]*, (\d+\.\d+)"")),"""")
"),"")</f>
        <v/>
      </c>
      <c r="G252" s="3" t="str">
        <f aca="false">IFERROR(__xludf.dummyfunction("if($T252&lt;&gt;"""",VALUE(REGEXEXTRACT($T252, G$1&amp;""[\w &amp;]*, (\d+\.\d+)"")),"""")
"),"")</f>
        <v/>
      </c>
      <c r="H252" s="3"/>
      <c r="I252" s="3" t="str">
        <f aca="false">IFERROR(__xludf.dummyfunction("if($T252&lt;&gt;"""",VALUE(REGEXEXTRACT(SUBSTITUTE ($T252,I$1&amp;"" CE"",""""), I$1&amp;""[\w &amp;]*, (\d+\.\d+)"")),"""")
"),"")</f>
        <v/>
      </c>
      <c r="J252" s="3" t="str">
        <f aca="false">IFERROR(__xludf.dummyfunction("if($T252&lt;&gt;"""",VALUE(REGEXEXTRACT($T252, J$1&amp;""[\w &amp;]*, (\d+\.\d+)"")),"""")
"),"")</f>
        <v/>
      </c>
      <c r="K252" s="3"/>
      <c r="L252" s="3" t="str">
        <f aca="false">IFERROR(__xludf.dummyfunction("if($T252&lt;&gt;"""",VALUE(REGEXEXTRACT(SUBSTITUTE ($T252,L$1&amp;"" CE"",""""), L$1&amp;""[\w &amp;]*, (\d+\.\d+)"")),"""")
"),"")</f>
        <v/>
      </c>
      <c r="M252" s="3" t="str">
        <f aca="false">IFERROR(__xludf.dummyfunction("if($T252&lt;&gt;"""",VALUE(REGEXEXTRACT($T252, M$1&amp;""[\w &amp;]*, (\d+\.\d+)"")),"""")
"),"")</f>
        <v/>
      </c>
      <c r="N252" s="3" t="str">
        <f aca="false">IFERROR(__xludf.dummyfunction("if($T252&lt;&gt;"""",VALUE(REGEXEXTRACT(SUBSTITUTE ($T252,N$1&amp;"" CE"",""""), N$1&amp;""[\w &amp;]*, (\d+\.\d+)"")),"""")
"),"")</f>
        <v/>
      </c>
      <c r="O252" s="3" t="str">
        <f aca="false">IFERROR(__xludf.dummyfunction("if($T252&lt;&gt;"""",VALUE(REGEXEXTRACT($T252, O$1&amp;""[\w &amp;]*, (\d+\.\d+)"")),"""")
"),"")</f>
        <v/>
      </c>
      <c r="P252" s="2"/>
      <c r="Q252" s="2"/>
      <c r="R252" s="2"/>
      <c r="S252" s="2"/>
      <c r="T252" s="5"/>
    </row>
    <row r="253" customFormat="false" ht="15.75" hidden="false" customHeight="false" outlineLevel="0" collapsed="false">
      <c r="A253" s="4"/>
      <c r="B253" s="2"/>
      <c r="C253" s="2"/>
      <c r="D253" s="2"/>
      <c r="E253" s="2"/>
      <c r="F253" s="3" t="str">
        <f aca="false">IFERROR(__xludf.dummyfunction("if($T253&lt;&gt;"""",VALUE(REGEXEXTRACT(SUBSTITUTE ($T253,F$1&amp;"" CE"",""""), F$1&amp;""[\w &amp;]*, (\d+\.\d+)"")),"""")
"),"")</f>
        <v/>
      </c>
      <c r="G253" s="3" t="str">
        <f aca="false">IFERROR(__xludf.dummyfunction("if($T253&lt;&gt;"""",VALUE(REGEXEXTRACT($T253, G$1&amp;""[\w &amp;]*, (\d+\.\d+)"")),"""")
"),"")</f>
        <v/>
      </c>
      <c r="H253" s="3"/>
      <c r="I253" s="3" t="str">
        <f aca="false">IFERROR(__xludf.dummyfunction("if($T253&lt;&gt;"""",VALUE(REGEXEXTRACT(SUBSTITUTE ($T253,I$1&amp;"" CE"",""""), I$1&amp;""[\w &amp;]*, (\d+\.\d+)"")),"""")
"),"")</f>
        <v/>
      </c>
      <c r="J253" s="3" t="str">
        <f aca="false">IFERROR(__xludf.dummyfunction("if($T253&lt;&gt;"""",VALUE(REGEXEXTRACT($T253, J$1&amp;""[\w &amp;]*, (\d+\.\d+)"")),"""")
"),"")</f>
        <v/>
      </c>
      <c r="K253" s="3"/>
      <c r="L253" s="3" t="str">
        <f aca="false">IFERROR(__xludf.dummyfunction("if($T253&lt;&gt;"""",VALUE(REGEXEXTRACT(SUBSTITUTE ($T253,L$1&amp;"" CE"",""""), L$1&amp;""[\w &amp;]*, (\d+\.\d+)"")),"""")
"),"")</f>
        <v/>
      </c>
      <c r="M253" s="3" t="str">
        <f aca="false">IFERROR(__xludf.dummyfunction("if($T253&lt;&gt;"""",VALUE(REGEXEXTRACT($T253, M$1&amp;""[\w &amp;]*, (\d+\.\d+)"")),"""")
"),"")</f>
        <v/>
      </c>
      <c r="N253" s="3" t="str">
        <f aca="false">IFERROR(__xludf.dummyfunction("if($T253&lt;&gt;"""",VALUE(REGEXEXTRACT(SUBSTITUTE ($T253,N$1&amp;"" CE"",""""), N$1&amp;""[\w &amp;]*, (\d+\.\d+)"")),"""")
"),"")</f>
        <v/>
      </c>
      <c r="O253" s="3" t="str">
        <f aca="false">IFERROR(__xludf.dummyfunction("if($T253&lt;&gt;"""",VALUE(REGEXEXTRACT($T253, O$1&amp;""[\w &amp;]*, (\d+\.\d+)"")),"""")
"),"")</f>
        <v/>
      </c>
      <c r="P253" s="2"/>
      <c r="Q253" s="2"/>
      <c r="R253" s="2"/>
      <c r="S253" s="2"/>
      <c r="T253" s="5"/>
    </row>
    <row r="254" customFormat="false" ht="15.75" hidden="false" customHeight="false" outlineLevel="0" collapsed="false">
      <c r="A254" s="4"/>
      <c r="B254" s="2"/>
      <c r="C254" s="2"/>
      <c r="D254" s="2"/>
      <c r="E254" s="2"/>
      <c r="F254" s="3" t="str">
        <f aca="false">IFERROR(__xludf.dummyfunction("if($T254&lt;&gt;"""",VALUE(REGEXEXTRACT(SUBSTITUTE ($T254,F$1&amp;"" CE"",""""), F$1&amp;""[\w &amp;]*, (\d+\.\d+)"")),"""")
"),"")</f>
        <v/>
      </c>
      <c r="G254" s="3" t="str">
        <f aca="false">IFERROR(__xludf.dummyfunction("if($T254&lt;&gt;"""",VALUE(REGEXEXTRACT($T254, G$1&amp;""[\w &amp;]*, (\d+\.\d+)"")),"""")
"),"")</f>
        <v/>
      </c>
      <c r="H254" s="3"/>
      <c r="I254" s="3" t="str">
        <f aca="false">IFERROR(__xludf.dummyfunction("if($T254&lt;&gt;"""",VALUE(REGEXEXTRACT(SUBSTITUTE ($T254,I$1&amp;"" CE"",""""), I$1&amp;""[\w &amp;]*, (\d+\.\d+)"")),"""")
"),"")</f>
        <v/>
      </c>
      <c r="J254" s="3" t="str">
        <f aca="false">IFERROR(__xludf.dummyfunction("if($T254&lt;&gt;"""",VALUE(REGEXEXTRACT($T254, J$1&amp;""[\w &amp;]*, (\d+\.\d+)"")),"""")
"),"")</f>
        <v/>
      </c>
      <c r="K254" s="3"/>
      <c r="L254" s="3" t="str">
        <f aca="false">IFERROR(__xludf.dummyfunction("if($T254&lt;&gt;"""",VALUE(REGEXEXTRACT(SUBSTITUTE ($T254,L$1&amp;"" CE"",""""), L$1&amp;""[\w &amp;]*, (\d+\.\d+)"")),"""")
"),"")</f>
        <v/>
      </c>
      <c r="M254" s="3" t="str">
        <f aca="false">IFERROR(__xludf.dummyfunction("if($T254&lt;&gt;"""",VALUE(REGEXEXTRACT($T254, M$1&amp;""[\w &amp;]*, (\d+\.\d+)"")),"""")
"),"")</f>
        <v/>
      </c>
      <c r="N254" s="3" t="str">
        <f aca="false">IFERROR(__xludf.dummyfunction("if($T254&lt;&gt;"""",VALUE(REGEXEXTRACT(SUBSTITUTE ($T254,N$1&amp;"" CE"",""""), N$1&amp;""[\w &amp;]*, (\d+\.\d+)"")),"""")
"),"")</f>
        <v/>
      </c>
      <c r="O254" s="3" t="str">
        <f aca="false">IFERROR(__xludf.dummyfunction("if($T254&lt;&gt;"""",VALUE(REGEXEXTRACT($T254, O$1&amp;""[\w &amp;]*, (\d+\.\d+)"")),"""")
"),"")</f>
        <v/>
      </c>
      <c r="P254" s="2"/>
      <c r="Q254" s="2"/>
      <c r="R254" s="2"/>
      <c r="S254" s="2"/>
      <c r="T254" s="5"/>
    </row>
    <row r="255" customFormat="false" ht="15.75" hidden="false" customHeight="false" outlineLevel="0" collapsed="false">
      <c r="A255" s="4"/>
      <c r="B255" s="2"/>
      <c r="C255" s="2"/>
      <c r="D255" s="2"/>
      <c r="E255" s="2"/>
      <c r="F255" s="3" t="str">
        <f aca="false">IFERROR(__xludf.dummyfunction("if($T255&lt;&gt;"""",VALUE(REGEXEXTRACT(SUBSTITUTE ($T255,F$1&amp;"" CE"",""""), F$1&amp;""[\w &amp;]*, (\d+\.\d+)"")),"""")
"),"")</f>
        <v/>
      </c>
      <c r="G255" s="3" t="str">
        <f aca="false">IFERROR(__xludf.dummyfunction("if($T255&lt;&gt;"""",VALUE(REGEXEXTRACT($T255, G$1&amp;""[\w &amp;]*, (\d+\.\d+)"")),"""")
"),"")</f>
        <v/>
      </c>
      <c r="H255" s="3"/>
      <c r="I255" s="3" t="str">
        <f aca="false">IFERROR(__xludf.dummyfunction("if($T255&lt;&gt;"""",VALUE(REGEXEXTRACT(SUBSTITUTE ($T255,I$1&amp;"" CE"",""""), I$1&amp;""[\w &amp;]*, (\d+\.\d+)"")),"""")
"),"")</f>
        <v/>
      </c>
      <c r="J255" s="3" t="str">
        <f aca="false">IFERROR(__xludf.dummyfunction("if($T255&lt;&gt;"""",VALUE(REGEXEXTRACT($T255, J$1&amp;""[\w &amp;]*, (\d+\.\d+)"")),"""")
"),"")</f>
        <v/>
      </c>
      <c r="K255" s="3"/>
      <c r="L255" s="3" t="str">
        <f aca="false">IFERROR(__xludf.dummyfunction("if($T255&lt;&gt;"""",VALUE(REGEXEXTRACT(SUBSTITUTE ($T255,L$1&amp;"" CE"",""""), L$1&amp;""[\w &amp;]*, (\d+\.\d+)"")),"""")
"),"")</f>
        <v/>
      </c>
      <c r="M255" s="3" t="str">
        <f aca="false">IFERROR(__xludf.dummyfunction("if($T255&lt;&gt;"""",VALUE(REGEXEXTRACT($T255, M$1&amp;""[\w &amp;]*, (\d+\.\d+)"")),"""")
"),"")</f>
        <v/>
      </c>
      <c r="N255" s="3" t="str">
        <f aca="false">IFERROR(__xludf.dummyfunction("if($T255&lt;&gt;"""",VALUE(REGEXEXTRACT(SUBSTITUTE ($T255,N$1&amp;"" CE"",""""), N$1&amp;""[\w &amp;]*, (\d+\.\d+)"")),"""")
"),"")</f>
        <v/>
      </c>
      <c r="O255" s="3" t="str">
        <f aca="false">IFERROR(__xludf.dummyfunction("if($T255&lt;&gt;"""",VALUE(REGEXEXTRACT($T255, O$1&amp;""[\w &amp;]*, (\d+\.\d+)"")),"""")
"),"")</f>
        <v/>
      </c>
      <c r="P255" s="2"/>
      <c r="Q255" s="2"/>
      <c r="R255" s="2"/>
      <c r="S255" s="2"/>
      <c r="T255" s="5"/>
    </row>
    <row r="256" customFormat="false" ht="15.75" hidden="false" customHeight="false" outlineLevel="0" collapsed="false">
      <c r="A256" s="4"/>
      <c r="B256" s="2"/>
      <c r="C256" s="2"/>
      <c r="D256" s="2"/>
      <c r="E256" s="2"/>
      <c r="F256" s="3" t="str">
        <f aca="false">IFERROR(__xludf.dummyfunction("if($T256&lt;&gt;"""",VALUE(REGEXEXTRACT(SUBSTITUTE ($T256,F$1&amp;"" CE"",""""), F$1&amp;""[\w &amp;]*, (\d+\.\d+)"")),"""")
"),"")</f>
        <v/>
      </c>
      <c r="G256" s="3" t="str">
        <f aca="false">IFERROR(__xludf.dummyfunction("if($T256&lt;&gt;"""",VALUE(REGEXEXTRACT($T256, G$1&amp;""[\w &amp;]*, (\d+\.\d+)"")),"""")
"),"")</f>
        <v/>
      </c>
      <c r="H256" s="3"/>
      <c r="I256" s="3" t="str">
        <f aca="false">IFERROR(__xludf.dummyfunction("if($T256&lt;&gt;"""",VALUE(REGEXEXTRACT(SUBSTITUTE ($T256,I$1&amp;"" CE"",""""), I$1&amp;""[\w &amp;]*, (\d+\.\d+)"")),"""")
"),"")</f>
        <v/>
      </c>
      <c r="J256" s="3" t="str">
        <f aca="false">IFERROR(__xludf.dummyfunction("if($T256&lt;&gt;"""",VALUE(REGEXEXTRACT($T256, J$1&amp;""[\w &amp;]*, (\d+\.\d+)"")),"""")
"),"")</f>
        <v/>
      </c>
      <c r="K256" s="3"/>
      <c r="L256" s="3" t="str">
        <f aca="false">IFERROR(__xludf.dummyfunction("if($T256&lt;&gt;"""",VALUE(REGEXEXTRACT(SUBSTITUTE ($T256,L$1&amp;"" CE"",""""), L$1&amp;""[\w &amp;]*, (\d+\.\d+)"")),"""")
"),"")</f>
        <v/>
      </c>
      <c r="M256" s="3" t="str">
        <f aca="false">IFERROR(__xludf.dummyfunction("if($T256&lt;&gt;"""",VALUE(REGEXEXTRACT($T256, M$1&amp;""[\w &amp;]*, (\d+\.\d+)"")),"""")
"),"")</f>
        <v/>
      </c>
      <c r="N256" s="3" t="str">
        <f aca="false">IFERROR(__xludf.dummyfunction("if($T256&lt;&gt;"""",VALUE(REGEXEXTRACT(SUBSTITUTE ($T256,N$1&amp;"" CE"",""""), N$1&amp;""[\w &amp;]*, (\d+\.\d+)"")),"""")
"),"")</f>
        <v/>
      </c>
      <c r="O256" s="3" t="str">
        <f aca="false">IFERROR(__xludf.dummyfunction("if($T256&lt;&gt;"""",VALUE(REGEXEXTRACT($T256, O$1&amp;""[\w &amp;]*, (\d+\.\d+)"")),"""")
"),"")</f>
        <v/>
      </c>
      <c r="P256" s="2"/>
      <c r="Q256" s="2"/>
      <c r="R256" s="2"/>
      <c r="S256" s="2"/>
      <c r="T256" s="5"/>
    </row>
    <row r="257" customFormat="false" ht="15.75" hidden="false" customHeight="false" outlineLevel="0" collapsed="false">
      <c r="A257" s="4"/>
      <c r="B257" s="2"/>
      <c r="C257" s="2"/>
      <c r="D257" s="2"/>
      <c r="E257" s="2"/>
      <c r="F257" s="3" t="str">
        <f aca="false">IFERROR(__xludf.dummyfunction("if($T257&lt;&gt;"""",VALUE(REGEXEXTRACT(SUBSTITUTE ($T257,F$1&amp;"" CE"",""""), F$1&amp;""[\w &amp;]*, (\d+\.\d+)"")),"""")
"),"")</f>
        <v/>
      </c>
      <c r="G257" s="3" t="str">
        <f aca="false">IFERROR(__xludf.dummyfunction("if($T257&lt;&gt;"""",VALUE(REGEXEXTRACT($T257, G$1&amp;""[\w &amp;]*, (\d+\.\d+)"")),"""")
"),"")</f>
        <v/>
      </c>
      <c r="H257" s="3"/>
      <c r="I257" s="3" t="str">
        <f aca="false">IFERROR(__xludf.dummyfunction("if($T257&lt;&gt;"""",VALUE(REGEXEXTRACT(SUBSTITUTE ($T257,I$1&amp;"" CE"",""""), I$1&amp;""[\w &amp;]*, (\d+\.\d+)"")),"""")
"),"")</f>
        <v/>
      </c>
      <c r="J257" s="3" t="str">
        <f aca="false">IFERROR(__xludf.dummyfunction("if($T257&lt;&gt;"""",VALUE(REGEXEXTRACT($T257, J$1&amp;""[\w &amp;]*, (\d+\.\d+)"")),"""")
"),"")</f>
        <v/>
      </c>
      <c r="K257" s="3"/>
      <c r="L257" s="3" t="str">
        <f aca="false">IFERROR(__xludf.dummyfunction("if($T257&lt;&gt;"""",VALUE(REGEXEXTRACT(SUBSTITUTE ($T257,L$1&amp;"" CE"",""""), L$1&amp;""[\w &amp;]*, (\d+\.\d+)"")),"""")
"),"")</f>
        <v/>
      </c>
      <c r="M257" s="3" t="str">
        <f aca="false">IFERROR(__xludf.dummyfunction("if($T257&lt;&gt;"""",VALUE(REGEXEXTRACT($T257, M$1&amp;""[\w &amp;]*, (\d+\.\d+)"")),"""")
"),"")</f>
        <v/>
      </c>
      <c r="N257" s="3" t="str">
        <f aca="false">IFERROR(__xludf.dummyfunction("if($T257&lt;&gt;"""",VALUE(REGEXEXTRACT(SUBSTITUTE ($T257,N$1&amp;"" CE"",""""), N$1&amp;""[\w &amp;]*, (\d+\.\d+)"")),"""")
"),"")</f>
        <v/>
      </c>
      <c r="O257" s="3" t="str">
        <f aca="false">IFERROR(__xludf.dummyfunction("if($T257&lt;&gt;"""",VALUE(REGEXEXTRACT($T257, O$1&amp;""[\w &amp;]*, (\d+\.\d+)"")),"""")
"),"")</f>
        <v/>
      </c>
      <c r="P257" s="2"/>
      <c r="Q257" s="2"/>
      <c r="R257" s="2"/>
      <c r="S257" s="2"/>
      <c r="T257" s="5"/>
    </row>
    <row r="258" customFormat="false" ht="15.75" hidden="false" customHeight="false" outlineLevel="0" collapsed="false">
      <c r="A258" s="4"/>
      <c r="B258" s="2"/>
      <c r="C258" s="2"/>
      <c r="D258" s="2"/>
      <c r="E258" s="2"/>
      <c r="F258" s="3" t="str">
        <f aca="false">IFERROR(__xludf.dummyfunction("if($T258&lt;&gt;"""",VALUE(REGEXEXTRACT(SUBSTITUTE ($T258,F$1&amp;"" CE"",""""), F$1&amp;""[\w &amp;]*, (\d+\.\d+)"")),"""")
"),"")</f>
        <v/>
      </c>
      <c r="G258" s="3" t="str">
        <f aca="false">IFERROR(__xludf.dummyfunction("if($T258&lt;&gt;"""",VALUE(REGEXEXTRACT($T258, G$1&amp;""[\w &amp;]*, (\d+\.\d+)"")),"""")
"),"")</f>
        <v/>
      </c>
      <c r="H258" s="3"/>
      <c r="I258" s="3" t="str">
        <f aca="false">IFERROR(__xludf.dummyfunction("if($T258&lt;&gt;"""",VALUE(REGEXEXTRACT(SUBSTITUTE ($T258,I$1&amp;"" CE"",""""), I$1&amp;""[\w &amp;]*, (\d+\.\d+)"")),"""")
"),"")</f>
        <v/>
      </c>
      <c r="J258" s="3" t="str">
        <f aca="false">IFERROR(__xludf.dummyfunction("if($T258&lt;&gt;"""",VALUE(REGEXEXTRACT($T258, J$1&amp;""[\w &amp;]*, (\d+\.\d+)"")),"""")
"),"")</f>
        <v/>
      </c>
      <c r="K258" s="3"/>
      <c r="L258" s="3" t="str">
        <f aca="false">IFERROR(__xludf.dummyfunction("if($T258&lt;&gt;"""",VALUE(REGEXEXTRACT(SUBSTITUTE ($T258,L$1&amp;"" CE"",""""), L$1&amp;""[\w &amp;]*, (\d+\.\d+)"")),"""")
"),"")</f>
        <v/>
      </c>
      <c r="M258" s="3" t="str">
        <f aca="false">IFERROR(__xludf.dummyfunction("if($T258&lt;&gt;"""",VALUE(REGEXEXTRACT($T258, M$1&amp;""[\w &amp;]*, (\d+\.\d+)"")),"""")
"),"")</f>
        <v/>
      </c>
      <c r="N258" s="3" t="str">
        <f aca="false">IFERROR(__xludf.dummyfunction("if($T258&lt;&gt;"""",VALUE(REGEXEXTRACT(SUBSTITUTE ($T258,N$1&amp;"" CE"",""""), N$1&amp;""[\w &amp;]*, (\d+\.\d+)"")),"""")
"),"")</f>
        <v/>
      </c>
      <c r="O258" s="3" t="str">
        <f aca="false">IFERROR(__xludf.dummyfunction("if($T258&lt;&gt;"""",VALUE(REGEXEXTRACT($T258, O$1&amp;""[\w &amp;]*, (\d+\.\d+)"")),"""")
"),"")</f>
        <v/>
      </c>
      <c r="P258" s="2"/>
      <c r="Q258" s="2"/>
      <c r="R258" s="2"/>
      <c r="S258" s="2"/>
      <c r="T258" s="5"/>
    </row>
    <row r="259" customFormat="false" ht="15.75" hidden="false" customHeight="false" outlineLevel="0" collapsed="false">
      <c r="A259" s="4"/>
      <c r="B259" s="2"/>
      <c r="C259" s="2"/>
      <c r="D259" s="2"/>
      <c r="E259" s="2"/>
      <c r="F259" s="3" t="str">
        <f aca="false">IFERROR(__xludf.dummyfunction("if($T259&lt;&gt;"""",VALUE(REGEXEXTRACT(SUBSTITUTE ($T259,F$1&amp;"" CE"",""""), F$1&amp;""[\w &amp;]*, (\d+\.\d+)"")),"""")
"),"")</f>
        <v/>
      </c>
      <c r="G259" s="3" t="str">
        <f aca="false">IFERROR(__xludf.dummyfunction("if($T259&lt;&gt;"""",VALUE(REGEXEXTRACT($T259, G$1&amp;""[\w &amp;]*, (\d+\.\d+)"")),"""")
"),"")</f>
        <v/>
      </c>
      <c r="H259" s="3"/>
      <c r="I259" s="3" t="str">
        <f aca="false">IFERROR(__xludf.dummyfunction("if($T259&lt;&gt;"""",VALUE(REGEXEXTRACT(SUBSTITUTE ($T259,I$1&amp;"" CE"",""""), I$1&amp;""[\w &amp;]*, (\d+\.\d+)"")),"""")
"),"")</f>
        <v/>
      </c>
      <c r="J259" s="3" t="str">
        <f aca="false">IFERROR(__xludf.dummyfunction("if($T259&lt;&gt;"""",VALUE(REGEXEXTRACT($T259, J$1&amp;""[\w &amp;]*, (\d+\.\d+)"")),"""")
"),"")</f>
        <v/>
      </c>
      <c r="K259" s="3"/>
      <c r="L259" s="3" t="str">
        <f aca="false">IFERROR(__xludf.dummyfunction("if($T259&lt;&gt;"""",VALUE(REGEXEXTRACT(SUBSTITUTE ($T259,L$1&amp;"" CE"",""""), L$1&amp;""[\w &amp;]*, (\d+\.\d+)"")),"""")
"),"")</f>
        <v/>
      </c>
      <c r="M259" s="3" t="str">
        <f aca="false">IFERROR(__xludf.dummyfunction("if($T259&lt;&gt;"""",VALUE(REGEXEXTRACT($T259, M$1&amp;""[\w &amp;]*, (\d+\.\d+)"")),"""")
"),"")</f>
        <v/>
      </c>
      <c r="N259" s="3" t="str">
        <f aca="false">IFERROR(__xludf.dummyfunction("if($T259&lt;&gt;"""",VALUE(REGEXEXTRACT(SUBSTITUTE ($T259,N$1&amp;"" CE"",""""), N$1&amp;""[\w &amp;]*, (\d+\.\d+)"")),"""")
"),"")</f>
        <v/>
      </c>
      <c r="O259" s="3" t="str">
        <f aca="false">IFERROR(__xludf.dummyfunction("if($T259&lt;&gt;"""",VALUE(REGEXEXTRACT($T259, O$1&amp;""[\w &amp;]*, (\d+\.\d+)"")),"""")
"),"")</f>
        <v/>
      </c>
      <c r="P259" s="2"/>
      <c r="Q259" s="2"/>
      <c r="R259" s="2"/>
      <c r="S259" s="2"/>
      <c r="T259" s="5"/>
    </row>
    <row r="260" customFormat="false" ht="15.75" hidden="false" customHeight="false" outlineLevel="0" collapsed="false">
      <c r="A260" s="4"/>
      <c r="B260" s="2"/>
      <c r="C260" s="2"/>
      <c r="D260" s="2"/>
      <c r="E260" s="2"/>
      <c r="F260" s="3" t="str">
        <f aca="false">IFERROR(__xludf.dummyfunction("if($T260&lt;&gt;"""",VALUE(REGEXEXTRACT(SUBSTITUTE ($T260,F$1&amp;"" CE"",""""), F$1&amp;""[\w &amp;]*, (\d+\.\d+)"")),"""")
"),"")</f>
        <v/>
      </c>
      <c r="G260" s="3" t="str">
        <f aca="false">IFERROR(__xludf.dummyfunction("if($T260&lt;&gt;"""",VALUE(REGEXEXTRACT($T260, G$1&amp;""[\w &amp;]*, (\d+\.\d+)"")),"""")
"),"")</f>
        <v/>
      </c>
      <c r="H260" s="3"/>
      <c r="I260" s="3" t="str">
        <f aca="false">IFERROR(__xludf.dummyfunction("if($T260&lt;&gt;"""",VALUE(REGEXEXTRACT(SUBSTITUTE ($T260,I$1&amp;"" CE"",""""), I$1&amp;""[\w &amp;]*, (\d+\.\d+)"")),"""")
"),"")</f>
        <v/>
      </c>
      <c r="J260" s="3" t="str">
        <f aca="false">IFERROR(__xludf.dummyfunction("if($T260&lt;&gt;"""",VALUE(REGEXEXTRACT($T260, J$1&amp;""[\w &amp;]*, (\d+\.\d+)"")),"""")
"),"")</f>
        <v/>
      </c>
      <c r="K260" s="3"/>
      <c r="L260" s="3" t="str">
        <f aca="false">IFERROR(__xludf.dummyfunction("if($T260&lt;&gt;"""",VALUE(REGEXEXTRACT(SUBSTITUTE ($T260,L$1&amp;"" CE"",""""), L$1&amp;""[\w &amp;]*, (\d+\.\d+)"")),"""")
"),"")</f>
        <v/>
      </c>
      <c r="M260" s="3" t="str">
        <f aca="false">IFERROR(__xludf.dummyfunction("if($T260&lt;&gt;"""",VALUE(REGEXEXTRACT($T260, M$1&amp;""[\w &amp;]*, (\d+\.\d+)"")),"""")
"),"")</f>
        <v/>
      </c>
      <c r="N260" s="3" t="str">
        <f aca="false">IFERROR(__xludf.dummyfunction("if($T260&lt;&gt;"""",VALUE(REGEXEXTRACT(SUBSTITUTE ($T260,N$1&amp;"" CE"",""""), N$1&amp;""[\w &amp;]*, (\d+\.\d+)"")),"""")
"),"")</f>
        <v/>
      </c>
      <c r="O260" s="3" t="str">
        <f aca="false">IFERROR(__xludf.dummyfunction("if($T260&lt;&gt;"""",VALUE(REGEXEXTRACT($T260, O$1&amp;""[\w &amp;]*, (\d+\.\d+)"")),"""")
"),"")</f>
        <v/>
      </c>
      <c r="P260" s="2"/>
      <c r="Q260" s="2"/>
      <c r="R260" s="2"/>
      <c r="S260" s="2"/>
      <c r="T260" s="5"/>
    </row>
    <row r="261" customFormat="false" ht="15.75" hidden="false" customHeight="false" outlineLevel="0" collapsed="false">
      <c r="A261" s="4"/>
      <c r="B261" s="2"/>
      <c r="C261" s="2"/>
      <c r="D261" s="2"/>
      <c r="E261" s="2"/>
      <c r="F261" s="3" t="str">
        <f aca="false">IFERROR(__xludf.dummyfunction("if($T261&lt;&gt;"""",VALUE(REGEXEXTRACT(SUBSTITUTE ($T261,F$1&amp;"" CE"",""""), F$1&amp;""[\w &amp;]*, (\d+\.\d+)"")),"""")
"),"")</f>
        <v/>
      </c>
      <c r="G261" s="3" t="str">
        <f aca="false">IFERROR(__xludf.dummyfunction("if($T261&lt;&gt;"""",VALUE(REGEXEXTRACT($T261, G$1&amp;""[\w &amp;]*, (\d+\.\d+)"")),"""")
"),"")</f>
        <v/>
      </c>
      <c r="H261" s="3"/>
      <c r="I261" s="3" t="str">
        <f aca="false">IFERROR(__xludf.dummyfunction("if($T261&lt;&gt;"""",VALUE(REGEXEXTRACT(SUBSTITUTE ($T261,I$1&amp;"" CE"",""""), I$1&amp;""[\w &amp;]*, (\d+\.\d+)"")),"""")
"),"")</f>
        <v/>
      </c>
      <c r="J261" s="3" t="str">
        <f aca="false">IFERROR(__xludf.dummyfunction("if($T261&lt;&gt;"""",VALUE(REGEXEXTRACT($T261, J$1&amp;""[\w &amp;]*, (\d+\.\d+)"")),"""")
"),"")</f>
        <v/>
      </c>
      <c r="K261" s="3"/>
      <c r="L261" s="3" t="str">
        <f aca="false">IFERROR(__xludf.dummyfunction("if($T261&lt;&gt;"""",VALUE(REGEXEXTRACT(SUBSTITUTE ($T261,L$1&amp;"" CE"",""""), L$1&amp;""[\w &amp;]*, (\d+\.\d+)"")),"""")
"),"")</f>
        <v/>
      </c>
      <c r="M261" s="3" t="str">
        <f aca="false">IFERROR(__xludf.dummyfunction("if($T261&lt;&gt;"""",VALUE(REGEXEXTRACT($T261, M$1&amp;""[\w &amp;]*, (\d+\.\d+)"")),"""")
"),"")</f>
        <v/>
      </c>
      <c r="N261" s="3" t="str">
        <f aca="false">IFERROR(__xludf.dummyfunction("if($T261&lt;&gt;"""",VALUE(REGEXEXTRACT(SUBSTITUTE ($T261,N$1&amp;"" CE"",""""), N$1&amp;""[\w &amp;]*, (\d+\.\d+)"")),"""")
"),"")</f>
        <v/>
      </c>
      <c r="O261" s="3" t="str">
        <f aca="false">IFERROR(__xludf.dummyfunction("if($T261&lt;&gt;"""",VALUE(REGEXEXTRACT($T261, O$1&amp;""[\w &amp;]*, (\d+\.\d+)"")),"""")
"),"")</f>
        <v/>
      </c>
      <c r="P261" s="2"/>
      <c r="Q261" s="2"/>
      <c r="R261" s="2"/>
      <c r="S261" s="2"/>
      <c r="T261" s="5"/>
    </row>
    <row r="262" customFormat="false" ht="15.75" hidden="false" customHeight="false" outlineLevel="0" collapsed="false">
      <c r="A262" s="4"/>
      <c r="B262" s="2"/>
      <c r="C262" s="2"/>
      <c r="D262" s="2"/>
      <c r="E262" s="2"/>
      <c r="F262" s="3" t="str">
        <f aca="false">IFERROR(__xludf.dummyfunction("if($T262&lt;&gt;"""",REGEXEXTRACT(SUBSTITUTE ($T262,F$1&amp;"" CE"",""""), F$1&amp;""[\w &amp;]*, (\d+\.\d+)""),"""")
"),"")</f>
        <v/>
      </c>
      <c r="G262" s="3" t="str">
        <f aca="false">IFERROR(__xludf.dummyfunction("if($T262&lt;&gt;"""",REGEXEXTRACT($T262, G$1&amp;""[\w &amp;]*, (\d+\.\d+)""),"""")
"),"")</f>
        <v/>
      </c>
      <c r="H262" s="3"/>
      <c r="I262" s="3" t="str">
        <f aca="false">IFERROR(__xludf.dummyfunction("if($T262&lt;&gt;"""",REGEXEXTRACT(SUBSTITUTE ($T262,I$1&amp;"" CE"",""""), I$1&amp;""[\w &amp;]*, (\d+\.\d+)""),"""")
"),"")</f>
        <v/>
      </c>
      <c r="J262" s="3" t="str">
        <f aca="false">IFERROR(__xludf.dummyfunction("if($T262&lt;&gt;"""",REGEXEXTRACT($T262, J$1&amp;""[\w &amp;]*, (\d+\.\d+)""),"""")
"),"")</f>
        <v/>
      </c>
      <c r="K262" s="3"/>
      <c r="L262" s="3" t="str">
        <f aca="false">IFERROR(__xludf.dummyfunction("if($T262&lt;&gt;"""",REGEXEXTRACT(SUBSTITUTE ($T262,L$1&amp;"" CE"",""""), L$1&amp;""[\w &amp;]*, (\d+\.\d+)""),"""")
"),"")</f>
        <v/>
      </c>
      <c r="M262" s="3" t="str">
        <f aca="false">IFERROR(__xludf.dummyfunction("if($T262&lt;&gt;"""",REGEXEXTRACT($T262, M$1&amp;""[\w &amp;]*, (\d+\.\d+)""),"""")
"),"")</f>
        <v/>
      </c>
      <c r="N262" s="3" t="str">
        <f aca="false">IFERROR(__xludf.dummyfunction("if($T262&lt;&gt;"""",REGEXEXTRACT(SUBSTITUTE ($T262,N$1&amp;"" CE"",""""), N$1&amp;""[\w &amp;]*, (\d+\.\d+)""),"""")
"),"")</f>
        <v/>
      </c>
      <c r="O262" s="3" t="str">
        <f aca="false">IFERROR(__xludf.dummyfunction("if($T262&lt;&gt;"""",REGEXEXTRACT($T262, O$1&amp;""[\w &amp;]*, (\d+\.\d+)""),"""")
"),"")</f>
        <v/>
      </c>
      <c r="P262" s="2"/>
      <c r="Q262" s="2"/>
      <c r="R262" s="2"/>
      <c r="S262" s="2"/>
      <c r="T262" s="5"/>
    </row>
    <row r="263" customFormat="false" ht="15.75" hidden="false" customHeight="false" outlineLevel="0" collapsed="false">
      <c r="A263" s="4"/>
      <c r="B263" s="2"/>
      <c r="C263" s="2"/>
      <c r="D263" s="2"/>
      <c r="E263" s="2"/>
      <c r="F263" s="3" t="str">
        <f aca="false">IFERROR(__xludf.dummyfunction("if($T263&lt;&gt;"""",REGEXEXTRACT(SUBSTITUTE ($T263,F$1&amp;"" CE"",""""), F$1&amp;""[\w &amp;]*, (\d+\.\d+)""),"""")
"),"")</f>
        <v/>
      </c>
      <c r="G263" s="3" t="str">
        <f aca="false">IFERROR(__xludf.dummyfunction("if($T263&lt;&gt;"""",REGEXEXTRACT($T263, G$1&amp;""[\w &amp;]*, (\d+\.\d+)""),"""")
"),"")</f>
        <v/>
      </c>
      <c r="H263" s="3"/>
      <c r="I263" s="3" t="str">
        <f aca="false">IFERROR(__xludf.dummyfunction("if($T263&lt;&gt;"""",REGEXEXTRACT(SUBSTITUTE ($T263,I$1&amp;"" CE"",""""), I$1&amp;""[\w &amp;]*, (\d+\.\d+)""),"""")
"),"")</f>
        <v/>
      </c>
      <c r="J263" s="3" t="str">
        <f aca="false">IFERROR(__xludf.dummyfunction("if($T263&lt;&gt;"""",REGEXEXTRACT($T263, J$1&amp;""[\w &amp;]*, (\d+\.\d+)""),"""")
"),"")</f>
        <v/>
      </c>
      <c r="K263" s="3"/>
      <c r="L263" s="3" t="str">
        <f aca="false">IFERROR(__xludf.dummyfunction("if($T263&lt;&gt;"""",REGEXEXTRACT(SUBSTITUTE ($T263,L$1&amp;"" CE"",""""), L$1&amp;""[\w &amp;]*, (\d+\.\d+)""),"""")
"),"")</f>
        <v/>
      </c>
      <c r="M263" s="3" t="str">
        <f aca="false">IFERROR(__xludf.dummyfunction("if($T263&lt;&gt;"""",REGEXEXTRACT($T263, M$1&amp;""[\w &amp;]*, (\d+\.\d+)""),"""")
"),"")</f>
        <v/>
      </c>
      <c r="N263" s="3" t="str">
        <f aca="false">IFERROR(__xludf.dummyfunction("if($T263&lt;&gt;"""",REGEXEXTRACT(SUBSTITUTE ($T263,N$1&amp;"" CE"",""""), N$1&amp;""[\w &amp;]*, (\d+\.\d+)""),"""")
"),"")</f>
        <v/>
      </c>
      <c r="O263" s="3" t="str">
        <f aca="false">IFERROR(__xludf.dummyfunction("if($T263&lt;&gt;"""",REGEXEXTRACT($T263, O$1&amp;""[\w &amp;]*, (\d+\.\d+)""),"""")
"),"")</f>
        <v/>
      </c>
      <c r="P263" s="2"/>
      <c r="Q263" s="2"/>
      <c r="R263" s="2"/>
      <c r="S263" s="2"/>
      <c r="T263" s="5"/>
    </row>
    <row r="264" customFormat="false" ht="15.75" hidden="false" customHeight="false" outlineLevel="0" collapsed="false">
      <c r="A264" s="4"/>
      <c r="B264" s="2"/>
      <c r="C264" s="2"/>
      <c r="D264" s="2"/>
      <c r="E264" s="2"/>
      <c r="F264" s="3" t="str">
        <f aca="false">IFERROR(__xludf.dummyfunction("if($T264&lt;&gt;"""",REGEXEXTRACT(SUBSTITUTE ($T264,F$1&amp;"" CE"",""""), F$1&amp;""[\w &amp;]*, (\d+\.\d+)""),"""")
"),"")</f>
        <v/>
      </c>
      <c r="G264" s="3" t="str">
        <f aca="false">IFERROR(__xludf.dummyfunction("if($T264&lt;&gt;"""",REGEXEXTRACT($T264, G$1&amp;""[\w &amp;]*, (\d+\.\d+)""),"""")
"),"")</f>
        <v/>
      </c>
      <c r="H264" s="3"/>
      <c r="I264" s="3" t="str">
        <f aca="false">IFERROR(__xludf.dummyfunction("if($T264&lt;&gt;"""",REGEXEXTRACT(SUBSTITUTE ($T264,I$1&amp;"" CE"",""""), I$1&amp;""[\w &amp;]*, (\d+\.\d+)""),"""")
"),"")</f>
        <v/>
      </c>
      <c r="J264" s="3" t="str">
        <f aca="false">IFERROR(__xludf.dummyfunction("if($T264&lt;&gt;"""",REGEXEXTRACT($T264, J$1&amp;""[\w &amp;]*, (\d+\.\d+)""),"""")
"),"")</f>
        <v/>
      </c>
      <c r="K264" s="3"/>
      <c r="L264" s="3" t="str">
        <f aca="false">IFERROR(__xludf.dummyfunction("if($T264&lt;&gt;"""",REGEXEXTRACT(SUBSTITUTE ($T264,L$1&amp;"" CE"",""""), L$1&amp;""[\w &amp;]*, (\d+\.\d+)""),"""")
"),"")</f>
        <v/>
      </c>
      <c r="M264" s="3" t="str">
        <f aca="false">IFERROR(__xludf.dummyfunction("if($T264&lt;&gt;"""",REGEXEXTRACT($T264, M$1&amp;""[\w &amp;]*, (\d+\.\d+)""),"""")
"),"")</f>
        <v/>
      </c>
      <c r="N264" s="3" t="str">
        <f aca="false">IFERROR(__xludf.dummyfunction("if($T264&lt;&gt;"""",REGEXEXTRACT(SUBSTITUTE ($T264,N$1&amp;"" CE"",""""), N$1&amp;""[\w &amp;]*, (\d+\.\d+)""),"""")
"),"")</f>
        <v/>
      </c>
      <c r="O264" s="3" t="str">
        <f aca="false">IFERROR(__xludf.dummyfunction("if($T264&lt;&gt;"""",REGEXEXTRACT($T264, O$1&amp;""[\w &amp;]*, (\d+\.\d+)""),"""")
"),"")</f>
        <v/>
      </c>
      <c r="P264" s="2"/>
      <c r="Q264" s="2"/>
      <c r="R264" s="2"/>
      <c r="S264" s="2"/>
      <c r="T264" s="5"/>
    </row>
    <row r="265" customFormat="false" ht="15.75" hidden="false" customHeight="false" outlineLevel="0" collapsed="false">
      <c r="A265" s="4"/>
      <c r="B265" s="2"/>
      <c r="C265" s="2"/>
      <c r="D265" s="2"/>
      <c r="E265" s="2"/>
      <c r="F265" s="3" t="str">
        <f aca="false">IFERROR(__xludf.dummyfunction("if($T265&lt;&gt;"""",REGEXEXTRACT(SUBSTITUTE ($T265,F$1&amp;"" CE"",""""), F$1&amp;""[\w &amp;]*, (\d+\.\d+)""),"""")
"),"")</f>
        <v/>
      </c>
      <c r="G265" s="3" t="str">
        <f aca="false">IFERROR(__xludf.dummyfunction("if($T265&lt;&gt;"""",REGEXEXTRACT($T265, G$1&amp;""[\w &amp;]*, (\d+\.\d+)""),"""")
"),"")</f>
        <v/>
      </c>
      <c r="H265" s="3"/>
      <c r="I265" s="3" t="str">
        <f aca="false">IFERROR(__xludf.dummyfunction("if($T265&lt;&gt;"""",REGEXEXTRACT(SUBSTITUTE ($T265,I$1&amp;"" CE"",""""), I$1&amp;""[\w &amp;]*, (\d+\.\d+)""),"""")
"),"")</f>
        <v/>
      </c>
      <c r="J265" s="3" t="str">
        <f aca="false">IFERROR(__xludf.dummyfunction("if($T265&lt;&gt;"""",REGEXEXTRACT($T265, J$1&amp;""[\w &amp;]*, (\d+\.\d+)""),"""")
"),"")</f>
        <v/>
      </c>
      <c r="K265" s="3"/>
      <c r="L265" s="3" t="str">
        <f aca="false">IFERROR(__xludf.dummyfunction("if($T265&lt;&gt;"""",REGEXEXTRACT(SUBSTITUTE ($T265,L$1&amp;"" CE"",""""), L$1&amp;""[\w &amp;]*, (\d+\.\d+)""),"""")
"),"")</f>
        <v/>
      </c>
      <c r="M265" s="3" t="str">
        <f aca="false">IFERROR(__xludf.dummyfunction("if($T265&lt;&gt;"""",REGEXEXTRACT($T265, M$1&amp;""[\w &amp;]*, (\d+\.\d+)""),"""")
"),"")</f>
        <v/>
      </c>
      <c r="N265" s="3" t="str">
        <f aca="false">IFERROR(__xludf.dummyfunction("if($T265&lt;&gt;"""",REGEXEXTRACT(SUBSTITUTE ($T265,N$1&amp;"" CE"",""""), N$1&amp;""[\w &amp;]*, (\d+\.\d+)""),"""")
"),"")</f>
        <v/>
      </c>
      <c r="O265" s="3" t="str">
        <f aca="false">IFERROR(__xludf.dummyfunction("if($T265&lt;&gt;"""",REGEXEXTRACT($T265, O$1&amp;""[\w &amp;]*, (\d+\.\d+)""),"""")
"),"")</f>
        <v/>
      </c>
      <c r="P265" s="2"/>
      <c r="Q265" s="2"/>
      <c r="R265" s="2"/>
      <c r="S265" s="2"/>
      <c r="T265" s="5"/>
    </row>
    <row r="266" customFormat="false" ht="15.75" hidden="false" customHeight="false" outlineLevel="0" collapsed="false">
      <c r="A266" s="4"/>
      <c r="B266" s="2"/>
      <c r="C266" s="2"/>
      <c r="D266" s="2"/>
      <c r="E266" s="2"/>
      <c r="F266" s="3" t="str">
        <f aca="false">IFERROR(__xludf.dummyfunction("if($T266&lt;&gt;"""",REGEXEXTRACT(SUBSTITUTE ($T266,F$1&amp;"" CE"",""""), F$1&amp;""[\w &amp;]*, (\d+\.\d+)""),"""")
"),"")</f>
        <v/>
      </c>
      <c r="G266" s="3" t="str">
        <f aca="false">IFERROR(__xludf.dummyfunction("if($T266&lt;&gt;"""",REGEXEXTRACT($T266, G$1&amp;""[\w &amp;]*, (\d+\.\d+)""),"""")
"),"")</f>
        <v/>
      </c>
      <c r="H266" s="3"/>
      <c r="I266" s="3" t="str">
        <f aca="false">IFERROR(__xludf.dummyfunction("if($T266&lt;&gt;"""",REGEXEXTRACT(SUBSTITUTE ($T266,I$1&amp;"" CE"",""""), I$1&amp;""[\w &amp;]*, (\d+\.\d+)""),"""")
"),"")</f>
        <v/>
      </c>
      <c r="J266" s="3" t="str">
        <f aca="false">IFERROR(__xludf.dummyfunction("if($T266&lt;&gt;"""",REGEXEXTRACT($T266, J$1&amp;""[\w &amp;]*, (\d+\.\d+)""),"""")
"),"")</f>
        <v/>
      </c>
      <c r="K266" s="3"/>
      <c r="L266" s="3" t="str">
        <f aca="false">IFERROR(__xludf.dummyfunction("if($T266&lt;&gt;"""",REGEXEXTRACT(SUBSTITUTE ($T266,L$1&amp;"" CE"",""""), L$1&amp;""[\w &amp;]*, (\d+\.\d+)""),"""")
"),"")</f>
        <v/>
      </c>
      <c r="M266" s="3" t="str">
        <f aca="false">IFERROR(__xludf.dummyfunction("if($T266&lt;&gt;"""",REGEXEXTRACT($T266, M$1&amp;""[\w &amp;]*, (\d+\.\d+)""),"""")
"),"")</f>
        <v/>
      </c>
      <c r="N266" s="3" t="str">
        <f aca="false">IFERROR(__xludf.dummyfunction("if($T266&lt;&gt;"""",REGEXEXTRACT(SUBSTITUTE ($T266,N$1&amp;"" CE"",""""), N$1&amp;""[\w &amp;]*, (\d+\.\d+)""),"""")
"),"")</f>
        <v/>
      </c>
      <c r="O266" s="3" t="str">
        <f aca="false">IFERROR(__xludf.dummyfunction("if($T266&lt;&gt;"""",REGEXEXTRACT($T266, O$1&amp;""[\w &amp;]*, (\d+\.\d+)""),"""")
"),"")</f>
        <v/>
      </c>
      <c r="P266" s="2"/>
      <c r="Q266" s="2"/>
      <c r="R266" s="2"/>
      <c r="S266" s="2"/>
      <c r="T266" s="5"/>
    </row>
    <row r="267" customFormat="false" ht="15.75" hidden="false" customHeight="false" outlineLevel="0" collapsed="false">
      <c r="A267" s="4"/>
      <c r="B267" s="2"/>
      <c r="C267" s="2"/>
      <c r="D267" s="2"/>
      <c r="E267" s="2"/>
      <c r="F267" s="3" t="str">
        <f aca="false">IFERROR(__xludf.dummyfunction("if($T267&lt;&gt;"""",REGEXEXTRACT(SUBSTITUTE ($T267,F$1&amp;"" CE"",""""), F$1&amp;""[\w &amp;]*, (\d+\.\d+)""),"""")
"),"")</f>
        <v/>
      </c>
      <c r="G267" s="3" t="str">
        <f aca="false">IFERROR(__xludf.dummyfunction("if($T267&lt;&gt;"""",REGEXEXTRACT($T267, G$1&amp;""[\w &amp;]*, (\d+\.\d+)""),"""")
"),"")</f>
        <v/>
      </c>
      <c r="H267" s="3"/>
      <c r="I267" s="3" t="str">
        <f aca="false">IFERROR(__xludf.dummyfunction("if($T267&lt;&gt;"""",REGEXEXTRACT(SUBSTITUTE ($T267,I$1&amp;"" CE"",""""), I$1&amp;""[\w &amp;]*, (\d+\.\d+)""),"""")
"),"")</f>
        <v/>
      </c>
      <c r="J267" s="3" t="str">
        <f aca="false">IFERROR(__xludf.dummyfunction("if($T267&lt;&gt;"""",REGEXEXTRACT($T267, J$1&amp;""[\w &amp;]*, (\d+\.\d+)""),"""")
"),"")</f>
        <v/>
      </c>
      <c r="K267" s="3"/>
      <c r="L267" s="3" t="str">
        <f aca="false">IFERROR(__xludf.dummyfunction("if($T267&lt;&gt;"""",REGEXEXTRACT(SUBSTITUTE ($T267,L$1&amp;"" CE"",""""), L$1&amp;""[\w &amp;]*, (\d+\.\d+)""),"""")
"),"")</f>
        <v/>
      </c>
      <c r="M267" s="3" t="str">
        <f aca="false">IFERROR(__xludf.dummyfunction("if($T267&lt;&gt;"""",REGEXEXTRACT($T267, M$1&amp;""[\w &amp;]*, (\d+\.\d+)""),"""")
"),"")</f>
        <v/>
      </c>
      <c r="N267" s="3" t="str">
        <f aca="false">IFERROR(__xludf.dummyfunction("if($T267&lt;&gt;"""",REGEXEXTRACT(SUBSTITUTE ($T267,N$1&amp;"" CE"",""""), N$1&amp;""[\w &amp;]*, (\d+\.\d+)""),"""")
"),"")</f>
        <v/>
      </c>
      <c r="O267" s="3" t="str">
        <f aca="false">IFERROR(__xludf.dummyfunction("if($T267&lt;&gt;"""",REGEXEXTRACT($T267, O$1&amp;""[\w &amp;]*, (\d+\.\d+)""),"""")
"),"")</f>
        <v/>
      </c>
      <c r="P267" s="2"/>
      <c r="Q267" s="2"/>
      <c r="R267" s="2"/>
      <c r="S267" s="2"/>
      <c r="T267" s="5"/>
    </row>
    <row r="268" customFormat="false" ht="15.75" hidden="false" customHeight="false" outlineLevel="0" collapsed="false">
      <c r="A268" s="4"/>
      <c r="B268" s="2"/>
      <c r="C268" s="2"/>
      <c r="D268" s="2"/>
      <c r="E268" s="2"/>
      <c r="F268" s="3" t="str">
        <f aca="false">IFERROR(__xludf.dummyfunction("if($T268&lt;&gt;"""",REGEXEXTRACT(SUBSTITUTE ($T268,F$1&amp;"" CE"",""""), F$1&amp;""[\w &amp;]*, (\d+\.\d+)""),"""")
"),"")</f>
        <v/>
      </c>
      <c r="G268" s="3" t="str">
        <f aca="false">IFERROR(__xludf.dummyfunction("if($T268&lt;&gt;"""",REGEXEXTRACT($T268, G$1&amp;""[\w &amp;]*, (\d+\.\d+)""),"""")
"),"")</f>
        <v/>
      </c>
      <c r="H268" s="3"/>
      <c r="I268" s="3" t="str">
        <f aca="false">IFERROR(__xludf.dummyfunction("if($T268&lt;&gt;"""",REGEXEXTRACT(SUBSTITUTE ($T268,I$1&amp;"" CE"",""""), I$1&amp;""[\w &amp;]*, (\d+\.\d+)""),"""")
"),"")</f>
        <v/>
      </c>
      <c r="J268" s="3" t="str">
        <f aca="false">IFERROR(__xludf.dummyfunction("if($T268&lt;&gt;"""",REGEXEXTRACT($T268, J$1&amp;""[\w &amp;]*, (\d+\.\d+)""),"""")
"),"")</f>
        <v/>
      </c>
      <c r="K268" s="3"/>
      <c r="L268" s="3" t="str">
        <f aca="false">IFERROR(__xludf.dummyfunction("if($T268&lt;&gt;"""",REGEXEXTRACT(SUBSTITUTE ($T268,L$1&amp;"" CE"",""""), L$1&amp;""[\w &amp;]*, (\d+\.\d+)""),"""")
"),"")</f>
        <v/>
      </c>
      <c r="M268" s="3" t="str">
        <f aca="false">IFERROR(__xludf.dummyfunction("if($T268&lt;&gt;"""",REGEXEXTRACT($T268, M$1&amp;""[\w &amp;]*, (\d+\.\d+)""),"""")
"),"")</f>
        <v/>
      </c>
      <c r="N268" s="3" t="str">
        <f aca="false">IFERROR(__xludf.dummyfunction("if($T268&lt;&gt;"""",REGEXEXTRACT(SUBSTITUTE ($T268,N$1&amp;"" CE"",""""), N$1&amp;""[\w &amp;]*, (\d+\.\d+)""),"""")
"),"")</f>
        <v/>
      </c>
      <c r="O268" s="3" t="str">
        <f aca="false">IFERROR(__xludf.dummyfunction("if($T268&lt;&gt;"""",REGEXEXTRACT($T268, O$1&amp;""[\w &amp;]*, (\d+\.\d+)""),"""")
"),"")</f>
        <v/>
      </c>
      <c r="P268" s="2"/>
      <c r="Q268" s="2"/>
      <c r="R268" s="2"/>
      <c r="S268" s="2"/>
      <c r="T268" s="5"/>
    </row>
    <row r="269" customFormat="false" ht="15.75" hidden="false" customHeight="false" outlineLevel="0" collapsed="false">
      <c r="A269" s="4"/>
      <c r="B269" s="2"/>
      <c r="C269" s="2"/>
      <c r="D269" s="2"/>
      <c r="E269" s="2"/>
      <c r="F269" s="3" t="str">
        <f aca="false">IFERROR(__xludf.dummyfunction("if($T269&lt;&gt;"""",REGEXEXTRACT(SUBSTITUTE ($T269,F$1&amp;"" CE"",""""), F$1&amp;""[\w &amp;]*, (\d+\.\d+)""),"""")
"),"")</f>
        <v/>
      </c>
      <c r="G269" s="3" t="str">
        <f aca="false">IFERROR(__xludf.dummyfunction("if($T269&lt;&gt;"""",REGEXEXTRACT($T269, G$1&amp;""[\w &amp;]*, (\d+\.\d+)""),"""")
"),"")</f>
        <v/>
      </c>
      <c r="H269" s="3"/>
      <c r="I269" s="3" t="str">
        <f aca="false">IFERROR(__xludf.dummyfunction("if($T269&lt;&gt;"""",REGEXEXTRACT(SUBSTITUTE ($T269,I$1&amp;"" CE"",""""), I$1&amp;""[\w &amp;]*, (\d+\.\d+)""),"""")
"),"")</f>
        <v/>
      </c>
      <c r="J269" s="3" t="str">
        <f aca="false">IFERROR(__xludf.dummyfunction("if($T269&lt;&gt;"""",REGEXEXTRACT($T269, J$1&amp;""[\w &amp;]*, (\d+\.\d+)""),"""")
"),"")</f>
        <v/>
      </c>
      <c r="K269" s="3"/>
      <c r="L269" s="3" t="str">
        <f aca="false">IFERROR(__xludf.dummyfunction("if($T269&lt;&gt;"""",REGEXEXTRACT(SUBSTITUTE ($T269,L$1&amp;"" CE"",""""), L$1&amp;""[\w &amp;]*, (\d+\.\d+)""),"""")
"),"")</f>
        <v/>
      </c>
      <c r="M269" s="3" t="str">
        <f aca="false">IFERROR(__xludf.dummyfunction("if($T269&lt;&gt;"""",REGEXEXTRACT($T269, M$1&amp;""[\w &amp;]*, (\d+\.\d+)""),"""")
"),"")</f>
        <v/>
      </c>
      <c r="N269" s="3" t="str">
        <f aca="false">IFERROR(__xludf.dummyfunction("if($T269&lt;&gt;"""",REGEXEXTRACT(SUBSTITUTE ($T269,N$1&amp;"" CE"",""""), N$1&amp;""[\w &amp;]*, (\d+\.\d+)""),"""")
"),"")</f>
        <v/>
      </c>
      <c r="O269" s="3" t="str">
        <f aca="false">IFERROR(__xludf.dummyfunction("if($T269&lt;&gt;"""",REGEXEXTRACT($T269, O$1&amp;""[\w &amp;]*, (\d+\.\d+)""),"""")
"),"")</f>
        <v/>
      </c>
      <c r="P269" s="2"/>
      <c r="Q269" s="2"/>
      <c r="R269" s="2"/>
      <c r="S269" s="2"/>
      <c r="T269" s="5"/>
    </row>
    <row r="270" customFormat="false" ht="15.75" hidden="false" customHeight="false" outlineLevel="0" collapsed="false">
      <c r="A270" s="4"/>
      <c r="B270" s="2"/>
      <c r="C270" s="2"/>
      <c r="D270" s="2"/>
      <c r="E270" s="2"/>
      <c r="F270" s="3" t="str">
        <f aca="false">IFERROR(__xludf.dummyfunction("if($T270&lt;&gt;"""",REGEXEXTRACT(SUBSTITUTE ($T270,F$1&amp;"" CE"",""""), F$1&amp;""[\w &amp;]*, (\d+\.\d+)""),"""")
"),"")</f>
        <v/>
      </c>
      <c r="G270" s="3" t="str">
        <f aca="false">IFERROR(__xludf.dummyfunction("if($T270&lt;&gt;"""",REGEXEXTRACT($T270, G$1&amp;""[\w &amp;]*, (\d+\.\d+)""),"""")
"),"")</f>
        <v/>
      </c>
      <c r="H270" s="3"/>
      <c r="I270" s="3" t="str">
        <f aca="false">IFERROR(__xludf.dummyfunction("if($T270&lt;&gt;"""",REGEXEXTRACT(SUBSTITUTE ($T270,I$1&amp;"" CE"",""""), I$1&amp;""[\w &amp;]*, (\d+\.\d+)""),"""")
"),"")</f>
        <v/>
      </c>
      <c r="J270" s="3" t="str">
        <f aca="false">IFERROR(__xludf.dummyfunction("if($T270&lt;&gt;"""",REGEXEXTRACT($T270, J$1&amp;""[\w &amp;]*, (\d+\.\d+)""),"""")
"),"")</f>
        <v/>
      </c>
      <c r="K270" s="3"/>
      <c r="L270" s="3" t="str">
        <f aca="false">IFERROR(__xludf.dummyfunction("if($T270&lt;&gt;"""",REGEXEXTRACT(SUBSTITUTE ($T270,L$1&amp;"" CE"",""""), L$1&amp;""[\w &amp;]*, (\d+\.\d+)""),"""")
"),"")</f>
        <v/>
      </c>
      <c r="M270" s="3" t="str">
        <f aca="false">IFERROR(__xludf.dummyfunction("if($T270&lt;&gt;"""",REGEXEXTRACT($T270, M$1&amp;""[\w &amp;]*, (\d+\.\d+)""),"""")
"),"")</f>
        <v/>
      </c>
      <c r="N270" s="3" t="str">
        <f aca="false">IFERROR(__xludf.dummyfunction("if($T270&lt;&gt;"""",REGEXEXTRACT(SUBSTITUTE ($T270,N$1&amp;"" CE"",""""), N$1&amp;""[\w &amp;]*, (\d+\.\d+)""),"""")
"),"")</f>
        <v/>
      </c>
      <c r="O270" s="3" t="str">
        <f aca="false">IFERROR(__xludf.dummyfunction("if($T270&lt;&gt;"""",REGEXEXTRACT($T270, O$1&amp;""[\w &amp;]*, (\d+\.\d+)""),"""")
"),"")</f>
        <v/>
      </c>
      <c r="P270" s="2"/>
      <c r="Q270" s="2"/>
      <c r="R270" s="2"/>
      <c r="S270" s="2"/>
      <c r="T270" s="5"/>
    </row>
    <row r="271" customFormat="false" ht="15.75" hidden="false" customHeight="false" outlineLevel="0" collapsed="false">
      <c r="A271" s="4"/>
      <c r="B271" s="2"/>
      <c r="C271" s="2"/>
      <c r="D271" s="2"/>
      <c r="E271" s="2"/>
      <c r="F271" s="3" t="str">
        <f aca="false">IFERROR(__xludf.dummyfunction("if($T271&lt;&gt;"""",REGEXEXTRACT(SUBSTITUTE ($T271,F$1&amp;"" CE"",""""), F$1&amp;""[\w &amp;]*, (\d+\.\d+)""),"""")
"),"")</f>
        <v/>
      </c>
      <c r="G271" s="3" t="str">
        <f aca="false">IFERROR(__xludf.dummyfunction("if($T271&lt;&gt;"""",REGEXEXTRACT($T271, G$1&amp;""[\w &amp;]*, (\d+\.\d+)""),"""")
"),"")</f>
        <v/>
      </c>
      <c r="H271" s="3"/>
      <c r="I271" s="3" t="str">
        <f aca="false">IFERROR(__xludf.dummyfunction("if($T271&lt;&gt;"""",REGEXEXTRACT(SUBSTITUTE ($T271,I$1&amp;"" CE"",""""), I$1&amp;""[\w &amp;]*, (\d+\.\d+)""),"""")
"),"")</f>
        <v/>
      </c>
      <c r="J271" s="3" t="str">
        <f aca="false">IFERROR(__xludf.dummyfunction("if($T271&lt;&gt;"""",REGEXEXTRACT($T271, J$1&amp;""[\w &amp;]*, (\d+\.\d+)""),"""")
"),"")</f>
        <v/>
      </c>
      <c r="K271" s="3"/>
      <c r="L271" s="3" t="str">
        <f aca="false">IFERROR(__xludf.dummyfunction("if($T271&lt;&gt;"""",REGEXEXTRACT(SUBSTITUTE ($T271,L$1&amp;"" CE"",""""), L$1&amp;""[\w &amp;]*, (\d+\.\d+)""),"""")
"),"")</f>
        <v/>
      </c>
      <c r="M271" s="3" t="str">
        <f aca="false">IFERROR(__xludf.dummyfunction("if($T271&lt;&gt;"""",REGEXEXTRACT($T271, M$1&amp;""[\w &amp;]*, (\d+\.\d+)""),"""")
"),"")</f>
        <v/>
      </c>
      <c r="N271" s="3" t="str">
        <f aca="false">IFERROR(__xludf.dummyfunction("if($T271&lt;&gt;"""",REGEXEXTRACT(SUBSTITUTE ($T271,N$1&amp;"" CE"",""""), N$1&amp;""[\w &amp;]*, (\d+\.\d+)""),"""")
"),"")</f>
        <v/>
      </c>
      <c r="O271" s="3" t="str">
        <f aca="false">IFERROR(__xludf.dummyfunction("if($T271&lt;&gt;"""",REGEXEXTRACT($T271, O$1&amp;""[\w &amp;]*, (\d+\.\d+)""),"""")
"),"")</f>
        <v/>
      </c>
      <c r="P271" s="2"/>
      <c r="Q271" s="2"/>
      <c r="R271" s="2"/>
      <c r="S271" s="2"/>
      <c r="T271" s="5"/>
    </row>
    <row r="272" customFormat="false" ht="15.75" hidden="false" customHeight="false" outlineLevel="0" collapsed="false">
      <c r="A272" s="4"/>
      <c r="B272" s="2"/>
      <c r="C272" s="2"/>
      <c r="D272" s="2"/>
      <c r="E272" s="2"/>
      <c r="F272" s="3" t="str">
        <f aca="false">IFERROR(__xludf.dummyfunction("if($T272&lt;&gt;"""",REGEXEXTRACT(SUBSTITUTE ($T272,F$1&amp;"" CE"",""""), F$1&amp;""[\w &amp;]*, (\d+\.\d+)""),"""")
"),"")</f>
        <v/>
      </c>
      <c r="G272" s="3" t="str">
        <f aca="false">IFERROR(__xludf.dummyfunction("if($T272&lt;&gt;"""",REGEXEXTRACT($T272, G$1&amp;""[\w &amp;]*, (\d+\.\d+)""),"""")
"),"")</f>
        <v/>
      </c>
      <c r="H272" s="3"/>
      <c r="I272" s="3" t="str">
        <f aca="false">IFERROR(__xludf.dummyfunction("if($T272&lt;&gt;"""",REGEXEXTRACT(SUBSTITUTE ($T272,I$1&amp;"" CE"",""""), I$1&amp;""[\w &amp;]*, (\d+\.\d+)""),"""")
"),"")</f>
        <v/>
      </c>
      <c r="J272" s="3" t="str">
        <f aca="false">IFERROR(__xludf.dummyfunction("if($T272&lt;&gt;"""",REGEXEXTRACT($T272, J$1&amp;""[\w &amp;]*, (\d+\.\d+)""),"""")
"),"")</f>
        <v/>
      </c>
      <c r="K272" s="3"/>
      <c r="L272" s="3" t="str">
        <f aca="false">IFERROR(__xludf.dummyfunction("if($T272&lt;&gt;"""",REGEXEXTRACT(SUBSTITUTE ($T272,L$1&amp;"" CE"",""""), L$1&amp;""[\w &amp;]*, (\d+\.\d+)""),"""")
"),"")</f>
        <v/>
      </c>
      <c r="M272" s="3" t="str">
        <f aca="false">IFERROR(__xludf.dummyfunction("if($T272&lt;&gt;"""",REGEXEXTRACT($T272, M$1&amp;""[\w &amp;]*, (\d+\.\d+)""),"""")
"),"")</f>
        <v/>
      </c>
      <c r="N272" s="3" t="str">
        <f aca="false">IFERROR(__xludf.dummyfunction("if($T272&lt;&gt;"""",REGEXEXTRACT(SUBSTITUTE ($T272,N$1&amp;"" CE"",""""), N$1&amp;""[\w &amp;]*, (\d+\.\d+)""),"""")
"),"")</f>
        <v/>
      </c>
      <c r="O272" s="3" t="str">
        <f aca="false">IFERROR(__xludf.dummyfunction("if($T272&lt;&gt;"""",REGEXEXTRACT($T272, O$1&amp;""[\w &amp;]*, (\d+\.\d+)""),"""")
"),"")</f>
        <v/>
      </c>
      <c r="P272" s="2"/>
      <c r="Q272" s="2"/>
      <c r="R272" s="2"/>
      <c r="S272" s="2"/>
      <c r="T272" s="5"/>
    </row>
    <row r="273" customFormat="false" ht="15.75" hidden="false" customHeight="false" outlineLevel="0" collapsed="false">
      <c r="A273" s="4"/>
      <c r="B273" s="2"/>
      <c r="C273" s="2"/>
      <c r="D273" s="2"/>
      <c r="E273" s="2"/>
      <c r="F273" s="3" t="str">
        <f aca="false">IFERROR(__xludf.dummyfunction("if($T273&lt;&gt;"""",REGEXEXTRACT(SUBSTITUTE ($T273,F$1&amp;"" CE"",""""), F$1&amp;""[\w &amp;]*, (\d+\.\d+)""),"""")
"),"")</f>
        <v/>
      </c>
      <c r="G273" s="3" t="str">
        <f aca="false">IFERROR(__xludf.dummyfunction("if($T273&lt;&gt;"""",REGEXEXTRACT($T273, G$1&amp;""[\w &amp;]*, (\d+\.\d+)""),"""")
"),"")</f>
        <v/>
      </c>
      <c r="H273" s="3"/>
      <c r="I273" s="3" t="str">
        <f aca="false">IFERROR(__xludf.dummyfunction("if($T273&lt;&gt;"""",REGEXEXTRACT(SUBSTITUTE ($T273,I$1&amp;"" CE"",""""), I$1&amp;""[\w &amp;]*, (\d+\.\d+)""),"""")
"),"")</f>
        <v/>
      </c>
      <c r="J273" s="3" t="str">
        <f aca="false">IFERROR(__xludf.dummyfunction("if($T273&lt;&gt;"""",REGEXEXTRACT($T273, J$1&amp;""[\w &amp;]*, (\d+\.\d+)""),"""")
"),"")</f>
        <v/>
      </c>
      <c r="K273" s="3"/>
      <c r="L273" s="3" t="str">
        <f aca="false">IFERROR(__xludf.dummyfunction("if($T273&lt;&gt;"""",REGEXEXTRACT(SUBSTITUTE ($T273,L$1&amp;"" CE"",""""), L$1&amp;""[\w &amp;]*, (\d+\.\d+)""),"""")
"),"")</f>
        <v/>
      </c>
      <c r="M273" s="3" t="str">
        <f aca="false">IFERROR(__xludf.dummyfunction("if($T273&lt;&gt;"""",REGEXEXTRACT($T273, M$1&amp;""[\w &amp;]*, (\d+\.\d+)""),"""")
"),"")</f>
        <v/>
      </c>
      <c r="N273" s="3" t="str">
        <f aca="false">IFERROR(__xludf.dummyfunction("if($T273&lt;&gt;"""",REGEXEXTRACT(SUBSTITUTE ($T273,N$1&amp;"" CE"",""""), N$1&amp;""[\w &amp;]*, (\d+\.\d+)""),"""")
"),"")</f>
        <v/>
      </c>
      <c r="O273" s="3" t="str">
        <f aca="false">IFERROR(__xludf.dummyfunction("if($T273&lt;&gt;"""",REGEXEXTRACT($T273, O$1&amp;""[\w &amp;]*, (\d+\.\d+)""),"""")
"),"")</f>
        <v/>
      </c>
      <c r="P273" s="2"/>
      <c r="Q273" s="2"/>
      <c r="R273" s="2"/>
      <c r="S273" s="2"/>
      <c r="T273" s="5"/>
    </row>
    <row r="274" customFormat="false" ht="15.75" hidden="false" customHeight="false" outlineLevel="0" collapsed="false">
      <c r="A274" s="4"/>
      <c r="B274" s="2"/>
      <c r="C274" s="2"/>
      <c r="D274" s="2"/>
      <c r="E274" s="2"/>
      <c r="F274" s="3" t="str">
        <f aca="false">IFERROR(__xludf.dummyfunction("if($T274&lt;&gt;"""",REGEXEXTRACT(SUBSTITUTE ($T274,F$1&amp;"" CE"",""""), F$1&amp;""[\w &amp;]*, (\d+\.\d+)""),"""")
"),"")</f>
        <v/>
      </c>
      <c r="G274" s="3" t="str">
        <f aca="false">IFERROR(__xludf.dummyfunction("if($T274&lt;&gt;"""",REGEXEXTRACT($T274, G$1&amp;""[\w &amp;]*, (\d+\.\d+)""),"""")
"),"")</f>
        <v/>
      </c>
      <c r="H274" s="3"/>
      <c r="I274" s="3" t="str">
        <f aca="false">IFERROR(__xludf.dummyfunction("if($T274&lt;&gt;"""",REGEXEXTRACT(SUBSTITUTE ($T274,I$1&amp;"" CE"",""""), I$1&amp;""[\w &amp;]*, (\d+\.\d+)""),"""")
"),"")</f>
        <v/>
      </c>
      <c r="J274" s="3" t="str">
        <f aca="false">IFERROR(__xludf.dummyfunction("if($T274&lt;&gt;"""",REGEXEXTRACT($T274, J$1&amp;""[\w &amp;]*, (\d+\.\d+)""),"""")
"),"")</f>
        <v/>
      </c>
      <c r="K274" s="3"/>
      <c r="L274" s="3" t="str">
        <f aca="false">IFERROR(__xludf.dummyfunction("if($T274&lt;&gt;"""",REGEXEXTRACT(SUBSTITUTE ($T274,L$1&amp;"" CE"",""""), L$1&amp;""[\w &amp;]*, (\d+\.\d+)""),"""")
"),"")</f>
        <v/>
      </c>
      <c r="M274" s="3" t="str">
        <f aca="false">IFERROR(__xludf.dummyfunction("if($T274&lt;&gt;"""",REGEXEXTRACT($T274, M$1&amp;""[\w &amp;]*, (\d+\.\d+)""),"""")
"),"")</f>
        <v/>
      </c>
      <c r="N274" s="3" t="str">
        <f aca="false">IFERROR(__xludf.dummyfunction("if($T274&lt;&gt;"""",REGEXEXTRACT(SUBSTITUTE ($T274,N$1&amp;"" CE"",""""), N$1&amp;""[\w &amp;]*, (\d+\.\d+)""),"""")
"),"")</f>
        <v/>
      </c>
      <c r="O274" s="3" t="str">
        <f aca="false">IFERROR(__xludf.dummyfunction("if($T274&lt;&gt;"""",REGEXEXTRACT($T274, O$1&amp;""[\w &amp;]*, (\d+\.\d+)""),"""")
"),"")</f>
        <v/>
      </c>
      <c r="P274" s="2"/>
      <c r="Q274" s="2"/>
      <c r="R274" s="2"/>
      <c r="S274" s="2"/>
      <c r="T274" s="5"/>
    </row>
    <row r="275" customFormat="false" ht="15.75" hidden="false" customHeight="false" outlineLevel="0" collapsed="false">
      <c r="A275" s="4"/>
      <c r="B275" s="2"/>
      <c r="C275" s="2"/>
      <c r="D275" s="2"/>
      <c r="E275" s="2"/>
      <c r="F275" s="3" t="str">
        <f aca="false">IFERROR(__xludf.dummyfunction("if($T275&lt;&gt;"""",REGEXEXTRACT(SUBSTITUTE ($T275,F$1&amp;"" CE"",""""), F$1&amp;""[\w &amp;]*, (\d+\.\d+)""),"""")
"),"")</f>
        <v/>
      </c>
      <c r="G275" s="3" t="str">
        <f aca="false">IFERROR(__xludf.dummyfunction("if($T275&lt;&gt;"""",REGEXEXTRACT($T275, G$1&amp;""[\w &amp;]*, (\d+\.\d+)""),"""")
"),"")</f>
        <v/>
      </c>
      <c r="H275" s="3"/>
      <c r="I275" s="3" t="str">
        <f aca="false">IFERROR(__xludf.dummyfunction("if($T275&lt;&gt;"""",REGEXEXTRACT(SUBSTITUTE ($T275,I$1&amp;"" CE"",""""), I$1&amp;""[\w &amp;]*, (\d+\.\d+)""),"""")
"),"")</f>
        <v/>
      </c>
      <c r="J275" s="3" t="str">
        <f aca="false">IFERROR(__xludf.dummyfunction("if($T275&lt;&gt;"""",REGEXEXTRACT($T275, J$1&amp;""[\w &amp;]*, (\d+\.\d+)""),"""")
"),"")</f>
        <v/>
      </c>
      <c r="K275" s="3"/>
      <c r="L275" s="3" t="str">
        <f aca="false">IFERROR(__xludf.dummyfunction("if($T275&lt;&gt;"""",REGEXEXTRACT(SUBSTITUTE ($T275,L$1&amp;"" CE"",""""), L$1&amp;""[\w &amp;]*, (\d+\.\d+)""),"""")
"),"")</f>
        <v/>
      </c>
      <c r="M275" s="3" t="str">
        <f aca="false">IFERROR(__xludf.dummyfunction("if($T275&lt;&gt;"""",REGEXEXTRACT($T275, M$1&amp;""[\w &amp;]*, (\d+\.\d+)""),"""")
"),"")</f>
        <v/>
      </c>
      <c r="N275" s="3" t="str">
        <f aca="false">IFERROR(__xludf.dummyfunction("if($T275&lt;&gt;"""",REGEXEXTRACT(SUBSTITUTE ($T275,N$1&amp;"" CE"",""""), N$1&amp;""[\w &amp;]*, (\d+\.\d+)""),"""")
"),"")</f>
        <v/>
      </c>
      <c r="O275" s="3" t="str">
        <f aca="false">IFERROR(__xludf.dummyfunction("if($T275&lt;&gt;"""",REGEXEXTRACT($T275, O$1&amp;""[\w &amp;]*, (\d+\.\d+)""),"""")
"),"")</f>
        <v/>
      </c>
      <c r="P275" s="2"/>
      <c r="Q275" s="2"/>
      <c r="R275" s="2"/>
      <c r="S275" s="2"/>
      <c r="T275" s="5"/>
    </row>
    <row r="276" customFormat="false" ht="15.75" hidden="false" customHeight="false" outlineLevel="0" collapsed="false">
      <c r="A276" s="4"/>
      <c r="B276" s="2"/>
      <c r="C276" s="2"/>
      <c r="D276" s="2"/>
      <c r="E276" s="2"/>
      <c r="F276" s="3" t="str">
        <f aca="false">IFERROR(__xludf.dummyfunction("if($T276&lt;&gt;"""",REGEXEXTRACT(SUBSTITUTE ($T276,F$1&amp;"" CE"",""""), F$1&amp;""[\w &amp;]*, (\d+\.\d+)""),"""")
"),"")</f>
        <v/>
      </c>
      <c r="G276" s="3" t="str">
        <f aca="false">IFERROR(__xludf.dummyfunction("if($T276&lt;&gt;"""",REGEXEXTRACT($T276, G$1&amp;""[\w &amp;]*, (\d+\.\d+)""),"""")
"),"")</f>
        <v/>
      </c>
      <c r="H276" s="3"/>
      <c r="I276" s="3" t="str">
        <f aca="false">IFERROR(__xludf.dummyfunction("if($T276&lt;&gt;"""",REGEXEXTRACT(SUBSTITUTE ($T276,I$1&amp;"" CE"",""""), I$1&amp;""[\w &amp;]*, (\d+\.\d+)""),"""")
"),"")</f>
        <v/>
      </c>
      <c r="J276" s="3" t="str">
        <f aca="false">IFERROR(__xludf.dummyfunction("if($T276&lt;&gt;"""",REGEXEXTRACT($T276, J$1&amp;""[\w &amp;]*, (\d+\.\d+)""),"""")
"),"")</f>
        <v/>
      </c>
      <c r="K276" s="3"/>
      <c r="L276" s="3" t="str">
        <f aca="false">IFERROR(__xludf.dummyfunction("if($T276&lt;&gt;"""",REGEXEXTRACT(SUBSTITUTE ($T276,L$1&amp;"" CE"",""""), L$1&amp;""[\w &amp;]*, (\d+\.\d+)""),"""")
"),"")</f>
        <v/>
      </c>
      <c r="M276" s="3" t="str">
        <f aca="false">IFERROR(__xludf.dummyfunction("if($T276&lt;&gt;"""",REGEXEXTRACT($T276, M$1&amp;""[\w &amp;]*, (\d+\.\d+)""),"""")
"),"")</f>
        <v/>
      </c>
      <c r="N276" s="3" t="str">
        <f aca="false">IFERROR(__xludf.dummyfunction("if($T276&lt;&gt;"""",REGEXEXTRACT(SUBSTITUTE ($T276,N$1&amp;"" CE"",""""), N$1&amp;""[\w &amp;]*, (\d+\.\d+)""),"""")
"),"")</f>
        <v/>
      </c>
      <c r="O276" s="3" t="str">
        <f aca="false">IFERROR(__xludf.dummyfunction("if($T276&lt;&gt;"""",REGEXEXTRACT($T276, O$1&amp;""[\w &amp;]*, (\d+\.\d+)""),"""")
"),"")</f>
        <v/>
      </c>
      <c r="P276" s="2"/>
      <c r="Q276" s="2"/>
      <c r="R276" s="2"/>
      <c r="S276" s="2"/>
      <c r="T276" s="5"/>
    </row>
    <row r="277" customFormat="false" ht="15.75" hidden="false" customHeight="false" outlineLevel="0" collapsed="false">
      <c r="A277" s="4"/>
      <c r="B277" s="2"/>
      <c r="C277" s="2"/>
      <c r="D277" s="2"/>
      <c r="E277" s="2"/>
      <c r="F277" s="3" t="str">
        <f aca="false">IFERROR(__xludf.dummyfunction("if($T277&lt;&gt;"""",REGEXEXTRACT(SUBSTITUTE ($T277,F$1&amp;"" CE"",""""), F$1&amp;""[\w &amp;]*, (\d+\.\d+)""),"""")
"),"")</f>
        <v/>
      </c>
      <c r="G277" s="3" t="str">
        <f aca="false">IFERROR(__xludf.dummyfunction("if($T277&lt;&gt;"""",REGEXEXTRACT($T277, G$1&amp;""[\w &amp;]*, (\d+\.\d+)""),"""")
"),"")</f>
        <v/>
      </c>
      <c r="H277" s="3"/>
      <c r="I277" s="3" t="str">
        <f aca="false">IFERROR(__xludf.dummyfunction("if($T277&lt;&gt;"""",REGEXEXTRACT(SUBSTITUTE ($T277,I$1&amp;"" CE"",""""), I$1&amp;""[\w &amp;]*, (\d+\.\d+)""),"""")
"),"")</f>
        <v/>
      </c>
      <c r="J277" s="3" t="str">
        <f aca="false">IFERROR(__xludf.dummyfunction("if($T277&lt;&gt;"""",REGEXEXTRACT($T277, J$1&amp;""[\w &amp;]*, (\d+\.\d+)""),"""")
"),"")</f>
        <v/>
      </c>
      <c r="K277" s="3"/>
      <c r="L277" s="3" t="str">
        <f aca="false">IFERROR(__xludf.dummyfunction("if($T277&lt;&gt;"""",REGEXEXTRACT(SUBSTITUTE ($T277,L$1&amp;"" CE"",""""), L$1&amp;""[\w &amp;]*, (\d+\.\d+)""),"""")
"),"")</f>
        <v/>
      </c>
      <c r="M277" s="3" t="str">
        <f aca="false">IFERROR(__xludf.dummyfunction("if($T277&lt;&gt;"""",REGEXEXTRACT($T277, M$1&amp;""[\w &amp;]*, (\d+\.\d+)""),"""")
"),"")</f>
        <v/>
      </c>
      <c r="N277" s="3" t="str">
        <f aca="false">IFERROR(__xludf.dummyfunction("if($T277&lt;&gt;"""",REGEXEXTRACT(SUBSTITUTE ($T277,N$1&amp;"" CE"",""""), N$1&amp;""[\w &amp;]*, (\d+\.\d+)""),"""")
"),"")</f>
        <v/>
      </c>
      <c r="O277" s="3" t="str">
        <f aca="false">IFERROR(__xludf.dummyfunction("if($T277&lt;&gt;"""",REGEXEXTRACT($T277, O$1&amp;""[\w &amp;]*, (\d+\.\d+)""),"""")
"),"")</f>
        <v/>
      </c>
      <c r="P277" s="2"/>
      <c r="Q277" s="2"/>
      <c r="R277" s="2"/>
      <c r="S277" s="2"/>
      <c r="T277" s="5"/>
    </row>
    <row r="278" customFormat="false" ht="15.75" hidden="false" customHeight="false" outlineLevel="0" collapsed="false">
      <c r="A278" s="4"/>
      <c r="B278" s="2"/>
      <c r="C278" s="2"/>
      <c r="D278" s="2"/>
      <c r="E278" s="2"/>
      <c r="F278" s="3" t="str">
        <f aca="false">IFERROR(__xludf.dummyfunction("if($T278&lt;&gt;"""",REGEXEXTRACT(SUBSTITUTE ($T278,F$1&amp;"" CE"",""""), F$1&amp;""[\w &amp;]*, (\d+\.\d+)""),"""")
"),"")</f>
        <v/>
      </c>
      <c r="G278" s="3" t="str">
        <f aca="false">IFERROR(__xludf.dummyfunction("if($T278&lt;&gt;"""",REGEXEXTRACT($T278, G$1&amp;""[\w &amp;]*, (\d+\.\d+)""),"""")
"),"")</f>
        <v/>
      </c>
      <c r="H278" s="3"/>
      <c r="I278" s="3" t="str">
        <f aca="false">IFERROR(__xludf.dummyfunction("if($T278&lt;&gt;"""",REGEXEXTRACT(SUBSTITUTE ($T278,I$1&amp;"" CE"",""""), I$1&amp;""[\w &amp;]*, (\d+\.\d+)""),"""")
"),"")</f>
        <v/>
      </c>
      <c r="J278" s="3" t="str">
        <f aca="false">IFERROR(__xludf.dummyfunction("if($T278&lt;&gt;"""",REGEXEXTRACT($T278, J$1&amp;""[\w &amp;]*, (\d+\.\d+)""),"""")
"),"")</f>
        <v/>
      </c>
      <c r="K278" s="3"/>
      <c r="L278" s="3" t="str">
        <f aca="false">IFERROR(__xludf.dummyfunction("if($T278&lt;&gt;"""",REGEXEXTRACT(SUBSTITUTE ($T278,L$1&amp;"" CE"",""""), L$1&amp;""[\w &amp;]*, (\d+\.\d+)""),"""")
"),"")</f>
        <v/>
      </c>
      <c r="M278" s="3" t="str">
        <f aca="false">IFERROR(__xludf.dummyfunction("if($T278&lt;&gt;"""",REGEXEXTRACT($T278, M$1&amp;""[\w &amp;]*, (\d+\.\d+)""),"""")
"),"")</f>
        <v/>
      </c>
      <c r="N278" s="3" t="str">
        <f aca="false">IFERROR(__xludf.dummyfunction("if($T278&lt;&gt;"""",REGEXEXTRACT(SUBSTITUTE ($T278,N$1&amp;"" CE"",""""), N$1&amp;""[\w &amp;]*, (\d+\.\d+)""),"""")
"),"")</f>
        <v/>
      </c>
      <c r="O278" s="3" t="str">
        <f aca="false">IFERROR(__xludf.dummyfunction("if($T278&lt;&gt;"""",REGEXEXTRACT($T278, O$1&amp;""[\w &amp;]*, (\d+\.\d+)""),"""")
"),"")</f>
        <v/>
      </c>
      <c r="P278" s="2"/>
      <c r="Q278" s="2"/>
      <c r="R278" s="2"/>
      <c r="S278" s="2"/>
      <c r="T278" s="5"/>
    </row>
    <row r="279" customFormat="false" ht="15.75" hidden="false" customHeight="false" outlineLevel="0" collapsed="false">
      <c r="A279" s="4"/>
      <c r="B279" s="2"/>
      <c r="C279" s="2"/>
      <c r="D279" s="2"/>
      <c r="E279" s="2"/>
      <c r="F279" s="3" t="str">
        <f aca="false">IFERROR(__xludf.dummyfunction("if($T279&lt;&gt;"""",REGEXEXTRACT(SUBSTITUTE ($T279,F$1&amp;"" CE"",""""), F$1&amp;""[\w &amp;]*, (\d+\.\d+)""),"""")
"),"")</f>
        <v/>
      </c>
      <c r="G279" s="3" t="str">
        <f aca="false">IFERROR(__xludf.dummyfunction("if($T279&lt;&gt;"""",REGEXEXTRACT($T279, G$1&amp;""[\w &amp;]*, (\d+\.\d+)""),"""")
"),"")</f>
        <v/>
      </c>
      <c r="H279" s="3"/>
      <c r="I279" s="3" t="str">
        <f aca="false">IFERROR(__xludf.dummyfunction("if($T279&lt;&gt;"""",REGEXEXTRACT(SUBSTITUTE ($T279,I$1&amp;"" CE"",""""), I$1&amp;""[\w &amp;]*, (\d+\.\d+)""),"""")
"),"")</f>
        <v/>
      </c>
      <c r="J279" s="3" t="str">
        <f aca="false">IFERROR(__xludf.dummyfunction("if($T279&lt;&gt;"""",REGEXEXTRACT($T279, J$1&amp;""[\w &amp;]*, (\d+\.\d+)""),"""")
"),"")</f>
        <v/>
      </c>
      <c r="K279" s="3"/>
      <c r="L279" s="3" t="str">
        <f aca="false">IFERROR(__xludf.dummyfunction("if($T279&lt;&gt;"""",REGEXEXTRACT(SUBSTITUTE ($T279,L$1&amp;"" CE"",""""), L$1&amp;""[\w &amp;]*, (\d+\.\d+)""),"""")
"),"")</f>
        <v/>
      </c>
      <c r="M279" s="3" t="str">
        <f aca="false">IFERROR(__xludf.dummyfunction("if($T279&lt;&gt;"""",REGEXEXTRACT($T279, M$1&amp;""[\w &amp;]*, (\d+\.\d+)""),"""")
"),"")</f>
        <v/>
      </c>
      <c r="N279" s="3" t="str">
        <f aca="false">IFERROR(__xludf.dummyfunction("if($T279&lt;&gt;"""",REGEXEXTRACT(SUBSTITUTE ($T279,N$1&amp;"" CE"",""""), N$1&amp;""[\w &amp;]*, (\d+\.\d+)""),"""")
"),"")</f>
        <v/>
      </c>
      <c r="O279" s="3" t="str">
        <f aca="false">IFERROR(__xludf.dummyfunction("if($T279&lt;&gt;"""",REGEXEXTRACT($T279, O$1&amp;""[\w &amp;]*, (\d+\.\d+)""),"""")
"),"")</f>
        <v/>
      </c>
      <c r="P279" s="2"/>
      <c r="Q279" s="2"/>
      <c r="R279" s="2"/>
      <c r="S279" s="2"/>
      <c r="T279" s="5"/>
    </row>
    <row r="280" customFormat="false" ht="15.75" hidden="false" customHeight="false" outlineLevel="0" collapsed="false">
      <c r="A280" s="4"/>
      <c r="B280" s="2"/>
      <c r="C280" s="2"/>
      <c r="D280" s="2"/>
      <c r="E280" s="2"/>
      <c r="F280" s="3" t="str">
        <f aca="false">IFERROR(__xludf.dummyfunction("if($T280&lt;&gt;"""",REGEXEXTRACT(SUBSTITUTE ($T280,F$1&amp;"" CE"",""""), F$1&amp;""[\w &amp;]*, (\d+\.\d+)""),"""")
"),"")</f>
        <v/>
      </c>
      <c r="G280" s="3" t="str">
        <f aca="false">IFERROR(__xludf.dummyfunction("if($T280&lt;&gt;"""",REGEXEXTRACT($T280, G$1&amp;""[\w &amp;]*, (\d+\.\d+)""),"""")
"),"")</f>
        <v/>
      </c>
      <c r="H280" s="3"/>
      <c r="I280" s="3" t="str">
        <f aca="false">IFERROR(__xludf.dummyfunction("if($T280&lt;&gt;"""",REGEXEXTRACT(SUBSTITUTE ($T280,I$1&amp;"" CE"",""""), I$1&amp;""[\w &amp;]*, (\d+\.\d+)""),"""")
"),"")</f>
        <v/>
      </c>
      <c r="J280" s="3" t="str">
        <f aca="false">IFERROR(__xludf.dummyfunction("if($T280&lt;&gt;"""",REGEXEXTRACT($T280, J$1&amp;""[\w &amp;]*, (\d+\.\d+)""),"""")
"),"")</f>
        <v/>
      </c>
      <c r="K280" s="3"/>
      <c r="L280" s="3" t="str">
        <f aca="false">IFERROR(__xludf.dummyfunction("if($T280&lt;&gt;"""",REGEXEXTRACT(SUBSTITUTE ($T280,L$1&amp;"" CE"",""""), L$1&amp;""[\w &amp;]*, (\d+\.\d+)""),"""")
"),"")</f>
        <v/>
      </c>
      <c r="M280" s="3" t="str">
        <f aca="false">IFERROR(__xludf.dummyfunction("if($T280&lt;&gt;"""",REGEXEXTRACT($T280, M$1&amp;""[\w &amp;]*, (\d+\.\d+)""),"""")
"),"")</f>
        <v/>
      </c>
      <c r="N280" s="3" t="str">
        <f aca="false">IFERROR(__xludf.dummyfunction("if($T280&lt;&gt;"""",REGEXEXTRACT(SUBSTITUTE ($T280,N$1&amp;"" CE"",""""), N$1&amp;""[\w &amp;]*, (\d+\.\d+)""),"""")
"),"")</f>
        <v/>
      </c>
      <c r="O280" s="3" t="str">
        <f aca="false">IFERROR(__xludf.dummyfunction("if($T280&lt;&gt;"""",REGEXEXTRACT($T280, O$1&amp;""[\w &amp;]*, (\d+\.\d+)""),"""")
"),"")</f>
        <v/>
      </c>
      <c r="P280" s="2"/>
      <c r="Q280" s="2"/>
      <c r="R280" s="2"/>
      <c r="S280" s="2"/>
      <c r="T280" s="5"/>
    </row>
    <row r="281" customFormat="false" ht="15.75" hidden="false" customHeight="false" outlineLevel="0" collapsed="false">
      <c r="A281" s="4"/>
      <c r="B281" s="2"/>
      <c r="C281" s="2"/>
      <c r="D281" s="2"/>
      <c r="E281" s="2"/>
      <c r="F281" s="3" t="str">
        <f aca="false">IFERROR(__xludf.dummyfunction("if($T281&lt;&gt;"""",REGEXEXTRACT(SUBSTITUTE ($T281,F$1&amp;"" CE"",""""), F$1&amp;""[\w &amp;]*, (\d+\.\d+)""),"""")
"),"")</f>
        <v/>
      </c>
      <c r="G281" s="3" t="str">
        <f aca="false">IFERROR(__xludf.dummyfunction("if($T281&lt;&gt;"""",REGEXEXTRACT($T281, G$1&amp;""[\w &amp;]*, (\d+\.\d+)""),"""")
"),"")</f>
        <v/>
      </c>
      <c r="H281" s="3"/>
      <c r="I281" s="3" t="str">
        <f aca="false">IFERROR(__xludf.dummyfunction("if($T281&lt;&gt;"""",REGEXEXTRACT(SUBSTITUTE ($T281,I$1&amp;"" CE"",""""), I$1&amp;""[\w &amp;]*, (\d+\.\d+)""),"""")
"),"")</f>
        <v/>
      </c>
      <c r="J281" s="3" t="str">
        <f aca="false">IFERROR(__xludf.dummyfunction("if($T281&lt;&gt;"""",REGEXEXTRACT($T281, J$1&amp;""[\w &amp;]*, (\d+\.\d+)""),"""")
"),"")</f>
        <v/>
      </c>
      <c r="K281" s="3"/>
      <c r="L281" s="3" t="str">
        <f aca="false">IFERROR(__xludf.dummyfunction("if($T281&lt;&gt;"""",REGEXEXTRACT(SUBSTITUTE ($T281,L$1&amp;"" CE"",""""), L$1&amp;""[\w &amp;]*, (\d+\.\d+)""),"""")
"),"")</f>
        <v/>
      </c>
      <c r="M281" s="3" t="str">
        <f aca="false">IFERROR(__xludf.dummyfunction("if($T281&lt;&gt;"""",REGEXEXTRACT($T281, M$1&amp;""[\w &amp;]*, (\d+\.\d+)""),"""")
"),"")</f>
        <v/>
      </c>
      <c r="N281" s="3" t="str">
        <f aca="false">IFERROR(__xludf.dummyfunction("if($T281&lt;&gt;"""",REGEXEXTRACT(SUBSTITUTE ($T281,N$1&amp;"" CE"",""""), N$1&amp;""[\w &amp;]*, (\d+\.\d+)""),"""")
"),"")</f>
        <v/>
      </c>
      <c r="O281" s="3" t="str">
        <f aca="false">IFERROR(__xludf.dummyfunction("if($T281&lt;&gt;"""",REGEXEXTRACT($T281, O$1&amp;""[\w &amp;]*, (\d+\.\d+)""),"""")
"),"")</f>
        <v/>
      </c>
      <c r="P281" s="2"/>
      <c r="Q281" s="2"/>
      <c r="R281" s="2"/>
      <c r="S281" s="2"/>
      <c r="T281" s="5"/>
    </row>
    <row r="282" customFormat="false" ht="15.75" hidden="false" customHeight="false" outlineLevel="0" collapsed="false">
      <c r="A282" s="4"/>
      <c r="B282" s="2"/>
      <c r="C282" s="2"/>
      <c r="D282" s="2"/>
      <c r="E282" s="2"/>
      <c r="F282" s="3" t="str">
        <f aca="false">IFERROR(__xludf.dummyfunction("if($T282&lt;&gt;"""",REGEXEXTRACT(SUBSTITUTE ($T282,F$1&amp;"" CE"",""""), F$1&amp;""[\w &amp;]*, (\d+\.\d+)""),"""")
"),"")</f>
        <v/>
      </c>
      <c r="G282" s="3" t="str">
        <f aca="false">IFERROR(__xludf.dummyfunction("if($T282&lt;&gt;"""",REGEXEXTRACT($T282, G$1&amp;""[\w &amp;]*, (\d+\.\d+)""),"""")
"),"")</f>
        <v/>
      </c>
      <c r="H282" s="3"/>
      <c r="I282" s="3" t="str">
        <f aca="false">IFERROR(__xludf.dummyfunction("if($T282&lt;&gt;"""",REGEXEXTRACT(SUBSTITUTE ($T282,I$1&amp;"" CE"",""""), I$1&amp;""[\w &amp;]*, (\d+\.\d+)""),"""")
"),"")</f>
        <v/>
      </c>
      <c r="J282" s="3" t="str">
        <f aca="false">IFERROR(__xludf.dummyfunction("if($T282&lt;&gt;"""",REGEXEXTRACT($T282, J$1&amp;""[\w &amp;]*, (\d+\.\d+)""),"""")
"),"")</f>
        <v/>
      </c>
      <c r="K282" s="3"/>
      <c r="L282" s="3" t="str">
        <f aca="false">IFERROR(__xludf.dummyfunction("if($T282&lt;&gt;"""",REGEXEXTRACT(SUBSTITUTE ($T282,L$1&amp;"" CE"",""""), L$1&amp;""[\w &amp;]*, (\d+\.\d+)""),"""")
"),"")</f>
        <v/>
      </c>
      <c r="M282" s="3" t="str">
        <f aca="false">IFERROR(__xludf.dummyfunction("if($T282&lt;&gt;"""",REGEXEXTRACT($T282, M$1&amp;""[\w &amp;]*, (\d+\.\d+)""),"""")
"),"")</f>
        <v/>
      </c>
      <c r="N282" s="3" t="str">
        <f aca="false">IFERROR(__xludf.dummyfunction("if($T282&lt;&gt;"""",REGEXEXTRACT(SUBSTITUTE ($T282,N$1&amp;"" CE"",""""), N$1&amp;""[\w &amp;]*, (\d+\.\d+)""),"""")
"),"")</f>
        <v/>
      </c>
      <c r="O282" s="3" t="str">
        <f aca="false">IFERROR(__xludf.dummyfunction("if($T282&lt;&gt;"""",REGEXEXTRACT($T282, O$1&amp;""[\w &amp;]*, (\d+\.\d+)""),"""")
"),"")</f>
        <v/>
      </c>
      <c r="P282" s="2"/>
      <c r="Q282" s="2"/>
      <c r="R282" s="2"/>
      <c r="S282" s="2"/>
      <c r="T282" s="5"/>
    </row>
    <row r="283" customFormat="false" ht="15.75" hidden="false" customHeight="false" outlineLevel="0" collapsed="false">
      <c r="A283" s="4"/>
      <c r="B283" s="2"/>
      <c r="C283" s="2"/>
      <c r="D283" s="2"/>
      <c r="E283" s="2"/>
      <c r="F283" s="3" t="str">
        <f aca="false">IFERROR(__xludf.dummyfunction("if($T283&lt;&gt;"""",REGEXEXTRACT(SUBSTITUTE ($T283,F$1&amp;"" CE"",""""), F$1&amp;""[\w &amp;]*, (\d+\.\d+)""),"""")
"),"")</f>
        <v/>
      </c>
      <c r="G283" s="3" t="str">
        <f aca="false">IFERROR(__xludf.dummyfunction("if($T283&lt;&gt;"""",REGEXEXTRACT($T283, G$1&amp;""[\w &amp;]*, (\d+\.\d+)""),"""")
"),"")</f>
        <v/>
      </c>
      <c r="H283" s="3"/>
      <c r="I283" s="3" t="str">
        <f aca="false">IFERROR(__xludf.dummyfunction("if($T283&lt;&gt;"""",REGEXEXTRACT(SUBSTITUTE ($T283,I$1&amp;"" CE"",""""), I$1&amp;""[\w &amp;]*, (\d+\.\d+)""),"""")
"),"")</f>
        <v/>
      </c>
      <c r="J283" s="3" t="str">
        <f aca="false">IFERROR(__xludf.dummyfunction("if($T283&lt;&gt;"""",REGEXEXTRACT($T283, J$1&amp;""[\w &amp;]*, (\d+\.\d+)""),"""")
"),"")</f>
        <v/>
      </c>
      <c r="K283" s="3"/>
      <c r="L283" s="3" t="str">
        <f aca="false">IFERROR(__xludf.dummyfunction("if($T283&lt;&gt;"""",REGEXEXTRACT(SUBSTITUTE ($T283,L$1&amp;"" CE"",""""), L$1&amp;""[\w &amp;]*, (\d+\.\d+)""),"""")
"),"")</f>
        <v/>
      </c>
      <c r="M283" s="3" t="str">
        <f aca="false">IFERROR(__xludf.dummyfunction("if($T283&lt;&gt;"""",REGEXEXTRACT($T283, M$1&amp;""[\w &amp;]*, (\d+\.\d+)""),"""")
"),"")</f>
        <v/>
      </c>
      <c r="N283" s="3" t="str">
        <f aca="false">IFERROR(__xludf.dummyfunction("if($T283&lt;&gt;"""",REGEXEXTRACT(SUBSTITUTE ($T283,N$1&amp;"" CE"",""""), N$1&amp;""[\w &amp;]*, (\d+\.\d+)""),"""")
"),"")</f>
        <v/>
      </c>
      <c r="O283" s="3" t="str">
        <f aca="false">IFERROR(__xludf.dummyfunction("if($T283&lt;&gt;"""",REGEXEXTRACT($T283, O$1&amp;""[\w &amp;]*, (\d+\.\d+)""),"""")
"),"")</f>
        <v/>
      </c>
      <c r="P283" s="2"/>
      <c r="Q283" s="2"/>
      <c r="R283" s="2"/>
      <c r="S283" s="2"/>
      <c r="T283" s="5"/>
    </row>
    <row r="284" customFormat="false" ht="15.75" hidden="false" customHeight="false" outlineLevel="0" collapsed="false">
      <c r="A284" s="4"/>
      <c r="B284" s="2"/>
      <c r="C284" s="2"/>
      <c r="D284" s="2"/>
      <c r="E284" s="2"/>
      <c r="F284" s="3" t="str">
        <f aca="false">IFERROR(__xludf.dummyfunction("if($T284&lt;&gt;"""",REGEXEXTRACT(SUBSTITUTE ($T284,F$1&amp;"" CE"",""""), F$1&amp;""[\w &amp;]*, (\d+\.\d+)""),"""")
"),"")</f>
        <v/>
      </c>
      <c r="G284" s="3" t="str">
        <f aca="false">IFERROR(__xludf.dummyfunction("if($T284&lt;&gt;"""",REGEXEXTRACT($T284, G$1&amp;""[\w &amp;]*, (\d+\.\d+)""),"""")
"),"")</f>
        <v/>
      </c>
      <c r="H284" s="3"/>
      <c r="I284" s="3" t="str">
        <f aca="false">IFERROR(__xludf.dummyfunction("if($T284&lt;&gt;"""",REGEXEXTRACT(SUBSTITUTE ($T284,I$1&amp;"" CE"",""""), I$1&amp;""[\w &amp;]*, (\d+\.\d+)""),"""")
"),"")</f>
        <v/>
      </c>
      <c r="J284" s="3" t="str">
        <f aca="false">IFERROR(__xludf.dummyfunction("if($T284&lt;&gt;"""",REGEXEXTRACT($T284, J$1&amp;""[\w &amp;]*, (\d+\.\d+)""),"""")
"),"")</f>
        <v/>
      </c>
      <c r="K284" s="3"/>
      <c r="L284" s="3" t="str">
        <f aca="false">IFERROR(__xludf.dummyfunction("if($T284&lt;&gt;"""",REGEXEXTRACT(SUBSTITUTE ($T284,L$1&amp;"" CE"",""""), L$1&amp;""[\w &amp;]*, (\d+\.\d+)""),"""")
"),"")</f>
        <v/>
      </c>
      <c r="M284" s="3" t="str">
        <f aca="false">IFERROR(__xludf.dummyfunction("if($T284&lt;&gt;"""",REGEXEXTRACT($T284, M$1&amp;""[\w &amp;]*, (\d+\.\d+)""),"""")
"),"")</f>
        <v/>
      </c>
      <c r="N284" s="3" t="str">
        <f aca="false">IFERROR(__xludf.dummyfunction("if($T284&lt;&gt;"""",REGEXEXTRACT(SUBSTITUTE ($T284,N$1&amp;"" CE"",""""), N$1&amp;""[\w &amp;]*, (\d+\.\d+)""),"""")
"),"")</f>
        <v/>
      </c>
      <c r="O284" s="3" t="str">
        <f aca="false">IFERROR(__xludf.dummyfunction("if($T284&lt;&gt;"""",REGEXEXTRACT($T284, O$1&amp;""[\w &amp;]*, (\d+\.\d+)""),"""")
"),"")</f>
        <v/>
      </c>
      <c r="P284" s="2"/>
      <c r="Q284" s="2"/>
      <c r="R284" s="2"/>
      <c r="S284" s="2"/>
      <c r="T284" s="5"/>
    </row>
    <row r="285" customFormat="false" ht="15.75" hidden="false" customHeight="false" outlineLevel="0" collapsed="false">
      <c r="A285" s="4"/>
      <c r="B285" s="2"/>
      <c r="C285" s="2"/>
      <c r="D285" s="2"/>
      <c r="E285" s="2"/>
      <c r="F285" s="3" t="str">
        <f aca="false">IFERROR(__xludf.dummyfunction("if($T285&lt;&gt;"""",REGEXEXTRACT(SUBSTITUTE ($T285,F$1&amp;"" CE"",""""), F$1&amp;""[\w &amp;]*, (\d+\.\d+)""),"""")
"),"")</f>
        <v/>
      </c>
      <c r="G285" s="3" t="str">
        <f aca="false">IFERROR(__xludf.dummyfunction("if($T285&lt;&gt;"""",REGEXEXTRACT($T285, G$1&amp;""[\w &amp;]*, (\d+\.\d+)""),"""")
"),"")</f>
        <v/>
      </c>
      <c r="H285" s="3"/>
      <c r="I285" s="3" t="str">
        <f aca="false">IFERROR(__xludf.dummyfunction("if($T285&lt;&gt;"""",REGEXEXTRACT(SUBSTITUTE ($T285,I$1&amp;"" CE"",""""), I$1&amp;""[\w &amp;]*, (\d+\.\d+)""),"""")
"),"")</f>
        <v/>
      </c>
      <c r="J285" s="3" t="str">
        <f aca="false">IFERROR(__xludf.dummyfunction("if($T285&lt;&gt;"""",REGEXEXTRACT($T285, J$1&amp;""[\w &amp;]*, (\d+\.\d+)""),"""")
"),"")</f>
        <v/>
      </c>
      <c r="K285" s="3"/>
      <c r="L285" s="3" t="str">
        <f aca="false">IFERROR(__xludf.dummyfunction("if($T285&lt;&gt;"""",REGEXEXTRACT(SUBSTITUTE ($T285,L$1&amp;"" CE"",""""), L$1&amp;""[\w &amp;]*, (\d+\.\d+)""),"""")
"),"")</f>
        <v/>
      </c>
      <c r="M285" s="3" t="str">
        <f aca="false">IFERROR(__xludf.dummyfunction("if($T285&lt;&gt;"""",REGEXEXTRACT($T285, M$1&amp;""[\w &amp;]*, (\d+\.\d+)""),"""")
"),"")</f>
        <v/>
      </c>
      <c r="N285" s="3" t="str">
        <f aca="false">IFERROR(__xludf.dummyfunction("if($T285&lt;&gt;"""",REGEXEXTRACT(SUBSTITUTE ($T285,N$1&amp;"" CE"",""""), N$1&amp;""[\w &amp;]*, (\d+\.\d+)""),"""")
"),"")</f>
        <v/>
      </c>
      <c r="O285" s="3" t="str">
        <f aca="false">IFERROR(__xludf.dummyfunction("if($T285&lt;&gt;"""",REGEXEXTRACT($T285, O$1&amp;""[\w &amp;]*, (\d+\.\d+)""),"""")
"),"")</f>
        <v/>
      </c>
      <c r="P285" s="2"/>
      <c r="Q285" s="2"/>
      <c r="R285" s="2"/>
      <c r="S285" s="2"/>
      <c r="T285" s="5"/>
    </row>
    <row r="286" customFormat="false" ht="15.75" hidden="false" customHeight="false" outlineLevel="0" collapsed="false">
      <c r="A286" s="4"/>
      <c r="B286" s="2"/>
      <c r="C286" s="2"/>
      <c r="D286" s="2"/>
      <c r="E286" s="2"/>
      <c r="F286" s="3" t="str">
        <f aca="false">IFERROR(__xludf.dummyfunction("if($T286&lt;&gt;"""",REGEXEXTRACT(SUBSTITUTE ($T286,F$1&amp;"" CE"",""""), F$1&amp;""[\w &amp;]*, (\d+\.\d+)""),"""")
"),"")</f>
        <v/>
      </c>
      <c r="G286" s="3" t="str">
        <f aca="false">IFERROR(__xludf.dummyfunction("if($T286&lt;&gt;"""",REGEXEXTRACT($T286, G$1&amp;""[\w &amp;]*, (\d+\.\d+)""),"""")
"),"")</f>
        <v/>
      </c>
      <c r="H286" s="3"/>
      <c r="I286" s="3" t="str">
        <f aca="false">IFERROR(__xludf.dummyfunction("if($T286&lt;&gt;"""",REGEXEXTRACT(SUBSTITUTE ($T286,I$1&amp;"" CE"",""""), I$1&amp;""[\w &amp;]*, (\d+\.\d+)""),"""")
"),"")</f>
        <v/>
      </c>
      <c r="J286" s="3" t="str">
        <f aca="false">IFERROR(__xludf.dummyfunction("if($T286&lt;&gt;"""",REGEXEXTRACT($T286, J$1&amp;""[\w &amp;]*, (\d+\.\d+)""),"""")
"),"")</f>
        <v/>
      </c>
      <c r="K286" s="3"/>
      <c r="L286" s="3" t="str">
        <f aca="false">IFERROR(__xludf.dummyfunction("if($T286&lt;&gt;"""",REGEXEXTRACT(SUBSTITUTE ($T286,L$1&amp;"" CE"",""""), L$1&amp;""[\w &amp;]*, (\d+\.\d+)""),"""")
"),"")</f>
        <v/>
      </c>
      <c r="M286" s="3" t="str">
        <f aca="false">IFERROR(__xludf.dummyfunction("if($T286&lt;&gt;"""",REGEXEXTRACT($T286, M$1&amp;""[\w &amp;]*, (\d+\.\d+)""),"""")
"),"")</f>
        <v/>
      </c>
      <c r="N286" s="3" t="str">
        <f aca="false">IFERROR(__xludf.dummyfunction("if($T286&lt;&gt;"""",REGEXEXTRACT(SUBSTITUTE ($T286,N$1&amp;"" CE"",""""), N$1&amp;""[\w &amp;]*, (\d+\.\d+)""),"""")
"),"")</f>
        <v/>
      </c>
      <c r="O286" s="3" t="str">
        <f aca="false">IFERROR(__xludf.dummyfunction("if($T286&lt;&gt;"""",REGEXEXTRACT($T286, O$1&amp;""[\w &amp;]*, (\d+\.\d+)""),"""")
"),"")</f>
        <v/>
      </c>
      <c r="P286" s="2"/>
      <c r="Q286" s="2"/>
      <c r="R286" s="2"/>
      <c r="S286" s="2"/>
      <c r="T286" s="5"/>
    </row>
    <row r="287" customFormat="false" ht="15.75" hidden="false" customHeight="false" outlineLevel="0" collapsed="false">
      <c r="A287" s="4"/>
      <c r="B287" s="2"/>
      <c r="C287" s="2"/>
      <c r="D287" s="2"/>
      <c r="E287" s="2"/>
      <c r="F287" s="3" t="str">
        <f aca="false">IFERROR(__xludf.dummyfunction("if($T287&lt;&gt;"""",REGEXEXTRACT(SUBSTITUTE ($T287,F$1&amp;"" CE"",""""), F$1&amp;""[\w &amp;]*, (\d+\.\d+)""),"""")
"),"")</f>
        <v/>
      </c>
      <c r="G287" s="3" t="str">
        <f aca="false">IFERROR(__xludf.dummyfunction("if($T287&lt;&gt;"""",REGEXEXTRACT($T287, G$1&amp;""[\w &amp;]*, (\d+\.\d+)""),"""")
"),"")</f>
        <v/>
      </c>
      <c r="H287" s="3"/>
      <c r="I287" s="3" t="str">
        <f aca="false">IFERROR(__xludf.dummyfunction("if($T287&lt;&gt;"""",REGEXEXTRACT(SUBSTITUTE ($T287,I$1&amp;"" CE"",""""), I$1&amp;""[\w &amp;]*, (\d+\.\d+)""),"""")
"),"")</f>
        <v/>
      </c>
      <c r="J287" s="3" t="str">
        <f aca="false">IFERROR(__xludf.dummyfunction("if($T287&lt;&gt;"""",REGEXEXTRACT($T287, J$1&amp;""[\w &amp;]*, (\d+\.\d+)""),"""")
"),"")</f>
        <v/>
      </c>
      <c r="K287" s="3"/>
      <c r="L287" s="3" t="str">
        <f aca="false">IFERROR(__xludf.dummyfunction("if($T287&lt;&gt;"""",REGEXEXTRACT(SUBSTITUTE ($T287,L$1&amp;"" CE"",""""), L$1&amp;""[\w &amp;]*, (\d+\.\d+)""),"""")
"),"")</f>
        <v/>
      </c>
      <c r="M287" s="3" t="str">
        <f aca="false">IFERROR(__xludf.dummyfunction("if($T287&lt;&gt;"""",REGEXEXTRACT($T287, M$1&amp;""[\w &amp;]*, (\d+\.\d+)""),"""")
"),"")</f>
        <v/>
      </c>
      <c r="N287" s="3" t="str">
        <f aca="false">IFERROR(__xludf.dummyfunction("if($T287&lt;&gt;"""",REGEXEXTRACT(SUBSTITUTE ($T287,N$1&amp;"" CE"",""""), N$1&amp;""[\w &amp;]*, (\d+\.\d+)""),"""")
"),"")</f>
        <v/>
      </c>
      <c r="O287" s="3" t="str">
        <f aca="false">IFERROR(__xludf.dummyfunction("if($T287&lt;&gt;"""",REGEXEXTRACT($T287, O$1&amp;""[\w &amp;]*, (\d+\.\d+)""),"""")
"),"")</f>
        <v/>
      </c>
      <c r="P287" s="2"/>
      <c r="Q287" s="2"/>
      <c r="R287" s="2"/>
      <c r="S287" s="2"/>
      <c r="T287" s="5"/>
    </row>
    <row r="288" customFormat="false" ht="15.75" hidden="false" customHeight="false" outlineLevel="0" collapsed="false">
      <c r="A288" s="4"/>
      <c r="B288" s="2"/>
      <c r="C288" s="2"/>
      <c r="D288" s="2"/>
      <c r="E288" s="2"/>
      <c r="F288" s="3" t="str">
        <f aca="false">IFERROR(__xludf.dummyfunction("if($T288&lt;&gt;"""",REGEXEXTRACT(SUBSTITUTE ($T288,F$1&amp;"" CE"",""""), F$1&amp;""[\w &amp;]*, (\d+\.\d+)""),"""")
"),"")</f>
        <v/>
      </c>
      <c r="G288" s="3" t="str">
        <f aca="false">IFERROR(__xludf.dummyfunction("if($T288&lt;&gt;"""",REGEXEXTRACT($T288, G$1&amp;""[\w &amp;]*, (\d+\.\d+)""),"""")
"),"")</f>
        <v/>
      </c>
      <c r="H288" s="3"/>
      <c r="I288" s="3" t="str">
        <f aca="false">IFERROR(__xludf.dummyfunction("if($T288&lt;&gt;"""",REGEXEXTRACT(SUBSTITUTE ($T288,I$1&amp;"" CE"",""""), I$1&amp;""[\w &amp;]*, (\d+\.\d+)""),"""")
"),"")</f>
        <v/>
      </c>
      <c r="J288" s="3" t="str">
        <f aca="false">IFERROR(__xludf.dummyfunction("if($T288&lt;&gt;"""",REGEXEXTRACT($T288, J$1&amp;""[\w &amp;]*, (\d+\.\d+)""),"""")
"),"")</f>
        <v/>
      </c>
      <c r="K288" s="3"/>
      <c r="L288" s="3" t="str">
        <f aca="false">IFERROR(__xludf.dummyfunction("if($T288&lt;&gt;"""",REGEXEXTRACT(SUBSTITUTE ($T288,L$1&amp;"" CE"",""""), L$1&amp;""[\w &amp;]*, (\d+\.\d+)""),"""")
"),"")</f>
        <v/>
      </c>
      <c r="M288" s="3" t="str">
        <f aca="false">IFERROR(__xludf.dummyfunction("if($T288&lt;&gt;"""",REGEXEXTRACT($T288, M$1&amp;""[\w &amp;]*, (\d+\.\d+)""),"""")
"),"")</f>
        <v/>
      </c>
      <c r="N288" s="3" t="str">
        <f aca="false">IFERROR(__xludf.dummyfunction("if($T288&lt;&gt;"""",REGEXEXTRACT(SUBSTITUTE ($T288,N$1&amp;"" CE"",""""), N$1&amp;""[\w &amp;]*, (\d+\.\d+)""),"""")
"),"")</f>
        <v/>
      </c>
      <c r="O288" s="3" t="str">
        <f aca="false">IFERROR(__xludf.dummyfunction("if($T288&lt;&gt;"""",REGEXEXTRACT($T288, O$1&amp;""[\w &amp;]*, (\d+\.\d+)""),"""")
"),"")</f>
        <v/>
      </c>
      <c r="P288" s="2"/>
      <c r="Q288" s="2"/>
      <c r="R288" s="2"/>
      <c r="S288" s="2"/>
      <c r="T288" s="5"/>
    </row>
    <row r="289" customFormat="false" ht="15.75" hidden="false" customHeight="false" outlineLevel="0" collapsed="false">
      <c r="A289" s="4"/>
      <c r="B289" s="2"/>
      <c r="C289" s="2"/>
      <c r="D289" s="2"/>
      <c r="E289" s="2"/>
      <c r="F289" s="3" t="str">
        <f aca="false">IFERROR(__xludf.dummyfunction("if($T289&lt;&gt;"""",REGEXEXTRACT(SUBSTITUTE ($T289,F$1&amp;"" CE"",""""), F$1&amp;""[\w &amp;]*, (\d+\.\d+)""),"""")
"),"")</f>
        <v/>
      </c>
      <c r="G289" s="3" t="str">
        <f aca="false">IFERROR(__xludf.dummyfunction("if($T289&lt;&gt;"""",REGEXEXTRACT($T289, G$1&amp;""[\w &amp;]*, (\d+\.\d+)""),"""")
"),"")</f>
        <v/>
      </c>
      <c r="H289" s="3"/>
      <c r="I289" s="3" t="str">
        <f aca="false">IFERROR(__xludf.dummyfunction("if($T289&lt;&gt;"""",REGEXEXTRACT(SUBSTITUTE ($T289,I$1&amp;"" CE"",""""), I$1&amp;""[\w &amp;]*, (\d+\.\d+)""),"""")
"),"")</f>
        <v/>
      </c>
      <c r="J289" s="3" t="str">
        <f aca="false">IFERROR(__xludf.dummyfunction("if($T289&lt;&gt;"""",REGEXEXTRACT($T289, J$1&amp;""[\w &amp;]*, (\d+\.\d+)""),"""")
"),"")</f>
        <v/>
      </c>
      <c r="K289" s="3"/>
      <c r="L289" s="3" t="str">
        <f aca="false">IFERROR(__xludf.dummyfunction("if($T289&lt;&gt;"""",REGEXEXTRACT(SUBSTITUTE ($T289,L$1&amp;"" CE"",""""), L$1&amp;""[\w &amp;]*, (\d+\.\d+)""),"""")
"),"")</f>
        <v/>
      </c>
      <c r="M289" s="3" t="str">
        <f aca="false">IFERROR(__xludf.dummyfunction("if($T289&lt;&gt;"""",REGEXEXTRACT($T289, M$1&amp;""[\w &amp;]*, (\d+\.\d+)""),"""")
"),"")</f>
        <v/>
      </c>
      <c r="N289" s="3" t="str">
        <f aca="false">IFERROR(__xludf.dummyfunction("if($T289&lt;&gt;"""",REGEXEXTRACT(SUBSTITUTE ($T289,N$1&amp;"" CE"",""""), N$1&amp;""[\w &amp;]*, (\d+\.\d+)""),"""")
"),"")</f>
        <v/>
      </c>
      <c r="O289" s="3" t="str">
        <f aca="false">IFERROR(__xludf.dummyfunction("if($T289&lt;&gt;"""",REGEXEXTRACT($T289, O$1&amp;""[\w &amp;]*, (\d+\.\d+)""),"""")
"),"")</f>
        <v/>
      </c>
      <c r="P289" s="2"/>
      <c r="Q289" s="2"/>
      <c r="R289" s="2"/>
      <c r="S289" s="2"/>
      <c r="T289" s="5"/>
    </row>
    <row r="290" customFormat="false" ht="15.75" hidden="false" customHeight="false" outlineLevel="0" collapsed="false">
      <c r="A290" s="4"/>
      <c r="B290" s="2"/>
      <c r="C290" s="2"/>
      <c r="D290" s="2"/>
      <c r="E290" s="2"/>
      <c r="F290" s="3" t="str">
        <f aca="false">IFERROR(__xludf.dummyfunction("if($T290&lt;&gt;"""",REGEXEXTRACT(SUBSTITUTE ($T290,F$1&amp;"" CE"",""""), F$1&amp;""[\w &amp;]*, (\d+\.\d+)""),"""")
"),"")</f>
        <v/>
      </c>
      <c r="G290" s="3" t="str">
        <f aca="false">IFERROR(__xludf.dummyfunction("if($T290&lt;&gt;"""",REGEXEXTRACT($T290, G$1&amp;""[\w &amp;]*, (\d+\.\d+)""),"""")
"),"")</f>
        <v/>
      </c>
      <c r="H290" s="3"/>
      <c r="I290" s="3" t="str">
        <f aca="false">IFERROR(__xludf.dummyfunction("if($T290&lt;&gt;"""",REGEXEXTRACT(SUBSTITUTE ($T290,I$1&amp;"" CE"",""""), I$1&amp;""[\w &amp;]*, (\d+\.\d+)""),"""")
"),"")</f>
        <v/>
      </c>
      <c r="J290" s="3" t="str">
        <f aca="false">IFERROR(__xludf.dummyfunction("if($T290&lt;&gt;"""",REGEXEXTRACT($T290, J$1&amp;""[\w &amp;]*, (\d+\.\d+)""),"""")
"),"")</f>
        <v/>
      </c>
      <c r="K290" s="3"/>
      <c r="L290" s="3" t="str">
        <f aca="false">IFERROR(__xludf.dummyfunction("if($T290&lt;&gt;"""",REGEXEXTRACT(SUBSTITUTE ($T290,L$1&amp;"" CE"",""""), L$1&amp;""[\w &amp;]*, (\d+\.\d+)""),"""")
"),"")</f>
        <v/>
      </c>
      <c r="M290" s="3" t="str">
        <f aca="false">IFERROR(__xludf.dummyfunction("if($T290&lt;&gt;"""",REGEXEXTRACT($T290, M$1&amp;""[\w &amp;]*, (\d+\.\d+)""),"""")
"),"")</f>
        <v/>
      </c>
      <c r="N290" s="3" t="str">
        <f aca="false">IFERROR(__xludf.dummyfunction("if($T290&lt;&gt;"""",REGEXEXTRACT(SUBSTITUTE ($T290,N$1&amp;"" CE"",""""), N$1&amp;""[\w &amp;]*, (\d+\.\d+)""),"""")
"),"")</f>
        <v/>
      </c>
      <c r="O290" s="3" t="str">
        <f aca="false">IFERROR(__xludf.dummyfunction("if($T290&lt;&gt;"""",REGEXEXTRACT($T290, O$1&amp;""[\w &amp;]*, (\d+\.\d+)""),"""")
"),"")</f>
        <v/>
      </c>
      <c r="P290" s="2"/>
      <c r="Q290" s="2"/>
      <c r="R290" s="2"/>
      <c r="S290" s="2"/>
      <c r="T290" s="5"/>
    </row>
    <row r="291" customFormat="false" ht="15.75" hidden="false" customHeight="false" outlineLevel="0" collapsed="false">
      <c r="A291" s="4"/>
      <c r="B291" s="2"/>
      <c r="C291" s="2"/>
      <c r="D291" s="2"/>
      <c r="E291" s="2"/>
      <c r="F291" s="3" t="str">
        <f aca="false">IFERROR(__xludf.dummyfunction("if($T291&lt;&gt;"""",REGEXEXTRACT(SUBSTITUTE ($T291,F$1&amp;"" CE"",""""), F$1&amp;""[\w &amp;]*, (\d+\.\d+)""),"""")
"),"")</f>
        <v/>
      </c>
      <c r="G291" s="3" t="str">
        <f aca="false">IFERROR(__xludf.dummyfunction("if($T291&lt;&gt;"""",REGEXEXTRACT($T291, G$1&amp;""[\w &amp;]*, (\d+\.\d+)""),"""")
"),"")</f>
        <v/>
      </c>
      <c r="H291" s="3"/>
      <c r="I291" s="3" t="str">
        <f aca="false">IFERROR(__xludf.dummyfunction("if($T291&lt;&gt;"""",REGEXEXTRACT(SUBSTITUTE ($T291,I$1&amp;"" CE"",""""), I$1&amp;""[\w &amp;]*, (\d+\.\d+)""),"""")
"),"")</f>
        <v/>
      </c>
      <c r="J291" s="3" t="str">
        <f aca="false">IFERROR(__xludf.dummyfunction("if($T291&lt;&gt;"""",REGEXEXTRACT($T291, J$1&amp;""[\w &amp;]*, (\d+\.\d+)""),"""")
"),"")</f>
        <v/>
      </c>
      <c r="K291" s="3"/>
      <c r="L291" s="3" t="str">
        <f aca="false">IFERROR(__xludf.dummyfunction("if($T291&lt;&gt;"""",REGEXEXTRACT(SUBSTITUTE ($T291,L$1&amp;"" CE"",""""), L$1&amp;""[\w &amp;]*, (\d+\.\d+)""),"""")
"),"")</f>
        <v/>
      </c>
      <c r="M291" s="3" t="str">
        <f aca="false">IFERROR(__xludf.dummyfunction("if($T291&lt;&gt;"""",REGEXEXTRACT($T291, M$1&amp;""[\w &amp;]*, (\d+\.\d+)""),"""")
"),"")</f>
        <v/>
      </c>
      <c r="N291" s="3" t="str">
        <f aca="false">IFERROR(__xludf.dummyfunction("if($T291&lt;&gt;"""",REGEXEXTRACT(SUBSTITUTE ($T291,N$1&amp;"" CE"",""""), N$1&amp;""[\w &amp;]*, (\d+\.\d+)""),"""")
"),"")</f>
        <v/>
      </c>
      <c r="O291" s="3" t="str">
        <f aca="false">IFERROR(__xludf.dummyfunction("if($T291&lt;&gt;"""",REGEXEXTRACT($T291, O$1&amp;""[\w &amp;]*, (\d+\.\d+)""),"""")
"),"")</f>
        <v/>
      </c>
      <c r="P291" s="2"/>
      <c r="Q291" s="2"/>
      <c r="R291" s="2"/>
      <c r="S291" s="2"/>
      <c r="T291" s="5"/>
    </row>
    <row r="292" customFormat="false" ht="15.75" hidden="false" customHeight="false" outlineLevel="0" collapsed="false">
      <c r="A292" s="4"/>
      <c r="B292" s="2"/>
      <c r="C292" s="2"/>
      <c r="D292" s="2"/>
      <c r="E292" s="2"/>
      <c r="F292" s="3" t="str">
        <f aca="false">IFERROR(__xludf.dummyfunction("if($T292&lt;&gt;"""",REGEXEXTRACT(SUBSTITUTE ($T292,F$1&amp;"" CE"",""""), F$1&amp;""[\w &amp;]*, (\d+\.\d+)""),"""")
"),"")</f>
        <v/>
      </c>
      <c r="G292" s="3" t="str">
        <f aca="false">IFERROR(__xludf.dummyfunction("if($T292&lt;&gt;"""",REGEXEXTRACT($T292, G$1&amp;""[\w &amp;]*, (\d+\.\d+)""),"""")
"),"")</f>
        <v/>
      </c>
      <c r="H292" s="3"/>
      <c r="I292" s="3" t="str">
        <f aca="false">IFERROR(__xludf.dummyfunction("if($T292&lt;&gt;"""",REGEXEXTRACT(SUBSTITUTE ($T292,I$1&amp;"" CE"",""""), I$1&amp;""[\w &amp;]*, (\d+\.\d+)""),"""")
"),"")</f>
        <v/>
      </c>
      <c r="J292" s="3" t="str">
        <f aca="false">IFERROR(__xludf.dummyfunction("if($T292&lt;&gt;"""",REGEXEXTRACT($T292, J$1&amp;""[\w &amp;]*, (\d+\.\d+)""),"""")
"),"")</f>
        <v/>
      </c>
      <c r="K292" s="3"/>
      <c r="L292" s="3" t="str">
        <f aca="false">IFERROR(__xludf.dummyfunction("if($T292&lt;&gt;"""",REGEXEXTRACT(SUBSTITUTE ($T292,L$1&amp;"" CE"",""""), L$1&amp;""[\w &amp;]*, (\d+\.\d+)""),"""")
"),"")</f>
        <v/>
      </c>
      <c r="M292" s="3" t="str">
        <f aca="false">IFERROR(__xludf.dummyfunction("if($T292&lt;&gt;"""",REGEXEXTRACT($T292, M$1&amp;""[\w &amp;]*, (\d+\.\d+)""),"""")
"),"")</f>
        <v/>
      </c>
      <c r="N292" s="3" t="str">
        <f aca="false">IFERROR(__xludf.dummyfunction("if($T292&lt;&gt;"""",REGEXEXTRACT(SUBSTITUTE ($T292,N$1&amp;"" CE"",""""), N$1&amp;""[\w &amp;]*, (\d+\.\d+)""),"""")
"),"")</f>
        <v/>
      </c>
      <c r="O292" s="3" t="str">
        <f aca="false">IFERROR(__xludf.dummyfunction("if($T292&lt;&gt;"""",REGEXEXTRACT($T292, O$1&amp;""[\w &amp;]*, (\d+\.\d+)""),"""")
"),"")</f>
        <v/>
      </c>
      <c r="P292" s="2"/>
      <c r="Q292" s="2"/>
      <c r="R292" s="2"/>
      <c r="S292" s="2"/>
      <c r="T292" s="5"/>
    </row>
    <row r="293" customFormat="false" ht="15.75" hidden="false" customHeight="false" outlineLevel="0" collapsed="false">
      <c r="A293" s="4"/>
      <c r="B293" s="2"/>
      <c r="C293" s="2"/>
      <c r="D293" s="2"/>
      <c r="E293" s="2"/>
      <c r="F293" s="3" t="str">
        <f aca="false">IFERROR(__xludf.dummyfunction("if($T293&lt;&gt;"""",REGEXEXTRACT(SUBSTITUTE ($T293,F$1&amp;"" CE"",""""), F$1&amp;""[\w &amp;]*, (\d+\.\d+)""),"""")
"),"")</f>
        <v/>
      </c>
      <c r="G293" s="3" t="str">
        <f aca="false">IFERROR(__xludf.dummyfunction("if($T293&lt;&gt;"""",REGEXEXTRACT($T293, G$1&amp;""[\w &amp;]*, (\d+\.\d+)""),"""")
"),"")</f>
        <v/>
      </c>
      <c r="H293" s="3"/>
      <c r="I293" s="3" t="str">
        <f aca="false">IFERROR(__xludf.dummyfunction("if($T293&lt;&gt;"""",REGEXEXTRACT(SUBSTITUTE ($T293,I$1&amp;"" CE"",""""), I$1&amp;""[\w &amp;]*, (\d+\.\d+)""),"""")
"),"")</f>
        <v/>
      </c>
      <c r="J293" s="3" t="str">
        <f aca="false">IFERROR(__xludf.dummyfunction("if($T293&lt;&gt;"""",REGEXEXTRACT($T293, J$1&amp;""[\w &amp;]*, (\d+\.\d+)""),"""")
"),"")</f>
        <v/>
      </c>
      <c r="K293" s="3"/>
      <c r="L293" s="3" t="str">
        <f aca="false">IFERROR(__xludf.dummyfunction("if($T293&lt;&gt;"""",REGEXEXTRACT(SUBSTITUTE ($T293,L$1&amp;"" CE"",""""), L$1&amp;""[\w &amp;]*, (\d+\.\d+)""),"""")
"),"")</f>
        <v/>
      </c>
      <c r="M293" s="3" t="str">
        <f aca="false">IFERROR(__xludf.dummyfunction("if($T293&lt;&gt;"""",REGEXEXTRACT($T293, M$1&amp;""[\w &amp;]*, (\d+\.\d+)""),"""")
"),"")</f>
        <v/>
      </c>
      <c r="N293" s="3" t="str">
        <f aca="false">IFERROR(__xludf.dummyfunction("if($T293&lt;&gt;"""",REGEXEXTRACT(SUBSTITUTE ($T293,N$1&amp;"" CE"",""""), N$1&amp;""[\w &amp;]*, (\d+\.\d+)""),"""")
"),"")</f>
        <v/>
      </c>
      <c r="O293" s="3" t="str">
        <f aca="false">IFERROR(__xludf.dummyfunction("if($T293&lt;&gt;"""",REGEXEXTRACT($T293, O$1&amp;""[\w &amp;]*, (\d+\.\d+)""),"""")
"),"")</f>
        <v/>
      </c>
      <c r="P293" s="2"/>
      <c r="Q293" s="2"/>
      <c r="R293" s="2"/>
      <c r="S293" s="2"/>
      <c r="T293" s="5"/>
    </row>
    <row r="294" customFormat="false" ht="15.75" hidden="false" customHeight="false" outlineLevel="0" collapsed="false">
      <c r="A294" s="4"/>
      <c r="B294" s="2"/>
      <c r="C294" s="2"/>
      <c r="D294" s="2"/>
      <c r="E294" s="2"/>
      <c r="F294" s="3" t="str">
        <f aca="false">IFERROR(__xludf.dummyfunction("if($T294&lt;&gt;"""",REGEXEXTRACT(SUBSTITUTE ($T294,F$1&amp;"" CE"",""""), F$1&amp;""[\w &amp;]*, (\d+\.\d+)""),"""")
"),"")</f>
        <v/>
      </c>
      <c r="G294" s="3" t="str">
        <f aca="false">IFERROR(__xludf.dummyfunction("if($T294&lt;&gt;"""",REGEXEXTRACT($T294, G$1&amp;""[\w &amp;]*, (\d+\.\d+)""),"""")
"),"")</f>
        <v/>
      </c>
      <c r="H294" s="3"/>
      <c r="I294" s="3" t="str">
        <f aca="false">IFERROR(__xludf.dummyfunction("if($T294&lt;&gt;"""",REGEXEXTRACT(SUBSTITUTE ($T294,I$1&amp;"" CE"",""""), I$1&amp;""[\w &amp;]*, (\d+\.\d+)""),"""")
"),"")</f>
        <v/>
      </c>
      <c r="J294" s="3" t="str">
        <f aca="false">IFERROR(__xludf.dummyfunction("if($T294&lt;&gt;"""",REGEXEXTRACT($T294, J$1&amp;""[\w &amp;]*, (\d+\.\d+)""),"""")
"),"")</f>
        <v/>
      </c>
      <c r="K294" s="3"/>
      <c r="L294" s="3" t="str">
        <f aca="false">IFERROR(__xludf.dummyfunction("if($T294&lt;&gt;"""",REGEXEXTRACT(SUBSTITUTE ($T294,L$1&amp;"" CE"",""""), L$1&amp;""[\w &amp;]*, (\d+\.\d+)""),"""")
"),"")</f>
        <v/>
      </c>
      <c r="M294" s="3" t="str">
        <f aca="false">IFERROR(__xludf.dummyfunction("if($T294&lt;&gt;"""",REGEXEXTRACT($T294, M$1&amp;""[\w &amp;]*, (\d+\.\d+)""),"""")
"),"")</f>
        <v/>
      </c>
      <c r="N294" s="3" t="str">
        <f aca="false">IFERROR(__xludf.dummyfunction("if($T294&lt;&gt;"""",REGEXEXTRACT(SUBSTITUTE ($T294,N$1&amp;"" CE"",""""), N$1&amp;""[\w &amp;]*, (\d+\.\d+)""),"""")
"),"")</f>
        <v/>
      </c>
      <c r="O294" s="3" t="str">
        <f aca="false">IFERROR(__xludf.dummyfunction("if($T294&lt;&gt;"""",REGEXEXTRACT($T294, O$1&amp;""[\w &amp;]*, (\d+\.\d+)""),"""")
"),"")</f>
        <v/>
      </c>
      <c r="P294" s="2"/>
      <c r="Q294" s="2"/>
      <c r="R294" s="2"/>
      <c r="S294" s="2"/>
      <c r="T294" s="5"/>
    </row>
    <row r="295" customFormat="false" ht="15.75" hidden="false" customHeight="false" outlineLevel="0" collapsed="false">
      <c r="A295" s="4"/>
      <c r="B295" s="2"/>
      <c r="C295" s="2"/>
      <c r="D295" s="2"/>
      <c r="E295" s="2"/>
      <c r="F295" s="3" t="str">
        <f aca="false">IFERROR(__xludf.dummyfunction("if($T295&lt;&gt;"""",REGEXEXTRACT(SUBSTITUTE ($T295,F$1&amp;"" CE"",""""), F$1&amp;""[\w &amp;]*, (\d+\.\d+)""),"""")
"),"")</f>
        <v/>
      </c>
      <c r="G295" s="3" t="str">
        <f aca="false">IFERROR(__xludf.dummyfunction("if($T295&lt;&gt;"""",REGEXEXTRACT($T295, G$1&amp;""[\w &amp;]*, (\d+\.\d+)""),"""")
"),"")</f>
        <v/>
      </c>
      <c r="H295" s="3"/>
      <c r="I295" s="3" t="str">
        <f aca="false">IFERROR(__xludf.dummyfunction("if($T295&lt;&gt;"""",REGEXEXTRACT(SUBSTITUTE ($T295,I$1&amp;"" CE"",""""), I$1&amp;""[\w &amp;]*, (\d+\.\d+)""),"""")
"),"")</f>
        <v/>
      </c>
      <c r="J295" s="3" t="str">
        <f aca="false">IFERROR(__xludf.dummyfunction("if($T295&lt;&gt;"""",REGEXEXTRACT($T295, J$1&amp;""[\w &amp;]*, (\d+\.\d+)""),"""")
"),"")</f>
        <v/>
      </c>
      <c r="K295" s="3"/>
      <c r="L295" s="3" t="str">
        <f aca="false">IFERROR(__xludf.dummyfunction("if($T295&lt;&gt;"""",REGEXEXTRACT(SUBSTITUTE ($T295,L$1&amp;"" CE"",""""), L$1&amp;""[\w &amp;]*, (\d+\.\d+)""),"""")
"),"")</f>
        <v/>
      </c>
      <c r="M295" s="3" t="str">
        <f aca="false">IFERROR(__xludf.dummyfunction("if($T295&lt;&gt;"""",REGEXEXTRACT($T295, M$1&amp;""[\w &amp;]*, (\d+\.\d+)""),"""")
"),"")</f>
        <v/>
      </c>
      <c r="N295" s="3" t="str">
        <f aca="false">IFERROR(__xludf.dummyfunction("if($T295&lt;&gt;"""",REGEXEXTRACT(SUBSTITUTE ($T295,N$1&amp;"" CE"",""""), N$1&amp;""[\w &amp;]*, (\d+\.\d+)""),"""")
"),"")</f>
        <v/>
      </c>
      <c r="O295" s="3" t="str">
        <f aca="false">IFERROR(__xludf.dummyfunction("if($T295&lt;&gt;"""",REGEXEXTRACT($T295, O$1&amp;""[\w &amp;]*, (\d+\.\d+)""),"""")
"),"")</f>
        <v/>
      </c>
      <c r="P295" s="2"/>
      <c r="Q295" s="2"/>
      <c r="R295" s="2"/>
      <c r="S295" s="2"/>
      <c r="T295" s="5"/>
    </row>
    <row r="296" customFormat="false" ht="15.75" hidden="false" customHeight="false" outlineLevel="0" collapsed="false">
      <c r="A296" s="4"/>
      <c r="B296" s="2"/>
      <c r="C296" s="2"/>
      <c r="D296" s="2"/>
      <c r="E296" s="2"/>
      <c r="F296" s="3" t="str">
        <f aca="false">IFERROR(__xludf.dummyfunction("if($T296&lt;&gt;"""",REGEXEXTRACT(SUBSTITUTE ($T296,F$1&amp;"" CE"",""""), F$1&amp;""[\w &amp;]*, (\d+\.\d+)""),"""")
"),"")</f>
        <v/>
      </c>
      <c r="G296" s="3" t="str">
        <f aca="false">IFERROR(__xludf.dummyfunction("if($T296&lt;&gt;"""",REGEXEXTRACT($T296, G$1&amp;""[\w &amp;]*, (\d+\.\d+)""),"""")
"),"")</f>
        <v/>
      </c>
      <c r="H296" s="3"/>
      <c r="I296" s="3" t="str">
        <f aca="false">IFERROR(__xludf.dummyfunction("if($T296&lt;&gt;"""",REGEXEXTRACT(SUBSTITUTE ($T296,I$1&amp;"" CE"",""""), I$1&amp;""[\w &amp;]*, (\d+\.\d+)""),"""")
"),"")</f>
        <v/>
      </c>
      <c r="J296" s="3" t="str">
        <f aca="false">IFERROR(__xludf.dummyfunction("if($T296&lt;&gt;"""",REGEXEXTRACT($T296, J$1&amp;""[\w &amp;]*, (\d+\.\d+)""),"""")
"),"")</f>
        <v/>
      </c>
      <c r="K296" s="3"/>
      <c r="L296" s="3" t="str">
        <f aca="false">IFERROR(__xludf.dummyfunction("if($T296&lt;&gt;"""",REGEXEXTRACT(SUBSTITUTE ($T296,L$1&amp;"" CE"",""""), L$1&amp;""[\w &amp;]*, (\d+\.\d+)""),"""")
"),"")</f>
        <v/>
      </c>
      <c r="M296" s="3" t="str">
        <f aca="false">IFERROR(__xludf.dummyfunction("if($T296&lt;&gt;"""",REGEXEXTRACT($T296, M$1&amp;""[\w &amp;]*, (\d+\.\d+)""),"""")
"),"")</f>
        <v/>
      </c>
      <c r="N296" s="3" t="str">
        <f aca="false">IFERROR(__xludf.dummyfunction("if($T296&lt;&gt;"""",REGEXEXTRACT(SUBSTITUTE ($T296,N$1&amp;"" CE"",""""), N$1&amp;""[\w &amp;]*, (\d+\.\d+)""),"""")
"),"")</f>
        <v/>
      </c>
      <c r="O296" s="3" t="str">
        <f aca="false">IFERROR(__xludf.dummyfunction("if($T296&lt;&gt;"""",REGEXEXTRACT($T296, O$1&amp;""[\w &amp;]*, (\d+\.\d+)""),"""")
"),"")</f>
        <v/>
      </c>
      <c r="P296" s="2"/>
      <c r="Q296" s="2"/>
      <c r="R296" s="2"/>
      <c r="S296" s="2"/>
      <c r="T296" s="5"/>
    </row>
    <row r="297" customFormat="false" ht="15.75" hidden="false" customHeight="false" outlineLevel="0" collapsed="false">
      <c r="A297" s="4"/>
      <c r="B297" s="2"/>
      <c r="C297" s="2"/>
      <c r="D297" s="2"/>
      <c r="E297" s="2"/>
      <c r="F297" s="3" t="str">
        <f aca="false">IFERROR(__xludf.dummyfunction("if($T297&lt;&gt;"""",REGEXEXTRACT(SUBSTITUTE ($T297,F$1&amp;"" CE"",""""), F$1&amp;""[\w &amp;]*, (\d+\.\d+)""),"""")
"),"")</f>
        <v/>
      </c>
      <c r="G297" s="3" t="str">
        <f aca="false">IFERROR(__xludf.dummyfunction("if($T297&lt;&gt;"""",REGEXEXTRACT($T297, G$1&amp;""[\w &amp;]*, (\d+\.\d+)""),"""")
"),"")</f>
        <v/>
      </c>
      <c r="H297" s="3"/>
      <c r="I297" s="3" t="str">
        <f aca="false">IFERROR(__xludf.dummyfunction("if($T297&lt;&gt;"""",REGEXEXTRACT(SUBSTITUTE ($T297,I$1&amp;"" CE"",""""), I$1&amp;""[\w &amp;]*, (\d+\.\d+)""),"""")
"),"")</f>
        <v/>
      </c>
      <c r="J297" s="3" t="str">
        <f aca="false">IFERROR(__xludf.dummyfunction("if($T297&lt;&gt;"""",REGEXEXTRACT($T297, J$1&amp;""[\w &amp;]*, (\d+\.\d+)""),"""")
"),"")</f>
        <v/>
      </c>
      <c r="K297" s="3"/>
      <c r="L297" s="3" t="str">
        <f aca="false">IFERROR(__xludf.dummyfunction("if($T297&lt;&gt;"""",REGEXEXTRACT(SUBSTITUTE ($T297,L$1&amp;"" CE"",""""), L$1&amp;""[\w &amp;]*, (\d+\.\d+)""),"""")
"),"")</f>
        <v/>
      </c>
      <c r="M297" s="3" t="str">
        <f aca="false">IFERROR(__xludf.dummyfunction("if($T297&lt;&gt;"""",REGEXEXTRACT($T297, M$1&amp;""[\w &amp;]*, (\d+\.\d+)""),"""")
"),"")</f>
        <v/>
      </c>
      <c r="N297" s="3" t="str">
        <f aca="false">IFERROR(__xludf.dummyfunction("if($T297&lt;&gt;"""",REGEXEXTRACT(SUBSTITUTE ($T297,N$1&amp;"" CE"",""""), N$1&amp;""[\w &amp;]*, (\d+\.\d+)""),"""")
"),"")</f>
        <v/>
      </c>
      <c r="O297" s="3" t="str">
        <f aca="false">IFERROR(__xludf.dummyfunction("if($T297&lt;&gt;"""",REGEXEXTRACT($T297, O$1&amp;""[\w &amp;]*, (\d+\.\d+)""),"""")
"),"")</f>
        <v/>
      </c>
      <c r="P297" s="2"/>
      <c r="Q297" s="2"/>
      <c r="R297" s="2"/>
      <c r="S297" s="2"/>
      <c r="T297" s="5"/>
    </row>
    <row r="298" customFormat="false" ht="15.75" hidden="false" customHeight="false" outlineLevel="0" collapsed="false">
      <c r="A298" s="4"/>
      <c r="B298" s="2"/>
      <c r="C298" s="2"/>
      <c r="D298" s="2"/>
      <c r="E298" s="2"/>
      <c r="F298" s="3" t="str">
        <f aca="false">IFERROR(__xludf.dummyfunction("if($T298&lt;&gt;"""",REGEXEXTRACT(SUBSTITUTE ($T298,F$1&amp;"" CE"",""""), F$1&amp;""[\w &amp;]*, (\d+\.\d+)""),"""")
"),"")</f>
        <v/>
      </c>
      <c r="G298" s="3" t="str">
        <f aca="false">IFERROR(__xludf.dummyfunction("if($T298&lt;&gt;"""",REGEXEXTRACT($T298, G$1&amp;""[\w &amp;]*, (\d+\.\d+)""),"""")
"),"")</f>
        <v/>
      </c>
      <c r="H298" s="3"/>
      <c r="I298" s="3" t="str">
        <f aca="false">IFERROR(__xludf.dummyfunction("if($T298&lt;&gt;"""",REGEXEXTRACT(SUBSTITUTE ($T298,I$1&amp;"" CE"",""""), I$1&amp;""[\w &amp;]*, (\d+\.\d+)""),"""")
"),"")</f>
        <v/>
      </c>
      <c r="J298" s="3" t="str">
        <f aca="false">IFERROR(__xludf.dummyfunction("if($T298&lt;&gt;"""",REGEXEXTRACT($T298, J$1&amp;""[\w &amp;]*, (\d+\.\d+)""),"""")
"),"")</f>
        <v/>
      </c>
      <c r="K298" s="3"/>
      <c r="L298" s="3" t="str">
        <f aca="false">IFERROR(__xludf.dummyfunction("if($T298&lt;&gt;"""",REGEXEXTRACT(SUBSTITUTE ($T298,L$1&amp;"" CE"",""""), L$1&amp;""[\w &amp;]*, (\d+\.\d+)""),"""")
"),"")</f>
        <v/>
      </c>
      <c r="M298" s="3" t="str">
        <f aca="false">IFERROR(__xludf.dummyfunction("if($T298&lt;&gt;"""",REGEXEXTRACT($T298, M$1&amp;""[\w &amp;]*, (\d+\.\d+)""),"""")
"),"")</f>
        <v/>
      </c>
      <c r="N298" s="3" t="str">
        <f aca="false">IFERROR(__xludf.dummyfunction("if($T298&lt;&gt;"""",REGEXEXTRACT(SUBSTITUTE ($T298,N$1&amp;"" CE"",""""), N$1&amp;""[\w &amp;]*, (\d+\.\d+)""),"""")
"),"")</f>
        <v/>
      </c>
      <c r="O298" s="3" t="str">
        <f aca="false">IFERROR(__xludf.dummyfunction("if($T298&lt;&gt;"""",REGEXEXTRACT($T298, O$1&amp;""[\w &amp;]*, (\d+\.\d+)""),"""")
"),"")</f>
        <v/>
      </c>
      <c r="P298" s="2"/>
      <c r="Q298" s="2"/>
      <c r="R298" s="2"/>
      <c r="S298" s="2"/>
      <c r="T298" s="5"/>
    </row>
    <row r="299" customFormat="false" ht="15.75" hidden="false" customHeight="false" outlineLevel="0" collapsed="false">
      <c r="A299" s="4"/>
      <c r="B299" s="2"/>
      <c r="C299" s="2"/>
      <c r="D299" s="2"/>
      <c r="E299" s="2"/>
      <c r="F299" s="3" t="str">
        <f aca="false">IFERROR(__xludf.dummyfunction("if($T299&lt;&gt;"""",REGEXEXTRACT(SUBSTITUTE ($T299,F$1&amp;"" CE"",""""), F$1&amp;""[\w &amp;]*, (\d+\.\d+)""),"""")
"),"")</f>
        <v/>
      </c>
      <c r="G299" s="3" t="str">
        <f aca="false">IFERROR(__xludf.dummyfunction("if($T299&lt;&gt;"""",REGEXEXTRACT($T299, G$1&amp;""[\w &amp;]*, (\d+\.\d+)""),"""")
"),"")</f>
        <v/>
      </c>
      <c r="H299" s="3"/>
      <c r="I299" s="3" t="str">
        <f aca="false">IFERROR(__xludf.dummyfunction("if($T299&lt;&gt;"""",REGEXEXTRACT(SUBSTITUTE ($T299,I$1&amp;"" CE"",""""), I$1&amp;""[\w &amp;]*, (\d+\.\d+)""),"""")
"),"")</f>
        <v/>
      </c>
      <c r="J299" s="3" t="str">
        <f aca="false">IFERROR(__xludf.dummyfunction("if($T299&lt;&gt;"""",REGEXEXTRACT($T299, J$1&amp;""[\w &amp;]*, (\d+\.\d+)""),"""")
"),"")</f>
        <v/>
      </c>
      <c r="K299" s="3"/>
      <c r="L299" s="3" t="str">
        <f aca="false">IFERROR(__xludf.dummyfunction("if($T299&lt;&gt;"""",REGEXEXTRACT(SUBSTITUTE ($T299,L$1&amp;"" CE"",""""), L$1&amp;""[\w &amp;]*, (\d+\.\d+)""),"""")
"),"")</f>
        <v/>
      </c>
      <c r="M299" s="3" t="str">
        <f aca="false">IFERROR(__xludf.dummyfunction("if($T299&lt;&gt;"""",REGEXEXTRACT($T299, M$1&amp;""[\w &amp;]*, (\d+\.\d+)""),"""")
"),"")</f>
        <v/>
      </c>
      <c r="N299" s="3" t="str">
        <f aca="false">IFERROR(__xludf.dummyfunction("if($T299&lt;&gt;"""",REGEXEXTRACT(SUBSTITUTE ($T299,N$1&amp;"" CE"",""""), N$1&amp;""[\w &amp;]*, (\d+\.\d+)""),"""")
"),"")</f>
        <v/>
      </c>
      <c r="O299" s="3" t="str">
        <f aca="false">IFERROR(__xludf.dummyfunction("if($T299&lt;&gt;"""",REGEXEXTRACT($T299, O$1&amp;""[\w &amp;]*, (\d+\.\d+)""),"""")
"),"")</f>
        <v/>
      </c>
      <c r="P299" s="2"/>
      <c r="Q299" s="2"/>
      <c r="R299" s="2"/>
      <c r="S299" s="2"/>
      <c r="T299" s="5"/>
    </row>
    <row r="300" customFormat="false" ht="15.75" hidden="false" customHeight="false" outlineLevel="0" collapsed="false">
      <c r="A300" s="4"/>
      <c r="B300" s="2"/>
      <c r="C300" s="2"/>
      <c r="D300" s="2"/>
      <c r="E300" s="2"/>
      <c r="F300" s="3" t="str">
        <f aca="false">IFERROR(__xludf.dummyfunction("if($T300&lt;&gt;"""",REGEXEXTRACT(SUBSTITUTE ($T300,F$1&amp;"" CE"",""""), F$1&amp;""[\w &amp;]*, (\d+\.\d+)""),"""")
"),"")</f>
        <v/>
      </c>
      <c r="G300" s="3" t="str">
        <f aca="false">IFERROR(__xludf.dummyfunction("if($T300&lt;&gt;"""",REGEXEXTRACT($T300, G$1&amp;""[\w &amp;]*, (\d+\.\d+)""),"""")
"),"")</f>
        <v/>
      </c>
      <c r="H300" s="3"/>
      <c r="I300" s="3" t="str">
        <f aca="false">IFERROR(__xludf.dummyfunction("if($T300&lt;&gt;"""",REGEXEXTRACT(SUBSTITUTE ($T300,I$1&amp;"" CE"",""""), I$1&amp;""[\w &amp;]*, (\d+\.\d+)""),"""")
"),"")</f>
        <v/>
      </c>
      <c r="J300" s="3" t="str">
        <f aca="false">IFERROR(__xludf.dummyfunction("if($T300&lt;&gt;"""",REGEXEXTRACT($T300, J$1&amp;""[\w &amp;]*, (\d+\.\d+)""),"""")
"),"")</f>
        <v/>
      </c>
      <c r="K300" s="3"/>
      <c r="L300" s="3" t="str">
        <f aca="false">IFERROR(__xludf.dummyfunction("if($T300&lt;&gt;"""",REGEXEXTRACT(SUBSTITUTE ($T300,L$1&amp;"" CE"",""""), L$1&amp;""[\w &amp;]*, (\d+\.\d+)""),"""")
"),"")</f>
        <v/>
      </c>
      <c r="M300" s="3" t="str">
        <f aca="false">IFERROR(__xludf.dummyfunction("if($T300&lt;&gt;"""",REGEXEXTRACT($T300, M$1&amp;""[\w &amp;]*, (\d+\.\d+)""),"""")
"),"")</f>
        <v/>
      </c>
      <c r="N300" s="3" t="str">
        <f aca="false">IFERROR(__xludf.dummyfunction("if($T300&lt;&gt;"""",REGEXEXTRACT(SUBSTITUTE ($T300,N$1&amp;"" CE"",""""), N$1&amp;""[\w &amp;]*, (\d+\.\d+)""),"""")
"),"")</f>
        <v/>
      </c>
      <c r="O300" s="3" t="str">
        <f aca="false">IFERROR(__xludf.dummyfunction("if($T300&lt;&gt;"""",REGEXEXTRACT($T300, O$1&amp;""[\w &amp;]*, (\d+\.\d+)""),"""")
"),"")</f>
        <v/>
      </c>
      <c r="P300" s="2"/>
      <c r="Q300" s="2"/>
      <c r="R300" s="2"/>
      <c r="S300" s="2"/>
      <c r="T300" s="5"/>
    </row>
    <row r="301" customFormat="false" ht="15.75" hidden="false" customHeight="false" outlineLevel="0" collapsed="false">
      <c r="A301" s="4"/>
      <c r="B301" s="2"/>
      <c r="C301" s="2"/>
      <c r="D301" s="2"/>
      <c r="E301" s="2"/>
      <c r="F301" s="3" t="str">
        <f aca="false">IFERROR(__xludf.dummyfunction("if($T301&lt;&gt;"""",REGEXEXTRACT(SUBSTITUTE ($T301,F$1&amp;"" CE"",""""), F$1&amp;""[\w &amp;]*, (\d+\.\d+)""),"""")
"),"")</f>
        <v/>
      </c>
      <c r="G301" s="3" t="str">
        <f aca="false">IFERROR(__xludf.dummyfunction("if($T301&lt;&gt;"""",REGEXEXTRACT($T301, G$1&amp;""[\w &amp;]*, (\d+\.\d+)""),"""")
"),"")</f>
        <v/>
      </c>
      <c r="H301" s="3"/>
      <c r="I301" s="3" t="str">
        <f aca="false">IFERROR(__xludf.dummyfunction("if($T301&lt;&gt;"""",REGEXEXTRACT(SUBSTITUTE ($T301,I$1&amp;"" CE"",""""), I$1&amp;""[\w &amp;]*, (\d+\.\d+)""),"""")
"),"")</f>
        <v/>
      </c>
      <c r="J301" s="3" t="str">
        <f aca="false">IFERROR(__xludf.dummyfunction("if($T301&lt;&gt;"""",REGEXEXTRACT($T301, J$1&amp;""[\w &amp;]*, (\d+\.\d+)""),"""")
"),"")</f>
        <v/>
      </c>
      <c r="K301" s="3"/>
      <c r="L301" s="3" t="str">
        <f aca="false">IFERROR(__xludf.dummyfunction("if($T301&lt;&gt;"""",REGEXEXTRACT(SUBSTITUTE ($T301,L$1&amp;"" CE"",""""), L$1&amp;""[\w &amp;]*, (\d+\.\d+)""),"""")
"),"")</f>
        <v/>
      </c>
      <c r="M301" s="3" t="str">
        <f aca="false">IFERROR(__xludf.dummyfunction("if($T301&lt;&gt;"""",REGEXEXTRACT($T301, M$1&amp;""[\w &amp;]*, (\d+\.\d+)""),"""")
"),"")</f>
        <v/>
      </c>
      <c r="N301" s="3" t="str">
        <f aca="false">IFERROR(__xludf.dummyfunction("if($T301&lt;&gt;"""",REGEXEXTRACT(SUBSTITUTE ($T301,N$1&amp;"" CE"",""""), N$1&amp;""[\w &amp;]*, (\d+\.\d+)""),"""")
"),"")</f>
        <v/>
      </c>
      <c r="O301" s="3" t="str">
        <f aca="false">IFERROR(__xludf.dummyfunction("if($T301&lt;&gt;"""",REGEXEXTRACT($T301, O$1&amp;""[\w &amp;]*, (\d+\.\d+)""),"""")
"),"")</f>
        <v/>
      </c>
      <c r="P301" s="2"/>
      <c r="Q301" s="2"/>
      <c r="R301" s="2"/>
      <c r="S301" s="2"/>
      <c r="T301" s="5"/>
    </row>
    <row r="302" customFormat="false" ht="15.75" hidden="false" customHeight="false" outlineLevel="0" collapsed="false">
      <c r="A302" s="4"/>
      <c r="B302" s="2"/>
      <c r="C302" s="2"/>
      <c r="D302" s="2"/>
      <c r="E302" s="2"/>
      <c r="F302" s="3" t="str">
        <f aca="false">IFERROR(__xludf.dummyfunction("if($T302&lt;&gt;"""",REGEXEXTRACT(SUBSTITUTE ($T302,F$1&amp;"" CE"",""""), F$1&amp;""[\w &amp;]*, (\d+\.\d+)""),"""")
"),"")</f>
        <v/>
      </c>
      <c r="G302" s="3" t="str">
        <f aca="false">IFERROR(__xludf.dummyfunction("if($T302&lt;&gt;"""",REGEXEXTRACT($T302, G$1&amp;""[\w &amp;]*, (\d+\.\d+)""),"""")
"),"")</f>
        <v/>
      </c>
      <c r="H302" s="3"/>
      <c r="I302" s="3" t="str">
        <f aca="false">IFERROR(__xludf.dummyfunction("if($T302&lt;&gt;"""",REGEXEXTRACT(SUBSTITUTE ($T302,I$1&amp;"" CE"",""""), I$1&amp;""[\w &amp;]*, (\d+\.\d+)""),"""")
"),"")</f>
        <v/>
      </c>
      <c r="J302" s="3" t="str">
        <f aca="false">IFERROR(__xludf.dummyfunction("if($T302&lt;&gt;"""",REGEXEXTRACT($T302, J$1&amp;""[\w &amp;]*, (\d+\.\d+)""),"""")
"),"")</f>
        <v/>
      </c>
      <c r="K302" s="3"/>
      <c r="L302" s="3" t="str">
        <f aca="false">IFERROR(__xludf.dummyfunction("if($T302&lt;&gt;"""",REGEXEXTRACT(SUBSTITUTE ($T302,L$1&amp;"" CE"",""""), L$1&amp;""[\w &amp;]*, (\d+\.\d+)""),"""")
"),"")</f>
        <v/>
      </c>
      <c r="M302" s="3" t="str">
        <f aca="false">IFERROR(__xludf.dummyfunction("if($T302&lt;&gt;"""",REGEXEXTRACT($T302, M$1&amp;""[\w &amp;]*, (\d+\.\d+)""),"""")
"),"")</f>
        <v/>
      </c>
      <c r="N302" s="3" t="str">
        <f aca="false">IFERROR(__xludf.dummyfunction("if($T302&lt;&gt;"""",REGEXEXTRACT(SUBSTITUTE ($T302,N$1&amp;"" CE"",""""), N$1&amp;""[\w &amp;]*, (\d+\.\d+)""),"""")
"),"")</f>
        <v/>
      </c>
      <c r="O302" s="3" t="str">
        <f aca="false">IFERROR(__xludf.dummyfunction("if($T302&lt;&gt;"""",REGEXEXTRACT($T302, O$1&amp;""[\w &amp;]*, (\d+\.\d+)""),"""")
"),"")</f>
        <v/>
      </c>
      <c r="P302" s="2"/>
      <c r="Q302" s="2"/>
      <c r="R302" s="2"/>
      <c r="S302" s="2"/>
      <c r="T302" s="5"/>
    </row>
    <row r="303" customFormat="false" ht="15.75" hidden="false" customHeight="false" outlineLevel="0" collapsed="false">
      <c r="A303" s="4"/>
      <c r="B303" s="2"/>
      <c r="C303" s="2"/>
      <c r="D303" s="2"/>
      <c r="E303" s="2"/>
      <c r="F303" s="3" t="str">
        <f aca="false">IFERROR(__xludf.dummyfunction("if($T303&lt;&gt;"""",REGEXEXTRACT(SUBSTITUTE ($T303,F$1&amp;"" CE"",""""), F$1&amp;""[\w &amp;]*, (\d+\.\d+)""),"""")
"),"")</f>
        <v/>
      </c>
      <c r="G303" s="3" t="str">
        <f aca="false">IFERROR(__xludf.dummyfunction("if($T303&lt;&gt;"""",REGEXEXTRACT($T303, G$1&amp;""[\w &amp;]*, (\d+\.\d+)""),"""")
"),"")</f>
        <v/>
      </c>
      <c r="H303" s="3"/>
      <c r="I303" s="3" t="str">
        <f aca="false">IFERROR(__xludf.dummyfunction("if($T303&lt;&gt;"""",REGEXEXTRACT(SUBSTITUTE ($T303,I$1&amp;"" CE"",""""), I$1&amp;""[\w &amp;]*, (\d+\.\d+)""),"""")
"),"")</f>
        <v/>
      </c>
      <c r="J303" s="3" t="str">
        <f aca="false">IFERROR(__xludf.dummyfunction("if($T303&lt;&gt;"""",REGEXEXTRACT($T303, J$1&amp;""[\w &amp;]*, (\d+\.\d+)""),"""")
"),"")</f>
        <v/>
      </c>
      <c r="K303" s="3"/>
      <c r="L303" s="3" t="str">
        <f aca="false">IFERROR(__xludf.dummyfunction("if($T303&lt;&gt;"""",REGEXEXTRACT(SUBSTITUTE ($T303,L$1&amp;"" CE"",""""), L$1&amp;""[\w &amp;]*, (\d+\.\d+)""),"""")
"),"")</f>
        <v/>
      </c>
      <c r="M303" s="3" t="str">
        <f aca="false">IFERROR(__xludf.dummyfunction("if($T303&lt;&gt;"""",REGEXEXTRACT($T303, M$1&amp;""[\w &amp;]*, (\d+\.\d+)""),"""")
"),"")</f>
        <v/>
      </c>
      <c r="N303" s="3" t="str">
        <f aca="false">IFERROR(__xludf.dummyfunction("if($T303&lt;&gt;"""",REGEXEXTRACT(SUBSTITUTE ($T303,N$1&amp;"" CE"",""""), N$1&amp;""[\w &amp;]*, (\d+\.\d+)""),"""")
"),"")</f>
        <v/>
      </c>
      <c r="O303" s="3" t="str">
        <f aca="false">IFERROR(__xludf.dummyfunction("if($T303&lt;&gt;"""",REGEXEXTRACT($T303, O$1&amp;""[\w &amp;]*, (\d+\.\d+)""),"""")
"),"")</f>
        <v/>
      </c>
      <c r="P303" s="2"/>
      <c r="Q303" s="2"/>
      <c r="R303" s="2"/>
      <c r="S303" s="2"/>
      <c r="T303" s="5"/>
    </row>
    <row r="304" customFormat="false" ht="15.75" hidden="false" customHeight="false" outlineLevel="0" collapsed="false">
      <c r="A304" s="4"/>
      <c r="B304" s="2"/>
      <c r="C304" s="2"/>
      <c r="D304" s="2"/>
      <c r="E304" s="2"/>
      <c r="F304" s="3" t="str">
        <f aca="false">IFERROR(__xludf.dummyfunction("if($T304&lt;&gt;"""",REGEXEXTRACT(SUBSTITUTE ($T304,F$1&amp;"" CE"",""""), F$1&amp;""[\w &amp;]*, (\d+\.\d+)""),"""")
"),"")</f>
        <v/>
      </c>
      <c r="G304" s="3" t="str">
        <f aca="false">IFERROR(__xludf.dummyfunction("if($T304&lt;&gt;"""",REGEXEXTRACT($T304, G$1&amp;""[\w &amp;]*, (\d+\.\d+)""),"""")
"),"")</f>
        <v/>
      </c>
      <c r="H304" s="3"/>
      <c r="I304" s="3" t="str">
        <f aca="false">IFERROR(__xludf.dummyfunction("if($T304&lt;&gt;"""",REGEXEXTRACT(SUBSTITUTE ($T304,I$1&amp;"" CE"",""""), I$1&amp;""[\w &amp;]*, (\d+\.\d+)""),"""")
"),"")</f>
        <v/>
      </c>
      <c r="J304" s="3" t="str">
        <f aca="false">IFERROR(__xludf.dummyfunction("if($T304&lt;&gt;"""",REGEXEXTRACT($T304, J$1&amp;""[\w &amp;]*, (\d+\.\d+)""),"""")
"),"")</f>
        <v/>
      </c>
      <c r="K304" s="3"/>
      <c r="L304" s="3" t="str">
        <f aca="false">IFERROR(__xludf.dummyfunction("if($T304&lt;&gt;"""",REGEXEXTRACT(SUBSTITUTE ($T304,L$1&amp;"" CE"",""""), L$1&amp;""[\w &amp;]*, (\d+\.\d+)""),"""")
"),"")</f>
        <v/>
      </c>
      <c r="M304" s="3" t="str">
        <f aca="false">IFERROR(__xludf.dummyfunction("if($T304&lt;&gt;"""",REGEXEXTRACT($T304, M$1&amp;""[\w &amp;]*, (\d+\.\d+)""),"""")
"),"")</f>
        <v/>
      </c>
      <c r="N304" s="3" t="str">
        <f aca="false">IFERROR(__xludf.dummyfunction("if($T304&lt;&gt;"""",REGEXEXTRACT(SUBSTITUTE ($T304,N$1&amp;"" CE"",""""), N$1&amp;""[\w &amp;]*, (\d+\.\d+)""),"""")
"),"")</f>
        <v/>
      </c>
      <c r="O304" s="3" t="str">
        <f aca="false">IFERROR(__xludf.dummyfunction("if($T304&lt;&gt;"""",REGEXEXTRACT($T304, O$1&amp;""[\w &amp;]*, (\d+\.\d+)""),"""")
"),"")</f>
        <v/>
      </c>
      <c r="P304" s="2"/>
      <c r="Q304" s="2"/>
      <c r="R304" s="2"/>
      <c r="S304" s="2"/>
      <c r="T304" s="5"/>
    </row>
    <row r="305" customFormat="false" ht="15.75" hidden="false" customHeight="false" outlineLevel="0" collapsed="false">
      <c r="A305" s="4"/>
      <c r="B305" s="2"/>
      <c r="C305" s="2"/>
      <c r="D305" s="2"/>
      <c r="E305" s="2"/>
      <c r="F305" s="3" t="str">
        <f aca="false">IFERROR(__xludf.dummyfunction("if($T305&lt;&gt;"""",REGEXEXTRACT(SUBSTITUTE ($T305,F$1&amp;"" CE"",""""), F$1&amp;""[\w &amp;]*, (\d+\.\d+)""),"""")
"),"")</f>
        <v/>
      </c>
      <c r="G305" s="3" t="str">
        <f aca="false">IFERROR(__xludf.dummyfunction("if($T305&lt;&gt;"""",REGEXEXTRACT($T305, G$1&amp;""[\w &amp;]*, (\d+\.\d+)""),"""")
"),"")</f>
        <v/>
      </c>
      <c r="H305" s="3"/>
      <c r="I305" s="3" t="str">
        <f aca="false">IFERROR(__xludf.dummyfunction("if($T305&lt;&gt;"""",REGEXEXTRACT(SUBSTITUTE ($T305,I$1&amp;"" CE"",""""), I$1&amp;""[\w &amp;]*, (\d+\.\d+)""),"""")
"),"")</f>
        <v/>
      </c>
      <c r="J305" s="3" t="str">
        <f aca="false">IFERROR(__xludf.dummyfunction("if($T305&lt;&gt;"""",REGEXEXTRACT($T305, J$1&amp;""[\w &amp;]*, (\d+\.\d+)""),"""")
"),"")</f>
        <v/>
      </c>
      <c r="K305" s="3"/>
      <c r="L305" s="3" t="str">
        <f aca="false">IFERROR(__xludf.dummyfunction("if($T305&lt;&gt;"""",REGEXEXTRACT(SUBSTITUTE ($T305,L$1&amp;"" CE"",""""), L$1&amp;""[\w &amp;]*, (\d+\.\d+)""),"""")
"),"")</f>
        <v/>
      </c>
      <c r="M305" s="3" t="str">
        <f aca="false">IFERROR(__xludf.dummyfunction("if($T305&lt;&gt;"""",REGEXEXTRACT($T305, M$1&amp;""[\w &amp;]*, (\d+\.\d+)""),"""")
"),"")</f>
        <v/>
      </c>
      <c r="N305" s="3" t="str">
        <f aca="false">IFERROR(__xludf.dummyfunction("if($T305&lt;&gt;"""",REGEXEXTRACT(SUBSTITUTE ($T305,N$1&amp;"" CE"",""""), N$1&amp;""[\w &amp;]*, (\d+\.\d+)""),"""")
"),"")</f>
        <v/>
      </c>
      <c r="O305" s="3" t="str">
        <f aca="false">IFERROR(__xludf.dummyfunction("if($T305&lt;&gt;"""",REGEXEXTRACT($T305, O$1&amp;""[\w &amp;]*, (\d+\.\d+)""),"""")
"),"")</f>
        <v/>
      </c>
      <c r="P305" s="2"/>
      <c r="Q305" s="2"/>
      <c r="R305" s="2"/>
      <c r="S305" s="2"/>
      <c r="T305" s="5"/>
    </row>
    <row r="306" customFormat="false" ht="15.75" hidden="false" customHeight="false" outlineLevel="0" collapsed="false">
      <c r="A306" s="4"/>
      <c r="B306" s="2"/>
      <c r="C306" s="2"/>
      <c r="D306" s="2"/>
      <c r="E306" s="2"/>
      <c r="F306" s="3" t="str">
        <f aca="false">IFERROR(__xludf.dummyfunction("if($T306&lt;&gt;"""",REGEXEXTRACT(SUBSTITUTE ($T306,F$1&amp;"" CE"",""""), F$1&amp;""[\w &amp;]*, (\d+\.\d+)""),"""")
"),"")</f>
        <v/>
      </c>
      <c r="G306" s="3" t="str">
        <f aca="false">IFERROR(__xludf.dummyfunction("if($T306&lt;&gt;"""",REGEXEXTRACT($T306, G$1&amp;""[\w &amp;]*, (\d+\.\d+)""),"""")
"),"")</f>
        <v/>
      </c>
      <c r="H306" s="3"/>
      <c r="I306" s="3" t="str">
        <f aca="false">IFERROR(__xludf.dummyfunction("if($T306&lt;&gt;"""",REGEXEXTRACT(SUBSTITUTE ($T306,I$1&amp;"" CE"",""""), I$1&amp;""[\w &amp;]*, (\d+\.\d+)""),"""")
"),"")</f>
        <v/>
      </c>
      <c r="J306" s="3" t="str">
        <f aca="false">IFERROR(__xludf.dummyfunction("if($T306&lt;&gt;"""",REGEXEXTRACT($T306, J$1&amp;""[\w &amp;]*, (\d+\.\d+)""),"""")
"),"")</f>
        <v/>
      </c>
      <c r="K306" s="3"/>
      <c r="L306" s="3" t="str">
        <f aca="false">IFERROR(__xludf.dummyfunction("if($T306&lt;&gt;"""",REGEXEXTRACT(SUBSTITUTE ($T306,L$1&amp;"" CE"",""""), L$1&amp;""[\w &amp;]*, (\d+\.\d+)""),"""")
"),"")</f>
        <v/>
      </c>
      <c r="M306" s="3" t="str">
        <f aca="false">IFERROR(__xludf.dummyfunction("if($T306&lt;&gt;"""",REGEXEXTRACT($T306, M$1&amp;""[\w &amp;]*, (\d+\.\d+)""),"""")
"),"")</f>
        <v/>
      </c>
      <c r="N306" s="3" t="str">
        <f aca="false">IFERROR(__xludf.dummyfunction("if($T306&lt;&gt;"""",REGEXEXTRACT(SUBSTITUTE ($T306,N$1&amp;"" CE"",""""), N$1&amp;""[\w &amp;]*, (\d+\.\d+)""),"""")
"),"")</f>
        <v/>
      </c>
      <c r="O306" s="3" t="str">
        <f aca="false">IFERROR(__xludf.dummyfunction("if($T306&lt;&gt;"""",REGEXEXTRACT($T306, O$1&amp;""[\w &amp;]*, (\d+\.\d+)""),"""")
"),"")</f>
        <v/>
      </c>
      <c r="P306" s="2"/>
      <c r="Q306" s="2"/>
      <c r="R306" s="2"/>
      <c r="S306" s="2"/>
      <c r="T306" s="5"/>
    </row>
    <row r="307" customFormat="false" ht="15.75" hidden="false" customHeight="false" outlineLevel="0" collapsed="false">
      <c r="A307" s="4"/>
      <c r="B307" s="2"/>
      <c r="C307" s="2"/>
      <c r="D307" s="2"/>
      <c r="E307" s="2"/>
      <c r="F307" s="3" t="str">
        <f aca="false">IFERROR(__xludf.dummyfunction("if($T307&lt;&gt;"""",REGEXEXTRACT(SUBSTITUTE ($T307,F$1&amp;"" CE"",""""), F$1&amp;""[\w &amp;]*, (\d+\.\d+)""),"""")
"),"")</f>
        <v/>
      </c>
      <c r="G307" s="3" t="str">
        <f aca="false">IFERROR(__xludf.dummyfunction("if($T307&lt;&gt;"""",REGEXEXTRACT($T307, G$1&amp;""[\w &amp;]*, (\d+\.\d+)""),"""")
"),"")</f>
        <v/>
      </c>
      <c r="H307" s="3"/>
      <c r="I307" s="3" t="str">
        <f aca="false">IFERROR(__xludf.dummyfunction("if($T307&lt;&gt;"""",REGEXEXTRACT(SUBSTITUTE ($T307,I$1&amp;"" CE"",""""), I$1&amp;""[\w &amp;]*, (\d+\.\d+)""),"""")
"),"")</f>
        <v/>
      </c>
      <c r="J307" s="3" t="str">
        <f aca="false">IFERROR(__xludf.dummyfunction("if($T307&lt;&gt;"""",REGEXEXTRACT($T307, J$1&amp;""[\w &amp;]*, (\d+\.\d+)""),"""")
"),"")</f>
        <v/>
      </c>
      <c r="K307" s="3"/>
      <c r="L307" s="3" t="str">
        <f aca="false">IFERROR(__xludf.dummyfunction("if($T307&lt;&gt;"""",REGEXEXTRACT(SUBSTITUTE ($T307,L$1&amp;"" CE"",""""), L$1&amp;""[\w &amp;]*, (\d+\.\d+)""),"""")
"),"")</f>
        <v/>
      </c>
      <c r="M307" s="3" t="str">
        <f aca="false">IFERROR(__xludf.dummyfunction("if($T307&lt;&gt;"""",REGEXEXTRACT($T307, M$1&amp;""[\w &amp;]*, (\d+\.\d+)""),"""")
"),"")</f>
        <v/>
      </c>
      <c r="N307" s="3" t="str">
        <f aca="false">IFERROR(__xludf.dummyfunction("if($T307&lt;&gt;"""",REGEXEXTRACT(SUBSTITUTE ($T307,N$1&amp;"" CE"",""""), N$1&amp;""[\w &amp;]*, (\d+\.\d+)""),"""")
"),"")</f>
        <v/>
      </c>
      <c r="O307" s="3" t="str">
        <f aca="false">IFERROR(__xludf.dummyfunction("if($T307&lt;&gt;"""",REGEXEXTRACT($T307, O$1&amp;""[\w &amp;]*, (\d+\.\d+)""),"""")
"),"")</f>
        <v/>
      </c>
      <c r="P307" s="2"/>
      <c r="Q307" s="2"/>
      <c r="R307" s="2"/>
      <c r="S307" s="2"/>
      <c r="T307" s="5"/>
    </row>
    <row r="308" customFormat="false" ht="15.75" hidden="false" customHeight="false" outlineLevel="0" collapsed="false">
      <c r="A308" s="4"/>
      <c r="B308" s="2"/>
      <c r="C308" s="2"/>
      <c r="D308" s="2"/>
      <c r="E308" s="2"/>
      <c r="F308" s="3" t="str">
        <f aca="false">IFERROR(__xludf.dummyfunction("if($T308&lt;&gt;"""",REGEXEXTRACT(SUBSTITUTE ($T308,F$1&amp;"" CE"",""""), F$1&amp;""[\w &amp;]*, (\d+\.\d+)""),"""")
"),"")</f>
        <v/>
      </c>
      <c r="G308" s="3" t="str">
        <f aca="false">IFERROR(__xludf.dummyfunction("if($T308&lt;&gt;"""",REGEXEXTRACT($T308, G$1&amp;""[\w &amp;]*, (\d+\.\d+)""),"""")
"),"")</f>
        <v/>
      </c>
      <c r="H308" s="3"/>
      <c r="I308" s="3" t="str">
        <f aca="false">IFERROR(__xludf.dummyfunction("if($T308&lt;&gt;"""",REGEXEXTRACT(SUBSTITUTE ($T308,I$1&amp;"" CE"",""""), I$1&amp;""[\w &amp;]*, (\d+\.\d+)""),"""")
"),"")</f>
        <v/>
      </c>
      <c r="J308" s="3" t="str">
        <f aca="false">IFERROR(__xludf.dummyfunction("if($T308&lt;&gt;"""",REGEXEXTRACT($T308, J$1&amp;""[\w &amp;]*, (\d+\.\d+)""),"""")
"),"")</f>
        <v/>
      </c>
      <c r="K308" s="3"/>
      <c r="L308" s="3" t="str">
        <f aca="false">IFERROR(__xludf.dummyfunction("if($T308&lt;&gt;"""",REGEXEXTRACT(SUBSTITUTE ($T308,L$1&amp;"" CE"",""""), L$1&amp;""[\w &amp;]*, (\d+\.\d+)""),"""")
"),"")</f>
        <v/>
      </c>
      <c r="M308" s="3" t="str">
        <f aca="false">IFERROR(__xludf.dummyfunction("if($T308&lt;&gt;"""",REGEXEXTRACT($T308, M$1&amp;""[\w &amp;]*, (\d+\.\d+)""),"""")
"),"")</f>
        <v/>
      </c>
      <c r="N308" s="3" t="str">
        <f aca="false">IFERROR(__xludf.dummyfunction("if($T308&lt;&gt;"""",REGEXEXTRACT(SUBSTITUTE ($T308,N$1&amp;"" CE"",""""), N$1&amp;""[\w &amp;]*, (\d+\.\d+)""),"""")
"),"")</f>
        <v/>
      </c>
      <c r="O308" s="3" t="str">
        <f aca="false">IFERROR(__xludf.dummyfunction("if($T308&lt;&gt;"""",REGEXEXTRACT($T308, O$1&amp;""[\w &amp;]*, (\d+\.\d+)""),"""")
"),"")</f>
        <v/>
      </c>
      <c r="P308" s="2"/>
      <c r="Q308" s="2"/>
      <c r="R308" s="2"/>
      <c r="S308" s="2"/>
      <c r="T308" s="5"/>
    </row>
    <row r="309" customFormat="false" ht="15.75" hidden="false" customHeight="false" outlineLevel="0" collapsed="false">
      <c r="A309" s="4"/>
      <c r="B309" s="2"/>
      <c r="C309" s="2"/>
      <c r="D309" s="2"/>
      <c r="E309" s="2"/>
      <c r="F309" s="3" t="str">
        <f aca="false">IFERROR(__xludf.dummyfunction("if($T309&lt;&gt;"""",REGEXEXTRACT(SUBSTITUTE ($T309,F$1&amp;"" CE"",""""), F$1&amp;""[\w &amp;]*, (\d+\.\d+)""),"""")
"),"")</f>
        <v/>
      </c>
      <c r="G309" s="3" t="str">
        <f aca="false">IFERROR(__xludf.dummyfunction("if($T309&lt;&gt;"""",REGEXEXTRACT($T309, G$1&amp;""[\w &amp;]*, (\d+\.\d+)""),"""")
"),"")</f>
        <v/>
      </c>
      <c r="H309" s="3"/>
      <c r="I309" s="3" t="str">
        <f aca="false">IFERROR(__xludf.dummyfunction("if($T309&lt;&gt;"""",REGEXEXTRACT(SUBSTITUTE ($T309,I$1&amp;"" CE"",""""), I$1&amp;""[\w &amp;]*, (\d+\.\d+)""),"""")
"),"")</f>
        <v/>
      </c>
      <c r="J309" s="3" t="str">
        <f aca="false">IFERROR(__xludf.dummyfunction("if($T309&lt;&gt;"""",REGEXEXTRACT($T309, J$1&amp;""[\w &amp;]*, (\d+\.\d+)""),"""")
"),"")</f>
        <v/>
      </c>
      <c r="K309" s="3"/>
      <c r="L309" s="3" t="str">
        <f aca="false">IFERROR(__xludf.dummyfunction("if($T309&lt;&gt;"""",REGEXEXTRACT(SUBSTITUTE ($T309,L$1&amp;"" CE"",""""), L$1&amp;""[\w &amp;]*, (\d+\.\d+)""),"""")
"),"")</f>
        <v/>
      </c>
      <c r="M309" s="3" t="str">
        <f aca="false">IFERROR(__xludf.dummyfunction("if($T309&lt;&gt;"""",REGEXEXTRACT($T309, M$1&amp;""[\w &amp;]*, (\d+\.\d+)""),"""")
"),"")</f>
        <v/>
      </c>
      <c r="N309" s="3" t="str">
        <f aca="false">IFERROR(__xludf.dummyfunction("if($T309&lt;&gt;"""",REGEXEXTRACT(SUBSTITUTE ($T309,N$1&amp;"" CE"",""""), N$1&amp;""[\w &amp;]*, (\d+\.\d+)""),"""")
"),"")</f>
        <v/>
      </c>
      <c r="O309" s="3" t="str">
        <f aca="false">IFERROR(__xludf.dummyfunction("if($T309&lt;&gt;"""",REGEXEXTRACT($T309, O$1&amp;""[\w &amp;]*, (\d+\.\d+)""),"""")
"),"")</f>
        <v/>
      </c>
      <c r="P309" s="2"/>
      <c r="Q309" s="2"/>
      <c r="R309" s="2"/>
      <c r="S309" s="2"/>
      <c r="T309" s="5"/>
    </row>
    <row r="310" customFormat="false" ht="15.75" hidden="false" customHeight="false" outlineLevel="0" collapsed="false">
      <c r="A310" s="4"/>
      <c r="B310" s="2"/>
      <c r="C310" s="2"/>
      <c r="D310" s="2"/>
      <c r="E310" s="2"/>
      <c r="F310" s="3" t="str">
        <f aca="false">IFERROR(__xludf.dummyfunction("if($T310&lt;&gt;"""",REGEXEXTRACT(SUBSTITUTE ($T310,F$1&amp;"" CE"",""""), F$1&amp;""[\w &amp;]*, (\d+\.\d+)""),"""")
"),"")</f>
        <v/>
      </c>
      <c r="G310" s="3" t="str">
        <f aca="false">IFERROR(__xludf.dummyfunction("if($T310&lt;&gt;"""",REGEXEXTRACT($T310, G$1&amp;""[\w &amp;]*, (\d+\.\d+)""),"""")
"),"")</f>
        <v/>
      </c>
      <c r="H310" s="3"/>
      <c r="I310" s="3" t="str">
        <f aca="false">IFERROR(__xludf.dummyfunction("if($T310&lt;&gt;"""",REGEXEXTRACT(SUBSTITUTE ($T310,I$1&amp;"" CE"",""""), I$1&amp;""[\w &amp;]*, (\d+\.\d+)""),"""")
"),"")</f>
        <v/>
      </c>
      <c r="J310" s="3" t="str">
        <f aca="false">IFERROR(__xludf.dummyfunction("if($T310&lt;&gt;"""",REGEXEXTRACT($T310, J$1&amp;""[\w &amp;]*, (\d+\.\d+)""),"""")
"),"")</f>
        <v/>
      </c>
      <c r="K310" s="3"/>
      <c r="L310" s="3" t="str">
        <f aca="false">IFERROR(__xludf.dummyfunction("if($T310&lt;&gt;"""",REGEXEXTRACT(SUBSTITUTE ($T310,L$1&amp;"" CE"",""""), L$1&amp;""[\w &amp;]*, (\d+\.\d+)""),"""")
"),"")</f>
        <v/>
      </c>
      <c r="M310" s="3" t="str">
        <f aca="false">IFERROR(__xludf.dummyfunction("if($T310&lt;&gt;"""",REGEXEXTRACT($T310, M$1&amp;""[\w &amp;]*, (\d+\.\d+)""),"""")
"),"")</f>
        <v/>
      </c>
      <c r="N310" s="3" t="str">
        <f aca="false">IFERROR(__xludf.dummyfunction("if($T310&lt;&gt;"""",REGEXEXTRACT(SUBSTITUTE ($T310,N$1&amp;"" CE"",""""), N$1&amp;""[\w &amp;]*, (\d+\.\d+)""),"""")
"),"")</f>
        <v/>
      </c>
      <c r="O310" s="3" t="str">
        <f aca="false">IFERROR(__xludf.dummyfunction("if($T310&lt;&gt;"""",REGEXEXTRACT($T310, O$1&amp;""[\w &amp;]*, (\d+\.\d+)""),"""")
"),"")</f>
        <v/>
      </c>
      <c r="P310" s="2"/>
      <c r="Q310" s="2"/>
      <c r="R310" s="2"/>
      <c r="S310" s="2"/>
      <c r="T310" s="5"/>
    </row>
    <row r="311" customFormat="false" ht="15.75" hidden="false" customHeight="false" outlineLevel="0" collapsed="false">
      <c r="A311" s="4"/>
      <c r="B311" s="2"/>
      <c r="C311" s="2"/>
      <c r="D311" s="2"/>
      <c r="E311" s="2"/>
      <c r="F311" s="3" t="str">
        <f aca="false">IFERROR(__xludf.dummyfunction("if($T311&lt;&gt;"""",REGEXEXTRACT(SUBSTITUTE ($T311,F$1&amp;"" CE"",""""), F$1&amp;""[\w &amp;]*, (\d+\.\d+)""),"""")
"),"")</f>
        <v/>
      </c>
      <c r="G311" s="3" t="str">
        <f aca="false">IFERROR(__xludf.dummyfunction("if($T311&lt;&gt;"""",REGEXEXTRACT($T311, G$1&amp;""[\w &amp;]*, (\d+\.\d+)""),"""")
"),"")</f>
        <v/>
      </c>
      <c r="H311" s="3"/>
      <c r="I311" s="3" t="str">
        <f aca="false">IFERROR(__xludf.dummyfunction("if($T311&lt;&gt;"""",REGEXEXTRACT(SUBSTITUTE ($T311,I$1&amp;"" CE"",""""), I$1&amp;""[\w &amp;]*, (\d+\.\d+)""),"""")
"),"")</f>
        <v/>
      </c>
      <c r="J311" s="3" t="str">
        <f aca="false">IFERROR(__xludf.dummyfunction("if($T311&lt;&gt;"""",REGEXEXTRACT($T311, J$1&amp;""[\w &amp;]*, (\d+\.\d+)""),"""")
"),"")</f>
        <v/>
      </c>
      <c r="K311" s="3"/>
      <c r="L311" s="3" t="str">
        <f aca="false">IFERROR(__xludf.dummyfunction("if($T311&lt;&gt;"""",REGEXEXTRACT(SUBSTITUTE ($T311,L$1&amp;"" CE"",""""), L$1&amp;""[\w &amp;]*, (\d+\.\d+)""),"""")
"),"")</f>
        <v/>
      </c>
      <c r="M311" s="3" t="str">
        <f aca="false">IFERROR(__xludf.dummyfunction("if($T311&lt;&gt;"""",REGEXEXTRACT($T311, M$1&amp;""[\w &amp;]*, (\d+\.\d+)""),"""")
"),"")</f>
        <v/>
      </c>
      <c r="N311" s="3" t="str">
        <f aca="false">IFERROR(__xludf.dummyfunction("if($T311&lt;&gt;"""",REGEXEXTRACT(SUBSTITUTE ($T311,N$1&amp;"" CE"",""""), N$1&amp;""[\w &amp;]*, (\d+\.\d+)""),"""")
"),"")</f>
        <v/>
      </c>
      <c r="O311" s="3" t="str">
        <f aca="false">IFERROR(__xludf.dummyfunction("if($T311&lt;&gt;"""",REGEXEXTRACT($T311, O$1&amp;""[\w &amp;]*, (\d+\.\d+)""),"""")
"),"")</f>
        <v/>
      </c>
      <c r="P311" s="2"/>
      <c r="Q311" s="2"/>
      <c r="R311" s="2"/>
      <c r="S311" s="2"/>
      <c r="T311" s="5"/>
    </row>
    <row r="312" customFormat="false" ht="15.75" hidden="false" customHeight="false" outlineLevel="0" collapsed="false">
      <c r="A312" s="4"/>
      <c r="B312" s="2"/>
      <c r="C312" s="2"/>
      <c r="D312" s="2"/>
      <c r="E312" s="2"/>
      <c r="F312" s="3" t="str">
        <f aca="false">IFERROR(__xludf.dummyfunction("if($T312&lt;&gt;"""",REGEXEXTRACT(SUBSTITUTE ($T312,F$1&amp;"" CE"",""""), F$1&amp;""[\w &amp;]*, (\d+\.\d+)""),"""")
"),"")</f>
        <v/>
      </c>
      <c r="G312" s="3" t="str">
        <f aca="false">IFERROR(__xludf.dummyfunction("if($T312&lt;&gt;"""",REGEXEXTRACT($T312, G$1&amp;""[\w &amp;]*, (\d+\.\d+)""),"""")
"),"")</f>
        <v/>
      </c>
      <c r="H312" s="3"/>
      <c r="I312" s="3" t="str">
        <f aca="false">IFERROR(__xludf.dummyfunction("if($T312&lt;&gt;"""",REGEXEXTRACT(SUBSTITUTE ($T312,I$1&amp;"" CE"",""""), I$1&amp;""[\w &amp;]*, (\d+\.\d+)""),"""")
"),"")</f>
        <v/>
      </c>
      <c r="J312" s="3" t="str">
        <f aca="false">IFERROR(__xludf.dummyfunction("if($T312&lt;&gt;"""",REGEXEXTRACT($T312, J$1&amp;""[\w &amp;]*, (\d+\.\d+)""),"""")
"),"")</f>
        <v/>
      </c>
      <c r="K312" s="3"/>
      <c r="L312" s="3" t="str">
        <f aca="false">IFERROR(__xludf.dummyfunction("if($T312&lt;&gt;"""",REGEXEXTRACT(SUBSTITUTE ($T312,L$1&amp;"" CE"",""""), L$1&amp;""[\w &amp;]*, (\d+\.\d+)""),"""")
"),"")</f>
        <v/>
      </c>
      <c r="M312" s="3" t="str">
        <f aca="false">IFERROR(__xludf.dummyfunction("if($T312&lt;&gt;"""",REGEXEXTRACT($T312, M$1&amp;""[\w &amp;]*, (\d+\.\d+)""),"""")
"),"")</f>
        <v/>
      </c>
      <c r="N312" s="3" t="str">
        <f aca="false">IFERROR(__xludf.dummyfunction("if($T312&lt;&gt;"""",REGEXEXTRACT(SUBSTITUTE ($T312,N$1&amp;"" CE"",""""), N$1&amp;""[\w &amp;]*, (\d+\.\d+)""),"""")
"),"")</f>
        <v/>
      </c>
      <c r="O312" s="3" t="str">
        <f aca="false">IFERROR(__xludf.dummyfunction("if($T312&lt;&gt;"""",REGEXEXTRACT($T312, O$1&amp;""[\w &amp;]*, (\d+\.\d+)""),"""")
"),"")</f>
        <v/>
      </c>
      <c r="P312" s="2"/>
      <c r="Q312" s="2"/>
      <c r="R312" s="2"/>
      <c r="S312" s="2"/>
      <c r="T312" s="5"/>
    </row>
    <row r="313" customFormat="false" ht="15.75" hidden="false" customHeight="false" outlineLevel="0" collapsed="false">
      <c r="A313" s="4"/>
      <c r="B313" s="2"/>
      <c r="C313" s="2"/>
      <c r="D313" s="2"/>
      <c r="E313" s="2"/>
      <c r="F313" s="3" t="str">
        <f aca="false">IFERROR(__xludf.dummyfunction("if($T313&lt;&gt;"""",REGEXEXTRACT(SUBSTITUTE ($T313,F$1&amp;"" CE"",""""), F$1&amp;""[\w &amp;]*, (\d+\.\d+)""),"""")
"),"")</f>
        <v/>
      </c>
      <c r="G313" s="3" t="str">
        <f aca="false">IFERROR(__xludf.dummyfunction("if($T313&lt;&gt;"""",REGEXEXTRACT($T313, G$1&amp;""[\w &amp;]*, (\d+\.\d+)""),"""")
"),"")</f>
        <v/>
      </c>
      <c r="H313" s="3"/>
      <c r="I313" s="3" t="str">
        <f aca="false">IFERROR(__xludf.dummyfunction("if($T313&lt;&gt;"""",REGEXEXTRACT(SUBSTITUTE ($T313,I$1&amp;"" CE"",""""), I$1&amp;""[\w &amp;]*, (\d+\.\d+)""),"""")
"),"")</f>
        <v/>
      </c>
      <c r="J313" s="3" t="str">
        <f aca="false">IFERROR(__xludf.dummyfunction("if($T313&lt;&gt;"""",REGEXEXTRACT($T313, J$1&amp;""[\w &amp;]*, (\d+\.\d+)""),"""")
"),"")</f>
        <v/>
      </c>
      <c r="K313" s="3"/>
      <c r="L313" s="3" t="str">
        <f aca="false">IFERROR(__xludf.dummyfunction("if($T313&lt;&gt;"""",REGEXEXTRACT(SUBSTITUTE ($T313,L$1&amp;"" CE"",""""), L$1&amp;""[\w &amp;]*, (\d+\.\d+)""),"""")
"),"")</f>
        <v/>
      </c>
      <c r="M313" s="3" t="str">
        <f aca="false">IFERROR(__xludf.dummyfunction("if($T313&lt;&gt;"""",REGEXEXTRACT($T313, M$1&amp;""[\w &amp;]*, (\d+\.\d+)""),"""")
"),"")</f>
        <v/>
      </c>
      <c r="N313" s="3" t="str">
        <f aca="false">IFERROR(__xludf.dummyfunction("if($T313&lt;&gt;"""",REGEXEXTRACT(SUBSTITUTE ($T313,N$1&amp;"" CE"",""""), N$1&amp;""[\w &amp;]*, (\d+\.\d+)""),"""")
"),"")</f>
        <v/>
      </c>
      <c r="O313" s="3" t="str">
        <f aca="false">IFERROR(__xludf.dummyfunction("if($T313&lt;&gt;"""",REGEXEXTRACT($T313, O$1&amp;""[\w &amp;]*, (\d+\.\d+)""),"""")
"),"")</f>
        <v/>
      </c>
      <c r="P313" s="2"/>
      <c r="Q313" s="2"/>
      <c r="R313" s="2"/>
      <c r="S313" s="2"/>
      <c r="T313" s="5"/>
    </row>
    <row r="314" customFormat="false" ht="15.75" hidden="false" customHeight="false" outlineLevel="0" collapsed="false">
      <c r="A314" s="4"/>
      <c r="B314" s="2"/>
      <c r="C314" s="2"/>
      <c r="D314" s="2"/>
      <c r="E314" s="2"/>
      <c r="F314" s="3" t="str">
        <f aca="false">IFERROR(__xludf.dummyfunction("if($T314&lt;&gt;"""",REGEXEXTRACT(SUBSTITUTE ($T314,F$1&amp;"" CE"",""""), F$1&amp;""[\w &amp;]*, (\d+\.\d+)""),"""")
"),"")</f>
        <v/>
      </c>
      <c r="G314" s="3" t="str">
        <f aca="false">IFERROR(__xludf.dummyfunction("if($T314&lt;&gt;"""",REGEXEXTRACT($T314, G$1&amp;""[\w &amp;]*, (\d+\.\d+)""),"""")
"),"")</f>
        <v/>
      </c>
      <c r="H314" s="3"/>
      <c r="I314" s="3" t="str">
        <f aca="false">IFERROR(__xludf.dummyfunction("if($T314&lt;&gt;"""",REGEXEXTRACT(SUBSTITUTE ($T314,I$1&amp;"" CE"",""""), I$1&amp;""[\w &amp;]*, (\d+\.\d+)""),"""")
"),"")</f>
        <v/>
      </c>
      <c r="J314" s="3" t="str">
        <f aca="false">IFERROR(__xludf.dummyfunction("if($T314&lt;&gt;"""",REGEXEXTRACT($T314, J$1&amp;""[\w &amp;]*, (\d+\.\d+)""),"""")
"),"")</f>
        <v/>
      </c>
      <c r="K314" s="3"/>
      <c r="L314" s="3" t="str">
        <f aca="false">IFERROR(__xludf.dummyfunction("if($T314&lt;&gt;"""",REGEXEXTRACT(SUBSTITUTE ($T314,L$1&amp;"" CE"",""""), L$1&amp;""[\w &amp;]*, (\d+\.\d+)""),"""")
"),"")</f>
        <v/>
      </c>
      <c r="M314" s="3" t="str">
        <f aca="false">IFERROR(__xludf.dummyfunction("if($T314&lt;&gt;"""",REGEXEXTRACT($T314, M$1&amp;""[\w &amp;]*, (\d+\.\d+)""),"""")
"),"")</f>
        <v/>
      </c>
      <c r="N314" s="3" t="str">
        <f aca="false">IFERROR(__xludf.dummyfunction("if($T314&lt;&gt;"""",REGEXEXTRACT(SUBSTITUTE ($T314,N$1&amp;"" CE"",""""), N$1&amp;""[\w &amp;]*, (\d+\.\d+)""),"""")
"),"")</f>
        <v/>
      </c>
      <c r="O314" s="3" t="str">
        <f aca="false">IFERROR(__xludf.dummyfunction("if($T314&lt;&gt;"""",REGEXEXTRACT($T314, O$1&amp;""[\w &amp;]*, (\d+\.\d+)""),"""")
"),"")</f>
        <v/>
      </c>
      <c r="P314" s="2"/>
      <c r="Q314" s="2"/>
      <c r="R314" s="2"/>
      <c r="S314" s="2"/>
      <c r="T314" s="5"/>
    </row>
    <row r="315" customFormat="false" ht="15.75" hidden="false" customHeight="false" outlineLevel="0" collapsed="false">
      <c r="A315" s="4"/>
      <c r="B315" s="2"/>
      <c r="C315" s="2"/>
      <c r="D315" s="2"/>
      <c r="E315" s="2"/>
      <c r="F315" s="3" t="str">
        <f aca="false">IFERROR(__xludf.dummyfunction("if($T315&lt;&gt;"""",REGEXEXTRACT(SUBSTITUTE ($T315,F$1&amp;"" CE"",""""), F$1&amp;""[\w &amp;]*, (\d+\.\d+)""),"""")
"),"")</f>
        <v/>
      </c>
      <c r="G315" s="3" t="str">
        <f aca="false">IFERROR(__xludf.dummyfunction("if($T315&lt;&gt;"""",REGEXEXTRACT($T315, G$1&amp;""[\w &amp;]*, (\d+\.\d+)""),"""")
"),"")</f>
        <v/>
      </c>
      <c r="H315" s="3"/>
      <c r="I315" s="3" t="str">
        <f aca="false">IFERROR(__xludf.dummyfunction("if($T315&lt;&gt;"""",REGEXEXTRACT(SUBSTITUTE ($T315,I$1&amp;"" CE"",""""), I$1&amp;""[\w &amp;]*, (\d+\.\d+)""),"""")
"),"")</f>
        <v/>
      </c>
      <c r="J315" s="3" t="str">
        <f aca="false">IFERROR(__xludf.dummyfunction("if($T315&lt;&gt;"""",REGEXEXTRACT($T315, J$1&amp;""[\w &amp;]*, (\d+\.\d+)""),"""")
"),"")</f>
        <v/>
      </c>
      <c r="K315" s="3"/>
      <c r="L315" s="3" t="str">
        <f aca="false">IFERROR(__xludf.dummyfunction("if($T315&lt;&gt;"""",REGEXEXTRACT(SUBSTITUTE ($T315,L$1&amp;"" CE"",""""), L$1&amp;""[\w &amp;]*, (\d+\.\d+)""),"""")
"),"")</f>
        <v/>
      </c>
      <c r="M315" s="3" t="str">
        <f aca="false">IFERROR(__xludf.dummyfunction("if($T315&lt;&gt;"""",REGEXEXTRACT($T315, M$1&amp;""[\w &amp;]*, (\d+\.\d+)""),"""")
"),"")</f>
        <v/>
      </c>
      <c r="N315" s="3" t="str">
        <f aca="false">IFERROR(__xludf.dummyfunction("if($T315&lt;&gt;"""",REGEXEXTRACT(SUBSTITUTE ($T315,N$1&amp;"" CE"",""""), N$1&amp;""[\w &amp;]*, (\d+\.\d+)""),"""")
"),"")</f>
        <v/>
      </c>
      <c r="O315" s="3" t="str">
        <f aca="false">IFERROR(__xludf.dummyfunction("if($T315&lt;&gt;"""",REGEXEXTRACT($T315, O$1&amp;""[\w &amp;]*, (\d+\.\d+)""),"""")
"),"")</f>
        <v/>
      </c>
      <c r="P315" s="2"/>
      <c r="Q315" s="2"/>
      <c r="R315" s="2"/>
      <c r="S315" s="2"/>
      <c r="T315" s="5"/>
    </row>
    <row r="316" customFormat="false" ht="15.75" hidden="false" customHeight="false" outlineLevel="0" collapsed="false">
      <c r="A316" s="4"/>
      <c r="B316" s="2"/>
      <c r="C316" s="2"/>
      <c r="D316" s="2"/>
      <c r="E316" s="2"/>
      <c r="F316" s="3" t="str">
        <f aca="false">IFERROR(__xludf.dummyfunction("if($T316&lt;&gt;"""",REGEXEXTRACT(SUBSTITUTE ($T316,F$1&amp;"" CE"",""""), F$1&amp;""[\w &amp;]*, (\d+\.\d+)""),"""")
"),"")</f>
        <v/>
      </c>
      <c r="G316" s="3" t="str">
        <f aca="false">IFERROR(__xludf.dummyfunction("if($T316&lt;&gt;"""",REGEXEXTRACT($T316, G$1&amp;""[\w &amp;]*, (\d+\.\d+)""),"""")
"),"")</f>
        <v/>
      </c>
      <c r="H316" s="3"/>
      <c r="I316" s="3" t="str">
        <f aca="false">IFERROR(__xludf.dummyfunction("if($T316&lt;&gt;"""",REGEXEXTRACT(SUBSTITUTE ($T316,I$1&amp;"" CE"",""""), I$1&amp;""[\w &amp;]*, (\d+\.\d+)""),"""")
"),"")</f>
        <v/>
      </c>
      <c r="J316" s="3" t="str">
        <f aca="false">IFERROR(__xludf.dummyfunction("if($T316&lt;&gt;"""",REGEXEXTRACT($T316, J$1&amp;""[\w &amp;]*, (\d+\.\d+)""),"""")
"),"")</f>
        <v/>
      </c>
      <c r="K316" s="3"/>
      <c r="L316" s="3" t="str">
        <f aca="false">IFERROR(__xludf.dummyfunction("if($T316&lt;&gt;"""",REGEXEXTRACT(SUBSTITUTE ($T316,L$1&amp;"" CE"",""""), L$1&amp;""[\w &amp;]*, (\d+\.\d+)""),"""")
"),"")</f>
        <v/>
      </c>
      <c r="M316" s="3" t="str">
        <f aca="false">IFERROR(__xludf.dummyfunction("if($T316&lt;&gt;"""",REGEXEXTRACT($T316, M$1&amp;""[\w &amp;]*, (\d+\.\d+)""),"""")
"),"")</f>
        <v/>
      </c>
      <c r="N316" s="3" t="str">
        <f aca="false">IFERROR(__xludf.dummyfunction("if($T316&lt;&gt;"""",REGEXEXTRACT(SUBSTITUTE ($T316,N$1&amp;"" CE"",""""), N$1&amp;""[\w &amp;]*, (\d+\.\d+)""),"""")
"),"")</f>
        <v/>
      </c>
      <c r="O316" s="3" t="str">
        <f aca="false">IFERROR(__xludf.dummyfunction("if($T316&lt;&gt;"""",REGEXEXTRACT($T316, O$1&amp;""[\w &amp;]*, (\d+\.\d+)""),"""")
"),"")</f>
        <v/>
      </c>
      <c r="P316" s="2"/>
      <c r="Q316" s="2"/>
      <c r="R316" s="2"/>
      <c r="S316" s="2"/>
      <c r="T316" s="5"/>
    </row>
    <row r="317" customFormat="false" ht="15.75" hidden="false" customHeight="false" outlineLevel="0" collapsed="false">
      <c r="A317" s="4"/>
      <c r="B317" s="2"/>
      <c r="C317" s="2"/>
      <c r="D317" s="2"/>
      <c r="E317" s="2"/>
      <c r="F317" s="3" t="str">
        <f aca="false">IFERROR(__xludf.dummyfunction("if($T317&lt;&gt;"""",REGEXEXTRACT(SUBSTITUTE ($T317,F$1&amp;"" CE"",""""), F$1&amp;""[\w &amp;]*, (\d+\.\d+)""),"""")
"),"")</f>
        <v/>
      </c>
      <c r="G317" s="3" t="str">
        <f aca="false">IFERROR(__xludf.dummyfunction("if($T317&lt;&gt;"""",REGEXEXTRACT($T317, G$1&amp;""[\w &amp;]*, (\d+\.\d+)""),"""")
"),"")</f>
        <v/>
      </c>
      <c r="H317" s="3"/>
      <c r="I317" s="3" t="str">
        <f aca="false">IFERROR(__xludf.dummyfunction("if($T317&lt;&gt;"""",REGEXEXTRACT(SUBSTITUTE ($T317,I$1&amp;"" CE"",""""), I$1&amp;""[\w &amp;]*, (\d+\.\d+)""),"""")
"),"")</f>
        <v/>
      </c>
      <c r="J317" s="3" t="str">
        <f aca="false">IFERROR(__xludf.dummyfunction("if($T317&lt;&gt;"""",REGEXEXTRACT($T317, J$1&amp;""[\w &amp;]*, (\d+\.\d+)""),"""")
"),"")</f>
        <v/>
      </c>
      <c r="K317" s="3"/>
      <c r="L317" s="3" t="str">
        <f aca="false">IFERROR(__xludf.dummyfunction("if($T317&lt;&gt;"""",REGEXEXTRACT(SUBSTITUTE ($T317,L$1&amp;"" CE"",""""), L$1&amp;""[\w &amp;]*, (\d+\.\d+)""),"""")
"),"")</f>
        <v/>
      </c>
      <c r="M317" s="3" t="str">
        <f aca="false">IFERROR(__xludf.dummyfunction("if($T317&lt;&gt;"""",REGEXEXTRACT($T317, M$1&amp;""[\w &amp;]*, (\d+\.\d+)""),"""")
"),"")</f>
        <v/>
      </c>
      <c r="N317" s="3" t="str">
        <f aca="false">IFERROR(__xludf.dummyfunction("if($T317&lt;&gt;"""",REGEXEXTRACT(SUBSTITUTE ($T317,N$1&amp;"" CE"",""""), N$1&amp;""[\w &amp;]*, (\d+\.\d+)""),"""")
"),"")</f>
        <v/>
      </c>
      <c r="O317" s="3" t="str">
        <f aca="false">IFERROR(__xludf.dummyfunction("if($T317&lt;&gt;"""",REGEXEXTRACT($T317, O$1&amp;""[\w &amp;]*, (\d+\.\d+)""),"""")
"),"")</f>
        <v/>
      </c>
      <c r="P317" s="2"/>
      <c r="Q317" s="2"/>
      <c r="R317" s="2"/>
      <c r="S317" s="2"/>
      <c r="T317" s="5"/>
    </row>
    <row r="318" customFormat="false" ht="15.75" hidden="false" customHeight="false" outlineLevel="0" collapsed="false">
      <c r="A318" s="4"/>
      <c r="B318" s="2"/>
      <c r="C318" s="2"/>
      <c r="D318" s="2"/>
      <c r="E318" s="2"/>
      <c r="F318" s="3" t="str">
        <f aca="false">IFERROR(__xludf.dummyfunction("if($T318&lt;&gt;"""",REGEXEXTRACT(SUBSTITUTE ($T318,F$1&amp;"" CE"",""""), F$1&amp;""[\w &amp;]*, (\d+\.\d+)""),"""")
"),"")</f>
        <v/>
      </c>
      <c r="G318" s="3" t="str">
        <f aca="false">IFERROR(__xludf.dummyfunction("if($T318&lt;&gt;"""",REGEXEXTRACT($T318, G$1&amp;""[\w &amp;]*, (\d+\.\d+)""),"""")
"),"")</f>
        <v/>
      </c>
      <c r="H318" s="3"/>
      <c r="I318" s="3" t="str">
        <f aca="false">IFERROR(__xludf.dummyfunction("if($T318&lt;&gt;"""",REGEXEXTRACT(SUBSTITUTE ($T318,I$1&amp;"" CE"",""""), I$1&amp;""[\w &amp;]*, (\d+\.\d+)""),"""")
"),"")</f>
        <v/>
      </c>
      <c r="J318" s="3" t="str">
        <f aca="false">IFERROR(__xludf.dummyfunction("if($T318&lt;&gt;"""",REGEXEXTRACT($T318, J$1&amp;""[\w &amp;]*, (\d+\.\d+)""),"""")
"),"")</f>
        <v/>
      </c>
      <c r="K318" s="3"/>
      <c r="L318" s="3" t="str">
        <f aca="false">IFERROR(__xludf.dummyfunction("if($T318&lt;&gt;"""",REGEXEXTRACT(SUBSTITUTE ($T318,L$1&amp;"" CE"",""""), L$1&amp;""[\w &amp;]*, (\d+\.\d+)""),"""")
"),"")</f>
        <v/>
      </c>
      <c r="M318" s="3" t="str">
        <f aca="false">IFERROR(__xludf.dummyfunction("if($T318&lt;&gt;"""",REGEXEXTRACT($T318, M$1&amp;""[\w &amp;]*, (\d+\.\d+)""),"""")
"),"")</f>
        <v/>
      </c>
      <c r="N318" s="3" t="str">
        <f aca="false">IFERROR(__xludf.dummyfunction("if($T318&lt;&gt;"""",REGEXEXTRACT(SUBSTITUTE ($T318,N$1&amp;"" CE"",""""), N$1&amp;""[\w &amp;]*, (\d+\.\d+)""),"""")
"),"")</f>
        <v/>
      </c>
      <c r="O318" s="3" t="str">
        <f aca="false">IFERROR(__xludf.dummyfunction("if($T318&lt;&gt;"""",REGEXEXTRACT($T318, O$1&amp;""[\w &amp;]*, (\d+\.\d+)""),"""")
"),"")</f>
        <v/>
      </c>
      <c r="P318" s="2"/>
      <c r="Q318" s="2"/>
      <c r="R318" s="2"/>
      <c r="S318" s="2"/>
      <c r="T318" s="5"/>
    </row>
    <row r="319" customFormat="false" ht="15.75" hidden="false" customHeight="false" outlineLevel="0" collapsed="false">
      <c r="A319" s="4"/>
      <c r="B319" s="2"/>
      <c r="C319" s="2"/>
      <c r="D319" s="2"/>
      <c r="E319" s="2"/>
      <c r="F319" s="3" t="str">
        <f aca="false">IFERROR(__xludf.dummyfunction("if($T319&lt;&gt;"""",REGEXEXTRACT(SUBSTITUTE ($T319,F$1&amp;"" CE"",""""), F$1&amp;""[\w &amp;]*, (\d+\.\d+)""),"""")
"),"")</f>
        <v/>
      </c>
      <c r="G319" s="3" t="str">
        <f aca="false">IFERROR(__xludf.dummyfunction("if($T319&lt;&gt;"""",REGEXEXTRACT($T319, G$1&amp;""[\w &amp;]*, (\d+\.\d+)""),"""")
"),"")</f>
        <v/>
      </c>
      <c r="H319" s="3"/>
      <c r="I319" s="3" t="str">
        <f aca="false">IFERROR(__xludf.dummyfunction("if($T319&lt;&gt;"""",REGEXEXTRACT(SUBSTITUTE ($T319,I$1&amp;"" CE"",""""), I$1&amp;""[\w &amp;]*, (\d+\.\d+)""),"""")
"),"")</f>
        <v/>
      </c>
      <c r="J319" s="3" t="str">
        <f aca="false">IFERROR(__xludf.dummyfunction("if($T319&lt;&gt;"""",REGEXEXTRACT($T319, J$1&amp;""[\w &amp;]*, (\d+\.\d+)""),"""")
"),"")</f>
        <v/>
      </c>
      <c r="K319" s="3"/>
      <c r="L319" s="3" t="str">
        <f aca="false">IFERROR(__xludf.dummyfunction("if($T319&lt;&gt;"""",REGEXEXTRACT(SUBSTITUTE ($T319,L$1&amp;"" CE"",""""), L$1&amp;""[\w &amp;]*, (\d+\.\d+)""),"""")
"),"")</f>
        <v/>
      </c>
      <c r="M319" s="3" t="str">
        <f aca="false">IFERROR(__xludf.dummyfunction("if($T319&lt;&gt;"""",REGEXEXTRACT($T319, M$1&amp;""[\w &amp;]*, (\d+\.\d+)""),"""")
"),"")</f>
        <v/>
      </c>
      <c r="N319" s="3" t="str">
        <f aca="false">IFERROR(__xludf.dummyfunction("if($T319&lt;&gt;"""",REGEXEXTRACT(SUBSTITUTE ($T319,N$1&amp;"" CE"",""""), N$1&amp;""[\w &amp;]*, (\d+\.\d+)""),"""")
"),"")</f>
        <v/>
      </c>
      <c r="O319" s="3" t="str">
        <f aca="false">IFERROR(__xludf.dummyfunction("if($T319&lt;&gt;"""",REGEXEXTRACT($T319, O$1&amp;""[\w &amp;]*, (\d+\.\d+)""),"""")
"),"")</f>
        <v/>
      </c>
      <c r="P319" s="2"/>
      <c r="Q319" s="2"/>
      <c r="R319" s="2"/>
      <c r="S319" s="2"/>
      <c r="T319" s="5"/>
    </row>
    <row r="320" customFormat="false" ht="15.75" hidden="false" customHeight="false" outlineLevel="0" collapsed="false">
      <c r="A320" s="4"/>
      <c r="B320" s="2"/>
      <c r="C320" s="2"/>
      <c r="D320" s="2"/>
      <c r="E320" s="2"/>
      <c r="F320" s="3" t="str">
        <f aca="false">IFERROR(__xludf.dummyfunction("if($T320&lt;&gt;"""",REGEXEXTRACT(SUBSTITUTE ($T320,F$1&amp;"" CE"",""""), F$1&amp;""[\w &amp;]*, (\d+\.\d+)""),"""")
"),"")</f>
        <v/>
      </c>
      <c r="G320" s="3" t="str">
        <f aca="false">IFERROR(__xludf.dummyfunction("if($T320&lt;&gt;"""",REGEXEXTRACT($T320, G$1&amp;""[\w &amp;]*, (\d+\.\d+)""),"""")
"),"")</f>
        <v/>
      </c>
      <c r="H320" s="3"/>
      <c r="I320" s="3" t="str">
        <f aca="false">IFERROR(__xludf.dummyfunction("if($T320&lt;&gt;"""",REGEXEXTRACT(SUBSTITUTE ($T320,I$1&amp;"" CE"",""""), I$1&amp;""[\w &amp;]*, (\d+\.\d+)""),"""")
"),"")</f>
        <v/>
      </c>
      <c r="J320" s="3" t="str">
        <f aca="false">IFERROR(__xludf.dummyfunction("if($T320&lt;&gt;"""",REGEXEXTRACT($T320, J$1&amp;""[\w &amp;]*, (\d+\.\d+)""),"""")
"),"")</f>
        <v/>
      </c>
      <c r="K320" s="3"/>
      <c r="L320" s="3" t="str">
        <f aca="false">IFERROR(__xludf.dummyfunction("if($T320&lt;&gt;"""",REGEXEXTRACT(SUBSTITUTE ($T320,L$1&amp;"" CE"",""""), L$1&amp;""[\w &amp;]*, (\d+\.\d+)""),"""")
"),"")</f>
        <v/>
      </c>
      <c r="M320" s="3" t="str">
        <f aca="false">IFERROR(__xludf.dummyfunction("if($T320&lt;&gt;"""",REGEXEXTRACT($T320, M$1&amp;""[\w &amp;]*, (\d+\.\d+)""),"""")
"),"")</f>
        <v/>
      </c>
      <c r="N320" s="3" t="str">
        <f aca="false">IFERROR(__xludf.dummyfunction("if($T320&lt;&gt;"""",REGEXEXTRACT(SUBSTITUTE ($T320,N$1&amp;"" CE"",""""), N$1&amp;""[\w &amp;]*, (\d+\.\d+)""),"""")
"),"")</f>
        <v/>
      </c>
      <c r="O320" s="3" t="str">
        <f aca="false">IFERROR(__xludf.dummyfunction("if($T320&lt;&gt;"""",REGEXEXTRACT($T320, O$1&amp;""[\w &amp;]*, (\d+\.\d+)""),"""")
"),"")</f>
        <v/>
      </c>
      <c r="P320" s="2"/>
      <c r="Q320" s="2"/>
      <c r="R320" s="2"/>
      <c r="S320" s="2"/>
      <c r="T320" s="5"/>
    </row>
    <row r="321" customFormat="false" ht="15.75" hidden="false" customHeight="false" outlineLevel="0" collapsed="false">
      <c r="A321" s="4"/>
      <c r="B321" s="2"/>
      <c r="C321" s="2"/>
      <c r="D321" s="2"/>
      <c r="E321" s="2"/>
      <c r="F321" s="3" t="str">
        <f aca="false">IFERROR(__xludf.dummyfunction("if($T321&lt;&gt;"""",REGEXEXTRACT(SUBSTITUTE ($T321,F$1&amp;"" CE"",""""), F$1&amp;""[\w &amp;]*, (\d+\.\d+)""),"""")
"),"")</f>
        <v/>
      </c>
      <c r="G321" s="3" t="str">
        <f aca="false">IFERROR(__xludf.dummyfunction("if($T321&lt;&gt;"""",REGEXEXTRACT($T321, G$1&amp;""[\w &amp;]*, (\d+\.\d+)""),"""")
"),"")</f>
        <v/>
      </c>
      <c r="H321" s="3"/>
      <c r="I321" s="3" t="str">
        <f aca="false">IFERROR(__xludf.dummyfunction("if($T321&lt;&gt;"""",REGEXEXTRACT(SUBSTITUTE ($T321,I$1&amp;"" CE"",""""), I$1&amp;""[\w &amp;]*, (\d+\.\d+)""),"""")
"),"")</f>
        <v/>
      </c>
      <c r="J321" s="3" t="str">
        <f aca="false">IFERROR(__xludf.dummyfunction("if($T321&lt;&gt;"""",REGEXEXTRACT($T321, J$1&amp;""[\w &amp;]*, (\d+\.\d+)""),"""")
"),"")</f>
        <v/>
      </c>
      <c r="K321" s="3"/>
      <c r="L321" s="3" t="str">
        <f aca="false">IFERROR(__xludf.dummyfunction("if($T321&lt;&gt;"""",REGEXEXTRACT(SUBSTITUTE ($T321,L$1&amp;"" CE"",""""), L$1&amp;""[\w &amp;]*, (\d+\.\d+)""),"""")
"),"")</f>
        <v/>
      </c>
      <c r="M321" s="3" t="str">
        <f aca="false">IFERROR(__xludf.dummyfunction("if($T321&lt;&gt;"""",REGEXEXTRACT($T321, M$1&amp;""[\w &amp;]*, (\d+\.\d+)""),"""")
"),"")</f>
        <v/>
      </c>
      <c r="N321" s="3" t="str">
        <f aca="false">IFERROR(__xludf.dummyfunction("if($T321&lt;&gt;"""",REGEXEXTRACT(SUBSTITUTE ($T321,N$1&amp;"" CE"",""""), N$1&amp;""[\w &amp;]*, (\d+\.\d+)""),"""")
"),"")</f>
        <v/>
      </c>
      <c r="O321" s="3" t="str">
        <f aca="false">IFERROR(__xludf.dummyfunction("if($T321&lt;&gt;"""",REGEXEXTRACT($T321, O$1&amp;""[\w &amp;]*, (\d+\.\d+)""),"""")
"),"")</f>
        <v/>
      </c>
      <c r="P321" s="2"/>
      <c r="Q321" s="2"/>
      <c r="R321" s="2"/>
      <c r="S321" s="2"/>
      <c r="T321" s="5"/>
    </row>
    <row r="322" customFormat="false" ht="15.75" hidden="false" customHeight="false" outlineLevel="0" collapsed="false">
      <c r="A322" s="4"/>
      <c r="B322" s="2"/>
      <c r="C322" s="2"/>
      <c r="D322" s="2"/>
      <c r="E322" s="2"/>
      <c r="F322" s="3" t="str">
        <f aca="false">IFERROR(__xludf.dummyfunction("if($T322&lt;&gt;"""",REGEXEXTRACT(SUBSTITUTE ($T322,F$1&amp;"" CE"",""""), F$1&amp;""[\w &amp;]*, (\d+\.\d+)""),"""")
"),"")</f>
        <v/>
      </c>
      <c r="G322" s="3" t="str">
        <f aca="false">IFERROR(__xludf.dummyfunction("if($T322&lt;&gt;"""",REGEXEXTRACT($T322, G$1&amp;""[\w &amp;]*, (\d+\.\d+)""),"""")
"),"")</f>
        <v/>
      </c>
      <c r="H322" s="3"/>
      <c r="I322" s="3" t="str">
        <f aca="false">IFERROR(__xludf.dummyfunction("if($T322&lt;&gt;"""",REGEXEXTRACT(SUBSTITUTE ($T322,I$1&amp;"" CE"",""""), I$1&amp;""[\w &amp;]*, (\d+\.\d+)""),"""")
"),"")</f>
        <v/>
      </c>
      <c r="J322" s="3" t="str">
        <f aca="false">IFERROR(__xludf.dummyfunction("if($T322&lt;&gt;"""",REGEXEXTRACT($T322, J$1&amp;""[\w &amp;]*, (\d+\.\d+)""),"""")
"),"")</f>
        <v/>
      </c>
      <c r="K322" s="3"/>
      <c r="L322" s="3" t="str">
        <f aca="false">IFERROR(__xludf.dummyfunction("if($T322&lt;&gt;"""",REGEXEXTRACT(SUBSTITUTE ($T322,L$1&amp;"" CE"",""""), L$1&amp;""[\w &amp;]*, (\d+\.\d+)""),"""")
"),"")</f>
        <v/>
      </c>
      <c r="M322" s="3" t="str">
        <f aca="false">IFERROR(__xludf.dummyfunction("if($T322&lt;&gt;"""",REGEXEXTRACT($T322, M$1&amp;""[\w &amp;]*, (\d+\.\d+)""),"""")
"),"")</f>
        <v/>
      </c>
      <c r="N322" s="3" t="str">
        <f aca="false">IFERROR(__xludf.dummyfunction("if($T322&lt;&gt;"""",REGEXEXTRACT(SUBSTITUTE ($T322,N$1&amp;"" CE"",""""), N$1&amp;""[\w &amp;]*, (\d+\.\d+)""),"""")
"),"")</f>
        <v/>
      </c>
      <c r="O322" s="3" t="str">
        <f aca="false">IFERROR(__xludf.dummyfunction("if($T322&lt;&gt;"""",REGEXEXTRACT($T322, O$1&amp;""[\w &amp;]*, (\d+\.\d+)""),"""")
"),"")</f>
        <v/>
      </c>
      <c r="P322" s="2"/>
      <c r="Q322" s="2"/>
      <c r="R322" s="2"/>
      <c r="S322" s="2"/>
      <c r="T322" s="5"/>
    </row>
    <row r="323" customFormat="false" ht="15.75" hidden="false" customHeight="false" outlineLevel="0" collapsed="false">
      <c r="A323" s="4"/>
      <c r="B323" s="2"/>
      <c r="C323" s="2"/>
      <c r="D323" s="2"/>
      <c r="E323" s="2"/>
      <c r="F323" s="3" t="str">
        <f aca="false">IFERROR(__xludf.dummyfunction("if($T323&lt;&gt;"""",REGEXEXTRACT(SUBSTITUTE ($T323,F$1&amp;"" CE"",""""), F$1&amp;""[\w &amp;]*, (\d+\.\d+)""),"""")
"),"")</f>
        <v/>
      </c>
      <c r="G323" s="3" t="str">
        <f aca="false">IFERROR(__xludf.dummyfunction("if($T323&lt;&gt;"""",REGEXEXTRACT($T323, G$1&amp;""[\w &amp;]*, (\d+\.\d+)""),"""")
"),"")</f>
        <v/>
      </c>
      <c r="H323" s="3"/>
      <c r="I323" s="3" t="str">
        <f aca="false">IFERROR(__xludf.dummyfunction("if($T323&lt;&gt;"""",REGEXEXTRACT(SUBSTITUTE ($T323,I$1&amp;"" CE"",""""), I$1&amp;""[\w &amp;]*, (\d+\.\d+)""),"""")
"),"")</f>
        <v/>
      </c>
      <c r="J323" s="3" t="str">
        <f aca="false">IFERROR(__xludf.dummyfunction("if($T323&lt;&gt;"""",REGEXEXTRACT($T323, J$1&amp;""[\w &amp;]*, (\d+\.\d+)""),"""")
"),"")</f>
        <v/>
      </c>
      <c r="K323" s="3"/>
      <c r="L323" s="3" t="str">
        <f aca="false">IFERROR(__xludf.dummyfunction("if($T323&lt;&gt;"""",REGEXEXTRACT(SUBSTITUTE ($T323,L$1&amp;"" CE"",""""), L$1&amp;""[\w &amp;]*, (\d+\.\d+)""),"""")
"),"")</f>
        <v/>
      </c>
      <c r="M323" s="3" t="str">
        <f aca="false">IFERROR(__xludf.dummyfunction("if($T323&lt;&gt;"""",REGEXEXTRACT($T323, M$1&amp;""[\w &amp;]*, (\d+\.\d+)""),"""")
"),"")</f>
        <v/>
      </c>
      <c r="N323" s="3" t="str">
        <f aca="false">IFERROR(__xludf.dummyfunction("if($T323&lt;&gt;"""",REGEXEXTRACT(SUBSTITUTE ($T323,N$1&amp;"" CE"",""""), N$1&amp;""[\w &amp;]*, (\d+\.\d+)""),"""")
"),"")</f>
        <v/>
      </c>
      <c r="O323" s="3" t="str">
        <f aca="false">IFERROR(__xludf.dummyfunction("if($T323&lt;&gt;"""",REGEXEXTRACT($T323, O$1&amp;""[\w &amp;]*, (\d+\.\d+)""),"""")
"),"")</f>
        <v/>
      </c>
      <c r="P323" s="2"/>
      <c r="Q323" s="2"/>
      <c r="R323" s="2"/>
      <c r="S323" s="2"/>
      <c r="T323" s="5"/>
    </row>
    <row r="324" customFormat="false" ht="15.75" hidden="false" customHeight="false" outlineLevel="0" collapsed="false">
      <c r="A324" s="4"/>
      <c r="B324" s="2"/>
      <c r="C324" s="2"/>
      <c r="D324" s="2"/>
      <c r="E324" s="2"/>
      <c r="F324" s="3" t="str">
        <f aca="false">IFERROR(__xludf.dummyfunction("if($T324&lt;&gt;"""",REGEXEXTRACT(SUBSTITUTE ($T324,F$1&amp;"" CE"",""""), F$1&amp;""[\w &amp;]*, (\d+\.\d+)""),"""")
"),"")</f>
        <v/>
      </c>
      <c r="G324" s="3" t="str">
        <f aca="false">IFERROR(__xludf.dummyfunction("if($T324&lt;&gt;"""",REGEXEXTRACT($T324, G$1&amp;""[\w &amp;]*, (\d+\.\d+)""),"""")
"),"")</f>
        <v/>
      </c>
      <c r="H324" s="3"/>
      <c r="I324" s="3" t="str">
        <f aca="false">IFERROR(__xludf.dummyfunction("if($T324&lt;&gt;"""",REGEXEXTRACT(SUBSTITUTE ($T324,I$1&amp;"" CE"",""""), I$1&amp;""[\w &amp;]*, (\d+\.\d+)""),"""")
"),"")</f>
        <v/>
      </c>
      <c r="J324" s="3" t="str">
        <f aca="false">IFERROR(__xludf.dummyfunction("if($T324&lt;&gt;"""",REGEXEXTRACT($T324, J$1&amp;""[\w &amp;]*, (\d+\.\d+)""),"""")
"),"")</f>
        <v/>
      </c>
      <c r="K324" s="3"/>
      <c r="L324" s="3" t="str">
        <f aca="false">IFERROR(__xludf.dummyfunction("if($T324&lt;&gt;"""",REGEXEXTRACT(SUBSTITUTE ($T324,L$1&amp;"" CE"",""""), L$1&amp;""[\w &amp;]*, (\d+\.\d+)""),"""")
"),"")</f>
        <v/>
      </c>
      <c r="M324" s="3" t="str">
        <f aca="false">IFERROR(__xludf.dummyfunction("if($T324&lt;&gt;"""",REGEXEXTRACT($T324, M$1&amp;""[\w &amp;]*, (\d+\.\d+)""),"""")
"),"")</f>
        <v/>
      </c>
      <c r="N324" s="3" t="str">
        <f aca="false">IFERROR(__xludf.dummyfunction("if($T324&lt;&gt;"""",REGEXEXTRACT(SUBSTITUTE ($T324,N$1&amp;"" CE"",""""), N$1&amp;""[\w &amp;]*, (\d+\.\d+)""),"""")
"),"")</f>
        <v/>
      </c>
      <c r="O324" s="3" t="str">
        <f aca="false">IFERROR(__xludf.dummyfunction("if($T324&lt;&gt;"""",REGEXEXTRACT($T324, O$1&amp;""[\w &amp;]*, (\d+\.\d+)""),"""")
"),"")</f>
        <v/>
      </c>
      <c r="P324" s="2"/>
      <c r="Q324" s="2"/>
      <c r="R324" s="2"/>
      <c r="S324" s="2"/>
      <c r="T324" s="5"/>
    </row>
    <row r="325" customFormat="false" ht="15.75" hidden="false" customHeight="false" outlineLevel="0" collapsed="false">
      <c r="A325" s="4"/>
      <c r="B325" s="2"/>
      <c r="C325" s="2"/>
      <c r="D325" s="2"/>
      <c r="E325" s="2"/>
      <c r="F325" s="3" t="str">
        <f aca="false">IFERROR(__xludf.dummyfunction("if($T325&lt;&gt;"""",REGEXEXTRACT(SUBSTITUTE ($T325,F$1&amp;"" CE"",""""), F$1&amp;""[\w &amp;]*, (\d+\.\d+)""),"""")
"),"")</f>
        <v/>
      </c>
      <c r="G325" s="3" t="str">
        <f aca="false">IFERROR(__xludf.dummyfunction("if($T325&lt;&gt;"""",REGEXEXTRACT($T325, G$1&amp;""[\w &amp;]*, (\d+\.\d+)""),"""")
"),"")</f>
        <v/>
      </c>
      <c r="H325" s="3"/>
      <c r="I325" s="3" t="str">
        <f aca="false">IFERROR(__xludf.dummyfunction("if($T325&lt;&gt;"""",REGEXEXTRACT(SUBSTITUTE ($T325,I$1&amp;"" CE"",""""), I$1&amp;""[\w &amp;]*, (\d+\.\d+)""),"""")
"),"")</f>
        <v/>
      </c>
      <c r="J325" s="3" t="str">
        <f aca="false">IFERROR(__xludf.dummyfunction("if($T325&lt;&gt;"""",REGEXEXTRACT($T325, J$1&amp;""[\w &amp;]*, (\d+\.\d+)""),"""")
"),"")</f>
        <v/>
      </c>
      <c r="K325" s="3"/>
      <c r="L325" s="3" t="str">
        <f aca="false">IFERROR(__xludf.dummyfunction("if($T325&lt;&gt;"""",REGEXEXTRACT(SUBSTITUTE ($T325,L$1&amp;"" CE"",""""), L$1&amp;""[\w &amp;]*, (\d+\.\d+)""),"""")
"),"")</f>
        <v/>
      </c>
      <c r="M325" s="3" t="str">
        <f aca="false">IFERROR(__xludf.dummyfunction("if($T325&lt;&gt;"""",REGEXEXTRACT($T325, M$1&amp;""[\w &amp;]*, (\d+\.\d+)""),"""")
"),"")</f>
        <v/>
      </c>
      <c r="N325" s="3" t="str">
        <f aca="false">IFERROR(__xludf.dummyfunction("if($T325&lt;&gt;"""",REGEXEXTRACT(SUBSTITUTE ($T325,N$1&amp;"" CE"",""""), N$1&amp;""[\w &amp;]*, (\d+\.\d+)""),"""")
"),"")</f>
        <v/>
      </c>
      <c r="O325" s="3" t="str">
        <f aca="false">IFERROR(__xludf.dummyfunction("if($T325&lt;&gt;"""",REGEXEXTRACT($T325, O$1&amp;""[\w &amp;]*, (\d+\.\d+)""),"""")
"),"")</f>
        <v/>
      </c>
      <c r="P325" s="2"/>
      <c r="Q325" s="2"/>
      <c r="R325" s="2"/>
      <c r="S325" s="2"/>
      <c r="T325" s="5"/>
    </row>
    <row r="326" customFormat="false" ht="15.75" hidden="false" customHeight="false" outlineLevel="0" collapsed="false">
      <c r="A326" s="4"/>
      <c r="B326" s="2"/>
      <c r="C326" s="2"/>
      <c r="D326" s="2"/>
      <c r="E326" s="2"/>
      <c r="F326" s="3" t="str">
        <f aca="false">IFERROR(__xludf.dummyfunction("if($T326&lt;&gt;"""",REGEXEXTRACT(SUBSTITUTE ($T326,F$1&amp;"" CE"",""""), F$1&amp;""[\w &amp;]*, (\d+\.\d+)""),"""")
"),"")</f>
        <v/>
      </c>
      <c r="G326" s="3" t="str">
        <f aca="false">IFERROR(__xludf.dummyfunction("if($T326&lt;&gt;"""",REGEXEXTRACT($T326, G$1&amp;""[\w &amp;]*, (\d+\.\d+)""),"""")
"),"")</f>
        <v/>
      </c>
      <c r="H326" s="3"/>
      <c r="I326" s="3" t="str">
        <f aca="false">IFERROR(__xludf.dummyfunction("if($T326&lt;&gt;"""",REGEXEXTRACT(SUBSTITUTE ($T326,I$1&amp;"" CE"",""""), I$1&amp;""[\w &amp;]*, (\d+\.\d+)""),"""")
"),"")</f>
        <v/>
      </c>
      <c r="J326" s="3" t="str">
        <f aca="false">IFERROR(__xludf.dummyfunction("if($T326&lt;&gt;"""",REGEXEXTRACT($T326, J$1&amp;""[\w &amp;]*, (\d+\.\d+)""),"""")
"),"")</f>
        <v/>
      </c>
      <c r="K326" s="3"/>
      <c r="L326" s="3" t="str">
        <f aca="false">IFERROR(__xludf.dummyfunction("if($T326&lt;&gt;"""",REGEXEXTRACT(SUBSTITUTE ($T326,L$1&amp;"" CE"",""""), L$1&amp;""[\w &amp;]*, (\d+\.\d+)""),"""")
"),"")</f>
        <v/>
      </c>
      <c r="M326" s="3" t="str">
        <f aca="false">IFERROR(__xludf.dummyfunction("if($T326&lt;&gt;"""",REGEXEXTRACT($T326, M$1&amp;""[\w &amp;]*, (\d+\.\d+)""),"""")
"),"")</f>
        <v/>
      </c>
      <c r="N326" s="3" t="str">
        <f aca="false">IFERROR(__xludf.dummyfunction("if($T326&lt;&gt;"""",REGEXEXTRACT(SUBSTITUTE ($T326,N$1&amp;"" CE"",""""), N$1&amp;""[\w &amp;]*, (\d+\.\d+)""),"""")
"),"")</f>
        <v/>
      </c>
      <c r="O326" s="3" t="str">
        <f aca="false">IFERROR(__xludf.dummyfunction("if($T326&lt;&gt;"""",REGEXEXTRACT($T326, O$1&amp;""[\w &amp;]*, (\d+\.\d+)""),"""")
"),"")</f>
        <v/>
      </c>
      <c r="P326" s="2"/>
      <c r="Q326" s="2"/>
      <c r="R326" s="2"/>
      <c r="S326" s="2"/>
      <c r="T326" s="5"/>
    </row>
    <row r="327" customFormat="false" ht="15.75" hidden="false" customHeight="false" outlineLevel="0" collapsed="false">
      <c r="A327" s="4"/>
      <c r="B327" s="2"/>
      <c r="C327" s="2"/>
      <c r="D327" s="2"/>
      <c r="E327" s="2"/>
      <c r="F327" s="3" t="str">
        <f aca="false">IFERROR(__xludf.dummyfunction("if($T327&lt;&gt;"""",REGEXEXTRACT(SUBSTITUTE ($T327,F$1&amp;"" CE"",""""), F$1&amp;""[\w &amp;]*, (\d+\.\d+)""),"""")
"),"")</f>
        <v/>
      </c>
      <c r="G327" s="3" t="str">
        <f aca="false">IFERROR(__xludf.dummyfunction("if($T327&lt;&gt;"""",REGEXEXTRACT($T327, G$1&amp;""[\w &amp;]*, (\d+\.\d+)""),"""")
"),"")</f>
        <v/>
      </c>
      <c r="H327" s="3"/>
      <c r="I327" s="3" t="str">
        <f aca="false">IFERROR(__xludf.dummyfunction("if($T327&lt;&gt;"""",REGEXEXTRACT(SUBSTITUTE ($T327,I$1&amp;"" CE"",""""), I$1&amp;""[\w &amp;]*, (\d+\.\d+)""),"""")
"),"")</f>
        <v/>
      </c>
      <c r="J327" s="3" t="str">
        <f aca="false">IFERROR(__xludf.dummyfunction("if($T327&lt;&gt;"""",REGEXEXTRACT($T327, J$1&amp;""[\w &amp;]*, (\d+\.\d+)""),"""")
"),"")</f>
        <v/>
      </c>
      <c r="K327" s="3"/>
      <c r="L327" s="3" t="str">
        <f aca="false">IFERROR(__xludf.dummyfunction("if($T327&lt;&gt;"""",REGEXEXTRACT(SUBSTITUTE ($T327,L$1&amp;"" CE"",""""), L$1&amp;""[\w &amp;]*, (\d+\.\d+)""),"""")
"),"")</f>
        <v/>
      </c>
      <c r="M327" s="3" t="str">
        <f aca="false">IFERROR(__xludf.dummyfunction("if($T327&lt;&gt;"""",REGEXEXTRACT($T327, M$1&amp;""[\w &amp;]*, (\d+\.\d+)""),"""")
"),"")</f>
        <v/>
      </c>
      <c r="N327" s="3" t="str">
        <f aca="false">IFERROR(__xludf.dummyfunction("if($T327&lt;&gt;"""",REGEXEXTRACT(SUBSTITUTE ($T327,N$1&amp;"" CE"",""""), N$1&amp;""[\w &amp;]*, (\d+\.\d+)""),"""")
"),"")</f>
        <v/>
      </c>
      <c r="O327" s="3" t="str">
        <f aca="false">IFERROR(__xludf.dummyfunction("if($T327&lt;&gt;"""",REGEXEXTRACT($T327, O$1&amp;""[\w &amp;]*, (\d+\.\d+)""),"""")
"),"")</f>
        <v/>
      </c>
      <c r="P327" s="2"/>
      <c r="Q327" s="2"/>
      <c r="R327" s="2"/>
      <c r="S327" s="2"/>
      <c r="T327" s="5"/>
    </row>
    <row r="328" customFormat="false" ht="15.75" hidden="false" customHeight="false" outlineLevel="0" collapsed="false">
      <c r="A328" s="4"/>
      <c r="B328" s="2"/>
      <c r="C328" s="2"/>
      <c r="D328" s="2"/>
      <c r="E328" s="2"/>
      <c r="F328" s="3" t="str">
        <f aca="false">IFERROR(__xludf.dummyfunction("if($T328&lt;&gt;"""",REGEXEXTRACT(SUBSTITUTE ($T328,F$1&amp;"" CE"",""""), F$1&amp;""[\w &amp;]*, (\d+\.\d+)""),"""")
"),"")</f>
        <v/>
      </c>
      <c r="G328" s="3" t="str">
        <f aca="false">IFERROR(__xludf.dummyfunction("if($T328&lt;&gt;"""",REGEXEXTRACT($T328, G$1&amp;""[\w &amp;]*, (\d+\.\d+)""),"""")
"),"")</f>
        <v/>
      </c>
      <c r="H328" s="3"/>
      <c r="I328" s="3" t="str">
        <f aca="false">IFERROR(__xludf.dummyfunction("if($T328&lt;&gt;"""",REGEXEXTRACT(SUBSTITUTE ($T328,I$1&amp;"" CE"",""""), I$1&amp;""[\w &amp;]*, (\d+\.\d+)""),"""")
"),"")</f>
        <v/>
      </c>
      <c r="J328" s="3" t="str">
        <f aca="false">IFERROR(__xludf.dummyfunction("if($T328&lt;&gt;"""",REGEXEXTRACT($T328, J$1&amp;""[\w &amp;]*, (\d+\.\d+)""),"""")
"),"")</f>
        <v/>
      </c>
      <c r="K328" s="3"/>
      <c r="L328" s="3" t="str">
        <f aca="false">IFERROR(__xludf.dummyfunction("if($T328&lt;&gt;"""",REGEXEXTRACT(SUBSTITUTE ($T328,L$1&amp;"" CE"",""""), L$1&amp;""[\w &amp;]*, (\d+\.\d+)""),"""")
"),"")</f>
        <v/>
      </c>
      <c r="M328" s="3" t="str">
        <f aca="false">IFERROR(__xludf.dummyfunction("if($T328&lt;&gt;"""",REGEXEXTRACT($T328, M$1&amp;""[\w &amp;]*, (\d+\.\d+)""),"""")
"),"")</f>
        <v/>
      </c>
      <c r="N328" s="3" t="str">
        <f aca="false">IFERROR(__xludf.dummyfunction("if($T328&lt;&gt;"""",REGEXEXTRACT(SUBSTITUTE ($T328,N$1&amp;"" CE"",""""), N$1&amp;""[\w &amp;]*, (\d+\.\d+)""),"""")
"),"")</f>
        <v/>
      </c>
      <c r="O328" s="3" t="str">
        <f aca="false">IFERROR(__xludf.dummyfunction("if($T328&lt;&gt;"""",REGEXEXTRACT($T328, O$1&amp;""[\w &amp;]*, (\d+\.\d+)""),"""")
"),"")</f>
        <v/>
      </c>
      <c r="P328" s="2"/>
      <c r="Q328" s="2"/>
      <c r="R328" s="2"/>
      <c r="S328" s="2"/>
      <c r="T328" s="5"/>
    </row>
    <row r="329" customFormat="false" ht="15.75" hidden="false" customHeight="false" outlineLevel="0" collapsed="false">
      <c r="A329" s="4"/>
      <c r="B329" s="2"/>
      <c r="C329" s="2"/>
      <c r="D329" s="2"/>
      <c r="E329" s="2"/>
      <c r="F329" s="3" t="str">
        <f aca="false">IFERROR(__xludf.dummyfunction("if($T329&lt;&gt;"""",REGEXEXTRACT(SUBSTITUTE ($T329,F$1&amp;"" CE"",""""), F$1&amp;""[\w &amp;]*, (\d+\.\d+)""),"""")
"),"")</f>
        <v/>
      </c>
      <c r="G329" s="3" t="str">
        <f aca="false">IFERROR(__xludf.dummyfunction("if($T329&lt;&gt;"""",REGEXEXTRACT($T329, G$1&amp;""[\w &amp;]*, (\d+\.\d+)""),"""")
"),"")</f>
        <v/>
      </c>
      <c r="H329" s="3"/>
      <c r="I329" s="3" t="str">
        <f aca="false">IFERROR(__xludf.dummyfunction("if($T329&lt;&gt;"""",REGEXEXTRACT(SUBSTITUTE ($T329,I$1&amp;"" CE"",""""), I$1&amp;""[\w &amp;]*, (\d+\.\d+)""),"""")
"),"")</f>
        <v/>
      </c>
      <c r="J329" s="3" t="str">
        <f aca="false">IFERROR(__xludf.dummyfunction("if($T329&lt;&gt;"""",REGEXEXTRACT($T329, J$1&amp;""[\w &amp;]*, (\d+\.\d+)""),"""")
"),"")</f>
        <v/>
      </c>
      <c r="K329" s="3"/>
      <c r="L329" s="3" t="str">
        <f aca="false">IFERROR(__xludf.dummyfunction("if($T329&lt;&gt;"""",REGEXEXTRACT(SUBSTITUTE ($T329,L$1&amp;"" CE"",""""), L$1&amp;""[\w &amp;]*, (\d+\.\d+)""),"""")
"),"")</f>
        <v/>
      </c>
      <c r="M329" s="3" t="str">
        <f aca="false">IFERROR(__xludf.dummyfunction("if($T329&lt;&gt;"""",REGEXEXTRACT($T329, M$1&amp;""[\w &amp;]*, (\d+\.\d+)""),"""")
"),"")</f>
        <v/>
      </c>
      <c r="N329" s="3" t="str">
        <f aca="false">IFERROR(__xludf.dummyfunction("if($T329&lt;&gt;"""",REGEXEXTRACT(SUBSTITUTE ($T329,N$1&amp;"" CE"",""""), N$1&amp;""[\w &amp;]*, (\d+\.\d+)""),"""")
"),"")</f>
        <v/>
      </c>
      <c r="O329" s="3" t="str">
        <f aca="false">IFERROR(__xludf.dummyfunction("if($T329&lt;&gt;"""",REGEXEXTRACT($T329, O$1&amp;""[\w &amp;]*, (\d+\.\d+)""),"""")
"),"")</f>
        <v/>
      </c>
      <c r="P329" s="2"/>
      <c r="Q329" s="2"/>
      <c r="R329" s="2"/>
      <c r="S329" s="2"/>
      <c r="T329" s="5"/>
    </row>
    <row r="330" customFormat="false" ht="15.75" hidden="false" customHeight="false" outlineLevel="0" collapsed="false">
      <c r="A330" s="4"/>
      <c r="B330" s="2"/>
      <c r="C330" s="2"/>
      <c r="D330" s="2"/>
      <c r="E330" s="2"/>
      <c r="F330" s="3" t="str">
        <f aca="false">IFERROR(__xludf.dummyfunction("if($T330&lt;&gt;"""",REGEXEXTRACT(SUBSTITUTE ($T330,F$1&amp;"" CE"",""""), F$1&amp;""[\w &amp;]*, (\d+\.\d+)""),"""")
"),"")</f>
        <v/>
      </c>
      <c r="G330" s="3" t="str">
        <f aca="false">IFERROR(__xludf.dummyfunction("if($T330&lt;&gt;"""",REGEXEXTRACT($T330, G$1&amp;""[\w &amp;]*, (\d+\.\d+)""),"""")
"),"")</f>
        <v/>
      </c>
      <c r="H330" s="3"/>
      <c r="I330" s="3" t="str">
        <f aca="false">IFERROR(__xludf.dummyfunction("if($T330&lt;&gt;"""",REGEXEXTRACT(SUBSTITUTE ($T330,I$1&amp;"" CE"",""""), I$1&amp;""[\w &amp;]*, (\d+\.\d+)""),"""")
"),"")</f>
        <v/>
      </c>
      <c r="J330" s="3" t="str">
        <f aca="false">IFERROR(__xludf.dummyfunction("if($T330&lt;&gt;"""",REGEXEXTRACT($T330, J$1&amp;""[\w &amp;]*, (\d+\.\d+)""),"""")
"),"")</f>
        <v/>
      </c>
      <c r="K330" s="3"/>
      <c r="L330" s="3" t="str">
        <f aca="false">IFERROR(__xludf.dummyfunction("if($T330&lt;&gt;"""",REGEXEXTRACT(SUBSTITUTE ($T330,L$1&amp;"" CE"",""""), L$1&amp;""[\w &amp;]*, (\d+\.\d+)""),"""")
"),"")</f>
        <v/>
      </c>
      <c r="M330" s="3" t="str">
        <f aca="false">IFERROR(__xludf.dummyfunction("if($T330&lt;&gt;"""",REGEXEXTRACT($T330, M$1&amp;""[\w &amp;]*, (\d+\.\d+)""),"""")
"),"")</f>
        <v/>
      </c>
      <c r="N330" s="3" t="str">
        <f aca="false">IFERROR(__xludf.dummyfunction("if($T330&lt;&gt;"""",REGEXEXTRACT(SUBSTITUTE ($T330,N$1&amp;"" CE"",""""), N$1&amp;""[\w &amp;]*, (\d+\.\d+)""),"""")
"),"")</f>
        <v/>
      </c>
      <c r="O330" s="3" t="str">
        <f aca="false">IFERROR(__xludf.dummyfunction("if($T330&lt;&gt;"""",REGEXEXTRACT($T330, O$1&amp;""[\w &amp;]*, (\d+\.\d+)""),"""")
"),"")</f>
        <v/>
      </c>
      <c r="P330" s="2"/>
      <c r="Q330" s="2"/>
      <c r="R330" s="2"/>
      <c r="S330" s="2"/>
      <c r="T330" s="5"/>
    </row>
    <row r="331" customFormat="false" ht="15.75" hidden="false" customHeight="false" outlineLevel="0" collapsed="false">
      <c r="A331" s="4"/>
      <c r="B331" s="2"/>
      <c r="C331" s="2"/>
      <c r="D331" s="2"/>
      <c r="E331" s="2"/>
      <c r="F331" s="3" t="str">
        <f aca="false">IFERROR(__xludf.dummyfunction("if($T331&lt;&gt;"""",REGEXEXTRACT(SUBSTITUTE ($T331,F$1&amp;"" CE"",""""), F$1&amp;""[\w &amp;]*, (\d+\.\d+)""),"""")
"),"")</f>
        <v/>
      </c>
      <c r="G331" s="3" t="str">
        <f aca="false">IFERROR(__xludf.dummyfunction("if($T331&lt;&gt;"""",REGEXEXTRACT($T331, G$1&amp;""[\w &amp;]*, (\d+\.\d+)""),"""")
"),"")</f>
        <v/>
      </c>
      <c r="H331" s="3"/>
      <c r="I331" s="3" t="str">
        <f aca="false">IFERROR(__xludf.dummyfunction("if($T331&lt;&gt;"""",REGEXEXTRACT(SUBSTITUTE ($T331,I$1&amp;"" CE"",""""), I$1&amp;""[\w &amp;]*, (\d+\.\d+)""),"""")
"),"")</f>
        <v/>
      </c>
      <c r="J331" s="3" t="str">
        <f aca="false">IFERROR(__xludf.dummyfunction("if($T331&lt;&gt;"""",REGEXEXTRACT($T331, J$1&amp;""[\w &amp;]*, (\d+\.\d+)""),"""")
"),"")</f>
        <v/>
      </c>
      <c r="K331" s="3"/>
      <c r="L331" s="3" t="str">
        <f aca="false">IFERROR(__xludf.dummyfunction("if($T331&lt;&gt;"""",REGEXEXTRACT(SUBSTITUTE ($T331,L$1&amp;"" CE"",""""), L$1&amp;""[\w &amp;]*, (\d+\.\d+)""),"""")
"),"")</f>
        <v/>
      </c>
      <c r="M331" s="3" t="str">
        <f aca="false">IFERROR(__xludf.dummyfunction("if($T331&lt;&gt;"""",REGEXEXTRACT($T331, M$1&amp;""[\w &amp;]*, (\d+\.\d+)""),"""")
"),"")</f>
        <v/>
      </c>
      <c r="N331" s="3" t="str">
        <f aca="false">IFERROR(__xludf.dummyfunction("if($T331&lt;&gt;"""",REGEXEXTRACT(SUBSTITUTE ($T331,N$1&amp;"" CE"",""""), N$1&amp;""[\w &amp;]*, (\d+\.\d+)""),"""")
"),"")</f>
        <v/>
      </c>
      <c r="O331" s="3" t="str">
        <f aca="false">IFERROR(__xludf.dummyfunction("if($T331&lt;&gt;"""",REGEXEXTRACT($T331, O$1&amp;""[\w &amp;]*, (\d+\.\d+)""),"""")
"),"")</f>
        <v/>
      </c>
      <c r="P331" s="2"/>
      <c r="Q331" s="2"/>
      <c r="R331" s="2"/>
      <c r="S331" s="2"/>
      <c r="T331" s="5"/>
    </row>
    <row r="332" customFormat="false" ht="15.75" hidden="false" customHeight="false" outlineLevel="0" collapsed="false">
      <c r="A332" s="4"/>
      <c r="B332" s="2"/>
      <c r="C332" s="2"/>
      <c r="D332" s="2"/>
      <c r="E332" s="2"/>
      <c r="F332" s="3" t="str">
        <f aca="false">IFERROR(__xludf.dummyfunction("if($T332&lt;&gt;"""",REGEXEXTRACT(SUBSTITUTE ($T332,F$1&amp;"" CE"",""""), F$1&amp;""[\w &amp;]*, (\d+\.\d+)""),"""")
"),"")</f>
        <v/>
      </c>
      <c r="G332" s="3" t="str">
        <f aca="false">IFERROR(__xludf.dummyfunction("if($T332&lt;&gt;"""",REGEXEXTRACT($T332, G$1&amp;""[\w &amp;]*, (\d+\.\d+)""),"""")
"),"")</f>
        <v/>
      </c>
      <c r="H332" s="3"/>
      <c r="I332" s="3" t="str">
        <f aca="false">IFERROR(__xludf.dummyfunction("if($T332&lt;&gt;"""",REGEXEXTRACT(SUBSTITUTE ($T332,I$1&amp;"" CE"",""""), I$1&amp;""[\w &amp;]*, (\d+\.\d+)""),"""")
"),"")</f>
        <v/>
      </c>
      <c r="J332" s="3" t="str">
        <f aca="false">IFERROR(__xludf.dummyfunction("if($T332&lt;&gt;"""",REGEXEXTRACT($T332, J$1&amp;""[\w &amp;]*, (\d+\.\d+)""),"""")
"),"")</f>
        <v/>
      </c>
      <c r="K332" s="3"/>
      <c r="L332" s="3" t="str">
        <f aca="false">IFERROR(__xludf.dummyfunction("if($T332&lt;&gt;"""",REGEXEXTRACT(SUBSTITUTE ($T332,L$1&amp;"" CE"",""""), L$1&amp;""[\w &amp;]*, (\d+\.\d+)""),"""")
"),"")</f>
        <v/>
      </c>
      <c r="M332" s="3" t="str">
        <f aca="false">IFERROR(__xludf.dummyfunction("if($T332&lt;&gt;"""",REGEXEXTRACT($T332, M$1&amp;""[\w &amp;]*, (\d+\.\d+)""),"""")
"),"")</f>
        <v/>
      </c>
      <c r="N332" s="3" t="str">
        <f aca="false">IFERROR(__xludf.dummyfunction("if($T332&lt;&gt;"""",REGEXEXTRACT(SUBSTITUTE ($T332,N$1&amp;"" CE"",""""), N$1&amp;""[\w &amp;]*, (\d+\.\d+)""),"""")
"),"")</f>
        <v/>
      </c>
      <c r="O332" s="3" t="str">
        <f aca="false">IFERROR(__xludf.dummyfunction("if($T332&lt;&gt;"""",REGEXEXTRACT($T332, O$1&amp;""[\w &amp;]*, (\d+\.\d+)""),"""")
"),"")</f>
        <v/>
      </c>
      <c r="P332" s="2"/>
      <c r="Q332" s="2"/>
      <c r="R332" s="2"/>
      <c r="S332" s="2"/>
      <c r="T332" s="5"/>
    </row>
    <row r="333" customFormat="false" ht="15.75" hidden="false" customHeight="false" outlineLevel="0" collapsed="false">
      <c r="A333" s="4"/>
      <c r="B333" s="2"/>
      <c r="C333" s="2"/>
      <c r="D333" s="2"/>
      <c r="E333" s="2"/>
      <c r="F333" s="3" t="str">
        <f aca="false">IFERROR(__xludf.dummyfunction("if($T333&lt;&gt;"""",REGEXEXTRACT(SUBSTITUTE ($T333,F$1&amp;"" CE"",""""), F$1&amp;""[\w &amp;]*, (\d+\.\d+)""),"""")
"),"")</f>
        <v/>
      </c>
      <c r="G333" s="3" t="str">
        <f aca="false">IFERROR(__xludf.dummyfunction("if($T333&lt;&gt;"""",REGEXEXTRACT($T333, G$1&amp;""[\w &amp;]*, (\d+\.\d+)""),"""")
"),"")</f>
        <v/>
      </c>
      <c r="H333" s="3"/>
      <c r="I333" s="3" t="str">
        <f aca="false">IFERROR(__xludf.dummyfunction("if($T333&lt;&gt;"""",REGEXEXTRACT(SUBSTITUTE ($T333,I$1&amp;"" CE"",""""), I$1&amp;""[\w &amp;]*, (\d+\.\d+)""),"""")
"),"")</f>
        <v/>
      </c>
      <c r="J333" s="3" t="str">
        <f aca="false">IFERROR(__xludf.dummyfunction("if($T333&lt;&gt;"""",REGEXEXTRACT($T333, J$1&amp;""[\w &amp;]*, (\d+\.\d+)""),"""")
"),"")</f>
        <v/>
      </c>
      <c r="K333" s="3"/>
      <c r="L333" s="3" t="str">
        <f aca="false">IFERROR(__xludf.dummyfunction("if($T333&lt;&gt;"""",REGEXEXTRACT(SUBSTITUTE ($T333,L$1&amp;"" CE"",""""), L$1&amp;""[\w &amp;]*, (\d+\.\d+)""),"""")
"),"")</f>
        <v/>
      </c>
      <c r="M333" s="3" t="str">
        <f aca="false">IFERROR(__xludf.dummyfunction("if($T333&lt;&gt;"""",REGEXEXTRACT($T333, M$1&amp;""[\w &amp;]*, (\d+\.\d+)""),"""")
"),"")</f>
        <v/>
      </c>
      <c r="N333" s="3" t="str">
        <f aca="false">IFERROR(__xludf.dummyfunction("if($T333&lt;&gt;"""",REGEXEXTRACT(SUBSTITUTE ($T333,N$1&amp;"" CE"",""""), N$1&amp;""[\w &amp;]*, (\d+\.\d+)""),"""")
"),"")</f>
        <v/>
      </c>
      <c r="O333" s="3" t="str">
        <f aca="false">IFERROR(__xludf.dummyfunction("if($T333&lt;&gt;"""",REGEXEXTRACT($T333, O$1&amp;""[\w &amp;]*, (\d+\.\d+)""),"""")
"),"")</f>
        <v/>
      </c>
      <c r="P333" s="2"/>
      <c r="Q333" s="2"/>
      <c r="R333" s="2"/>
      <c r="S333" s="2"/>
      <c r="T333" s="5"/>
    </row>
    <row r="334" customFormat="false" ht="15.75" hidden="false" customHeight="false" outlineLevel="0" collapsed="false">
      <c r="A334" s="4"/>
      <c r="B334" s="2"/>
      <c r="C334" s="2"/>
      <c r="D334" s="2"/>
      <c r="E334" s="2"/>
      <c r="F334" s="3" t="str">
        <f aca="false">IFERROR(__xludf.dummyfunction("if($T334&lt;&gt;"""",REGEXEXTRACT(SUBSTITUTE ($T334,F$1&amp;"" CE"",""""), F$1&amp;""[\w &amp;]*, (\d+\.\d+)""),"""")
"),"")</f>
        <v/>
      </c>
      <c r="G334" s="3" t="str">
        <f aca="false">IFERROR(__xludf.dummyfunction("if($T334&lt;&gt;"""",REGEXEXTRACT($T334, G$1&amp;""[\w &amp;]*, (\d+\.\d+)""),"""")
"),"")</f>
        <v/>
      </c>
      <c r="H334" s="3"/>
      <c r="I334" s="3" t="str">
        <f aca="false">IFERROR(__xludf.dummyfunction("if($T334&lt;&gt;"""",REGEXEXTRACT(SUBSTITUTE ($T334,I$1&amp;"" CE"",""""), I$1&amp;""[\w &amp;]*, (\d+\.\d+)""),"""")
"),"")</f>
        <v/>
      </c>
      <c r="J334" s="3" t="str">
        <f aca="false">IFERROR(__xludf.dummyfunction("if($T334&lt;&gt;"""",REGEXEXTRACT($T334, J$1&amp;""[\w &amp;]*, (\d+\.\d+)""),"""")
"),"")</f>
        <v/>
      </c>
      <c r="K334" s="3"/>
      <c r="L334" s="3" t="str">
        <f aca="false">IFERROR(__xludf.dummyfunction("if($T334&lt;&gt;"""",REGEXEXTRACT(SUBSTITUTE ($T334,L$1&amp;"" CE"",""""), L$1&amp;""[\w &amp;]*, (\d+\.\d+)""),"""")
"),"")</f>
        <v/>
      </c>
      <c r="M334" s="3" t="str">
        <f aca="false">IFERROR(__xludf.dummyfunction("if($T334&lt;&gt;"""",REGEXEXTRACT($T334, M$1&amp;""[\w &amp;]*, (\d+\.\d+)""),"""")
"),"")</f>
        <v/>
      </c>
      <c r="N334" s="3" t="str">
        <f aca="false">IFERROR(__xludf.dummyfunction("if($T334&lt;&gt;"""",REGEXEXTRACT(SUBSTITUTE ($T334,N$1&amp;"" CE"",""""), N$1&amp;""[\w &amp;]*, (\d+\.\d+)""),"""")
"),"")</f>
        <v/>
      </c>
      <c r="O334" s="3" t="str">
        <f aca="false">IFERROR(__xludf.dummyfunction("if($T334&lt;&gt;"""",REGEXEXTRACT($T334, O$1&amp;""[\w &amp;]*, (\d+\.\d+)""),"""")
"),"")</f>
        <v/>
      </c>
      <c r="P334" s="2"/>
      <c r="Q334" s="2"/>
      <c r="R334" s="2"/>
      <c r="S334" s="2"/>
      <c r="T334" s="5"/>
    </row>
    <row r="335" customFormat="false" ht="15.75" hidden="false" customHeight="false" outlineLevel="0" collapsed="false">
      <c r="A335" s="4"/>
      <c r="B335" s="2"/>
      <c r="C335" s="2"/>
      <c r="D335" s="2"/>
      <c r="E335" s="2"/>
      <c r="F335" s="3" t="str">
        <f aca="false">IFERROR(__xludf.dummyfunction("if($T335&lt;&gt;"""",REGEXEXTRACT(SUBSTITUTE ($T335,F$1&amp;"" CE"",""""), F$1&amp;""[\w &amp;]*, (\d+\.\d+)""),"""")
"),"")</f>
        <v/>
      </c>
      <c r="G335" s="3" t="str">
        <f aca="false">IFERROR(__xludf.dummyfunction("if($T335&lt;&gt;"""",REGEXEXTRACT($T335, G$1&amp;""[\w &amp;]*, (\d+\.\d+)""),"""")
"),"")</f>
        <v/>
      </c>
      <c r="H335" s="3"/>
      <c r="I335" s="3" t="str">
        <f aca="false">IFERROR(__xludf.dummyfunction("if($T335&lt;&gt;"""",REGEXEXTRACT(SUBSTITUTE ($T335,I$1&amp;"" CE"",""""), I$1&amp;""[\w &amp;]*, (\d+\.\d+)""),"""")
"),"")</f>
        <v/>
      </c>
      <c r="J335" s="3" t="str">
        <f aca="false">IFERROR(__xludf.dummyfunction("if($T335&lt;&gt;"""",REGEXEXTRACT($T335, J$1&amp;""[\w &amp;]*, (\d+\.\d+)""),"""")
"),"")</f>
        <v/>
      </c>
      <c r="K335" s="3"/>
      <c r="L335" s="3" t="str">
        <f aca="false">IFERROR(__xludf.dummyfunction("if($T335&lt;&gt;"""",REGEXEXTRACT(SUBSTITUTE ($T335,L$1&amp;"" CE"",""""), L$1&amp;""[\w &amp;]*, (\d+\.\d+)""),"""")
"),"")</f>
        <v/>
      </c>
      <c r="M335" s="3" t="str">
        <f aca="false">IFERROR(__xludf.dummyfunction("if($T335&lt;&gt;"""",REGEXEXTRACT($T335, M$1&amp;""[\w &amp;]*, (\d+\.\d+)""),"""")
"),"")</f>
        <v/>
      </c>
      <c r="N335" s="3" t="str">
        <f aca="false">IFERROR(__xludf.dummyfunction("if($T335&lt;&gt;"""",REGEXEXTRACT(SUBSTITUTE ($T335,N$1&amp;"" CE"",""""), N$1&amp;""[\w &amp;]*, (\d+\.\d+)""),"""")
"),"")</f>
        <v/>
      </c>
      <c r="O335" s="3" t="str">
        <f aca="false">IFERROR(__xludf.dummyfunction("if($T335&lt;&gt;"""",REGEXEXTRACT($T335, O$1&amp;""[\w &amp;]*, (\d+\.\d+)""),"""")
"),"")</f>
        <v/>
      </c>
      <c r="P335" s="2"/>
      <c r="Q335" s="2"/>
      <c r="R335" s="2"/>
      <c r="S335" s="2"/>
      <c r="T335" s="5"/>
    </row>
    <row r="336" customFormat="false" ht="15.75" hidden="false" customHeight="false" outlineLevel="0" collapsed="false">
      <c r="A336" s="4"/>
      <c r="B336" s="2"/>
      <c r="C336" s="2"/>
      <c r="D336" s="2"/>
      <c r="E336" s="2"/>
      <c r="F336" s="3" t="str">
        <f aca="false">IFERROR(__xludf.dummyfunction("if($T336&lt;&gt;"""",REGEXEXTRACT(SUBSTITUTE ($T336,F$1&amp;"" CE"",""""), F$1&amp;""[\w &amp;]*, (\d+\.\d+)""),"""")
"),"")</f>
        <v/>
      </c>
      <c r="G336" s="3" t="str">
        <f aca="false">IFERROR(__xludf.dummyfunction("if($T336&lt;&gt;"""",REGEXEXTRACT($T336, G$1&amp;""[\w &amp;]*, (\d+\.\d+)""),"""")
"),"")</f>
        <v/>
      </c>
      <c r="H336" s="3"/>
      <c r="I336" s="3" t="str">
        <f aca="false">IFERROR(__xludf.dummyfunction("if($T336&lt;&gt;"""",REGEXEXTRACT(SUBSTITUTE ($T336,I$1&amp;"" CE"",""""), I$1&amp;""[\w &amp;]*, (\d+\.\d+)""),"""")
"),"")</f>
        <v/>
      </c>
      <c r="J336" s="3" t="str">
        <f aca="false">IFERROR(__xludf.dummyfunction("if($T336&lt;&gt;"""",REGEXEXTRACT($T336, J$1&amp;""[\w &amp;]*, (\d+\.\d+)""),"""")
"),"")</f>
        <v/>
      </c>
      <c r="K336" s="3"/>
      <c r="L336" s="3" t="str">
        <f aca="false">IFERROR(__xludf.dummyfunction("if($T336&lt;&gt;"""",REGEXEXTRACT(SUBSTITUTE ($T336,L$1&amp;"" CE"",""""), L$1&amp;""[\w &amp;]*, (\d+\.\d+)""),"""")
"),"")</f>
        <v/>
      </c>
      <c r="M336" s="3" t="str">
        <f aca="false">IFERROR(__xludf.dummyfunction("if($T336&lt;&gt;"""",REGEXEXTRACT($T336, M$1&amp;""[\w &amp;]*, (\d+\.\d+)""),"""")
"),"")</f>
        <v/>
      </c>
      <c r="N336" s="3" t="str">
        <f aca="false">IFERROR(__xludf.dummyfunction("if($T336&lt;&gt;"""",REGEXEXTRACT(SUBSTITUTE ($T336,N$1&amp;"" CE"",""""), N$1&amp;""[\w &amp;]*, (\d+\.\d+)""),"""")
"),"")</f>
        <v/>
      </c>
      <c r="O336" s="3" t="str">
        <f aca="false">IFERROR(__xludf.dummyfunction("if($T336&lt;&gt;"""",REGEXEXTRACT($T336, O$1&amp;""[\w &amp;]*, (\d+\.\d+)""),"""")
"),"")</f>
        <v/>
      </c>
      <c r="P336" s="2"/>
      <c r="Q336" s="2"/>
      <c r="R336" s="2"/>
      <c r="S336" s="2"/>
      <c r="T336" s="5"/>
    </row>
    <row r="337" customFormat="false" ht="15.75" hidden="false" customHeight="false" outlineLevel="0" collapsed="false">
      <c r="A337" s="4"/>
      <c r="B337" s="2"/>
      <c r="C337" s="2"/>
      <c r="D337" s="2"/>
      <c r="E337" s="2"/>
      <c r="F337" s="3" t="str">
        <f aca="false">IFERROR(__xludf.dummyfunction("if($T337&lt;&gt;"""",REGEXEXTRACT(SUBSTITUTE ($T337,F$1&amp;"" CE"",""""), F$1&amp;""[\w &amp;]*, (\d+\.\d+)""),"""")
"),"")</f>
        <v/>
      </c>
      <c r="G337" s="3" t="str">
        <f aca="false">IFERROR(__xludf.dummyfunction("if($T337&lt;&gt;"""",REGEXEXTRACT($T337, G$1&amp;""[\w &amp;]*, (\d+\.\d+)""),"""")
"),"")</f>
        <v/>
      </c>
      <c r="H337" s="3"/>
      <c r="I337" s="3" t="str">
        <f aca="false">IFERROR(__xludf.dummyfunction("if($T337&lt;&gt;"""",REGEXEXTRACT(SUBSTITUTE ($T337,I$1&amp;"" CE"",""""), I$1&amp;""[\w &amp;]*, (\d+\.\d+)""),"""")
"),"")</f>
        <v/>
      </c>
      <c r="J337" s="3" t="str">
        <f aca="false">IFERROR(__xludf.dummyfunction("if($T337&lt;&gt;"""",REGEXEXTRACT($T337, J$1&amp;""[\w &amp;]*, (\d+\.\d+)""),"""")
"),"")</f>
        <v/>
      </c>
      <c r="K337" s="3"/>
      <c r="L337" s="3" t="str">
        <f aca="false">IFERROR(__xludf.dummyfunction("if($T337&lt;&gt;"""",REGEXEXTRACT(SUBSTITUTE ($T337,L$1&amp;"" CE"",""""), L$1&amp;""[\w &amp;]*, (\d+\.\d+)""),"""")
"),"")</f>
        <v/>
      </c>
      <c r="M337" s="3" t="str">
        <f aca="false">IFERROR(__xludf.dummyfunction("if($T337&lt;&gt;"""",REGEXEXTRACT($T337, M$1&amp;""[\w &amp;]*, (\d+\.\d+)""),"""")
"),"")</f>
        <v/>
      </c>
      <c r="N337" s="3" t="str">
        <f aca="false">IFERROR(__xludf.dummyfunction("if($T337&lt;&gt;"""",REGEXEXTRACT(SUBSTITUTE ($T337,N$1&amp;"" CE"",""""), N$1&amp;""[\w &amp;]*, (\d+\.\d+)""),"""")
"),"")</f>
        <v/>
      </c>
      <c r="O337" s="3" t="str">
        <f aca="false">IFERROR(__xludf.dummyfunction("if($T337&lt;&gt;"""",REGEXEXTRACT($T337, O$1&amp;""[\w &amp;]*, (\d+\.\d+)""),"""")
"),"")</f>
        <v/>
      </c>
      <c r="P337" s="2"/>
      <c r="Q337" s="2"/>
      <c r="R337" s="2"/>
      <c r="S337" s="2"/>
      <c r="T337" s="5"/>
    </row>
    <row r="338" customFormat="false" ht="15.75" hidden="false" customHeight="false" outlineLevel="0" collapsed="false">
      <c r="A338" s="4"/>
      <c r="B338" s="2"/>
      <c r="C338" s="2"/>
      <c r="D338" s="2"/>
      <c r="E338" s="2"/>
      <c r="F338" s="3" t="str">
        <f aca="false">IFERROR(__xludf.dummyfunction("if($T338&lt;&gt;"""",REGEXEXTRACT(SUBSTITUTE ($T338,F$1&amp;"" CE"",""""), F$1&amp;""[\w &amp;]*, (\d+\.\d+)""),"""")
"),"")</f>
        <v/>
      </c>
      <c r="G338" s="3" t="str">
        <f aca="false">IFERROR(__xludf.dummyfunction("if($T338&lt;&gt;"""",REGEXEXTRACT($T338, G$1&amp;""[\w &amp;]*, (\d+\.\d+)""),"""")
"),"")</f>
        <v/>
      </c>
      <c r="H338" s="3"/>
      <c r="I338" s="3" t="str">
        <f aca="false">IFERROR(__xludf.dummyfunction("if($T338&lt;&gt;"""",REGEXEXTRACT(SUBSTITUTE ($T338,I$1&amp;"" CE"",""""), I$1&amp;""[\w &amp;]*, (\d+\.\d+)""),"""")
"),"")</f>
        <v/>
      </c>
      <c r="J338" s="3" t="str">
        <f aca="false">IFERROR(__xludf.dummyfunction("if($T338&lt;&gt;"""",REGEXEXTRACT($T338, J$1&amp;""[\w &amp;]*, (\d+\.\d+)""),"""")
"),"")</f>
        <v/>
      </c>
      <c r="K338" s="3"/>
      <c r="L338" s="3" t="str">
        <f aca="false">IFERROR(__xludf.dummyfunction("if($T338&lt;&gt;"""",REGEXEXTRACT(SUBSTITUTE ($T338,L$1&amp;"" CE"",""""), L$1&amp;""[\w &amp;]*, (\d+\.\d+)""),"""")
"),"")</f>
        <v/>
      </c>
      <c r="M338" s="3" t="str">
        <f aca="false">IFERROR(__xludf.dummyfunction("if($T338&lt;&gt;"""",REGEXEXTRACT($T338, M$1&amp;""[\w &amp;]*, (\d+\.\d+)""),"""")
"),"")</f>
        <v/>
      </c>
      <c r="N338" s="3" t="str">
        <f aca="false">IFERROR(__xludf.dummyfunction("if($T338&lt;&gt;"""",REGEXEXTRACT(SUBSTITUTE ($T338,N$1&amp;"" CE"",""""), N$1&amp;""[\w &amp;]*, (\d+\.\d+)""),"""")
"),"")</f>
        <v/>
      </c>
      <c r="O338" s="3" t="str">
        <f aca="false">IFERROR(__xludf.dummyfunction("if($T338&lt;&gt;"""",REGEXEXTRACT($T338, O$1&amp;""[\w &amp;]*, (\d+\.\d+)""),"""")
"),"")</f>
        <v/>
      </c>
      <c r="P338" s="2"/>
      <c r="Q338" s="2"/>
      <c r="R338" s="2"/>
      <c r="S338" s="2"/>
      <c r="T338" s="5"/>
    </row>
    <row r="339" customFormat="false" ht="15.75" hidden="false" customHeight="false" outlineLevel="0" collapsed="false">
      <c r="A339" s="4"/>
      <c r="B339" s="2"/>
      <c r="C339" s="2"/>
      <c r="D339" s="2"/>
      <c r="E339" s="2"/>
      <c r="F339" s="3" t="str">
        <f aca="false">IFERROR(__xludf.dummyfunction("if($T339&lt;&gt;"""",REGEXEXTRACT(SUBSTITUTE ($T339,F$1&amp;"" CE"",""""), F$1&amp;""[\w &amp;]*, (\d+\.\d+)""),"""")
"),"")</f>
        <v/>
      </c>
      <c r="G339" s="3" t="str">
        <f aca="false">IFERROR(__xludf.dummyfunction("if($T339&lt;&gt;"""",REGEXEXTRACT($T339, G$1&amp;""[\w &amp;]*, (\d+\.\d+)""),"""")
"),"")</f>
        <v/>
      </c>
      <c r="H339" s="3"/>
      <c r="I339" s="3" t="str">
        <f aca="false">IFERROR(__xludf.dummyfunction("if($T339&lt;&gt;"""",REGEXEXTRACT(SUBSTITUTE ($T339,I$1&amp;"" CE"",""""), I$1&amp;""[\w &amp;]*, (\d+\.\d+)""),"""")
"),"")</f>
        <v/>
      </c>
      <c r="J339" s="3" t="str">
        <f aca="false">IFERROR(__xludf.dummyfunction("if($T339&lt;&gt;"""",REGEXEXTRACT($T339, J$1&amp;""[\w &amp;]*, (\d+\.\d+)""),"""")
"),"")</f>
        <v/>
      </c>
      <c r="K339" s="3"/>
      <c r="L339" s="3" t="str">
        <f aca="false">IFERROR(__xludf.dummyfunction("if($T339&lt;&gt;"""",REGEXEXTRACT(SUBSTITUTE ($T339,L$1&amp;"" CE"",""""), L$1&amp;""[\w &amp;]*, (\d+\.\d+)""),"""")
"),"")</f>
        <v/>
      </c>
      <c r="M339" s="3" t="str">
        <f aca="false">IFERROR(__xludf.dummyfunction("if($T339&lt;&gt;"""",REGEXEXTRACT($T339, M$1&amp;""[\w &amp;]*, (\d+\.\d+)""),"""")
"),"")</f>
        <v/>
      </c>
      <c r="N339" s="3" t="str">
        <f aca="false">IFERROR(__xludf.dummyfunction("if($T339&lt;&gt;"""",REGEXEXTRACT(SUBSTITUTE ($T339,N$1&amp;"" CE"",""""), N$1&amp;""[\w &amp;]*, (\d+\.\d+)""),"""")
"),"")</f>
        <v/>
      </c>
      <c r="O339" s="3" t="str">
        <f aca="false">IFERROR(__xludf.dummyfunction("if($T339&lt;&gt;"""",REGEXEXTRACT($T339, O$1&amp;""[\w &amp;]*, (\d+\.\d+)""),"""")
"),"")</f>
        <v/>
      </c>
      <c r="P339" s="2"/>
      <c r="Q339" s="2"/>
      <c r="R339" s="2"/>
      <c r="S339" s="2"/>
      <c r="T339" s="5"/>
    </row>
    <row r="340" customFormat="false" ht="15.75" hidden="false" customHeight="false" outlineLevel="0" collapsed="false">
      <c r="A340" s="4"/>
      <c r="B340" s="2"/>
      <c r="C340" s="2"/>
      <c r="D340" s="2"/>
      <c r="E340" s="2"/>
      <c r="F340" s="3" t="str">
        <f aca="false">IFERROR(__xludf.dummyfunction("if($T340&lt;&gt;"""",REGEXEXTRACT(SUBSTITUTE ($T340,F$1&amp;"" CE"",""""), F$1&amp;""[\w &amp;]*, (\d+\.\d+)""),"""")
"),"")</f>
        <v/>
      </c>
      <c r="G340" s="3" t="str">
        <f aca="false">IFERROR(__xludf.dummyfunction("if($T340&lt;&gt;"""",REGEXEXTRACT($T340, G$1&amp;""[\w &amp;]*, (\d+\.\d+)""),"""")
"),"")</f>
        <v/>
      </c>
      <c r="H340" s="3"/>
      <c r="I340" s="3" t="str">
        <f aca="false">IFERROR(__xludf.dummyfunction("if($T340&lt;&gt;"""",REGEXEXTRACT(SUBSTITUTE ($T340,I$1&amp;"" CE"",""""), I$1&amp;""[\w &amp;]*, (\d+\.\d+)""),"""")
"),"")</f>
        <v/>
      </c>
      <c r="J340" s="3" t="str">
        <f aca="false">IFERROR(__xludf.dummyfunction("if($T340&lt;&gt;"""",REGEXEXTRACT($T340, J$1&amp;""[\w &amp;]*, (\d+\.\d+)""),"""")
"),"")</f>
        <v/>
      </c>
      <c r="K340" s="3"/>
      <c r="L340" s="3" t="str">
        <f aca="false">IFERROR(__xludf.dummyfunction("if($T340&lt;&gt;"""",REGEXEXTRACT(SUBSTITUTE ($T340,L$1&amp;"" CE"",""""), L$1&amp;""[\w &amp;]*, (\d+\.\d+)""),"""")
"),"")</f>
        <v/>
      </c>
      <c r="M340" s="3" t="str">
        <f aca="false">IFERROR(__xludf.dummyfunction("if($T340&lt;&gt;"""",REGEXEXTRACT($T340, M$1&amp;""[\w &amp;]*, (\d+\.\d+)""),"""")
"),"")</f>
        <v/>
      </c>
      <c r="N340" s="3" t="str">
        <f aca="false">IFERROR(__xludf.dummyfunction("if($T340&lt;&gt;"""",REGEXEXTRACT(SUBSTITUTE ($T340,N$1&amp;"" CE"",""""), N$1&amp;""[\w &amp;]*, (\d+\.\d+)""),"""")
"),"")</f>
        <v/>
      </c>
      <c r="O340" s="3" t="str">
        <f aca="false">IFERROR(__xludf.dummyfunction("if($T340&lt;&gt;"""",REGEXEXTRACT($T340, O$1&amp;""[\w &amp;]*, (\d+\.\d+)""),"""")
"),"")</f>
        <v/>
      </c>
      <c r="P340" s="2"/>
      <c r="Q340" s="2"/>
      <c r="R340" s="2"/>
      <c r="S340" s="2"/>
      <c r="T340" s="5"/>
    </row>
    <row r="341" customFormat="false" ht="15.75" hidden="false" customHeight="false" outlineLevel="0" collapsed="false">
      <c r="A341" s="4"/>
      <c r="B341" s="2"/>
      <c r="C341" s="2"/>
      <c r="D341" s="2"/>
      <c r="E341" s="2"/>
      <c r="F341" s="3" t="str">
        <f aca="false">IFERROR(__xludf.dummyfunction("if($T341&lt;&gt;"""",REGEXEXTRACT(SUBSTITUTE ($T341,F$1&amp;"" CE"",""""), F$1&amp;""[\w &amp;]*, (\d+\.\d+)""),"""")
"),"")</f>
        <v/>
      </c>
      <c r="G341" s="3" t="str">
        <f aca="false">IFERROR(__xludf.dummyfunction("if($T341&lt;&gt;"""",REGEXEXTRACT($T341, G$1&amp;""[\w &amp;]*, (\d+\.\d+)""),"""")
"),"")</f>
        <v/>
      </c>
      <c r="H341" s="3"/>
      <c r="I341" s="3" t="str">
        <f aca="false">IFERROR(__xludf.dummyfunction("if($T341&lt;&gt;"""",REGEXEXTRACT(SUBSTITUTE ($T341,I$1&amp;"" CE"",""""), I$1&amp;""[\w &amp;]*, (\d+\.\d+)""),"""")
"),"")</f>
        <v/>
      </c>
      <c r="J341" s="3" t="str">
        <f aca="false">IFERROR(__xludf.dummyfunction("if($T341&lt;&gt;"""",REGEXEXTRACT($T341, J$1&amp;""[\w &amp;]*, (\d+\.\d+)""),"""")
"),"")</f>
        <v/>
      </c>
      <c r="K341" s="3"/>
      <c r="L341" s="3" t="str">
        <f aca="false">IFERROR(__xludf.dummyfunction("if($T341&lt;&gt;"""",REGEXEXTRACT(SUBSTITUTE ($T341,L$1&amp;"" CE"",""""), L$1&amp;""[\w &amp;]*, (\d+\.\d+)""),"""")
"),"")</f>
        <v/>
      </c>
      <c r="M341" s="3" t="str">
        <f aca="false">IFERROR(__xludf.dummyfunction("if($T341&lt;&gt;"""",REGEXEXTRACT($T341, M$1&amp;""[\w &amp;]*, (\d+\.\d+)""),"""")
"),"")</f>
        <v/>
      </c>
      <c r="N341" s="3" t="str">
        <f aca="false">IFERROR(__xludf.dummyfunction("if($T341&lt;&gt;"""",REGEXEXTRACT(SUBSTITUTE ($T341,N$1&amp;"" CE"",""""), N$1&amp;""[\w &amp;]*, (\d+\.\d+)""),"""")
"),"")</f>
        <v/>
      </c>
      <c r="O341" s="3" t="str">
        <f aca="false">IFERROR(__xludf.dummyfunction("if($T341&lt;&gt;"""",REGEXEXTRACT($T341, O$1&amp;""[\w &amp;]*, (\d+\.\d+)""),"""")
"),"")</f>
        <v/>
      </c>
      <c r="P341" s="2"/>
      <c r="Q341" s="2"/>
      <c r="R341" s="2"/>
      <c r="S341" s="2"/>
      <c r="T341" s="5"/>
    </row>
    <row r="342" customFormat="false" ht="15.75" hidden="false" customHeight="false" outlineLevel="0" collapsed="false">
      <c r="A342" s="4"/>
      <c r="B342" s="2"/>
      <c r="C342" s="2"/>
      <c r="D342" s="2"/>
      <c r="E342" s="2"/>
      <c r="F342" s="3" t="str">
        <f aca="false">IFERROR(__xludf.dummyfunction("if($T342&lt;&gt;"""",REGEXEXTRACT(SUBSTITUTE ($T342,F$1&amp;"" CE"",""""), F$1&amp;""[\w &amp;]*, (\d+\.\d+)""),"""")
"),"")</f>
        <v/>
      </c>
      <c r="G342" s="3" t="str">
        <f aca="false">IFERROR(__xludf.dummyfunction("if($T342&lt;&gt;"""",REGEXEXTRACT($T342, G$1&amp;""[\w &amp;]*, (\d+\.\d+)""),"""")
"),"")</f>
        <v/>
      </c>
      <c r="H342" s="3"/>
      <c r="I342" s="3" t="str">
        <f aca="false">IFERROR(__xludf.dummyfunction("if($T342&lt;&gt;"""",REGEXEXTRACT(SUBSTITUTE ($T342,I$1&amp;"" CE"",""""), I$1&amp;""[\w &amp;]*, (\d+\.\d+)""),"""")
"),"")</f>
        <v/>
      </c>
      <c r="J342" s="3" t="str">
        <f aca="false">IFERROR(__xludf.dummyfunction("if($T342&lt;&gt;"""",REGEXEXTRACT($T342, J$1&amp;""[\w &amp;]*, (\d+\.\d+)""),"""")
"),"")</f>
        <v/>
      </c>
      <c r="K342" s="3"/>
      <c r="L342" s="3" t="str">
        <f aca="false">IFERROR(__xludf.dummyfunction("if($T342&lt;&gt;"""",REGEXEXTRACT(SUBSTITUTE ($T342,L$1&amp;"" CE"",""""), L$1&amp;""[\w &amp;]*, (\d+\.\d+)""),"""")
"),"")</f>
        <v/>
      </c>
      <c r="M342" s="3" t="str">
        <f aca="false">IFERROR(__xludf.dummyfunction("if($T342&lt;&gt;"""",REGEXEXTRACT($T342, M$1&amp;""[\w &amp;]*, (\d+\.\d+)""),"""")
"),"")</f>
        <v/>
      </c>
      <c r="N342" s="3" t="str">
        <f aca="false">IFERROR(__xludf.dummyfunction("if($T342&lt;&gt;"""",REGEXEXTRACT(SUBSTITUTE ($T342,N$1&amp;"" CE"",""""), N$1&amp;""[\w &amp;]*, (\d+\.\d+)""),"""")
"),"")</f>
        <v/>
      </c>
      <c r="O342" s="3" t="str">
        <f aca="false">IFERROR(__xludf.dummyfunction("if($T342&lt;&gt;"""",REGEXEXTRACT($T342, O$1&amp;""[\w &amp;]*, (\d+\.\d+)""),"""")
"),"")</f>
        <v/>
      </c>
      <c r="P342" s="2"/>
      <c r="Q342" s="2"/>
      <c r="R342" s="2"/>
      <c r="S342" s="2"/>
      <c r="T342" s="5"/>
    </row>
    <row r="343" customFormat="false" ht="15.75" hidden="false" customHeight="false" outlineLevel="0" collapsed="false">
      <c r="A343" s="4"/>
      <c r="B343" s="2"/>
      <c r="C343" s="2"/>
      <c r="D343" s="2"/>
      <c r="E343" s="2"/>
      <c r="F343" s="3" t="str">
        <f aca="false">IFERROR(__xludf.dummyfunction("if($T343&lt;&gt;"""",REGEXEXTRACT(SUBSTITUTE ($T343,F$1&amp;"" CE"",""""), F$1&amp;""[\w &amp;]*, (\d+\.\d+)""),"""")
"),"")</f>
        <v/>
      </c>
      <c r="G343" s="3" t="str">
        <f aca="false">IFERROR(__xludf.dummyfunction("if($T343&lt;&gt;"""",REGEXEXTRACT($T343, G$1&amp;""[\w &amp;]*, (\d+\.\d+)""),"""")
"),"")</f>
        <v/>
      </c>
      <c r="H343" s="3"/>
      <c r="I343" s="3" t="str">
        <f aca="false">IFERROR(__xludf.dummyfunction("if($T343&lt;&gt;"""",REGEXEXTRACT(SUBSTITUTE ($T343,I$1&amp;"" CE"",""""), I$1&amp;""[\w &amp;]*, (\d+\.\d+)""),"""")
"),"")</f>
        <v/>
      </c>
      <c r="J343" s="3" t="str">
        <f aca="false">IFERROR(__xludf.dummyfunction("if($T343&lt;&gt;"""",REGEXEXTRACT($T343, J$1&amp;""[\w &amp;]*, (\d+\.\d+)""),"""")
"),"")</f>
        <v/>
      </c>
      <c r="K343" s="3"/>
      <c r="L343" s="3" t="str">
        <f aca="false">IFERROR(__xludf.dummyfunction("if($T343&lt;&gt;"""",REGEXEXTRACT(SUBSTITUTE ($T343,L$1&amp;"" CE"",""""), L$1&amp;""[\w &amp;]*, (\d+\.\d+)""),"""")
"),"")</f>
        <v/>
      </c>
      <c r="M343" s="3" t="str">
        <f aca="false">IFERROR(__xludf.dummyfunction("if($T343&lt;&gt;"""",REGEXEXTRACT($T343, M$1&amp;""[\w &amp;]*, (\d+\.\d+)""),"""")
"),"")</f>
        <v/>
      </c>
      <c r="N343" s="3" t="str">
        <f aca="false">IFERROR(__xludf.dummyfunction("if($T343&lt;&gt;"""",REGEXEXTRACT(SUBSTITUTE ($T343,N$1&amp;"" CE"",""""), N$1&amp;""[\w &amp;]*, (\d+\.\d+)""),"""")
"),"")</f>
        <v/>
      </c>
      <c r="O343" s="3" t="str">
        <f aca="false">IFERROR(__xludf.dummyfunction("if($T343&lt;&gt;"""",REGEXEXTRACT($T343, O$1&amp;""[\w &amp;]*, (\d+\.\d+)""),"""")
"),"")</f>
        <v/>
      </c>
      <c r="P343" s="2"/>
      <c r="Q343" s="2"/>
      <c r="R343" s="2"/>
      <c r="S343" s="2"/>
      <c r="T343" s="5"/>
    </row>
    <row r="344" customFormat="false" ht="15.75" hidden="false" customHeight="false" outlineLevel="0" collapsed="false">
      <c r="A344" s="4"/>
      <c r="B344" s="2"/>
      <c r="C344" s="2"/>
      <c r="D344" s="2"/>
      <c r="E344" s="2"/>
      <c r="F344" s="3" t="str">
        <f aca="false">IFERROR(__xludf.dummyfunction("if($T344&lt;&gt;"""",REGEXEXTRACT(SUBSTITUTE ($T344,F$1&amp;"" CE"",""""), F$1&amp;""[\w &amp;]*, (\d+\.\d+)""),"""")
"),"")</f>
        <v/>
      </c>
      <c r="G344" s="3" t="str">
        <f aca="false">IFERROR(__xludf.dummyfunction("if($T344&lt;&gt;"""",REGEXEXTRACT($T344, G$1&amp;""[\w &amp;]*, (\d+\.\d+)""),"""")
"),"")</f>
        <v/>
      </c>
      <c r="H344" s="3"/>
      <c r="I344" s="3" t="str">
        <f aca="false">IFERROR(__xludf.dummyfunction("if($T344&lt;&gt;"""",REGEXEXTRACT(SUBSTITUTE ($T344,I$1&amp;"" CE"",""""), I$1&amp;""[\w &amp;]*, (\d+\.\d+)""),"""")
"),"")</f>
        <v/>
      </c>
      <c r="J344" s="3" t="str">
        <f aca="false">IFERROR(__xludf.dummyfunction("if($T344&lt;&gt;"""",REGEXEXTRACT($T344, J$1&amp;""[\w &amp;]*, (\d+\.\d+)""),"""")
"),"")</f>
        <v/>
      </c>
      <c r="K344" s="3"/>
      <c r="L344" s="3" t="str">
        <f aca="false">IFERROR(__xludf.dummyfunction("if($T344&lt;&gt;"""",REGEXEXTRACT(SUBSTITUTE ($T344,L$1&amp;"" CE"",""""), L$1&amp;""[\w &amp;]*, (\d+\.\d+)""),"""")
"),"")</f>
        <v/>
      </c>
      <c r="M344" s="3" t="str">
        <f aca="false">IFERROR(__xludf.dummyfunction("if($T344&lt;&gt;"""",REGEXEXTRACT($T344, M$1&amp;""[\w &amp;]*, (\d+\.\d+)""),"""")
"),"")</f>
        <v/>
      </c>
      <c r="N344" s="3" t="str">
        <f aca="false">IFERROR(__xludf.dummyfunction("if($T344&lt;&gt;"""",REGEXEXTRACT(SUBSTITUTE ($T344,N$1&amp;"" CE"",""""), N$1&amp;""[\w &amp;]*, (\d+\.\d+)""),"""")
"),"")</f>
        <v/>
      </c>
      <c r="O344" s="3" t="str">
        <f aca="false">IFERROR(__xludf.dummyfunction("if($T344&lt;&gt;"""",REGEXEXTRACT($T344, O$1&amp;""[\w &amp;]*, (\d+\.\d+)""),"""")
"),"")</f>
        <v/>
      </c>
      <c r="P344" s="2"/>
      <c r="Q344" s="2"/>
      <c r="R344" s="2"/>
      <c r="S344" s="2"/>
      <c r="T344" s="5"/>
    </row>
    <row r="345" customFormat="false" ht="15.75" hidden="false" customHeight="false" outlineLevel="0" collapsed="false">
      <c r="A345" s="4"/>
      <c r="B345" s="2"/>
      <c r="C345" s="2"/>
      <c r="D345" s="2"/>
      <c r="E345" s="2"/>
      <c r="F345" s="3" t="str">
        <f aca="false">IFERROR(__xludf.dummyfunction("if($T345&lt;&gt;"""",REGEXEXTRACT(SUBSTITUTE ($T345,F$1&amp;"" CE"",""""), F$1&amp;""[\w &amp;]*, (\d+\.\d+)""),"""")
"),"")</f>
        <v/>
      </c>
      <c r="G345" s="3" t="str">
        <f aca="false">IFERROR(__xludf.dummyfunction("if($T345&lt;&gt;"""",REGEXEXTRACT($T345, G$1&amp;""[\w &amp;]*, (\d+\.\d+)""),"""")
"),"")</f>
        <v/>
      </c>
      <c r="H345" s="3"/>
      <c r="I345" s="3" t="str">
        <f aca="false">IFERROR(__xludf.dummyfunction("if($T345&lt;&gt;"""",REGEXEXTRACT(SUBSTITUTE ($T345,I$1&amp;"" CE"",""""), I$1&amp;""[\w &amp;]*, (\d+\.\d+)""),"""")
"),"")</f>
        <v/>
      </c>
      <c r="J345" s="3" t="str">
        <f aca="false">IFERROR(__xludf.dummyfunction("if($T345&lt;&gt;"""",REGEXEXTRACT($T345, J$1&amp;""[\w &amp;]*, (\d+\.\d+)""),"""")
"),"")</f>
        <v/>
      </c>
      <c r="K345" s="3"/>
      <c r="L345" s="3" t="str">
        <f aca="false">IFERROR(__xludf.dummyfunction("if($T345&lt;&gt;"""",REGEXEXTRACT(SUBSTITUTE ($T345,L$1&amp;"" CE"",""""), L$1&amp;""[\w &amp;]*, (\d+\.\d+)""),"""")
"),"")</f>
        <v/>
      </c>
      <c r="M345" s="3" t="str">
        <f aca="false">IFERROR(__xludf.dummyfunction("if($T345&lt;&gt;"""",REGEXEXTRACT($T345, M$1&amp;""[\w &amp;]*, (\d+\.\d+)""),"""")
"),"")</f>
        <v/>
      </c>
      <c r="N345" s="3" t="str">
        <f aca="false">IFERROR(__xludf.dummyfunction("if($T345&lt;&gt;"""",REGEXEXTRACT(SUBSTITUTE ($T345,N$1&amp;"" CE"",""""), N$1&amp;""[\w &amp;]*, (\d+\.\d+)""),"""")
"),"")</f>
        <v/>
      </c>
      <c r="O345" s="3" t="str">
        <f aca="false">IFERROR(__xludf.dummyfunction("if($T345&lt;&gt;"""",REGEXEXTRACT($T345, O$1&amp;""[\w &amp;]*, (\d+\.\d+)""),"""")
"),"")</f>
        <v/>
      </c>
      <c r="P345" s="2"/>
      <c r="Q345" s="2"/>
      <c r="R345" s="2"/>
      <c r="S345" s="2"/>
      <c r="T345" s="5"/>
    </row>
    <row r="346" customFormat="false" ht="15.75" hidden="false" customHeight="false" outlineLevel="0" collapsed="false">
      <c r="A346" s="4"/>
      <c r="B346" s="2"/>
      <c r="C346" s="2"/>
      <c r="D346" s="2"/>
      <c r="E346" s="2"/>
      <c r="F346" s="3" t="str">
        <f aca="false">IFERROR(__xludf.dummyfunction("if($T346&lt;&gt;"""",REGEXEXTRACT(SUBSTITUTE ($T346,F$1&amp;"" CE"",""""), F$1&amp;""[\w &amp;]*, (\d+\.\d+)""),"""")
"),"")</f>
        <v/>
      </c>
      <c r="G346" s="3" t="str">
        <f aca="false">IFERROR(__xludf.dummyfunction("if($T346&lt;&gt;"""",REGEXEXTRACT($T346, G$1&amp;""[\w &amp;]*, (\d+\.\d+)""),"""")
"),"")</f>
        <v/>
      </c>
      <c r="H346" s="3"/>
      <c r="I346" s="3" t="str">
        <f aca="false">IFERROR(__xludf.dummyfunction("if($T346&lt;&gt;"""",REGEXEXTRACT(SUBSTITUTE ($T346,I$1&amp;"" CE"",""""), I$1&amp;""[\w &amp;]*, (\d+\.\d+)""),"""")
"),"")</f>
        <v/>
      </c>
      <c r="J346" s="3" t="str">
        <f aca="false">IFERROR(__xludf.dummyfunction("if($T346&lt;&gt;"""",REGEXEXTRACT($T346, J$1&amp;""[\w &amp;]*, (\d+\.\d+)""),"""")
"),"")</f>
        <v/>
      </c>
      <c r="K346" s="3"/>
      <c r="L346" s="3" t="str">
        <f aca="false">IFERROR(__xludf.dummyfunction("if($T346&lt;&gt;"""",REGEXEXTRACT(SUBSTITUTE ($T346,L$1&amp;"" CE"",""""), L$1&amp;""[\w &amp;]*, (\d+\.\d+)""),"""")
"),"")</f>
        <v/>
      </c>
      <c r="M346" s="3" t="str">
        <f aca="false">IFERROR(__xludf.dummyfunction("if($T346&lt;&gt;"""",REGEXEXTRACT($T346, M$1&amp;""[\w &amp;]*, (\d+\.\d+)""),"""")
"),"")</f>
        <v/>
      </c>
      <c r="N346" s="3" t="str">
        <f aca="false">IFERROR(__xludf.dummyfunction("if($T346&lt;&gt;"""",REGEXEXTRACT(SUBSTITUTE ($T346,N$1&amp;"" CE"",""""), N$1&amp;""[\w &amp;]*, (\d+\.\d+)""),"""")
"),"")</f>
        <v/>
      </c>
      <c r="O346" s="3" t="str">
        <f aca="false">IFERROR(__xludf.dummyfunction("if($T346&lt;&gt;"""",REGEXEXTRACT($T346, O$1&amp;""[\w &amp;]*, (\d+\.\d+)""),"""")
"),"")</f>
        <v/>
      </c>
      <c r="P346" s="2"/>
      <c r="Q346" s="2"/>
      <c r="R346" s="2"/>
      <c r="S346" s="2"/>
      <c r="T346" s="5"/>
    </row>
    <row r="347" customFormat="false" ht="15.75" hidden="false" customHeight="false" outlineLevel="0" collapsed="false">
      <c r="A347" s="4"/>
      <c r="B347" s="2"/>
      <c r="C347" s="2"/>
      <c r="D347" s="2"/>
      <c r="E347" s="2"/>
      <c r="F347" s="3" t="str">
        <f aca="false">IFERROR(__xludf.dummyfunction("if($T347&lt;&gt;"""",REGEXEXTRACT(SUBSTITUTE ($T347,F$1&amp;"" CE"",""""), F$1&amp;""[\w &amp;]*, (\d+\.\d+)""),"""")
"),"")</f>
        <v/>
      </c>
      <c r="G347" s="3" t="str">
        <f aca="false">IFERROR(__xludf.dummyfunction("if($T347&lt;&gt;"""",REGEXEXTRACT($T347, G$1&amp;""[\w &amp;]*, (\d+\.\d+)""),"""")
"),"")</f>
        <v/>
      </c>
      <c r="H347" s="3"/>
      <c r="I347" s="3" t="str">
        <f aca="false">IFERROR(__xludf.dummyfunction("if($T347&lt;&gt;"""",REGEXEXTRACT(SUBSTITUTE ($T347,I$1&amp;"" CE"",""""), I$1&amp;""[\w &amp;]*, (\d+\.\d+)""),"""")
"),"")</f>
        <v/>
      </c>
      <c r="J347" s="3" t="str">
        <f aca="false">IFERROR(__xludf.dummyfunction("if($T347&lt;&gt;"""",REGEXEXTRACT($T347, J$1&amp;""[\w &amp;]*, (\d+\.\d+)""),"""")
"),"")</f>
        <v/>
      </c>
      <c r="K347" s="3"/>
      <c r="L347" s="3" t="str">
        <f aca="false">IFERROR(__xludf.dummyfunction("if($T347&lt;&gt;"""",REGEXEXTRACT(SUBSTITUTE ($T347,L$1&amp;"" CE"",""""), L$1&amp;""[\w &amp;]*, (\d+\.\d+)""),"""")
"),"")</f>
        <v/>
      </c>
      <c r="M347" s="3" t="str">
        <f aca="false">IFERROR(__xludf.dummyfunction("if($T347&lt;&gt;"""",REGEXEXTRACT($T347, M$1&amp;""[\w &amp;]*, (\d+\.\d+)""),"""")
"),"")</f>
        <v/>
      </c>
      <c r="N347" s="3" t="str">
        <f aca="false">IFERROR(__xludf.dummyfunction("if($T347&lt;&gt;"""",REGEXEXTRACT(SUBSTITUTE ($T347,N$1&amp;"" CE"",""""), N$1&amp;""[\w &amp;]*, (\d+\.\d+)""),"""")
"),"")</f>
        <v/>
      </c>
      <c r="O347" s="3" t="str">
        <f aca="false">IFERROR(__xludf.dummyfunction("if($T347&lt;&gt;"""",REGEXEXTRACT($T347, O$1&amp;""[\w &amp;]*, (\d+\.\d+)""),"""")
"),"")</f>
        <v/>
      </c>
      <c r="P347" s="2"/>
      <c r="Q347" s="2"/>
      <c r="R347" s="2"/>
      <c r="S347" s="2"/>
      <c r="T347" s="5"/>
    </row>
    <row r="348" customFormat="false" ht="15.75" hidden="false" customHeight="false" outlineLevel="0" collapsed="false">
      <c r="A348" s="4"/>
      <c r="B348" s="2"/>
      <c r="C348" s="2"/>
      <c r="D348" s="2"/>
      <c r="E348" s="2"/>
      <c r="F348" s="3" t="str">
        <f aca="false">IFERROR(__xludf.dummyfunction("if($T348&lt;&gt;"""",REGEXEXTRACT(SUBSTITUTE ($T348,F$1&amp;"" CE"",""""), F$1&amp;""[\w &amp;]*, (\d+\.\d+)""),"""")
"),"")</f>
        <v/>
      </c>
      <c r="G348" s="3" t="str">
        <f aca="false">IFERROR(__xludf.dummyfunction("if($T348&lt;&gt;"""",REGEXEXTRACT($T348, G$1&amp;""[\w &amp;]*, (\d+\.\d+)""),"""")
"),"")</f>
        <v/>
      </c>
      <c r="H348" s="3"/>
      <c r="I348" s="3" t="str">
        <f aca="false">IFERROR(__xludf.dummyfunction("if($T348&lt;&gt;"""",REGEXEXTRACT(SUBSTITUTE ($T348,I$1&amp;"" CE"",""""), I$1&amp;""[\w &amp;]*, (\d+\.\d+)""),"""")
"),"")</f>
        <v/>
      </c>
      <c r="J348" s="3" t="str">
        <f aca="false">IFERROR(__xludf.dummyfunction("if($T348&lt;&gt;"""",REGEXEXTRACT($T348, J$1&amp;""[\w &amp;]*, (\d+\.\d+)""),"""")
"),"")</f>
        <v/>
      </c>
      <c r="K348" s="3"/>
      <c r="L348" s="3" t="str">
        <f aca="false">IFERROR(__xludf.dummyfunction("if($T348&lt;&gt;"""",REGEXEXTRACT(SUBSTITUTE ($T348,L$1&amp;"" CE"",""""), L$1&amp;""[\w &amp;]*, (\d+\.\d+)""),"""")
"),"")</f>
        <v/>
      </c>
      <c r="M348" s="3" t="str">
        <f aca="false">IFERROR(__xludf.dummyfunction("if($T348&lt;&gt;"""",REGEXEXTRACT($T348, M$1&amp;""[\w &amp;]*, (\d+\.\d+)""),"""")
"),"")</f>
        <v/>
      </c>
      <c r="N348" s="3" t="str">
        <f aca="false">IFERROR(__xludf.dummyfunction("if($T348&lt;&gt;"""",REGEXEXTRACT(SUBSTITUTE ($T348,N$1&amp;"" CE"",""""), N$1&amp;""[\w &amp;]*, (\d+\.\d+)""),"""")
"),"")</f>
        <v/>
      </c>
      <c r="O348" s="3" t="str">
        <f aca="false">IFERROR(__xludf.dummyfunction("if($T348&lt;&gt;"""",REGEXEXTRACT($T348, O$1&amp;""[\w &amp;]*, (\d+\.\d+)""),"""")
"),"")</f>
        <v/>
      </c>
      <c r="P348" s="2"/>
      <c r="Q348" s="2"/>
      <c r="R348" s="2"/>
      <c r="S348" s="2"/>
      <c r="T348" s="5"/>
    </row>
    <row r="349" customFormat="false" ht="15.75" hidden="false" customHeight="false" outlineLevel="0" collapsed="false">
      <c r="A349" s="4"/>
      <c r="B349" s="2"/>
      <c r="C349" s="2"/>
      <c r="D349" s="2"/>
      <c r="E349" s="2"/>
      <c r="F349" s="3" t="str">
        <f aca="false">IFERROR(__xludf.dummyfunction("if($T349&lt;&gt;"""",REGEXEXTRACT(SUBSTITUTE ($T349,F$1&amp;"" CE"",""""), F$1&amp;""[\w &amp;]*, (\d+\.\d+)""),"""")
"),"")</f>
        <v/>
      </c>
      <c r="G349" s="3" t="str">
        <f aca="false">IFERROR(__xludf.dummyfunction("if($T349&lt;&gt;"""",REGEXEXTRACT($T349, G$1&amp;""[\w &amp;]*, (\d+\.\d+)""),"""")
"),"")</f>
        <v/>
      </c>
      <c r="H349" s="3"/>
      <c r="I349" s="3" t="str">
        <f aca="false">IFERROR(__xludf.dummyfunction("if($T349&lt;&gt;"""",REGEXEXTRACT(SUBSTITUTE ($T349,I$1&amp;"" CE"",""""), I$1&amp;""[\w &amp;]*, (\d+\.\d+)""),"""")
"),"")</f>
        <v/>
      </c>
      <c r="J349" s="3" t="str">
        <f aca="false">IFERROR(__xludf.dummyfunction("if($T349&lt;&gt;"""",REGEXEXTRACT($T349, J$1&amp;""[\w &amp;]*, (\d+\.\d+)""),"""")
"),"")</f>
        <v/>
      </c>
      <c r="K349" s="3"/>
      <c r="L349" s="3" t="str">
        <f aca="false">IFERROR(__xludf.dummyfunction("if($T349&lt;&gt;"""",REGEXEXTRACT(SUBSTITUTE ($T349,L$1&amp;"" CE"",""""), L$1&amp;""[\w &amp;]*, (\d+\.\d+)""),"""")
"),"")</f>
        <v/>
      </c>
      <c r="M349" s="3" t="str">
        <f aca="false">IFERROR(__xludf.dummyfunction("if($T349&lt;&gt;"""",REGEXEXTRACT($T349, M$1&amp;""[\w &amp;]*, (\d+\.\d+)""),"""")
"),"")</f>
        <v/>
      </c>
      <c r="N349" s="3" t="str">
        <f aca="false">IFERROR(__xludf.dummyfunction("if($T349&lt;&gt;"""",REGEXEXTRACT(SUBSTITUTE ($T349,N$1&amp;"" CE"",""""), N$1&amp;""[\w &amp;]*, (\d+\.\d+)""),"""")
"),"")</f>
        <v/>
      </c>
      <c r="O349" s="3" t="str">
        <f aca="false">IFERROR(__xludf.dummyfunction("if($T349&lt;&gt;"""",REGEXEXTRACT($T349, O$1&amp;""[\w &amp;]*, (\d+\.\d+)""),"""")
"),"")</f>
        <v/>
      </c>
      <c r="P349" s="2"/>
      <c r="Q349" s="2"/>
      <c r="R349" s="2"/>
      <c r="S349" s="2"/>
      <c r="T349" s="5"/>
    </row>
    <row r="350" customFormat="false" ht="15.75" hidden="false" customHeight="false" outlineLevel="0" collapsed="false">
      <c r="A350" s="4"/>
      <c r="B350" s="2"/>
      <c r="C350" s="2"/>
      <c r="D350" s="2"/>
      <c r="E350" s="2"/>
      <c r="F350" s="3" t="str">
        <f aca="false">IFERROR(__xludf.dummyfunction("if($T350&lt;&gt;"""",REGEXEXTRACT(SUBSTITUTE ($T350,F$1&amp;"" CE"",""""), F$1&amp;""[\w &amp;]*, (\d+\.\d+)""),"""")
"),"")</f>
        <v/>
      </c>
      <c r="G350" s="3" t="str">
        <f aca="false">IFERROR(__xludf.dummyfunction("if($T350&lt;&gt;"""",REGEXEXTRACT($T350, G$1&amp;""[\w &amp;]*, (\d+\.\d+)""),"""")
"),"")</f>
        <v/>
      </c>
      <c r="H350" s="3"/>
      <c r="I350" s="3" t="str">
        <f aca="false">IFERROR(__xludf.dummyfunction("if($T350&lt;&gt;"""",REGEXEXTRACT(SUBSTITUTE ($T350,I$1&amp;"" CE"",""""), I$1&amp;""[\w &amp;]*, (\d+\.\d+)""),"""")
"),"")</f>
        <v/>
      </c>
      <c r="J350" s="3" t="str">
        <f aca="false">IFERROR(__xludf.dummyfunction("if($T350&lt;&gt;"""",REGEXEXTRACT($T350, J$1&amp;""[\w &amp;]*, (\d+\.\d+)""),"""")
"),"")</f>
        <v/>
      </c>
      <c r="K350" s="3"/>
      <c r="L350" s="3" t="str">
        <f aca="false">IFERROR(__xludf.dummyfunction("if($T350&lt;&gt;"""",REGEXEXTRACT(SUBSTITUTE ($T350,L$1&amp;"" CE"",""""), L$1&amp;""[\w &amp;]*, (\d+\.\d+)""),"""")
"),"")</f>
        <v/>
      </c>
      <c r="M350" s="3" t="str">
        <f aca="false">IFERROR(__xludf.dummyfunction("if($T350&lt;&gt;"""",REGEXEXTRACT($T350, M$1&amp;""[\w &amp;]*, (\d+\.\d+)""),"""")
"),"")</f>
        <v/>
      </c>
      <c r="N350" s="3" t="str">
        <f aca="false">IFERROR(__xludf.dummyfunction("if($T350&lt;&gt;"""",REGEXEXTRACT(SUBSTITUTE ($T350,N$1&amp;"" CE"",""""), N$1&amp;""[\w &amp;]*, (\d+\.\d+)""),"""")
"),"")</f>
        <v/>
      </c>
      <c r="O350" s="3" t="str">
        <f aca="false">IFERROR(__xludf.dummyfunction("if($T350&lt;&gt;"""",REGEXEXTRACT($T350, O$1&amp;""[\w &amp;]*, (\d+\.\d+)""),"""")
"),"")</f>
        <v/>
      </c>
      <c r="P350" s="2"/>
      <c r="Q350" s="2"/>
      <c r="R350" s="2"/>
      <c r="S350" s="2"/>
      <c r="T350" s="5"/>
    </row>
    <row r="351" customFormat="false" ht="15.75" hidden="false" customHeight="false" outlineLevel="0" collapsed="false">
      <c r="A351" s="4"/>
      <c r="B351" s="2"/>
      <c r="C351" s="2"/>
      <c r="D351" s="2"/>
      <c r="E351" s="2"/>
      <c r="F351" s="3" t="str">
        <f aca="false">IFERROR(__xludf.dummyfunction("if($T351&lt;&gt;"""",REGEXEXTRACT(SUBSTITUTE ($T351,F$1&amp;"" CE"",""""), F$1&amp;""[\w &amp;]*, (\d+\.\d+)""),"""")
"),"")</f>
        <v/>
      </c>
      <c r="G351" s="3" t="str">
        <f aca="false">IFERROR(__xludf.dummyfunction("if($T351&lt;&gt;"""",REGEXEXTRACT($T351, G$1&amp;""[\w &amp;]*, (\d+\.\d+)""),"""")
"),"")</f>
        <v/>
      </c>
      <c r="H351" s="3"/>
      <c r="I351" s="3" t="str">
        <f aca="false">IFERROR(__xludf.dummyfunction("if($T351&lt;&gt;"""",REGEXEXTRACT(SUBSTITUTE ($T351,I$1&amp;"" CE"",""""), I$1&amp;""[\w &amp;]*, (\d+\.\d+)""),"""")
"),"")</f>
        <v/>
      </c>
      <c r="J351" s="3" t="str">
        <f aca="false">IFERROR(__xludf.dummyfunction("if($T351&lt;&gt;"""",REGEXEXTRACT($T351, J$1&amp;""[\w &amp;]*, (\d+\.\d+)""),"""")
"),"")</f>
        <v/>
      </c>
      <c r="K351" s="3"/>
      <c r="L351" s="3" t="str">
        <f aca="false">IFERROR(__xludf.dummyfunction("if($T351&lt;&gt;"""",REGEXEXTRACT(SUBSTITUTE ($T351,L$1&amp;"" CE"",""""), L$1&amp;""[\w &amp;]*, (\d+\.\d+)""),"""")
"),"")</f>
        <v/>
      </c>
      <c r="M351" s="3" t="str">
        <f aca="false">IFERROR(__xludf.dummyfunction("if($T351&lt;&gt;"""",REGEXEXTRACT($T351, M$1&amp;""[\w &amp;]*, (\d+\.\d+)""),"""")
"),"")</f>
        <v/>
      </c>
      <c r="N351" s="3" t="str">
        <f aca="false">IFERROR(__xludf.dummyfunction("if($T351&lt;&gt;"""",REGEXEXTRACT(SUBSTITUTE ($T351,N$1&amp;"" CE"",""""), N$1&amp;""[\w &amp;]*, (\d+\.\d+)""),"""")
"),"")</f>
        <v/>
      </c>
      <c r="O351" s="3" t="str">
        <f aca="false">IFERROR(__xludf.dummyfunction("if($T351&lt;&gt;"""",REGEXEXTRACT($T351, O$1&amp;""[\w &amp;]*, (\d+\.\d+)""),"""")
"),"")</f>
        <v/>
      </c>
      <c r="P351" s="2"/>
      <c r="Q351" s="2"/>
      <c r="R351" s="2"/>
      <c r="S351" s="2"/>
      <c r="T351" s="5"/>
    </row>
    <row r="352" customFormat="false" ht="15.75" hidden="false" customHeight="false" outlineLevel="0" collapsed="false">
      <c r="A352" s="4"/>
      <c r="B352" s="2"/>
      <c r="C352" s="2"/>
      <c r="D352" s="2"/>
      <c r="E352" s="2"/>
      <c r="F352" s="3" t="str">
        <f aca="false">IFERROR(__xludf.dummyfunction("if($T352&lt;&gt;"""",REGEXEXTRACT(SUBSTITUTE ($T352,F$1&amp;"" CE"",""""), F$1&amp;""[\w &amp;]*, (\d+\.\d+)""),"""")
"),"")</f>
        <v/>
      </c>
      <c r="G352" s="3" t="str">
        <f aca="false">IFERROR(__xludf.dummyfunction("if($T352&lt;&gt;"""",REGEXEXTRACT($T352, G$1&amp;""[\w &amp;]*, (\d+\.\d+)""),"""")
"),"")</f>
        <v/>
      </c>
      <c r="H352" s="3"/>
      <c r="I352" s="3" t="str">
        <f aca="false">IFERROR(__xludf.dummyfunction("if($T352&lt;&gt;"""",REGEXEXTRACT(SUBSTITUTE ($T352,I$1&amp;"" CE"",""""), I$1&amp;""[\w &amp;]*, (\d+\.\d+)""),"""")
"),"")</f>
        <v/>
      </c>
      <c r="J352" s="3" t="str">
        <f aca="false">IFERROR(__xludf.dummyfunction("if($T352&lt;&gt;"""",REGEXEXTRACT($T352, J$1&amp;""[\w &amp;]*, (\d+\.\d+)""),"""")
"),"")</f>
        <v/>
      </c>
      <c r="K352" s="3"/>
      <c r="L352" s="3" t="str">
        <f aca="false">IFERROR(__xludf.dummyfunction("if($T352&lt;&gt;"""",REGEXEXTRACT(SUBSTITUTE ($T352,L$1&amp;"" CE"",""""), L$1&amp;""[\w &amp;]*, (\d+\.\d+)""),"""")
"),"")</f>
        <v/>
      </c>
      <c r="M352" s="3" t="str">
        <f aca="false">IFERROR(__xludf.dummyfunction("if($T352&lt;&gt;"""",REGEXEXTRACT($T352, M$1&amp;""[\w &amp;]*, (\d+\.\d+)""),"""")
"),"")</f>
        <v/>
      </c>
      <c r="N352" s="3" t="str">
        <f aca="false">IFERROR(__xludf.dummyfunction("if($T352&lt;&gt;"""",REGEXEXTRACT(SUBSTITUTE ($T352,N$1&amp;"" CE"",""""), N$1&amp;""[\w &amp;]*, (\d+\.\d+)""),"""")
"),"")</f>
        <v/>
      </c>
      <c r="O352" s="3" t="str">
        <f aca="false">IFERROR(__xludf.dummyfunction("if($T352&lt;&gt;"""",REGEXEXTRACT($T352, O$1&amp;""[\w &amp;]*, (\d+\.\d+)""),"""")
"),"")</f>
        <v/>
      </c>
      <c r="P352" s="2"/>
      <c r="Q352" s="2"/>
      <c r="R352" s="2"/>
      <c r="S352" s="2"/>
      <c r="T352" s="5"/>
    </row>
    <row r="353" customFormat="false" ht="15.75" hidden="false" customHeight="false" outlineLevel="0" collapsed="false">
      <c r="A353" s="4"/>
      <c r="B353" s="2"/>
      <c r="C353" s="2"/>
      <c r="D353" s="2"/>
      <c r="E353" s="2"/>
      <c r="F353" s="3" t="str">
        <f aca="false">IFERROR(__xludf.dummyfunction("if($T353&lt;&gt;"""",REGEXEXTRACT(SUBSTITUTE ($T353,F$1&amp;"" CE"",""""), F$1&amp;""[\w &amp;]*, (\d+\.\d+)""),"""")
"),"")</f>
        <v/>
      </c>
      <c r="G353" s="3" t="str">
        <f aca="false">IFERROR(__xludf.dummyfunction("if($T353&lt;&gt;"""",REGEXEXTRACT($T353, G$1&amp;""[\w &amp;]*, (\d+\.\d+)""),"""")
"),"")</f>
        <v/>
      </c>
      <c r="H353" s="3"/>
      <c r="I353" s="3" t="str">
        <f aca="false">IFERROR(__xludf.dummyfunction("if($T353&lt;&gt;"""",REGEXEXTRACT(SUBSTITUTE ($T353,I$1&amp;"" CE"",""""), I$1&amp;""[\w &amp;]*, (\d+\.\d+)""),"""")
"),"")</f>
        <v/>
      </c>
      <c r="J353" s="3" t="str">
        <f aca="false">IFERROR(__xludf.dummyfunction("if($T353&lt;&gt;"""",REGEXEXTRACT($T353, J$1&amp;""[\w &amp;]*, (\d+\.\d+)""),"""")
"),"")</f>
        <v/>
      </c>
      <c r="K353" s="3"/>
      <c r="L353" s="3" t="str">
        <f aca="false">IFERROR(__xludf.dummyfunction("if($T353&lt;&gt;"""",REGEXEXTRACT(SUBSTITUTE ($T353,L$1&amp;"" CE"",""""), L$1&amp;""[\w &amp;]*, (\d+\.\d+)""),"""")
"),"")</f>
        <v/>
      </c>
      <c r="M353" s="3" t="str">
        <f aca="false">IFERROR(__xludf.dummyfunction("if($T353&lt;&gt;"""",REGEXEXTRACT($T353, M$1&amp;""[\w &amp;]*, (\d+\.\d+)""),"""")
"),"")</f>
        <v/>
      </c>
      <c r="N353" s="3" t="str">
        <f aca="false">IFERROR(__xludf.dummyfunction("if($T353&lt;&gt;"""",REGEXEXTRACT(SUBSTITUTE ($T353,N$1&amp;"" CE"",""""), N$1&amp;""[\w &amp;]*, (\d+\.\d+)""),"""")
"),"")</f>
        <v/>
      </c>
      <c r="O353" s="3" t="str">
        <f aca="false">IFERROR(__xludf.dummyfunction("if($T353&lt;&gt;"""",REGEXEXTRACT($T353, O$1&amp;""[\w &amp;]*, (\d+\.\d+)""),"""")
"),"")</f>
        <v/>
      </c>
      <c r="P353" s="2"/>
      <c r="Q353" s="2"/>
      <c r="R353" s="2"/>
      <c r="S353" s="2"/>
      <c r="T353" s="5"/>
    </row>
    <row r="354" customFormat="false" ht="15.75" hidden="false" customHeight="false" outlineLevel="0" collapsed="false">
      <c r="A354" s="4"/>
      <c r="B354" s="2"/>
      <c r="C354" s="2"/>
      <c r="D354" s="2"/>
      <c r="E354" s="2"/>
      <c r="F354" s="3" t="str">
        <f aca="false">IFERROR(__xludf.dummyfunction("if($T354&lt;&gt;"""",REGEXEXTRACT(SUBSTITUTE ($T354,F$1&amp;"" CE"",""""), F$1&amp;""[\w &amp;]*, (\d+\.\d+)""),"""")
"),"")</f>
        <v/>
      </c>
      <c r="G354" s="3" t="str">
        <f aca="false">IFERROR(__xludf.dummyfunction("if($T354&lt;&gt;"""",REGEXEXTRACT($T354, G$1&amp;""[\w &amp;]*, (\d+\.\d+)""),"""")
"),"")</f>
        <v/>
      </c>
      <c r="H354" s="3"/>
      <c r="I354" s="3" t="str">
        <f aca="false">IFERROR(__xludf.dummyfunction("if($T354&lt;&gt;"""",REGEXEXTRACT(SUBSTITUTE ($T354,I$1&amp;"" CE"",""""), I$1&amp;""[\w &amp;]*, (\d+\.\d+)""),"""")
"),"")</f>
        <v/>
      </c>
      <c r="J354" s="3" t="str">
        <f aca="false">IFERROR(__xludf.dummyfunction("if($T354&lt;&gt;"""",REGEXEXTRACT($T354, J$1&amp;""[\w &amp;]*, (\d+\.\d+)""),"""")
"),"")</f>
        <v/>
      </c>
      <c r="K354" s="3"/>
      <c r="L354" s="3" t="str">
        <f aca="false">IFERROR(__xludf.dummyfunction("if($T354&lt;&gt;"""",REGEXEXTRACT(SUBSTITUTE ($T354,L$1&amp;"" CE"",""""), L$1&amp;""[\w &amp;]*, (\d+\.\d+)""),"""")
"),"")</f>
        <v/>
      </c>
      <c r="M354" s="3" t="str">
        <f aca="false">IFERROR(__xludf.dummyfunction("if($T354&lt;&gt;"""",REGEXEXTRACT($T354, M$1&amp;""[\w &amp;]*, (\d+\.\d+)""),"""")
"),"")</f>
        <v/>
      </c>
      <c r="N354" s="3" t="str">
        <f aca="false">IFERROR(__xludf.dummyfunction("if($T354&lt;&gt;"""",REGEXEXTRACT(SUBSTITUTE ($T354,N$1&amp;"" CE"",""""), N$1&amp;""[\w &amp;]*, (\d+\.\d+)""),"""")
"),"")</f>
        <v/>
      </c>
      <c r="O354" s="3" t="str">
        <f aca="false">IFERROR(__xludf.dummyfunction("if($T354&lt;&gt;"""",REGEXEXTRACT($T354, O$1&amp;""[\w &amp;]*, (\d+\.\d+)""),"""")
"),"")</f>
        <v/>
      </c>
      <c r="P354" s="2"/>
      <c r="Q354" s="2"/>
      <c r="R354" s="2"/>
      <c r="S354" s="2"/>
      <c r="T354" s="5"/>
    </row>
    <row r="355" customFormat="false" ht="15.75" hidden="false" customHeight="false" outlineLevel="0" collapsed="false">
      <c r="A355" s="4"/>
      <c r="B355" s="2"/>
      <c r="C355" s="2"/>
      <c r="D355" s="2"/>
      <c r="E355" s="2"/>
      <c r="F355" s="3" t="str">
        <f aca="false">IFERROR(__xludf.dummyfunction("if($T355&lt;&gt;"""",REGEXEXTRACT(SUBSTITUTE ($T355,F$1&amp;"" CE"",""""), F$1&amp;""[\w &amp;]*, (\d+\.\d+)""),"""")
"),"")</f>
        <v/>
      </c>
      <c r="G355" s="3" t="str">
        <f aca="false">IFERROR(__xludf.dummyfunction("if($T355&lt;&gt;"""",REGEXEXTRACT($T355, G$1&amp;""[\w &amp;]*, (\d+\.\d+)""),"""")
"),"")</f>
        <v/>
      </c>
      <c r="H355" s="3"/>
      <c r="I355" s="3" t="str">
        <f aca="false">IFERROR(__xludf.dummyfunction("if($T355&lt;&gt;"""",REGEXEXTRACT(SUBSTITUTE ($T355,I$1&amp;"" CE"",""""), I$1&amp;""[\w &amp;]*, (\d+\.\d+)""),"""")
"),"")</f>
        <v/>
      </c>
      <c r="J355" s="3" t="str">
        <f aca="false">IFERROR(__xludf.dummyfunction("if($T355&lt;&gt;"""",REGEXEXTRACT($T355, J$1&amp;""[\w &amp;]*, (\d+\.\d+)""),"""")
"),"")</f>
        <v/>
      </c>
      <c r="K355" s="3"/>
      <c r="L355" s="3" t="str">
        <f aca="false">IFERROR(__xludf.dummyfunction("if($T355&lt;&gt;"""",REGEXEXTRACT(SUBSTITUTE ($T355,L$1&amp;"" CE"",""""), L$1&amp;""[\w &amp;]*, (\d+\.\d+)""),"""")
"),"")</f>
        <v/>
      </c>
      <c r="M355" s="3" t="str">
        <f aca="false">IFERROR(__xludf.dummyfunction("if($T355&lt;&gt;"""",REGEXEXTRACT($T355, M$1&amp;""[\w &amp;]*, (\d+\.\d+)""),"""")
"),"")</f>
        <v/>
      </c>
      <c r="N355" s="3" t="str">
        <f aca="false">IFERROR(__xludf.dummyfunction("if($T355&lt;&gt;"""",REGEXEXTRACT(SUBSTITUTE ($T355,N$1&amp;"" CE"",""""), N$1&amp;""[\w &amp;]*, (\d+\.\d+)""),"""")
"),"")</f>
        <v/>
      </c>
      <c r="O355" s="3" t="str">
        <f aca="false">IFERROR(__xludf.dummyfunction("if($T355&lt;&gt;"""",REGEXEXTRACT($T355, O$1&amp;""[\w &amp;]*, (\d+\.\d+)""),"""")
"),"")</f>
        <v/>
      </c>
      <c r="P355" s="2"/>
      <c r="Q355" s="2"/>
      <c r="R355" s="2"/>
      <c r="S355" s="2"/>
      <c r="T355" s="5"/>
    </row>
    <row r="356" customFormat="false" ht="15.75" hidden="false" customHeight="false" outlineLevel="0" collapsed="false">
      <c r="A356" s="4"/>
      <c r="B356" s="2"/>
      <c r="C356" s="2"/>
      <c r="D356" s="2"/>
      <c r="E356" s="2"/>
      <c r="F356" s="3" t="str">
        <f aca="false">IFERROR(__xludf.dummyfunction("if($T356&lt;&gt;"""",REGEXEXTRACT(SUBSTITUTE ($T356,F$1&amp;"" CE"",""""), F$1&amp;""[\w &amp;]*, (\d+\.\d+)""),"""")
"),"")</f>
        <v/>
      </c>
      <c r="G356" s="3" t="str">
        <f aca="false">IFERROR(__xludf.dummyfunction("if($T356&lt;&gt;"""",REGEXEXTRACT($T356, G$1&amp;""[\w &amp;]*, (\d+\.\d+)""),"""")
"),"")</f>
        <v/>
      </c>
      <c r="H356" s="3"/>
      <c r="I356" s="3" t="str">
        <f aca="false">IFERROR(__xludf.dummyfunction("if($T356&lt;&gt;"""",REGEXEXTRACT(SUBSTITUTE ($T356,I$1&amp;"" CE"",""""), I$1&amp;""[\w &amp;]*, (\d+\.\d+)""),"""")
"),"")</f>
        <v/>
      </c>
      <c r="J356" s="3" t="str">
        <f aca="false">IFERROR(__xludf.dummyfunction("if($T356&lt;&gt;"""",REGEXEXTRACT($T356, J$1&amp;""[\w &amp;]*, (\d+\.\d+)""),"""")
"),"")</f>
        <v/>
      </c>
      <c r="K356" s="3"/>
      <c r="L356" s="3" t="str">
        <f aca="false">IFERROR(__xludf.dummyfunction("if($T356&lt;&gt;"""",REGEXEXTRACT(SUBSTITUTE ($T356,L$1&amp;"" CE"",""""), L$1&amp;""[\w &amp;]*, (\d+\.\d+)""),"""")
"),"")</f>
        <v/>
      </c>
      <c r="M356" s="3" t="str">
        <f aca="false">IFERROR(__xludf.dummyfunction("if($T356&lt;&gt;"""",REGEXEXTRACT($T356, M$1&amp;""[\w &amp;]*, (\d+\.\d+)""),"""")
"),"")</f>
        <v/>
      </c>
      <c r="N356" s="3" t="str">
        <f aca="false">IFERROR(__xludf.dummyfunction("if($T356&lt;&gt;"""",REGEXEXTRACT(SUBSTITUTE ($T356,N$1&amp;"" CE"",""""), N$1&amp;""[\w &amp;]*, (\d+\.\d+)""),"""")
"),"")</f>
        <v/>
      </c>
      <c r="O356" s="3" t="str">
        <f aca="false">IFERROR(__xludf.dummyfunction("if($T356&lt;&gt;"""",REGEXEXTRACT($T356, O$1&amp;""[\w &amp;]*, (\d+\.\d+)""),"""")
"),"")</f>
        <v/>
      </c>
      <c r="P356" s="2"/>
      <c r="Q356" s="2"/>
      <c r="R356" s="2"/>
      <c r="S356" s="2"/>
      <c r="T356" s="5"/>
    </row>
    <row r="357" customFormat="false" ht="15.75" hidden="false" customHeight="false" outlineLevel="0" collapsed="false">
      <c r="A357" s="4"/>
      <c r="B357" s="2"/>
      <c r="C357" s="2"/>
      <c r="D357" s="2"/>
      <c r="E357" s="2"/>
      <c r="F357" s="3" t="str">
        <f aca="false">IFERROR(__xludf.dummyfunction("if($T357&lt;&gt;"""",REGEXEXTRACT(SUBSTITUTE ($T357,F$1&amp;"" CE"",""""), F$1&amp;""[\w &amp;]*, (\d+\.\d+)""),"""")
"),"")</f>
        <v/>
      </c>
      <c r="G357" s="3" t="str">
        <f aca="false">IFERROR(__xludf.dummyfunction("if($T357&lt;&gt;"""",REGEXEXTRACT($T357, G$1&amp;""[\w &amp;]*, (\d+\.\d+)""),"""")
"),"")</f>
        <v/>
      </c>
      <c r="H357" s="3"/>
      <c r="I357" s="3" t="str">
        <f aca="false">IFERROR(__xludf.dummyfunction("if($T357&lt;&gt;"""",REGEXEXTRACT(SUBSTITUTE ($T357,I$1&amp;"" CE"",""""), I$1&amp;""[\w &amp;]*, (\d+\.\d+)""),"""")
"),"")</f>
        <v/>
      </c>
      <c r="J357" s="3" t="str">
        <f aca="false">IFERROR(__xludf.dummyfunction("if($T357&lt;&gt;"""",REGEXEXTRACT($T357, J$1&amp;""[\w &amp;]*, (\d+\.\d+)""),"""")
"),"")</f>
        <v/>
      </c>
      <c r="K357" s="3"/>
      <c r="L357" s="3" t="str">
        <f aca="false">IFERROR(__xludf.dummyfunction("if($T357&lt;&gt;"""",REGEXEXTRACT(SUBSTITUTE ($T357,L$1&amp;"" CE"",""""), L$1&amp;""[\w &amp;]*, (\d+\.\d+)""),"""")
"),"")</f>
        <v/>
      </c>
      <c r="M357" s="3" t="str">
        <f aca="false">IFERROR(__xludf.dummyfunction("if($T357&lt;&gt;"""",REGEXEXTRACT($T357, M$1&amp;""[\w &amp;]*, (\d+\.\d+)""),"""")
"),"")</f>
        <v/>
      </c>
      <c r="N357" s="3" t="str">
        <f aca="false">IFERROR(__xludf.dummyfunction("if($T357&lt;&gt;"""",REGEXEXTRACT(SUBSTITUTE ($T357,N$1&amp;"" CE"",""""), N$1&amp;""[\w &amp;]*, (\d+\.\d+)""),"""")
"),"")</f>
        <v/>
      </c>
      <c r="O357" s="3" t="str">
        <f aca="false">IFERROR(__xludf.dummyfunction("if($T357&lt;&gt;"""",REGEXEXTRACT($T357, O$1&amp;""[\w &amp;]*, (\d+\.\d+)""),"""")
"),"")</f>
        <v/>
      </c>
      <c r="P357" s="2"/>
      <c r="Q357" s="2"/>
      <c r="R357" s="2"/>
      <c r="S357" s="2"/>
      <c r="T357" s="5"/>
    </row>
    <row r="358" customFormat="false" ht="15.75" hidden="false" customHeight="false" outlineLevel="0" collapsed="false">
      <c r="A358" s="4"/>
      <c r="B358" s="2"/>
      <c r="C358" s="2"/>
      <c r="D358" s="2"/>
      <c r="E358" s="2"/>
      <c r="F358" s="3" t="str">
        <f aca="false">IFERROR(__xludf.dummyfunction("if($T358&lt;&gt;"""",REGEXEXTRACT(SUBSTITUTE ($T358,F$1&amp;"" CE"",""""), F$1&amp;""[\w &amp;]*, (\d+\.\d+)""),"""")
"),"")</f>
        <v/>
      </c>
      <c r="G358" s="3" t="str">
        <f aca="false">IFERROR(__xludf.dummyfunction("if($T358&lt;&gt;"""",REGEXEXTRACT($T358, G$1&amp;""[\w &amp;]*, (\d+\.\d+)""),"""")
"),"")</f>
        <v/>
      </c>
      <c r="H358" s="3"/>
      <c r="I358" s="3" t="str">
        <f aca="false">IFERROR(__xludf.dummyfunction("if($T358&lt;&gt;"""",REGEXEXTRACT(SUBSTITUTE ($T358,I$1&amp;"" CE"",""""), I$1&amp;""[\w &amp;]*, (\d+\.\d+)""),"""")
"),"")</f>
        <v/>
      </c>
      <c r="J358" s="3" t="str">
        <f aca="false">IFERROR(__xludf.dummyfunction("if($T358&lt;&gt;"""",REGEXEXTRACT($T358, J$1&amp;""[\w &amp;]*, (\d+\.\d+)""),"""")
"),"")</f>
        <v/>
      </c>
      <c r="K358" s="3"/>
      <c r="L358" s="3" t="str">
        <f aca="false">IFERROR(__xludf.dummyfunction("if($T358&lt;&gt;"""",REGEXEXTRACT(SUBSTITUTE ($T358,L$1&amp;"" CE"",""""), L$1&amp;""[\w &amp;]*, (\d+\.\d+)""),"""")
"),"")</f>
        <v/>
      </c>
      <c r="M358" s="3" t="str">
        <f aca="false">IFERROR(__xludf.dummyfunction("if($T358&lt;&gt;"""",REGEXEXTRACT($T358, M$1&amp;""[\w &amp;]*, (\d+\.\d+)""),"""")
"),"")</f>
        <v/>
      </c>
      <c r="N358" s="3" t="str">
        <f aca="false">IFERROR(__xludf.dummyfunction("if($T358&lt;&gt;"""",REGEXEXTRACT(SUBSTITUTE ($T358,N$1&amp;"" CE"",""""), N$1&amp;""[\w &amp;]*, (\d+\.\d+)""),"""")
"),"")</f>
        <v/>
      </c>
      <c r="O358" s="3" t="str">
        <f aca="false">IFERROR(__xludf.dummyfunction("if($T358&lt;&gt;"""",REGEXEXTRACT($T358, O$1&amp;""[\w &amp;]*, (\d+\.\d+)""),"""")
"),"")</f>
        <v/>
      </c>
      <c r="P358" s="2"/>
      <c r="Q358" s="2"/>
      <c r="R358" s="2"/>
      <c r="S358" s="2"/>
      <c r="T358" s="5"/>
    </row>
    <row r="359" customFormat="false" ht="15.75" hidden="false" customHeight="false" outlineLevel="0" collapsed="false">
      <c r="A359" s="4"/>
      <c r="B359" s="2"/>
      <c r="C359" s="2"/>
      <c r="D359" s="2"/>
      <c r="E359" s="2"/>
      <c r="F359" s="3" t="str">
        <f aca="false">IFERROR(__xludf.dummyfunction("if($T359&lt;&gt;"""",REGEXEXTRACT(SUBSTITUTE ($T359,F$1&amp;"" CE"",""""), F$1&amp;""[\w &amp;]*, (\d+\.\d+)""),"""")
"),"")</f>
        <v/>
      </c>
      <c r="G359" s="3" t="str">
        <f aca="false">IFERROR(__xludf.dummyfunction("if($T359&lt;&gt;"""",REGEXEXTRACT($T359, G$1&amp;""[\w &amp;]*, (\d+\.\d+)""),"""")
"),"")</f>
        <v/>
      </c>
      <c r="H359" s="3"/>
      <c r="I359" s="3" t="str">
        <f aca="false">IFERROR(__xludf.dummyfunction("if($T359&lt;&gt;"""",REGEXEXTRACT(SUBSTITUTE ($T359,I$1&amp;"" CE"",""""), I$1&amp;""[\w &amp;]*, (\d+\.\d+)""),"""")
"),"")</f>
        <v/>
      </c>
      <c r="J359" s="3" t="str">
        <f aca="false">IFERROR(__xludf.dummyfunction("if($T359&lt;&gt;"""",REGEXEXTRACT($T359, J$1&amp;""[\w &amp;]*, (\d+\.\d+)""),"""")
"),"")</f>
        <v/>
      </c>
      <c r="K359" s="3"/>
      <c r="L359" s="3" t="str">
        <f aca="false">IFERROR(__xludf.dummyfunction("if($T359&lt;&gt;"""",REGEXEXTRACT(SUBSTITUTE ($T359,L$1&amp;"" CE"",""""), L$1&amp;""[\w &amp;]*, (\d+\.\d+)""),"""")
"),"")</f>
        <v/>
      </c>
      <c r="M359" s="3" t="str">
        <f aca="false">IFERROR(__xludf.dummyfunction("if($T359&lt;&gt;"""",REGEXEXTRACT($T359, M$1&amp;""[\w &amp;]*, (\d+\.\d+)""),"""")
"),"")</f>
        <v/>
      </c>
      <c r="N359" s="3" t="str">
        <f aca="false">IFERROR(__xludf.dummyfunction("if($T359&lt;&gt;"""",REGEXEXTRACT(SUBSTITUTE ($T359,N$1&amp;"" CE"",""""), N$1&amp;""[\w &amp;]*, (\d+\.\d+)""),"""")
"),"")</f>
        <v/>
      </c>
      <c r="O359" s="3" t="str">
        <f aca="false">IFERROR(__xludf.dummyfunction("if($T359&lt;&gt;"""",REGEXEXTRACT($T359, O$1&amp;""[\w &amp;]*, (\d+\.\d+)""),"""")
"),"")</f>
        <v/>
      </c>
      <c r="P359" s="2"/>
      <c r="Q359" s="2"/>
      <c r="R359" s="2"/>
      <c r="S359" s="2"/>
      <c r="T359" s="5"/>
    </row>
    <row r="360" customFormat="false" ht="15.75" hidden="false" customHeight="false" outlineLevel="0" collapsed="false">
      <c r="A360" s="4"/>
      <c r="B360" s="2"/>
      <c r="C360" s="2"/>
      <c r="D360" s="2"/>
      <c r="E360" s="2"/>
      <c r="F360" s="3" t="str">
        <f aca="false">IFERROR(__xludf.dummyfunction("if($T360&lt;&gt;"""",REGEXEXTRACT(SUBSTITUTE ($T360,F$1&amp;"" CE"",""""), F$1&amp;""[\w &amp;]*, (\d+\.\d+)""),"""")
"),"")</f>
        <v/>
      </c>
      <c r="G360" s="3" t="str">
        <f aca="false">IFERROR(__xludf.dummyfunction("if($T360&lt;&gt;"""",REGEXEXTRACT($T360, G$1&amp;""[\w &amp;]*, (\d+\.\d+)""),"""")
"),"")</f>
        <v/>
      </c>
      <c r="H360" s="3"/>
      <c r="I360" s="3" t="str">
        <f aca="false">IFERROR(__xludf.dummyfunction("if($T360&lt;&gt;"""",REGEXEXTRACT(SUBSTITUTE ($T360,I$1&amp;"" CE"",""""), I$1&amp;""[\w &amp;]*, (\d+\.\d+)""),"""")
"),"")</f>
        <v/>
      </c>
      <c r="J360" s="3" t="str">
        <f aca="false">IFERROR(__xludf.dummyfunction("if($T360&lt;&gt;"""",REGEXEXTRACT($T360, J$1&amp;""[\w &amp;]*, (\d+\.\d+)""),"""")
"),"")</f>
        <v/>
      </c>
      <c r="K360" s="3"/>
      <c r="L360" s="3" t="str">
        <f aca="false">IFERROR(__xludf.dummyfunction("if($T360&lt;&gt;"""",REGEXEXTRACT(SUBSTITUTE ($T360,L$1&amp;"" CE"",""""), L$1&amp;""[\w &amp;]*, (\d+\.\d+)""),"""")
"),"")</f>
        <v/>
      </c>
      <c r="M360" s="3" t="str">
        <f aca="false">IFERROR(__xludf.dummyfunction("if($T360&lt;&gt;"""",REGEXEXTRACT($T360, M$1&amp;""[\w &amp;]*, (\d+\.\d+)""),"""")
"),"")</f>
        <v/>
      </c>
      <c r="N360" s="3" t="str">
        <f aca="false">IFERROR(__xludf.dummyfunction("if($T360&lt;&gt;"""",REGEXEXTRACT(SUBSTITUTE ($T360,N$1&amp;"" CE"",""""), N$1&amp;""[\w &amp;]*, (\d+\.\d+)""),"""")
"),"")</f>
        <v/>
      </c>
      <c r="O360" s="3" t="str">
        <f aca="false">IFERROR(__xludf.dummyfunction("if($T360&lt;&gt;"""",REGEXEXTRACT($T360, O$1&amp;""[\w &amp;]*, (\d+\.\d+)""),"""")
"),"")</f>
        <v/>
      </c>
      <c r="P360" s="2"/>
      <c r="Q360" s="2"/>
      <c r="R360" s="2"/>
      <c r="S360" s="2"/>
      <c r="T360" s="5"/>
    </row>
    <row r="361" customFormat="false" ht="15.75" hidden="false" customHeight="false" outlineLevel="0" collapsed="false">
      <c r="A361" s="4"/>
      <c r="B361" s="2"/>
      <c r="C361" s="2"/>
      <c r="D361" s="2"/>
      <c r="E361" s="2"/>
      <c r="F361" s="3" t="str">
        <f aca="false">IFERROR(__xludf.dummyfunction("if($T361&lt;&gt;"""",REGEXEXTRACT(SUBSTITUTE ($T361,F$1&amp;"" CE"",""""), F$1&amp;""[\w &amp;]*, (\d+\.\d+)""),"""")
"),"")</f>
        <v/>
      </c>
      <c r="G361" s="3" t="str">
        <f aca="false">IFERROR(__xludf.dummyfunction("if($T361&lt;&gt;"""",REGEXEXTRACT($T361, G$1&amp;""[\w &amp;]*, (\d+\.\d+)""),"""")
"),"")</f>
        <v/>
      </c>
      <c r="H361" s="3"/>
      <c r="I361" s="3" t="str">
        <f aca="false">IFERROR(__xludf.dummyfunction("if($T361&lt;&gt;"""",REGEXEXTRACT(SUBSTITUTE ($T361,I$1&amp;"" CE"",""""), I$1&amp;""[\w &amp;]*, (\d+\.\d+)""),"""")
"),"")</f>
        <v/>
      </c>
      <c r="J361" s="3" t="str">
        <f aca="false">IFERROR(__xludf.dummyfunction("if($T361&lt;&gt;"""",REGEXEXTRACT($T361, J$1&amp;""[\w &amp;]*, (\d+\.\d+)""),"""")
"),"")</f>
        <v/>
      </c>
      <c r="K361" s="3"/>
      <c r="L361" s="3" t="str">
        <f aca="false">IFERROR(__xludf.dummyfunction("if($T361&lt;&gt;"""",REGEXEXTRACT(SUBSTITUTE ($T361,L$1&amp;"" CE"",""""), L$1&amp;""[\w &amp;]*, (\d+\.\d+)""),"""")
"),"")</f>
        <v/>
      </c>
      <c r="M361" s="3" t="str">
        <f aca="false">IFERROR(__xludf.dummyfunction("if($T361&lt;&gt;"""",REGEXEXTRACT($T361, M$1&amp;""[\w &amp;]*, (\d+\.\d+)""),"""")
"),"")</f>
        <v/>
      </c>
      <c r="N361" s="3" t="str">
        <f aca="false">IFERROR(__xludf.dummyfunction("if($T361&lt;&gt;"""",REGEXEXTRACT(SUBSTITUTE ($T361,N$1&amp;"" CE"",""""), N$1&amp;""[\w &amp;]*, (\d+\.\d+)""),"""")
"),"")</f>
        <v/>
      </c>
      <c r="O361" s="3" t="str">
        <f aca="false">IFERROR(__xludf.dummyfunction("if($T361&lt;&gt;"""",REGEXEXTRACT($T361, O$1&amp;""[\w &amp;]*, (\d+\.\d+)""),"""")
"),"")</f>
        <v/>
      </c>
      <c r="P361" s="2"/>
      <c r="Q361" s="2"/>
      <c r="R361" s="2"/>
      <c r="S361" s="2"/>
      <c r="T361" s="5"/>
    </row>
    <row r="362" customFormat="false" ht="15.75" hidden="false" customHeight="false" outlineLevel="0" collapsed="false">
      <c r="A362" s="4"/>
      <c r="B362" s="2"/>
      <c r="C362" s="2"/>
      <c r="D362" s="2"/>
      <c r="E362" s="2"/>
      <c r="F362" s="3" t="str">
        <f aca="false">IFERROR(__xludf.dummyfunction("if($T362&lt;&gt;"""",REGEXEXTRACT(SUBSTITUTE ($T362,F$1&amp;"" CE"",""""), F$1&amp;""[\w &amp;]*, (\d+\.\d+)""),"""")
"),"")</f>
        <v/>
      </c>
      <c r="G362" s="3" t="str">
        <f aca="false">IFERROR(__xludf.dummyfunction("if($T362&lt;&gt;"""",REGEXEXTRACT($T362, G$1&amp;""[\w &amp;]*, (\d+\.\d+)""),"""")
"),"")</f>
        <v/>
      </c>
      <c r="H362" s="3"/>
      <c r="I362" s="3" t="str">
        <f aca="false">IFERROR(__xludf.dummyfunction("if($T362&lt;&gt;"""",REGEXEXTRACT(SUBSTITUTE ($T362,I$1&amp;"" CE"",""""), I$1&amp;""[\w &amp;]*, (\d+\.\d+)""),"""")
"),"")</f>
        <v/>
      </c>
      <c r="J362" s="3" t="str">
        <f aca="false">IFERROR(__xludf.dummyfunction("if($T362&lt;&gt;"""",REGEXEXTRACT($T362, J$1&amp;""[\w &amp;]*, (\d+\.\d+)""),"""")
"),"")</f>
        <v/>
      </c>
      <c r="K362" s="3"/>
      <c r="L362" s="3" t="str">
        <f aca="false">IFERROR(__xludf.dummyfunction("if($T362&lt;&gt;"""",REGEXEXTRACT(SUBSTITUTE ($T362,L$1&amp;"" CE"",""""), L$1&amp;""[\w &amp;]*, (\d+\.\d+)""),"""")
"),"")</f>
        <v/>
      </c>
      <c r="M362" s="3" t="str">
        <f aca="false">IFERROR(__xludf.dummyfunction("if($T362&lt;&gt;"""",REGEXEXTRACT($T362, M$1&amp;""[\w &amp;]*, (\d+\.\d+)""),"""")
"),"")</f>
        <v/>
      </c>
      <c r="N362" s="3" t="str">
        <f aca="false">IFERROR(__xludf.dummyfunction("if($T362&lt;&gt;"""",REGEXEXTRACT(SUBSTITUTE ($T362,N$1&amp;"" CE"",""""), N$1&amp;""[\w &amp;]*, (\d+\.\d+)""),"""")
"),"")</f>
        <v/>
      </c>
      <c r="O362" s="3" t="str">
        <f aca="false">IFERROR(__xludf.dummyfunction("if($T362&lt;&gt;"""",REGEXEXTRACT($T362, O$1&amp;""[\w &amp;]*, (\d+\.\d+)""),"""")
"),"")</f>
        <v/>
      </c>
      <c r="P362" s="2"/>
      <c r="Q362" s="2"/>
      <c r="R362" s="2"/>
      <c r="S362" s="2"/>
      <c r="T362" s="5"/>
    </row>
    <row r="363" customFormat="false" ht="15.75" hidden="false" customHeight="false" outlineLevel="0" collapsed="false">
      <c r="A363" s="4"/>
      <c r="B363" s="2"/>
      <c r="C363" s="2"/>
      <c r="D363" s="2"/>
      <c r="E363" s="2"/>
      <c r="F363" s="3" t="str">
        <f aca="false">IFERROR(__xludf.dummyfunction("if($T363&lt;&gt;"""",REGEXEXTRACT(SUBSTITUTE ($T363,F$1&amp;"" CE"",""""), F$1&amp;""[\w &amp;]*, (\d+\.\d+)""),"""")
"),"")</f>
        <v/>
      </c>
      <c r="G363" s="3" t="str">
        <f aca="false">IFERROR(__xludf.dummyfunction("if($T363&lt;&gt;"""",REGEXEXTRACT($T363, G$1&amp;""[\w &amp;]*, (\d+\.\d+)""),"""")
"),"")</f>
        <v/>
      </c>
      <c r="H363" s="3"/>
      <c r="I363" s="3" t="str">
        <f aca="false">IFERROR(__xludf.dummyfunction("if($T363&lt;&gt;"""",REGEXEXTRACT(SUBSTITUTE ($T363,I$1&amp;"" CE"",""""), I$1&amp;""[\w &amp;]*, (\d+\.\d+)""),"""")
"),"")</f>
        <v/>
      </c>
      <c r="J363" s="3" t="str">
        <f aca="false">IFERROR(__xludf.dummyfunction("if($T363&lt;&gt;"""",REGEXEXTRACT($T363, J$1&amp;""[\w &amp;]*, (\d+\.\d+)""),"""")
"),"")</f>
        <v/>
      </c>
      <c r="K363" s="3"/>
      <c r="L363" s="3" t="str">
        <f aca="false">IFERROR(__xludf.dummyfunction("if($T363&lt;&gt;"""",REGEXEXTRACT(SUBSTITUTE ($T363,L$1&amp;"" CE"",""""), L$1&amp;""[\w &amp;]*, (\d+\.\d+)""),"""")
"),"")</f>
        <v/>
      </c>
      <c r="M363" s="3" t="str">
        <f aca="false">IFERROR(__xludf.dummyfunction("if($T363&lt;&gt;"""",REGEXEXTRACT($T363, M$1&amp;""[\w &amp;]*, (\d+\.\d+)""),"""")
"),"")</f>
        <v/>
      </c>
      <c r="N363" s="3" t="str">
        <f aca="false">IFERROR(__xludf.dummyfunction("if($T363&lt;&gt;"""",REGEXEXTRACT(SUBSTITUTE ($T363,N$1&amp;"" CE"",""""), N$1&amp;""[\w &amp;]*, (\d+\.\d+)""),"""")
"),"")</f>
        <v/>
      </c>
      <c r="O363" s="3" t="str">
        <f aca="false">IFERROR(__xludf.dummyfunction("if($T363&lt;&gt;"""",REGEXEXTRACT($T363, O$1&amp;""[\w &amp;]*, (\d+\.\d+)""),"""")
"),"")</f>
        <v/>
      </c>
      <c r="P363" s="2"/>
      <c r="Q363" s="2"/>
      <c r="R363" s="2"/>
      <c r="S363" s="2"/>
      <c r="T363" s="5"/>
    </row>
    <row r="364" customFormat="false" ht="15.75" hidden="false" customHeight="false" outlineLevel="0" collapsed="false">
      <c r="A364" s="4"/>
      <c r="B364" s="2"/>
      <c r="C364" s="2"/>
      <c r="D364" s="2"/>
      <c r="E364" s="2"/>
      <c r="F364" s="3" t="str">
        <f aca="false">IFERROR(__xludf.dummyfunction("if($T364&lt;&gt;"""",REGEXEXTRACT(SUBSTITUTE ($T364,F$1&amp;"" CE"",""""), F$1&amp;""[\w &amp;]*, (\d+\.\d+)""),"""")
"),"")</f>
        <v/>
      </c>
      <c r="G364" s="3" t="str">
        <f aca="false">IFERROR(__xludf.dummyfunction("if($T364&lt;&gt;"""",REGEXEXTRACT($T364, G$1&amp;""[\w &amp;]*, (\d+\.\d+)""),"""")
"),"")</f>
        <v/>
      </c>
      <c r="H364" s="3"/>
      <c r="I364" s="3" t="str">
        <f aca="false">IFERROR(__xludf.dummyfunction("if($T364&lt;&gt;"""",REGEXEXTRACT(SUBSTITUTE ($T364,I$1&amp;"" CE"",""""), I$1&amp;""[\w &amp;]*, (\d+\.\d+)""),"""")
"),"")</f>
        <v/>
      </c>
      <c r="J364" s="3" t="str">
        <f aca="false">IFERROR(__xludf.dummyfunction("if($T364&lt;&gt;"""",REGEXEXTRACT($T364, J$1&amp;""[\w &amp;]*, (\d+\.\d+)""),"""")
"),"")</f>
        <v/>
      </c>
      <c r="K364" s="3"/>
      <c r="L364" s="3" t="str">
        <f aca="false">IFERROR(__xludf.dummyfunction("if($T364&lt;&gt;"""",REGEXEXTRACT(SUBSTITUTE ($T364,L$1&amp;"" CE"",""""), L$1&amp;""[\w &amp;]*, (\d+\.\d+)""),"""")
"),"")</f>
        <v/>
      </c>
      <c r="M364" s="3" t="str">
        <f aca="false">IFERROR(__xludf.dummyfunction("if($T364&lt;&gt;"""",REGEXEXTRACT($T364, M$1&amp;""[\w &amp;]*, (\d+\.\d+)""),"""")
"),"")</f>
        <v/>
      </c>
      <c r="N364" s="3" t="str">
        <f aca="false">IFERROR(__xludf.dummyfunction("if($T364&lt;&gt;"""",REGEXEXTRACT(SUBSTITUTE ($T364,N$1&amp;"" CE"",""""), N$1&amp;""[\w &amp;]*, (\d+\.\d+)""),"""")
"),"")</f>
        <v/>
      </c>
      <c r="O364" s="3" t="str">
        <f aca="false">IFERROR(__xludf.dummyfunction("if($T364&lt;&gt;"""",REGEXEXTRACT($T364, O$1&amp;""[\w &amp;]*, (\d+\.\d+)""),"""")
"),"")</f>
        <v/>
      </c>
      <c r="P364" s="2"/>
      <c r="Q364" s="2"/>
      <c r="R364" s="2"/>
      <c r="S364" s="2"/>
      <c r="T364" s="5"/>
    </row>
    <row r="365" customFormat="false" ht="15.75" hidden="false" customHeight="false" outlineLevel="0" collapsed="false">
      <c r="A365" s="4"/>
      <c r="B365" s="2"/>
      <c r="C365" s="2"/>
      <c r="D365" s="2"/>
      <c r="E365" s="2"/>
      <c r="F365" s="3" t="str">
        <f aca="false">IFERROR(__xludf.dummyfunction("if($T365&lt;&gt;"""",REGEXEXTRACT(SUBSTITUTE ($T365,F$1&amp;"" CE"",""""), F$1&amp;""[\w &amp;]*, (\d+\.\d+)""),"""")
"),"")</f>
        <v/>
      </c>
      <c r="G365" s="3" t="str">
        <f aca="false">IFERROR(__xludf.dummyfunction("if($T365&lt;&gt;"""",REGEXEXTRACT($T365, G$1&amp;""[\w &amp;]*, (\d+\.\d+)""),"""")
"),"")</f>
        <v/>
      </c>
      <c r="H365" s="3"/>
      <c r="I365" s="3" t="str">
        <f aca="false">IFERROR(__xludf.dummyfunction("if($T365&lt;&gt;"""",REGEXEXTRACT(SUBSTITUTE ($T365,I$1&amp;"" CE"",""""), I$1&amp;""[\w &amp;]*, (\d+\.\d+)""),"""")
"),"")</f>
        <v/>
      </c>
      <c r="J365" s="3" t="str">
        <f aca="false">IFERROR(__xludf.dummyfunction("if($T365&lt;&gt;"""",REGEXEXTRACT($T365, J$1&amp;""[\w &amp;]*, (\d+\.\d+)""),"""")
"),"")</f>
        <v/>
      </c>
      <c r="K365" s="3"/>
      <c r="L365" s="3" t="str">
        <f aca="false">IFERROR(__xludf.dummyfunction("if($T365&lt;&gt;"""",REGEXEXTRACT(SUBSTITUTE ($T365,L$1&amp;"" CE"",""""), L$1&amp;""[\w &amp;]*, (\d+\.\d+)""),"""")
"),"")</f>
        <v/>
      </c>
      <c r="M365" s="3" t="str">
        <f aca="false">IFERROR(__xludf.dummyfunction("if($T365&lt;&gt;"""",REGEXEXTRACT($T365, M$1&amp;""[\w &amp;]*, (\d+\.\d+)""),"""")
"),"")</f>
        <v/>
      </c>
      <c r="N365" s="3" t="str">
        <f aca="false">IFERROR(__xludf.dummyfunction("if($T365&lt;&gt;"""",REGEXEXTRACT(SUBSTITUTE ($T365,N$1&amp;"" CE"",""""), N$1&amp;""[\w &amp;]*, (\d+\.\d+)""),"""")
"),"")</f>
        <v/>
      </c>
      <c r="O365" s="3" t="str">
        <f aca="false">IFERROR(__xludf.dummyfunction("if($T365&lt;&gt;"""",REGEXEXTRACT($T365, O$1&amp;""[\w &amp;]*, (\d+\.\d+)""),"""")
"),"")</f>
        <v/>
      </c>
      <c r="P365" s="2"/>
      <c r="Q365" s="2"/>
      <c r="R365" s="2"/>
      <c r="S365" s="2"/>
      <c r="T365" s="5"/>
    </row>
    <row r="366" customFormat="false" ht="15.75" hidden="false" customHeight="false" outlineLevel="0" collapsed="false">
      <c r="A366" s="4"/>
      <c r="B366" s="2"/>
      <c r="C366" s="2"/>
      <c r="D366" s="2"/>
      <c r="E366" s="2"/>
      <c r="F366" s="3" t="str">
        <f aca="false">IFERROR(__xludf.dummyfunction("if($T366&lt;&gt;"""",REGEXEXTRACT(SUBSTITUTE ($T366,F$1&amp;"" CE"",""""), F$1&amp;""[\w &amp;]*, (\d+\.\d+)""),"""")
"),"")</f>
        <v/>
      </c>
      <c r="G366" s="3" t="str">
        <f aca="false">IFERROR(__xludf.dummyfunction("if($T366&lt;&gt;"""",REGEXEXTRACT($T366, G$1&amp;""[\w &amp;]*, (\d+\.\d+)""),"""")
"),"")</f>
        <v/>
      </c>
      <c r="H366" s="3"/>
      <c r="I366" s="3" t="str">
        <f aca="false">IFERROR(__xludf.dummyfunction("if($T366&lt;&gt;"""",REGEXEXTRACT(SUBSTITUTE ($T366,I$1&amp;"" CE"",""""), I$1&amp;""[\w &amp;]*, (\d+\.\d+)""),"""")
"),"")</f>
        <v/>
      </c>
      <c r="J366" s="3" t="str">
        <f aca="false">IFERROR(__xludf.dummyfunction("if($T366&lt;&gt;"""",REGEXEXTRACT($T366, J$1&amp;""[\w &amp;]*, (\d+\.\d+)""),"""")
"),"")</f>
        <v/>
      </c>
      <c r="K366" s="3"/>
      <c r="L366" s="3" t="str">
        <f aca="false">IFERROR(__xludf.dummyfunction("if($T366&lt;&gt;"""",REGEXEXTRACT(SUBSTITUTE ($T366,L$1&amp;"" CE"",""""), L$1&amp;""[\w &amp;]*, (\d+\.\d+)""),"""")
"),"")</f>
        <v/>
      </c>
      <c r="M366" s="3" t="str">
        <f aca="false">IFERROR(__xludf.dummyfunction("if($T366&lt;&gt;"""",REGEXEXTRACT($T366, M$1&amp;""[\w &amp;]*, (\d+\.\d+)""),"""")
"),"")</f>
        <v/>
      </c>
      <c r="N366" s="3" t="str">
        <f aca="false">IFERROR(__xludf.dummyfunction("if($T366&lt;&gt;"""",REGEXEXTRACT(SUBSTITUTE ($T366,N$1&amp;"" CE"",""""), N$1&amp;""[\w &amp;]*, (\d+\.\d+)""),"""")
"),"")</f>
        <v/>
      </c>
      <c r="O366" s="3" t="str">
        <f aca="false">IFERROR(__xludf.dummyfunction("if($T366&lt;&gt;"""",REGEXEXTRACT($T366, O$1&amp;""[\w &amp;]*, (\d+\.\d+)""),"""")
"),"")</f>
        <v/>
      </c>
      <c r="P366" s="2"/>
      <c r="Q366" s="2"/>
      <c r="R366" s="2"/>
      <c r="S366" s="2"/>
      <c r="T366" s="5"/>
    </row>
    <row r="367" customFormat="false" ht="15.75" hidden="false" customHeight="false" outlineLevel="0" collapsed="false">
      <c r="A367" s="4"/>
      <c r="B367" s="2"/>
      <c r="C367" s="2"/>
      <c r="D367" s="2"/>
      <c r="E367" s="2"/>
      <c r="F367" s="3" t="str">
        <f aca="false">IFERROR(__xludf.dummyfunction("if($T367&lt;&gt;"""",REGEXEXTRACT(SUBSTITUTE ($T367,F$1&amp;"" CE"",""""), F$1&amp;""[\w &amp;]*, (\d+\.\d+)""),"""")
"),"")</f>
        <v/>
      </c>
      <c r="G367" s="3" t="str">
        <f aca="false">IFERROR(__xludf.dummyfunction("if($T367&lt;&gt;"""",REGEXEXTRACT($T367, G$1&amp;""[\w &amp;]*, (\d+\.\d+)""),"""")
"),"")</f>
        <v/>
      </c>
      <c r="H367" s="3"/>
      <c r="I367" s="3" t="str">
        <f aca="false">IFERROR(__xludf.dummyfunction("if($T367&lt;&gt;"""",REGEXEXTRACT(SUBSTITUTE ($T367,I$1&amp;"" CE"",""""), I$1&amp;""[\w &amp;]*, (\d+\.\d+)""),"""")
"),"")</f>
        <v/>
      </c>
      <c r="J367" s="3" t="str">
        <f aca="false">IFERROR(__xludf.dummyfunction("if($T367&lt;&gt;"""",REGEXEXTRACT($T367, J$1&amp;""[\w &amp;]*, (\d+\.\d+)""),"""")
"),"")</f>
        <v/>
      </c>
      <c r="K367" s="3"/>
      <c r="L367" s="3" t="str">
        <f aca="false">IFERROR(__xludf.dummyfunction("if($T367&lt;&gt;"""",REGEXEXTRACT(SUBSTITUTE ($T367,L$1&amp;"" CE"",""""), L$1&amp;""[\w &amp;]*, (\d+\.\d+)""),"""")
"),"")</f>
        <v/>
      </c>
      <c r="M367" s="3" t="str">
        <f aca="false">IFERROR(__xludf.dummyfunction("if($T367&lt;&gt;"""",REGEXEXTRACT($T367, M$1&amp;""[\w &amp;]*, (\d+\.\d+)""),"""")
"),"")</f>
        <v/>
      </c>
      <c r="N367" s="3" t="str">
        <f aca="false">IFERROR(__xludf.dummyfunction("if($T367&lt;&gt;"""",REGEXEXTRACT(SUBSTITUTE ($T367,N$1&amp;"" CE"",""""), N$1&amp;""[\w &amp;]*, (\d+\.\d+)""),"""")
"),"")</f>
        <v/>
      </c>
      <c r="O367" s="3" t="str">
        <f aca="false">IFERROR(__xludf.dummyfunction("if($T367&lt;&gt;"""",REGEXEXTRACT($T367, O$1&amp;""[\w &amp;]*, (\d+\.\d+)""),"""")
"),"")</f>
        <v/>
      </c>
      <c r="P367" s="2"/>
      <c r="Q367" s="2"/>
      <c r="R367" s="2"/>
      <c r="S367" s="2"/>
      <c r="T367" s="5"/>
    </row>
    <row r="368" customFormat="false" ht="15.75" hidden="false" customHeight="false" outlineLevel="0" collapsed="false">
      <c r="A368" s="4"/>
      <c r="B368" s="2"/>
      <c r="C368" s="2"/>
      <c r="D368" s="2"/>
      <c r="E368" s="2"/>
      <c r="F368" s="3" t="str">
        <f aca="false">IFERROR(__xludf.dummyfunction("if($T368&lt;&gt;"""",REGEXEXTRACT(SUBSTITUTE ($T368,F$1&amp;"" CE"",""""), F$1&amp;""[\w &amp;]*, (\d+\.\d+)""),"""")
"),"")</f>
        <v/>
      </c>
      <c r="G368" s="3" t="str">
        <f aca="false">IFERROR(__xludf.dummyfunction("if($T368&lt;&gt;"""",REGEXEXTRACT($T368, G$1&amp;""[\w &amp;]*, (\d+\.\d+)""),"""")
"),"")</f>
        <v/>
      </c>
      <c r="H368" s="3"/>
      <c r="I368" s="3" t="str">
        <f aca="false">IFERROR(__xludf.dummyfunction("if($T368&lt;&gt;"""",REGEXEXTRACT(SUBSTITUTE ($T368,I$1&amp;"" CE"",""""), I$1&amp;""[\w &amp;]*, (\d+\.\d+)""),"""")
"),"")</f>
        <v/>
      </c>
      <c r="J368" s="3" t="str">
        <f aca="false">IFERROR(__xludf.dummyfunction("if($T368&lt;&gt;"""",REGEXEXTRACT($T368, J$1&amp;""[\w &amp;]*, (\d+\.\d+)""),"""")
"),"")</f>
        <v/>
      </c>
      <c r="K368" s="3"/>
      <c r="L368" s="3" t="str">
        <f aca="false">IFERROR(__xludf.dummyfunction("if($T368&lt;&gt;"""",REGEXEXTRACT(SUBSTITUTE ($T368,L$1&amp;"" CE"",""""), L$1&amp;""[\w &amp;]*, (\d+\.\d+)""),"""")
"),"")</f>
        <v/>
      </c>
      <c r="M368" s="3" t="str">
        <f aca="false">IFERROR(__xludf.dummyfunction("if($T368&lt;&gt;"""",REGEXEXTRACT($T368, M$1&amp;""[\w &amp;]*, (\d+\.\d+)""),"""")
"),"")</f>
        <v/>
      </c>
      <c r="N368" s="3" t="str">
        <f aca="false">IFERROR(__xludf.dummyfunction("if($T368&lt;&gt;"""",REGEXEXTRACT(SUBSTITUTE ($T368,N$1&amp;"" CE"",""""), N$1&amp;""[\w &amp;]*, (\d+\.\d+)""),"""")
"),"")</f>
        <v/>
      </c>
      <c r="O368" s="3" t="str">
        <f aca="false">IFERROR(__xludf.dummyfunction("if($T368&lt;&gt;"""",REGEXEXTRACT($T368, O$1&amp;""[\w &amp;]*, (\d+\.\d+)""),"""")
"),"")</f>
        <v/>
      </c>
      <c r="P368" s="2"/>
      <c r="Q368" s="2"/>
      <c r="R368" s="2"/>
      <c r="S368" s="2"/>
      <c r="T368" s="5"/>
    </row>
    <row r="369" customFormat="false" ht="15.75" hidden="false" customHeight="false" outlineLevel="0" collapsed="false">
      <c r="A369" s="4"/>
      <c r="B369" s="2"/>
      <c r="C369" s="2"/>
      <c r="D369" s="2"/>
      <c r="E369" s="2"/>
      <c r="F369" s="3" t="str">
        <f aca="false">IFERROR(__xludf.dummyfunction("if($T369&lt;&gt;"""",REGEXEXTRACT(SUBSTITUTE ($T369,F$1&amp;"" CE"",""""), F$1&amp;""[\w &amp;]*, (\d+\.\d+)""),"""")
"),"")</f>
        <v/>
      </c>
      <c r="G369" s="3" t="str">
        <f aca="false">IFERROR(__xludf.dummyfunction("if($T369&lt;&gt;"""",REGEXEXTRACT($T369, G$1&amp;""[\w &amp;]*, (\d+\.\d+)""),"""")
"),"")</f>
        <v/>
      </c>
      <c r="H369" s="3"/>
      <c r="I369" s="3" t="str">
        <f aca="false">IFERROR(__xludf.dummyfunction("if($T369&lt;&gt;"""",REGEXEXTRACT(SUBSTITUTE ($T369,I$1&amp;"" CE"",""""), I$1&amp;""[\w &amp;]*, (\d+\.\d+)""),"""")
"),"")</f>
        <v/>
      </c>
      <c r="J369" s="3" t="str">
        <f aca="false">IFERROR(__xludf.dummyfunction("if($T369&lt;&gt;"""",REGEXEXTRACT($T369, J$1&amp;""[\w &amp;]*, (\d+\.\d+)""),"""")
"),"")</f>
        <v/>
      </c>
      <c r="K369" s="3"/>
      <c r="L369" s="3" t="str">
        <f aca="false">IFERROR(__xludf.dummyfunction("if($T369&lt;&gt;"""",REGEXEXTRACT(SUBSTITUTE ($T369,L$1&amp;"" CE"",""""), L$1&amp;""[\w &amp;]*, (\d+\.\d+)""),"""")
"),"")</f>
        <v/>
      </c>
      <c r="M369" s="3" t="str">
        <f aca="false">IFERROR(__xludf.dummyfunction("if($T369&lt;&gt;"""",REGEXEXTRACT($T369, M$1&amp;""[\w &amp;]*, (\d+\.\d+)""),"""")
"),"")</f>
        <v/>
      </c>
      <c r="N369" s="3" t="str">
        <f aca="false">IFERROR(__xludf.dummyfunction("if($T369&lt;&gt;"""",REGEXEXTRACT(SUBSTITUTE ($T369,N$1&amp;"" CE"",""""), N$1&amp;""[\w &amp;]*, (\d+\.\d+)""),"""")
"),"")</f>
        <v/>
      </c>
      <c r="O369" s="3" t="str">
        <f aca="false">IFERROR(__xludf.dummyfunction("if($T369&lt;&gt;"""",REGEXEXTRACT($T369, O$1&amp;""[\w &amp;]*, (\d+\.\d+)""),"""")
"),"")</f>
        <v/>
      </c>
      <c r="P369" s="2"/>
      <c r="Q369" s="2"/>
      <c r="R369" s="2"/>
      <c r="S369" s="2"/>
      <c r="T369" s="5"/>
    </row>
    <row r="370" customFormat="false" ht="15.75" hidden="false" customHeight="false" outlineLevel="0" collapsed="false">
      <c r="A370" s="4"/>
      <c r="B370" s="2"/>
      <c r="C370" s="2"/>
      <c r="D370" s="2"/>
      <c r="E370" s="2"/>
      <c r="F370" s="3" t="str">
        <f aca="false">IFERROR(__xludf.dummyfunction("if($T370&lt;&gt;"""",REGEXEXTRACT(SUBSTITUTE ($T370,F$1&amp;"" CE"",""""), F$1&amp;""[\w &amp;]*, (\d+\.\d+)""),"""")
"),"")</f>
        <v/>
      </c>
      <c r="G370" s="3" t="str">
        <f aca="false">IFERROR(__xludf.dummyfunction("if($T370&lt;&gt;"""",REGEXEXTRACT($T370, G$1&amp;""[\w &amp;]*, (\d+\.\d+)""),"""")
"),"")</f>
        <v/>
      </c>
      <c r="H370" s="3"/>
      <c r="I370" s="3" t="str">
        <f aca="false">IFERROR(__xludf.dummyfunction("if($T370&lt;&gt;"""",REGEXEXTRACT(SUBSTITUTE ($T370,I$1&amp;"" CE"",""""), I$1&amp;""[\w &amp;]*, (\d+\.\d+)""),"""")
"),"")</f>
        <v/>
      </c>
      <c r="J370" s="3" t="str">
        <f aca="false">IFERROR(__xludf.dummyfunction("if($T370&lt;&gt;"""",REGEXEXTRACT($T370, J$1&amp;""[\w &amp;]*, (\d+\.\d+)""),"""")
"),"")</f>
        <v/>
      </c>
      <c r="K370" s="3"/>
      <c r="L370" s="3" t="str">
        <f aca="false">IFERROR(__xludf.dummyfunction("if($T370&lt;&gt;"""",REGEXEXTRACT(SUBSTITUTE ($T370,L$1&amp;"" CE"",""""), L$1&amp;""[\w &amp;]*, (\d+\.\d+)""),"""")
"),"")</f>
        <v/>
      </c>
      <c r="M370" s="3" t="str">
        <f aca="false">IFERROR(__xludf.dummyfunction("if($T370&lt;&gt;"""",REGEXEXTRACT($T370, M$1&amp;""[\w &amp;]*, (\d+\.\d+)""),"""")
"),"")</f>
        <v/>
      </c>
      <c r="N370" s="3" t="str">
        <f aca="false">IFERROR(__xludf.dummyfunction("if($T370&lt;&gt;"""",REGEXEXTRACT(SUBSTITUTE ($T370,N$1&amp;"" CE"",""""), N$1&amp;""[\w &amp;]*, (\d+\.\d+)""),"""")
"),"")</f>
        <v/>
      </c>
      <c r="O370" s="3" t="str">
        <f aca="false">IFERROR(__xludf.dummyfunction("if($T370&lt;&gt;"""",REGEXEXTRACT($T370, O$1&amp;""[\w &amp;]*, (\d+\.\d+)""),"""")
"),"")</f>
        <v/>
      </c>
      <c r="P370" s="2"/>
      <c r="Q370" s="2"/>
      <c r="R370" s="2"/>
      <c r="S370" s="2"/>
      <c r="T370" s="5"/>
    </row>
    <row r="371" customFormat="false" ht="15.75" hidden="false" customHeight="false" outlineLevel="0" collapsed="false">
      <c r="A371" s="4"/>
      <c r="B371" s="2"/>
      <c r="C371" s="2"/>
      <c r="D371" s="2"/>
      <c r="E371" s="2"/>
      <c r="F371" s="3" t="str">
        <f aca="false">IFERROR(__xludf.dummyfunction("if($T371&lt;&gt;"""",REGEXEXTRACT(SUBSTITUTE ($T371,F$1&amp;"" CE"",""""), F$1&amp;""[\w &amp;]*, (\d+\.\d+)""),"""")
"),"")</f>
        <v/>
      </c>
      <c r="G371" s="3" t="str">
        <f aca="false">IFERROR(__xludf.dummyfunction("if($T371&lt;&gt;"""",REGEXEXTRACT($T371, G$1&amp;""[\w &amp;]*, (\d+\.\d+)""),"""")
"),"")</f>
        <v/>
      </c>
      <c r="H371" s="3"/>
      <c r="I371" s="3" t="str">
        <f aca="false">IFERROR(__xludf.dummyfunction("if($T371&lt;&gt;"""",REGEXEXTRACT(SUBSTITUTE ($T371,I$1&amp;"" CE"",""""), I$1&amp;""[\w &amp;]*, (\d+\.\d+)""),"""")
"),"")</f>
        <v/>
      </c>
      <c r="J371" s="3" t="str">
        <f aca="false">IFERROR(__xludf.dummyfunction("if($T371&lt;&gt;"""",REGEXEXTRACT($T371, J$1&amp;""[\w &amp;]*, (\d+\.\d+)""),"""")
"),"")</f>
        <v/>
      </c>
      <c r="K371" s="3"/>
      <c r="L371" s="3" t="str">
        <f aca="false">IFERROR(__xludf.dummyfunction("if($T371&lt;&gt;"""",REGEXEXTRACT(SUBSTITUTE ($T371,L$1&amp;"" CE"",""""), L$1&amp;""[\w &amp;]*, (\d+\.\d+)""),"""")
"),"")</f>
        <v/>
      </c>
      <c r="M371" s="3" t="str">
        <f aca="false">IFERROR(__xludf.dummyfunction("if($T371&lt;&gt;"""",REGEXEXTRACT($T371, M$1&amp;""[\w &amp;]*, (\d+\.\d+)""),"""")
"),"")</f>
        <v/>
      </c>
      <c r="N371" s="3" t="str">
        <f aca="false">IFERROR(__xludf.dummyfunction("if($T371&lt;&gt;"""",REGEXEXTRACT(SUBSTITUTE ($T371,N$1&amp;"" CE"",""""), N$1&amp;""[\w &amp;]*, (\d+\.\d+)""),"""")
"),"")</f>
        <v/>
      </c>
      <c r="O371" s="3" t="str">
        <f aca="false">IFERROR(__xludf.dummyfunction("if($T371&lt;&gt;"""",REGEXEXTRACT($T371, O$1&amp;""[\w &amp;]*, (\d+\.\d+)""),"""")
"),"")</f>
        <v/>
      </c>
      <c r="P371" s="2"/>
      <c r="Q371" s="2"/>
      <c r="R371" s="2"/>
      <c r="S371" s="2"/>
      <c r="T371" s="5"/>
    </row>
    <row r="372" customFormat="false" ht="15.75" hidden="false" customHeight="false" outlineLevel="0" collapsed="false">
      <c r="A372" s="4"/>
      <c r="B372" s="2"/>
      <c r="C372" s="2"/>
      <c r="D372" s="2"/>
      <c r="E372" s="2"/>
      <c r="F372" s="3" t="str">
        <f aca="false">IFERROR(__xludf.dummyfunction("if($T372&lt;&gt;"""",REGEXEXTRACT(SUBSTITUTE ($T372,F$1&amp;"" CE"",""""), F$1&amp;""[\w &amp;]*, (\d+\.\d+)""),"""")
"),"")</f>
        <v/>
      </c>
      <c r="G372" s="3" t="str">
        <f aca="false">IFERROR(__xludf.dummyfunction("if($T372&lt;&gt;"""",REGEXEXTRACT($T372, G$1&amp;""[\w &amp;]*, (\d+\.\d+)""),"""")
"),"")</f>
        <v/>
      </c>
      <c r="H372" s="3"/>
      <c r="I372" s="3" t="str">
        <f aca="false">IFERROR(__xludf.dummyfunction("if($T372&lt;&gt;"""",REGEXEXTRACT(SUBSTITUTE ($T372,I$1&amp;"" CE"",""""), I$1&amp;""[\w &amp;]*, (\d+\.\d+)""),"""")
"),"")</f>
        <v/>
      </c>
      <c r="J372" s="3" t="str">
        <f aca="false">IFERROR(__xludf.dummyfunction("if($T372&lt;&gt;"""",REGEXEXTRACT($T372, J$1&amp;""[\w &amp;]*, (\d+\.\d+)""),"""")
"),"")</f>
        <v/>
      </c>
      <c r="K372" s="3"/>
      <c r="L372" s="3" t="str">
        <f aca="false">IFERROR(__xludf.dummyfunction("if($T372&lt;&gt;"""",REGEXEXTRACT(SUBSTITUTE ($T372,L$1&amp;"" CE"",""""), L$1&amp;""[\w &amp;]*, (\d+\.\d+)""),"""")
"),"")</f>
        <v/>
      </c>
      <c r="M372" s="3" t="str">
        <f aca="false">IFERROR(__xludf.dummyfunction("if($T372&lt;&gt;"""",REGEXEXTRACT($T372, M$1&amp;""[\w &amp;]*, (\d+\.\d+)""),"""")
"),"")</f>
        <v/>
      </c>
      <c r="N372" s="3" t="str">
        <f aca="false">IFERROR(__xludf.dummyfunction("if($T372&lt;&gt;"""",REGEXEXTRACT(SUBSTITUTE ($T372,N$1&amp;"" CE"",""""), N$1&amp;""[\w &amp;]*, (\d+\.\d+)""),"""")
"),"")</f>
        <v/>
      </c>
      <c r="O372" s="3" t="str">
        <f aca="false">IFERROR(__xludf.dummyfunction("if($T372&lt;&gt;"""",REGEXEXTRACT($T372, O$1&amp;""[\w &amp;]*, (\d+\.\d+)""),"""")
"),"")</f>
        <v/>
      </c>
      <c r="P372" s="2"/>
      <c r="Q372" s="2"/>
      <c r="R372" s="2"/>
      <c r="S372" s="2"/>
      <c r="T372" s="5"/>
    </row>
    <row r="373" customFormat="false" ht="15.75" hidden="false" customHeight="false" outlineLevel="0" collapsed="false">
      <c r="A373" s="4"/>
      <c r="B373" s="2"/>
      <c r="C373" s="2"/>
      <c r="D373" s="2"/>
      <c r="E373" s="2"/>
      <c r="F373" s="3" t="str">
        <f aca="false">IFERROR(__xludf.dummyfunction("if($T373&lt;&gt;"""",REGEXEXTRACT(SUBSTITUTE ($T373,F$1&amp;"" CE"",""""), F$1&amp;""[\w &amp;]*, (\d+\.\d+)""),"""")
"),"")</f>
        <v/>
      </c>
      <c r="G373" s="3" t="str">
        <f aca="false">IFERROR(__xludf.dummyfunction("if($T373&lt;&gt;"""",REGEXEXTRACT($T373, G$1&amp;""[\w &amp;]*, (\d+\.\d+)""),"""")
"),"")</f>
        <v/>
      </c>
      <c r="H373" s="3"/>
      <c r="I373" s="3" t="str">
        <f aca="false">IFERROR(__xludf.dummyfunction("if($T373&lt;&gt;"""",REGEXEXTRACT(SUBSTITUTE ($T373,I$1&amp;"" CE"",""""), I$1&amp;""[\w &amp;]*, (\d+\.\d+)""),"""")
"),"")</f>
        <v/>
      </c>
      <c r="J373" s="3" t="str">
        <f aca="false">IFERROR(__xludf.dummyfunction("if($T373&lt;&gt;"""",REGEXEXTRACT($T373, J$1&amp;""[\w &amp;]*, (\d+\.\d+)""),"""")
"),"")</f>
        <v/>
      </c>
      <c r="K373" s="3"/>
      <c r="L373" s="3" t="str">
        <f aca="false">IFERROR(__xludf.dummyfunction("if($T373&lt;&gt;"""",REGEXEXTRACT(SUBSTITUTE ($T373,L$1&amp;"" CE"",""""), L$1&amp;""[\w &amp;]*, (\d+\.\d+)""),"""")
"),"")</f>
        <v/>
      </c>
      <c r="M373" s="3" t="str">
        <f aca="false">IFERROR(__xludf.dummyfunction("if($T373&lt;&gt;"""",REGEXEXTRACT($T373, M$1&amp;""[\w &amp;]*, (\d+\.\d+)""),"""")
"),"")</f>
        <v/>
      </c>
      <c r="N373" s="3" t="str">
        <f aca="false">IFERROR(__xludf.dummyfunction("if($T373&lt;&gt;"""",REGEXEXTRACT(SUBSTITUTE ($T373,N$1&amp;"" CE"",""""), N$1&amp;""[\w &amp;]*, (\d+\.\d+)""),"""")
"),"")</f>
        <v/>
      </c>
      <c r="O373" s="3" t="str">
        <f aca="false">IFERROR(__xludf.dummyfunction("if($T373&lt;&gt;"""",REGEXEXTRACT($T373, O$1&amp;""[\w &amp;]*, (\d+\.\d+)""),"""")
"),"")</f>
        <v/>
      </c>
      <c r="P373" s="2"/>
      <c r="Q373" s="2"/>
      <c r="R373" s="2"/>
      <c r="S373" s="2"/>
      <c r="T373" s="5"/>
    </row>
    <row r="374" customFormat="false" ht="15.75" hidden="false" customHeight="false" outlineLevel="0" collapsed="false">
      <c r="A374" s="4"/>
      <c r="B374" s="2"/>
      <c r="C374" s="2"/>
      <c r="D374" s="2"/>
      <c r="E374" s="2"/>
      <c r="F374" s="3" t="str">
        <f aca="false">IFERROR(__xludf.dummyfunction("if($T374&lt;&gt;"""",REGEXEXTRACT(SUBSTITUTE ($T374,F$1&amp;"" CE"",""""), F$1&amp;""[\w &amp;]*, (\d+\.\d+)""),"""")
"),"")</f>
        <v/>
      </c>
      <c r="G374" s="3" t="str">
        <f aca="false">IFERROR(__xludf.dummyfunction("if($T374&lt;&gt;"""",REGEXEXTRACT($T374, G$1&amp;""[\w &amp;]*, (\d+\.\d+)""),"""")
"),"")</f>
        <v/>
      </c>
      <c r="H374" s="3"/>
      <c r="I374" s="3" t="str">
        <f aca="false">IFERROR(__xludf.dummyfunction("if($T374&lt;&gt;"""",REGEXEXTRACT(SUBSTITUTE ($T374,I$1&amp;"" CE"",""""), I$1&amp;""[\w &amp;]*, (\d+\.\d+)""),"""")
"),"")</f>
        <v/>
      </c>
      <c r="J374" s="3" t="str">
        <f aca="false">IFERROR(__xludf.dummyfunction("if($T374&lt;&gt;"""",REGEXEXTRACT($T374, J$1&amp;""[\w &amp;]*, (\d+\.\d+)""),"""")
"),"")</f>
        <v/>
      </c>
      <c r="K374" s="3"/>
      <c r="L374" s="3" t="str">
        <f aca="false">IFERROR(__xludf.dummyfunction("if($T374&lt;&gt;"""",REGEXEXTRACT(SUBSTITUTE ($T374,L$1&amp;"" CE"",""""), L$1&amp;""[\w &amp;]*, (\d+\.\d+)""),"""")
"),"")</f>
        <v/>
      </c>
      <c r="M374" s="3" t="str">
        <f aca="false">IFERROR(__xludf.dummyfunction("if($T374&lt;&gt;"""",REGEXEXTRACT($T374, M$1&amp;""[\w &amp;]*, (\d+\.\d+)""),"""")
"),"")</f>
        <v/>
      </c>
      <c r="N374" s="3" t="str">
        <f aca="false">IFERROR(__xludf.dummyfunction("if($T374&lt;&gt;"""",REGEXEXTRACT(SUBSTITUTE ($T374,N$1&amp;"" CE"",""""), N$1&amp;""[\w &amp;]*, (\d+\.\d+)""),"""")
"),"")</f>
        <v/>
      </c>
      <c r="O374" s="3" t="str">
        <f aca="false">IFERROR(__xludf.dummyfunction("if($T374&lt;&gt;"""",REGEXEXTRACT($T374, O$1&amp;""[\w &amp;]*, (\d+\.\d+)""),"""")
"),"")</f>
        <v/>
      </c>
      <c r="P374" s="2"/>
      <c r="Q374" s="2"/>
      <c r="R374" s="2"/>
      <c r="S374" s="2"/>
      <c r="T374" s="5"/>
    </row>
    <row r="375" customFormat="false" ht="15.75" hidden="false" customHeight="false" outlineLevel="0" collapsed="false">
      <c r="A375" s="4"/>
      <c r="B375" s="2"/>
      <c r="C375" s="2"/>
      <c r="D375" s="2"/>
      <c r="E375" s="2"/>
      <c r="F375" s="3" t="str">
        <f aca="false">IFERROR(__xludf.dummyfunction("if($T375&lt;&gt;"""",REGEXEXTRACT(SUBSTITUTE ($T375,F$1&amp;"" CE"",""""), F$1&amp;""[\w &amp;]*, (\d+\.\d+)""),"""")
"),"")</f>
        <v/>
      </c>
      <c r="G375" s="3" t="str">
        <f aca="false">IFERROR(__xludf.dummyfunction("if($T375&lt;&gt;"""",REGEXEXTRACT($T375, G$1&amp;""[\w &amp;]*, (\d+\.\d+)""),"""")
"),"")</f>
        <v/>
      </c>
      <c r="H375" s="3"/>
      <c r="I375" s="3" t="str">
        <f aca="false">IFERROR(__xludf.dummyfunction("if($T375&lt;&gt;"""",REGEXEXTRACT(SUBSTITUTE ($T375,I$1&amp;"" CE"",""""), I$1&amp;""[\w &amp;]*, (\d+\.\d+)""),"""")
"),"")</f>
        <v/>
      </c>
      <c r="J375" s="3" t="str">
        <f aca="false">IFERROR(__xludf.dummyfunction("if($T375&lt;&gt;"""",REGEXEXTRACT($T375, J$1&amp;""[\w &amp;]*, (\d+\.\d+)""),"""")
"),"")</f>
        <v/>
      </c>
      <c r="K375" s="3"/>
      <c r="L375" s="3" t="str">
        <f aca="false">IFERROR(__xludf.dummyfunction("if($T375&lt;&gt;"""",REGEXEXTRACT(SUBSTITUTE ($T375,L$1&amp;"" CE"",""""), L$1&amp;""[\w &amp;]*, (\d+\.\d+)""),"""")
"),"")</f>
        <v/>
      </c>
      <c r="M375" s="3" t="str">
        <f aca="false">IFERROR(__xludf.dummyfunction("if($T375&lt;&gt;"""",REGEXEXTRACT($T375, M$1&amp;""[\w &amp;]*, (\d+\.\d+)""),"""")
"),"")</f>
        <v/>
      </c>
      <c r="N375" s="3" t="str">
        <f aca="false">IFERROR(__xludf.dummyfunction("if($T375&lt;&gt;"""",REGEXEXTRACT(SUBSTITUTE ($T375,N$1&amp;"" CE"",""""), N$1&amp;""[\w &amp;]*, (\d+\.\d+)""),"""")
"),"")</f>
        <v/>
      </c>
      <c r="O375" s="3" t="str">
        <f aca="false">IFERROR(__xludf.dummyfunction("if($T375&lt;&gt;"""",REGEXEXTRACT($T375, O$1&amp;""[\w &amp;]*, (\d+\.\d+)""),"""")
"),"")</f>
        <v/>
      </c>
      <c r="P375" s="2"/>
      <c r="Q375" s="2"/>
      <c r="R375" s="2"/>
      <c r="S375" s="2"/>
      <c r="T375" s="5"/>
    </row>
    <row r="376" customFormat="false" ht="15.75" hidden="false" customHeight="false" outlineLevel="0" collapsed="false">
      <c r="A376" s="4"/>
      <c r="B376" s="2"/>
      <c r="C376" s="2"/>
      <c r="D376" s="2"/>
      <c r="E376" s="2"/>
      <c r="F376" s="3" t="str">
        <f aca="false">IFERROR(__xludf.dummyfunction("if($T376&lt;&gt;"""",REGEXEXTRACT(SUBSTITUTE ($T376,F$1&amp;"" CE"",""""), F$1&amp;""[\w &amp;]*, (\d+\.\d+)""),"""")
"),"")</f>
        <v/>
      </c>
      <c r="G376" s="3" t="str">
        <f aca="false">IFERROR(__xludf.dummyfunction("if($T376&lt;&gt;"""",REGEXEXTRACT($T376, G$1&amp;""[\w &amp;]*, (\d+\.\d+)""),"""")
"),"")</f>
        <v/>
      </c>
      <c r="H376" s="3"/>
      <c r="I376" s="3" t="str">
        <f aca="false">IFERROR(__xludf.dummyfunction("if($T376&lt;&gt;"""",REGEXEXTRACT(SUBSTITUTE ($T376,I$1&amp;"" CE"",""""), I$1&amp;""[\w &amp;]*, (\d+\.\d+)""),"""")
"),"")</f>
        <v/>
      </c>
      <c r="J376" s="3" t="str">
        <f aca="false">IFERROR(__xludf.dummyfunction("if($T376&lt;&gt;"""",REGEXEXTRACT($T376, J$1&amp;""[\w &amp;]*, (\d+\.\d+)""),"""")
"),"")</f>
        <v/>
      </c>
      <c r="K376" s="3"/>
      <c r="L376" s="3" t="str">
        <f aca="false">IFERROR(__xludf.dummyfunction("if($T376&lt;&gt;"""",REGEXEXTRACT(SUBSTITUTE ($T376,L$1&amp;"" CE"",""""), L$1&amp;""[\w &amp;]*, (\d+\.\d+)""),"""")
"),"")</f>
        <v/>
      </c>
      <c r="M376" s="3" t="str">
        <f aca="false">IFERROR(__xludf.dummyfunction("if($T376&lt;&gt;"""",REGEXEXTRACT($T376, M$1&amp;""[\w &amp;]*, (\d+\.\d+)""),"""")
"),"")</f>
        <v/>
      </c>
      <c r="N376" s="3" t="str">
        <f aca="false">IFERROR(__xludf.dummyfunction("if($T376&lt;&gt;"""",REGEXEXTRACT(SUBSTITUTE ($T376,N$1&amp;"" CE"",""""), N$1&amp;""[\w &amp;]*, (\d+\.\d+)""),"""")
"),"")</f>
        <v/>
      </c>
      <c r="O376" s="3" t="str">
        <f aca="false">IFERROR(__xludf.dummyfunction("if($T376&lt;&gt;"""",REGEXEXTRACT($T376, O$1&amp;""[\w &amp;]*, (\d+\.\d+)""),"""")
"),"")</f>
        <v/>
      </c>
      <c r="P376" s="2"/>
      <c r="Q376" s="2"/>
      <c r="R376" s="2"/>
      <c r="S376" s="2"/>
      <c r="T376" s="5"/>
    </row>
    <row r="377" customFormat="false" ht="15.75" hidden="false" customHeight="false" outlineLevel="0" collapsed="false">
      <c r="A377" s="4"/>
      <c r="B377" s="2"/>
      <c r="C377" s="2"/>
      <c r="D377" s="2"/>
      <c r="E377" s="2"/>
      <c r="F377" s="3" t="str">
        <f aca="false">IFERROR(__xludf.dummyfunction("if($T377&lt;&gt;"""",REGEXEXTRACT(SUBSTITUTE ($T377,F$1&amp;"" CE"",""""), F$1&amp;""[\w &amp;]*, (\d+\.\d+)""),"""")
"),"")</f>
        <v/>
      </c>
      <c r="G377" s="3" t="str">
        <f aca="false">IFERROR(__xludf.dummyfunction("if($T377&lt;&gt;"""",REGEXEXTRACT($T377, G$1&amp;""[\w &amp;]*, (\d+\.\d+)""),"""")
"),"")</f>
        <v/>
      </c>
      <c r="H377" s="3"/>
      <c r="I377" s="3" t="str">
        <f aca="false">IFERROR(__xludf.dummyfunction("if($T377&lt;&gt;"""",REGEXEXTRACT(SUBSTITUTE ($T377,I$1&amp;"" CE"",""""), I$1&amp;""[\w &amp;]*, (\d+\.\d+)""),"""")
"),"")</f>
        <v/>
      </c>
      <c r="J377" s="3" t="str">
        <f aca="false">IFERROR(__xludf.dummyfunction("if($T377&lt;&gt;"""",REGEXEXTRACT($T377, J$1&amp;""[\w &amp;]*, (\d+\.\d+)""),"""")
"),"")</f>
        <v/>
      </c>
      <c r="K377" s="3"/>
      <c r="L377" s="3" t="str">
        <f aca="false">IFERROR(__xludf.dummyfunction("if($T377&lt;&gt;"""",REGEXEXTRACT(SUBSTITUTE ($T377,L$1&amp;"" CE"",""""), L$1&amp;""[\w &amp;]*, (\d+\.\d+)""),"""")
"),"")</f>
        <v/>
      </c>
      <c r="M377" s="3" t="str">
        <f aca="false">IFERROR(__xludf.dummyfunction("if($T377&lt;&gt;"""",REGEXEXTRACT($T377, M$1&amp;""[\w &amp;]*, (\d+\.\d+)""),"""")
"),"")</f>
        <v/>
      </c>
      <c r="N377" s="3" t="str">
        <f aca="false">IFERROR(__xludf.dummyfunction("if($T377&lt;&gt;"""",REGEXEXTRACT(SUBSTITUTE ($T377,N$1&amp;"" CE"",""""), N$1&amp;""[\w &amp;]*, (\d+\.\d+)""),"""")
"),"")</f>
        <v/>
      </c>
      <c r="O377" s="3" t="str">
        <f aca="false">IFERROR(__xludf.dummyfunction("if($T377&lt;&gt;"""",REGEXEXTRACT($T377, O$1&amp;""[\w &amp;]*, (\d+\.\d+)""),"""")
"),"")</f>
        <v/>
      </c>
      <c r="P377" s="2"/>
      <c r="Q377" s="2"/>
      <c r="R377" s="2"/>
      <c r="S377" s="2"/>
      <c r="T377" s="5"/>
    </row>
    <row r="378" customFormat="false" ht="15.75" hidden="false" customHeight="false" outlineLevel="0" collapsed="false">
      <c r="A378" s="4"/>
      <c r="B378" s="2"/>
      <c r="C378" s="2"/>
      <c r="D378" s="2"/>
      <c r="E378" s="2"/>
      <c r="F378" s="3" t="str">
        <f aca="false">IFERROR(__xludf.dummyfunction("if($T378&lt;&gt;"""",REGEXEXTRACT(SUBSTITUTE ($T378,F$1&amp;"" CE"",""""), F$1&amp;""[\w &amp;]*, (\d+\.\d+)""),"""")
"),"")</f>
        <v/>
      </c>
      <c r="G378" s="3" t="str">
        <f aca="false">IFERROR(__xludf.dummyfunction("if($T378&lt;&gt;"""",REGEXEXTRACT($T378, G$1&amp;""[\w &amp;]*, (\d+\.\d+)""),"""")
"),"")</f>
        <v/>
      </c>
      <c r="H378" s="3"/>
      <c r="I378" s="3" t="str">
        <f aca="false">IFERROR(__xludf.dummyfunction("if($T378&lt;&gt;"""",REGEXEXTRACT(SUBSTITUTE ($T378,I$1&amp;"" CE"",""""), I$1&amp;""[\w &amp;]*, (\d+\.\d+)""),"""")
"),"")</f>
        <v/>
      </c>
      <c r="J378" s="3" t="str">
        <f aca="false">IFERROR(__xludf.dummyfunction("if($T378&lt;&gt;"""",REGEXEXTRACT($T378, J$1&amp;""[\w &amp;]*, (\d+\.\d+)""),"""")
"),"")</f>
        <v/>
      </c>
      <c r="K378" s="3"/>
      <c r="L378" s="3" t="str">
        <f aca="false">IFERROR(__xludf.dummyfunction("if($T378&lt;&gt;"""",REGEXEXTRACT(SUBSTITUTE ($T378,L$1&amp;"" CE"",""""), L$1&amp;""[\w &amp;]*, (\d+\.\d+)""),"""")
"),"")</f>
        <v/>
      </c>
      <c r="M378" s="3" t="str">
        <f aca="false">IFERROR(__xludf.dummyfunction("if($T378&lt;&gt;"""",REGEXEXTRACT($T378, M$1&amp;""[\w &amp;]*, (\d+\.\d+)""),"""")
"),"")</f>
        <v/>
      </c>
      <c r="N378" s="3" t="str">
        <f aca="false">IFERROR(__xludf.dummyfunction("if($T378&lt;&gt;"""",REGEXEXTRACT(SUBSTITUTE ($T378,N$1&amp;"" CE"",""""), N$1&amp;""[\w &amp;]*, (\d+\.\d+)""),"""")
"),"")</f>
        <v/>
      </c>
      <c r="O378" s="3" t="str">
        <f aca="false">IFERROR(__xludf.dummyfunction("if($T378&lt;&gt;"""",REGEXEXTRACT($T378, O$1&amp;""[\w &amp;]*, (\d+\.\d+)""),"""")
"),"")</f>
        <v/>
      </c>
      <c r="P378" s="2"/>
      <c r="Q378" s="2"/>
      <c r="R378" s="2"/>
      <c r="S378" s="2"/>
      <c r="T378" s="5"/>
    </row>
    <row r="379" customFormat="false" ht="15.75" hidden="false" customHeight="false" outlineLevel="0" collapsed="false">
      <c r="A379" s="4"/>
      <c r="B379" s="2"/>
      <c r="C379" s="2"/>
      <c r="D379" s="2"/>
      <c r="E379" s="2"/>
      <c r="F379" s="3" t="str">
        <f aca="false">IFERROR(__xludf.dummyfunction("if($T379&lt;&gt;"""",REGEXEXTRACT(SUBSTITUTE ($T379,F$1&amp;"" CE"",""""), F$1&amp;""[\w &amp;]*, (\d+\.\d+)""),"""")
"),"")</f>
        <v/>
      </c>
      <c r="G379" s="3" t="str">
        <f aca="false">IFERROR(__xludf.dummyfunction("if($T379&lt;&gt;"""",REGEXEXTRACT($T379, G$1&amp;""[\w &amp;]*, (\d+\.\d+)""),"""")
"),"")</f>
        <v/>
      </c>
      <c r="H379" s="3"/>
      <c r="I379" s="3" t="str">
        <f aca="false">IFERROR(__xludf.dummyfunction("if($T379&lt;&gt;"""",REGEXEXTRACT(SUBSTITUTE ($T379,I$1&amp;"" CE"",""""), I$1&amp;""[\w &amp;]*, (\d+\.\d+)""),"""")
"),"")</f>
        <v/>
      </c>
      <c r="J379" s="3" t="str">
        <f aca="false">IFERROR(__xludf.dummyfunction("if($T379&lt;&gt;"""",REGEXEXTRACT($T379, J$1&amp;""[\w &amp;]*, (\d+\.\d+)""),"""")
"),"")</f>
        <v/>
      </c>
      <c r="K379" s="3"/>
      <c r="L379" s="3" t="str">
        <f aca="false">IFERROR(__xludf.dummyfunction("if($T379&lt;&gt;"""",REGEXEXTRACT(SUBSTITUTE ($T379,L$1&amp;"" CE"",""""), L$1&amp;""[\w &amp;]*, (\d+\.\d+)""),"""")
"),"")</f>
        <v/>
      </c>
      <c r="M379" s="3" t="str">
        <f aca="false">IFERROR(__xludf.dummyfunction("if($T379&lt;&gt;"""",REGEXEXTRACT($T379, M$1&amp;""[\w &amp;]*, (\d+\.\d+)""),"""")
"),"")</f>
        <v/>
      </c>
      <c r="N379" s="3" t="str">
        <f aca="false">IFERROR(__xludf.dummyfunction("if($T379&lt;&gt;"""",REGEXEXTRACT(SUBSTITUTE ($T379,N$1&amp;"" CE"",""""), N$1&amp;""[\w &amp;]*, (\d+\.\d+)""),"""")
"),"")</f>
        <v/>
      </c>
      <c r="O379" s="3" t="str">
        <f aca="false">IFERROR(__xludf.dummyfunction("if($T379&lt;&gt;"""",REGEXEXTRACT($T379, O$1&amp;""[\w &amp;]*, (\d+\.\d+)""),"""")
"),"")</f>
        <v/>
      </c>
      <c r="P379" s="2"/>
      <c r="Q379" s="2"/>
      <c r="R379" s="2"/>
      <c r="S379" s="2"/>
      <c r="T379" s="5"/>
    </row>
    <row r="380" customFormat="false" ht="15.75" hidden="false" customHeight="false" outlineLevel="0" collapsed="false">
      <c r="A380" s="4"/>
      <c r="B380" s="2"/>
      <c r="C380" s="2"/>
      <c r="D380" s="2"/>
      <c r="E380" s="2"/>
      <c r="F380" s="3" t="str">
        <f aca="false">IFERROR(__xludf.dummyfunction("if($T380&lt;&gt;"""",REGEXEXTRACT(SUBSTITUTE ($T380,F$1&amp;"" CE"",""""), F$1&amp;""[\w &amp;]*, (\d+\.\d+)""),"""")
"),"")</f>
        <v/>
      </c>
      <c r="G380" s="3" t="str">
        <f aca="false">IFERROR(__xludf.dummyfunction("if($T380&lt;&gt;"""",REGEXEXTRACT($T380, G$1&amp;""[\w &amp;]*, (\d+\.\d+)""),"""")
"),"")</f>
        <v/>
      </c>
      <c r="H380" s="3"/>
      <c r="I380" s="3" t="str">
        <f aca="false">IFERROR(__xludf.dummyfunction("if($T380&lt;&gt;"""",REGEXEXTRACT(SUBSTITUTE ($T380,I$1&amp;"" CE"",""""), I$1&amp;""[\w &amp;]*, (\d+\.\d+)""),"""")
"),"")</f>
        <v/>
      </c>
      <c r="J380" s="3" t="str">
        <f aca="false">IFERROR(__xludf.dummyfunction("if($T380&lt;&gt;"""",REGEXEXTRACT($T380, J$1&amp;""[\w &amp;]*, (\d+\.\d+)""),"""")
"),"")</f>
        <v/>
      </c>
      <c r="K380" s="3"/>
      <c r="L380" s="3" t="str">
        <f aca="false">IFERROR(__xludf.dummyfunction("if($T380&lt;&gt;"""",REGEXEXTRACT(SUBSTITUTE ($T380,L$1&amp;"" CE"",""""), L$1&amp;""[\w &amp;]*, (\d+\.\d+)""),"""")
"),"")</f>
        <v/>
      </c>
      <c r="M380" s="3" t="str">
        <f aca="false">IFERROR(__xludf.dummyfunction("if($T380&lt;&gt;"""",REGEXEXTRACT($T380, M$1&amp;""[\w &amp;]*, (\d+\.\d+)""),"""")
"),"")</f>
        <v/>
      </c>
      <c r="N380" s="3" t="str">
        <f aca="false">IFERROR(__xludf.dummyfunction("if($T380&lt;&gt;"""",REGEXEXTRACT(SUBSTITUTE ($T380,N$1&amp;"" CE"",""""), N$1&amp;""[\w &amp;]*, (\d+\.\d+)""),"""")
"),"")</f>
        <v/>
      </c>
      <c r="O380" s="3" t="str">
        <f aca="false">IFERROR(__xludf.dummyfunction("if($T380&lt;&gt;"""",REGEXEXTRACT($T380, O$1&amp;""[\w &amp;]*, (\d+\.\d+)""),"""")
"),"")</f>
        <v/>
      </c>
      <c r="P380" s="2"/>
      <c r="Q380" s="2"/>
      <c r="R380" s="2"/>
      <c r="S380" s="2"/>
      <c r="T380" s="5"/>
    </row>
    <row r="381" customFormat="false" ht="15.75" hidden="false" customHeight="false" outlineLevel="0" collapsed="false">
      <c r="A381" s="4"/>
      <c r="B381" s="2"/>
      <c r="C381" s="2"/>
      <c r="D381" s="2"/>
      <c r="E381" s="2"/>
      <c r="F381" s="3" t="str">
        <f aca="false">IFERROR(__xludf.dummyfunction("if($T381&lt;&gt;"""",REGEXEXTRACT(SUBSTITUTE ($T381,F$1&amp;"" CE"",""""), F$1&amp;""[\w &amp;]*, (\d+\.\d+)""),"""")
"),"")</f>
        <v/>
      </c>
      <c r="G381" s="3" t="str">
        <f aca="false">IFERROR(__xludf.dummyfunction("if($T381&lt;&gt;"""",REGEXEXTRACT($T381, G$1&amp;""[\w &amp;]*, (\d+\.\d+)""),"""")
"),"")</f>
        <v/>
      </c>
      <c r="H381" s="3"/>
      <c r="I381" s="3" t="str">
        <f aca="false">IFERROR(__xludf.dummyfunction("if($T381&lt;&gt;"""",REGEXEXTRACT(SUBSTITUTE ($T381,I$1&amp;"" CE"",""""), I$1&amp;""[\w &amp;]*, (\d+\.\d+)""),"""")
"),"")</f>
        <v/>
      </c>
      <c r="J381" s="3" t="str">
        <f aca="false">IFERROR(__xludf.dummyfunction("if($T381&lt;&gt;"""",REGEXEXTRACT($T381, J$1&amp;""[\w &amp;]*, (\d+\.\d+)""),"""")
"),"")</f>
        <v/>
      </c>
      <c r="K381" s="3"/>
      <c r="L381" s="3" t="str">
        <f aca="false">IFERROR(__xludf.dummyfunction("if($T381&lt;&gt;"""",REGEXEXTRACT(SUBSTITUTE ($T381,L$1&amp;"" CE"",""""), L$1&amp;""[\w &amp;]*, (\d+\.\d+)""),"""")
"),"")</f>
        <v/>
      </c>
      <c r="M381" s="3" t="str">
        <f aca="false">IFERROR(__xludf.dummyfunction("if($T381&lt;&gt;"""",REGEXEXTRACT($T381, M$1&amp;""[\w &amp;]*, (\d+\.\d+)""),"""")
"),"")</f>
        <v/>
      </c>
      <c r="N381" s="3" t="str">
        <f aca="false">IFERROR(__xludf.dummyfunction("if($T381&lt;&gt;"""",REGEXEXTRACT(SUBSTITUTE ($T381,N$1&amp;"" CE"",""""), N$1&amp;""[\w &amp;]*, (\d+\.\d+)""),"""")
"),"")</f>
        <v/>
      </c>
      <c r="O381" s="3" t="str">
        <f aca="false">IFERROR(__xludf.dummyfunction("if($T381&lt;&gt;"""",REGEXEXTRACT($T381, O$1&amp;""[\w &amp;]*, (\d+\.\d+)""),"""")
"),"")</f>
        <v/>
      </c>
      <c r="P381" s="2"/>
      <c r="Q381" s="2"/>
      <c r="R381" s="2"/>
      <c r="S381" s="2"/>
      <c r="T381" s="5"/>
    </row>
    <row r="382" customFormat="false" ht="15.75" hidden="false" customHeight="false" outlineLevel="0" collapsed="false">
      <c r="A382" s="4"/>
      <c r="B382" s="2"/>
      <c r="C382" s="2"/>
      <c r="D382" s="2"/>
      <c r="E382" s="2"/>
      <c r="F382" s="3" t="str">
        <f aca="false">IFERROR(__xludf.dummyfunction("if($T382&lt;&gt;"""",REGEXEXTRACT(SUBSTITUTE ($T382,F$1&amp;"" CE"",""""), F$1&amp;""[\w &amp;]*, (\d+\.\d+)""),"""")
"),"")</f>
        <v/>
      </c>
      <c r="G382" s="3" t="str">
        <f aca="false">IFERROR(__xludf.dummyfunction("if($T382&lt;&gt;"""",REGEXEXTRACT($T382, G$1&amp;""[\w &amp;]*, (\d+\.\d+)""),"""")
"),"")</f>
        <v/>
      </c>
      <c r="H382" s="3"/>
      <c r="I382" s="3" t="str">
        <f aca="false">IFERROR(__xludf.dummyfunction("if($T382&lt;&gt;"""",REGEXEXTRACT(SUBSTITUTE ($T382,I$1&amp;"" CE"",""""), I$1&amp;""[\w &amp;]*, (\d+\.\d+)""),"""")
"),"")</f>
        <v/>
      </c>
      <c r="J382" s="3" t="str">
        <f aca="false">IFERROR(__xludf.dummyfunction("if($T382&lt;&gt;"""",REGEXEXTRACT($T382, J$1&amp;""[\w &amp;]*, (\d+\.\d+)""),"""")
"),"")</f>
        <v/>
      </c>
      <c r="K382" s="3"/>
      <c r="L382" s="3" t="str">
        <f aca="false">IFERROR(__xludf.dummyfunction("if($T382&lt;&gt;"""",REGEXEXTRACT(SUBSTITUTE ($T382,L$1&amp;"" CE"",""""), L$1&amp;""[\w &amp;]*, (\d+\.\d+)""),"""")
"),"")</f>
        <v/>
      </c>
      <c r="M382" s="3" t="str">
        <f aca="false">IFERROR(__xludf.dummyfunction("if($T382&lt;&gt;"""",REGEXEXTRACT($T382, M$1&amp;""[\w &amp;]*, (\d+\.\d+)""),"""")
"),"")</f>
        <v/>
      </c>
      <c r="N382" s="3" t="str">
        <f aca="false">IFERROR(__xludf.dummyfunction("if($T382&lt;&gt;"""",REGEXEXTRACT(SUBSTITUTE ($T382,N$1&amp;"" CE"",""""), N$1&amp;""[\w &amp;]*, (\d+\.\d+)""),"""")
"),"")</f>
        <v/>
      </c>
      <c r="O382" s="3" t="str">
        <f aca="false">IFERROR(__xludf.dummyfunction("if($T382&lt;&gt;"""",REGEXEXTRACT($T382, O$1&amp;""[\w &amp;]*, (\d+\.\d+)""),"""")
"),"")</f>
        <v/>
      </c>
      <c r="P382" s="2"/>
      <c r="Q382" s="2"/>
      <c r="R382" s="2"/>
      <c r="S382" s="2"/>
      <c r="T382" s="5"/>
    </row>
    <row r="383" customFormat="false" ht="15.75" hidden="false" customHeight="false" outlineLevel="0" collapsed="false">
      <c r="A383" s="4"/>
      <c r="B383" s="2"/>
      <c r="C383" s="2"/>
      <c r="D383" s="2"/>
      <c r="E383" s="2"/>
      <c r="F383" s="3" t="str">
        <f aca="false">IFERROR(__xludf.dummyfunction("if($T383&lt;&gt;"""",REGEXEXTRACT(SUBSTITUTE ($T383,F$1&amp;"" CE"",""""), F$1&amp;""[\w &amp;]*, (\d+\.\d+)""),"""")
"),"")</f>
        <v/>
      </c>
      <c r="G383" s="3" t="str">
        <f aca="false">IFERROR(__xludf.dummyfunction("if($T383&lt;&gt;"""",REGEXEXTRACT($T383, G$1&amp;""[\w &amp;]*, (\d+\.\d+)""),"""")
"),"")</f>
        <v/>
      </c>
      <c r="H383" s="3"/>
      <c r="I383" s="3" t="str">
        <f aca="false">IFERROR(__xludf.dummyfunction("if($T383&lt;&gt;"""",REGEXEXTRACT(SUBSTITUTE ($T383,I$1&amp;"" CE"",""""), I$1&amp;""[\w &amp;]*, (\d+\.\d+)""),"""")
"),"")</f>
        <v/>
      </c>
      <c r="J383" s="3" t="str">
        <f aca="false">IFERROR(__xludf.dummyfunction("if($T383&lt;&gt;"""",REGEXEXTRACT($T383, J$1&amp;""[\w &amp;]*, (\d+\.\d+)""),"""")
"),"")</f>
        <v/>
      </c>
      <c r="K383" s="3"/>
      <c r="L383" s="3" t="str">
        <f aca="false">IFERROR(__xludf.dummyfunction("if($T383&lt;&gt;"""",REGEXEXTRACT(SUBSTITUTE ($T383,L$1&amp;"" CE"",""""), L$1&amp;""[\w &amp;]*, (\d+\.\d+)""),"""")
"),"")</f>
        <v/>
      </c>
      <c r="M383" s="3" t="str">
        <f aca="false">IFERROR(__xludf.dummyfunction("if($T383&lt;&gt;"""",REGEXEXTRACT($T383, M$1&amp;""[\w &amp;]*, (\d+\.\d+)""),"""")
"),"")</f>
        <v/>
      </c>
      <c r="N383" s="3" t="str">
        <f aca="false">IFERROR(__xludf.dummyfunction("if($T383&lt;&gt;"""",REGEXEXTRACT(SUBSTITUTE ($T383,N$1&amp;"" CE"",""""), N$1&amp;""[\w &amp;]*, (\d+\.\d+)""),"""")
"),"")</f>
        <v/>
      </c>
      <c r="O383" s="3" t="str">
        <f aca="false">IFERROR(__xludf.dummyfunction("if($T383&lt;&gt;"""",REGEXEXTRACT($T383, O$1&amp;""[\w &amp;]*, (\d+\.\d+)""),"""")
"),"")</f>
        <v/>
      </c>
      <c r="P383" s="2"/>
      <c r="Q383" s="2"/>
      <c r="R383" s="2"/>
      <c r="S383" s="2"/>
      <c r="T383" s="5"/>
    </row>
    <row r="384" customFormat="false" ht="15.75" hidden="false" customHeight="false" outlineLevel="0" collapsed="false">
      <c r="A384" s="4"/>
      <c r="B384" s="2"/>
      <c r="C384" s="2"/>
      <c r="D384" s="2"/>
      <c r="E384" s="2"/>
      <c r="F384" s="3" t="str">
        <f aca="false">IFERROR(__xludf.dummyfunction("if($T384&lt;&gt;"""",REGEXEXTRACT(SUBSTITUTE ($T384,F$1&amp;"" CE"",""""), F$1&amp;""[\w &amp;]*, (\d+\.\d+)""),"""")
"),"")</f>
        <v/>
      </c>
      <c r="G384" s="3" t="str">
        <f aca="false">IFERROR(__xludf.dummyfunction("if($T384&lt;&gt;"""",REGEXEXTRACT($T384, G$1&amp;""[\w &amp;]*, (\d+\.\d+)""),"""")
"),"")</f>
        <v/>
      </c>
      <c r="H384" s="3"/>
      <c r="I384" s="3" t="str">
        <f aca="false">IFERROR(__xludf.dummyfunction("if($T384&lt;&gt;"""",REGEXEXTRACT(SUBSTITUTE ($T384,I$1&amp;"" CE"",""""), I$1&amp;""[\w &amp;]*, (\d+\.\d+)""),"""")
"),"")</f>
        <v/>
      </c>
      <c r="J384" s="3" t="str">
        <f aca="false">IFERROR(__xludf.dummyfunction("if($T384&lt;&gt;"""",REGEXEXTRACT($T384, J$1&amp;""[\w &amp;]*, (\d+\.\d+)""),"""")
"),"")</f>
        <v/>
      </c>
      <c r="K384" s="3"/>
      <c r="L384" s="3" t="str">
        <f aca="false">IFERROR(__xludf.dummyfunction("if($T384&lt;&gt;"""",REGEXEXTRACT(SUBSTITUTE ($T384,L$1&amp;"" CE"",""""), L$1&amp;""[\w &amp;]*, (\d+\.\d+)""),"""")
"),"")</f>
        <v/>
      </c>
      <c r="M384" s="3" t="str">
        <f aca="false">IFERROR(__xludf.dummyfunction("if($T384&lt;&gt;"""",REGEXEXTRACT($T384, M$1&amp;""[\w &amp;]*, (\d+\.\d+)""),"""")
"),"")</f>
        <v/>
      </c>
      <c r="N384" s="3" t="str">
        <f aca="false">IFERROR(__xludf.dummyfunction("if($T384&lt;&gt;"""",REGEXEXTRACT(SUBSTITUTE ($T384,N$1&amp;"" CE"",""""), N$1&amp;""[\w &amp;]*, (\d+\.\d+)""),"""")
"),"")</f>
        <v/>
      </c>
      <c r="O384" s="3" t="str">
        <f aca="false">IFERROR(__xludf.dummyfunction("if($T384&lt;&gt;"""",REGEXEXTRACT($T384, O$1&amp;""[\w &amp;]*, (\d+\.\d+)""),"""")
"),"")</f>
        <v/>
      </c>
      <c r="P384" s="2"/>
      <c r="Q384" s="2"/>
      <c r="R384" s="2"/>
      <c r="S384" s="2"/>
      <c r="T384" s="5"/>
    </row>
    <row r="385" customFormat="false" ht="15.75" hidden="false" customHeight="false" outlineLevel="0" collapsed="false">
      <c r="A385" s="4"/>
      <c r="B385" s="2"/>
      <c r="C385" s="2"/>
      <c r="D385" s="2"/>
      <c r="E385" s="2"/>
      <c r="F385" s="3" t="str">
        <f aca="false">IFERROR(__xludf.dummyfunction("if($T385&lt;&gt;"""",REGEXEXTRACT(SUBSTITUTE ($T385,F$1&amp;"" CE"",""""), F$1&amp;""[\w &amp;]*, (\d+\.\d+)""),"""")
"),"")</f>
        <v/>
      </c>
      <c r="G385" s="3" t="str">
        <f aca="false">IFERROR(__xludf.dummyfunction("if($T385&lt;&gt;"""",REGEXEXTRACT($T385, G$1&amp;""[\w &amp;]*, (\d+\.\d+)""),"""")
"),"")</f>
        <v/>
      </c>
      <c r="H385" s="3"/>
      <c r="I385" s="3" t="str">
        <f aca="false">IFERROR(__xludf.dummyfunction("if($T385&lt;&gt;"""",REGEXEXTRACT(SUBSTITUTE ($T385,I$1&amp;"" CE"",""""), I$1&amp;""[\w &amp;]*, (\d+\.\d+)""),"""")
"),"")</f>
        <v/>
      </c>
      <c r="J385" s="3" t="str">
        <f aca="false">IFERROR(__xludf.dummyfunction("if($T385&lt;&gt;"""",REGEXEXTRACT($T385, J$1&amp;""[\w &amp;]*, (\d+\.\d+)""),"""")
"),"")</f>
        <v/>
      </c>
      <c r="K385" s="3"/>
      <c r="L385" s="3" t="str">
        <f aca="false">IFERROR(__xludf.dummyfunction("if($T385&lt;&gt;"""",REGEXEXTRACT(SUBSTITUTE ($T385,L$1&amp;"" CE"",""""), L$1&amp;""[\w &amp;]*, (\d+\.\d+)""),"""")
"),"")</f>
        <v/>
      </c>
      <c r="M385" s="3" t="str">
        <f aca="false">IFERROR(__xludf.dummyfunction("if($T385&lt;&gt;"""",REGEXEXTRACT($T385, M$1&amp;""[\w &amp;]*, (\d+\.\d+)""),"""")
"),"")</f>
        <v/>
      </c>
      <c r="N385" s="3" t="str">
        <f aca="false">IFERROR(__xludf.dummyfunction("if($T385&lt;&gt;"""",REGEXEXTRACT(SUBSTITUTE ($T385,N$1&amp;"" CE"",""""), N$1&amp;""[\w &amp;]*, (\d+\.\d+)""),"""")
"),"")</f>
        <v/>
      </c>
      <c r="O385" s="3" t="str">
        <f aca="false">IFERROR(__xludf.dummyfunction("if($T385&lt;&gt;"""",REGEXEXTRACT($T385, O$1&amp;""[\w &amp;]*, (\d+\.\d+)""),"""")
"),"")</f>
        <v/>
      </c>
      <c r="P385" s="2"/>
      <c r="Q385" s="2"/>
      <c r="R385" s="2"/>
      <c r="S385" s="2"/>
      <c r="T385" s="5"/>
    </row>
    <row r="386" customFormat="false" ht="15.75" hidden="false" customHeight="false" outlineLevel="0" collapsed="false">
      <c r="A386" s="4"/>
      <c r="B386" s="2"/>
      <c r="C386" s="2"/>
      <c r="D386" s="2"/>
      <c r="E386" s="2"/>
      <c r="F386" s="3" t="str">
        <f aca="false">IFERROR(__xludf.dummyfunction("if($T386&lt;&gt;"""",REGEXEXTRACT(SUBSTITUTE ($T386,F$1&amp;"" CE"",""""), F$1&amp;""[\w &amp;]*, (\d+\.\d+)""),"""")
"),"")</f>
        <v/>
      </c>
      <c r="G386" s="3" t="str">
        <f aca="false">IFERROR(__xludf.dummyfunction("if($T386&lt;&gt;"""",REGEXEXTRACT($T386, G$1&amp;""[\w &amp;]*, (\d+\.\d+)""),"""")
"),"")</f>
        <v/>
      </c>
      <c r="H386" s="3"/>
      <c r="I386" s="3" t="str">
        <f aca="false">IFERROR(__xludf.dummyfunction("if($T386&lt;&gt;"""",REGEXEXTRACT(SUBSTITUTE ($T386,I$1&amp;"" CE"",""""), I$1&amp;""[\w &amp;]*, (\d+\.\d+)""),"""")
"),"")</f>
        <v/>
      </c>
      <c r="J386" s="3" t="str">
        <f aca="false">IFERROR(__xludf.dummyfunction("if($T386&lt;&gt;"""",REGEXEXTRACT($T386, J$1&amp;""[\w &amp;]*, (\d+\.\d+)""),"""")
"),"")</f>
        <v/>
      </c>
      <c r="K386" s="3"/>
      <c r="L386" s="3" t="str">
        <f aca="false">IFERROR(__xludf.dummyfunction("if($T386&lt;&gt;"""",REGEXEXTRACT(SUBSTITUTE ($T386,L$1&amp;"" CE"",""""), L$1&amp;""[\w &amp;]*, (\d+\.\d+)""),"""")
"),"")</f>
        <v/>
      </c>
      <c r="M386" s="3" t="str">
        <f aca="false">IFERROR(__xludf.dummyfunction("if($T386&lt;&gt;"""",REGEXEXTRACT($T386, M$1&amp;""[\w &amp;]*, (\d+\.\d+)""),"""")
"),"")</f>
        <v/>
      </c>
      <c r="N386" s="3" t="str">
        <f aca="false">IFERROR(__xludf.dummyfunction("if($T386&lt;&gt;"""",REGEXEXTRACT(SUBSTITUTE ($T386,N$1&amp;"" CE"",""""), N$1&amp;""[\w &amp;]*, (\d+\.\d+)""),"""")
"),"")</f>
        <v/>
      </c>
      <c r="O386" s="3" t="str">
        <f aca="false">IFERROR(__xludf.dummyfunction("if($T386&lt;&gt;"""",REGEXEXTRACT($T386, O$1&amp;""[\w &amp;]*, (\d+\.\d+)""),"""")
"),"")</f>
        <v/>
      </c>
      <c r="P386" s="2"/>
      <c r="Q386" s="2"/>
      <c r="R386" s="2"/>
      <c r="S386" s="2"/>
      <c r="T386" s="5"/>
    </row>
    <row r="387" customFormat="false" ht="15.75" hidden="false" customHeight="false" outlineLevel="0" collapsed="false">
      <c r="A387" s="4"/>
      <c r="B387" s="2"/>
      <c r="C387" s="2"/>
      <c r="D387" s="2"/>
      <c r="E387" s="2"/>
      <c r="F387" s="3" t="str">
        <f aca="false">IFERROR(__xludf.dummyfunction("if($T387&lt;&gt;"""",REGEXEXTRACT(SUBSTITUTE ($T387,F$1&amp;"" CE"",""""), F$1&amp;""[\w &amp;]*, (\d+\.\d+)""),"""")
"),"")</f>
        <v/>
      </c>
      <c r="G387" s="3" t="str">
        <f aca="false">IFERROR(__xludf.dummyfunction("if($T387&lt;&gt;"""",REGEXEXTRACT($T387, G$1&amp;""[\w &amp;]*, (\d+\.\d+)""),"""")
"),"")</f>
        <v/>
      </c>
      <c r="H387" s="3"/>
      <c r="I387" s="3" t="str">
        <f aca="false">IFERROR(__xludf.dummyfunction("if($T387&lt;&gt;"""",REGEXEXTRACT(SUBSTITUTE ($T387,I$1&amp;"" CE"",""""), I$1&amp;""[\w &amp;]*, (\d+\.\d+)""),"""")
"),"")</f>
        <v/>
      </c>
      <c r="J387" s="3" t="str">
        <f aca="false">IFERROR(__xludf.dummyfunction("if($T387&lt;&gt;"""",REGEXEXTRACT($T387, J$1&amp;""[\w &amp;]*, (\d+\.\d+)""),"""")
"),"")</f>
        <v/>
      </c>
      <c r="K387" s="3"/>
      <c r="L387" s="3" t="str">
        <f aca="false">IFERROR(__xludf.dummyfunction("if($T387&lt;&gt;"""",REGEXEXTRACT(SUBSTITUTE ($T387,L$1&amp;"" CE"",""""), L$1&amp;""[\w &amp;]*, (\d+\.\d+)""),"""")
"),"")</f>
        <v/>
      </c>
      <c r="M387" s="3" t="str">
        <f aca="false">IFERROR(__xludf.dummyfunction("if($T387&lt;&gt;"""",REGEXEXTRACT($T387, M$1&amp;""[\w &amp;]*, (\d+\.\d+)""),"""")
"),"")</f>
        <v/>
      </c>
      <c r="N387" s="3" t="str">
        <f aca="false">IFERROR(__xludf.dummyfunction("if($T387&lt;&gt;"""",REGEXEXTRACT(SUBSTITUTE ($T387,N$1&amp;"" CE"",""""), N$1&amp;""[\w &amp;]*, (\d+\.\d+)""),"""")
"),"")</f>
        <v/>
      </c>
      <c r="O387" s="3" t="str">
        <f aca="false">IFERROR(__xludf.dummyfunction("if($T387&lt;&gt;"""",REGEXEXTRACT($T387, O$1&amp;""[\w &amp;]*, (\d+\.\d+)""),"""")
"),"")</f>
        <v/>
      </c>
      <c r="P387" s="2"/>
      <c r="Q387" s="2"/>
      <c r="R387" s="2"/>
      <c r="S387" s="2"/>
      <c r="T387" s="5"/>
    </row>
    <row r="388" customFormat="false" ht="15.75" hidden="false" customHeight="false" outlineLevel="0" collapsed="false">
      <c r="A388" s="4"/>
      <c r="B388" s="2"/>
      <c r="C388" s="2"/>
      <c r="D388" s="2"/>
      <c r="E388" s="2"/>
      <c r="F388" s="3" t="str">
        <f aca="false">IFERROR(__xludf.dummyfunction("if($T388&lt;&gt;"""",REGEXEXTRACT(SUBSTITUTE ($T388,F$1&amp;"" CE"",""""), F$1&amp;""[\w &amp;]*, (\d+\.\d+)""),"""")
"),"")</f>
        <v/>
      </c>
      <c r="G388" s="3" t="str">
        <f aca="false">IFERROR(__xludf.dummyfunction("if($T388&lt;&gt;"""",REGEXEXTRACT($T388, G$1&amp;""[\w &amp;]*, (\d+\.\d+)""),"""")
"),"")</f>
        <v/>
      </c>
      <c r="H388" s="3"/>
      <c r="I388" s="3" t="str">
        <f aca="false">IFERROR(__xludf.dummyfunction("if($T388&lt;&gt;"""",REGEXEXTRACT(SUBSTITUTE ($T388,I$1&amp;"" CE"",""""), I$1&amp;""[\w &amp;]*, (\d+\.\d+)""),"""")
"),"")</f>
        <v/>
      </c>
      <c r="J388" s="3" t="str">
        <f aca="false">IFERROR(__xludf.dummyfunction("if($T388&lt;&gt;"""",REGEXEXTRACT($T388, J$1&amp;""[\w &amp;]*, (\d+\.\d+)""),"""")
"),"")</f>
        <v/>
      </c>
      <c r="K388" s="3"/>
      <c r="L388" s="3" t="str">
        <f aca="false">IFERROR(__xludf.dummyfunction("if($T388&lt;&gt;"""",REGEXEXTRACT(SUBSTITUTE ($T388,L$1&amp;"" CE"",""""), L$1&amp;""[\w &amp;]*, (\d+\.\d+)""),"""")
"),"")</f>
        <v/>
      </c>
      <c r="M388" s="3" t="str">
        <f aca="false">IFERROR(__xludf.dummyfunction("if($T388&lt;&gt;"""",REGEXEXTRACT($T388, M$1&amp;""[\w &amp;]*, (\d+\.\d+)""),"""")
"),"")</f>
        <v/>
      </c>
      <c r="N388" s="3" t="str">
        <f aca="false">IFERROR(__xludf.dummyfunction("if($T388&lt;&gt;"""",REGEXEXTRACT(SUBSTITUTE ($T388,N$1&amp;"" CE"",""""), N$1&amp;""[\w &amp;]*, (\d+\.\d+)""),"""")
"),"")</f>
        <v/>
      </c>
      <c r="O388" s="3" t="str">
        <f aca="false">IFERROR(__xludf.dummyfunction("if($T388&lt;&gt;"""",REGEXEXTRACT($T388, O$1&amp;""[\w &amp;]*, (\d+\.\d+)""),"""")
"),"")</f>
        <v/>
      </c>
      <c r="P388" s="2"/>
      <c r="Q388" s="2"/>
      <c r="R388" s="2"/>
      <c r="S388" s="2"/>
      <c r="T388" s="5"/>
    </row>
    <row r="389" customFormat="false" ht="15.75" hidden="false" customHeight="false" outlineLevel="0" collapsed="false">
      <c r="A389" s="4"/>
      <c r="B389" s="2"/>
      <c r="C389" s="2"/>
      <c r="D389" s="2"/>
      <c r="E389" s="2"/>
      <c r="F389" s="3" t="str">
        <f aca="false">IFERROR(__xludf.dummyfunction("if($T389&lt;&gt;"""",REGEXEXTRACT(SUBSTITUTE ($T389,F$1&amp;"" CE"",""""), F$1&amp;""[\w &amp;]*, (\d+\.\d+)""),"""")
"),"")</f>
        <v/>
      </c>
      <c r="G389" s="3" t="str">
        <f aca="false">IFERROR(__xludf.dummyfunction("if($T389&lt;&gt;"""",REGEXEXTRACT($T389, G$1&amp;""[\w &amp;]*, (\d+\.\d+)""),"""")
"),"")</f>
        <v/>
      </c>
      <c r="H389" s="3"/>
      <c r="I389" s="3" t="str">
        <f aca="false">IFERROR(__xludf.dummyfunction("if($T389&lt;&gt;"""",REGEXEXTRACT(SUBSTITUTE ($T389,I$1&amp;"" CE"",""""), I$1&amp;""[\w &amp;]*, (\d+\.\d+)""),"""")
"),"")</f>
        <v/>
      </c>
      <c r="J389" s="3" t="str">
        <f aca="false">IFERROR(__xludf.dummyfunction("if($T389&lt;&gt;"""",REGEXEXTRACT($T389, J$1&amp;""[\w &amp;]*, (\d+\.\d+)""),"""")
"),"")</f>
        <v/>
      </c>
      <c r="K389" s="3"/>
      <c r="L389" s="3" t="str">
        <f aca="false">IFERROR(__xludf.dummyfunction("if($T389&lt;&gt;"""",REGEXEXTRACT(SUBSTITUTE ($T389,L$1&amp;"" CE"",""""), L$1&amp;""[\w &amp;]*, (\d+\.\d+)""),"""")
"),"")</f>
        <v/>
      </c>
      <c r="M389" s="3" t="str">
        <f aca="false">IFERROR(__xludf.dummyfunction("if($T389&lt;&gt;"""",REGEXEXTRACT($T389, M$1&amp;""[\w &amp;]*, (\d+\.\d+)""),"""")
"),"")</f>
        <v/>
      </c>
      <c r="N389" s="3" t="str">
        <f aca="false">IFERROR(__xludf.dummyfunction("if($T389&lt;&gt;"""",REGEXEXTRACT(SUBSTITUTE ($T389,N$1&amp;"" CE"",""""), N$1&amp;""[\w &amp;]*, (\d+\.\d+)""),"""")
"),"")</f>
        <v/>
      </c>
      <c r="O389" s="3" t="str">
        <f aca="false">IFERROR(__xludf.dummyfunction("if($T389&lt;&gt;"""",REGEXEXTRACT($T389, O$1&amp;""[\w &amp;]*, (\d+\.\d+)""),"""")
"),"")</f>
        <v/>
      </c>
      <c r="P389" s="2"/>
      <c r="Q389" s="2"/>
      <c r="R389" s="2"/>
      <c r="S389" s="2"/>
      <c r="T389" s="5"/>
    </row>
    <row r="390" customFormat="false" ht="15.75" hidden="false" customHeight="false" outlineLevel="0" collapsed="false">
      <c r="A390" s="4"/>
      <c r="B390" s="2"/>
      <c r="C390" s="2"/>
      <c r="D390" s="2"/>
      <c r="E390" s="2"/>
      <c r="F390" s="3" t="str">
        <f aca="false">IFERROR(__xludf.dummyfunction("if($T390&lt;&gt;"""",REGEXEXTRACT(SUBSTITUTE ($T390,F$1&amp;"" CE"",""""), F$1&amp;""[\w &amp;]*, (\d+\.\d+)""),"""")
"),"")</f>
        <v/>
      </c>
      <c r="G390" s="3" t="str">
        <f aca="false">IFERROR(__xludf.dummyfunction("if($T390&lt;&gt;"""",REGEXEXTRACT($T390, G$1&amp;""[\w &amp;]*, (\d+\.\d+)""),"""")
"),"")</f>
        <v/>
      </c>
      <c r="H390" s="3"/>
      <c r="I390" s="3" t="str">
        <f aca="false">IFERROR(__xludf.dummyfunction("if($T390&lt;&gt;"""",REGEXEXTRACT(SUBSTITUTE ($T390,I$1&amp;"" CE"",""""), I$1&amp;""[\w &amp;]*, (\d+\.\d+)""),"""")
"),"")</f>
        <v/>
      </c>
      <c r="J390" s="3" t="str">
        <f aca="false">IFERROR(__xludf.dummyfunction("if($T390&lt;&gt;"""",REGEXEXTRACT($T390, J$1&amp;""[\w &amp;]*, (\d+\.\d+)""),"""")
"),"")</f>
        <v/>
      </c>
      <c r="K390" s="3"/>
      <c r="L390" s="3" t="str">
        <f aca="false">IFERROR(__xludf.dummyfunction("if($T390&lt;&gt;"""",REGEXEXTRACT(SUBSTITUTE ($T390,L$1&amp;"" CE"",""""), L$1&amp;""[\w &amp;]*, (\d+\.\d+)""),"""")
"),"")</f>
        <v/>
      </c>
      <c r="M390" s="3" t="str">
        <f aca="false">IFERROR(__xludf.dummyfunction("if($T390&lt;&gt;"""",REGEXEXTRACT($T390, M$1&amp;""[\w &amp;]*, (\d+\.\d+)""),"""")
"),"")</f>
        <v/>
      </c>
      <c r="N390" s="3" t="str">
        <f aca="false">IFERROR(__xludf.dummyfunction("if($T390&lt;&gt;"""",REGEXEXTRACT(SUBSTITUTE ($T390,N$1&amp;"" CE"",""""), N$1&amp;""[\w &amp;]*, (\d+\.\d+)""),"""")
"),"")</f>
        <v/>
      </c>
      <c r="O390" s="3" t="str">
        <f aca="false">IFERROR(__xludf.dummyfunction("if($T390&lt;&gt;"""",REGEXEXTRACT($T390, O$1&amp;""[\w &amp;]*, (\d+\.\d+)""),"""")
"),"")</f>
        <v/>
      </c>
      <c r="P390" s="2"/>
      <c r="Q390" s="2"/>
      <c r="R390" s="2"/>
      <c r="S390" s="2"/>
      <c r="T390" s="5"/>
    </row>
    <row r="391" customFormat="false" ht="15.75" hidden="false" customHeight="false" outlineLevel="0" collapsed="false">
      <c r="A391" s="4"/>
      <c r="B391" s="2"/>
      <c r="C391" s="2"/>
      <c r="D391" s="2"/>
      <c r="E391" s="2"/>
      <c r="F391" s="3" t="str">
        <f aca="false">IFERROR(__xludf.dummyfunction("if($T391&lt;&gt;"""",REGEXEXTRACT(SUBSTITUTE ($T391,F$1&amp;"" CE"",""""), F$1&amp;""[\w &amp;]*, (\d+\.\d+)""),"""")
"),"")</f>
        <v/>
      </c>
      <c r="G391" s="3" t="str">
        <f aca="false">IFERROR(__xludf.dummyfunction("if($T391&lt;&gt;"""",REGEXEXTRACT($T391, G$1&amp;""[\w &amp;]*, (\d+\.\d+)""),"""")
"),"")</f>
        <v/>
      </c>
      <c r="H391" s="3"/>
      <c r="I391" s="3" t="str">
        <f aca="false">IFERROR(__xludf.dummyfunction("if($T391&lt;&gt;"""",REGEXEXTRACT(SUBSTITUTE ($T391,I$1&amp;"" CE"",""""), I$1&amp;""[\w &amp;]*, (\d+\.\d+)""),"""")
"),"")</f>
        <v/>
      </c>
      <c r="J391" s="3" t="str">
        <f aca="false">IFERROR(__xludf.dummyfunction("if($T391&lt;&gt;"""",REGEXEXTRACT($T391, J$1&amp;""[\w &amp;]*, (\d+\.\d+)""),"""")
"),"")</f>
        <v/>
      </c>
      <c r="K391" s="3"/>
      <c r="L391" s="3" t="str">
        <f aca="false">IFERROR(__xludf.dummyfunction("if($T391&lt;&gt;"""",REGEXEXTRACT(SUBSTITUTE ($T391,L$1&amp;"" CE"",""""), L$1&amp;""[\w &amp;]*, (\d+\.\d+)""),"""")
"),"")</f>
        <v/>
      </c>
      <c r="M391" s="3" t="str">
        <f aca="false">IFERROR(__xludf.dummyfunction("if($T391&lt;&gt;"""",REGEXEXTRACT($T391, M$1&amp;""[\w &amp;]*, (\d+\.\d+)""),"""")
"),"")</f>
        <v/>
      </c>
      <c r="N391" s="3" t="str">
        <f aca="false">IFERROR(__xludf.dummyfunction("if($T391&lt;&gt;"""",REGEXEXTRACT(SUBSTITUTE ($T391,N$1&amp;"" CE"",""""), N$1&amp;""[\w &amp;]*, (\d+\.\d+)""),"""")
"),"")</f>
        <v/>
      </c>
      <c r="O391" s="3" t="str">
        <f aca="false">IFERROR(__xludf.dummyfunction("if($T391&lt;&gt;"""",REGEXEXTRACT($T391, O$1&amp;""[\w &amp;]*, (\d+\.\d+)""),"""")
"),"")</f>
        <v/>
      </c>
      <c r="P391" s="2"/>
      <c r="Q391" s="2"/>
      <c r="R391" s="2"/>
      <c r="S391" s="2"/>
      <c r="T391" s="5"/>
    </row>
    <row r="392" customFormat="false" ht="15.75" hidden="false" customHeight="false" outlineLevel="0" collapsed="false">
      <c r="A392" s="4"/>
      <c r="B392" s="2"/>
      <c r="C392" s="2"/>
      <c r="D392" s="2"/>
      <c r="E392" s="2"/>
      <c r="F392" s="3" t="str">
        <f aca="false">IFERROR(__xludf.dummyfunction("if($T392&lt;&gt;"""",REGEXEXTRACT(SUBSTITUTE ($T392,F$1&amp;"" CE"",""""), F$1&amp;""[\w &amp;]*, (\d+\.\d+)""),"""")
"),"")</f>
        <v/>
      </c>
      <c r="G392" s="3" t="str">
        <f aca="false">IFERROR(__xludf.dummyfunction("if($T392&lt;&gt;"""",REGEXEXTRACT($T392, G$1&amp;""[\w &amp;]*, (\d+\.\d+)""),"""")
"),"")</f>
        <v/>
      </c>
      <c r="H392" s="3"/>
      <c r="I392" s="3" t="str">
        <f aca="false">IFERROR(__xludf.dummyfunction("if($T392&lt;&gt;"""",REGEXEXTRACT(SUBSTITUTE ($T392,I$1&amp;"" CE"",""""), I$1&amp;""[\w &amp;]*, (\d+\.\d+)""),"""")
"),"")</f>
        <v/>
      </c>
      <c r="J392" s="3" t="str">
        <f aca="false">IFERROR(__xludf.dummyfunction("if($T392&lt;&gt;"""",REGEXEXTRACT($T392, J$1&amp;""[\w &amp;]*, (\d+\.\d+)""),"""")
"),"")</f>
        <v/>
      </c>
      <c r="K392" s="3"/>
      <c r="L392" s="3" t="str">
        <f aca="false">IFERROR(__xludf.dummyfunction("if($T392&lt;&gt;"""",REGEXEXTRACT(SUBSTITUTE ($T392,L$1&amp;"" CE"",""""), L$1&amp;""[\w &amp;]*, (\d+\.\d+)""),"""")
"),"")</f>
        <v/>
      </c>
      <c r="M392" s="3" t="str">
        <f aca="false">IFERROR(__xludf.dummyfunction("if($T392&lt;&gt;"""",REGEXEXTRACT($T392, M$1&amp;""[\w &amp;]*, (\d+\.\d+)""),"""")
"),"")</f>
        <v/>
      </c>
      <c r="N392" s="3" t="str">
        <f aca="false">IFERROR(__xludf.dummyfunction("if($T392&lt;&gt;"""",REGEXEXTRACT(SUBSTITUTE ($T392,N$1&amp;"" CE"",""""), N$1&amp;""[\w &amp;]*, (\d+\.\d+)""),"""")
"),"")</f>
        <v/>
      </c>
      <c r="O392" s="3" t="str">
        <f aca="false">IFERROR(__xludf.dummyfunction("if($T392&lt;&gt;"""",REGEXEXTRACT($T392, O$1&amp;""[\w &amp;]*, (\d+\.\d+)""),"""")
"),"")</f>
        <v/>
      </c>
      <c r="P392" s="2"/>
      <c r="Q392" s="2"/>
      <c r="R392" s="2"/>
      <c r="S392" s="2"/>
      <c r="T392" s="5"/>
    </row>
    <row r="393" customFormat="false" ht="15.75" hidden="false" customHeight="false" outlineLevel="0" collapsed="false">
      <c r="A393" s="4"/>
      <c r="B393" s="2"/>
      <c r="C393" s="2"/>
      <c r="D393" s="2"/>
      <c r="E393" s="2"/>
      <c r="F393" s="3" t="str">
        <f aca="false">IFERROR(__xludf.dummyfunction("if($T393&lt;&gt;"""",REGEXEXTRACT(SUBSTITUTE ($T393,F$1&amp;"" CE"",""""), F$1&amp;""[\w &amp;]*, (\d+\.\d+)""),"""")
"),"")</f>
        <v/>
      </c>
      <c r="G393" s="3" t="str">
        <f aca="false">IFERROR(__xludf.dummyfunction("if($T393&lt;&gt;"""",REGEXEXTRACT($T393, G$1&amp;""[\w &amp;]*, (\d+\.\d+)""),"""")
"),"")</f>
        <v/>
      </c>
      <c r="H393" s="3"/>
      <c r="I393" s="3" t="str">
        <f aca="false">IFERROR(__xludf.dummyfunction("if($T393&lt;&gt;"""",REGEXEXTRACT(SUBSTITUTE ($T393,I$1&amp;"" CE"",""""), I$1&amp;""[\w &amp;]*, (\d+\.\d+)""),"""")
"),"")</f>
        <v/>
      </c>
      <c r="J393" s="3" t="str">
        <f aca="false">IFERROR(__xludf.dummyfunction("if($T393&lt;&gt;"""",REGEXEXTRACT($T393, J$1&amp;""[\w &amp;]*, (\d+\.\d+)""),"""")
"),"")</f>
        <v/>
      </c>
      <c r="K393" s="3"/>
      <c r="L393" s="3" t="str">
        <f aca="false">IFERROR(__xludf.dummyfunction("if($T393&lt;&gt;"""",REGEXEXTRACT(SUBSTITUTE ($T393,L$1&amp;"" CE"",""""), L$1&amp;""[\w &amp;]*, (\d+\.\d+)""),"""")
"),"")</f>
        <v/>
      </c>
      <c r="M393" s="3" t="str">
        <f aca="false">IFERROR(__xludf.dummyfunction("if($T393&lt;&gt;"""",REGEXEXTRACT($T393, M$1&amp;""[\w &amp;]*, (\d+\.\d+)""),"""")
"),"")</f>
        <v/>
      </c>
      <c r="N393" s="3" t="str">
        <f aca="false">IFERROR(__xludf.dummyfunction("if($T393&lt;&gt;"""",REGEXEXTRACT(SUBSTITUTE ($T393,N$1&amp;"" CE"",""""), N$1&amp;""[\w &amp;]*, (\d+\.\d+)""),"""")
"),"")</f>
        <v/>
      </c>
      <c r="O393" s="3" t="str">
        <f aca="false">IFERROR(__xludf.dummyfunction("if($T393&lt;&gt;"""",REGEXEXTRACT($T393, O$1&amp;""[\w &amp;]*, (\d+\.\d+)""),"""")
"),"")</f>
        <v/>
      </c>
      <c r="P393" s="2"/>
      <c r="Q393" s="2"/>
      <c r="R393" s="2"/>
      <c r="S393" s="2"/>
      <c r="T393" s="5"/>
    </row>
    <row r="394" customFormat="false" ht="15.75" hidden="false" customHeight="false" outlineLevel="0" collapsed="false">
      <c r="A394" s="4"/>
      <c r="B394" s="2"/>
      <c r="C394" s="2"/>
      <c r="D394" s="2"/>
      <c r="E394" s="2"/>
      <c r="F394" s="3" t="str">
        <f aca="false">IFERROR(__xludf.dummyfunction("if($T394&lt;&gt;"""",REGEXEXTRACT(SUBSTITUTE ($T394,F$1&amp;"" CE"",""""), F$1&amp;""[\w &amp;]*, (\d+\.\d+)""),"""")
"),"")</f>
        <v/>
      </c>
      <c r="G394" s="3" t="str">
        <f aca="false">IFERROR(__xludf.dummyfunction("if($T394&lt;&gt;"""",REGEXEXTRACT($T394, G$1&amp;""[\w &amp;]*, (\d+\.\d+)""),"""")
"),"")</f>
        <v/>
      </c>
      <c r="H394" s="3"/>
      <c r="I394" s="3" t="str">
        <f aca="false">IFERROR(__xludf.dummyfunction("if($T394&lt;&gt;"""",REGEXEXTRACT(SUBSTITUTE ($T394,I$1&amp;"" CE"",""""), I$1&amp;""[\w &amp;]*, (\d+\.\d+)""),"""")
"),"")</f>
        <v/>
      </c>
      <c r="J394" s="3" t="str">
        <f aca="false">IFERROR(__xludf.dummyfunction("if($T394&lt;&gt;"""",REGEXEXTRACT($T394, J$1&amp;""[\w &amp;]*, (\d+\.\d+)""),"""")
"),"")</f>
        <v/>
      </c>
      <c r="K394" s="3"/>
      <c r="L394" s="3" t="str">
        <f aca="false">IFERROR(__xludf.dummyfunction("if($T394&lt;&gt;"""",REGEXEXTRACT(SUBSTITUTE ($T394,L$1&amp;"" CE"",""""), L$1&amp;""[\w &amp;]*, (\d+\.\d+)""),"""")
"),"")</f>
        <v/>
      </c>
      <c r="M394" s="3" t="str">
        <f aca="false">IFERROR(__xludf.dummyfunction("if($T394&lt;&gt;"""",REGEXEXTRACT($T394, M$1&amp;""[\w &amp;]*, (\d+\.\d+)""),"""")
"),"")</f>
        <v/>
      </c>
      <c r="N394" s="3" t="str">
        <f aca="false">IFERROR(__xludf.dummyfunction("if($T394&lt;&gt;"""",REGEXEXTRACT(SUBSTITUTE ($T394,N$1&amp;"" CE"",""""), N$1&amp;""[\w &amp;]*, (\d+\.\d+)""),"""")
"),"")</f>
        <v/>
      </c>
      <c r="O394" s="3" t="str">
        <f aca="false">IFERROR(__xludf.dummyfunction("if($T394&lt;&gt;"""",REGEXEXTRACT($T394, O$1&amp;""[\w &amp;]*, (\d+\.\d+)""),"""")
"),"")</f>
        <v/>
      </c>
      <c r="P394" s="2"/>
      <c r="Q394" s="2"/>
      <c r="R394" s="2"/>
      <c r="S394" s="2"/>
      <c r="T394" s="5"/>
    </row>
    <row r="395" customFormat="false" ht="15.75" hidden="false" customHeight="false" outlineLevel="0" collapsed="false">
      <c r="A395" s="4"/>
      <c r="B395" s="2"/>
      <c r="C395" s="2"/>
      <c r="D395" s="2"/>
      <c r="E395" s="2"/>
      <c r="F395" s="3" t="str">
        <f aca="false">IFERROR(__xludf.dummyfunction("if($T395&lt;&gt;"""",REGEXEXTRACT(SUBSTITUTE ($T395,F$1&amp;"" CE"",""""), F$1&amp;""[\w &amp;]*, (\d+\.\d+)""),"""")
"),"")</f>
        <v/>
      </c>
      <c r="G395" s="3" t="str">
        <f aca="false">IFERROR(__xludf.dummyfunction("if($T395&lt;&gt;"""",REGEXEXTRACT($T395, G$1&amp;""[\w &amp;]*, (\d+\.\d+)""),"""")
"),"")</f>
        <v/>
      </c>
      <c r="H395" s="3"/>
      <c r="I395" s="3" t="str">
        <f aca="false">IFERROR(__xludf.dummyfunction("if($T395&lt;&gt;"""",REGEXEXTRACT(SUBSTITUTE ($T395,I$1&amp;"" CE"",""""), I$1&amp;""[\w &amp;]*, (\d+\.\d+)""),"""")
"),"")</f>
        <v/>
      </c>
      <c r="J395" s="3" t="str">
        <f aca="false">IFERROR(__xludf.dummyfunction("if($T395&lt;&gt;"""",REGEXEXTRACT($T395, J$1&amp;""[\w &amp;]*, (\d+\.\d+)""),"""")
"),"")</f>
        <v/>
      </c>
      <c r="K395" s="3"/>
      <c r="L395" s="3" t="str">
        <f aca="false">IFERROR(__xludf.dummyfunction("if($T395&lt;&gt;"""",REGEXEXTRACT(SUBSTITUTE ($T395,L$1&amp;"" CE"",""""), L$1&amp;""[\w &amp;]*, (\d+\.\d+)""),"""")
"),"")</f>
        <v/>
      </c>
      <c r="M395" s="3" t="str">
        <f aca="false">IFERROR(__xludf.dummyfunction("if($T395&lt;&gt;"""",REGEXEXTRACT($T395, M$1&amp;""[\w &amp;]*, (\d+\.\d+)""),"""")
"),"")</f>
        <v/>
      </c>
      <c r="N395" s="3" t="str">
        <f aca="false">IFERROR(__xludf.dummyfunction("if($T395&lt;&gt;"""",REGEXEXTRACT(SUBSTITUTE ($T395,N$1&amp;"" CE"",""""), N$1&amp;""[\w &amp;]*, (\d+\.\d+)""),"""")
"),"")</f>
        <v/>
      </c>
      <c r="O395" s="3" t="str">
        <f aca="false">IFERROR(__xludf.dummyfunction("if($T395&lt;&gt;"""",REGEXEXTRACT($T395, O$1&amp;""[\w &amp;]*, (\d+\.\d+)""),"""")
"),"")</f>
        <v/>
      </c>
      <c r="P395" s="2"/>
      <c r="Q395" s="2"/>
      <c r="R395" s="2"/>
      <c r="S395" s="2"/>
      <c r="T395" s="5"/>
    </row>
    <row r="396" customFormat="false" ht="15.75" hidden="false" customHeight="false" outlineLevel="0" collapsed="false">
      <c r="A396" s="4"/>
      <c r="B396" s="2"/>
      <c r="C396" s="2"/>
      <c r="D396" s="2"/>
      <c r="E396" s="2"/>
      <c r="F396" s="3" t="str">
        <f aca="false">IFERROR(__xludf.dummyfunction("if($T396&lt;&gt;"""",REGEXEXTRACT(SUBSTITUTE ($T396,F$1&amp;"" CE"",""""), F$1&amp;""[\w &amp;]*, (\d+\.\d+)""),"""")
"),"")</f>
        <v/>
      </c>
      <c r="G396" s="3" t="str">
        <f aca="false">IFERROR(__xludf.dummyfunction("if($T396&lt;&gt;"""",REGEXEXTRACT($T396, G$1&amp;""[\w &amp;]*, (\d+\.\d+)""),"""")
"),"")</f>
        <v/>
      </c>
      <c r="H396" s="3"/>
      <c r="I396" s="3" t="str">
        <f aca="false">IFERROR(__xludf.dummyfunction("if($T396&lt;&gt;"""",REGEXEXTRACT(SUBSTITUTE ($T396,I$1&amp;"" CE"",""""), I$1&amp;""[\w &amp;]*, (\d+\.\d+)""),"""")
"),"")</f>
        <v/>
      </c>
      <c r="J396" s="3" t="str">
        <f aca="false">IFERROR(__xludf.dummyfunction("if($T396&lt;&gt;"""",REGEXEXTRACT($T396, J$1&amp;""[\w &amp;]*, (\d+\.\d+)""),"""")
"),"")</f>
        <v/>
      </c>
      <c r="K396" s="3"/>
      <c r="L396" s="3" t="str">
        <f aca="false">IFERROR(__xludf.dummyfunction("if($T396&lt;&gt;"""",REGEXEXTRACT(SUBSTITUTE ($T396,L$1&amp;"" CE"",""""), L$1&amp;""[\w &amp;]*, (\d+\.\d+)""),"""")
"),"")</f>
        <v/>
      </c>
      <c r="M396" s="3" t="str">
        <f aca="false">IFERROR(__xludf.dummyfunction("if($T396&lt;&gt;"""",REGEXEXTRACT($T396, M$1&amp;""[\w &amp;]*, (\d+\.\d+)""),"""")
"),"")</f>
        <v/>
      </c>
      <c r="N396" s="3" t="str">
        <f aca="false">IFERROR(__xludf.dummyfunction("if($T396&lt;&gt;"""",REGEXEXTRACT(SUBSTITUTE ($T396,N$1&amp;"" CE"",""""), N$1&amp;""[\w &amp;]*, (\d+\.\d+)""),"""")
"),"")</f>
        <v/>
      </c>
      <c r="O396" s="3" t="str">
        <f aca="false">IFERROR(__xludf.dummyfunction("if($T396&lt;&gt;"""",REGEXEXTRACT($T396, O$1&amp;""[\w &amp;]*, (\d+\.\d+)""),"""")
"),"")</f>
        <v/>
      </c>
      <c r="P396" s="2"/>
      <c r="Q396" s="2"/>
      <c r="R396" s="2"/>
      <c r="S396" s="2"/>
      <c r="T396" s="5"/>
    </row>
    <row r="397" customFormat="false" ht="15.75" hidden="false" customHeight="false" outlineLevel="0" collapsed="false">
      <c r="A397" s="4"/>
      <c r="B397" s="2"/>
      <c r="C397" s="2"/>
      <c r="D397" s="2"/>
      <c r="E397" s="2"/>
      <c r="F397" s="3" t="str">
        <f aca="false">IFERROR(__xludf.dummyfunction("if($T397&lt;&gt;"""",REGEXEXTRACT(SUBSTITUTE ($T397,F$1&amp;"" CE"",""""), F$1&amp;""[\w &amp;]*, (\d+\.\d+)""),"""")
"),"")</f>
        <v/>
      </c>
      <c r="G397" s="3" t="str">
        <f aca="false">IFERROR(__xludf.dummyfunction("if($T397&lt;&gt;"""",REGEXEXTRACT($T397, G$1&amp;""[\w &amp;]*, (\d+\.\d+)""),"""")
"),"")</f>
        <v/>
      </c>
      <c r="H397" s="3"/>
      <c r="I397" s="3" t="str">
        <f aca="false">IFERROR(__xludf.dummyfunction("if($T397&lt;&gt;"""",REGEXEXTRACT(SUBSTITUTE ($T397,I$1&amp;"" CE"",""""), I$1&amp;""[\w &amp;]*, (\d+\.\d+)""),"""")
"),"")</f>
        <v/>
      </c>
      <c r="J397" s="3" t="str">
        <f aca="false">IFERROR(__xludf.dummyfunction("if($T397&lt;&gt;"""",REGEXEXTRACT($T397, J$1&amp;""[\w &amp;]*, (\d+\.\d+)""),"""")
"),"")</f>
        <v/>
      </c>
      <c r="K397" s="3"/>
      <c r="L397" s="3" t="str">
        <f aca="false">IFERROR(__xludf.dummyfunction("if($T397&lt;&gt;"""",REGEXEXTRACT(SUBSTITUTE ($T397,L$1&amp;"" CE"",""""), L$1&amp;""[\w &amp;]*, (\d+\.\d+)""),"""")
"),"")</f>
        <v/>
      </c>
      <c r="M397" s="3" t="str">
        <f aca="false">IFERROR(__xludf.dummyfunction("if($T397&lt;&gt;"""",REGEXEXTRACT($T397, M$1&amp;""[\w &amp;]*, (\d+\.\d+)""),"""")
"),"")</f>
        <v/>
      </c>
      <c r="N397" s="3" t="str">
        <f aca="false">IFERROR(__xludf.dummyfunction("if($T397&lt;&gt;"""",REGEXEXTRACT(SUBSTITUTE ($T397,N$1&amp;"" CE"",""""), N$1&amp;""[\w &amp;]*, (\d+\.\d+)""),"""")
"),"")</f>
        <v/>
      </c>
      <c r="O397" s="3" t="str">
        <f aca="false">IFERROR(__xludf.dummyfunction("if($T397&lt;&gt;"""",REGEXEXTRACT($T397, O$1&amp;""[\w &amp;]*, (\d+\.\d+)""),"""")
"),"")</f>
        <v/>
      </c>
      <c r="P397" s="2"/>
      <c r="Q397" s="2"/>
      <c r="R397" s="2"/>
      <c r="S397" s="2"/>
      <c r="T397" s="5"/>
    </row>
    <row r="398" customFormat="false" ht="15.75" hidden="false" customHeight="false" outlineLevel="0" collapsed="false">
      <c r="A398" s="4"/>
      <c r="B398" s="2"/>
      <c r="C398" s="2"/>
      <c r="D398" s="2"/>
      <c r="E398" s="2"/>
      <c r="F398" s="3" t="str">
        <f aca="false">IFERROR(__xludf.dummyfunction("if($T398&lt;&gt;"""",REGEXEXTRACT(SUBSTITUTE ($T398,F$1&amp;"" CE"",""""), F$1&amp;""[\w &amp;]*, (\d+\.\d+)""),"""")
"),"")</f>
        <v/>
      </c>
      <c r="G398" s="3" t="str">
        <f aca="false">IFERROR(__xludf.dummyfunction("if($T398&lt;&gt;"""",REGEXEXTRACT($T398, G$1&amp;""[\w &amp;]*, (\d+\.\d+)""),"""")
"),"")</f>
        <v/>
      </c>
      <c r="H398" s="3"/>
      <c r="I398" s="3" t="str">
        <f aca="false">IFERROR(__xludf.dummyfunction("if($T398&lt;&gt;"""",REGEXEXTRACT(SUBSTITUTE ($T398,I$1&amp;"" CE"",""""), I$1&amp;""[\w &amp;]*, (\d+\.\d+)""),"""")
"),"")</f>
        <v/>
      </c>
      <c r="J398" s="3" t="str">
        <f aca="false">IFERROR(__xludf.dummyfunction("if($T398&lt;&gt;"""",REGEXEXTRACT($T398, J$1&amp;""[\w &amp;]*, (\d+\.\d+)""),"""")
"),"")</f>
        <v/>
      </c>
      <c r="K398" s="3"/>
      <c r="L398" s="3" t="str">
        <f aca="false">IFERROR(__xludf.dummyfunction("if($T398&lt;&gt;"""",REGEXEXTRACT(SUBSTITUTE ($T398,L$1&amp;"" CE"",""""), L$1&amp;""[\w &amp;]*, (\d+\.\d+)""),"""")
"),"")</f>
        <v/>
      </c>
      <c r="M398" s="3" t="str">
        <f aca="false">IFERROR(__xludf.dummyfunction("if($T398&lt;&gt;"""",REGEXEXTRACT($T398, M$1&amp;""[\w &amp;]*, (\d+\.\d+)""),"""")
"),"")</f>
        <v/>
      </c>
      <c r="N398" s="3" t="str">
        <f aca="false">IFERROR(__xludf.dummyfunction("if($T398&lt;&gt;"""",REGEXEXTRACT(SUBSTITUTE ($T398,N$1&amp;"" CE"",""""), N$1&amp;""[\w &amp;]*, (\d+\.\d+)""),"""")
"),"")</f>
        <v/>
      </c>
      <c r="O398" s="3" t="str">
        <f aca="false">IFERROR(__xludf.dummyfunction("if($T398&lt;&gt;"""",REGEXEXTRACT($T398, O$1&amp;""[\w &amp;]*, (\d+\.\d+)""),"""")
"),"")</f>
        <v/>
      </c>
      <c r="P398" s="2"/>
      <c r="Q398" s="2"/>
      <c r="R398" s="2"/>
      <c r="S398" s="2"/>
      <c r="T398" s="5"/>
    </row>
    <row r="399" customFormat="false" ht="15.75" hidden="false" customHeight="false" outlineLevel="0" collapsed="false">
      <c r="A399" s="4"/>
      <c r="B399" s="2"/>
      <c r="C399" s="2"/>
      <c r="D399" s="2"/>
      <c r="E399" s="2"/>
      <c r="F399" s="3" t="str">
        <f aca="false">IFERROR(__xludf.dummyfunction("if($T399&lt;&gt;"""",REGEXEXTRACT(SUBSTITUTE ($T399,F$1&amp;"" CE"",""""), F$1&amp;""[\w &amp;]*, (\d+\.\d+)""),"""")
"),"")</f>
        <v/>
      </c>
      <c r="G399" s="3" t="str">
        <f aca="false">IFERROR(__xludf.dummyfunction("if($T399&lt;&gt;"""",REGEXEXTRACT($T399, G$1&amp;""[\w &amp;]*, (\d+\.\d+)""),"""")
"),"")</f>
        <v/>
      </c>
      <c r="H399" s="3"/>
      <c r="I399" s="3" t="str">
        <f aca="false">IFERROR(__xludf.dummyfunction("if($T399&lt;&gt;"""",REGEXEXTRACT(SUBSTITUTE ($T399,I$1&amp;"" CE"",""""), I$1&amp;""[\w &amp;]*, (\d+\.\d+)""),"""")
"),"")</f>
        <v/>
      </c>
      <c r="J399" s="3" t="str">
        <f aca="false">IFERROR(__xludf.dummyfunction("if($T399&lt;&gt;"""",REGEXEXTRACT($T399, J$1&amp;""[\w &amp;]*, (\d+\.\d+)""),"""")
"),"")</f>
        <v/>
      </c>
      <c r="K399" s="3"/>
      <c r="L399" s="3" t="str">
        <f aca="false">IFERROR(__xludf.dummyfunction("if($T399&lt;&gt;"""",REGEXEXTRACT(SUBSTITUTE ($T399,L$1&amp;"" CE"",""""), L$1&amp;""[\w &amp;]*, (\d+\.\d+)""),"""")
"),"")</f>
        <v/>
      </c>
      <c r="M399" s="3" t="str">
        <f aca="false">IFERROR(__xludf.dummyfunction("if($T399&lt;&gt;"""",REGEXEXTRACT($T399, M$1&amp;""[\w &amp;]*, (\d+\.\d+)""),"""")
"),"")</f>
        <v/>
      </c>
      <c r="N399" s="3" t="str">
        <f aca="false">IFERROR(__xludf.dummyfunction("if($T399&lt;&gt;"""",REGEXEXTRACT(SUBSTITUTE ($T399,N$1&amp;"" CE"",""""), N$1&amp;""[\w &amp;]*, (\d+\.\d+)""),"""")
"),"")</f>
        <v/>
      </c>
      <c r="O399" s="3" t="str">
        <f aca="false">IFERROR(__xludf.dummyfunction("if($T399&lt;&gt;"""",REGEXEXTRACT($T399, O$1&amp;""[\w &amp;]*, (\d+\.\d+)""),"""")
"),"")</f>
        <v/>
      </c>
      <c r="P399" s="2"/>
      <c r="Q399" s="2"/>
      <c r="R399" s="2"/>
      <c r="S399" s="2"/>
      <c r="T399" s="5"/>
    </row>
    <row r="400" customFormat="false" ht="15.75" hidden="false" customHeight="false" outlineLevel="0" collapsed="false">
      <c r="A400" s="4"/>
      <c r="B400" s="2"/>
      <c r="C400" s="2"/>
      <c r="D400" s="2"/>
      <c r="E400" s="2"/>
      <c r="F400" s="3" t="str">
        <f aca="false">IFERROR(__xludf.dummyfunction("if($T400&lt;&gt;"""",REGEXEXTRACT(SUBSTITUTE ($T400,F$1&amp;"" CE"",""""), F$1&amp;""[\w &amp;]*, (\d+\.\d+)""),"""")
"),"")</f>
        <v/>
      </c>
      <c r="G400" s="3" t="str">
        <f aca="false">IFERROR(__xludf.dummyfunction("if($T400&lt;&gt;"""",REGEXEXTRACT($T400, G$1&amp;""[\w &amp;]*, (\d+\.\d+)""),"""")
"),"")</f>
        <v/>
      </c>
      <c r="H400" s="3"/>
      <c r="I400" s="3" t="str">
        <f aca="false">IFERROR(__xludf.dummyfunction("if($T400&lt;&gt;"""",REGEXEXTRACT(SUBSTITUTE ($T400,I$1&amp;"" CE"",""""), I$1&amp;""[\w &amp;]*, (\d+\.\d+)""),"""")
"),"")</f>
        <v/>
      </c>
      <c r="J400" s="3" t="str">
        <f aca="false">IFERROR(__xludf.dummyfunction("if($T400&lt;&gt;"""",REGEXEXTRACT($T400, J$1&amp;""[\w &amp;]*, (\d+\.\d+)""),"""")
"),"")</f>
        <v/>
      </c>
      <c r="K400" s="3"/>
      <c r="L400" s="3" t="str">
        <f aca="false">IFERROR(__xludf.dummyfunction("if($T400&lt;&gt;"""",REGEXEXTRACT(SUBSTITUTE ($T400,L$1&amp;"" CE"",""""), L$1&amp;""[\w &amp;]*, (\d+\.\d+)""),"""")
"),"")</f>
        <v/>
      </c>
      <c r="M400" s="3" t="str">
        <f aca="false">IFERROR(__xludf.dummyfunction("if($T400&lt;&gt;"""",REGEXEXTRACT($T400, M$1&amp;""[\w &amp;]*, (\d+\.\d+)""),"""")
"),"")</f>
        <v/>
      </c>
      <c r="N400" s="3" t="str">
        <f aca="false">IFERROR(__xludf.dummyfunction("if($T400&lt;&gt;"""",REGEXEXTRACT(SUBSTITUTE ($T400,N$1&amp;"" CE"",""""), N$1&amp;""[\w &amp;]*, (\d+\.\d+)""),"""")
"),"")</f>
        <v/>
      </c>
      <c r="O400" s="3" t="str">
        <f aca="false">IFERROR(__xludf.dummyfunction("if($T400&lt;&gt;"""",REGEXEXTRACT($T400, O$1&amp;""[\w &amp;]*, (\d+\.\d+)""),"""")
"),"")</f>
        <v/>
      </c>
      <c r="P400" s="2"/>
      <c r="Q400" s="2"/>
      <c r="R400" s="2"/>
      <c r="S400" s="2"/>
      <c r="T400" s="5"/>
    </row>
    <row r="401" customFormat="false" ht="15.75" hidden="false" customHeight="false" outlineLevel="0" collapsed="false">
      <c r="A401" s="4"/>
      <c r="B401" s="2"/>
      <c r="C401" s="2"/>
      <c r="D401" s="2"/>
      <c r="E401" s="2"/>
      <c r="F401" s="3" t="str">
        <f aca="false">IFERROR(__xludf.dummyfunction("if($T401&lt;&gt;"""",REGEXEXTRACT(SUBSTITUTE ($T401,F$1&amp;"" CE"",""""), F$1&amp;""[\w &amp;]*, (\d+\.\d+)""),"""")
"),"")</f>
        <v/>
      </c>
      <c r="G401" s="3" t="str">
        <f aca="false">IFERROR(__xludf.dummyfunction("if($T401&lt;&gt;"""",REGEXEXTRACT($T401, G$1&amp;""[\w &amp;]*, (\d+\.\d+)""),"""")
"),"")</f>
        <v/>
      </c>
      <c r="H401" s="3"/>
      <c r="I401" s="3" t="str">
        <f aca="false">IFERROR(__xludf.dummyfunction("if($T401&lt;&gt;"""",REGEXEXTRACT(SUBSTITUTE ($T401,I$1&amp;"" CE"",""""), I$1&amp;""[\w &amp;]*, (\d+\.\d+)""),"""")
"),"")</f>
        <v/>
      </c>
      <c r="J401" s="3" t="str">
        <f aca="false">IFERROR(__xludf.dummyfunction("if($T401&lt;&gt;"""",REGEXEXTRACT($T401, J$1&amp;""[\w &amp;]*, (\d+\.\d+)""),"""")
"),"")</f>
        <v/>
      </c>
      <c r="K401" s="3"/>
      <c r="L401" s="3" t="str">
        <f aca="false">IFERROR(__xludf.dummyfunction("if($T401&lt;&gt;"""",REGEXEXTRACT(SUBSTITUTE ($T401,L$1&amp;"" CE"",""""), L$1&amp;""[\w &amp;]*, (\d+\.\d+)""),"""")
"),"")</f>
        <v/>
      </c>
      <c r="M401" s="3" t="str">
        <f aca="false">IFERROR(__xludf.dummyfunction("if($T401&lt;&gt;"""",REGEXEXTRACT($T401, M$1&amp;""[\w &amp;]*, (\d+\.\d+)""),"""")
"),"")</f>
        <v/>
      </c>
      <c r="N401" s="3" t="str">
        <f aca="false">IFERROR(__xludf.dummyfunction("if($T401&lt;&gt;"""",REGEXEXTRACT(SUBSTITUTE ($T401,N$1&amp;"" CE"",""""), N$1&amp;""[\w &amp;]*, (\d+\.\d+)""),"""")
"),"")</f>
        <v/>
      </c>
      <c r="O401" s="3" t="str">
        <f aca="false">IFERROR(__xludf.dummyfunction("if($T401&lt;&gt;"""",REGEXEXTRACT($T401, O$1&amp;""[\w &amp;]*, (\d+\.\d+)""),"""")
"),"")</f>
        <v/>
      </c>
      <c r="P401" s="2"/>
      <c r="Q401" s="2"/>
      <c r="R401" s="2"/>
      <c r="S401" s="2"/>
      <c r="T401" s="5"/>
    </row>
    <row r="402" customFormat="false" ht="15.75" hidden="false" customHeight="false" outlineLevel="0" collapsed="false">
      <c r="A402" s="4"/>
      <c r="B402" s="2"/>
      <c r="C402" s="2"/>
      <c r="D402" s="2"/>
      <c r="E402" s="2"/>
      <c r="F402" s="3" t="str">
        <f aca="false">IFERROR(__xludf.dummyfunction("if($T402&lt;&gt;"""",REGEXEXTRACT(SUBSTITUTE ($T402,F$1&amp;"" CE"",""""), F$1&amp;""[\w &amp;]*, (\d+\.\d+)""),"""")
"),"")</f>
        <v/>
      </c>
      <c r="G402" s="3" t="str">
        <f aca="false">IFERROR(__xludf.dummyfunction("if($T402&lt;&gt;"""",REGEXEXTRACT($T402, G$1&amp;""[\w &amp;]*, (\d+\.\d+)""),"""")
"),"")</f>
        <v/>
      </c>
      <c r="H402" s="3"/>
      <c r="I402" s="3" t="str">
        <f aca="false">IFERROR(__xludf.dummyfunction("if($T402&lt;&gt;"""",REGEXEXTRACT(SUBSTITUTE ($T402,I$1&amp;"" CE"",""""), I$1&amp;""[\w &amp;]*, (\d+\.\d+)""),"""")
"),"")</f>
        <v/>
      </c>
      <c r="J402" s="3" t="str">
        <f aca="false">IFERROR(__xludf.dummyfunction("if($T402&lt;&gt;"""",REGEXEXTRACT($T402, J$1&amp;""[\w &amp;]*, (\d+\.\d+)""),"""")
"),"")</f>
        <v/>
      </c>
      <c r="K402" s="3"/>
      <c r="L402" s="3" t="str">
        <f aca="false">IFERROR(__xludf.dummyfunction("if($T402&lt;&gt;"""",REGEXEXTRACT(SUBSTITUTE ($T402,L$1&amp;"" CE"",""""), L$1&amp;""[\w &amp;]*, (\d+\.\d+)""),"""")
"),"")</f>
        <v/>
      </c>
      <c r="M402" s="3" t="str">
        <f aca="false">IFERROR(__xludf.dummyfunction("if($T402&lt;&gt;"""",REGEXEXTRACT($T402, M$1&amp;""[\w &amp;]*, (\d+\.\d+)""),"""")
"),"")</f>
        <v/>
      </c>
      <c r="N402" s="3" t="str">
        <f aca="false">IFERROR(__xludf.dummyfunction("if($T402&lt;&gt;"""",REGEXEXTRACT(SUBSTITUTE ($T402,N$1&amp;"" CE"",""""), N$1&amp;""[\w &amp;]*, (\d+\.\d+)""),"""")
"),"")</f>
        <v/>
      </c>
      <c r="O402" s="3" t="str">
        <f aca="false">IFERROR(__xludf.dummyfunction("if($T402&lt;&gt;"""",REGEXEXTRACT($T402, O$1&amp;""[\w &amp;]*, (\d+\.\d+)""),"""")
"),"")</f>
        <v/>
      </c>
      <c r="P402" s="2"/>
      <c r="Q402" s="2"/>
      <c r="R402" s="2"/>
      <c r="S402" s="2"/>
      <c r="T402" s="5"/>
    </row>
    <row r="403" customFormat="false" ht="15.75" hidden="false" customHeight="false" outlineLevel="0" collapsed="false">
      <c r="A403" s="4"/>
      <c r="B403" s="2"/>
      <c r="C403" s="2"/>
      <c r="D403" s="2"/>
      <c r="E403" s="2"/>
      <c r="F403" s="3" t="str">
        <f aca="false">IFERROR(__xludf.dummyfunction("if($T403&lt;&gt;"""",REGEXEXTRACT(SUBSTITUTE ($T403,F$1&amp;"" CE"",""""), F$1&amp;""[\w &amp;]*, (\d+\.\d+)""),"""")
"),"")</f>
        <v/>
      </c>
      <c r="G403" s="3" t="str">
        <f aca="false">IFERROR(__xludf.dummyfunction("if($T403&lt;&gt;"""",REGEXEXTRACT($T403, G$1&amp;""[\w &amp;]*, (\d+\.\d+)""),"""")
"),"")</f>
        <v/>
      </c>
      <c r="H403" s="3"/>
      <c r="I403" s="3" t="str">
        <f aca="false">IFERROR(__xludf.dummyfunction("if($T403&lt;&gt;"""",REGEXEXTRACT(SUBSTITUTE ($T403,I$1&amp;"" CE"",""""), I$1&amp;""[\w &amp;]*, (\d+\.\d+)""),"""")
"),"")</f>
        <v/>
      </c>
      <c r="J403" s="3" t="str">
        <f aca="false">IFERROR(__xludf.dummyfunction("if($T403&lt;&gt;"""",REGEXEXTRACT($T403, J$1&amp;""[\w &amp;]*, (\d+\.\d+)""),"""")
"),"")</f>
        <v/>
      </c>
      <c r="K403" s="3"/>
      <c r="L403" s="3" t="str">
        <f aca="false">IFERROR(__xludf.dummyfunction("if($T403&lt;&gt;"""",REGEXEXTRACT(SUBSTITUTE ($T403,L$1&amp;"" CE"",""""), L$1&amp;""[\w &amp;]*, (\d+\.\d+)""),"""")
"),"")</f>
        <v/>
      </c>
      <c r="M403" s="3" t="str">
        <f aca="false">IFERROR(__xludf.dummyfunction("if($T403&lt;&gt;"""",REGEXEXTRACT($T403, M$1&amp;""[\w &amp;]*, (\d+\.\d+)""),"""")
"),"")</f>
        <v/>
      </c>
      <c r="N403" s="3" t="str">
        <f aca="false">IFERROR(__xludf.dummyfunction("if($T403&lt;&gt;"""",REGEXEXTRACT(SUBSTITUTE ($T403,N$1&amp;"" CE"",""""), N$1&amp;""[\w &amp;]*, (\d+\.\d+)""),"""")
"),"")</f>
        <v/>
      </c>
      <c r="O403" s="3" t="str">
        <f aca="false">IFERROR(__xludf.dummyfunction("if($T403&lt;&gt;"""",REGEXEXTRACT($T403, O$1&amp;""[\w &amp;]*, (\d+\.\d+)""),"""")
"),"")</f>
        <v/>
      </c>
      <c r="P403" s="2"/>
      <c r="Q403" s="2"/>
      <c r="R403" s="2"/>
      <c r="S403" s="2"/>
      <c r="T403" s="5"/>
    </row>
    <row r="404" customFormat="false" ht="15.75" hidden="false" customHeight="false" outlineLevel="0" collapsed="false">
      <c r="A404" s="4"/>
      <c r="B404" s="2"/>
      <c r="C404" s="2"/>
      <c r="D404" s="2"/>
      <c r="E404" s="2"/>
      <c r="F404" s="3" t="str">
        <f aca="false">IFERROR(__xludf.dummyfunction("if($T404&lt;&gt;"""",REGEXEXTRACT(SUBSTITUTE ($T404,F$1&amp;"" CE"",""""), F$1&amp;""[\w &amp;]*, (\d+\.\d+)""),"""")
"),"")</f>
        <v/>
      </c>
      <c r="G404" s="3" t="str">
        <f aca="false">IFERROR(__xludf.dummyfunction("if($T404&lt;&gt;"""",REGEXEXTRACT($T404, G$1&amp;""[\w &amp;]*, (\d+\.\d+)""),"""")
"),"")</f>
        <v/>
      </c>
      <c r="H404" s="3"/>
      <c r="I404" s="3" t="str">
        <f aca="false">IFERROR(__xludf.dummyfunction("if($T404&lt;&gt;"""",REGEXEXTRACT(SUBSTITUTE ($T404,I$1&amp;"" CE"",""""), I$1&amp;""[\w &amp;]*, (\d+\.\d+)""),"""")
"),"")</f>
        <v/>
      </c>
      <c r="J404" s="3" t="str">
        <f aca="false">IFERROR(__xludf.dummyfunction("if($T404&lt;&gt;"""",REGEXEXTRACT($T404, J$1&amp;""[\w &amp;]*, (\d+\.\d+)""),"""")
"),"")</f>
        <v/>
      </c>
      <c r="K404" s="3"/>
      <c r="L404" s="3" t="str">
        <f aca="false">IFERROR(__xludf.dummyfunction("if($T404&lt;&gt;"""",REGEXEXTRACT(SUBSTITUTE ($T404,L$1&amp;"" CE"",""""), L$1&amp;""[\w &amp;]*, (\d+\.\d+)""),"""")
"),"")</f>
        <v/>
      </c>
      <c r="M404" s="3" t="str">
        <f aca="false">IFERROR(__xludf.dummyfunction("if($T404&lt;&gt;"""",REGEXEXTRACT($T404, M$1&amp;""[\w &amp;]*, (\d+\.\d+)""),"""")
"),"")</f>
        <v/>
      </c>
      <c r="N404" s="3" t="str">
        <f aca="false">IFERROR(__xludf.dummyfunction("if($T404&lt;&gt;"""",REGEXEXTRACT(SUBSTITUTE ($T404,N$1&amp;"" CE"",""""), N$1&amp;""[\w &amp;]*, (\d+\.\d+)""),"""")
"),"")</f>
        <v/>
      </c>
      <c r="O404" s="3" t="str">
        <f aca="false">IFERROR(__xludf.dummyfunction("if($T404&lt;&gt;"""",REGEXEXTRACT($T404, O$1&amp;""[\w &amp;]*, (\d+\.\d+)""),"""")
"),"")</f>
        <v/>
      </c>
      <c r="P404" s="2"/>
      <c r="Q404" s="2"/>
      <c r="R404" s="2"/>
      <c r="S404" s="2"/>
      <c r="T404" s="5"/>
    </row>
    <row r="405" customFormat="false" ht="15.75" hidden="false" customHeight="false" outlineLevel="0" collapsed="false">
      <c r="A405" s="4"/>
      <c r="B405" s="2"/>
      <c r="C405" s="2"/>
      <c r="D405" s="2"/>
      <c r="E405" s="2"/>
      <c r="F405" s="3" t="str">
        <f aca="false">IFERROR(__xludf.dummyfunction("if($T405&lt;&gt;"""",REGEXEXTRACT(SUBSTITUTE ($T405,F$1&amp;"" CE"",""""), F$1&amp;""[\w &amp;]*, (\d+\.\d+)""),"""")
"),"")</f>
        <v/>
      </c>
      <c r="G405" s="3" t="str">
        <f aca="false">IFERROR(__xludf.dummyfunction("if($T405&lt;&gt;"""",REGEXEXTRACT($T405, G$1&amp;""[\w &amp;]*, (\d+\.\d+)""),"""")
"),"")</f>
        <v/>
      </c>
      <c r="H405" s="3"/>
      <c r="I405" s="3" t="str">
        <f aca="false">IFERROR(__xludf.dummyfunction("if($T405&lt;&gt;"""",REGEXEXTRACT(SUBSTITUTE ($T405,I$1&amp;"" CE"",""""), I$1&amp;""[\w &amp;]*, (\d+\.\d+)""),"""")
"),"")</f>
        <v/>
      </c>
      <c r="J405" s="3" t="str">
        <f aca="false">IFERROR(__xludf.dummyfunction("if($T405&lt;&gt;"""",REGEXEXTRACT($T405, J$1&amp;""[\w &amp;]*, (\d+\.\d+)""),"""")
"),"")</f>
        <v/>
      </c>
      <c r="K405" s="3"/>
      <c r="L405" s="3" t="str">
        <f aca="false">IFERROR(__xludf.dummyfunction("if($T405&lt;&gt;"""",REGEXEXTRACT(SUBSTITUTE ($T405,L$1&amp;"" CE"",""""), L$1&amp;""[\w &amp;]*, (\d+\.\d+)""),"""")
"),"")</f>
        <v/>
      </c>
      <c r="M405" s="3" t="str">
        <f aca="false">IFERROR(__xludf.dummyfunction("if($T405&lt;&gt;"""",REGEXEXTRACT($T405, M$1&amp;""[\w &amp;]*, (\d+\.\d+)""),"""")
"),"")</f>
        <v/>
      </c>
      <c r="N405" s="3" t="str">
        <f aca="false">IFERROR(__xludf.dummyfunction("if($T405&lt;&gt;"""",REGEXEXTRACT(SUBSTITUTE ($T405,N$1&amp;"" CE"",""""), N$1&amp;""[\w &amp;]*, (\d+\.\d+)""),"""")
"),"")</f>
        <v/>
      </c>
      <c r="O405" s="3" t="str">
        <f aca="false">IFERROR(__xludf.dummyfunction("if($T405&lt;&gt;"""",REGEXEXTRACT($T405, O$1&amp;""[\w &amp;]*, (\d+\.\d+)""),"""")
"),"")</f>
        <v/>
      </c>
      <c r="P405" s="2"/>
      <c r="Q405" s="2"/>
      <c r="R405" s="2"/>
      <c r="S405" s="2"/>
      <c r="T405" s="5"/>
    </row>
    <row r="406" customFormat="false" ht="15.75" hidden="false" customHeight="false" outlineLevel="0" collapsed="false">
      <c r="A406" s="4"/>
      <c r="B406" s="2"/>
      <c r="C406" s="2"/>
      <c r="D406" s="2"/>
      <c r="E406" s="2"/>
      <c r="F406" s="3" t="str">
        <f aca="false">IFERROR(__xludf.dummyfunction("if($T406&lt;&gt;"""",REGEXEXTRACT(SUBSTITUTE ($T406,F$1&amp;"" CE"",""""), F$1&amp;""[\w &amp;]*, (\d+\.\d+)""),"""")
"),"")</f>
        <v/>
      </c>
      <c r="G406" s="3" t="str">
        <f aca="false">IFERROR(__xludf.dummyfunction("if($T406&lt;&gt;"""",REGEXEXTRACT($T406, G$1&amp;""[\w &amp;]*, (\d+\.\d+)""),"""")
"),"")</f>
        <v/>
      </c>
      <c r="H406" s="3"/>
      <c r="I406" s="3" t="str">
        <f aca="false">IFERROR(__xludf.dummyfunction("if($T406&lt;&gt;"""",REGEXEXTRACT(SUBSTITUTE ($T406,I$1&amp;"" CE"",""""), I$1&amp;""[\w &amp;]*, (\d+\.\d+)""),"""")
"),"")</f>
        <v/>
      </c>
      <c r="J406" s="3" t="str">
        <f aca="false">IFERROR(__xludf.dummyfunction("if($T406&lt;&gt;"""",REGEXEXTRACT($T406, J$1&amp;""[\w &amp;]*, (\d+\.\d+)""),"""")
"),"")</f>
        <v/>
      </c>
      <c r="K406" s="3"/>
      <c r="L406" s="3" t="str">
        <f aca="false">IFERROR(__xludf.dummyfunction("if($T406&lt;&gt;"""",REGEXEXTRACT(SUBSTITUTE ($T406,L$1&amp;"" CE"",""""), L$1&amp;""[\w &amp;]*, (\d+\.\d+)""),"""")
"),"")</f>
        <v/>
      </c>
      <c r="M406" s="3" t="str">
        <f aca="false">IFERROR(__xludf.dummyfunction("if($T406&lt;&gt;"""",REGEXEXTRACT($T406, M$1&amp;""[\w &amp;]*, (\d+\.\d+)""),"""")
"),"")</f>
        <v/>
      </c>
      <c r="N406" s="3" t="str">
        <f aca="false">IFERROR(__xludf.dummyfunction("if($T406&lt;&gt;"""",REGEXEXTRACT(SUBSTITUTE ($T406,N$1&amp;"" CE"",""""), N$1&amp;""[\w &amp;]*, (\d+\.\d+)""),"""")
"),"")</f>
        <v/>
      </c>
      <c r="O406" s="3" t="str">
        <f aca="false">IFERROR(__xludf.dummyfunction("if($T406&lt;&gt;"""",REGEXEXTRACT($T406, O$1&amp;""[\w &amp;]*, (\d+\.\d+)""),"""")
"),"")</f>
        <v/>
      </c>
      <c r="P406" s="2"/>
      <c r="Q406" s="2"/>
      <c r="R406" s="2"/>
      <c r="S406" s="2"/>
      <c r="T406" s="5"/>
    </row>
    <row r="407" customFormat="false" ht="15.75" hidden="false" customHeight="false" outlineLevel="0" collapsed="false">
      <c r="A407" s="4"/>
      <c r="B407" s="2"/>
      <c r="C407" s="2"/>
      <c r="D407" s="2"/>
      <c r="E407" s="2"/>
      <c r="F407" s="3" t="str">
        <f aca="false">IFERROR(__xludf.dummyfunction("if($T407&lt;&gt;"""",REGEXEXTRACT(SUBSTITUTE ($T407,F$1&amp;"" CE"",""""), F$1&amp;""[\w &amp;]*, (\d+\.\d+)""),"""")
"),"")</f>
        <v/>
      </c>
      <c r="G407" s="3" t="str">
        <f aca="false">IFERROR(__xludf.dummyfunction("if($T407&lt;&gt;"""",REGEXEXTRACT($T407, G$1&amp;""[\w &amp;]*, (\d+\.\d+)""),"""")
"),"")</f>
        <v/>
      </c>
      <c r="H407" s="3"/>
      <c r="I407" s="3" t="str">
        <f aca="false">IFERROR(__xludf.dummyfunction("if($T407&lt;&gt;"""",REGEXEXTRACT(SUBSTITUTE ($T407,I$1&amp;"" CE"",""""), I$1&amp;""[\w &amp;]*, (\d+\.\d+)""),"""")
"),"")</f>
        <v/>
      </c>
      <c r="J407" s="3" t="str">
        <f aca="false">IFERROR(__xludf.dummyfunction("if($T407&lt;&gt;"""",REGEXEXTRACT($T407, J$1&amp;""[\w &amp;]*, (\d+\.\d+)""),"""")
"),"")</f>
        <v/>
      </c>
      <c r="K407" s="3"/>
      <c r="L407" s="3" t="str">
        <f aca="false">IFERROR(__xludf.dummyfunction("if($T407&lt;&gt;"""",REGEXEXTRACT(SUBSTITUTE ($T407,L$1&amp;"" CE"",""""), L$1&amp;""[\w &amp;]*, (\d+\.\d+)""),"""")
"),"")</f>
        <v/>
      </c>
      <c r="M407" s="3" t="str">
        <f aca="false">IFERROR(__xludf.dummyfunction("if($T407&lt;&gt;"""",REGEXEXTRACT($T407, M$1&amp;""[\w &amp;]*, (\d+\.\d+)""),"""")
"),"")</f>
        <v/>
      </c>
      <c r="N407" s="3" t="str">
        <f aca="false">IFERROR(__xludf.dummyfunction("if($T407&lt;&gt;"""",REGEXEXTRACT(SUBSTITUTE ($T407,N$1&amp;"" CE"",""""), N$1&amp;""[\w &amp;]*, (\d+\.\d+)""),"""")
"),"")</f>
        <v/>
      </c>
      <c r="O407" s="3" t="str">
        <f aca="false">IFERROR(__xludf.dummyfunction("if($T407&lt;&gt;"""",REGEXEXTRACT($T407, O$1&amp;""[\w &amp;]*, (\d+\.\d+)""),"""")
"),"")</f>
        <v/>
      </c>
      <c r="P407" s="2"/>
      <c r="Q407" s="2"/>
      <c r="R407" s="2"/>
      <c r="S407" s="2"/>
      <c r="T407" s="5"/>
    </row>
    <row r="408" customFormat="false" ht="15.75" hidden="false" customHeight="false" outlineLevel="0" collapsed="false">
      <c r="A408" s="4"/>
      <c r="B408" s="2"/>
      <c r="C408" s="2"/>
      <c r="D408" s="2"/>
      <c r="E408" s="2"/>
      <c r="F408" s="3" t="str">
        <f aca="false">IFERROR(__xludf.dummyfunction("if($T408&lt;&gt;"""",REGEXEXTRACT(SUBSTITUTE ($T408,F$1&amp;"" CE"",""""), F$1&amp;""[\w &amp;]*, (\d+\.\d+)""),"""")
"),"")</f>
        <v/>
      </c>
      <c r="G408" s="3" t="str">
        <f aca="false">IFERROR(__xludf.dummyfunction("if($T408&lt;&gt;"""",REGEXEXTRACT($T408, G$1&amp;""[\w &amp;]*, (\d+\.\d+)""),"""")
"),"")</f>
        <v/>
      </c>
      <c r="H408" s="3"/>
      <c r="I408" s="3" t="str">
        <f aca="false">IFERROR(__xludf.dummyfunction("if($T408&lt;&gt;"""",REGEXEXTRACT(SUBSTITUTE ($T408,I$1&amp;"" CE"",""""), I$1&amp;""[\w &amp;]*, (\d+\.\d+)""),"""")
"),"")</f>
        <v/>
      </c>
      <c r="J408" s="3" t="str">
        <f aca="false">IFERROR(__xludf.dummyfunction("if($T408&lt;&gt;"""",REGEXEXTRACT($T408, J$1&amp;""[\w &amp;]*, (\d+\.\d+)""),"""")
"),"")</f>
        <v/>
      </c>
      <c r="K408" s="3"/>
      <c r="L408" s="3" t="str">
        <f aca="false">IFERROR(__xludf.dummyfunction("if($T408&lt;&gt;"""",REGEXEXTRACT(SUBSTITUTE ($T408,L$1&amp;"" CE"",""""), L$1&amp;""[\w &amp;]*, (\d+\.\d+)""),"""")
"),"")</f>
        <v/>
      </c>
      <c r="M408" s="3" t="str">
        <f aca="false">IFERROR(__xludf.dummyfunction("if($T408&lt;&gt;"""",REGEXEXTRACT($T408, M$1&amp;""[\w &amp;]*, (\d+\.\d+)""),"""")
"),"")</f>
        <v/>
      </c>
      <c r="N408" s="3" t="str">
        <f aca="false">IFERROR(__xludf.dummyfunction("if($T408&lt;&gt;"""",REGEXEXTRACT(SUBSTITUTE ($T408,N$1&amp;"" CE"",""""), N$1&amp;""[\w &amp;]*, (\d+\.\d+)""),"""")
"),"")</f>
        <v/>
      </c>
      <c r="O408" s="3" t="str">
        <f aca="false">IFERROR(__xludf.dummyfunction("if($T408&lt;&gt;"""",REGEXEXTRACT($T408, O$1&amp;""[\w &amp;]*, (\d+\.\d+)""),"""")
"),"")</f>
        <v/>
      </c>
      <c r="P408" s="2"/>
      <c r="Q408" s="2"/>
      <c r="R408" s="2"/>
      <c r="S408" s="2"/>
      <c r="T408" s="5"/>
    </row>
    <row r="409" customFormat="false" ht="15.75" hidden="false" customHeight="false" outlineLevel="0" collapsed="false">
      <c r="A409" s="4"/>
      <c r="B409" s="2"/>
      <c r="C409" s="2"/>
      <c r="D409" s="2"/>
      <c r="E409" s="2"/>
      <c r="F409" s="3" t="str">
        <f aca="false">IFERROR(__xludf.dummyfunction("if($T409&lt;&gt;"""",REGEXEXTRACT(SUBSTITUTE ($T409,F$1&amp;"" CE"",""""), F$1&amp;""[\w &amp;]*, (\d+\.\d+)""),"""")
"),"")</f>
        <v/>
      </c>
      <c r="G409" s="3" t="str">
        <f aca="false">IFERROR(__xludf.dummyfunction("if($T409&lt;&gt;"""",REGEXEXTRACT($T409, G$1&amp;""[\w &amp;]*, (\d+\.\d+)""),"""")
"),"")</f>
        <v/>
      </c>
      <c r="H409" s="3"/>
      <c r="I409" s="3" t="str">
        <f aca="false">IFERROR(__xludf.dummyfunction("if($T409&lt;&gt;"""",REGEXEXTRACT(SUBSTITUTE ($T409,I$1&amp;"" CE"",""""), I$1&amp;""[\w &amp;]*, (\d+\.\d+)""),"""")
"),"")</f>
        <v/>
      </c>
      <c r="J409" s="3" t="str">
        <f aca="false">IFERROR(__xludf.dummyfunction("if($T409&lt;&gt;"""",REGEXEXTRACT($T409, J$1&amp;""[\w &amp;]*, (\d+\.\d+)""),"""")
"),"")</f>
        <v/>
      </c>
      <c r="K409" s="3"/>
      <c r="L409" s="3" t="str">
        <f aca="false">IFERROR(__xludf.dummyfunction("if($T409&lt;&gt;"""",REGEXEXTRACT(SUBSTITUTE ($T409,L$1&amp;"" CE"",""""), L$1&amp;""[\w &amp;]*, (\d+\.\d+)""),"""")
"),"")</f>
        <v/>
      </c>
      <c r="M409" s="3" t="str">
        <f aca="false">IFERROR(__xludf.dummyfunction("if($T409&lt;&gt;"""",REGEXEXTRACT($T409, M$1&amp;""[\w &amp;]*, (\d+\.\d+)""),"""")
"),"")</f>
        <v/>
      </c>
      <c r="N409" s="3" t="str">
        <f aca="false">IFERROR(__xludf.dummyfunction("if($T409&lt;&gt;"""",REGEXEXTRACT(SUBSTITUTE ($T409,N$1&amp;"" CE"",""""), N$1&amp;""[\w &amp;]*, (\d+\.\d+)""),"""")
"),"")</f>
        <v/>
      </c>
      <c r="O409" s="3" t="str">
        <f aca="false">IFERROR(__xludf.dummyfunction("if($T409&lt;&gt;"""",REGEXEXTRACT($T409, O$1&amp;""[\w &amp;]*, (\d+\.\d+)""),"""")
"),"")</f>
        <v/>
      </c>
      <c r="P409" s="2"/>
      <c r="Q409" s="2"/>
      <c r="R409" s="2"/>
      <c r="S409" s="2"/>
      <c r="T409" s="5"/>
    </row>
    <row r="410" customFormat="false" ht="15.75" hidden="false" customHeight="false" outlineLevel="0" collapsed="false">
      <c r="A410" s="4"/>
      <c r="B410" s="2"/>
      <c r="C410" s="2"/>
      <c r="D410" s="2"/>
      <c r="E410" s="2"/>
      <c r="F410" s="3" t="str">
        <f aca="false">IFERROR(__xludf.dummyfunction("if($T410&lt;&gt;"""",REGEXEXTRACT(SUBSTITUTE ($T410,F$1&amp;"" CE"",""""), F$1&amp;""[\w &amp;]*, (\d+\.\d+)""),"""")
"),"")</f>
        <v/>
      </c>
      <c r="G410" s="3" t="str">
        <f aca="false">IFERROR(__xludf.dummyfunction("if($T410&lt;&gt;"""",REGEXEXTRACT($T410, G$1&amp;""[\w &amp;]*, (\d+\.\d+)""),"""")
"),"")</f>
        <v/>
      </c>
      <c r="H410" s="3"/>
      <c r="I410" s="3" t="str">
        <f aca="false">IFERROR(__xludf.dummyfunction("if($T410&lt;&gt;"""",REGEXEXTRACT(SUBSTITUTE ($T410,I$1&amp;"" CE"",""""), I$1&amp;""[\w &amp;]*, (\d+\.\d+)""),"""")
"),"")</f>
        <v/>
      </c>
      <c r="J410" s="3" t="str">
        <f aca="false">IFERROR(__xludf.dummyfunction("if($T410&lt;&gt;"""",REGEXEXTRACT($T410, J$1&amp;""[\w &amp;]*, (\d+\.\d+)""),"""")
"),"")</f>
        <v/>
      </c>
      <c r="K410" s="3"/>
      <c r="L410" s="3" t="str">
        <f aca="false">IFERROR(__xludf.dummyfunction("if($T410&lt;&gt;"""",REGEXEXTRACT(SUBSTITUTE ($T410,L$1&amp;"" CE"",""""), L$1&amp;""[\w &amp;]*, (\d+\.\d+)""),"""")
"),"")</f>
        <v/>
      </c>
      <c r="M410" s="3" t="str">
        <f aca="false">IFERROR(__xludf.dummyfunction("if($T410&lt;&gt;"""",REGEXEXTRACT($T410, M$1&amp;""[\w &amp;]*, (\d+\.\d+)""),"""")
"),"")</f>
        <v/>
      </c>
      <c r="N410" s="3" t="str">
        <f aca="false">IFERROR(__xludf.dummyfunction("if($T410&lt;&gt;"""",REGEXEXTRACT(SUBSTITUTE ($T410,N$1&amp;"" CE"",""""), N$1&amp;""[\w &amp;]*, (\d+\.\d+)""),"""")
"),"")</f>
        <v/>
      </c>
      <c r="O410" s="3" t="str">
        <f aca="false">IFERROR(__xludf.dummyfunction("if($T410&lt;&gt;"""",REGEXEXTRACT($T410, O$1&amp;""[\w &amp;]*, (\d+\.\d+)""),"""")
"),"")</f>
        <v/>
      </c>
      <c r="P410" s="2"/>
      <c r="Q410" s="2"/>
      <c r="R410" s="2"/>
      <c r="S410" s="2"/>
      <c r="T410" s="5"/>
    </row>
    <row r="411" customFormat="false" ht="15.75" hidden="false" customHeight="false" outlineLevel="0" collapsed="false">
      <c r="A411" s="4"/>
      <c r="B411" s="2"/>
      <c r="C411" s="2"/>
      <c r="D411" s="2"/>
      <c r="E411" s="2"/>
      <c r="F411" s="3" t="str">
        <f aca="false">IFERROR(__xludf.dummyfunction("if($T411&lt;&gt;"""",REGEXEXTRACT(SUBSTITUTE ($T411,F$1&amp;"" CE"",""""), F$1&amp;""[\w &amp;]*, (\d+\.\d+)""),"""")
"),"")</f>
        <v/>
      </c>
      <c r="G411" s="3" t="str">
        <f aca="false">IFERROR(__xludf.dummyfunction("if($T411&lt;&gt;"""",REGEXEXTRACT($T411, G$1&amp;""[\w &amp;]*, (\d+\.\d+)""),"""")
"),"")</f>
        <v/>
      </c>
      <c r="H411" s="3"/>
      <c r="I411" s="3" t="str">
        <f aca="false">IFERROR(__xludf.dummyfunction("if($T411&lt;&gt;"""",REGEXEXTRACT(SUBSTITUTE ($T411,I$1&amp;"" CE"",""""), I$1&amp;""[\w &amp;]*, (\d+\.\d+)""),"""")
"),"")</f>
        <v/>
      </c>
      <c r="J411" s="3" t="str">
        <f aca="false">IFERROR(__xludf.dummyfunction("if($T411&lt;&gt;"""",REGEXEXTRACT($T411, J$1&amp;""[\w &amp;]*, (\d+\.\d+)""),"""")
"),"")</f>
        <v/>
      </c>
      <c r="K411" s="3"/>
      <c r="L411" s="3" t="str">
        <f aca="false">IFERROR(__xludf.dummyfunction("if($T411&lt;&gt;"""",REGEXEXTRACT(SUBSTITUTE ($T411,L$1&amp;"" CE"",""""), L$1&amp;""[\w &amp;]*, (\d+\.\d+)""),"""")
"),"")</f>
        <v/>
      </c>
      <c r="M411" s="3" t="str">
        <f aca="false">IFERROR(__xludf.dummyfunction("if($T411&lt;&gt;"""",REGEXEXTRACT($T411, M$1&amp;""[\w &amp;]*, (\d+\.\d+)""),"""")
"),"")</f>
        <v/>
      </c>
      <c r="N411" s="3" t="str">
        <f aca="false">IFERROR(__xludf.dummyfunction("if($T411&lt;&gt;"""",REGEXEXTRACT(SUBSTITUTE ($T411,N$1&amp;"" CE"",""""), N$1&amp;""[\w &amp;]*, (\d+\.\d+)""),"""")
"),"")</f>
        <v/>
      </c>
      <c r="O411" s="3" t="str">
        <f aca="false">IFERROR(__xludf.dummyfunction("if($T411&lt;&gt;"""",REGEXEXTRACT($T411, O$1&amp;""[\w &amp;]*, (\d+\.\d+)""),"""")
"),"")</f>
        <v/>
      </c>
      <c r="P411" s="2"/>
      <c r="Q411" s="2"/>
      <c r="R411" s="2"/>
      <c r="S411" s="2"/>
      <c r="T411" s="5"/>
    </row>
    <row r="412" customFormat="false" ht="15.75" hidden="false" customHeight="false" outlineLevel="0" collapsed="false">
      <c r="A412" s="4"/>
      <c r="B412" s="2"/>
      <c r="C412" s="2"/>
      <c r="D412" s="2"/>
      <c r="E412" s="2"/>
      <c r="F412" s="3" t="str">
        <f aca="false">IFERROR(__xludf.dummyfunction("if($T412&lt;&gt;"""",REGEXEXTRACT(SUBSTITUTE ($T412,F$1&amp;"" CE"",""""), F$1&amp;""[\w &amp;]*, (\d+\.\d+)""),"""")
"),"")</f>
        <v/>
      </c>
      <c r="G412" s="3" t="str">
        <f aca="false">IFERROR(__xludf.dummyfunction("if($T412&lt;&gt;"""",REGEXEXTRACT($T412, G$1&amp;""[\w &amp;]*, (\d+\.\d+)""),"""")
"),"")</f>
        <v/>
      </c>
      <c r="H412" s="3"/>
      <c r="I412" s="3" t="str">
        <f aca="false">IFERROR(__xludf.dummyfunction("if($T412&lt;&gt;"""",REGEXEXTRACT(SUBSTITUTE ($T412,I$1&amp;"" CE"",""""), I$1&amp;""[\w &amp;]*, (\d+\.\d+)""),"""")
"),"")</f>
        <v/>
      </c>
      <c r="J412" s="3" t="str">
        <f aca="false">IFERROR(__xludf.dummyfunction("if($T412&lt;&gt;"""",REGEXEXTRACT($T412, J$1&amp;""[\w &amp;]*, (\d+\.\d+)""),"""")
"),"")</f>
        <v/>
      </c>
      <c r="K412" s="3"/>
      <c r="L412" s="3" t="str">
        <f aca="false">IFERROR(__xludf.dummyfunction("if($T412&lt;&gt;"""",REGEXEXTRACT(SUBSTITUTE ($T412,L$1&amp;"" CE"",""""), L$1&amp;""[\w &amp;]*, (\d+\.\d+)""),"""")
"),"")</f>
        <v/>
      </c>
      <c r="M412" s="3" t="str">
        <f aca="false">IFERROR(__xludf.dummyfunction("if($T412&lt;&gt;"""",REGEXEXTRACT($T412, M$1&amp;""[\w &amp;]*, (\d+\.\d+)""),"""")
"),"")</f>
        <v/>
      </c>
      <c r="N412" s="3" t="str">
        <f aca="false">IFERROR(__xludf.dummyfunction("if($T412&lt;&gt;"""",REGEXEXTRACT(SUBSTITUTE ($T412,N$1&amp;"" CE"",""""), N$1&amp;""[\w &amp;]*, (\d+\.\d+)""),"""")
"),"")</f>
        <v/>
      </c>
      <c r="O412" s="3" t="str">
        <f aca="false">IFERROR(__xludf.dummyfunction("if($T412&lt;&gt;"""",REGEXEXTRACT($T412, O$1&amp;""[\w &amp;]*, (\d+\.\d+)""),"""")
"),"")</f>
        <v/>
      </c>
      <c r="P412" s="2"/>
      <c r="Q412" s="2"/>
      <c r="R412" s="2"/>
      <c r="S412" s="2"/>
      <c r="T412" s="5"/>
    </row>
    <row r="413" customFormat="false" ht="15.75" hidden="false" customHeight="false" outlineLevel="0" collapsed="false">
      <c r="A413" s="4"/>
      <c r="B413" s="2"/>
      <c r="C413" s="2"/>
      <c r="D413" s="2"/>
      <c r="E413" s="2"/>
      <c r="F413" s="3" t="str">
        <f aca="false">IFERROR(__xludf.dummyfunction("if($T413&lt;&gt;"""",REGEXEXTRACT(SUBSTITUTE ($T413,F$1&amp;"" CE"",""""), F$1&amp;""[\w &amp;]*, (\d+\.\d+)""),"""")
"),"")</f>
        <v/>
      </c>
      <c r="G413" s="3" t="str">
        <f aca="false">IFERROR(__xludf.dummyfunction("if($T413&lt;&gt;"""",REGEXEXTRACT($T413, G$1&amp;""[\w &amp;]*, (\d+\.\d+)""),"""")
"),"")</f>
        <v/>
      </c>
      <c r="H413" s="3"/>
      <c r="I413" s="3" t="str">
        <f aca="false">IFERROR(__xludf.dummyfunction("if($T413&lt;&gt;"""",REGEXEXTRACT(SUBSTITUTE ($T413,I$1&amp;"" CE"",""""), I$1&amp;""[\w &amp;]*, (\d+\.\d+)""),"""")
"),"")</f>
        <v/>
      </c>
      <c r="J413" s="3" t="str">
        <f aca="false">IFERROR(__xludf.dummyfunction("if($T413&lt;&gt;"""",REGEXEXTRACT($T413, J$1&amp;""[\w &amp;]*, (\d+\.\d+)""),"""")
"),"")</f>
        <v/>
      </c>
      <c r="K413" s="3"/>
      <c r="L413" s="3" t="str">
        <f aca="false">IFERROR(__xludf.dummyfunction("if($T413&lt;&gt;"""",REGEXEXTRACT(SUBSTITUTE ($T413,L$1&amp;"" CE"",""""), L$1&amp;""[\w &amp;]*, (\d+\.\d+)""),"""")
"),"")</f>
        <v/>
      </c>
      <c r="M413" s="3" t="str">
        <f aca="false">IFERROR(__xludf.dummyfunction("if($T413&lt;&gt;"""",REGEXEXTRACT($T413, M$1&amp;""[\w &amp;]*, (\d+\.\d+)""),"""")
"),"")</f>
        <v/>
      </c>
      <c r="N413" s="3" t="str">
        <f aca="false">IFERROR(__xludf.dummyfunction("if($T413&lt;&gt;"""",REGEXEXTRACT(SUBSTITUTE ($T413,N$1&amp;"" CE"",""""), N$1&amp;""[\w &amp;]*, (\d+\.\d+)""),"""")
"),"")</f>
        <v/>
      </c>
      <c r="O413" s="3" t="str">
        <f aca="false">IFERROR(__xludf.dummyfunction("if($T413&lt;&gt;"""",REGEXEXTRACT($T413, O$1&amp;""[\w &amp;]*, (\d+\.\d+)""),"""")
"),"")</f>
        <v/>
      </c>
      <c r="P413" s="2"/>
      <c r="Q413" s="2"/>
      <c r="R413" s="2"/>
      <c r="S413" s="2"/>
      <c r="T413" s="5"/>
    </row>
    <row r="414" customFormat="false" ht="15.75" hidden="false" customHeight="false" outlineLevel="0" collapsed="false">
      <c r="A414" s="4"/>
      <c r="B414" s="2"/>
      <c r="C414" s="2"/>
      <c r="D414" s="2"/>
      <c r="E414" s="2"/>
      <c r="F414" s="3" t="str">
        <f aca="false">IFERROR(__xludf.dummyfunction("if($T414&lt;&gt;"""",REGEXEXTRACT(SUBSTITUTE ($T414,F$1&amp;"" CE"",""""), F$1&amp;""[\w &amp;]*, (\d+\.\d+)""),"""")
"),"")</f>
        <v/>
      </c>
      <c r="G414" s="3" t="str">
        <f aca="false">IFERROR(__xludf.dummyfunction("if($T414&lt;&gt;"""",REGEXEXTRACT($T414, G$1&amp;""[\w &amp;]*, (\d+\.\d+)""),"""")
"),"")</f>
        <v/>
      </c>
      <c r="H414" s="3"/>
      <c r="I414" s="3" t="str">
        <f aca="false">IFERROR(__xludf.dummyfunction("if($T414&lt;&gt;"""",REGEXEXTRACT(SUBSTITUTE ($T414,I$1&amp;"" CE"",""""), I$1&amp;""[\w &amp;]*, (\d+\.\d+)""),"""")
"),"")</f>
        <v/>
      </c>
      <c r="J414" s="3" t="str">
        <f aca="false">IFERROR(__xludf.dummyfunction("if($T414&lt;&gt;"""",REGEXEXTRACT($T414, J$1&amp;""[\w &amp;]*, (\d+\.\d+)""),"""")
"),"")</f>
        <v/>
      </c>
      <c r="K414" s="3"/>
      <c r="L414" s="3" t="str">
        <f aca="false">IFERROR(__xludf.dummyfunction("if($T414&lt;&gt;"""",REGEXEXTRACT(SUBSTITUTE ($T414,L$1&amp;"" CE"",""""), L$1&amp;""[\w &amp;]*, (\d+\.\d+)""),"""")
"),"")</f>
        <v/>
      </c>
      <c r="M414" s="3" t="str">
        <f aca="false">IFERROR(__xludf.dummyfunction("if($T414&lt;&gt;"""",REGEXEXTRACT($T414, M$1&amp;""[\w &amp;]*, (\d+\.\d+)""),"""")
"),"")</f>
        <v/>
      </c>
      <c r="N414" s="3" t="str">
        <f aca="false">IFERROR(__xludf.dummyfunction("if($T414&lt;&gt;"""",REGEXEXTRACT(SUBSTITUTE ($T414,N$1&amp;"" CE"",""""), N$1&amp;""[\w &amp;]*, (\d+\.\d+)""),"""")
"),"")</f>
        <v/>
      </c>
      <c r="O414" s="3" t="str">
        <f aca="false">IFERROR(__xludf.dummyfunction("if($T414&lt;&gt;"""",REGEXEXTRACT($T414, O$1&amp;""[\w &amp;]*, (\d+\.\d+)""),"""")
"),"")</f>
        <v/>
      </c>
      <c r="P414" s="2"/>
      <c r="Q414" s="2"/>
      <c r="R414" s="2"/>
      <c r="S414" s="2"/>
      <c r="T414" s="5"/>
    </row>
    <row r="415" customFormat="false" ht="15.75" hidden="false" customHeight="false" outlineLevel="0" collapsed="false">
      <c r="A415" s="4"/>
      <c r="B415" s="2"/>
      <c r="C415" s="2"/>
      <c r="D415" s="2"/>
      <c r="E415" s="2"/>
      <c r="F415" s="3" t="str">
        <f aca="false">IFERROR(__xludf.dummyfunction("if($T415&lt;&gt;"""",REGEXEXTRACT(SUBSTITUTE ($T415,F$1&amp;"" CE"",""""), F$1&amp;""[\w &amp;]*, (\d+\.\d+)""),"""")
"),"")</f>
        <v/>
      </c>
      <c r="G415" s="3" t="str">
        <f aca="false">IFERROR(__xludf.dummyfunction("if($T415&lt;&gt;"""",REGEXEXTRACT($T415, G$1&amp;""[\w &amp;]*, (\d+\.\d+)""),"""")
"),"")</f>
        <v/>
      </c>
      <c r="H415" s="3"/>
      <c r="I415" s="3" t="str">
        <f aca="false">IFERROR(__xludf.dummyfunction("if($T415&lt;&gt;"""",REGEXEXTRACT(SUBSTITUTE ($T415,I$1&amp;"" CE"",""""), I$1&amp;""[\w &amp;]*, (\d+\.\d+)""),"""")
"),"")</f>
        <v/>
      </c>
      <c r="J415" s="3" t="str">
        <f aca="false">IFERROR(__xludf.dummyfunction("if($T415&lt;&gt;"""",REGEXEXTRACT($T415, J$1&amp;""[\w &amp;]*, (\d+\.\d+)""),"""")
"),"")</f>
        <v/>
      </c>
      <c r="K415" s="3"/>
      <c r="L415" s="3" t="str">
        <f aca="false">IFERROR(__xludf.dummyfunction("if($T415&lt;&gt;"""",REGEXEXTRACT(SUBSTITUTE ($T415,L$1&amp;"" CE"",""""), L$1&amp;""[\w &amp;]*, (\d+\.\d+)""),"""")
"),"")</f>
        <v/>
      </c>
      <c r="M415" s="3" t="str">
        <f aca="false">IFERROR(__xludf.dummyfunction("if($T415&lt;&gt;"""",REGEXEXTRACT($T415, M$1&amp;""[\w &amp;]*, (\d+\.\d+)""),"""")
"),"")</f>
        <v/>
      </c>
      <c r="N415" s="3" t="str">
        <f aca="false">IFERROR(__xludf.dummyfunction("if($T415&lt;&gt;"""",REGEXEXTRACT(SUBSTITUTE ($T415,N$1&amp;"" CE"",""""), N$1&amp;""[\w &amp;]*, (\d+\.\d+)""),"""")
"),"")</f>
        <v/>
      </c>
      <c r="O415" s="3" t="str">
        <f aca="false">IFERROR(__xludf.dummyfunction("if($T415&lt;&gt;"""",REGEXEXTRACT($T415, O$1&amp;""[\w &amp;]*, (\d+\.\d+)""),"""")
"),"")</f>
        <v/>
      </c>
      <c r="P415" s="2"/>
      <c r="Q415" s="2"/>
      <c r="R415" s="2"/>
      <c r="S415" s="2"/>
      <c r="T415" s="5"/>
    </row>
    <row r="416" customFormat="false" ht="15.75" hidden="false" customHeight="false" outlineLevel="0" collapsed="false">
      <c r="A416" s="4"/>
      <c r="B416" s="2"/>
      <c r="C416" s="2"/>
      <c r="D416" s="2"/>
      <c r="E416" s="2"/>
      <c r="F416" s="3" t="str">
        <f aca="false">IFERROR(__xludf.dummyfunction("if($T416&lt;&gt;"""",REGEXEXTRACT(SUBSTITUTE ($T416,F$1&amp;"" CE"",""""), F$1&amp;""[\w &amp;]*, (\d+\.\d+)""),"""")
"),"")</f>
        <v/>
      </c>
      <c r="G416" s="3" t="str">
        <f aca="false">IFERROR(__xludf.dummyfunction("if($T416&lt;&gt;"""",REGEXEXTRACT($T416, G$1&amp;""[\w &amp;]*, (\d+\.\d+)""),"""")
"),"")</f>
        <v/>
      </c>
      <c r="H416" s="3"/>
      <c r="I416" s="3" t="str">
        <f aca="false">IFERROR(__xludf.dummyfunction("if($T416&lt;&gt;"""",REGEXEXTRACT(SUBSTITUTE ($T416,I$1&amp;"" CE"",""""), I$1&amp;""[\w &amp;]*, (\d+\.\d+)""),"""")
"),"")</f>
        <v/>
      </c>
      <c r="J416" s="3" t="str">
        <f aca="false">IFERROR(__xludf.dummyfunction("if($T416&lt;&gt;"""",REGEXEXTRACT($T416, J$1&amp;""[\w &amp;]*, (\d+\.\d+)""),"""")
"),"")</f>
        <v/>
      </c>
      <c r="K416" s="3"/>
      <c r="L416" s="3" t="str">
        <f aca="false">IFERROR(__xludf.dummyfunction("if($T416&lt;&gt;"""",REGEXEXTRACT(SUBSTITUTE ($T416,L$1&amp;"" CE"",""""), L$1&amp;""[\w &amp;]*, (\d+\.\d+)""),"""")
"),"")</f>
        <v/>
      </c>
      <c r="M416" s="3" t="str">
        <f aca="false">IFERROR(__xludf.dummyfunction("if($T416&lt;&gt;"""",REGEXEXTRACT($T416, M$1&amp;""[\w &amp;]*, (\d+\.\d+)""),"""")
"),"")</f>
        <v/>
      </c>
      <c r="N416" s="3" t="str">
        <f aca="false">IFERROR(__xludf.dummyfunction("if($T416&lt;&gt;"""",REGEXEXTRACT(SUBSTITUTE ($T416,N$1&amp;"" CE"",""""), N$1&amp;""[\w &amp;]*, (\d+\.\d+)""),"""")
"),"")</f>
        <v/>
      </c>
      <c r="O416" s="3" t="str">
        <f aca="false">IFERROR(__xludf.dummyfunction("if($T416&lt;&gt;"""",REGEXEXTRACT($T416, O$1&amp;""[\w &amp;]*, (\d+\.\d+)""),"""")
"),"")</f>
        <v/>
      </c>
      <c r="P416" s="2"/>
      <c r="Q416" s="2"/>
      <c r="R416" s="2"/>
      <c r="S416" s="2"/>
      <c r="T416" s="5"/>
    </row>
    <row r="417" customFormat="false" ht="15.75" hidden="false" customHeight="false" outlineLevel="0" collapsed="false">
      <c r="A417" s="4"/>
      <c r="B417" s="2"/>
      <c r="C417" s="2"/>
      <c r="D417" s="2"/>
      <c r="E417" s="2"/>
      <c r="F417" s="3" t="str">
        <f aca="false">IFERROR(__xludf.dummyfunction("if($T417&lt;&gt;"""",REGEXEXTRACT(SUBSTITUTE ($T417,F$1&amp;"" CE"",""""), F$1&amp;""[\w &amp;]*, (\d+\.\d+)""),"""")
"),"")</f>
        <v/>
      </c>
      <c r="G417" s="3" t="str">
        <f aca="false">IFERROR(__xludf.dummyfunction("if($T417&lt;&gt;"""",REGEXEXTRACT($T417, G$1&amp;""[\w &amp;]*, (\d+\.\d+)""),"""")
"),"")</f>
        <v/>
      </c>
      <c r="H417" s="3"/>
      <c r="I417" s="3" t="str">
        <f aca="false">IFERROR(__xludf.dummyfunction("if($T417&lt;&gt;"""",REGEXEXTRACT(SUBSTITUTE ($T417,I$1&amp;"" CE"",""""), I$1&amp;""[\w &amp;]*, (\d+\.\d+)""),"""")
"),"")</f>
        <v/>
      </c>
      <c r="J417" s="3" t="str">
        <f aca="false">IFERROR(__xludf.dummyfunction("if($T417&lt;&gt;"""",REGEXEXTRACT($T417, J$1&amp;""[\w &amp;]*, (\d+\.\d+)""),"""")
"),"")</f>
        <v/>
      </c>
      <c r="K417" s="3"/>
      <c r="L417" s="3" t="str">
        <f aca="false">IFERROR(__xludf.dummyfunction("if($T417&lt;&gt;"""",REGEXEXTRACT(SUBSTITUTE ($T417,L$1&amp;"" CE"",""""), L$1&amp;""[\w &amp;]*, (\d+\.\d+)""),"""")
"),"")</f>
        <v/>
      </c>
      <c r="M417" s="3" t="str">
        <f aca="false">IFERROR(__xludf.dummyfunction("if($T417&lt;&gt;"""",REGEXEXTRACT($T417, M$1&amp;""[\w &amp;]*, (\d+\.\d+)""),"""")
"),"")</f>
        <v/>
      </c>
      <c r="N417" s="3" t="str">
        <f aca="false">IFERROR(__xludf.dummyfunction("if($T417&lt;&gt;"""",REGEXEXTRACT(SUBSTITUTE ($T417,N$1&amp;"" CE"",""""), N$1&amp;""[\w &amp;]*, (\d+\.\d+)""),"""")
"),"")</f>
        <v/>
      </c>
      <c r="O417" s="3" t="str">
        <f aca="false">IFERROR(__xludf.dummyfunction("if($T417&lt;&gt;"""",REGEXEXTRACT($T417, O$1&amp;""[\w &amp;]*, (\d+\.\d+)""),"""")
"),"")</f>
        <v/>
      </c>
      <c r="P417" s="2"/>
      <c r="Q417" s="2"/>
      <c r="R417" s="2"/>
      <c r="S417" s="2"/>
      <c r="T417" s="5"/>
    </row>
    <row r="418" customFormat="false" ht="15.75" hidden="false" customHeight="false" outlineLevel="0" collapsed="false">
      <c r="A418" s="4"/>
      <c r="B418" s="2"/>
      <c r="C418" s="2"/>
      <c r="D418" s="2"/>
      <c r="E418" s="2"/>
      <c r="F418" s="3" t="str">
        <f aca="false">IFERROR(__xludf.dummyfunction("if($T418&lt;&gt;"""",REGEXEXTRACT(SUBSTITUTE ($T418,F$1&amp;"" CE"",""""), F$1&amp;""[\w &amp;]*, (\d+\.\d+)""),"""")
"),"")</f>
        <v/>
      </c>
      <c r="G418" s="3" t="str">
        <f aca="false">IFERROR(__xludf.dummyfunction("if($T418&lt;&gt;"""",REGEXEXTRACT($T418, G$1&amp;""[\w &amp;]*, (\d+\.\d+)""),"""")
"),"")</f>
        <v/>
      </c>
      <c r="H418" s="3"/>
      <c r="I418" s="3" t="str">
        <f aca="false">IFERROR(__xludf.dummyfunction("if($T418&lt;&gt;"""",REGEXEXTRACT(SUBSTITUTE ($T418,I$1&amp;"" CE"",""""), I$1&amp;""[\w &amp;]*, (\d+\.\d+)""),"""")
"),"")</f>
        <v/>
      </c>
      <c r="J418" s="3" t="str">
        <f aca="false">IFERROR(__xludf.dummyfunction("if($T418&lt;&gt;"""",REGEXEXTRACT($T418, J$1&amp;""[\w &amp;]*, (\d+\.\d+)""),"""")
"),"")</f>
        <v/>
      </c>
      <c r="K418" s="3"/>
      <c r="L418" s="3" t="str">
        <f aca="false">IFERROR(__xludf.dummyfunction("if($T418&lt;&gt;"""",REGEXEXTRACT(SUBSTITUTE ($T418,L$1&amp;"" CE"",""""), L$1&amp;""[\w &amp;]*, (\d+\.\d+)""),"""")
"),"")</f>
        <v/>
      </c>
      <c r="M418" s="3" t="str">
        <f aca="false">IFERROR(__xludf.dummyfunction("if($T418&lt;&gt;"""",REGEXEXTRACT($T418, M$1&amp;""[\w &amp;]*, (\d+\.\d+)""),"""")
"),"")</f>
        <v/>
      </c>
      <c r="N418" s="3" t="str">
        <f aca="false">IFERROR(__xludf.dummyfunction("if($T418&lt;&gt;"""",REGEXEXTRACT(SUBSTITUTE ($T418,N$1&amp;"" CE"",""""), N$1&amp;""[\w &amp;]*, (\d+\.\d+)""),"""")
"),"")</f>
        <v/>
      </c>
      <c r="O418" s="3" t="str">
        <f aca="false">IFERROR(__xludf.dummyfunction("if($T418&lt;&gt;"""",REGEXEXTRACT($T418, O$1&amp;""[\w &amp;]*, (\d+\.\d+)""),"""")
"),"")</f>
        <v/>
      </c>
      <c r="P418" s="2"/>
      <c r="Q418" s="2"/>
      <c r="R418" s="2"/>
      <c r="S418" s="2"/>
      <c r="T418" s="5"/>
    </row>
    <row r="419" customFormat="false" ht="15.75" hidden="false" customHeight="false" outlineLevel="0" collapsed="false">
      <c r="A419" s="4"/>
      <c r="B419" s="2"/>
      <c r="C419" s="2"/>
      <c r="D419" s="2"/>
      <c r="E419" s="2"/>
      <c r="F419" s="3" t="str">
        <f aca="false">IFERROR(__xludf.dummyfunction("if($T419&lt;&gt;"""",REGEXEXTRACT(SUBSTITUTE ($T419,F$1&amp;"" CE"",""""), F$1&amp;""[\w &amp;]*, (\d+\.\d+)""),"""")
"),"")</f>
        <v/>
      </c>
      <c r="G419" s="3" t="str">
        <f aca="false">IFERROR(__xludf.dummyfunction("if($T419&lt;&gt;"""",REGEXEXTRACT($T419, G$1&amp;""[\w &amp;]*, (\d+\.\d+)""),"""")
"),"")</f>
        <v/>
      </c>
      <c r="H419" s="3"/>
      <c r="I419" s="3" t="str">
        <f aca="false">IFERROR(__xludf.dummyfunction("if($T419&lt;&gt;"""",REGEXEXTRACT(SUBSTITUTE ($T419,I$1&amp;"" CE"",""""), I$1&amp;""[\w &amp;]*, (\d+\.\d+)""),"""")
"),"")</f>
        <v/>
      </c>
      <c r="J419" s="3" t="str">
        <f aca="false">IFERROR(__xludf.dummyfunction("if($T419&lt;&gt;"""",REGEXEXTRACT($T419, J$1&amp;""[\w &amp;]*, (\d+\.\d+)""),"""")
"),"")</f>
        <v/>
      </c>
      <c r="K419" s="3"/>
      <c r="L419" s="3" t="str">
        <f aca="false">IFERROR(__xludf.dummyfunction("if($T419&lt;&gt;"""",REGEXEXTRACT(SUBSTITUTE ($T419,L$1&amp;"" CE"",""""), L$1&amp;""[\w &amp;]*, (\d+\.\d+)""),"""")
"),"")</f>
        <v/>
      </c>
      <c r="M419" s="3" t="str">
        <f aca="false">IFERROR(__xludf.dummyfunction("if($T419&lt;&gt;"""",REGEXEXTRACT($T419, M$1&amp;""[\w &amp;]*, (\d+\.\d+)""),"""")
"),"")</f>
        <v/>
      </c>
      <c r="N419" s="3" t="str">
        <f aca="false">IFERROR(__xludf.dummyfunction("if($T419&lt;&gt;"""",REGEXEXTRACT(SUBSTITUTE ($T419,N$1&amp;"" CE"",""""), N$1&amp;""[\w &amp;]*, (\d+\.\d+)""),"""")
"),"")</f>
        <v/>
      </c>
      <c r="O419" s="3" t="str">
        <f aca="false">IFERROR(__xludf.dummyfunction("if($T419&lt;&gt;"""",REGEXEXTRACT($T419, O$1&amp;""[\w &amp;]*, (\d+\.\d+)""),"""")
"),"")</f>
        <v/>
      </c>
      <c r="P419" s="2"/>
      <c r="Q419" s="2"/>
      <c r="R419" s="2"/>
      <c r="S419" s="2"/>
      <c r="T419" s="5"/>
    </row>
    <row r="420" customFormat="false" ht="15.75" hidden="false" customHeight="false" outlineLevel="0" collapsed="false">
      <c r="A420" s="4"/>
      <c r="B420" s="2"/>
      <c r="C420" s="2"/>
      <c r="D420" s="2"/>
      <c r="E420" s="2"/>
      <c r="F420" s="3" t="str">
        <f aca="false">IFERROR(__xludf.dummyfunction("if($T420&lt;&gt;"""",REGEXEXTRACT(SUBSTITUTE ($T420,F$1&amp;"" CE"",""""), F$1&amp;""[\w &amp;]*, (\d+\.\d+)""),"""")
"),"")</f>
        <v/>
      </c>
      <c r="G420" s="3" t="str">
        <f aca="false">IFERROR(__xludf.dummyfunction("if($T420&lt;&gt;"""",REGEXEXTRACT($T420, G$1&amp;""[\w &amp;]*, (\d+\.\d+)""),"""")
"),"")</f>
        <v/>
      </c>
      <c r="H420" s="3"/>
      <c r="I420" s="3" t="str">
        <f aca="false">IFERROR(__xludf.dummyfunction("if($T420&lt;&gt;"""",REGEXEXTRACT(SUBSTITUTE ($T420,I$1&amp;"" CE"",""""), I$1&amp;""[\w &amp;]*, (\d+\.\d+)""),"""")
"),"")</f>
        <v/>
      </c>
      <c r="J420" s="3" t="str">
        <f aca="false">IFERROR(__xludf.dummyfunction("if($T420&lt;&gt;"""",REGEXEXTRACT($T420, J$1&amp;""[\w &amp;]*, (\d+\.\d+)""),"""")
"),"")</f>
        <v/>
      </c>
      <c r="K420" s="3"/>
      <c r="L420" s="3" t="str">
        <f aca="false">IFERROR(__xludf.dummyfunction("if($T420&lt;&gt;"""",REGEXEXTRACT(SUBSTITUTE ($T420,L$1&amp;"" CE"",""""), L$1&amp;""[\w &amp;]*, (\d+\.\d+)""),"""")
"),"")</f>
        <v/>
      </c>
      <c r="M420" s="3" t="str">
        <f aca="false">IFERROR(__xludf.dummyfunction("if($T420&lt;&gt;"""",REGEXEXTRACT($T420, M$1&amp;""[\w &amp;]*, (\d+\.\d+)""),"""")
"),"")</f>
        <v/>
      </c>
      <c r="N420" s="3" t="str">
        <f aca="false">IFERROR(__xludf.dummyfunction("if($T420&lt;&gt;"""",REGEXEXTRACT(SUBSTITUTE ($T420,N$1&amp;"" CE"",""""), N$1&amp;""[\w &amp;]*, (\d+\.\d+)""),"""")
"),"")</f>
        <v/>
      </c>
      <c r="O420" s="3" t="str">
        <f aca="false">IFERROR(__xludf.dummyfunction("if($T420&lt;&gt;"""",REGEXEXTRACT($T420, O$1&amp;""[\w &amp;]*, (\d+\.\d+)""),"""")
"),"")</f>
        <v/>
      </c>
      <c r="P420" s="2"/>
      <c r="Q420" s="2"/>
      <c r="R420" s="2"/>
      <c r="S420" s="2"/>
      <c r="T420" s="5"/>
    </row>
    <row r="421" customFormat="false" ht="15.75" hidden="false" customHeight="false" outlineLevel="0" collapsed="false">
      <c r="A421" s="4"/>
      <c r="B421" s="2"/>
      <c r="C421" s="2"/>
      <c r="D421" s="2"/>
      <c r="E421" s="2"/>
      <c r="F421" s="3" t="str">
        <f aca="false">IFERROR(__xludf.dummyfunction("if($T421&lt;&gt;"""",REGEXEXTRACT(SUBSTITUTE ($T421,F$1&amp;"" CE"",""""), F$1&amp;""[\w &amp;]*, (\d+\.\d+)""),"""")
"),"")</f>
        <v/>
      </c>
      <c r="G421" s="3" t="str">
        <f aca="false">IFERROR(__xludf.dummyfunction("if($T421&lt;&gt;"""",REGEXEXTRACT($T421, G$1&amp;""[\w &amp;]*, (\d+\.\d+)""),"""")
"),"")</f>
        <v/>
      </c>
      <c r="H421" s="3"/>
      <c r="I421" s="3" t="str">
        <f aca="false">IFERROR(__xludf.dummyfunction("if($T421&lt;&gt;"""",REGEXEXTRACT(SUBSTITUTE ($T421,I$1&amp;"" CE"",""""), I$1&amp;""[\w &amp;]*, (\d+\.\d+)""),"""")
"),"")</f>
        <v/>
      </c>
      <c r="J421" s="3" t="str">
        <f aca="false">IFERROR(__xludf.dummyfunction("if($T421&lt;&gt;"""",REGEXEXTRACT($T421, J$1&amp;""[\w &amp;]*, (\d+\.\d+)""),"""")
"),"")</f>
        <v/>
      </c>
      <c r="K421" s="3"/>
      <c r="L421" s="3" t="str">
        <f aca="false">IFERROR(__xludf.dummyfunction("if($T421&lt;&gt;"""",REGEXEXTRACT(SUBSTITUTE ($T421,L$1&amp;"" CE"",""""), L$1&amp;""[\w &amp;]*, (\d+\.\d+)""),"""")
"),"")</f>
        <v/>
      </c>
      <c r="M421" s="3" t="str">
        <f aca="false">IFERROR(__xludf.dummyfunction("if($T421&lt;&gt;"""",REGEXEXTRACT($T421, M$1&amp;""[\w &amp;]*, (\d+\.\d+)""),"""")
"),"")</f>
        <v/>
      </c>
      <c r="N421" s="3" t="str">
        <f aca="false">IFERROR(__xludf.dummyfunction("if($T421&lt;&gt;"""",REGEXEXTRACT(SUBSTITUTE ($T421,N$1&amp;"" CE"",""""), N$1&amp;""[\w &amp;]*, (\d+\.\d+)""),"""")
"),"")</f>
        <v/>
      </c>
      <c r="O421" s="3" t="str">
        <f aca="false">IFERROR(__xludf.dummyfunction("if($T421&lt;&gt;"""",REGEXEXTRACT($T421, O$1&amp;""[\w &amp;]*, (\d+\.\d+)""),"""")
"),"")</f>
        <v/>
      </c>
      <c r="P421" s="2"/>
      <c r="Q421" s="2"/>
      <c r="R421" s="2"/>
      <c r="S421" s="2"/>
      <c r="T421" s="5"/>
    </row>
    <row r="422" customFormat="false" ht="15.75" hidden="false" customHeight="false" outlineLevel="0" collapsed="false">
      <c r="A422" s="4"/>
      <c r="B422" s="2"/>
      <c r="C422" s="2"/>
      <c r="D422" s="2"/>
      <c r="E422" s="2"/>
      <c r="F422" s="3" t="str">
        <f aca="false">IFERROR(__xludf.dummyfunction("if($T422&lt;&gt;"""",REGEXEXTRACT(SUBSTITUTE ($T422,F$1&amp;"" CE"",""""), F$1&amp;""[\w &amp;]*, (\d+\.\d+)""),"""")
"),"")</f>
        <v/>
      </c>
      <c r="G422" s="3" t="str">
        <f aca="false">IFERROR(__xludf.dummyfunction("if($T422&lt;&gt;"""",REGEXEXTRACT($T422, G$1&amp;""[\w &amp;]*, (\d+\.\d+)""),"""")
"),"")</f>
        <v/>
      </c>
      <c r="H422" s="3"/>
      <c r="I422" s="3" t="str">
        <f aca="false">IFERROR(__xludf.dummyfunction("if($T422&lt;&gt;"""",REGEXEXTRACT(SUBSTITUTE ($T422,I$1&amp;"" CE"",""""), I$1&amp;""[\w &amp;]*, (\d+\.\d+)""),"""")
"),"")</f>
        <v/>
      </c>
      <c r="J422" s="3" t="str">
        <f aca="false">IFERROR(__xludf.dummyfunction("if($T422&lt;&gt;"""",REGEXEXTRACT($T422, J$1&amp;""[\w &amp;]*, (\d+\.\d+)""),"""")
"),"")</f>
        <v/>
      </c>
      <c r="K422" s="3"/>
      <c r="L422" s="3" t="str">
        <f aca="false">IFERROR(__xludf.dummyfunction("if($T422&lt;&gt;"""",REGEXEXTRACT(SUBSTITUTE ($T422,L$1&amp;"" CE"",""""), L$1&amp;""[\w &amp;]*, (\d+\.\d+)""),"""")
"),"")</f>
        <v/>
      </c>
      <c r="M422" s="3" t="str">
        <f aca="false">IFERROR(__xludf.dummyfunction("if($T422&lt;&gt;"""",REGEXEXTRACT($T422, M$1&amp;""[\w &amp;]*, (\d+\.\d+)""),"""")
"),"")</f>
        <v/>
      </c>
      <c r="N422" s="3" t="str">
        <f aca="false">IFERROR(__xludf.dummyfunction("if($T422&lt;&gt;"""",REGEXEXTRACT(SUBSTITUTE ($T422,N$1&amp;"" CE"",""""), N$1&amp;""[\w &amp;]*, (\d+\.\d+)""),"""")
"),"")</f>
        <v/>
      </c>
      <c r="O422" s="3" t="str">
        <f aca="false">IFERROR(__xludf.dummyfunction("if($T422&lt;&gt;"""",REGEXEXTRACT($T422, O$1&amp;""[\w &amp;]*, (\d+\.\d+)""),"""")
"),"")</f>
        <v/>
      </c>
      <c r="P422" s="2"/>
      <c r="Q422" s="2"/>
      <c r="R422" s="2"/>
      <c r="S422" s="2"/>
      <c r="T422" s="5"/>
    </row>
    <row r="423" customFormat="false" ht="15.75" hidden="false" customHeight="false" outlineLevel="0" collapsed="false">
      <c r="A423" s="4"/>
      <c r="B423" s="2"/>
      <c r="C423" s="2"/>
      <c r="D423" s="2"/>
      <c r="E423" s="2"/>
      <c r="F423" s="3" t="str">
        <f aca="false">IFERROR(__xludf.dummyfunction("if($T423&lt;&gt;"""",REGEXEXTRACT(SUBSTITUTE ($T423,F$1&amp;"" CE"",""""), F$1&amp;""[\w &amp;]*, (\d+\.\d+)""),"""")
"),"")</f>
        <v/>
      </c>
      <c r="G423" s="3" t="str">
        <f aca="false">IFERROR(__xludf.dummyfunction("if($T423&lt;&gt;"""",REGEXEXTRACT($T423, G$1&amp;""[\w &amp;]*, (\d+\.\d+)""),"""")
"),"")</f>
        <v/>
      </c>
      <c r="H423" s="3"/>
      <c r="I423" s="3" t="str">
        <f aca="false">IFERROR(__xludf.dummyfunction("if($T423&lt;&gt;"""",REGEXEXTRACT(SUBSTITUTE ($T423,I$1&amp;"" CE"",""""), I$1&amp;""[\w &amp;]*, (\d+\.\d+)""),"""")
"),"")</f>
        <v/>
      </c>
      <c r="J423" s="3" t="str">
        <f aca="false">IFERROR(__xludf.dummyfunction("if($T423&lt;&gt;"""",REGEXEXTRACT($T423, J$1&amp;""[\w &amp;]*, (\d+\.\d+)""),"""")
"),"")</f>
        <v/>
      </c>
      <c r="K423" s="3"/>
      <c r="L423" s="3" t="str">
        <f aca="false">IFERROR(__xludf.dummyfunction("if($T423&lt;&gt;"""",REGEXEXTRACT(SUBSTITUTE ($T423,L$1&amp;"" CE"",""""), L$1&amp;""[\w &amp;]*, (\d+\.\d+)""),"""")
"),"")</f>
        <v/>
      </c>
      <c r="M423" s="3" t="str">
        <f aca="false">IFERROR(__xludf.dummyfunction("if($T423&lt;&gt;"""",REGEXEXTRACT($T423, M$1&amp;""[\w &amp;]*, (\d+\.\d+)""),"""")
"),"")</f>
        <v/>
      </c>
      <c r="N423" s="3" t="str">
        <f aca="false">IFERROR(__xludf.dummyfunction("if($T423&lt;&gt;"""",REGEXEXTRACT(SUBSTITUTE ($T423,N$1&amp;"" CE"",""""), N$1&amp;""[\w &amp;]*, (\d+\.\d+)""),"""")
"),"")</f>
        <v/>
      </c>
      <c r="O423" s="3" t="str">
        <f aca="false">IFERROR(__xludf.dummyfunction("if($T423&lt;&gt;"""",REGEXEXTRACT($T423, O$1&amp;""[\w &amp;]*, (\d+\.\d+)""),"""")
"),"")</f>
        <v/>
      </c>
      <c r="P423" s="2"/>
      <c r="Q423" s="2"/>
      <c r="R423" s="2"/>
      <c r="S423" s="2"/>
      <c r="T423" s="5"/>
    </row>
    <row r="424" customFormat="false" ht="15.75" hidden="false" customHeight="false" outlineLevel="0" collapsed="false">
      <c r="A424" s="4"/>
      <c r="B424" s="2"/>
      <c r="C424" s="2"/>
      <c r="D424" s="2"/>
      <c r="E424" s="2"/>
      <c r="F424" s="3" t="str">
        <f aca="false">IFERROR(__xludf.dummyfunction("if($T424&lt;&gt;"""",REGEXEXTRACT(SUBSTITUTE ($T424,F$1&amp;"" CE"",""""), F$1&amp;""[\w &amp;]*, (\d+\.\d+)""),"""")
"),"")</f>
        <v/>
      </c>
      <c r="G424" s="3" t="str">
        <f aca="false">IFERROR(__xludf.dummyfunction("if($T424&lt;&gt;"""",REGEXEXTRACT($T424, G$1&amp;""[\w &amp;]*, (\d+\.\d+)""),"""")
"),"")</f>
        <v/>
      </c>
      <c r="H424" s="3"/>
      <c r="I424" s="3" t="str">
        <f aca="false">IFERROR(__xludf.dummyfunction("if($T424&lt;&gt;"""",REGEXEXTRACT(SUBSTITUTE ($T424,I$1&amp;"" CE"",""""), I$1&amp;""[\w &amp;]*, (\d+\.\d+)""),"""")
"),"")</f>
        <v/>
      </c>
      <c r="J424" s="3" t="str">
        <f aca="false">IFERROR(__xludf.dummyfunction("if($T424&lt;&gt;"""",REGEXEXTRACT($T424, J$1&amp;""[\w &amp;]*, (\d+\.\d+)""),"""")
"),"")</f>
        <v/>
      </c>
      <c r="K424" s="3"/>
      <c r="L424" s="3" t="str">
        <f aca="false">IFERROR(__xludf.dummyfunction("if($T424&lt;&gt;"""",REGEXEXTRACT(SUBSTITUTE ($T424,L$1&amp;"" CE"",""""), L$1&amp;""[\w &amp;]*, (\d+\.\d+)""),"""")
"),"")</f>
        <v/>
      </c>
      <c r="M424" s="3" t="str">
        <f aca="false">IFERROR(__xludf.dummyfunction("if($T424&lt;&gt;"""",REGEXEXTRACT($T424, M$1&amp;""[\w &amp;]*, (\d+\.\d+)""),"""")
"),"")</f>
        <v/>
      </c>
      <c r="N424" s="3" t="str">
        <f aca="false">IFERROR(__xludf.dummyfunction("if($T424&lt;&gt;"""",REGEXEXTRACT(SUBSTITUTE ($T424,N$1&amp;"" CE"",""""), N$1&amp;""[\w &amp;]*, (\d+\.\d+)""),"""")
"),"")</f>
        <v/>
      </c>
      <c r="O424" s="3" t="str">
        <f aca="false">IFERROR(__xludf.dummyfunction("if($T424&lt;&gt;"""",REGEXEXTRACT($T424, O$1&amp;""[\w &amp;]*, (\d+\.\d+)""),"""")
"),"")</f>
        <v/>
      </c>
      <c r="P424" s="2"/>
      <c r="Q424" s="2"/>
      <c r="R424" s="2"/>
      <c r="S424" s="2"/>
      <c r="T424" s="5"/>
    </row>
    <row r="425" customFormat="false" ht="15.75" hidden="false" customHeight="false" outlineLevel="0" collapsed="false">
      <c r="A425" s="4"/>
      <c r="B425" s="2"/>
      <c r="C425" s="2"/>
      <c r="D425" s="2"/>
      <c r="E425" s="2"/>
      <c r="F425" s="3" t="str">
        <f aca="false">IFERROR(__xludf.dummyfunction("if($T425&lt;&gt;"""",REGEXEXTRACT(SUBSTITUTE ($T425,F$1&amp;"" CE"",""""), F$1&amp;""[\w &amp;]*, (\d+\.\d+)""),"""")
"),"")</f>
        <v/>
      </c>
      <c r="G425" s="3" t="str">
        <f aca="false">IFERROR(__xludf.dummyfunction("if($T425&lt;&gt;"""",REGEXEXTRACT($T425, G$1&amp;""[\w &amp;]*, (\d+\.\d+)""),"""")
"),"")</f>
        <v/>
      </c>
      <c r="H425" s="3"/>
      <c r="I425" s="3" t="str">
        <f aca="false">IFERROR(__xludf.dummyfunction("if($T425&lt;&gt;"""",REGEXEXTRACT(SUBSTITUTE ($T425,I$1&amp;"" CE"",""""), I$1&amp;""[\w &amp;]*, (\d+\.\d+)""),"""")
"),"")</f>
        <v/>
      </c>
      <c r="J425" s="3" t="str">
        <f aca="false">IFERROR(__xludf.dummyfunction("if($T425&lt;&gt;"""",REGEXEXTRACT($T425, J$1&amp;""[\w &amp;]*, (\d+\.\d+)""),"""")
"),"")</f>
        <v/>
      </c>
      <c r="K425" s="3"/>
      <c r="L425" s="3" t="str">
        <f aca="false">IFERROR(__xludf.dummyfunction("if($T425&lt;&gt;"""",REGEXEXTRACT(SUBSTITUTE ($T425,L$1&amp;"" CE"",""""), L$1&amp;""[\w &amp;]*, (\d+\.\d+)""),"""")
"),"")</f>
        <v/>
      </c>
      <c r="M425" s="3" t="str">
        <f aca="false">IFERROR(__xludf.dummyfunction("if($T425&lt;&gt;"""",REGEXEXTRACT($T425, M$1&amp;""[\w &amp;]*, (\d+\.\d+)""),"""")
"),"")</f>
        <v/>
      </c>
      <c r="N425" s="3" t="str">
        <f aca="false">IFERROR(__xludf.dummyfunction("if($T425&lt;&gt;"""",REGEXEXTRACT(SUBSTITUTE ($T425,N$1&amp;"" CE"",""""), N$1&amp;""[\w &amp;]*, (\d+\.\d+)""),"""")
"),"")</f>
        <v/>
      </c>
      <c r="O425" s="3" t="str">
        <f aca="false">IFERROR(__xludf.dummyfunction("if($T425&lt;&gt;"""",REGEXEXTRACT($T425, O$1&amp;""[\w &amp;]*, (\d+\.\d+)""),"""")
"),"")</f>
        <v/>
      </c>
      <c r="P425" s="2"/>
      <c r="Q425" s="2"/>
      <c r="R425" s="2"/>
      <c r="S425" s="2"/>
      <c r="T425" s="5"/>
    </row>
    <row r="426" customFormat="false" ht="15.75" hidden="false" customHeight="false" outlineLevel="0" collapsed="false">
      <c r="A426" s="4"/>
      <c r="B426" s="2"/>
      <c r="C426" s="2"/>
      <c r="D426" s="2"/>
      <c r="E426" s="2"/>
      <c r="F426" s="3" t="str">
        <f aca="false">IFERROR(__xludf.dummyfunction("if($T426&lt;&gt;"""",REGEXEXTRACT(SUBSTITUTE ($T426,F$1&amp;"" CE"",""""), F$1&amp;""[\w &amp;]*, (\d+\.\d+)""),"""")
"),"")</f>
        <v/>
      </c>
      <c r="G426" s="3" t="str">
        <f aca="false">IFERROR(__xludf.dummyfunction("if($T426&lt;&gt;"""",REGEXEXTRACT($T426, G$1&amp;""[\w &amp;]*, (\d+\.\d+)""),"""")
"),"")</f>
        <v/>
      </c>
      <c r="H426" s="3"/>
      <c r="I426" s="3" t="str">
        <f aca="false">IFERROR(__xludf.dummyfunction("if($T426&lt;&gt;"""",REGEXEXTRACT(SUBSTITUTE ($T426,I$1&amp;"" CE"",""""), I$1&amp;""[\w &amp;]*, (\d+\.\d+)""),"""")
"),"")</f>
        <v/>
      </c>
      <c r="J426" s="3" t="str">
        <f aca="false">IFERROR(__xludf.dummyfunction("if($T426&lt;&gt;"""",REGEXEXTRACT($T426, J$1&amp;""[\w &amp;]*, (\d+\.\d+)""),"""")
"),"")</f>
        <v/>
      </c>
      <c r="K426" s="3"/>
      <c r="L426" s="3" t="str">
        <f aca="false">IFERROR(__xludf.dummyfunction("if($T426&lt;&gt;"""",REGEXEXTRACT(SUBSTITUTE ($T426,L$1&amp;"" CE"",""""), L$1&amp;""[\w &amp;]*, (\d+\.\d+)""),"""")
"),"")</f>
        <v/>
      </c>
      <c r="M426" s="3" t="str">
        <f aca="false">IFERROR(__xludf.dummyfunction("if($T426&lt;&gt;"""",REGEXEXTRACT($T426, M$1&amp;""[\w &amp;]*, (\d+\.\d+)""),"""")
"),"")</f>
        <v/>
      </c>
      <c r="N426" s="3" t="str">
        <f aca="false">IFERROR(__xludf.dummyfunction("if($T426&lt;&gt;"""",REGEXEXTRACT(SUBSTITUTE ($T426,N$1&amp;"" CE"",""""), N$1&amp;""[\w &amp;]*, (\d+\.\d+)""),"""")
"),"")</f>
        <v/>
      </c>
      <c r="O426" s="3" t="str">
        <f aca="false">IFERROR(__xludf.dummyfunction("if($T426&lt;&gt;"""",REGEXEXTRACT($T426, O$1&amp;""[\w &amp;]*, (\d+\.\d+)""),"""")
"),"")</f>
        <v/>
      </c>
      <c r="P426" s="2"/>
      <c r="Q426" s="2"/>
      <c r="R426" s="2"/>
      <c r="S426" s="2"/>
      <c r="T426" s="5"/>
    </row>
    <row r="427" customFormat="false" ht="15.75" hidden="false" customHeight="false" outlineLevel="0" collapsed="false">
      <c r="A427" s="4"/>
      <c r="B427" s="2"/>
      <c r="C427" s="2"/>
      <c r="D427" s="2"/>
      <c r="E427" s="2"/>
      <c r="F427" s="3" t="str">
        <f aca="false">IFERROR(__xludf.dummyfunction("if($T427&lt;&gt;"""",REGEXEXTRACT(SUBSTITUTE ($T427,F$1&amp;"" CE"",""""), F$1&amp;""[\w &amp;]*, (\d+\.\d+)""),"""")
"),"")</f>
        <v/>
      </c>
      <c r="G427" s="3" t="str">
        <f aca="false">IFERROR(__xludf.dummyfunction("if($T427&lt;&gt;"""",REGEXEXTRACT($T427, G$1&amp;""[\w &amp;]*, (\d+\.\d+)""),"""")
"),"")</f>
        <v/>
      </c>
      <c r="H427" s="3"/>
      <c r="I427" s="3" t="str">
        <f aca="false">IFERROR(__xludf.dummyfunction("if($T427&lt;&gt;"""",REGEXEXTRACT(SUBSTITUTE ($T427,I$1&amp;"" CE"",""""), I$1&amp;""[\w &amp;]*, (\d+\.\d+)""),"""")
"),"")</f>
        <v/>
      </c>
      <c r="J427" s="3" t="str">
        <f aca="false">IFERROR(__xludf.dummyfunction("if($T427&lt;&gt;"""",REGEXEXTRACT($T427, J$1&amp;""[\w &amp;]*, (\d+\.\d+)""),"""")
"),"")</f>
        <v/>
      </c>
      <c r="K427" s="3"/>
      <c r="L427" s="3" t="str">
        <f aca="false">IFERROR(__xludf.dummyfunction("if($T427&lt;&gt;"""",REGEXEXTRACT(SUBSTITUTE ($T427,L$1&amp;"" CE"",""""), L$1&amp;""[\w &amp;]*, (\d+\.\d+)""),"""")
"),"")</f>
        <v/>
      </c>
      <c r="M427" s="3" t="str">
        <f aca="false">IFERROR(__xludf.dummyfunction("if($T427&lt;&gt;"""",REGEXEXTRACT($T427, M$1&amp;""[\w &amp;]*, (\d+\.\d+)""),"""")
"),"")</f>
        <v/>
      </c>
      <c r="N427" s="3" t="str">
        <f aca="false">IFERROR(__xludf.dummyfunction("if($T427&lt;&gt;"""",REGEXEXTRACT(SUBSTITUTE ($T427,N$1&amp;"" CE"",""""), N$1&amp;""[\w &amp;]*, (\d+\.\d+)""),"""")
"),"")</f>
        <v/>
      </c>
      <c r="O427" s="3" t="str">
        <f aca="false">IFERROR(__xludf.dummyfunction("if($T427&lt;&gt;"""",REGEXEXTRACT($T427, O$1&amp;""[\w &amp;]*, (\d+\.\d+)""),"""")
"),"")</f>
        <v/>
      </c>
      <c r="P427" s="2"/>
      <c r="Q427" s="2"/>
      <c r="R427" s="2"/>
      <c r="S427" s="2"/>
      <c r="T427" s="5"/>
    </row>
    <row r="428" customFormat="false" ht="15.75" hidden="false" customHeight="false" outlineLevel="0" collapsed="false">
      <c r="A428" s="4"/>
      <c r="B428" s="2"/>
      <c r="C428" s="2"/>
      <c r="D428" s="2"/>
      <c r="E428" s="2"/>
      <c r="F428" s="3" t="str">
        <f aca="false">IFERROR(__xludf.dummyfunction("if($T428&lt;&gt;"""",REGEXEXTRACT(SUBSTITUTE ($T428,F$1&amp;"" CE"",""""), F$1&amp;""[\w &amp;]*, (\d+\.\d+)""),"""")
"),"")</f>
        <v/>
      </c>
      <c r="G428" s="3" t="str">
        <f aca="false">IFERROR(__xludf.dummyfunction("if($T428&lt;&gt;"""",REGEXEXTRACT($T428, G$1&amp;""[\w &amp;]*, (\d+\.\d+)""),"""")
"),"")</f>
        <v/>
      </c>
      <c r="H428" s="3"/>
      <c r="I428" s="3" t="str">
        <f aca="false">IFERROR(__xludf.dummyfunction("if($T428&lt;&gt;"""",REGEXEXTRACT(SUBSTITUTE ($T428,I$1&amp;"" CE"",""""), I$1&amp;""[\w &amp;]*, (\d+\.\d+)""),"""")
"),"")</f>
        <v/>
      </c>
      <c r="J428" s="3" t="str">
        <f aca="false">IFERROR(__xludf.dummyfunction("if($T428&lt;&gt;"""",REGEXEXTRACT($T428, J$1&amp;""[\w &amp;]*, (\d+\.\d+)""),"""")
"),"")</f>
        <v/>
      </c>
      <c r="K428" s="3"/>
      <c r="L428" s="3" t="str">
        <f aca="false">IFERROR(__xludf.dummyfunction("if($T428&lt;&gt;"""",REGEXEXTRACT(SUBSTITUTE ($T428,L$1&amp;"" CE"",""""), L$1&amp;""[\w &amp;]*, (\d+\.\d+)""),"""")
"),"")</f>
        <v/>
      </c>
      <c r="M428" s="3" t="str">
        <f aca="false">IFERROR(__xludf.dummyfunction("if($T428&lt;&gt;"""",REGEXEXTRACT($T428, M$1&amp;""[\w &amp;]*, (\d+\.\d+)""),"""")
"),"")</f>
        <v/>
      </c>
      <c r="N428" s="3" t="str">
        <f aca="false">IFERROR(__xludf.dummyfunction("if($T428&lt;&gt;"""",REGEXEXTRACT(SUBSTITUTE ($T428,N$1&amp;"" CE"",""""), N$1&amp;""[\w &amp;]*, (\d+\.\d+)""),"""")
"),"")</f>
        <v/>
      </c>
      <c r="O428" s="3" t="str">
        <f aca="false">IFERROR(__xludf.dummyfunction("if($T428&lt;&gt;"""",REGEXEXTRACT($T428, O$1&amp;""[\w &amp;]*, (\d+\.\d+)""),"""")
"),"")</f>
        <v/>
      </c>
      <c r="P428" s="2"/>
      <c r="Q428" s="2"/>
      <c r="R428" s="2"/>
      <c r="S428" s="2"/>
      <c r="T428" s="5"/>
    </row>
    <row r="429" customFormat="false" ht="15.75" hidden="false" customHeight="false" outlineLevel="0" collapsed="false">
      <c r="A429" s="4"/>
      <c r="B429" s="2"/>
      <c r="C429" s="2"/>
      <c r="D429" s="2"/>
      <c r="E429" s="2"/>
      <c r="F429" s="3" t="str">
        <f aca="false">IFERROR(__xludf.dummyfunction("if($T429&lt;&gt;"""",REGEXEXTRACT(SUBSTITUTE ($T429,F$1&amp;"" CE"",""""), F$1&amp;""[\w &amp;]*, (\d+\.\d+)""),"""")
"),"")</f>
        <v/>
      </c>
      <c r="G429" s="3" t="str">
        <f aca="false">IFERROR(__xludf.dummyfunction("if($T429&lt;&gt;"""",REGEXEXTRACT($T429, G$1&amp;""[\w &amp;]*, (\d+\.\d+)""),"""")
"),"")</f>
        <v/>
      </c>
      <c r="H429" s="3"/>
      <c r="I429" s="3" t="str">
        <f aca="false">IFERROR(__xludf.dummyfunction("if($T429&lt;&gt;"""",REGEXEXTRACT(SUBSTITUTE ($T429,I$1&amp;"" CE"",""""), I$1&amp;""[\w &amp;]*, (\d+\.\d+)""),"""")
"),"")</f>
        <v/>
      </c>
      <c r="J429" s="3" t="str">
        <f aca="false">IFERROR(__xludf.dummyfunction("if($T429&lt;&gt;"""",REGEXEXTRACT($T429, J$1&amp;""[\w &amp;]*, (\d+\.\d+)""),"""")
"),"")</f>
        <v/>
      </c>
      <c r="K429" s="3"/>
      <c r="L429" s="3" t="str">
        <f aca="false">IFERROR(__xludf.dummyfunction("if($T429&lt;&gt;"""",REGEXEXTRACT(SUBSTITUTE ($T429,L$1&amp;"" CE"",""""), L$1&amp;""[\w &amp;]*, (\d+\.\d+)""),"""")
"),"")</f>
        <v/>
      </c>
      <c r="M429" s="3" t="str">
        <f aca="false">IFERROR(__xludf.dummyfunction("if($T429&lt;&gt;"""",REGEXEXTRACT($T429, M$1&amp;""[\w &amp;]*, (\d+\.\d+)""),"""")
"),"")</f>
        <v/>
      </c>
      <c r="N429" s="3" t="str">
        <f aca="false">IFERROR(__xludf.dummyfunction("if($T429&lt;&gt;"""",REGEXEXTRACT(SUBSTITUTE ($T429,N$1&amp;"" CE"",""""), N$1&amp;""[\w &amp;]*, (\d+\.\d+)""),"""")
"),"")</f>
        <v/>
      </c>
      <c r="O429" s="3" t="str">
        <f aca="false">IFERROR(__xludf.dummyfunction("if($T429&lt;&gt;"""",REGEXEXTRACT($T429, O$1&amp;""[\w &amp;]*, (\d+\.\d+)""),"""")
"),"")</f>
        <v/>
      </c>
      <c r="P429" s="2"/>
      <c r="Q429" s="2"/>
      <c r="R429" s="2"/>
      <c r="S429" s="2"/>
      <c r="T429" s="5"/>
    </row>
    <row r="430" customFormat="false" ht="15.75" hidden="false" customHeight="false" outlineLevel="0" collapsed="false">
      <c r="A430" s="4"/>
      <c r="B430" s="2"/>
      <c r="C430" s="2"/>
      <c r="D430" s="2"/>
      <c r="E430" s="2"/>
      <c r="F430" s="3" t="str">
        <f aca="false">IFERROR(__xludf.dummyfunction("if($T430&lt;&gt;"""",REGEXEXTRACT(SUBSTITUTE ($T430,F$1&amp;"" CE"",""""), F$1&amp;""[\w &amp;]*, (\d+\.\d+)""),"""")
"),"")</f>
        <v/>
      </c>
      <c r="G430" s="3" t="str">
        <f aca="false">IFERROR(__xludf.dummyfunction("if($T430&lt;&gt;"""",REGEXEXTRACT($T430, G$1&amp;""[\w &amp;]*, (\d+\.\d+)""),"""")
"),"")</f>
        <v/>
      </c>
      <c r="H430" s="3"/>
      <c r="I430" s="3" t="str">
        <f aca="false">IFERROR(__xludf.dummyfunction("if($T430&lt;&gt;"""",REGEXEXTRACT(SUBSTITUTE ($T430,I$1&amp;"" CE"",""""), I$1&amp;""[\w &amp;]*, (\d+\.\d+)""),"""")
"),"")</f>
        <v/>
      </c>
      <c r="J430" s="3" t="str">
        <f aca="false">IFERROR(__xludf.dummyfunction("if($T430&lt;&gt;"""",REGEXEXTRACT($T430, J$1&amp;""[\w &amp;]*, (\d+\.\d+)""),"""")
"),"")</f>
        <v/>
      </c>
      <c r="K430" s="3"/>
      <c r="L430" s="3" t="str">
        <f aca="false">IFERROR(__xludf.dummyfunction("if($T430&lt;&gt;"""",REGEXEXTRACT(SUBSTITUTE ($T430,L$1&amp;"" CE"",""""), L$1&amp;""[\w &amp;]*, (\d+\.\d+)""),"""")
"),"")</f>
        <v/>
      </c>
      <c r="M430" s="3" t="str">
        <f aca="false">IFERROR(__xludf.dummyfunction("if($T430&lt;&gt;"""",REGEXEXTRACT($T430, M$1&amp;""[\w &amp;]*, (\d+\.\d+)""),"""")
"),"")</f>
        <v/>
      </c>
      <c r="N430" s="3" t="str">
        <f aca="false">IFERROR(__xludf.dummyfunction("if($T430&lt;&gt;"""",REGEXEXTRACT(SUBSTITUTE ($T430,N$1&amp;"" CE"",""""), N$1&amp;""[\w &amp;]*, (\d+\.\d+)""),"""")
"),"")</f>
        <v/>
      </c>
      <c r="O430" s="3" t="str">
        <f aca="false">IFERROR(__xludf.dummyfunction("if($T430&lt;&gt;"""",REGEXEXTRACT($T430, O$1&amp;""[\w &amp;]*, (\d+\.\d+)""),"""")
"),"")</f>
        <v/>
      </c>
      <c r="P430" s="2"/>
      <c r="Q430" s="2"/>
      <c r="R430" s="2"/>
      <c r="S430" s="2"/>
      <c r="T430" s="5"/>
    </row>
    <row r="431" customFormat="false" ht="15.75" hidden="false" customHeight="false" outlineLevel="0" collapsed="false">
      <c r="A431" s="4"/>
      <c r="B431" s="2"/>
      <c r="C431" s="2"/>
      <c r="D431" s="2"/>
      <c r="E431" s="2"/>
      <c r="F431" s="3" t="str">
        <f aca="false">IFERROR(__xludf.dummyfunction("if($T431&lt;&gt;"""",REGEXEXTRACT(SUBSTITUTE ($T431,F$1&amp;"" CE"",""""), F$1&amp;""[\w &amp;]*, (\d+\.\d+)""),"""")
"),"")</f>
        <v/>
      </c>
      <c r="G431" s="3" t="str">
        <f aca="false">IFERROR(__xludf.dummyfunction("if($T431&lt;&gt;"""",REGEXEXTRACT($T431, G$1&amp;""[\w &amp;]*, (\d+\.\d+)""),"""")
"),"")</f>
        <v/>
      </c>
      <c r="H431" s="3"/>
      <c r="I431" s="3" t="str">
        <f aca="false">IFERROR(__xludf.dummyfunction("if($T431&lt;&gt;"""",REGEXEXTRACT(SUBSTITUTE ($T431,I$1&amp;"" CE"",""""), I$1&amp;""[\w &amp;]*, (\d+\.\d+)""),"""")
"),"")</f>
        <v/>
      </c>
      <c r="J431" s="3" t="str">
        <f aca="false">IFERROR(__xludf.dummyfunction("if($T431&lt;&gt;"""",REGEXEXTRACT($T431, J$1&amp;""[\w &amp;]*, (\d+\.\d+)""),"""")
"),"")</f>
        <v/>
      </c>
      <c r="K431" s="3"/>
      <c r="L431" s="3" t="str">
        <f aca="false">IFERROR(__xludf.dummyfunction("if($T431&lt;&gt;"""",REGEXEXTRACT(SUBSTITUTE ($T431,L$1&amp;"" CE"",""""), L$1&amp;""[\w &amp;]*, (\d+\.\d+)""),"""")
"),"")</f>
        <v/>
      </c>
      <c r="M431" s="3" t="str">
        <f aca="false">IFERROR(__xludf.dummyfunction("if($T431&lt;&gt;"""",REGEXEXTRACT($T431, M$1&amp;""[\w &amp;]*, (\d+\.\d+)""),"""")
"),"")</f>
        <v/>
      </c>
      <c r="N431" s="3" t="str">
        <f aca="false">IFERROR(__xludf.dummyfunction("if($T431&lt;&gt;"""",REGEXEXTRACT(SUBSTITUTE ($T431,N$1&amp;"" CE"",""""), N$1&amp;""[\w &amp;]*, (\d+\.\d+)""),"""")
"),"")</f>
        <v/>
      </c>
      <c r="O431" s="3" t="str">
        <f aca="false">IFERROR(__xludf.dummyfunction("if($T431&lt;&gt;"""",REGEXEXTRACT($T431, O$1&amp;""[\w &amp;]*, (\d+\.\d+)""),"""")
"),"")</f>
        <v/>
      </c>
      <c r="P431" s="2"/>
      <c r="Q431" s="2"/>
      <c r="R431" s="2"/>
      <c r="S431" s="2"/>
      <c r="T431" s="5"/>
    </row>
    <row r="432" customFormat="false" ht="15.75" hidden="false" customHeight="false" outlineLevel="0" collapsed="false">
      <c r="A432" s="4"/>
      <c r="B432" s="2"/>
      <c r="C432" s="2"/>
      <c r="D432" s="2"/>
      <c r="E432" s="2"/>
      <c r="F432" s="3" t="str">
        <f aca="false">IFERROR(__xludf.dummyfunction("if($T432&lt;&gt;"""",REGEXEXTRACT(SUBSTITUTE ($T432,F$1&amp;"" CE"",""""), F$1&amp;""[\w &amp;]*, (\d+\.\d+)""),"""")
"),"")</f>
        <v/>
      </c>
      <c r="G432" s="3" t="str">
        <f aca="false">IFERROR(__xludf.dummyfunction("if($T432&lt;&gt;"""",REGEXEXTRACT($T432, G$1&amp;""[\w &amp;]*, (\d+\.\d+)""),"""")
"),"")</f>
        <v/>
      </c>
      <c r="H432" s="3"/>
      <c r="I432" s="3" t="str">
        <f aca="false">IFERROR(__xludf.dummyfunction("if($T432&lt;&gt;"""",REGEXEXTRACT(SUBSTITUTE ($T432,I$1&amp;"" CE"",""""), I$1&amp;""[\w &amp;]*, (\d+\.\d+)""),"""")
"),"")</f>
        <v/>
      </c>
      <c r="J432" s="3" t="str">
        <f aca="false">IFERROR(__xludf.dummyfunction("if($T432&lt;&gt;"""",REGEXEXTRACT($T432, J$1&amp;""[\w &amp;]*, (\d+\.\d+)""),"""")
"),"")</f>
        <v/>
      </c>
      <c r="K432" s="3"/>
      <c r="L432" s="3" t="str">
        <f aca="false">IFERROR(__xludf.dummyfunction("if($T432&lt;&gt;"""",REGEXEXTRACT(SUBSTITUTE ($T432,L$1&amp;"" CE"",""""), L$1&amp;""[\w &amp;]*, (\d+\.\d+)""),"""")
"),"")</f>
        <v/>
      </c>
      <c r="M432" s="3" t="str">
        <f aca="false">IFERROR(__xludf.dummyfunction("if($T432&lt;&gt;"""",REGEXEXTRACT($T432, M$1&amp;""[\w &amp;]*, (\d+\.\d+)""),"""")
"),"")</f>
        <v/>
      </c>
      <c r="N432" s="3" t="str">
        <f aca="false">IFERROR(__xludf.dummyfunction("if($T432&lt;&gt;"""",REGEXEXTRACT(SUBSTITUTE ($T432,N$1&amp;"" CE"",""""), N$1&amp;""[\w &amp;]*, (\d+\.\d+)""),"""")
"),"")</f>
        <v/>
      </c>
      <c r="O432" s="3" t="str">
        <f aca="false">IFERROR(__xludf.dummyfunction("if($T432&lt;&gt;"""",REGEXEXTRACT($T432, O$1&amp;""[\w &amp;]*, (\d+\.\d+)""),"""")
"),"")</f>
        <v/>
      </c>
      <c r="P432" s="2"/>
      <c r="Q432" s="2"/>
      <c r="R432" s="2"/>
      <c r="S432" s="2"/>
      <c r="T432" s="5"/>
    </row>
    <row r="433" customFormat="false" ht="15.75" hidden="false" customHeight="false" outlineLevel="0" collapsed="false">
      <c r="A433" s="4"/>
      <c r="B433" s="2"/>
      <c r="C433" s="2"/>
      <c r="D433" s="2"/>
      <c r="E433" s="2"/>
      <c r="F433" s="3" t="str">
        <f aca="false">IFERROR(__xludf.dummyfunction("if($T433&lt;&gt;"""",REGEXEXTRACT(SUBSTITUTE ($T433,F$1&amp;"" CE"",""""), F$1&amp;""[\w &amp;]*, (\d+\.\d+)""),"""")
"),"")</f>
        <v/>
      </c>
      <c r="G433" s="3" t="str">
        <f aca="false">IFERROR(__xludf.dummyfunction("if($T433&lt;&gt;"""",REGEXEXTRACT($T433, G$1&amp;""[\w &amp;]*, (\d+\.\d+)""),"""")
"),"")</f>
        <v/>
      </c>
      <c r="H433" s="3"/>
      <c r="I433" s="3" t="str">
        <f aca="false">IFERROR(__xludf.dummyfunction("if($T433&lt;&gt;"""",REGEXEXTRACT(SUBSTITUTE ($T433,I$1&amp;"" CE"",""""), I$1&amp;""[\w &amp;]*, (\d+\.\d+)""),"""")
"),"")</f>
        <v/>
      </c>
      <c r="J433" s="3" t="str">
        <f aca="false">IFERROR(__xludf.dummyfunction("if($T433&lt;&gt;"""",REGEXEXTRACT($T433, J$1&amp;""[\w &amp;]*, (\d+\.\d+)""),"""")
"),"")</f>
        <v/>
      </c>
      <c r="K433" s="3"/>
      <c r="L433" s="3" t="str">
        <f aca="false">IFERROR(__xludf.dummyfunction("if($T433&lt;&gt;"""",REGEXEXTRACT(SUBSTITUTE ($T433,L$1&amp;"" CE"",""""), L$1&amp;""[\w &amp;]*, (\d+\.\d+)""),"""")
"),"")</f>
        <v/>
      </c>
      <c r="M433" s="3" t="str">
        <f aca="false">IFERROR(__xludf.dummyfunction("if($T433&lt;&gt;"""",REGEXEXTRACT($T433, M$1&amp;""[\w &amp;]*, (\d+\.\d+)""),"""")
"),"")</f>
        <v/>
      </c>
      <c r="N433" s="3" t="str">
        <f aca="false">IFERROR(__xludf.dummyfunction("if($T433&lt;&gt;"""",REGEXEXTRACT(SUBSTITUTE ($T433,N$1&amp;"" CE"",""""), N$1&amp;""[\w &amp;]*, (\d+\.\d+)""),"""")
"),"")</f>
        <v/>
      </c>
      <c r="O433" s="3" t="str">
        <f aca="false">IFERROR(__xludf.dummyfunction("if($T433&lt;&gt;"""",REGEXEXTRACT($T433, O$1&amp;""[\w &amp;]*, (\d+\.\d+)""),"""")
"),"")</f>
        <v/>
      </c>
      <c r="P433" s="2"/>
      <c r="Q433" s="2"/>
      <c r="R433" s="2"/>
      <c r="S433" s="2"/>
      <c r="T433" s="5"/>
    </row>
    <row r="434" customFormat="false" ht="15.75" hidden="false" customHeight="false" outlineLevel="0" collapsed="false">
      <c r="A434" s="4"/>
      <c r="B434" s="2"/>
      <c r="C434" s="2"/>
      <c r="D434" s="2"/>
      <c r="E434" s="2"/>
      <c r="F434" s="3" t="str">
        <f aca="false">IFERROR(__xludf.dummyfunction("if($T434&lt;&gt;"""",REGEXEXTRACT(SUBSTITUTE ($T434,F$1&amp;"" CE"",""""), F$1&amp;""[\w &amp;]*, (\d+\.\d+)""),"""")
"),"")</f>
        <v/>
      </c>
      <c r="G434" s="3" t="str">
        <f aca="false">IFERROR(__xludf.dummyfunction("if($T434&lt;&gt;"""",REGEXEXTRACT($T434, G$1&amp;""[\w &amp;]*, (\d+\.\d+)""),"""")
"),"")</f>
        <v/>
      </c>
      <c r="H434" s="3"/>
      <c r="I434" s="3" t="str">
        <f aca="false">IFERROR(__xludf.dummyfunction("if($T434&lt;&gt;"""",REGEXEXTRACT(SUBSTITUTE ($T434,I$1&amp;"" CE"",""""), I$1&amp;""[\w &amp;]*, (\d+\.\d+)""),"""")
"),"")</f>
        <v/>
      </c>
      <c r="J434" s="3" t="str">
        <f aca="false">IFERROR(__xludf.dummyfunction("if($T434&lt;&gt;"""",REGEXEXTRACT($T434, J$1&amp;""[\w &amp;]*, (\d+\.\d+)""),"""")
"),"")</f>
        <v/>
      </c>
      <c r="K434" s="3"/>
      <c r="L434" s="3" t="str">
        <f aca="false">IFERROR(__xludf.dummyfunction("if($T434&lt;&gt;"""",REGEXEXTRACT(SUBSTITUTE ($T434,L$1&amp;"" CE"",""""), L$1&amp;""[\w &amp;]*, (\d+\.\d+)""),"""")
"),"")</f>
        <v/>
      </c>
      <c r="M434" s="3" t="str">
        <f aca="false">IFERROR(__xludf.dummyfunction("if($T434&lt;&gt;"""",REGEXEXTRACT($T434, M$1&amp;""[\w &amp;]*, (\d+\.\d+)""),"""")
"),"")</f>
        <v/>
      </c>
      <c r="N434" s="3" t="str">
        <f aca="false">IFERROR(__xludf.dummyfunction("if($T434&lt;&gt;"""",REGEXEXTRACT(SUBSTITUTE ($T434,N$1&amp;"" CE"",""""), N$1&amp;""[\w &amp;]*, (\d+\.\d+)""),"""")
"),"")</f>
        <v/>
      </c>
      <c r="O434" s="3" t="str">
        <f aca="false">IFERROR(__xludf.dummyfunction("if($T434&lt;&gt;"""",REGEXEXTRACT($T434, O$1&amp;""[\w &amp;]*, (\d+\.\d+)""),"""")
"),"")</f>
        <v/>
      </c>
      <c r="P434" s="2"/>
      <c r="Q434" s="2"/>
      <c r="R434" s="2"/>
      <c r="S434" s="2"/>
      <c r="T434" s="5"/>
    </row>
    <row r="435" customFormat="false" ht="15.75" hidden="false" customHeight="false" outlineLevel="0" collapsed="false">
      <c r="A435" s="4"/>
      <c r="B435" s="2"/>
      <c r="C435" s="2"/>
      <c r="D435" s="2"/>
      <c r="E435" s="2"/>
      <c r="F435" s="3" t="str">
        <f aca="false">IFERROR(__xludf.dummyfunction("if($T435&lt;&gt;"""",REGEXEXTRACT(SUBSTITUTE ($T435,F$1&amp;"" CE"",""""), F$1&amp;""[\w &amp;]*, (\d+\.\d+)""),"""")
"),"")</f>
        <v/>
      </c>
      <c r="G435" s="3" t="str">
        <f aca="false">IFERROR(__xludf.dummyfunction("if($T435&lt;&gt;"""",REGEXEXTRACT($T435, G$1&amp;""[\w &amp;]*, (\d+\.\d+)""),"""")
"),"")</f>
        <v/>
      </c>
      <c r="H435" s="3"/>
      <c r="I435" s="3" t="str">
        <f aca="false">IFERROR(__xludf.dummyfunction("if($T435&lt;&gt;"""",REGEXEXTRACT(SUBSTITUTE ($T435,I$1&amp;"" CE"",""""), I$1&amp;""[\w &amp;]*, (\d+\.\d+)""),"""")
"),"")</f>
        <v/>
      </c>
      <c r="J435" s="3" t="str">
        <f aca="false">IFERROR(__xludf.dummyfunction("if($T435&lt;&gt;"""",REGEXEXTRACT($T435, J$1&amp;""[\w &amp;]*, (\d+\.\d+)""),"""")
"),"")</f>
        <v/>
      </c>
      <c r="K435" s="3"/>
      <c r="L435" s="3" t="str">
        <f aca="false">IFERROR(__xludf.dummyfunction("if($T435&lt;&gt;"""",REGEXEXTRACT(SUBSTITUTE ($T435,L$1&amp;"" CE"",""""), L$1&amp;""[\w &amp;]*, (\d+\.\d+)""),"""")
"),"")</f>
        <v/>
      </c>
      <c r="M435" s="3" t="str">
        <f aca="false">IFERROR(__xludf.dummyfunction("if($T435&lt;&gt;"""",REGEXEXTRACT($T435, M$1&amp;""[\w &amp;]*, (\d+\.\d+)""),"""")
"),"")</f>
        <v/>
      </c>
      <c r="N435" s="3" t="str">
        <f aca="false">IFERROR(__xludf.dummyfunction("if($T435&lt;&gt;"""",REGEXEXTRACT(SUBSTITUTE ($T435,N$1&amp;"" CE"",""""), N$1&amp;""[\w &amp;]*, (\d+\.\d+)""),"""")
"),"")</f>
        <v/>
      </c>
      <c r="O435" s="3" t="str">
        <f aca="false">IFERROR(__xludf.dummyfunction("if($T435&lt;&gt;"""",REGEXEXTRACT($T435, O$1&amp;""[\w &amp;]*, (\d+\.\d+)""),"""")
"),"")</f>
        <v/>
      </c>
      <c r="P435" s="2"/>
      <c r="Q435" s="2"/>
      <c r="R435" s="2"/>
      <c r="S435" s="2"/>
      <c r="T435" s="5"/>
    </row>
    <row r="436" customFormat="false" ht="15.75" hidden="false" customHeight="false" outlineLevel="0" collapsed="false">
      <c r="A436" s="4"/>
      <c r="B436" s="2"/>
      <c r="C436" s="2"/>
      <c r="D436" s="2"/>
      <c r="E436" s="2"/>
      <c r="F436" s="3" t="str">
        <f aca="false">IFERROR(__xludf.dummyfunction("if($T436&lt;&gt;"""",REGEXEXTRACT(SUBSTITUTE ($T436,F$1&amp;"" CE"",""""), F$1&amp;""[\w &amp;]*, (\d+\.\d+)""),"""")
"),"")</f>
        <v/>
      </c>
      <c r="G436" s="3" t="str">
        <f aca="false">IFERROR(__xludf.dummyfunction("if($T436&lt;&gt;"""",REGEXEXTRACT($T436, G$1&amp;""[\w &amp;]*, (\d+\.\d+)""),"""")
"),"")</f>
        <v/>
      </c>
      <c r="H436" s="3"/>
      <c r="I436" s="3" t="str">
        <f aca="false">IFERROR(__xludf.dummyfunction("if($T436&lt;&gt;"""",REGEXEXTRACT(SUBSTITUTE ($T436,I$1&amp;"" CE"",""""), I$1&amp;""[\w &amp;]*, (\d+\.\d+)""),"""")
"),"")</f>
        <v/>
      </c>
      <c r="J436" s="3" t="str">
        <f aca="false">IFERROR(__xludf.dummyfunction("if($T436&lt;&gt;"""",REGEXEXTRACT($T436, J$1&amp;""[\w &amp;]*, (\d+\.\d+)""),"""")
"),"")</f>
        <v/>
      </c>
      <c r="K436" s="3"/>
      <c r="L436" s="3" t="str">
        <f aca="false">IFERROR(__xludf.dummyfunction("if($T436&lt;&gt;"""",REGEXEXTRACT(SUBSTITUTE ($T436,L$1&amp;"" CE"",""""), L$1&amp;""[\w &amp;]*, (\d+\.\d+)""),"""")
"),"")</f>
        <v/>
      </c>
      <c r="M436" s="3" t="str">
        <f aca="false">IFERROR(__xludf.dummyfunction("if($T436&lt;&gt;"""",REGEXEXTRACT($T436, M$1&amp;""[\w &amp;]*, (\d+\.\d+)""),"""")
"),"")</f>
        <v/>
      </c>
      <c r="N436" s="3" t="str">
        <f aca="false">IFERROR(__xludf.dummyfunction("if($T436&lt;&gt;"""",REGEXEXTRACT(SUBSTITUTE ($T436,N$1&amp;"" CE"",""""), N$1&amp;""[\w &amp;]*, (\d+\.\d+)""),"""")
"),"")</f>
        <v/>
      </c>
      <c r="O436" s="3" t="str">
        <f aca="false">IFERROR(__xludf.dummyfunction("if($T436&lt;&gt;"""",REGEXEXTRACT($T436, O$1&amp;""[\w &amp;]*, (\d+\.\d+)""),"""")
"),"")</f>
        <v/>
      </c>
      <c r="P436" s="2"/>
      <c r="Q436" s="2"/>
      <c r="R436" s="2"/>
      <c r="S436" s="2"/>
      <c r="T436" s="5"/>
    </row>
    <row r="437" customFormat="false" ht="15.75" hidden="false" customHeight="false" outlineLevel="0" collapsed="false">
      <c r="A437" s="4"/>
      <c r="B437" s="2"/>
      <c r="C437" s="2"/>
      <c r="D437" s="2"/>
      <c r="E437" s="2"/>
      <c r="F437" s="3" t="str">
        <f aca="false">IFERROR(__xludf.dummyfunction("if($T437&lt;&gt;"""",REGEXEXTRACT(SUBSTITUTE ($T437,F$1&amp;"" CE"",""""), F$1&amp;""[\w &amp;]*, (\d+\.\d+)""),"""")
"),"")</f>
        <v/>
      </c>
      <c r="G437" s="3" t="str">
        <f aca="false">IFERROR(__xludf.dummyfunction("if($T437&lt;&gt;"""",REGEXEXTRACT($T437, G$1&amp;""[\w &amp;]*, (\d+\.\d+)""),"""")
"),"")</f>
        <v/>
      </c>
      <c r="H437" s="3"/>
      <c r="I437" s="3" t="str">
        <f aca="false">IFERROR(__xludf.dummyfunction("if($T437&lt;&gt;"""",REGEXEXTRACT(SUBSTITUTE ($T437,I$1&amp;"" CE"",""""), I$1&amp;""[\w &amp;]*, (\d+\.\d+)""),"""")
"),"")</f>
        <v/>
      </c>
      <c r="J437" s="3" t="str">
        <f aca="false">IFERROR(__xludf.dummyfunction("if($T437&lt;&gt;"""",REGEXEXTRACT($T437, J$1&amp;""[\w &amp;]*, (\d+\.\d+)""),"""")
"),"")</f>
        <v/>
      </c>
      <c r="K437" s="3"/>
      <c r="L437" s="3" t="str">
        <f aca="false">IFERROR(__xludf.dummyfunction("if($T437&lt;&gt;"""",REGEXEXTRACT(SUBSTITUTE ($T437,L$1&amp;"" CE"",""""), L$1&amp;""[\w &amp;]*, (\d+\.\d+)""),"""")
"),"")</f>
        <v/>
      </c>
      <c r="M437" s="3" t="str">
        <f aca="false">IFERROR(__xludf.dummyfunction("if($T437&lt;&gt;"""",REGEXEXTRACT($T437, M$1&amp;""[\w &amp;]*, (\d+\.\d+)""),"""")
"),"")</f>
        <v/>
      </c>
      <c r="N437" s="3" t="str">
        <f aca="false">IFERROR(__xludf.dummyfunction("if($T437&lt;&gt;"""",REGEXEXTRACT(SUBSTITUTE ($T437,N$1&amp;"" CE"",""""), N$1&amp;""[\w &amp;]*, (\d+\.\d+)""),"""")
"),"")</f>
        <v/>
      </c>
      <c r="O437" s="3" t="str">
        <f aca="false">IFERROR(__xludf.dummyfunction("if($T437&lt;&gt;"""",REGEXEXTRACT($T437, O$1&amp;""[\w &amp;]*, (\d+\.\d+)""),"""")
"),"")</f>
        <v/>
      </c>
      <c r="P437" s="2"/>
      <c r="Q437" s="2"/>
      <c r="R437" s="2"/>
      <c r="S437" s="2"/>
      <c r="T437" s="5"/>
    </row>
    <row r="438" customFormat="false" ht="15.75" hidden="false" customHeight="false" outlineLevel="0" collapsed="false">
      <c r="A438" s="4"/>
      <c r="B438" s="2"/>
      <c r="C438" s="2"/>
      <c r="D438" s="2"/>
      <c r="E438" s="2"/>
      <c r="F438" s="3" t="str">
        <f aca="false">IFERROR(__xludf.dummyfunction("if($T438&lt;&gt;"""",REGEXEXTRACT(SUBSTITUTE ($T438,F$1&amp;"" CE"",""""), F$1&amp;""[\w &amp;]*, (\d+\.\d+)""),"""")
"),"")</f>
        <v/>
      </c>
      <c r="G438" s="3" t="str">
        <f aca="false">IFERROR(__xludf.dummyfunction("if($T438&lt;&gt;"""",REGEXEXTRACT($T438, G$1&amp;""[\w &amp;]*, (\d+\.\d+)""),"""")
"),"")</f>
        <v/>
      </c>
      <c r="H438" s="3"/>
      <c r="I438" s="3" t="str">
        <f aca="false">IFERROR(__xludf.dummyfunction("if($T438&lt;&gt;"""",REGEXEXTRACT(SUBSTITUTE ($T438,I$1&amp;"" CE"",""""), I$1&amp;""[\w &amp;]*, (\d+\.\d+)""),"""")
"),"")</f>
        <v/>
      </c>
      <c r="J438" s="3" t="str">
        <f aca="false">IFERROR(__xludf.dummyfunction("if($T438&lt;&gt;"""",REGEXEXTRACT($T438, J$1&amp;""[\w &amp;]*, (\d+\.\d+)""),"""")
"),"")</f>
        <v/>
      </c>
      <c r="K438" s="3"/>
      <c r="L438" s="3" t="str">
        <f aca="false">IFERROR(__xludf.dummyfunction("if($T438&lt;&gt;"""",REGEXEXTRACT(SUBSTITUTE ($T438,L$1&amp;"" CE"",""""), L$1&amp;""[\w &amp;]*, (\d+\.\d+)""),"""")
"),"")</f>
        <v/>
      </c>
      <c r="M438" s="3" t="str">
        <f aca="false">IFERROR(__xludf.dummyfunction("if($T438&lt;&gt;"""",REGEXEXTRACT($T438, M$1&amp;""[\w &amp;]*, (\d+\.\d+)""),"""")
"),"")</f>
        <v/>
      </c>
      <c r="N438" s="3" t="str">
        <f aca="false">IFERROR(__xludf.dummyfunction("if($T438&lt;&gt;"""",REGEXEXTRACT(SUBSTITUTE ($T438,N$1&amp;"" CE"",""""), N$1&amp;""[\w &amp;]*, (\d+\.\d+)""),"""")
"),"")</f>
        <v/>
      </c>
      <c r="O438" s="3" t="str">
        <f aca="false">IFERROR(__xludf.dummyfunction("if($T438&lt;&gt;"""",REGEXEXTRACT($T438, O$1&amp;""[\w &amp;]*, (\d+\.\d+)""),"""")
"),"")</f>
        <v/>
      </c>
      <c r="P438" s="2"/>
      <c r="Q438" s="2"/>
      <c r="R438" s="2"/>
      <c r="S438" s="2"/>
      <c r="T438" s="5"/>
    </row>
    <row r="439" customFormat="false" ht="15.75" hidden="false" customHeight="false" outlineLevel="0" collapsed="false">
      <c r="A439" s="4"/>
      <c r="B439" s="2"/>
      <c r="C439" s="2"/>
      <c r="D439" s="2"/>
      <c r="E439" s="2"/>
      <c r="F439" s="3" t="str">
        <f aca="false">IFERROR(__xludf.dummyfunction("if($T439&lt;&gt;"""",REGEXEXTRACT(SUBSTITUTE ($T439,F$1&amp;"" CE"",""""), F$1&amp;""[\w &amp;]*, (\d+\.\d+)""),"""")
"),"")</f>
        <v/>
      </c>
      <c r="G439" s="3" t="str">
        <f aca="false">IFERROR(__xludf.dummyfunction("if($T439&lt;&gt;"""",REGEXEXTRACT($T439, G$1&amp;""[\w &amp;]*, (\d+\.\d+)""),"""")
"),"")</f>
        <v/>
      </c>
      <c r="H439" s="3"/>
      <c r="I439" s="3" t="str">
        <f aca="false">IFERROR(__xludf.dummyfunction("if($T439&lt;&gt;"""",REGEXEXTRACT(SUBSTITUTE ($T439,I$1&amp;"" CE"",""""), I$1&amp;""[\w &amp;]*, (\d+\.\d+)""),"""")
"),"")</f>
        <v/>
      </c>
      <c r="J439" s="3" t="str">
        <f aca="false">IFERROR(__xludf.dummyfunction("if($T439&lt;&gt;"""",REGEXEXTRACT($T439, J$1&amp;""[\w &amp;]*, (\d+\.\d+)""),"""")
"),"")</f>
        <v/>
      </c>
      <c r="K439" s="3"/>
      <c r="L439" s="3" t="str">
        <f aca="false">IFERROR(__xludf.dummyfunction("if($T439&lt;&gt;"""",REGEXEXTRACT(SUBSTITUTE ($T439,L$1&amp;"" CE"",""""), L$1&amp;""[\w &amp;]*, (\d+\.\d+)""),"""")
"),"")</f>
        <v/>
      </c>
      <c r="M439" s="3" t="str">
        <f aca="false">IFERROR(__xludf.dummyfunction("if($T439&lt;&gt;"""",REGEXEXTRACT($T439, M$1&amp;""[\w &amp;]*, (\d+\.\d+)""),"""")
"),"")</f>
        <v/>
      </c>
      <c r="N439" s="3" t="str">
        <f aca="false">IFERROR(__xludf.dummyfunction("if($T439&lt;&gt;"""",REGEXEXTRACT(SUBSTITUTE ($T439,N$1&amp;"" CE"",""""), N$1&amp;""[\w &amp;]*, (\d+\.\d+)""),"""")
"),"")</f>
        <v/>
      </c>
      <c r="O439" s="3" t="str">
        <f aca="false">IFERROR(__xludf.dummyfunction("if($T439&lt;&gt;"""",REGEXEXTRACT($T439, O$1&amp;""[\w &amp;]*, (\d+\.\d+)""),"""")
"),"")</f>
        <v/>
      </c>
      <c r="P439" s="2"/>
      <c r="Q439" s="2"/>
      <c r="R439" s="2"/>
      <c r="S439" s="2"/>
      <c r="T439" s="5"/>
    </row>
    <row r="440" customFormat="false" ht="15.75" hidden="false" customHeight="false" outlineLevel="0" collapsed="false">
      <c r="A440" s="4"/>
      <c r="B440" s="2"/>
      <c r="C440" s="2"/>
      <c r="D440" s="2"/>
      <c r="E440" s="2"/>
      <c r="F440" s="3" t="str">
        <f aca="false">IFERROR(__xludf.dummyfunction("if($T440&lt;&gt;"""",REGEXEXTRACT(SUBSTITUTE ($T440,F$1&amp;"" CE"",""""), F$1&amp;""[\w &amp;]*, (\d+\.\d+)""),"""")
"),"")</f>
        <v/>
      </c>
      <c r="G440" s="3" t="str">
        <f aca="false">IFERROR(__xludf.dummyfunction("if($T440&lt;&gt;"""",REGEXEXTRACT($T440, G$1&amp;""[\w &amp;]*, (\d+\.\d+)""),"""")
"),"")</f>
        <v/>
      </c>
      <c r="H440" s="3"/>
      <c r="I440" s="3" t="str">
        <f aca="false">IFERROR(__xludf.dummyfunction("if($T440&lt;&gt;"""",REGEXEXTRACT(SUBSTITUTE ($T440,I$1&amp;"" CE"",""""), I$1&amp;""[\w &amp;]*, (\d+\.\d+)""),"""")
"),"")</f>
        <v/>
      </c>
      <c r="J440" s="3" t="str">
        <f aca="false">IFERROR(__xludf.dummyfunction("if($T440&lt;&gt;"""",REGEXEXTRACT($T440, J$1&amp;""[\w &amp;]*, (\d+\.\d+)""),"""")
"),"")</f>
        <v/>
      </c>
      <c r="K440" s="3"/>
      <c r="L440" s="3" t="str">
        <f aca="false">IFERROR(__xludf.dummyfunction("if($T440&lt;&gt;"""",REGEXEXTRACT(SUBSTITUTE ($T440,L$1&amp;"" CE"",""""), L$1&amp;""[\w &amp;]*, (\d+\.\d+)""),"""")
"),"")</f>
        <v/>
      </c>
      <c r="M440" s="3" t="str">
        <f aca="false">IFERROR(__xludf.dummyfunction("if($T440&lt;&gt;"""",REGEXEXTRACT($T440, M$1&amp;""[\w &amp;]*, (\d+\.\d+)""),"""")
"),"")</f>
        <v/>
      </c>
      <c r="N440" s="3" t="str">
        <f aca="false">IFERROR(__xludf.dummyfunction("if($T440&lt;&gt;"""",REGEXEXTRACT(SUBSTITUTE ($T440,N$1&amp;"" CE"",""""), N$1&amp;""[\w &amp;]*, (\d+\.\d+)""),"""")
"),"")</f>
        <v/>
      </c>
      <c r="O440" s="3" t="str">
        <f aca="false">IFERROR(__xludf.dummyfunction("if($T440&lt;&gt;"""",REGEXEXTRACT($T440, O$1&amp;""[\w &amp;]*, (\d+\.\d+)""),"""")
"),"")</f>
        <v/>
      </c>
      <c r="P440" s="2"/>
      <c r="Q440" s="2"/>
      <c r="R440" s="2"/>
      <c r="S440" s="2"/>
      <c r="T440" s="5"/>
    </row>
    <row r="441" customFormat="false" ht="15.75" hidden="false" customHeight="false" outlineLevel="0" collapsed="false">
      <c r="A441" s="4"/>
      <c r="B441" s="2"/>
      <c r="C441" s="2"/>
      <c r="D441" s="2"/>
      <c r="E441" s="2"/>
      <c r="F441" s="3" t="str">
        <f aca="false">IFERROR(__xludf.dummyfunction("if($T441&lt;&gt;"""",REGEXEXTRACT(SUBSTITUTE ($T441,F$1&amp;"" CE"",""""), F$1&amp;""[\w &amp;]*, (\d+\.\d+)""),"""")
"),"")</f>
        <v/>
      </c>
      <c r="G441" s="3" t="str">
        <f aca="false">IFERROR(__xludf.dummyfunction("if($T441&lt;&gt;"""",REGEXEXTRACT($T441, G$1&amp;""[\w &amp;]*, (\d+\.\d+)""),"""")
"),"")</f>
        <v/>
      </c>
      <c r="H441" s="3"/>
      <c r="I441" s="3" t="str">
        <f aca="false">IFERROR(__xludf.dummyfunction("if($T441&lt;&gt;"""",REGEXEXTRACT(SUBSTITUTE ($T441,I$1&amp;"" CE"",""""), I$1&amp;""[\w &amp;]*, (\d+\.\d+)""),"""")
"),"")</f>
        <v/>
      </c>
      <c r="J441" s="3" t="str">
        <f aca="false">IFERROR(__xludf.dummyfunction("if($T441&lt;&gt;"""",REGEXEXTRACT($T441, J$1&amp;""[\w &amp;]*, (\d+\.\d+)""),"""")
"),"")</f>
        <v/>
      </c>
      <c r="K441" s="3"/>
      <c r="L441" s="3" t="str">
        <f aca="false">IFERROR(__xludf.dummyfunction("if($T441&lt;&gt;"""",REGEXEXTRACT(SUBSTITUTE ($T441,L$1&amp;"" CE"",""""), L$1&amp;""[\w &amp;]*, (\d+\.\d+)""),"""")
"),"")</f>
        <v/>
      </c>
      <c r="M441" s="3" t="str">
        <f aca="false">IFERROR(__xludf.dummyfunction("if($T441&lt;&gt;"""",REGEXEXTRACT($T441, M$1&amp;""[\w &amp;]*, (\d+\.\d+)""),"""")
"),"")</f>
        <v/>
      </c>
      <c r="N441" s="3" t="str">
        <f aca="false">IFERROR(__xludf.dummyfunction("if($T441&lt;&gt;"""",REGEXEXTRACT(SUBSTITUTE ($T441,N$1&amp;"" CE"",""""), N$1&amp;""[\w &amp;]*, (\d+\.\d+)""),"""")
"),"")</f>
        <v/>
      </c>
      <c r="O441" s="3" t="str">
        <f aca="false">IFERROR(__xludf.dummyfunction("if($T441&lt;&gt;"""",REGEXEXTRACT($T441, O$1&amp;""[\w &amp;]*, (\d+\.\d+)""),"""")
"),"")</f>
        <v/>
      </c>
      <c r="P441" s="2"/>
      <c r="Q441" s="2"/>
      <c r="R441" s="2"/>
      <c r="S441" s="2"/>
      <c r="T441" s="5"/>
    </row>
    <row r="442" customFormat="false" ht="15.75" hidden="false" customHeight="false" outlineLevel="0" collapsed="false">
      <c r="A442" s="4"/>
      <c r="B442" s="2"/>
      <c r="C442" s="2"/>
      <c r="D442" s="2"/>
      <c r="E442" s="2"/>
      <c r="F442" s="3" t="str">
        <f aca="false">IFERROR(__xludf.dummyfunction("if($T442&lt;&gt;"""",REGEXEXTRACT(SUBSTITUTE ($T442,F$1&amp;"" CE"",""""), F$1&amp;""[\w &amp;]*, (\d+\.\d+)""),"""")
"),"")</f>
        <v/>
      </c>
      <c r="G442" s="3" t="str">
        <f aca="false">IFERROR(__xludf.dummyfunction("if($T442&lt;&gt;"""",REGEXEXTRACT($T442, G$1&amp;""[\w &amp;]*, (\d+\.\d+)""),"""")
"),"")</f>
        <v/>
      </c>
      <c r="H442" s="3"/>
      <c r="I442" s="3" t="str">
        <f aca="false">IFERROR(__xludf.dummyfunction("if($T442&lt;&gt;"""",REGEXEXTRACT(SUBSTITUTE ($T442,I$1&amp;"" CE"",""""), I$1&amp;""[\w &amp;]*, (\d+\.\d+)""),"""")
"),"")</f>
        <v/>
      </c>
      <c r="J442" s="3" t="str">
        <f aca="false">IFERROR(__xludf.dummyfunction("if($T442&lt;&gt;"""",REGEXEXTRACT($T442, J$1&amp;""[\w &amp;]*, (\d+\.\d+)""),"""")
"),"")</f>
        <v/>
      </c>
      <c r="K442" s="3"/>
      <c r="L442" s="3" t="str">
        <f aca="false">IFERROR(__xludf.dummyfunction("if($T442&lt;&gt;"""",REGEXEXTRACT(SUBSTITUTE ($T442,L$1&amp;"" CE"",""""), L$1&amp;""[\w &amp;]*, (\d+\.\d+)""),"""")
"),"")</f>
        <v/>
      </c>
      <c r="M442" s="3" t="str">
        <f aca="false">IFERROR(__xludf.dummyfunction("if($T442&lt;&gt;"""",REGEXEXTRACT($T442, M$1&amp;""[\w &amp;]*, (\d+\.\d+)""),"""")
"),"")</f>
        <v/>
      </c>
      <c r="N442" s="3" t="str">
        <f aca="false">IFERROR(__xludf.dummyfunction("if($T442&lt;&gt;"""",REGEXEXTRACT(SUBSTITUTE ($T442,N$1&amp;"" CE"",""""), N$1&amp;""[\w &amp;]*, (\d+\.\d+)""),"""")
"),"")</f>
        <v/>
      </c>
      <c r="O442" s="3" t="str">
        <f aca="false">IFERROR(__xludf.dummyfunction("if($T442&lt;&gt;"""",REGEXEXTRACT($T442, O$1&amp;""[\w &amp;]*, (\d+\.\d+)""),"""")
"),"")</f>
        <v/>
      </c>
      <c r="P442" s="2"/>
      <c r="Q442" s="2"/>
      <c r="R442" s="2"/>
      <c r="S442" s="2"/>
      <c r="T442" s="5"/>
    </row>
    <row r="443" customFormat="false" ht="15.75" hidden="false" customHeight="false" outlineLevel="0" collapsed="false">
      <c r="A443" s="4"/>
      <c r="B443" s="2"/>
      <c r="C443" s="2"/>
      <c r="D443" s="2"/>
      <c r="E443" s="2"/>
      <c r="F443" s="3" t="str">
        <f aca="false">IFERROR(__xludf.dummyfunction("if($T443&lt;&gt;"""",REGEXEXTRACT(SUBSTITUTE ($T443,F$1&amp;"" CE"",""""), F$1&amp;""[\w &amp;]*, (\d+\.\d+)""),"""")
"),"")</f>
        <v/>
      </c>
      <c r="G443" s="3" t="str">
        <f aca="false">IFERROR(__xludf.dummyfunction("if($T443&lt;&gt;"""",REGEXEXTRACT($T443, G$1&amp;""[\w &amp;]*, (\d+\.\d+)""),"""")
"),"")</f>
        <v/>
      </c>
      <c r="H443" s="3"/>
      <c r="I443" s="3" t="str">
        <f aca="false">IFERROR(__xludf.dummyfunction("if($T443&lt;&gt;"""",REGEXEXTRACT(SUBSTITUTE ($T443,I$1&amp;"" CE"",""""), I$1&amp;""[\w &amp;]*, (\d+\.\d+)""),"""")
"),"")</f>
        <v/>
      </c>
      <c r="J443" s="3" t="str">
        <f aca="false">IFERROR(__xludf.dummyfunction("if($T443&lt;&gt;"""",REGEXEXTRACT($T443, J$1&amp;""[\w &amp;]*, (\d+\.\d+)""),"""")
"),"")</f>
        <v/>
      </c>
      <c r="K443" s="3"/>
      <c r="L443" s="3" t="str">
        <f aca="false">IFERROR(__xludf.dummyfunction("if($T443&lt;&gt;"""",REGEXEXTRACT(SUBSTITUTE ($T443,L$1&amp;"" CE"",""""), L$1&amp;""[\w &amp;]*, (\d+\.\d+)""),"""")
"),"")</f>
        <v/>
      </c>
      <c r="M443" s="3" t="str">
        <f aca="false">IFERROR(__xludf.dummyfunction("if($T443&lt;&gt;"""",REGEXEXTRACT($T443, M$1&amp;""[\w &amp;]*, (\d+\.\d+)""),"""")
"),"")</f>
        <v/>
      </c>
      <c r="N443" s="3" t="str">
        <f aca="false">IFERROR(__xludf.dummyfunction("if($T443&lt;&gt;"""",REGEXEXTRACT(SUBSTITUTE ($T443,N$1&amp;"" CE"",""""), N$1&amp;""[\w &amp;]*, (\d+\.\d+)""),"""")
"),"")</f>
        <v/>
      </c>
      <c r="O443" s="3" t="str">
        <f aca="false">IFERROR(__xludf.dummyfunction("if($T443&lt;&gt;"""",REGEXEXTRACT($T443, O$1&amp;""[\w &amp;]*, (\d+\.\d+)""),"""")
"),"")</f>
        <v/>
      </c>
      <c r="P443" s="2"/>
      <c r="Q443" s="2"/>
      <c r="R443" s="2"/>
      <c r="S443" s="2"/>
      <c r="T443" s="5"/>
    </row>
    <row r="444" customFormat="false" ht="15.75" hidden="false" customHeight="false" outlineLevel="0" collapsed="false">
      <c r="A444" s="4"/>
      <c r="B444" s="2"/>
      <c r="C444" s="2"/>
      <c r="D444" s="2"/>
      <c r="E444" s="2"/>
      <c r="F444" s="3" t="str">
        <f aca="false">IFERROR(__xludf.dummyfunction("if($T444&lt;&gt;"""",REGEXEXTRACT(SUBSTITUTE ($T444,F$1&amp;"" CE"",""""), F$1&amp;""[\w &amp;]*, (\d+\.\d+)""),"""")
"),"")</f>
        <v/>
      </c>
      <c r="G444" s="3" t="str">
        <f aca="false">IFERROR(__xludf.dummyfunction("if($T444&lt;&gt;"""",REGEXEXTRACT($T444, G$1&amp;""[\w &amp;]*, (\d+\.\d+)""),"""")
"),"")</f>
        <v/>
      </c>
      <c r="H444" s="3"/>
      <c r="I444" s="3" t="str">
        <f aca="false">IFERROR(__xludf.dummyfunction("if($T444&lt;&gt;"""",REGEXEXTRACT(SUBSTITUTE ($T444,I$1&amp;"" CE"",""""), I$1&amp;""[\w &amp;]*, (\d+\.\d+)""),"""")
"),"")</f>
        <v/>
      </c>
      <c r="J444" s="3" t="str">
        <f aca="false">IFERROR(__xludf.dummyfunction("if($T444&lt;&gt;"""",REGEXEXTRACT($T444, J$1&amp;""[\w &amp;]*, (\d+\.\d+)""),"""")
"),"")</f>
        <v/>
      </c>
      <c r="K444" s="3"/>
      <c r="L444" s="3" t="str">
        <f aca="false">IFERROR(__xludf.dummyfunction("if($T444&lt;&gt;"""",REGEXEXTRACT(SUBSTITUTE ($T444,L$1&amp;"" CE"",""""), L$1&amp;""[\w &amp;]*, (\d+\.\d+)""),"""")
"),"")</f>
        <v/>
      </c>
      <c r="M444" s="3" t="str">
        <f aca="false">IFERROR(__xludf.dummyfunction("if($T444&lt;&gt;"""",REGEXEXTRACT($T444, M$1&amp;""[\w &amp;]*, (\d+\.\d+)""),"""")
"),"")</f>
        <v/>
      </c>
      <c r="N444" s="3" t="str">
        <f aca="false">IFERROR(__xludf.dummyfunction("if($T444&lt;&gt;"""",REGEXEXTRACT(SUBSTITUTE ($T444,N$1&amp;"" CE"",""""), N$1&amp;""[\w &amp;]*, (\d+\.\d+)""),"""")
"),"")</f>
        <v/>
      </c>
      <c r="O444" s="3" t="str">
        <f aca="false">IFERROR(__xludf.dummyfunction("if($T444&lt;&gt;"""",REGEXEXTRACT($T444, O$1&amp;""[\w &amp;]*, (\d+\.\d+)""),"""")
"),"")</f>
        <v/>
      </c>
      <c r="P444" s="2"/>
      <c r="Q444" s="2"/>
      <c r="R444" s="2"/>
      <c r="S444" s="2"/>
      <c r="T444" s="5"/>
    </row>
    <row r="445" customFormat="false" ht="15.75" hidden="false" customHeight="false" outlineLevel="0" collapsed="false">
      <c r="A445" s="4"/>
      <c r="B445" s="2"/>
      <c r="C445" s="2"/>
      <c r="D445" s="2"/>
      <c r="E445" s="2"/>
      <c r="F445" s="3" t="str">
        <f aca="false">IFERROR(__xludf.dummyfunction("if($T445&lt;&gt;"""",REGEXEXTRACT(SUBSTITUTE ($T445,F$1&amp;"" CE"",""""), F$1&amp;""[\w &amp;]*, (\d+\.\d+)""),"""")
"),"")</f>
        <v/>
      </c>
      <c r="G445" s="3" t="str">
        <f aca="false">IFERROR(__xludf.dummyfunction("if($T445&lt;&gt;"""",REGEXEXTRACT($T445, G$1&amp;""[\w &amp;]*, (\d+\.\d+)""),"""")
"),"")</f>
        <v/>
      </c>
      <c r="H445" s="3"/>
      <c r="I445" s="3" t="str">
        <f aca="false">IFERROR(__xludf.dummyfunction("if($T445&lt;&gt;"""",REGEXEXTRACT(SUBSTITUTE ($T445,I$1&amp;"" CE"",""""), I$1&amp;""[\w &amp;]*, (\d+\.\d+)""),"""")
"),"")</f>
        <v/>
      </c>
      <c r="J445" s="3" t="str">
        <f aca="false">IFERROR(__xludf.dummyfunction("if($T445&lt;&gt;"""",REGEXEXTRACT($T445, J$1&amp;""[\w &amp;]*, (\d+\.\d+)""),"""")
"),"")</f>
        <v/>
      </c>
      <c r="K445" s="3"/>
      <c r="L445" s="3" t="str">
        <f aca="false">IFERROR(__xludf.dummyfunction("if($T445&lt;&gt;"""",REGEXEXTRACT(SUBSTITUTE ($T445,L$1&amp;"" CE"",""""), L$1&amp;""[\w &amp;]*, (\d+\.\d+)""),"""")
"),"")</f>
        <v/>
      </c>
      <c r="M445" s="3" t="str">
        <f aca="false">IFERROR(__xludf.dummyfunction("if($T445&lt;&gt;"""",REGEXEXTRACT($T445, M$1&amp;""[\w &amp;]*, (\d+\.\d+)""),"""")
"),"")</f>
        <v/>
      </c>
      <c r="N445" s="3" t="str">
        <f aca="false">IFERROR(__xludf.dummyfunction("if($T445&lt;&gt;"""",REGEXEXTRACT(SUBSTITUTE ($T445,N$1&amp;"" CE"",""""), N$1&amp;""[\w &amp;]*, (\d+\.\d+)""),"""")
"),"")</f>
        <v/>
      </c>
      <c r="O445" s="3" t="str">
        <f aca="false">IFERROR(__xludf.dummyfunction("if($T445&lt;&gt;"""",REGEXEXTRACT($T445, O$1&amp;""[\w &amp;]*, (\d+\.\d+)""),"""")
"),"")</f>
        <v/>
      </c>
      <c r="P445" s="2"/>
      <c r="Q445" s="2"/>
      <c r="R445" s="2"/>
      <c r="S445" s="2"/>
      <c r="T445" s="5"/>
    </row>
    <row r="446" customFormat="false" ht="15.75" hidden="false" customHeight="false" outlineLevel="0" collapsed="false">
      <c r="A446" s="4"/>
      <c r="B446" s="2"/>
      <c r="C446" s="2"/>
      <c r="D446" s="2"/>
      <c r="E446" s="2"/>
      <c r="F446" s="3" t="str">
        <f aca="false">IFERROR(__xludf.dummyfunction("if($T446&lt;&gt;"""",REGEXEXTRACT(SUBSTITUTE ($T446,F$1&amp;"" CE"",""""), F$1&amp;""[\w &amp;]*, (\d+\.\d+)""),"""")
"),"")</f>
        <v/>
      </c>
      <c r="G446" s="3" t="str">
        <f aca="false">IFERROR(__xludf.dummyfunction("if($T446&lt;&gt;"""",REGEXEXTRACT($T446, G$1&amp;""[\w &amp;]*, (\d+\.\d+)""),"""")
"),"")</f>
        <v/>
      </c>
      <c r="H446" s="3"/>
      <c r="I446" s="3" t="str">
        <f aca="false">IFERROR(__xludf.dummyfunction("if($T446&lt;&gt;"""",REGEXEXTRACT(SUBSTITUTE ($T446,I$1&amp;"" CE"",""""), I$1&amp;""[\w &amp;]*, (\d+\.\d+)""),"""")
"),"")</f>
        <v/>
      </c>
      <c r="J446" s="3" t="str">
        <f aca="false">IFERROR(__xludf.dummyfunction("if($T446&lt;&gt;"""",REGEXEXTRACT($T446, J$1&amp;""[\w &amp;]*, (\d+\.\d+)""),"""")
"),"")</f>
        <v/>
      </c>
      <c r="K446" s="3"/>
      <c r="L446" s="3" t="str">
        <f aca="false">IFERROR(__xludf.dummyfunction("if($T446&lt;&gt;"""",REGEXEXTRACT(SUBSTITUTE ($T446,L$1&amp;"" CE"",""""), L$1&amp;""[\w &amp;]*, (\d+\.\d+)""),"""")
"),"")</f>
        <v/>
      </c>
      <c r="M446" s="3" t="str">
        <f aca="false">IFERROR(__xludf.dummyfunction("if($T446&lt;&gt;"""",REGEXEXTRACT($T446, M$1&amp;""[\w &amp;]*, (\d+\.\d+)""),"""")
"),"")</f>
        <v/>
      </c>
      <c r="N446" s="3" t="str">
        <f aca="false">IFERROR(__xludf.dummyfunction("if($T446&lt;&gt;"""",REGEXEXTRACT(SUBSTITUTE ($T446,N$1&amp;"" CE"",""""), N$1&amp;""[\w &amp;]*, (\d+\.\d+)""),"""")
"),"")</f>
        <v/>
      </c>
      <c r="O446" s="3" t="str">
        <f aca="false">IFERROR(__xludf.dummyfunction("if($T446&lt;&gt;"""",REGEXEXTRACT($T446, O$1&amp;""[\w &amp;]*, (\d+\.\d+)""),"""")
"),"")</f>
        <v/>
      </c>
      <c r="P446" s="2"/>
      <c r="Q446" s="2"/>
      <c r="R446" s="2"/>
      <c r="S446" s="2"/>
      <c r="T446" s="5"/>
    </row>
    <row r="447" customFormat="false" ht="15.75" hidden="false" customHeight="false" outlineLevel="0" collapsed="false">
      <c r="A447" s="4"/>
      <c r="B447" s="2"/>
      <c r="C447" s="2"/>
      <c r="D447" s="2"/>
      <c r="E447" s="2"/>
      <c r="F447" s="3" t="str">
        <f aca="false">IFERROR(__xludf.dummyfunction("if($T447&lt;&gt;"""",REGEXEXTRACT(SUBSTITUTE ($T447,F$1&amp;"" CE"",""""), F$1&amp;""[\w &amp;]*, (\d+\.\d+)""),"""")
"),"")</f>
        <v/>
      </c>
      <c r="G447" s="3" t="str">
        <f aca="false">IFERROR(__xludf.dummyfunction("if($T447&lt;&gt;"""",REGEXEXTRACT($T447, G$1&amp;""[\w &amp;]*, (\d+\.\d+)""),"""")
"),"")</f>
        <v/>
      </c>
      <c r="H447" s="3"/>
      <c r="I447" s="3" t="str">
        <f aca="false">IFERROR(__xludf.dummyfunction("if($T447&lt;&gt;"""",REGEXEXTRACT(SUBSTITUTE ($T447,I$1&amp;"" CE"",""""), I$1&amp;""[\w &amp;]*, (\d+\.\d+)""),"""")
"),"")</f>
        <v/>
      </c>
      <c r="J447" s="3" t="str">
        <f aca="false">IFERROR(__xludf.dummyfunction("if($T447&lt;&gt;"""",REGEXEXTRACT($T447, J$1&amp;""[\w &amp;]*, (\d+\.\d+)""),"""")
"),"")</f>
        <v/>
      </c>
      <c r="K447" s="3"/>
      <c r="L447" s="3" t="str">
        <f aca="false">IFERROR(__xludf.dummyfunction("if($T447&lt;&gt;"""",REGEXEXTRACT(SUBSTITUTE ($T447,L$1&amp;"" CE"",""""), L$1&amp;""[\w &amp;]*, (\d+\.\d+)""),"""")
"),"")</f>
        <v/>
      </c>
      <c r="M447" s="3" t="str">
        <f aca="false">IFERROR(__xludf.dummyfunction("if($T447&lt;&gt;"""",REGEXEXTRACT($T447, M$1&amp;""[\w &amp;]*, (\d+\.\d+)""),"""")
"),"")</f>
        <v/>
      </c>
      <c r="N447" s="3" t="str">
        <f aca="false">IFERROR(__xludf.dummyfunction("if($T447&lt;&gt;"""",REGEXEXTRACT(SUBSTITUTE ($T447,N$1&amp;"" CE"",""""), N$1&amp;""[\w &amp;]*, (\d+\.\d+)""),"""")
"),"")</f>
        <v/>
      </c>
      <c r="O447" s="3" t="str">
        <f aca="false">IFERROR(__xludf.dummyfunction("if($T447&lt;&gt;"""",REGEXEXTRACT($T447, O$1&amp;""[\w &amp;]*, (\d+\.\d+)""),"""")
"),"")</f>
        <v/>
      </c>
      <c r="P447" s="2"/>
      <c r="Q447" s="2"/>
      <c r="R447" s="2"/>
      <c r="S447" s="2"/>
      <c r="T447" s="5"/>
    </row>
    <row r="448" customFormat="false" ht="15.75" hidden="false" customHeight="false" outlineLevel="0" collapsed="false">
      <c r="A448" s="4"/>
      <c r="B448" s="2"/>
      <c r="C448" s="2"/>
      <c r="D448" s="2"/>
      <c r="E448" s="2"/>
      <c r="F448" s="3" t="str">
        <f aca="false">IFERROR(__xludf.dummyfunction("if($T448&lt;&gt;"""",REGEXEXTRACT(SUBSTITUTE ($T448,F$1&amp;"" CE"",""""), F$1&amp;""[\w &amp;]*, (\d+\.\d+)""),"""")
"),"")</f>
        <v/>
      </c>
      <c r="G448" s="3" t="str">
        <f aca="false">IFERROR(__xludf.dummyfunction("if($T448&lt;&gt;"""",REGEXEXTRACT($T448, G$1&amp;""[\w &amp;]*, (\d+\.\d+)""),"""")
"),"")</f>
        <v/>
      </c>
      <c r="H448" s="3"/>
      <c r="I448" s="3" t="str">
        <f aca="false">IFERROR(__xludf.dummyfunction("if($T448&lt;&gt;"""",REGEXEXTRACT(SUBSTITUTE ($T448,I$1&amp;"" CE"",""""), I$1&amp;""[\w &amp;]*, (\d+\.\d+)""),"""")
"),"")</f>
        <v/>
      </c>
      <c r="J448" s="3" t="str">
        <f aca="false">IFERROR(__xludf.dummyfunction("if($T448&lt;&gt;"""",REGEXEXTRACT($T448, J$1&amp;""[\w &amp;]*, (\d+\.\d+)""),"""")
"),"")</f>
        <v/>
      </c>
      <c r="K448" s="3"/>
      <c r="L448" s="3" t="str">
        <f aca="false">IFERROR(__xludf.dummyfunction("if($T448&lt;&gt;"""",REGEXEXTRACT(SUBSTITUTE ($T448,L$1&amp;"" CE"",""""), L$1&amp;""[\w &amp;]*, (\d+\.\d+)""),"""")
"),"")</f>
        <v/>
      </c>
      <c r="M448" s="3" t="str">
        <f aca="false">IFERROR(__xludf.dummyfunction("if($T448&lt;&gt;"""",REGEXEXTRACT($T448, M$1&amp;""[\w &amp;]*, (\d+\.\d+)""),"""")
"),"")</f>
        <v/>
      </c>
      <c r="N448" s="3" t="str">
        <f aca="false">IFERROR(__xludf.dummyfunction("if($T448&lt;&gt;"""",REGEXEXTRACT(SUBSTITUTE ($T448,N$1&amp;"" CE"",""""), N$1&amp;""[\w &amp;]*, (\d+\.\d+)""),"""")
"),"")</f>
        <v/>
      </c>
      <c r="O448" s="3" t="str">
        <f aca="false">IFERROR(__xludf.dummyfunction("if($T448&lt;&gt;"""",REGEXEXTRACT($T448, O$1&amp;""[\w &amp;]*, (\d+\.\d+)""),"""")
"),"")</f>
        <v/>
      </c>
      <c r="P448" s="2"/>
      <c r="Q448" s="2"/>
      <c r="R448" s="2"/>
      <c r="S448" s="2"/>
      <c r="T448" s="5"/>
    </row>
    <row r="449" customFormat="false" ht="15.75" hidden="false" customHeight="false" outlineLevel="0" collapsed="false">
      <c r="A449" s="4"/>
      <c r="B449" s="2"/>
      <c r="C449" s="2"/>
      <c r="D449" s="2"/>
      <c r="E449" s="2"/>
      <c r="F449" s="3" t="str">
        <f aca="false">IFERROR(__xludf.dummyfunction("if($T449&lt;&gt;"""",REGEXEXTRACT(SUBSTITUTE ($T449,F$1&amp;"" CE"",""""), F$1&amp;""[\w &amp;]*, (\d+\.\d+)""),"""")
"),"")</f>
        <v/>
      </c>
      <c r="G449" s="3" t="str">
        <f aca="false">IFERROR(__xludf.dummyfunction("if($T449&lt;&gt;"""",REGEXEXTRACT($T449, G$1&amp;""[\w &amp;]*, (\d+\.\d+)""),"""")
"),"")</f>
        <v/>
      </c>
      <c r="H449" s="3"/>
      <c r="I449" s="3" t="str">
        <f aca="false">IFERROR(__xludf.dummyfunction("if($T449&lt;&gt;"""",REGEXEXTRACT(SUBSTITUTE ($T449,I$1&amp;"" CE"",""""), I$1&amp;""[\w &amp;]*, (\d+\.\d+)""),"""")
"),"")</f>
        <v/>
      </c>
      <c r="J449" s="3" t="str">
        <f aca="false">IFERROR(__xludf.dummyfunction("if($T449&lt;&gt;"""",REGEXEXTRACT($T449, J$1&amp;""[\w &amp;]*, (\d+\.\d+)""),"""")
"),"")</f>
        <v/>
      </c>
      <c r="K449" s="3"/>
      <c r="L449" s="3" t="str">
        <f aca="false">IFERROR(__xludf.dummyfunction("if($T449&lt;&gt;"""",REGEXEXTRACT(SUBSTITUTE ($T449,L$1&amp;"" CE"",""""), L$1&amp;""[\w &amp;]*, (\d+\.\d+)""),"""")
"),"")</f>
        <v/>
      </c>
      <c r="M449" s="3" t="str">
        <f aca="false">IFERROR(__xludf.dummyfunction("if($T449&lt;&gt;"""",REGEXEXTRACT($T449, M$1&amp;""[\w &amp;]*, (\d+\.\d+)""),"""")
"),"")</f>
        <v/>
      </c>
      <c r="N449" s="3" t="str">
        <f aca="false">IFERROR(__xludf.dummyfunction("if($T449&lt;&gt;"""",REGEXEXTRACT(SUBSTITUTE ($T449,N$1&amp;"" CE"",""""), N$1&amp;""[\w &amp;]*, (\d+\.\d+)""),"""")
"),"")</f>
        <v/>
      </c>
      <c r="O449" s="3" t="str">
        <f aca="false">IFERROR(__xludf.dummyfunction("if($T449&lt;&gt;"""",REGEXEXTRACT($T449, O$1&amp;""[\w &amp;]*, (\d+\.\d+)""),"""")
"),"")</f>
        <v/>
      </c>
      <c r="P449" s="2"/>
      <c r="Q449" s="2"/>
      <c r="R449" s="2"/>
      <c r="S449" s="2"/>
      <c r="T449" s="5"/>
    </row>
    <row r="450" customFormat="false" ht="15.75" hidden="false" customHeight="false" outlineLevel="0" collapsed="false">
      <c r="A450" s="4"/>
      <c r="B450" s="2"/>
      <c r="C450" s="2"/>
      <c r="D450" s="2"/>
      <c r="E450" s="2"/>
      <c r="F450" s="3" t="str">
        <f aca="false">IFERROR(__xludf.dummyfunction("if($T450&lt;&gt;"""",REGEXEXTRACT(SUBSTITUTE ($T450,F$1&amp;"" CE"",""""), F$1&amp;""[\w &amp;]*, (\d+\.\d+)""),"""")
"),"")</f>
        <v/>
      </c>
      <c r="G450" s="3" t="str">
        <f aca="false">IFERROR(__xludf.dummyfunction("if($T450&lt;&gt;"""",REGEXEXTRACT($T450, G$1&amp;""[\w &amp;]*, (\d+\.\d+)""),"""")
"),"")</f>
        <v/>
      </c>
      <c r="H450" s="3"/>
      <c r="I450" s="3" t="str">
        <f aca="false">IFERROR(__xludf.dummyfunction("if($T450&lt;&gt;"""",REGEXEXTRACT(SUBSTITUTE ($T450,I$1&amp;"" CE"",""""), I$1&amp;""[\w &amp;]*, (\d+\.\d+)""),"""")
"),"")</f>
        <v/>
      </c>
      <c r="J450" s="3" t="str">
        <f aca="false">IFERROR(__xludf.dummyfunction("if($T450&lt;&gt;"""",REGEXEXTRACT($T450, J$1&amp;""[\w &amp;]*, (\d+\.\d+)""),"""")
"),"")</f>
        <v/>
      </c>
      <c r="K450" s="3"/>
      <c r="L450" s="3" t="str">
        <f aca="false">IFERROR(__xludf.dummyfunction("if($T450&lt;&gt;"""",REGEXEXTRACT(SUBSTITUTE ($T450,L$1&amp;"" CE"",""""), L$1&amp;""[\w &amp;]*, (\d+\.\d+)""),"""")
"),"")</f>
        <v/>
      </c>
      <c r="M450" s="3" t="str">
        <f aca="false">IFERROR(__xludf.dummyfunction("if($T450&lt;&gt;"""",REGEXEXTRACT($T450, M$1&amp;""[\w &amp;]*, (\d+\.\d+)""),"""")
"),"")</f>
        <v/>
      </c>
      <c r="N450" s="3" t="str">
        <f aca="false">IFERROR(__xludf.dummyfunction("if($T450&lt;&gt;"""",REGEXEXTRACT(SUBSTITUTE ($T450,N$1&amp;"" CE"",""""), N$1&amp;""[\w &amp;]*, (\d+\.\d+)""),"""")
"),"")</f>
        <v/>
      </c>
      <c r="O450" s="3" t="str">
        <f aca="false">IFERROR(__xludf.dummyfunction("if($T450&lt;&gt;"""",REGEXEXTRACT($T450, O$1&amp;""[\w &amp;]*, (\d+\.\d+)""),"""")
"),"")</f>
        <v/>
      </c>
      <c r="P450" s="2"/>
      <c r="Q450" s="2"/>
      <c r="R450" s="2"/>
      <c r="S450" s="2"/>
      <c r="T450" s="5"/>
    </row>
    <row r="451" customFormat="false" ht="15.75" hidden="false" customHeight="false" outlineLevel="0" collapsed="false">
      <c r="A451" s="4"/>
      <c r="B451" s="2"/>
      <c r="C451" s="2"/>
      <c r="D451" s="2"/>
      <c r="E451" s="2"/>
      <c r="F451" s="3" t="str">
        <f aca="false">IFERROR(__xludf.dummyfunction("if($T451&lt;&gt;"""",REGEXEXTRACT(SUBSTITUTE ($T451,F$1&amp;"" CE"",""""), F$1&amp;""[\w &amp;]*, (\d+\.\d+)""),"""")
"),"")</f>
        <v/>
      </c>
      <c r="G451" s="3" t="str">
        <f aca="false">IFERROR(__xludf.dummyfunction("if($T451&lt;&gt;"""",REGEXEXTRACT($T451, G$1&amp;""[\w &amp;]*, (\d+\.\d+)""),"""")
"),"")</f>
        <v/>
      </c>
      <c r="H451" s="3"/>
      <c r="I451" s="3" t="str">
        <f aca="false">IFERROR(__xludf.dummyfunction("if($T451&lt;&gt;"""",REGEXEXTRACT(SUBSTITUTE ($T451,I$1&amp;"" CE"",""""), I$1&amp;""[\w &amp;]*, (\d+\.\d+)""),"""")
"),"")</f>
        <v/>
      </c>
      <c r="J451" s="3" t="str">
        <f aca="false">IFERROR(__xludf.dummyfunction("if($T451&lt;&gt;"""",REGEXEXTRACT($T451, J$1&amp;""[\w &amp;]*, (\d+\.\d+)""),"""")
"),"")</f>
        <v/>
      </c>
      <c r="K451" s="3"/>
      <c r="L451" s="3" t="str">
        <f aca="false">IFERROR(__xludf.dummyfunction("if($T451&lt;&gt;"""",REGEXEXTRACT(SUBSTITUTE ($T451,L$1&amp;"" CE"",""""), L$1&amp;""[\w &amp;]*, (\d+\.\d+)""),"""")
"),"")</f>
        <v/>
      </c>
      <c r="M451" s="3" t="str">
        <f aca="false">IFERROR(__xludf.dummyfunction("if($T451&lt;&gt;"""",REGEXEXTRACT($T451, M$1&amp;""[\w &amp;]*, (\d+\.\d+)""),"""")
"),"")</f>
        <v/>
      </c>
      <c r="N451" s="3" t="str">
        <f aca="false">IFERROR(__xludf.dummyfunction("if($T451&lt;&gt;"""",REGEXEXTRACT(SUBSTITUTE ($T451,N$1&amp;"" CE"",""""), N$1&amp;""[\w &amp;]*, (\d+\.\d+)""),"""")
"),"")</f>
        <v/>
      </c>
      <c r="O451" s="3" t="str">
        <f aca="false">IFERROR(__xludf.dummyfunction("if($T451&lt;&gt;"""",REGEXEXTRACT($T451, O$1&amp;""[\w &amp;]*, (\d+\.\d+)""),"""")
"),"")</f>
        <v/>
      </c>
      <c r="P451" s="2"/>
      <c r="Q451" s="2"/>
      <c r="R451" s="2"/>
      <c r="S451" s="2"/>
      <c r="T451" s="5"/>
    </row>
    <row r="452" customFormat="false" ht="15.75" hidden="false" customHeight="false" outlineLevel="0" collapsed="false">
      <c r="A452" s="4"/>
      <c r="B452" s="2"/>
      <c r="C452" s="2"/>
      <c r="D452" s="2"/>
      <c r="E452" s="2"/>
      <c r="F452" s="3" t="str">
        <f aca="false">IFERROR(__xludf.dummyfunction("if($T452&lt;&gt;"""",REGEXEXTRACT(SUBSTITUTE ($T452,F$1&amp;"" CE"",""""), F$1&amp;""[\w &amp;]*, (\d+\.\d+)""),"""")
"),"")</f>
        <v/>
      </c>
      <c r="G452" s="3" t="str">
        <f aca="false">IFERROR(__xludf.dummyfunction("if($T452&lt;&gt;"""",REGEXEXTRACT($T452, G$1&amp;""[\w &amp;]*, (\d+\.\d+)""),"""")
"),"")</f>
        <v/>
      </c>
      <c r="H452" s="3"/>
      <c r="I452" s="3" t="str">
        <f aca="false">IFERROR(__xludf.dummyfunction("if($T452&lt;&gt;"""",REGEXEXTRACT(SUBSTITUTE ($T452,I$1&amp;"" CE"",""""), I$1&amp;""[\w &amp;]*, (\d+\.\d+)""),"""")
"),"")</f>
        <v/>
      </c>
      <c r="J452" s="3" t="str">
        <f aca="false">IFERROR(__xludf.dummyfunction("if($T452&lt;&gt;"""",REGEXEXTRACT($T452, J$1&amp;""[\w &amp;]*, (\d+\.\d+)""),"""")
"),"")</f>
        <v/>
      </c>
      <c r="K452" s="3"/>
      <c r="L452" s="3" t="str">
        <f aca="false">IFERROR(__xludf.dummyfunction("if($T452&lt;&gt;"""",REGEXEXTRACT(SUBSTITUTE ($T452,L$1&amp;"" CE"",""""), L$1&amp;""[\w &amp;]*, (\d+\.\d+)""),"""")
"),"")</f>
        <v/>
      </c>
      <c r="M452" s="3" t="str">
        <f aca="false">IFERROR(__xludf.dummyfunction("if($T452&lt;&gt;"""",REGEXEXTRACT($T452, M$1&amp;""[\w &amp;]*, (\d+\.\d+)""),"""")
"),"")</f>
        <v/>
      </c>
      <c r="N452" s="3" t="str">
        <f aca="false">IFERROR(__xludf.dummyfunction("if($T452&lt;&gt;"""",REGEXEXTRACT(SUBSTITUTE ($T452,N$1&amp;"" CE"",""""), N$1&amp;""[\w &amp;]*, (\d+\.\d+)""),"""")
"),"")</f>
        <v/>
      </c>
      <c r="O452" s="3" t="str">
        <f aca="false">IFERROR(__xludf.dummyfunction("if($T452&lt;&gt;"""",REGEXEXTRACT($T452, O$1&amp;""[\w &amp;]*, (\d+\.\d+)""),"""")
"),"")</f>
        <v/>
      </c>
      <c r="P452" s="2"/>
      <c r="Q452" s="2"/>
      <c r="R452" s="2"/>
      <c r="S452" s="2"/>
      <c r="T452" s="5"/>
    </row>
    <row r="453" customFormat="false" ht="15.75" hidden="false" customHeight="false" outlineLevel="0" collapsed="false">
      <c r="A453" s="4"/>
      <c r="B453" s="2"/>
      <c r="C453" s="2"/>
      <c r="D453" s="2"/>
      <c r="E453" s="2"/>
      <c r="F453" s="3" t="str">
        <f aca="false">IFERROR(__xludf.dummyfunction("if($T453&lt;&gt;"""",REGEXEXTRACT(SUBSTITUTE ($T453,F$1&amp;"" CE"",""""), F$1&amp;""[\w &amp;]*, (\d+\.\d+)""),"""")
"),"")</f>
        <v/>
      </c>
      <c r="G453" s="3" t="str">
        <f aca="false">IFERROR(__xludf.dummyfunction("if($T453&lt;&gt;"""",REGEXEXTRACT($T453, G$1&amp;""[\w &amp;]*, (\d+\.\d+)""),"""")
"),"")</f>
        <v/>
      </c>
      <c r="H453" s="3"/>
      <c r="I453" s="3" t="str">
        <f aca="false">IFERROR(__xludf.dummyfunction("if($T453&lt;&gt;"""",REGEXEXTRACT(SUBSTITUTE ($T453,I$1&amp;"" CE"",""""), I$1&amp;""[\w &amp;]*, (\d+\.\d+)""),"""")
"),"")</f>
        <v/>
      </c>
      <c r="J453" s="3" t="str">
        <f aca="false">IFERROR(__xludf.dummyfunction("if($T453&lt;&gt;"""",REGEXEXTRACT($T453, J$1&amp;""[\w &amp;]*, (\d+\.\d+)""),"""")
"),"")</f>
        <v/>
      </c>
      <c r="K453" s="3"/>
      <c r="L453" s="3" t="str">
        <f aca="false">IFERROR(__xludf.dummyfunction("if($T453&lt;&gt;"""",REGEXEXTRACT(SUBSTITUTE ($T453,L$1&amp;"" CE"",""""), L$1&amp;""[\w &amp;]*, (\d+\.\d+)""),"""")
"),"")</f>
        <v/>
      </c>
      <c r="M453" s="3" t="str">
        <f aca="false">IFERROR(__xludf.dummyfunction("if($T453&lt;&gt;"""",REGEXEXTRACT($T453, M$1&amp;""[\w &amp;]*, (\d+\.\d+)""),"""")
"),"")</f>
        <v/>
      </c>
      <c r="N453" s="3" t="str">
        <f aca="false">IFERROR(__xludf.dummyfunction("if($T453&lt;&gt;"""",REGEXEXTRACT(SUBSTITUTE ($T453,N$1&amp;"" CE"",""""), N$1&amp;""[\w &amp;]*, (\d+\.\d+)""),"""")
"),"")</f>
        <v/>
      </c>
      <c r="O453" s="3" t="str">
        <f aca="false">IFERROR(__xludf.dummyfunction("if($T453&lt;&gt;"""",REGEXEXTRACT($T453, O$1&amp;""[\w &amp;]*, (\d+\.\d+)""),"""")
"),"")</f>
        <v/>
      </c>
      <c r="P453" s="2"/>
      <c r="Q453" s="2"/>
      <c r="R453" s="2"/>
      <c r="S453" s="2"/>
      <c r="T453" s="5"/>
    </row>
    <row r="454" customFormat="false" ht="15.75" hidden="false" customHeight="false" outlineLevel="0" collapsed="false">
      <c r="A454" s="4"/>
      <c r="B454" s="2"/>
      <c r="C454" s="2"/>
      <c r="D454" s="2"/>
      <c r="E454" s="2"/>
      <c r="F454" s="3" t="str">
        <f aca="false">IFERROR(__xludf.dummyfunction("if($T454&lt;&gt;"""",REGEXEXTRACT(SUBSTITUTE ($T454,F$1&amp;"" CE"",""""), F$1&amp;""[\w &amp;]*, (\d+\.\d+)""),"""")
"),"")</f>
        <v/>
      </c>
      <c r="G454" s="3" t="str">
        <f aca="false">IFERROR(__xludf.dummyfunction("if($T454&lt;&gt;"""",REGEXEXTRACT($T454, G$1&amp;""[\w &amp;]*, (\d+\.\d+)""),"""")
"),"")</f>
        <v/>
      </c>
      <c r="H454" s="3"/>
      <c r="I454" s="3" t="str">
        <f aca="false">IFERROR(__xludf.dummyfunction("if($T454&lt;&gt;"""",REGEXEXTRACT(SUBSTITUTE ($T454,I$1&amp;"" CE"",""""), I$1&amp;""[\w &amp;]*, (\d+\.\d+)""),"""")
"),"")</f>
        <v/>
      </c>
      <c r="J454" s="3" t="str">
        <f aca="false">IFERROR(__xludf.dummyfunction("if($T454&lt;&gt;"""",REGEXEXTRACT($T454, J$1&amp;""[\w &amp;]*, (\d+\.\d+)""),"""")
"),"")</f>
        <v/>
      </c>
      <c r="K454" s="3"/>
      <c r="L454" s="3" t="str">
        <f aca="false">IFERROR(__xludf.dummyfunction("if($T454&lt;&gt;"""",REGEXEXTRACT(SUBSTITUTE ($T454,L$1&amp;"" CE"",""""), L$1&amp;""[\w &amp;]*, (\d+\.\d+)""),"""")
"),"")</f>
        <v/>
      </c>
      <c r="M454" s="3" t="str">
        <f aca="false">IFERROR(__xludf.dummyfunction("if($T454&lt;&gt;"""",REGEXEXTRACT($T454, M$1&amp;""[\w &amp;]*, (\d+\.\d+)""),"""")
"),"")</f>
        <v/>
      </c>
      <c r="N454" s="3" t="str">
        <f aca="false">IFERROR(__xludf.dummyfunction("if($T454&lt;&gt;"""",REGEXEXTRACT(SUBSTITUTE ($T454,N$1&amp;"" CE"",""""), N$1&amp;""[\w &amp;]*, (\d+\.\d+)""),"""")
"),"")</f>
        <v/>
      </c>
      <c r="O454" s="3" t="str">
        <f aca="false">IFERROR(__xludf.dummyfunction("if($T454&lt;&gt;"""",REGEXEXTRACT($T454, O$1&amp;""[\w &amp;]*, (\d+\.\d+)""),"""")
"),"")</f>
        <v/>
      </c>
      <c r="P454" s="2"/>
      <c r="Q454" s="2"/>
      <c r="R454" s="2"/>
      <c r="S454" s="2"/>
      <c r="T454" s="5"/>
    </row>
    <row r="455" customFormat="false" ht="15.75" hidden="false" customHeight="false" outlineLevel="0" collapsed="false">
      <c r="A455" s="4"/>
      <c r="B455" s="2"/>
      <c r="C455" s="2"/>
      <c r="D455" s="2"/>
      <c r="E455" s="2"/>
      <c r="F455" s="3" t="str">
        <f aca="false">IFERROR(__xludf.dummyfunction("if($T455&lt;&gt;"""",REGEXEXTRACT(SUBSTITUTE ($T455,F$1&amp;"" CE"",""""), F$1&amp;""[\w &amp;]*, (\d+\.\d+)""),"""")
"),"")</f>
        <v/>
      </c>
      <c r="G455" s="3" t="str">
        <f aca="false">IFERROR(__xludf.dummyfunction("if($T455&lt;&gt;"""",REGEXEXTRACT($T455, G$1&amp;""[\w &amp;]*, (\d+\.\d+)""),"""")
"),"")</f>
        <v/>
      </c>
      <c r="H455" s="3"/>
      <c r="I455" s="3" t="str">
        <f aca="false">IFERROR(__xludf.dummyfunction("if($T455&lt;&gt;"""",REGEXEXTRACT(SUBSTITUTE ($T455,I$1&amp;"" CE"",""""), I$1&amp;""[\w &amp;]*, (\d+\.\d+)""),"""")
"),"")</f>
        <v/>
      </c>
      <c r="J455" s="3" t="str">
        <f aca="false">IFERROR(__xludf.dummyfunction("if($T455&lt;&gt;"""",REGEXEXTRACT($T455, J$1&amp;""[\w &amp;]*, (\d+\.\d+)""),"""")
"),"")</f>
        <v/>
      </c>
      <c r="K455" s="3"/>
      <c r="L455" s="3" t="str">
        <f aca="false">IFERROR(__xludf.dummyfunction("if($T455&lt;&gt;"""",REGEXEXTRACT(SUBSTITUTE ($T455,L$1&amp;"" CE"",""""), L$1&amp;""[\w &amp;]*, (\d+\.\d+)""),"""")
"),"")</f>
        <v/>
      </c>
      <c r="M455" s="3" t="str">
        <f aca="false">IFERROR(__xludf.dummyfunction("if($T455&lt;&gt;"""",REGEXEXTRACT($T455, M$1&amp;""[\w &amp;]*, (\d+\.\d+)""),"""")
"),"")</f>
        <v/>
      </c>
      <c r="N455" s="3" t="str">
        <f aca="false">IFERROR(__xludf.dummyfunction("if($T455&lt;&gt;"""",REGEXEXTRACT(SUBSTITUTE ($T455,N$1&amp;"" CE"",""""), N$1&amp;""[\w &amp;]*, (\d+\.\d+)""),"""")
"),"")</f>
        <v/>
      </c>
      <c r="O455" s="3" t="str">
        <f aca="false">IFERROR(__xludf.dummyfunction("if($T455&lt;&gt;"""",REGEXEXTRACT($T455, O$1&amp;""[\w &amp;]*, (\d+\.\d+)""),"""")
"),"")</f>
        <v/>
      </c>
      <c r="P455" s="2"/>
      <c r="Q455" s="2"/>
      <c r="R455" s="2"/>
      <c r="S455" s="2"/>
      <c r="T455" s="5"/>
    </row>
    <row r="456" customFormat="false" ht="15.75" hidden="false" customHeight="false" outlineLevel="0" collapsed="false">
      <c r="A456" s="4"/>
      <c r="B456" s="2"/>
      <c r="C456" s="2"/>
      <c r="D456" s="2"/>
      <c r="E456" s="2"/>
      <c r="F456" s="3" t="str">
        <f aca="false">IFERROR(__xludf.dummyfunction("if($T456&lt;&gt;"""",REGEXEXTRACT(SUBSTITUTE ($T456,F$1&amp;"" CE"",""""), F$1&amp;""[\w &amp;]*, (\d+\.\d+)""),"""")
"),"")</f>
        <v/>
      </c>
      <c r="G456" s="3" t="str">
        <f aca="false">IFERROR(__xludf.dummyfunction("if($T456&lt;&gt;"""",REGEXEXTRACT($T456, G$1&amp;""[\w &amp;]*, (\d+\.\d+)""),"""")
"),"")</f>
        <v/>
      </c>
      <c r="H456" s="3"/>
      <c r="I456" s="3" t="str">
        <f aca="false">IFERROR(__xludf.dummyfunction("if($T456&lt;&gt;"""",REGEXEXTRACT(SUBSTITUTE ($T456,I$1&amp;"" CE"",""""), I$1&amp;""[\w &amp;]*, (\d+\.\d+)""),"""")
"),"")</f>
        <v/>
      </c>
      <c r="J456" s="3" t="str">
        <f aca="false">IFERROR(__xludf.dummyfunction("if($T456&lt;&gt;"""",REGEXEXTRACT($T456, J$1&amp;""[\w &amp;]*, (\d+\.\d+)""),"""")
"),"")</f>
        <v/>
      </c>
      <c r="K456" s="3"/>
      <c r="L456" s="3" t="str">
        <f aca="false">IFERROR(__xludf.dummyfunction("if($T456&lt;&gt;"""",REGEXEXTRACT(SUBSTITUTE ($T456,L$1&amp;"" CE"",""""), L$1&amp;""[\w &amp;]*, (\d+\.\d+)""),"""")
"),"")</f>
        <v/>
      </c>
      <c r="M456" s="3" t="str">
        <f aca="false">IFERROR(__xludf.dummyfunction("if($T456&lt;&gt;"""",REGEXEXTRACT($T456, M$1&amp;""[\w &amp;]*, (\d+\.\d+)""),"""")
"),"")</f>
        <v/>
      </c>
      <c r="N456" s="3" t="str">
        <f aca="false">IFERROR(__xludf.dummyfunction("if($T456&lt;&gt;"""",REGEXEXTRACT(SUBSTITUTE ($T456,N$1&amp;"" CE"",""""), N$1&amp;""[\w &amp;]*, (\d+\.\d+)""),"""")
"),"")</f>
        <v/>
      </c>
      <c r="O456" s="3" t="str">
        <f aca="false">IFERROR(__xludf.dummyfunction("if($T456&lt;&gt;"""",REGEXEXTRACT($T456, O$1&amp;""[\w &amp;]*, (\d+\.\d+)""),"""")
"),"")</f>
        <v/>
      </c>
      <c r="P456" s="2"/>
      <c r="Q456" s="2"/>
      <c r="R456" s="2"/>
      <c r="S456" s="2"/>
      <c r="T456" s="5"/>
    </row>
    <row r="457" customFormat="false" ht="15.75" hidden="false" customHeight="false" outlineLevel="0" collapsed="false">
      <c r="A457" s="4"/>
      <c r="B457" s="2"/>
      <c r="C457" s="2"/>
      <c r="D457" s="2"/>
      <c r="E457" s="2"/>
      <c r="F457" s="3" t="str">
        <f aca="false">IFERROR(__xludf.dummyfunction("if($T457&lt;&gt;"""",REGEXEXTRACT(SUBSTITUTE ($T457,F$1&amp;"" CE"",""""), F$1&amp;""[\w &amp;]*, (\d+\.\d+)""),"""")
"),"")</f>
        <v/>
      </c>
      <c r="G457" s="3" t="str">
        <f aca="false">IFERROR(__xludf.dummyfunction("if($T457&lt;&gt;"""",REGEXEXTRACT($T457, G$1&amp;""[\w &amp;]*, (\d+\.\d+)""),"""")
"),"")</f>
        <v/>
      </c>
      <c r="H457" s="3"/>
      <c r="I457" s="3" t="str">
        <f aca="false">IFERROR(__xludf.dummyfunction("if($T457&lt;&gt;"""",REGEXEXTRACT(SUBSTITUTE ($T457,I$1&amp;"" CE"",""""), I$1&amp;""[\w &amp;]*, (\d+\.\d+)""),"""")
"),"")</f>
        <v/>
      </c>
      <c r="J457" s="3" t="str">
        <f aca="false">IFERROR(__xludf.dummyfunction("if($T457&lt;&gt;"""",REGEXEXTRACT($T457, J$1&amp;""[\w &amp;]*, (\d+\.\d+)""),"""")
"),"")</f>
        <v/>
      </c>
      <c r="K457" s="3"/>
      <c r="L457" s="3" t="str">
        <f aca="false">IFERROR(__xludf.dummyfunction("if($T457&lt;&gt;"""",REGEXEXTRACT(SUBSTITUTE ($T457,L$1&amp;"" CE"",""""), L$1&amp;""[\w &amp;]*, (\d+\.\d+)""),"""")
"),"")</f>
        <v/>
      </c>
      <c r="M457" s="3" t="str">
        <f aca="false">IFERROR(__xludf.dummyfunction("if($T457&lt;&gt;"""",REGEXEXTRACT($T457, M$1&amp;""[\w &amp;]*, (\d+\.\d+)""),"""")
"),"")</f>
        <v/>
      </c>
      <c r="N457" s="3" t="str">
        <f aca="false">IFERROR(__xludf.dummyfunction("if($T457&lt;&gt;"""",REGEXEXTRACT(SUBSTITUTE ($T457,N$1&amp;"" CE"",""""), N$1&amp;""[\w &amp;]*, (\d+\.\d+)""),"""")
"),"")</f>
        <v/>
      </c>
      <c r="O457" s="3" t="str">
        <f aca="false">IFERROR(__xludf.dummyfunction("if($T457&lt;&gt;"""",REGEXEXTRACT($T457, O$1&amp;""[\w &amp;]*, (\d+\.\d+)""),"""")
"),"")</f>
        <v/>
      </c>
      <c r="P457" s="2"/>
      <c r="Q457" s="2"/>
      <c r="R457" s="2"/>
      <c r="S457" s="2"/>
      <c r="T457" s="5"/>
    </row>
    <row r="458" customFormat="false" ht="15.75" hidden="false" customHeight="false" outlineLevel="0" collapsed="false">
      <c r="A458" s="4"/>
      <c r="B458" s="2"/>
      <c r="C458" s="2"/>
      <c r="D458" s="2"/>
      <c r="E458" s="2"/>
      <c r="F458" s="3" t="str">
        <f aca="false">IFERROR(__xludf.dummyfunction("if($T458&lt;&gt;"""",REGEXEXTRACT(SUBSTITUTE ($T458,F$1&amp;"" CE"",""""), F$1&amp;""[\w &amp;]*, (\d+\.\d+)""),"""")
"),"")</f>
        <v/>
      </c>
      <c r="G458" s="3" t="str">
        <f aca="false">IFERROR(__xludf.dummyfunction("if($T458&lt;&gt;"""",REGEXEXTRACT($T458, G$1&amp;""[\w &amp;]*, (\d+\.\d+)""),"""")
"),"")</f>
        <v/>
      </c>
      <c r="H458" s="3"/>
      <c r="I458" s="3" t="str">
        <f aca="false">IFERROR(__xludf.dummyfunction("if($T458&lt;&gt;"""",REGEXEXTRACT(SUBSTITUTE ($T458,I$1&amp;"" CE"",""""), I$1&amp;""[\w &amp;]*, (\d+\.\d+)""),"""")
"),"")</f>
        <v/>
      </c>
      <c r="J458" s="3" t="str">
        <f aca="false">IFERROR(__xludf.dummyfunction("if($T458&lt;&gt;"""",REGEXEXTRACT($T458, J$1&amp;""[\w &amp;]*, (\d+\.\d+)""),"""")
"),"")</f>
        <v/>
      </c>
      <c r="K458" s="3"/>
      <c r="L458" s="3" t="str">
        <f aca="false">IFERROR(__xludf.dummyfunction("if($T458&lt;&gt;"""",REGEXEXTRACT(SUBSTITUTE ($T458,L$1&amp;"" CE"",""""), L$1&amp;""[\w &amp;]*, (\d+\.\d+)""),"""")
"),"")</f>
        <v/>
      </c>
      <c r="M458" s="3" t="str">
        <f aca="false">IFERROR(__xludf.dummyfunction("if($T458&lt;&gt;"""",REGEXEXTRACT($T458, M$1&amp;""[\w &amp;]*, (\d+\.\d+)""),"""")
"),"")</f>
        <v/>
      </c>
      <c r="N458" s="3" t="str">
        <f aca="false">IFERROR(__xludf.dummyfunction("if($T458&lt;&gt;"""",REGEXEXTRACT(SUBSTITUTE ($T458,N$1&amp;"" CE"",""""), N$1&amp;""[\w &amp;]*, (\d+\.\d+)""),"""")
"),"")</f>
        <v/>
      </c>
      <c r="O458" s="3" t="str">
        <f aca="false">IFERROR(__xludf.dummyfunction("if($T458&lt;&gt;"""",REGEXEXTRACT($T458, O$1&amp;""[\w &amp;]*, (\d+\.\d+)""),"""")
"),"")</f>
        <v/>
      </c>
      <c r="P458" s="2"/>
      <c r="Q458" s="2"/>
      <c r="R458" s="2"/>
      <c r="S458" s="2"/>
      <c r="T458" s="5"/>
    </row>
    <row r="459" customFormat="false" ht="15.75" hidden="false" customHeight="false" outlineLevel="0" collapsed="false">
      <c r="A459" s="4"/>
      <c r="B459" s="2"/>
      <c r="C459" s="2"/>
      <c r="D459" s="2"/>
      <c r="E459" s="2"/>
      <c r="F459" s="3" t="str">
        <f aca="false">IFERROR(__xludf.dummyfunction("if($T459&lt;&gt;"""",REGEXEXTRACT(SUBSTITUTE ($T459,F$1&amp;"" CE"",""""), F$1&amp;""[\w &amp;]*, (\d+\.\d+)""),"""")
"),"")</f>
        <v/>
      </c>
      <c r="G459" s="3" t="str">
        <f aca="false">IFERROR(__xludf.dummyfunction("if($T459&lt;&gt;"""",REGEXEXTRACT($T459, G$1&amp;""[\w &amp;]*, (\d+\.\d+)""),"""")
"),"")</f>
        <v/>
      </c>
      <c r="H459" s="3"/>
      <c r="I459" s="3" t="str">
        <f aca="false">IFERROR(__xludf.dummyfunction("if($T459&lt;&gt;"""",REGEXEXTRACT(SUBSTITUTE ($T459,I$1&amp;"" CE"",""""), I$1&amp;""[\w &amp;]*, (\d+\.\d+)""),"""")
"),"")</f>
        <v/>
      </c>
      <c r="J459" s="3" t="str">
        <f aca="false">IFERROR(__xludf.dummyfunction("if($T459&lt;&gt;"""",REGEXEXTRACT($T459, J$1&amp;""[\w &amp;]*, (\d+\.\d+)""),"""")
"),"")</f>
        <v/>
      </c>
      <c r="K459" s="3"/>
      <c r="L459" s="3" t="str">
        <f aca="false">IFERROR(__xludf.dummyfunction("if($T459&lt;&gt;"""",REGEXEXTRACT(SUBSTITUTE ($T459,L$1&amp;"" CE"",""""), L$1&amp;""[\w &amp;]*, (\d+\.\d+)""),"""")
"),"")</f>
        <v/>
      </c>
      <c r="M459" s="3" t="str">
        <f aca="false">IFERROR(__xludf.dummyfunction("if($T459&lt;&gt;"""",REGEXEXTRACT($T459, M$1&amp;""[\w &amp;]*, (\d+\.\d+)""),"""")
"),"")</f>
        <v/>
      </c>
      <c r="N459" s="3" t="str">
        <f aca="false">IFERROR(__xludf.dummyfunction("if($T459&lt;&gt;"""",REGEXEXTRACT(SUBSTITUTE ($T459,N$1&amp;"" CE"",""""), N$1&amp;""[\w &amp;]*, (\d+\.\d+)""),"""")
"),"")</f>
        <v/>
      </c>
      <c r="O459" s="3" t="str">
        <f aca="false">IFERROR(__xludf.dummyfunction("if($T459&lt;&gt;"""",REGEXEXTRACT($T459, O$1&amp;""[\w &amp;]*, (\d+\.\d+)""),"""")
"),"")</f>
        <v/>
      </c>
      <c r="P459" s="2"/>
      <c r="Q459" s="2"/>
      <c r="R459" s="2"/>
      <c r="S459" s="2"/>
      <c r="T459" s="5"/>
    </row>
    <row r="460" customFormat="false" ht="15.75" hidden="false" customHeight="false" outlineLevel="0" collapsed="false">
      <c r="A460" s="4"/>
      <c r="B460" s="2"/>
      <c r="C460" s="2"/>
      <c r="D460" s="2"/>
      <c r="E460" s="2"/>
      <c r="F460" s="3" t="str">
        <f aca="false">IFERROR(__xludf.dummyfunction("if($T460&lt;&gt;"""",REGEXEXTRACT(SUBSTITUTE ($T460,F$1&amp;"" CE"",""""), F$1&amp;""[\w &amp;]*, (\d+\.\d+)""),"""")
"),"")</f>
        <v/>
      </c>
      <c r="G460" s="3" t="str">
        <f aca="false">IFERROR(__xludf.dummyfunction("if($T460&lt;&gt;"""",REGEXEXTRACT($T460, G$1&amp;""[\w &amp;]*, (\d+\.\d+)""),"""")
"),"")</f>
        <v/>
      </c>
      <c r="H460" s="3"/>
      <c r="I460" s="3" t="str">
        <f aca="false">IFERROR(__xludf.dummyfunction("if($T460&lt;&gt;"""",REGEXEXTRACT(SUBSTITUTE ($T460,I$1&amp;"" CE"",""""), I$1&amp;""[\w &amp;]*, (\d+\.\d+)""),"""")
"),"")</f>
        <v/>
      </c>
      <c r="J460" s="3" t="str">
        <f aca="false">IFERROR(__xludf.dummyfunction("if($T460&lt;&gt;"""",REGEXEXTRACT($T460, J$1&amp;""[\w &amp;]*, (\d+\.\d+)""),"""")
"),"")</f>
        <v/>
      </c>
      <c r="K460" s="3"/>
      <c r="L460" s="3" t="str">
        <f aca="false">IFERROR(__xludf.dummyfunction("if($T460&lt;&gt;"""",REGEXEXTRACT(SUBSTITUTE ($T460,L$1&amp;"" CE"",""""), L$1&amp;""[\w &amp;]*, (\d+\.\d+)""),"""")
"),"")</f>
        <v/>
      </c>
      <c r="M460" s="3" t="str">
        <f aca="false">IFERROR(__xludf.dummyfunction("if($T460&lt;&gt;"""",REGEXEXTRACT($T460, M$1&amp;""[\w &amp;]*, (\d+\.\d+)""),"""")
"),"")</f>
        <v/>
      </c>
      <c r="N460" s="3" t="str">
        <f aca="false">IFERROR(__xludf.dummyfunction("if($T460&lt;&gt;"""",REGEXEXTRACT(SUBSTITUTE ($T460,N$1&amp;"" CE"",""""), N$1&amp;""[\w &amp;]*, (\d+\.\d+)""),"""")
"),"")</f>
        <v/>
      </c>
      <c r="O460" s="3" t="str">
        <f aca="false">IFERROR(__xludf.dummyfunction("if($T460&lt;&gt;"""",REGEXEXTRACT($T460, O$1&amp;""[\w &amp;]*, (\d+\.\d+)""),"""")
"),"")</f>
        <v/>
      </c>
      <c r="P460" s="2"/>
      <c r="Q460" s="2"/>
      <c r="R460" s="2"/>
      <c r="S460" s="2"/>
      <c r="T460" s="5"/>
    </row>
    <row r="461" customFormat="false" ht="15.75" hidden="false" customHeight="false" outlineLevel="0" collapsed="false">
      <c r="A461" s="4"/>
      <c r="B461" s="2"/>
      <c r="C461" s="2"/>
      <c r="D461" s="2"/>
      <c r="E461" s="2"/>
      <c r="F461" s="3" t="str">
        <f aca="false">IFERROR(__xludf.dummyfunction("if($T461&lt;&gt;"""",REGEXEXTRACT(SUBSTITUTE ($T461,F$1&amp;"" CE"",""""), F$1&amp;""[\w &amp;]*, (\d+\.\d+)""),"""")
"),"")</f>
        <v/>
      </c>
      <c r="G461" s="3" t="str">
        <f aca="false">IFERROR(__xludf.dummyfunction("if($T461&lt;&gt;"""",REGEXEXTRACT($T461, G$1&amp;""[\w &amp;]*, (\d+\.\d+)""),"""")
"),"")</f>
        <v/>
      </c>
      <c r="H461" s="3"/>
      <c r="I461" s="3" t="str">
        <f aca="false">IFERROR(__xludf.dummyfunction("if($T461&lt;&gt;"""",REGEXEXTRACT(SUBSTITUTE ($T461,I$1&amp;"" CE"",""""), I$1&amp;""[\w &amp;]*, (\d+\.\d+)""),"""")
"),"")</f>
        <v/>
      </c>
      <c r="J461" s="3" t="str">
        <f aca="false">IFERROR(__xludf.dummyfunction("if($T461&lt;&gt;"""",REGEXEXTRACT($T461, J$1&amp;""[\w &amp;]*, (\d+\.\d+)""),"""")
"),"")</f>
        <v/>
      </c>
      <c r="K461" s="3"/>
      <c r="L461" s="3" t="str">
        <f aca="false">IFERROR(__xludf.dummyfunction("if($T461&lt;&gt;"""",REGEXEXTRACT(SUBSTITUTE ($T461,L$1&amp;"" CE"",""""), L$1&amp;""[\w &amp;]*, (\d+\.\d+)""),"""")
"),"")</f>
        <v/>
      </c>
      <c r="M461" s="3" t="str">
        <f aca="false">IFERROR(__xludf.dummyfunction("if($T461&lt;&gt;"""",REGEXEXTRACT($T461, M$1&amp;""[\w &amp;]*, (\d+\.\d+)""),"""")
"),"")</f>
        <v/>
      </c>
      <c r="N461" s="3" t="str">
        <f aca="false">IFERROR(__xludf.dummyfunction("if($T461&lt;&gt;"""",REGEXEXTRACT(SUBSTITUTE ($T461,N$1&amp;"" CE"",""""), N$1&amp;""[\w &amp;]*, (\d+\.\d+)""),"""")
"),"")</f>
        <v/>
      </c>
      <c r="O461" s="3" t="str">
        <f aca="false">IFERROR(__xludf.dummyfunction("if($T461&lt;&gt;"""",REGEXEXTRACT($T461, O$1&amp;""[\w &amp;]*, (\d+\.\d+)""),"""")
"),"")</f>
        <v/>
      </c>
      <c r="P461" s="2"/>
      <c r="Q461" s="2"/>
      <c r="R461" s="2"/>
      <c r="S461" s="2"/>
      <c r="T461" s="5"/>
    </row>
    <row r="462" customFormat="false" ht="15.75" hidden="false" customHeight="false" outlineLevel="0" collapsed="false">
      <c r="A462" s="4"/>
      <c r="B462" s="2"/>
      <c r="C462" s="2"/>
      <c r="D462" s="2"/>
      <c r="E462" s="2"/>
      <c r="F462" s="3" t="str">
        <f aca="false">IFERROR(__xludf.dummyfunction("if($T462&lt;&gt;"""",REGEXEXTRACT(SUBSTITUTE ($T462,F$1&amp;"" CE"",""""), F$1&amp;""[\w &amp;]*, (\d+\.\d+)""),"""")
"),"")</f>
        <v/>
      </c>
      <c r="G462" s="3" t="str">
        <f aca="false">IFERROR(__xludf.dummyfunction("if($T462&lt;&gt;"""",REGEXEXTRACT($T462, G$1&amp;""[\w &amp;]*, (\d+\.\d+)""),"""")
"),"")</f>
        <v/>
      </c>
      <c r="H462" s="3"/>
      <c r="I462" s="3" t="str">
        <f aca="false">IFERROR(__xludf.dummyfunction("if($T462&lt;&gt;"""",REGEXEXTRACT(SUBSTITUTE ($T462,I$1&amp;"" CE"",""""), I$1&amp;""[\w &amp;]*, (\d+\.\d+)""),"""")
"),"")</f>
        <v/>
      </c>
      <c r="J462" s="3" t="str">
        <f aca="false">IFERROR(__xludf.dummyfunction("if($T462&lt;&gt;"""",REGEXEXTRACT($T462, J$1&amp;""[\w &amp;]*, (\d+\.\d+)""),"""")
"),"")</f>
        <v/>
      </c>
      <c r="K462" s="3"/>
      <c r="L462" s="3" t="str">
        <f aca="false">IFERROR(__xludf.dummyfunction("if($T462&lt;&gt;"""",REGEXEXTRACT(SUBSTITUTE ($T462,L$1&amp;"" CE"",""""), L$1&amp;""[\w &amp;]*, (\d+\.\d+)""),"""")
"),"")</f>
        <v/>
      </c>
      <c r="M462" s="3" t="str">
        <f aca="false">IFERROR(__xludf.dummyfunction("if($T462&lt;&gt;"""",REGEXEXTRACT($T462, M$1&amp;""[\w &amp;]*, (\d+\.\d+)""),"""")
"),"")</f>
        <v/>
      </c>
      <c r="N462" s="3" t="str">
        <f aca="false">IFERROR(__xludf.dummyfunction("if($T462&lt;&gt;"""",REGEXEXTRACT(SUBSTITUTE ($T462,N$1&amp;"" CE"",""""), N$1&amp;""[\w &amp;]*, (\d+\.\d+)""),"""")
"),"")</f>
        <v/>
      </c>
      <c r="O462" s="3" t="str">
        <f aca="false">IFERROR(__xludf.dummyfunction("if($T462&lt;&gt;"""",REGEXEXTRACT($T462, O$1&amp;""[\w &amp;]*, (\d+\.\d+)""),"""")
"),"")</f>
        <v/>
      </c>
      <c r="P462" s="2"/>
      <c r="Q462" s="2"/>
      <c r="R462" s="2"/>
      <c r="S462" s="2"/>
      <c r="T462" s="5"/>
    </row>
    <row r="463" customFormat="false" ht="15.75" hidden="false" customHeight="false" outlineLevel="0" collapsed="false">
      <c r="A463" s="4"/>
      <c r="B463" s="2"/>
      <c r="C463" s="2"/>
      <c r="D463" s="2"/>
      <c r="E463" s="2"/>
      <c r="F463" s="3" t="str">
        <f aca="false">IFERROR(__xludf.dummyfunction("if($T463&lt;&gt;"""",REGEXEXTRACT(SUBSTITUTE ($T463,F$1&amp;"" CE"",""""), F$1&amp;""[\w &amp;]*, (\d+\.\d+)""),"""")
"),"")</f>
        <v/>
      </c>
      <c r="G463" s="3" t="str">
        <f aca="false">IFERROR(__xludf.dummyfunction("if($T463&lt;&gt;"""",REGEXEXTRACT($T463, G$1&amp;""[\w &amp;]*, (\d+\.\d+)""),"""")
"),"")</f>
        <v/>
      </c>
      <c r="H463" s="3"/>
      <c r="I463" s="3" t="str">
        <f aca="false">IFERROR(__xludf.dummyfunction("if($T463&lt;&gt;"""",REGEXEXTRACT(SUBSTITUTE ($T463,I$1&amp;"" CE"",""""), I$1&amp;""[\w &amp;]*, (\d+\.\d+)""),"""")
"),"")</f>
        <v/>
      </c>
      <c r="J463" s="3" t="str">
        <f aca="false">IFERROR(__xludf.dummyfunction("if($T463&lt;&gt;"""",REGEXEXTRACT($T463, J$1&amp;""[\w &amp;]*, (\d+\.\d+)""),"""")
"),"")</f>
        <v/>
      </c>
      <c r="K463" s="3"/>
      <c r="L463" s="3" t="str">
        <f aca="false">IFERROR(__xludf.dummyfunction("if($T463&lt;&gt;"""",REGEXEXTRACT(SUBSTITUTE ($T463,L$1&amp;"" CE"",""""), L$1&amp;""[\w &amp;]*, (\d+\.\d+)""),"""")
"),"")</f>
        <v/>
      </c>
      <c r="M463" s="3" t="str">
        <f aca="false">IFERROR(__xludf.dummyfunction("if($T463&lt;&gt;"""",REGEXEXTRACT($T463, M$1&amp;""[\w &amp;]*, (\d+\.\d+)""),"""")
"),"")</f>
        <v/>
      </c>
      <c r="N463" s="3" t="str">
        <f aca="false">IFERROR(__xludf.dummyfunction("if($T463&lt;&gt;"""",REGEXEXTRACT(SUBSTITUTE ($T463,N$1&amp;"" CE"",""""), N$1&amp;""[\w &amp;]*, (\d+\.\d+)""),"""")
"),"")</f>
        <v/>
      </c>
      <c r="O463" s="3" t="str">
        <f aca="false">IFERROR(__xludf.dummyfunction("if($T463&lt;&gt;"""",REGEXEXTRACT($T463, O$1&amp;""[\w &amp;]*, (\d+\.\d+)""),"""")
"),"")</f>
        <v/>
      </c>
      <c r="P463" s="2"/>
      <c r="Q463" s="2"/>
      <c r="R463" s="2"/>
      <c r="S463" s="2"/>
      <c r="T463" s="5"/>
    </row>
    <row r="464" customFormat="false" ht="15.75" hidden="false" customHeight="false" outlineLevel="0" collapsed="false">
      <c r="A464" s="4"/>
      <c r="B464" s="2"/>
      <c r="C464" s="2"/>
      <c r="D464" s="2"/>
      <c r="E464" s="2"/>
      <c r="F464" s="3" t="str">
        <f aca="false">IFERROR(__xludf.dummyfunction("if($T464&lt;&gt;"""",REGEXEXTRACT(SUBSTITUTE ($T464,F$1&amp;"" CE"",""""), F$1&amp;""[\w &amp;]*, (\d+\.\d+)""),"""")
"),"")</f>
        <v/>
      </c>
      <c r="G464" s="3" t="str">
        <f aca="false">IFERROR(__xludf.dummyfunction("if($T464&lt;&gt;"""",REGEXEXTRACT($T464, G$1&amp;""[\w &amp;]*, (\d+\.\d+)""),"""")
"),"")</f>
        <v/>
      </c>
      <c r="H464" s="3"/>
      <c r="I464" s="3" t="str">
        <f aca="false">IFERROR(__xludf.dummyfunction("if($T464&lt;&gt;"""",REGEXEXTRACT(SUBSTITUTE ($T464,I$1&amp;"" CE"",""""), I$1&amp;""[\w &amp;]*, (\d+\.\d+)""),"""")
"),"")</f>
        <v/>
      </c>
      <c r="J464" s="3" t="str">
        <f aca="false">IFERROR(__xludf.dummyfunction("if($T464&lt;&gt;"""",REGEXEXTRACT($T464, J$1&amp;""[\w &amp;]*, (\d+\.\d+)""),"""")
"),"")</f>
        <v/>
      </c>
      <c r="K464" s="3"/>
      <c r="L464" s="3" t="str">
        <f aca="false">IFERROR(__xludf.dummyfunction("if($T464&lt;&gt;"""",REGEXEXTRACT(SUBSTITUTE ($T464,L$1&amp;"" CE"",""""), L$1&amp;""[\w &amp;]*, (\d+\.\d+)""),"""")
"),"")</f>
        <v/>
      </c>
      <c r="M464" s="3" t="str">
        <f aca="false">IFERROR(__xludf.dummyfunction("if($T464&lt;&gt;"""",REGEXEXTRACT($T464, M$1&amp;""[\w &amp;]*, (\d+\.\d+)""),"""")
"),"")</f>
        <v/>
      </c>
      <c r="N464" s="3" t="str">
        <f aca="false">IFERROR(__xludf.dummyfunction("if($T464&lt;&gt;"""",REGEXEXTRACT(SUBSTITUTE ($T464,N$1&amp;"" CE"",""""), N$1&amp;""[\w &amp;]*, (\d+\.\d+)""),"""")
"),"")</f>
        <v/>
      </c>
      <c r="O464" s="3" t="str">
        <f aca="false">IFERROR(__xludf.dummyfunction("if($T464&lt;&gt;"""",REGEXEXTRACT($T464, O$1&amp;""[\w &amp;]*, (\d+\.\d+)""),"""")
"),"")</f>
        <v/>
      </c>
      <c r="P464" s="2"/>
      <c r="Q464" s="2"/>
      <c r="R464" s="2"/>
      <c r="S464" s="2"/>
      <c r="T464" s="5"/>
    </row>
    <row r="465" customFormat="false" ht="15.75" hidden="false" customHeight="false" outlineLevel="0" collapsed="false">
      <c r="A465" s="4"/>
      <c r="B465" s="2"/>
      <c r="C465" s="2"/>
      <c r="D465" s="2"/>
      <c r="E465" s="2"/>
      <c r="F465" s="3" t="str">
        <f aca="false">IFERROR(__xludf.dummyfunction("if($T465&lt;&gt;"""",REGEXEXTRACT(SUBSTITUTE ($T465,F$1&amp;"" CE"",""""), F$1&amp;""[\w &amp;]*, (\d+\.\d+)""),"""")
"),"")</f>
        <v/>
      </c>
      <c r="G465" s="3" t="str">
        <f aca="false">IFERROR(__xludf.dummyfunction("if($T465&lt;&gt;"""",REGEXEXTRACT($T465, G$1&amp;""[\w &amp;]*, (\d+\.\d+)""),"""")
"),"")</f>
        <v/>
      </c>
      <c r="H465" s="3"/>
      <c r="I465" s="3" t="str">
        <f aca="false">IFERROR(__xludf.dummyfunction("if($T465&lt;&gt;"""",REGEXEXTRACT(SUBSTITUTE ($T465,I$1&amp;"" CE"",""""), I$1&amp;""[\w &amp;]*, (\d+\.\d+)""),"""")
"),"")</f>
        <v/>
      </c>
      <c r="J465" s="3" t="str">
        <f aca="false">IFERROR(__xludf.dummyfunction("if($T465&lt;&gt;"""",REGEXEXTRACT($T465, J$1&amp;""[\w &amp;]*, (\d+\.\d+)""),"""")
"),"")</f>
        <v/>
      </c>
      <c r="K465" s="3"/>
      <c r="L465" s="3" t="str">
        <f aca="false">IFERROR(__xludf.dummyfunction("if($T465&lt;&gt;"""",REGEXEXTRACT(SUBSTITUTE ($T465,L$1&amp;"" CE"",""""), L$1&amp;""[\w &amp;]*, (\d+\.\d+)""),"""")
"),"")</f>
        <v/>
      </c>
      <c r="M465" s="3" t="str">
        <f aca="false">IFERROR(__xludf.dummyfunction("if($T465&lt;&gt;"""",REGEXEXTRACT($T465, M$1&amp;""[\w &amp;]*, (\d+\.\d+)""),"""")
"),"")</f>
        <v/>
      </c>
      <c r="N465" s="3" t="str">
        <f aca="false">IFERROR(__xludf.dummyfunction("if($T465&lt;&gt;"""",REGEXEXTRACT(SUBSTITUTE ($T465,N$1&amp;"" CE"",""""), N$1&amp;""[\w &amp;]*, (\d+\.\d+)""),"""")
"),"")</f>
        <v/>
      </c>
      <c r="O465" s="3" t="str">
        <f aca="false">IFERROR(__xludf.dummyfunction("if($T465&lt;&gt;"""",REGEXEXTRACT($T465, O$1&amp;""[\w &amp;]*, (\d+\.\d+)""),"""")
"),"")</f>
        <v/>
      </c>
      <c r="P465" s="2"/>
      <c r="Q465" s="2"/>
      <c r="R465" s="2"/>
      <c r="S465" s="2"/>
      <c r="T465" s="5"/>
    </row>
    <row r="466" customFormat="false" ht="15.75" hidden="false" customHeight="false" outlineLevel="0" collapsed="false">
      <c r="A466" s="4"/>
      <c r="B466" s="2"/>
      <c r="C466" s="2"/>
      <c r="D466" s="2"/>
      <c r="E466" s="2"/>
      <c r="F466" s="3" t="str">
        <f aca="false">IFERROR(__xludf.dummyfunction("if($T466&lt;&gt;"""",REGEXEXTRACT(SUBSTITUTE ($T466,F$1&amp;"" CE"",""""), F$1&amp;""[\w &amp;]*, (\d+\.\d+)""),"""")
"),"")</f>
        <v/>
      </c>
      <c r="G466" s="3" t="str">
        <f aca="false">IFERROR(__xludf.dummyfunction("if($T466&lt;&gt;"""",REGEXEXTRACT($T466, G$1&amp;""[\w &amp;]*, (\d+\.\d+)""),"""")
"),"")</f>
        <v/>
      </c>
      <c r="H466" s="3"/>
      <c r="I466" s="3" t="str">
        <f aca="false">IFERROR(__xludf.dummyfunction("if($T466&lt;&gt;"""",REGEXEXTRACT(SUBSTITUTE ($T466,I$1&amp;"" CE"",""""), I$1&amp;""[\w &amp;]*, (\d+\.\d+)""),"""")
"),"")</f>
        <v/>
      </c>
      <c r="J466" s="3" t="str">
        <f aca="false">IFERROR(__xludf.dummyfunction("if($T466&lt;&gt;"""",REGEXEXTRACT($T466, J$1&amp;""[\w &amp;]*, (\d+\.\d+)""),"""")
"),"")</f>
        <v/>
      </c>
      <c r="K466" s="3"/>
      <c r="L466" s="3" t="str">
        <f aca="false">IFERROR(__xludf.dummyfunction("if($T466&lt;&gt;"""",REGEXEXTRACT(SUBSTITUTE ($T466,L$1&amp;"" CE"",""""), L$1&amp;""[\w &amp;]*, (\d+\.\d+)""),"""")
"),"")</f>
        <v/>
      </c>
      <c r="M466" s="3" t="str">
        <f aca="false">IFERROR(__xludf.dummyfunction("if($T466&lt;&gt;"""",REGEXEXTRACT($T466, M$1&amp;""[\w &amp;]*, (\d+\.\d+)""),"""")
"),"")</f>
        <v/>
      </c>
      <c r="N466" s="3" t="str">
        <f aca="false">IFERROR(__xludf.dummyfunction("if($T466&lt;&gt;"""",REGEXEXTRACT(SUBSTITUTE ($T466,N$1&amp;"" CE"",""""), N$1&amp;""[\w &amp;]*, (\d+\.\d+)""),"""")
"),"")</f>
        <v/>
      </c>
      <c r="O466" s="3" t="str">
        <f aca="false">IFERROR(__xludf.dummyfunction("if($T466&lt;&gt;"""",REGEXEXTRACT($T466, O$1&amp;""[\w &amp;]*, (\d+\.\d+)""),"""")
"),"")</f>
        <v/>
      </c>
      <c r="P466" s="2"/>
      <c r="Q466" s="2"/>
      <c r="R466" s="2"/>
      <c r="S466" s="2"/>
      <c r="T466" s="5"/>
    </row>
    <row r="467" customFormat="false" ht="15.75" hidden="false" customHeight="false" outlineLevel="0" collapsed="false">
      <c r="A467" s="4"/>
      <c r="B467" s="2"/>
      <c r="C467" s="2"/>
      <c r="D467" s="2"/>
      <c r="E467" s="2"/>
      <c r="F467" s="3" t="str">
        <f aca="false">IFERROR(__xludf.dummyfunction("if($T467&lt;&gt;"""",REGEXEXTRACT(SUBSTITUTE ($T467,F$1&amp;"" CE"",""""), F$1&amp;""[\w &amp;]*, (\d+\.\d+)""),"""")
"),"")</f>
        <v/>
      </c>
      <c r="G467" s="3" t="str">
        <f aca="false">IFERROR(__xludf.dummyfunction("if($T467&lt;&gt;"""",REGEXEXTRACT($T467, G$1&amp;""[\w &amp;]*, (\d+\.\d+)""),"""")
"),"")</f>
        <v/>
      </c>
      <c r="H467" s="3"/>
      <c r="I467" s="3" t="str">
        <f aca="false">IFERROR(__xludf.dummyfunction("if($T467&lt;&gt;"""",REGEXEXTRACT(SUBSTITUTE ($T467,I$1&amp;"" CE"",""""), I$1&amp;""[\w &amp;]*, (\d+\.\d+)""),"""")
"),"")</f>
        <v/>
      </c>
      <c r="J467" s="3" t="str">
        <f aca="false">IFERROR(__xludf.dummyfunction("if($T467&lt;&gt;"""",REGEXEXTRACT($T467, J$1&amp;""[\w &amp;]*, (\d+\.\d+)""),"""")
"),"")</f>
        <v/>
      </c>
      <c r="K467" s="3"/>
      <c r="L467" s="3" t="str">
        <f aca="false">IFERROR(__xludf.dummyfunction("if($T467&lt;&gt;"""",REGEXEXTRACT(SUBSTITUTE ($T467,L$1&amp;"" CE"",""""), L$1&amp;""[\w &amp;]*, (\d+\.\d+)""),"""")
"),"")</f>
        <v/>
      </c>
      <c r="M467" s="3" t="str">
        <f aca="false">IFERROR(__xludf.dummyfunction("if($T467&lt;&gt;"""",REGEXEXTRACT($T467, M$1&amp;""[\w &amp;]*, (\d+\.\d+)""),"""")
"),"")</f>
        <v/>
      </c>
      <c r="N467" s="3" t="str">
        <f aca="false">IFERROR(__xludf.dummyfunction("if($T467&lt;&gt;"""",REGEXEXTRACT(SUBSTITUTE ($T467,N$1&amp;"" CE"",""""), N$1&amp;""[\w &amp;]*, (\d+\.\d+)""),"""")
"),"")</f>
        <v/>
      </c>
      <c r="O467" s="3" t="str">
        <f aca="false">IFERROR(__xludf.dummyfunction("if($T467&lt;&gt;"""",REGEXEXTRACT($T467, O$1&amp;""[\w &amp;]*, (\d+\.\d+)""),"""")
"),"")</f>
        <v/>
      </c>
      <c r="P467" s="2"/>
      <c r="Q467" s="2"/>
      <c r="R467" s="2"/>
      <c r="S467" s="2"/>
      <c r="T467" s="5"/>
    </row>
    <row r="468" customFormat="false" ht="15.75" hidden="false" customHeight="false" outlineLevel="0" collapsed="false">
      <c r="A468" s="4"/>
      <c r="B468" s="2"/>
      <c r="C468" s="2"/>
      <c r="D468" s="2"/>
      <c r="E468" s="2"/>
      <c r="F468" s="3" t="str">
        <f aca="false">IFERROR(__xludf.dummyfunction("if($T468&lt;&gt;"""",REGEXEXTRACT(SUBSTITUTE ($T468,F$1&amp;"" CE"",""""), F$1&amp;""[\w &amp;]*, (\d+\.\d+)""),"""")
"),"")</f>
        <v/>
      </c>
      <c r="G468" s="3" t="str">
        <f aca="false">IFERROR(__xludf.dummyfunction("if($T468&lt;&gt;"""",REGEXEXTRACT($T468, G$1&amp;""[\w &amp;]*, (\d+\.\d+)""),"""")
"),"")</f>
        <v/>
      </c>
      <c r="H468" s="3"/>
      <c r="I468" s="3" t="str">
        <f aca="false">IFERROR(__xludf.dummyfunction("if($T468&lt;&gt;"""",REGEXEXTRACT(SUBSTITUTE ($T468,I$1&amp;"" CE"",""""), I$1&amp;""[\w &amp;]*, (\d+\.\d+)""),"""")
"),"")</f>
        <v/>
      </c>
      <c r="J468" s="3" t="str">
        <f aca="false">IFERROR(__xludf.dummyfunction("if($T468&lt;&gt;"""",REGEXEXTRACT($T468, J$1&amp;""[\w &amp;]*, (\d+\.\d+)""),"""")
"),"")</f>
        <v/>
      </c>
      <c r="K468" s="3"/>
      <c r="L468" s="3" t="str">
        <f aca="false">IFERROR(__xludf.dummyfunction("if($T468&lt;&gt;"""",REGEXEXTRACT(SUBSTITUTE ($T468,L$1&amp;"" CE"",""""), L$1&amp;""[\w &amp;]*, (\d+\.\d+)""),"""")
"),"")</f>
        <v/>
      </c>
      <c r="M468" s="3" t="str">
        <f aca="false">IFERROR(__xludf.dummyfunction("if($T468&lt;&gt;"""",REGEXEXTRACT($T468, M$1&amp;""[\w &amp;]*, (\d+\.\d+)""),"""")
"),"")</f>
        <v/>
      </c>
      <c r="N468" s="3" t="str">
        <f aca="false">IFERROR(__xludf.dummyfunction("if($T468&lt;&gt;"""",REGEXEXTRACT(SUBSTITUTE ($T468,N$1&amp;"" CE"",""""), N$1&amp;""[\w &amp;]*, (\d+\.\d+)""),"""")
"),"")</f>
        <v/>
      </c>
      <c r="O468" s="3" t="str">
        <f aca="false">IFERROR(__xludf.dummyfunction("if($T468&lt;&gt;"""",REGEXEXTRACT($T468, O$1&amp;""[\w &amp;]*, (\d+\.\d+)""),"""")
"),"")</f>
        <v/>
      </c>
      <c r="P468" s="2"/>
      <c r="Q468" s="2"/>
      <c r="R468" s="2"/>
      <c r="S468" s="2"/>
      <c r="T468" s="5"/>
    </row>
    <row r="469" customFormat="false" ht="15.75" hidden="false" customHeight="false" outlineLevel="0" collapsed="false">
      <c r="A469" s="4"/>
      <c r="B469" s="2"/>
      <c r="C469" s="2"/>
      <c r="D469" s="2"/>
      <c r="E469" s="2"/>
      <c r="F469" s="3" t="str">
        <f aca="false">IFERROR(__xludf.dummyfunction("if($T469&lt;&gt;"""",REGEXEXTRACT(SUBSTITUTE ($T469,F$1&amp;"" CE"",""""), F$1&amp;""[\w &amp;]*, (\d+\.\d+)""),"""")
"),"")</f>
        <v/>
      </c>
      <c r="G469" s="3" t="str">
        <f aca="false">IFERROR(__xludf.dummyfunction("if($T469&lt;&gt;"""",REGEXEXTRACT($T469, G$1&amp;""[\w &amp;]*, (\d+\.\d+)""),"""")
"),"")</f>
        <v/>
      </c>
      <c r="H469" s="3"/>
      <c r="I469" s="3" t="str">
        <f aca="false">IFERROR(__xludf.dummyfunction("if($T469&lt;&gt;"""",REGEXEXTRACT(SUBSTITUTE ($T469,I$1&amp;"" CE"",""""), I$1&amp;""[\w &amp;]*, (\d+\.\d+)""),"""")
"),"")</f>
        <v/>
      </c>
      <c r="J469" s="3" t="str">
        <f aca="false">IFERROR(__xludf.dummyfunction("if($T469&lt;&gt;"""",REGEXEXTRACT($T469, J$1&amp;""[\w &amp;]*, (\d+\.\d+)""),"""")
"),"")</f>
        <v/>
      </c>
      <c r="K469" s="3"/>
      <c r="L469" s="3" t="str">
        <f aca="false">IFERROR(__xludf.dummyfunction("if($T469&lt;&gt;"""",REGEXEXTRACT(SUBSTITUTE ($T469,L$1&amp;"" CE"",""""), L$1&amp;""[\w &amp;]*, (\d+\.\d+)""),"""")
"),"")</f>
        <v/>
      </c>
      <c r="M469" s="3" t="str">
        <f aca="false">IFERROR(__xludf.dummyfunction("if($T469&lt;&gt;"""",REGEXEXTRACT($T469, M$1&amp;""[\w &amp;]*, (\d+\.\d+)""),"""")
"),"")</f>
        <v/>
      </c>
      <c r="N469" s="3" t="str">
        <f aca="false">IFERROR(__xludf.dummyfunction("if($T469&lt;&gt;"""",REGEXEXTRACT(SUBSTITUTE ($T469,N$1&amp;"" CE"",""""), N$1&amp;""[\w &amp;]*, (\d+\.\d+)""),"""")
"),"")</f>
        <v/>
      </c>
      <c r="O469" s="3" t="str">
        <f aca="false">IFERROR(__xludf.dummyfunction("if($T469&lt;&gt;"""",REGEXEXTRACT($T469, O$1&amp;""[\w &amp;]*, (\d+\.\d+)""),"""")
"),"")</f>
        <v/>
      </c>
      <c r="P469" s="2"/>
      <c r="Q469" s="2"/>
      <c r="R469" s="2"/>
      <c r="S469" s="2"/>
      <c r="T469" s="5"/>
    </row>
    <row r="470" customFormat="false" ht="15.75" hidden="false" customHeight="false" outlineLevel="0" collapsed="false">
      <c r="A470" s="4"/>
      <c r="B470" s="2"/>
      <c r="C470" s="2"/>
      <c r="D470" s="2"/>
      <c r="E470" s="2"/>
      <c r="F470" s="3" t="str">
        <f aca="false">IFERROR(__xludf.dummyfunction("if($T470&lt;&gt;"""",REGEXEXTRACT(SUBSTITUTE ($T470,F$1&amp;"" CE"",""""), F$1&amp;""[\w &amp;]*, (\d+\.\d+)""),"""")
"),"")</f>
        <v/>
      </c>
      <c r="G470" s="3" t="str">
        <f aca="false">IFERROR(__xludf.dummyfunction("if($T470&lt;&gt;"""",REGEXEXTRACT($T470, G$1&amp;""[\w &amp;]*, (\d+\.\d+)""),"""")
"),"")</f>
        <v/>
      </c>
      <c r="H470" s="3"/>
      <c r="I470" s="3" t="str">
        <f aca="false">IFERROR(__xludf.dummyfunction("if($T470&lt;&gt;"""",REGEXEXTRACT(SUBSTITUTE ($T470,I$1&amp;"" CE"",""""), I$1&amp;""[\w &amp;]*, (\d+\.\d+)""),"""")
"),"")</f>
        <v/>
      </c>
      <c r="J470" s="3" t="str">
        <f aca="false">IFERROR(__xludf.dummyfunction("if($T470&lt;&gt;"""",REGEXEXTRACT($T470, J$1&amp;""[\w &amp;]*, (\d+\.\d+)""),"""")
"),"")</f>
        <v/>
      </c>
      <c r="K470" s="3"/>
      <c r="L470" s="3" t="str">
        <f aca="false">IFERROR(__xludf.dummyfunction("if($T470&lt;&gt;"""",REGEXEXTRACT(SUBSTITUTE ($T470,L$1&amp;"" CE"",""""), L$1&amp;""[\w &amp;]*, (\d+\.\d+)""),"""")
"),"")</f>
        <v/>
      </c>
      <c r="M470" s="3" t="str">
        <f aca="false">IFERROR(__xludf.dummyfunction("if($T470&lt;&gt;"""",REGEXEXTRACT($T470, M$1&amp;""[\w &amp;]*, (\d+\.\d+)""),"""")
"),"")</f>
        <v/>
      </c>
      <c r="N470" s="3" t="str">
        <f aca="false">IFERROR(__xludf.dummyfunction("if($T470&lt;&gt;"""",REGEXEXTRACT(SUBSTITUTE ($T470,N$1&amp;"" CE"",""""), N$1&amp;""[\w &amp;]*, (\d+\.\d+)""),"""")
"),"")</f>
        <v/>
      </c>
      <c r="O470" s="3" t="str">
        <f aca="false">IFERROR(__xludf.dummyfunction("if($T470&lt;&gt;"""",REGEXEXTRACT($T470, O$1&amp;""[\w &amp;]*, (\d+\.\d+)""),"""")
"),"")</f>
        <v/>
      </c>
      <c r="P470" s="2"/>
      <c r="Q470" s="2"/>
      <c r="R470" s="2"/>
      <c r="S470" s="2"/>
      <c r="T470" s="5"/>
    </row>
    <row r="471" customFormat="false" ht="15.75" hidden="false" customHeight="false" outlineLevel="0" collapsed="false">
      <c r="A471" s="4"/>
      <c r="B471" s="2"/>
      <c r="C471" s="2"/>
      <c r="D471" s="2"/>
      <c r="E471" s="2"/>
      <c r="F471" s="3" t="str">
        <f aca="false">IFERROR(__xludf.dummyfunction("if($T471&lt;&gt;"""",REGEXEXTRACT(SUBSTITUTE ($T471,F$1&amp;"" CE"",""""), F$1&amp;""[\w &amp;]*, (\d+\.\d+)""),"""")
"),"")</f>
        <v/>
      </c>
      <c r="G471" s="3" t="str">
        <f aca="false">IFERROR(__xludf.dummyfunction("if($T471&lt;&gt;"""",REGEXEXTRACT($T471, G$1&amp;""[\w &amp;]*, (\d+\.\d+)""),"""")
"),"")</f>
        <v/>
      </c>
      <c r="H471" s="3"/>
      <c r="I471" s="3" t="str">
        <f aca="false">IFERROR(__xludf.dummyfunction("if($T471&lt;&gt;"""",REGEXEXTRACT(SUBSTITUTE ($T471,I$1&amp;"" CE"",""""), I$1&amp;""[\w &amp;]*, (\d+\.\d+)""),"""")
"),"")</f>
        <v/>
      </c>
      <c r="J471" s="3" t="str">
        <f aca="false">IFERROR(__xludf.dummyfunction("if($T471&lt;&gt;"""",REGEXEXTRACT($T471, J$1&amp;""[\w &amp;]*, (\d+\.\d+)""),"""")
"),"")</f>
        <v/>
      </c>
      <c r="K471" s="3"/>
      <c r="L471" s="3" t="str">
        <f aca="false">IFERROR(__xludf.dummyfunction("if($T471&lt;&gt;"""",REGEXEXTRACT(SUBSTITUTE ($T471,L$1&amp;"" CE"",""""), L$1&amp;""[\w &amp;]*, (\d+\.\d+)""),"""")
"),"")</f>
        <v/>
      </c>
      <c r="M471" s="3" t="str">
        <f aca="false">IFERROR(__xludf.dummyfunction("if($T471&lt;&gt;"""",REGEXEXTRACT($T471, M$1&amp;""[\w &amp;]*, (\d+\.\d+)""),"""")
"),"")</f>
        <v/>
      </c>
      <c r="N471" s="3" t="str">
        <f aca="false">IFERROR(__xludf.dummyfunction("if($T471&lt;&gt;"""",REGEXEXTRACT(SUBSTITUTE ($T471,N$1&amp;"" CE"",""""), N$1&amp;""[\w &amp;]*, (\d+\.\d+)""),"""")
"),"")</f>
        <v/>
      </c>
      <c r="O471" s="3" t="str">
        <f aca="false">IFERROR(__xludf.dummyfunction("if($T471&lt;&gt;"""",REGEXEXTRACT($T471, O$1&amp;""[\w &amp;]*, (\d+\.\d+)""),"""")
"),"")</f>
        <v/>
      </c>
      <c r="P471" s="2"/>
      <c r="Q471" s="2"/>
      <c r="R471" s="2"/>
      <c r="S471" s="2"/>
      <c r="T471" s="5"/>
    </row>
    <row r="472" customFormat="false" ht="15.75" hidden="false" customHeight="false" outlineLevel="0" collapsed="false">
      <c r="A472" s="4"/>
      <c r="B472" s="2"/>
      <c r="C472" s="2"/>
      <c r="D472" s="2"/>
      <c r="E472" s="2"/>
      <c r="F472" s="3" t="str">
        <f aca="false">IFERROR(__xludf.dummyfunction("if($T472&lt;&gt;"""",REGEXEXTRACT(SUBSTITUTE ($T472,F$1&amp;"" CE"",""""), F$1&amp;""[\w &amp;]*, (\d+\.\d+)""),"""")
"),"")</f>
        <v/>
      </c>
      <c r="G472" s="3" t="str">
        <f aca="false">IFERROR(__xludf.dummyfunction("if($T472&lt;&gt;"""",REGEXEXTRACT($T472, G$1&amp;""[\w &amp;]*, (\d+\.\d+)""),"""")
"),"")</f>
        <v/>
      </c>
      <c r="H472" s="3"/>
      <c r="I472" s="3" t="str">
        <f aca="false">IFERROR(__xludf.dummyfunction("if($T472&lt;&gt;"""",REGEXEXTRACT(SUBSTITUTE ($T472,I$1&amp;"" CE"",""""), I$1&amp;""[\w &amp;]*, (\d+\.\d+)""),"""")
"),"")</f>
        <v/>
      </c>
      <c r="J472" s="3" t="str">
        <f aca="false">IFERROR(__xludf.dummyfunction("if($T472&lt;&gt;"""",REGEXEXTRACT($T472, J$1&amp;""[\w &amp;]*, (\d+\.\d+)""),"""")
"),"")</f>
        <v/>
      </c>
      <c r="K472" s="3"/>
      <c r="L472" s="3" t="str">
        <f aca="false">IFERROR(__xludf.dummyfunction("if($T472&lt;&gt;"""",REGEXEXTRACT(SUBSTITUTE ($T472,L$1&amp;"" CE"",""""), L$1&amp;""[\w &amp;]*, (\d+\.\d+)""),"""")
"),"")</f>
        <v/>
      </c>
      <c r="M472" s="3" t="str">
        <f aca="false">IFERROR(__xludf.dummyfunction("if($T472&lt;&gt;"""",REGEXEXTRACT($T472, M$1&amp;""[\w &amp;]*, (\d+\.\d+)""),"""")
"),"")</f>
        <v/>
      </c>
      <c r="N472" s="3" t="str">
        <f aca="false">IFERROR(__xludf.dummyfunction("if($T472&lt;&gt;"""",REGEXEXTRACT(SUBSTITUTE ($T472,N$1&amp;"" CE"",""""), N$1&amp;""[\w &amp;]*, (\d+\.\d+)""),"""")
"),"")</f>
        <v/>
      </c>
      <c r="O472" s="3" t="str">
        <f aca="false">IFERROR(__xludf.dummyfunction("if($T472&lt;&gt;"""",REGEXEXTRACT($T472, O$1&amp;""[\w &amp;]*, (\d+\.\d+)""),"""")
"),"")</f>
        <v/>
      </c>
      <c r="P472" s="2"/>
      <c r="Q472" s="2"/>
      <c r="R472" s="2"/>
      <c r="S472" s="2"/>
      <c r="T472" s="5"/>
    </row>
    <row r="473" customFormat="false" ht="15.75" hidden="false" customHeight="false" outlineLevel="0" collapsed="false">
      <c r="A473" s="4"/>
      <c r="B473" s="2"/>
      <c r="C473" s="2"/>
      <c r="D473" s="2"/>
      <c r="E473" s="2"/>
      <c r="F473" s="3" t="str">
        <f aca="false">IFERROR(__xludf.dummyfunction("if($T473&lt;&gt;"""",REGEXEXTRACT(SUBSTITUTE ($T473,F$1&amp;"" CE"",""""), F$1&amp;""[\w &amp;]*, (\d+\.\d+)""),"""")
"),"")</f>
        <v/>
      </c>
      <c r="G473" s="3" t="str">
        <f aca="false">IFERROR(__xludf.dummyfunction("if($T473&lt;&gt;"""",REGEXEXTRACT($T473, G$1&amp;""[\w &amp;]*, (\d+\.\d+)""),"""")
"),"")</f>
        <v/>
      </c>
      <c r="H473" s="3"/>
      <c r="I473" s="3" t="str">
        <f aca="false">IFERROR(__xludf.dummyfunction("if($T473&lt;&gt;"""",REGEXEXTRACT(SUBSTITUTE ($T473,I$1&amp;"" CE"",""""), I$1&amp;""[\w &amp;]*, (\d+\.\d+)""),"""")
"),"")</f>
        <v/>
      </c>
      <c r="J473" s="3" t="str">
        <f aca="false">IFERROR(__xludf.dummyfunction("if($T473&lt;&gt;"""",REGEXEXTRACT($T473, J$1&amp;""[\w &amp;]*, (\d+\.\d+)""),"""")
"),"")</f>
        <v/>
      </c>
      <c r="K473" s="3"/>
      <c r="L473" s="3" t="str">
        <f aca="false">IFERROR(__xludf.dummyfunction("if($T473&lt;&gt;"""",REGEXEXTRACT(SUBSTITUTE ($T473,L$1&amp;"" CE"",""""), L$1&amp;""[\w &amp;]*, (\d+\.\d+)""),"""")
"),"")</f>
        <v/>
      </c>
      <c r="M473" s="3" t="str">
        <f aca="false">IFERROR(__xludf.dummyfunction("if($T473&lt;&gt;"""",REGEXEXTRACT($T473, M$1&amp;""[\w &amp;]*, (\d+\.\d+)""),"""")
"),"")</f>
        <v/>
      </c>
      <c r="N473" s="3" t="str">
        <f aca="false">IFERROR(__xludf.dummyfunction("if($T473&lt;&gt;"""",REGEXEXTRACT(SUBSTITUTE ($T473,N$1&amp;"" CE"",""""), N$1&amp;""[\w &amp;]*, (\d+\.\d+)""),"""")
"),"")</f>
        <v/>
      </c>
      <c r="O473" s="3" t="str">
        <f aca="false">IFERROR(__xludf.dummyfunction("if($T473&lt;&gt;"""",REGEXEXTRACT($T473, O$1&amp;""[\w &amp;]*, (\d+\.\d+)""),"""")
"),"")</f>
        <v/>
      </c>
      <c r="P473" s="2"/>
      <c r="Q473" s="2"/>
      <c r="R473" s="2"/>
      <c r="S473" s="2"/>
      <c r="T473" s="5"/>
    </row>
    <row r="474" customFormat="false" ht="15.75" hidden="false" customHeight="false" outlineLevel="0" collapsed="false">
      <c r="A474" s="4"/>
      <c r="B474" s="2"/>
      <c r="C474" s="2"/>
      <c r="D474" s="2"/>
      <c r="E474" s="2"/>
      <c r="F474" s="3" t="str">
        <f aca="false">IFERROR(__xludf.dummyfunction("if($T474&lt;&gt;"""",REGEXEXTRACT(SUBSTITUTE ($T474,F$1&amp;"" CE"",""""), F$1&amp;""[\w &amp;]*, (\d+\.\d+)""),"""")
"),"")</f>
        <v/>
      </c>
      <c r="G474" s="3" t="str">
        <f aca="false">IFERROR(__xludf.dummyfunction("if($T474&lt;&gt;"""",REGEXEXTRACT($T474, G$1&amp;""[\w &amp;]*, (\d+\.\d+)""),"""")
"),"")</f>
        <v/>
      </c>
      <c r="H474" s="3"/>
      <c r="I474" s="3" t="str">
        <f aca="false">IFERROR(__xludf.dummyfunction("if($T474&lt;&gt;"""",REGEXEXTRACT(SUBSTITUTE ($T474,I$1&amp;"" CE"",""""), I$1&amp;""[\w &amp;]*, (\d+\.\d+)""),"""")
"),"")</f>
        <v/>
      </c>
      <c r="J474" s="3" t="str">
        <f aca="false">IFERROR(__xludf.dummyfunction("if($T474&lt;&gt;"""",REGEXEXTRACT($T474, J$1&amp;""[\w &amp;]*, (\d+\.\d+)""),"""")
"),"")</f>
        <v/>
      </c>
      <c r="K474" s="3"/>
      <c r="L474" s="3" t="str">
        <f aca="false">IFERROR(__xludf.dummyfunction("if($T474&lt;&gt;"""",REGEXEXTRACT(SUBSTITUTE ($T474,L$1&amp;"" CE"",""""), L$1&amp;""[\w &amp;]*, (\d+\.\d+)""),"""")
"),"")</f>
        <v/>
      </c>
      <c r="M474" s="3" t="str">
        <f aca="false">IFERROR(__xludf.dummyfunction("if($T474&lt;&gt;"""",REGEXEXTRACT($T474, M$1&amp;""[\w &amp;]*, (\d+\.\d+)""),"""")
"),"")</f>
        <v/>
      </c>
      <c r="N474" s="3" t="str">
        <f aca="false">IFERROR(__xludf.dummyfunction("if($T474&lt;&gt;"""",REGEXEXTRACT(SUBSTITUTE ($T474,N$1&amp;"" CE"",""""), N$1&amp;""[\w &amp;]*, (\d+\.\d+)""),"""")
"),"")</f>
        <v/>
      </c>
      <c r="O474" s="3" t="str">
        <f aca="false">IFERROR(__xludf.dummyfunction("if($T474&lt;&gt;"""",REGEXEXTRACT($T474, O$1&amp;""[\w &amp;]*, (\d+\.\d+)""),"""")
"),"")</f>
        <v/>
      </c>
      <c r="P474" s="2"/>
      <c r="Q474" s="2"/>
      <c r="R474" s="2"/>
      <c r="S474" s="2"/>
      <c r="T474" s="5"/>
    </row>
    <row r="475" customFormat="false" ht="15.75" hidden="false" customHeight="false" outlineLevel="0" collapsed="false">
      <c r="A475" s="4"/>
      <c r="B475" s="2"/>
      <c r="C475" s="2"/>
      <c r="D475" s="2"/>
      <c r="E475" s="2"/>
      <c r="F475" s="3" t="str">
        <f aca="false">IFERROR(__xludf.dummyfunction("if($T475&lt;&gt;"""",REGEXEXTRACT(SUBSTITUTE ($T475,F$1&amp;"" CE"",""""), F$1&amp;""[\w &amp;]*, (\d+\.\d+)""),"""")
"),"")</f>
        <v/>
      </c>
      <c r="G475" s="3" t="str">
        <f aca="false">IFERROR(__xludf.dummyfunction("if($T475&lt;&gt;"""",REGEXEXTRACT($T475, G$1&amp;""[\w &amp;]*, (\d+\.\d+)""),"""")
"),"")</f>
        <v/>
      </c>
      <c r="H475" s="3"/>
      <c r="I475" s="3" t="str">
        <f aca="false">IFERROR(__xludf.dummyfunction("if($T475&lt;&gt;"""",REGEXEXTRACT(SUBSTITUTE ($T475,I$1&amp;"" CE"",""""), I$1&amp;""[\w &amp;]*, (\d+\.\d+)""),"""")
"),"")</f>
        <v/>
      </c>
      <c r="J475" s="3" t="str">
        <f aca="false">IFERROR(__xludf.dummyfunction("if($T475&lt;&gt;"""",REGEXEXTRACT($T475, J$1&amp;""[\w &amp;]*, (\d+\.\d+)""),"""")
"),"")</f>
        <v/>
      </c>
      <c r="K475" s="3"/>
      <c r="L475" s="3" t="str">
        <f aca="false">IFERROR(__xludf.dummyfunction("if($T475&lt;&gt;"""",REGEXEXTRACT(SUBSTITUTE ($T475,L$1&amp;"" CE"",""""), L$1&amp;""[\w &amp;]*, (\d+\.\d+)""),"""")
"),"")</f>
        <v/>
      </c>
      <c r="M475" s="3" t="str">
        <f aca="false">IFERROR(__xludf.dummyfunction("if($T475&lt;&gt;"""",REGEXEXTRACT($T475, M$1&amp;""[\w &amp;]*, (\d+\.\d+)""),"""")
"),"")</f>
        <v/>
      </c>
      <c r="N475" s="3" t="str">
        <f aca="false">IFERROR(__xludf.dummyfunction("if($T475&lt;&gt;"""",REGEXEXTRACT(SUBSTITUTE ($T475,N$1&amp;"" CE"",""""), N$1&amp;""[\w &amp;]*, (\d+\.\d+)""),"""")
"),"")</f>
        <v/>
      </c>
      <c r="O475" s="3" t="str">
        <f aca="false">IFERROR(__xludf.dummyfunction("if($T475&lt;&gt;"""",REGEXEXTRACT($T475, O$1&amp;""[\w &amp;]*, (\d+\.\d+)""),"""")
"),"")</f>
        <v/>
      </c>
      <c r="P475" s="2"/>
      <c r="Q475" s="2"/>
      <c r="R475" s="2"/>
      <c r="S475" s="2"/>
      <c r="T475" s="5"/>
    </row>
    <row r="476" customFormat="false" ht="15.75" hidden="false" customHeight="false" outlineLevel="0" collapsed="false">
      <c r="A476" s="4"/>
      <c r="B476" s="2"/>
      <c r="C476" s="2"/>
      <c r="D476" s="2"/>
      <c r="E476" s="2"/>
      <c r="F476" s="3" t="str">
        <f aca="false">IFERROR(__xludf.dummyfunction("if($T476&lt;&gt;"""",REGEXEXTRACT(SUBSTITUTE ($T476,F$1&amp;"" CE"",""""), F$1&amp;""[\w &amp;]*, (\d+\.\d+)""),"""")
"),"")</f>
        <v/>
      </c>
      <c r="G476" s="3" t="str">
        <f aca="false">IFERROR(__xludf.dummyfunction("if($T476&lt;&gt;"""",REGEXEXTRACT($T476, G$1&amp;""[\w &amp;]*, (\d+\.\d+)""),"""")
"),"")</f>
        <v/>
      </c>
      <c r="H476" s="3"/>
      <c r="I476" s="3" t="str">
        <f aca="false">IFERROR(__xludf.dummyfunction("if($T476&lt;&gt;"""",REGEXEXTRACT(SUBSTITUTE ($T476,I$1&amp;"" CE"",""""), I$1&amp;""[\w &amp;]*, (\d+\.\d+)""),"""")
"),"")</f>
        <v/>
      </c>
      <c r="J476" s="3" t="str">
        <f aca="false">IFERROR(__xludf.dummyfunction("if($T476&lt;&gt;"""",REGEXEXTRACT($T476, J$1&amp;""[\w &amp;]*, (\d+\.\d+)""),"""")
"),"")</f>
        <v/>
      </c>
      <c r="K476" s="3"/>
      <c r="L476" s="3" t="str">
        <f aca="false">IFERROR(__xludf.dummyfunction("if($T476&lt;&gt;"""",REGEXEXTRACT(SUBSTITUTE ($T476,L$1&amp;"" CE"",""""), L$1&amp;""[\w &amp;]*, (\d+\.\d+)""),"""")
"),"")</f>
        <v/>
      </c>
      <c r="M476" s="3" t="str">
        <f aca="false">IFERROR(__xludf.dummyfunction("if($T476&lt;&gt;"""",REGEXEXTRACT($T476, M$1&amp;""[\w &amp;]*, (\d+\.\d+)""),"""")
"),"")</f>
        <v/>
      </c>
      <c r="N476" s="3" t="str">
        <f aca="false">IFERROR(__xludf.dummyfunction("if($T476&lt;&gt;"""",REGEXEXTRACT(SUBSTITUTE ($T476,N$1&amp;"" CE"",""""), N$1&amp;""[\w &amp;]*, (\d+\.\d+)""),"""")
"),"")</f>
        <v/>
      </c>
      <c r="O476" s="3" t="str">
        <f aca="false">IFERROR(__xludf.dummyfunction("if($T476&lt;&gt;"""",REGEXEXTRACT($T476, O$1&amp;""[\w &amp;]*, (\d+\.\d+)""),"""")
"),"")</f>
        <v/>
      </c>
      <c r="P476" s="2"/>
      <c r="Q476" s="2"/>
      <c r="R476" s="2"/>
      <c r="S476" s="2"/>
      <c r="T476" s="5"/>
    </row>
    <row r="477" customFormat="false" ht="15.75" hidden="false" customHeight="false" outlineLevel="0" collapsed="false">
      <c r="A477" s="4"/>
      <c r="B477" s="2"/>
      <c r="C477" s="2"/>
      <c r="D477" s="2"/>
      <c r="E477" s="2"/>
      <c r="F477" s="3" t="str">
        <f aca="false">IFERROR(__xludf.dummyfunction("if($T477&lt;&gt;"""",REGEXEXTRACT(SUBSTITUTE ($T477,F$1&amp;"" CE"",""""), F$1&amp;""[\w &amp;]*, (\d+\.\d+)""),"""")
"),"")</f>
        <v/>
      </c>
      <c r="G477" s="3" t="str">
        <f aca="false">IFERROR(__xludf.dummyfunction("if($T477&lt;&gt;"""",REGEXEXTRACT($T477, G$1&amp;""[\w &amp;]*, (\d+\.\d+)""),"""")
"),"")</f>
        <v/>
      </c>
      <c r="H477" s="3"/>
      <c r="I477" s="3" t="str">
        <f aca="false">IFERROR(__xludf.dummyfunction("if($T477&lt;&gt;"""",REGEXEXTRACT(SUBSTITUTE ($T477,I$1&amp;"" CE"",""""), I$1&amp;""[\w &amp;]*, (\d+\.\d+)""),"""")
"),"")</f>
        <v/>
      </c>
      <c r="J477" s="3" t="str">
        <f aca="false">IFERROR(__xludf.dummyfunction("if($T477&lt;&gt;"""",REGEXEXTRACT($T477, J$1&amp;""[\w &amp;]*, (\d+\.\d+)""),"""")
"),"")</f>
        <v/>
      </c>
      <c r="K477" s="3"/>
      <c r="L477" s="3" t="str">
        <f aca="false">IFERROR(__xludf.dummyfunction("if($T477&lt;&gt;"""",REGEXEXTRACT(SUBSTITUTE ($T477,L$1&amp;"" CE"",""""), L$1&amp;""[\w &amp;]*, (\d+\.\d+)""),"""")
"),"")</f>
        <v/>
      </c>
      <c r="M477" s="3" t="str">
        <f aca="false">IFERROR(__xludf.dummyfunction("if($T477&lt;&gt;"""",REGEXEXTRACT($T477, M$1&amp;""[\w &amp;]*, (\d+\.\d+)""),"""")
"),"")</f>
        <v/>
      </c>
      <c r="N477" s="3" t="str">
        <f aca="false">IFERROR(__xludf.dummyfunction("if($T477&lt;&gt;"""",REGEXEXTRACT(SUBSTITUTE ($T477,N$1&amp;"" CE"",""""), N$1&amp;""[\w &amp;]*, (\d+\.\d+)""),"""")
"),"")</f>
        <v/>
      </c>
      <c r="O477" s="3" t="str">
        <f aca="false">IFERROR(__xludf.dummyfunction("if($T477&lt;&gt;"""",REGEXEXTRACT($T477, O$1&amp;""[\w &amp;]*, (\d+\.\d+)""),"""")
"),"")</f>
        <v/>
      </c>
      <c r="P477" s="2"/>
      <c r="Q477" s="2"/>
      <c r="R477" s="2"/>
      <c r="S477" s="2"/>
      <c r="T477" s="5"/>
    </row>
    <row r="478" customFormat="false" ht="15.75" hidden="false" customHeight="false" outlineLevel="0" collapsed="false">
      <c r="A478" s="4"/>
      <c r="B478" s="2"/>
      <c r="C478" s="2"/>
      <c r="D478" s="2"/>
      <c r="E478" s="2"/>
      <c r="F478" s="3" t="str">
        <f aca="false">IFERROR(__xludf.dummyfunction("if($T478&lt;&gt;"""",REGEXEXTRACT(SUBSTITUTE ($T478,F$1&amp;"" CE"",""""), F$1&amp;""[\w &amp;]*, (\d+\.\d+)""),"""")
"),"")</f>
        <v/>
      </c>
      <c r="G478" s="3" t="str">
        <f aca="false">IFERROR(__xludf.dummyfunction("if($T478&lt;&gt;"""",REGEXEXTRACT($T478, G$1&amp;""[\w &amp;]*, (\d+\.\d+)""),"""")
"),"")</f>
        <v/>
      </c>
      <c r="H478" s="3"/>
      <c r="I478" s="3" t="str">
        <f aca="false">IFERROR(__xludf.dummyfunction("if($T478&lt;&gt;"""",REGEXEXTRACT(SUBSTITUTE ($T478,I$1&amp;"" CE"",""""), I$1&amp;""[\w &amp;]*, (\d+\.\d+)""),"""")
"),"")</f>
        <v/>
      </c>
      <c r="J478" s="3" t="str">
        <f aca="false">IFERROR(__xludf.dummyfunction("if($T478&lt;&gt;"""",REGEXEXTRACT($T478, J$1&amp;""[\w &amp;]*, (\d+\.\d+)""),"""")
"),"")</f>
        <v/>
      </c>
      <c r="K478" s="3"/>
      <c r="L478" s="3" t="str">
        <f aca="false">IFERROR(__xludf.dummyfunction("if($T478&lt;&gt;"""",REGEXEXTRACT(SUBSTITUTE ($T478,L$1&amp;"" CE"",""""), L$1&amp;""[\w &amp;]*, (\d+\.\d+)""),"""")
"),"")</f>
        <v/>
      </c>
      <c r="M478" s="3" t="str">
        <f aca="false">IFERROR(__xludf.dummyfunction("if($T478&lt;&gt;"""",REGEXEXTRACT($T478, M$1&amp;""[\w &amp;]*, (\d+\.\d+)""),"""")
"),"")</f>
        <v/>
      </c>
      <c r="N478" s="3" t="str">
        <f aca="false">IFERROR(__xludf.dummyfunction("if($T478&lt;&gt;"""",REGEXEXTRACT(SUBSTITUTE ($T478,N$1&amp;"" CE"",""""), N$1&amp;""[\w &amp;]*, (\d+\.\d+)""),"""")
"),"")</f>
        <v/>
      </c>
      <c r="O478" s="3" t="str">
        <f aca="false">IFERROR(__xludf.dummyfunction("if($T478&lt;&gt;"""",REGEXEXTRACT($T478, O$1&amp;""[\w &amp;]*, (\d+\.\d+)""),"""")
"),"")</f>
        <v/>
      </c>
      <c r="P478" s="2"/>
      <c r="Q478" s="2"/>
      <c r="R478" s="2"/>
      <c r="S478" s="2"/>
      <c r="T478" s="5"/>
    </row>
    <row r="479" customFormat="false" ht="15.75" hidden="false" customHeight="false" outlineLevel="0" collapsed="false">
      <c r="A479" s="4"/>
      <c r="B479" s="2"/>
      <c r="C479" s="2"/>
      <c r="D479" s="2"/>
      <c r="E479" s="2"/>
      <c r="F479" s="3" t="str">
        <f aca="false">IFERROR(__xludf.dummyfunction("if($T479&lt;&gt;"""",REGEXEXTRACT(SUBSTITUTE ($T479,F$1&amp;"" CE"",""""), F$1&amp;""[\w &amp;]*, (\d+\.\d+)""),"""")
"),"")</f>
        <v/>
      </c>
      <c r="G479" s="3" t="str">
        <f aca="false">IFERROR(__xludf.dummyfunction("if($T479&lt;&gt;"""",REGEXEXTRACT($T479, G$1&amp;""[\w &amp;]*, (\d+\.\d+)""),"""")
"),"")</f>
        <v/>
      </c>
      <c r="H479" s="3"/>
      <c r="I479" s="3" t="str">
        <f aca="false">IFERROR(__xludf.dummyfunction("if($T479&lt;&gt;"""",REGEXEXTRACT(SUBSTITUTE ($T479,I$1&amp;"" CE"",""""), I$1&amp;""[\w &amp;]*, (\d+\.\d+)""),"""")
"),"")</f>
        <v/>
      </c>
      <c r="J479" s="3" t="str">
        <f aca="false">IFERROR(__xludf.dummyfunction("if($T479&lt;&gt;"""",REGEXEXTRACT($T479, J$1&amp;""[\w &amp;]*, (\d+\.\d+)""),"""")
"),"")</f>
        <v/>
      </c>
      <c r="K479" s="3"/>
      <c r="L479" s="3" t="str">
        <f aca="false">IFERROR(__xludf.dummyfunction("if($T479&lt;&gt;"""",REGEXEXTRACT(SUBSTITUTE ($T479,L$1&amp;"" CE"",""""), L$1&amp;""[\w &amp;]*, (\d+\.\d+)""),"""")
"),"")</f>
        <v/>
      </c>
      <c r="M479" s="3" t="str">
        <f aca="false">IFERROR(__xludf.dummyfunction("if($T479&lt;&gt;"""",REGEXEXTRACT($T479, M$1&amp;""[\w &amp;]*, (\d+\.\d+)""),"""")
"),"")</f>
        <v/>
      </c>
      <c r="N479" s="3" t="str">
        <f aca="false">IFERROR(__xludf.dummyfunction("if($T479&lt;&gt;"""",REGEXEXTRACT(SUBSTITUTE ($T479,N$1&amp;"" CE"",""""), N$1&amp;""[\w &amp;]*, (\d+\.\d+)""),"""")
"),"")</f>
        <v/>
      </c>
      <c r="O479" s="3" t="str">
        <f aca="false">IFERROR(__xludf.dummyfunction("if($T479&lt;&gt;"""",REGEXEXTRACT($T479, O$1&amp;""[\w &amp;]*, (\d+\.\d+)""),"""")
"),"")</f>
        <v/>
      </c>
      <c r="P479" s="2"/>
      <c r="Q479" s="2"/>
      <c r="R479" s="2"/>
      <c r="S479" s="2"/>
      <c r="T479" s="5"/>
    </row>
    <row r="480" customFormat="false" ht="15.75" hidden="false" customHeight="false" outlineLevel="0" collapsed="false">
      <c r="A480" s="4"/>
      <c r="B480" s="2"/>
      <c r="C480" s="2"/>
      <c r="D480" s="2"/>
      <c r="E480" s="2"/>
      <c r="F480" s="3" t="str">
        <f aca="false">IFERROR(__xludf.dummyfunction("if($T480&lt;&gt;"""",REGEXEXTRACT(SUBSTITUTE ($T480,F$1&amp;"" CE"",""""), F$1&amp;""[\w &amp;]*, (\d+\.\d+)""),"""")
"),"")</f>
        <v/>
      </c>
      <c r="G480" s="3" t="str">
        <f aca="false">IFERROR(__xludf.dummyfunction("if($T480&lt;&gt;"""",REGEXEXTRACT($T480, G$1&amp;""[\w &amp;]*, (\d+\.\d+)""),"""")
"),"")</f>
        <v/>
      </c>
      <c r="H480" s="3"/>
      <c r="I480" s="3" t="str">
        <f aca="false">IFERROR(__xludf.dummyfunction("if($T480&lt;&gt;"""",REGEXEXTRACT(SUBSTITUTE ($T480,I$1&amp;"" CE"",""""), I$1&amp;""[\w &amp;]*, (\d+\.\d+)""),"""")
"),"")</f>
        <v/>
      </c>
      <c r="J480" s="3" t="str">
        <f aca="false">IFERROR(__xludf.dummyfunction("if($T480&lt;&gt;"""",REGEXEXTRACT($T480, J$1&amp;""[\w &amp;]*, (\d+\.\d+)""),"""")
"),"")</f>
        <v/>
      </c>
      <c r="K480" s="3"/>
      <c r="L480" s="3" t="str">
        <f aca="false">IFERROR(__xludf.dummyfunction("if($T480&lt;&gt;"""",REGEXEXTRACT(SUBSTITUTE ($T480,L$1&amp;"" CE"",""""), L$1&amp;""[\w &amp;]*, (\d+\.\d+)""),"""")
"),"")</f>
        <v/>
      </c>
      <c r="M480" s="3" t="str">
        <f aca="false">IFERROR(__xludf.dummyfunction("if($T480&lt;&gt;"""",REGEXEXTRACT($T480, M$1&amp;""[\w &amp;]*, (\d+\.\d+)""),"""")
"),"")</f>
        <v/>
      </c>
      <c r="N480" s="3" t="str">
        <f aca="false">IFERROR(__xludf.dummyfunction("if($T480&lt;&gt;"""",REGEXEXTRACT(SUBSTITUTE ($T480,N$1&amp;"" CE"",""""), N$1&amp;""[\w &amp;]*, (\d+\.\d+)""),"""")
"),"")</f>
        <v/>
      </c>
      <c r="O480" s="3" t="str">
        <f aca="false">IFERROR(__xludf.dummyfunction("if($T480&lt;&gt;"""",REGEXEXTRACT($T480, O$1&amp;""[\w &amp;]*, (\d+\.\d+)""),"""")
"),"")</f>
        <v/>
      </c>
      <c r="P480" s="2"/>
      <c r="Q480" s="2"/>
      <c r="R480" s="2"/>
      <c r="S480" s="2"/>
      <c r="T480" s="5"/>
    </row>
    <row r="481" customFormat="false" ht="15.75" hidden="false" customHeight="false" outlineLevel="0" collapsed="false">
      <c r="A481" s="4"/>
      <c r="B481" s="2"/>
      <c r="C481" s="2"/>
      <c r="D481" s="2"/>
      <c r="E481" s="2"/>
      <c r="F481" s="3" t="str">
        <f aca="false">IFERROR(__xludf.dummyfunction("if($T481&lt;&gt;"""",REGEXEXTRACT(SUBSTITUTE ($T481,F$1&amp;"" CE"",""""), F$1&amp;""[\w &amp;]*, (\d+\.\d+)""),"""")
"),"")</f>
        <v/>
      </c>
      <c r="G481" s="3" t="str">
        <f aca="false">IFERROR(__xludf.dummyfunction("if($T481&lt;&gt;"""",REGEXEXTRACT($T481, G$1&amp;""[\w &amp;]*, (\d+\.\d+)""),"""")
"),"")</f>
        <v/>
      </c>
      <c r="H481" s="3"/>
      <c r="I481" s="3" t="str">
        <f aca="false">IFERROR(__xludf.dummyfunction("if($T481&lt;&gt;"""",REGEXEXTRACT(SUBSTITUTE ($T481,I$1&amp;"" CE"",""""), I$1&amp;""[\w &amp;]*, (\d+\.\d+)""),"""")
"),"")</f>
        <v/>
      </c>
      <c r="J481" s="3" t="str">
        <f aca="false">IFERROR(__xludf.dummyfunction("if($T481&lt;&gt;"""",REGEXEXTRACT($T481, J$1&amp;""[\w &amp;]*, (\d+\.\d+)""),"""")
"),"")</f>
        <v/>
      </c>
      <c r="K481" s="3"/>
      <c r="L481" s="3" t="str">
        <f aca="false">IFERROR(__xludf.dummyfunction("if($T481&lt;&gt;"""",REGEXEXTRACT(SUBSTITUTE ($T481,L$1&amp;"" CE"",""""), L$1&amp;""[\w &amp;]*, (\d+\.\d+)""),"""")
"),"")</f>
        <v/>
      </c>
      <c r="M481" s="3" t="str">
        <f aca="false">IFERROR(__xludf.dummyfunction("if($T481&lt;&gt;"""",REGEXEXTRACT($T481, M$1&amp;""[\w &amp;]*, (\d+\.\d+)""),"""")
"),"")</f>
        <v/>
      </c>
      <c r="N481" s="3" t="str">
        <f aca="false">IFERROR(__xludf.dummyfunction("if($T481&lt;&gt;"""",REGEXEXTRACT(SUBSTITUTE ($T481,N$1&amp;"" CE"",""""), N$1&amp;""[\w &amp;]*, (\d+\.\d+)""),"""")
"),"")</f>
        <v/>
      </c>
      <c r="O481" s="3" t="str">
        <f aca="false">IFERROR(__xludf.dummyfunction("if($T481&lt;&gt;"""",REGEXEXTRACT($T481, O$1&amp;""[\w &amp;]*, (\d+\.\d+)""),"""")
"),"")</f>
        <v/>
      </c>
      <c r="P481" s="2"/>
      <c r="Q481" s="2"/>
      <c r="R481" s="2"/>
      <c r="S481" s="2"/>
      <c r="T481" s="5"/>
    </row>
    <row r="482" customFormat="false" ht="15.75" hidden="false" customHeight="false" outlineLevel="0" collapsed="false">
      <c r="A482" s="4"/>
      <c r="B482" s="2"/>
      <c r="C482" s="2"/>
      <c r="D482" s="2"/>
      <c r="E482" s="2"/>
      <c r="F482" s="3" t="str">
        <f aca="false">IFERROR(__xludf.dummyfunction("if($T482&lt;&gt;"""",REGEXEXTRACT(SUBSTITUTE ($T482,F$1&amp;"" CE"",""""), F$1&amp;""[\w &amp;]*, (\d+\.\d+)""),"""")
"),"")</f>
        <v/>
      </c>
      <c r="G482" s="3" t="str">
        <f aca="false">IFERROR(__xludf.dummyfunction("if($T482&lt;&gt;"""",REGEXEXTRACT($T482, G$1&amp;""[\w &amp;]*, (\d+\.\d+)""),"""")
"),"")</f>
        <v/>
      </c>
      <c r="H482" s="3"/>
      <c r="I482" s="3" t="str">
        <f aca="false">IFERROR(__xludf.dummyfunction("if($T482&lt;&gt;"""",REGEXEXTRACT(SUBSTITUTE ($T482,I$1&amp;"" CE"",""""), I$1&amp;""[\w &amp;]*, (\d+\.\d+)""),"""")
"),"")</f>
        <v/>
      </c>
      <c r="J482" s="3" t="str">
        <f aca="false">IFERROR(__xludf.dummyfunction("if($T482&lt;&gt;"""",REGEXEXTRACT($T482, J$1&amp;""[\w &amp;]*, (\d+\.\d+)""),"""")
"),"")</f>
        <v/>
      </c>
      <c r="K482" s="3"/>
      <c r="L482" s="3" t="str">
        <f aca="false">IFERROR(__xludf.dummyfunction("if($T482&lt;&gt;"""",REGEXEXTRACT(SUBSTITUTE ($T482,L$1&amp;"" CE"",""""), L$1&amp;""[\w &amp;]*, (\d+\.\d+)""),"""")
"),"")</f>
        <v/>
      </c>
      <c r="M482" s="3" t="str">
        <f aca="false">IFERROR(__xludf.dummyfunction("if($T482&lt;&gt;"""",REGEXEXTRACT($T482, M$1&amp;""[\w &amp;]*, (\d+\.\d+)""),"""")
"),"")</f>
        <v/>
      </c>
      <c r="N482" s="3" t="str">
        <f aca="false">IFERROR(__xludf.dummyfunction("if($T482&lt;&gt;"""",REGEXEXTRACT(SUBSTITUTE ($T482,N$1&amp;"" CE"",""""), N$1&amp;""[\w &amp;]*, (\d+\.\d+)""),"""")
"),"")</f>
        <v/>
      </c>
      <c r="O482" s="3" t="str">
        <f aca="false">IFERROR(__xludf.dummyfunction("if($T482&lt;&gt;"""",REGEXEXTRACT($T482, O$1&amp;""[\w &amp;]*, (\d+\.\d+)""),"""")
"),"")</f>
        <v/>
      </c>
      <c r="P482" s="2"/>
      <c r="Q482" s="2"/>
      <c r="R482" s="2"/>
      <c r="S482" s="2"/>
      <c r="T482" s="5"/>
    </row>
    <row r="483" customFormat="false" ht="15.75" hidden="false" customHeight="false" outlineLevel="0" collapsed="false">
      <c r="A483" s="4"/>
      <c r="B483" s="2"/>
      <c r="C483" s="2"/>
      <c r="D483" s="2"/>
      <c r="E483" s="2"/>
      <c r="F483" s="3" t="str">
        <f aca="false">IFERROR(__xludf.dummyfunction("if($T483&lt;&gt;"""",REGEXEXTRACT(SUBSTITUTE ($T483,F$1&amp;"" CE"",""""), F$1&amp;""[\w &amp;]*, (\d+\.\d+)""),"""")
"),"")</f>
        <v/>
      </c>
      <c r="G483" s="3" t="str">
        <f aca="false">IFERROR(__xludf.dummyfunction("if($T483&lt;&gt;"""",REGEXEXTRACT($T483, G$1&amp;""[\w &amp;]*, (\d+\.\d+)""),"""")
"),"")</f>
        <v/>
      </c>
      <c r="H483" s="3"/>
      <c r="I483" s="3" t="str">
        <f aca="false">IFERROR(__xludf.dummyfunction("if($T483&lt;&gt;"""",REGEXEXTRACT(SUBSTITUTE ($T483,I$1&amp;"" CE"",""""), I$1&amp;""[\w &amp;]*, (\d+\.\d+)""),"""")
"),"")</f>
        <v/>
      </c>
      <c r="J483" s="3" t="str">
        <f aca="false">IFERROR(__xludf.dummyfunction("if($T483&lt;&gt;"""",REGEXEXTRACT($T483, J$1&amp;""[\w &amp;]*, (\d+\.\d+)""),"""")
"),"")</f>
        <v/>
      </c>
      <c r="K483" s="3"/>
      <c r="L483" s="3" t="str">
        <f aca="false">IFERROR(__xludf.dummyfunction("if($T483&lt;&gt;"""",REGEXEXTRACT(SUBSTITUTE ($T483,L$1&amp;"" CE"",""""), L$1&amp;""[\w &amp;]*, (\d+\.\d+)""),"""")
"),"")</f>
        <v/>
      </c>
      <c r="M483" s="3" t="str">
        <f aca="false">IFERROR(__xludf.dummyfunction("if($T483&lt;&gt;"""",REGEXEXTRACT($T483, M$1&amp;""[\w &amp;]*, (\d+\.\d+)""),"""")
"),"")</f>
        <v/>
      </c>
      <c r="N483" s="3" t="str">
        <f aca="false">IFERROR(__xludf.dummyfunction("if($T483&lt;&gt;"""",REGEXEXTRACT(SUBSTITUTE ($T483,N$1&amp;"" CE"",""""), N$1&amp;""[\w &amp;]*, (\d+\.\d+)""),"""")
"),"")</f>
        <v/>
      </c>
      <c r="O483" s="3" t="str">
        <f aca="false">IFERROR(__xludf.dummyfunction("if($T483&lt;&gt;"""",REGEXEXTRACT($T483, O$1&amp;""[\w &amp;]*, (\d+\.\d+)""),"""")
"),"")</f>
        <v/>
      </c>
      <c r="P483" s="2"/>
      <c r="Q483" s="2"/>
      <c r="R483" s="2"/>
      <c r="S483" s="2"/>
      <c r="T483" s="5"/>
    </row>
    <row r="484" customFormat="false" ht="15.75" hidden="false" customHeight="false" outlineLevel="0" collapsed="false">
      <c r="A484" s="4"/>
      <c r="B484" s="2"/>
      <c r="C484" s="2"/>
      <c r="D484" s="2"/>
      <c r="E484" s="2"/>
      <c r="F484" s="3" t="str">
        <f aca="false">IFERROR(__xludf.dummyfunction("if($T484&lt;&gt;"""",REGEXEXTRACT(SUBSTITUTE ($T484,F$1&amp;"" CE"",""""), F$1&amp;""[\w &amp;]*, (\d+\.\d+)""),"""")
"),"")</f>
        <v/>
      </c>
      <c r="G484" s="3" t="str">
        <f aca="false">IFERROR(__xludf.dummyfunction("if($T484&lt;&gt;"""",REGEXEXTRACT($T484, G$1&amp;""[\w &amp;]*, (\d+\.\d+)""),"""")
"),"")</f>
        <v/>
      </c>
      <c r="H484" s="3"/>
      <c r="I484" s="3" t="str">
        <f aca="false">IFERROR(__xludf.dummyfunction("if($T484&lt;&gt;"""",REGEXEXTRACT(SUBSTITUTE ($T484,I$1&amp;"" CE"",""""), I$1&amp;""[\w &amp;]*, (\d+\.\d+)""),"""")
"),"")</f>
        <v/>
      </c>
      <c r="J484" s="3" t="str">
        <f aca="false">IFERROR(__xludf.dummyfunction("if($T484&lt;&gt;"""",REGEXEXTRACT($T484, J$1&amp;""[\w &amp;]*, (\d+\.\d+)""),"""")
"),"")</f>
        <v/>
      </c>
      <c r="K484" s="3"/>
      <c r="L484" s="3" t="str">
        <f aca="false">IFERROR(__xludf.dummyfunction("if($T484&lt;&gt;"""",REGEXEXTRACT(SUBSTITUTE ($T484,L$1&amp;"" CE"",""""), L$1&amp;""[\w &amp;]*, (\d+\.\d+)""),"""")
"),"")</f>
        <v/>
      </c>
      <c r="M484" s="3" t="str">
        <f aca="false">IFERROR(__xludf.dummyfunction("if($T484&lt;&gt;"""",REGEXEXTRACT($T484, M$1&amp;""[\w &amp;]*, (\d+\.\d+)""),"""")
"),"")</f>
        <v/>
      </c>
      <c r="N484" s="3" t="str">
        <f aca="false">IFERROR(__xludf.dummyfunction("if($T484&lt;&gt;"""",REGEXEXTRACT(SUBSTITUTE ($T484,N$1&amp;"" CE"",""""), N$1&amp;""[\w &amp;]*, (\d+\.\d+)""),"""")
"),"")</f>
        <v/>
      </c>
      <c r="O484" s="3" t="str">
        <f aca="false">IFERROR(__xludf.dummyfunction("if($T484&lt;&gt;"""",REGEXEXTRACT($T484, O$1&amp;""[\w &amp;]*, (\d+\.\d+)""),"""")
"),"")</f>
        <v/>
      </c>
      <c r="P484" s="2"/>
      <c r="Q484" s="2"/>
      <c r="R484" s="2"/>
      <c r="S484" s="2"/>
      <c r="T484" s="5"/>
    </row>
    <row r="485" customFormat="false" ht="15.75" hidden="false" customHeight="false" outlineLevel="0" collapsed="false">
      <c r="A485" s="4"/>
      <c r="B485" s="2"/>
      <c r="C485" s="2"/>
      <c r="D485" s="2"/>
      <c r="E485" s="2"/>
      <c r="F485" s="3" t="str">
        <f aca="false">IFERROR(__xludf.dummyfunction("if($T485&lt;&gt;"""",REGEXEXTRACT(SUBSTITUTE ($T485,F$1&amp;"" CE"",""""), F$1&amp;""[\w &amp;]*, (\d+\.\d+)""),"""")
"),"")</f>
        <v/>
      </c>
      <c r="G485" s="3" t="str">
        <f aca="false">IFERROR(__xludf.dummyfunction("if($T485&lt;&gt;"""",REGEXEXTRACT($T485, G$1&amp;""[\w &amp;]*, (\d+\.\d+)""),"""")
"),"")</f>
        <v/>
      </c>
      <c r="H485" s="3"/>
      <c r="I485" s="3" t="str">
        <f aca="false">IFERROR(__xludf.dummyfunction("if($T485&lt;&gt;"""",REGEXEXTRACT(SUBSTITUTE ($T485,I$1&amp;"" CE"",""""), I$1&amp;""[\w &amp;]*, (\d+\.\d+)""),"""")
"),"")</f>
        <v/>
      </c>
      <c r="J485" s="3" t="str">
        <f aca="false">IFERROR(__xludf.dummyfunction("if($T485&lt;&gt;"""",REGEXEXTRACT($T485, J$1&amp;""[\w &amp;]*, (\d+\.\d+)""),"""")
"),"")</f>
        <v/>
      </c>
      <c r="K485" s="3"/>
      <c r="L485" s="3" t="str">
        <f aca="false">IFERROR(__xludf.dummyfunction("if($T485&lt;&gt;"""",REGEXEXTRACT(SUBSTITUTE ($T485,L$1&amp;"" CE"",""""), L$1&amp;""[\w &amp;]*, (\d+\.\d+)""),"""")
"),"")</f>
        <v/>
      </c>
      <c r="M485" s="3" t="str">
        <f aca="false">IFERROR(__xludf.dummyfunction("if($T485&lt;&gt;"""",REGEXEXTRACT($T485, M$1&amp;""[\w &amp;]*, (\d+\.\d+)""),"""")
"),"")</f>
        <v/>
      </c>
      <c r="N485" s="3" t="str">
        <f aca="false">IFERROR(__xludf.dummyfunction("if($T485&lt;&gt;"""",REGEXEXTRACT(SUBSTITUTE ($T485,N$1&amp;"" CE"",""""), N$1&amp;""[\w &amp;]*, (\d+\.\d+)""),"""")
"),"")</f>
        <v/>
      </c>
      <c r="O485" s="3" t="str">
        <f aca="false">IFERROR(__xludf.dummyfunction("if($T485&lt;&gt;"""",REGEXEXTRACT($T485, O$1&amp;""[\w &amp;]*, (\d+\.\d+)""),"""")
"),"")</f>
        <v/>
      </c>
      <c r="P485" s="2"/>
      <c r="Q485" s="2"/>
      <c r="R485" s="2"/>
      <c r="S485" s="2"/>
      <c r="T485" s="5"/>
    </row>
    <row r="486" customFormat="false" ht="15.75" hidden="false" customHeight="false" outlineLevel="0" collapsed="false">
      <c r="A486" s="4"/>
      <c r="B486" s="2"/>
      <c r="C486" s="2"/>
      <c r="D486" s="2"/>
      <c r="E486" s="2"/>
      <c r="F486" s="3" t="str">
        <f aca="false">IFERROR(__xludf.dummyfunction("if($T486&lt;&gt;"""",REGEXEXTRACT(SUBSTITUTE ($T486,F$1&amp;"" CE"",""""), F$1&amp;""[\w &amp;]*, (\d+\.\d+)""),"""")
"),"")</f>
        <v/>
      </c>
      <c r="G486" s="3" t="str">
        <f aca="false">IFERROR(__xludf.dummyfunction("if($T486&lt;&gt;"""",REGEXEXTRACT($T486, G$1&amp;""[\w &amp;]*, (\d+\.\d+)""),"""")
"),"")</f>
        <v/>
      </c>
      <c r="H486" s="3"/>
      <c r="I486" s="3" t="str">
        <f aca="false">IFERROR(__xludf.dummyfunction("if($T486&lt;&gt;"""",REGEXEXTRACT(SUBSTITUTE ($T486,I$1&amp;"" CE"",""""), I$1&amp;""[\w &amp;]*, (\d+\.\d+)""),"""")
"),"")</f>
        <v/>
      </c>
      <c r="J486" s="3" t="str">
        <f aca="false">IFERROR(__xludf.dummyfunction("if($T486&lt;&gt;"""",REGEXEXTRACT($T486, J$1&amp;""[\w &amp;]*, (\d+\.\d+)""),"""")
"),"")</f>
        <v/>
      </c>
      <c r="K486" s="3"/>
      <c r="L486" s="3" t="str">
        <f aca="false">IFERROR(__xludf.dummyfunction("if($T486&lt;&gt;"""",REGEXEXTRACT(SUBSTITUTE ($T486,L$1&amp;"" CE"",""""), L$1&amp;""[\w &amp;]*, (\d+\.\d+)""),"""")
"),"")</f>
        <v/>
      </c>
      <c r="M486" s="3" t="str">
        <f aca="false">IFERROR(__xludf.dummyfunction("if($T486&lt;&gt;"""",REGEXEXTRACT($T486, M$1&amp;""[\w &amp;]*, (\d+\.\d+)""),"""")
"),"")</f>
        <v/>
      </c>
      <c r="N486" s="3" t="str">
        <f aca="false">IFERROR(__xludf.dummyfunction("if($T486&lt;&gt;"""",REGEXEXTRACT(SUBSTITUTE ($T486,N$1&amp;"" CE"",""""), N$1&amp;""[\w &amp;]*, (\d+\.\d+)""),"""")
"),"")</f>
        <v/>
      </c>
      <c r="O486" s="3" t="str">
        <f aca="false">IFERROR(__xludf.dummyfunction("if($T486&lt;&gt;"""",REGEXEXTRACT($T486, O$1&amp;""[\w &amp;]*, (\d+\.\d+)""),"""")
"),"")</f>
        <v/>
      </c>
      <c r="P486" s="2"/>
      <c r="Q486" s="2"/>
      <c r="R486" s="2"/>
      <c r="S486" s="2"/>
      <c r="T486" s="5"/>
    </row>
    <row r="487" customFormat="false" ht="15.75" hidden="false" customHeight="false" outlineLevel="0" collapsed="false">
      <c r="A487" s="4"/>
      <c r="B487" s="2"/>
      <c r="C487" s="2"/>
      <c r="D487" s="2"/>
      <c r="E487" s="2"/>
      <c r="F487" s="3" t="str">
        <f aca="false">IFERROR(__xludf.dummyfunction("if($T487&lt;&gt;"""",REGEXEXTRACT(SUBSTITUTE ($T487,F$1&amp;"" CE"",""""), F$1&amp;""[\w &amp;]*, (\d+\.\d+)""),"""")
"),"")</f>
        <v/>
      </c>
      <c r="G487" s="3" t="str">
        <f aca="false">IFERROR(__xludf.dummyfunction("if($T487&lt;&gt;"""",REGEXEXTRACT($T487, G$1&amp;""[\w &amp;]*, (\d+\.\d+)""),"""")
"),"")</f>
        <v/>
      </c>
      <c r="H487" s="3"/>
      <c r="I487" s="3" t="str">
        <f aca="false">IFERROR(__xludf.dummyfunction("if($T487&lt;&gt;"""",REGEXEXTRACT(SUBSTITUTE ($T487,I$1&amp;"" CE"",""""), I$1&amp;""[\w &amp;]*, (\d+\.\d+)""),"""")
"),"")</f>
        <v/>
      </c>
      <c r="J487" s="3" t="str">
        <f aca="false">IFERROR(__xludf.dummyfunction("if($T487&lt;&gt;"""",REGEXEXTRACT($T487, J$1&amp;""[\w &amp;]*, (\d+\.\d+)""),"""")
"),"")</f>
        <v/>
      </c>
      <c r="K487" s="3"/>
      <c r="L487" s="3" t="str">
        <f aca="false">IFERROR(__xludf.dummyfunction("if($T487&lt;&gt;"""",REGEXEXTRACT(SUBSTITUTE ($T487,L$1&amp;"" CE"",""""), L$1&amp;""[\w &amp;]*, (\d+\.\d+)""),"""")
"),"")</f>
        <v/>
      </c>
      <c r="M487" s="3" t="str">
        <f aca="false">IFERROR(__xludf.dummyfunction("if($T487&lt;&gt;"""",REGEXEXTRACT($T487, M$1&amp;""[\w &amp;]*, (\d+\.\d+)""),"""")
"),"")</f>
        <v/>
      </c>
      <c r="N487" s="3" t="str">
        <f aca="false">IFERROR(__xludf.dummyfunction("if($T487&lt;&gt;"""",REGEXEXTRACT(SUBSTITUTE ($T487,N$1&amp;"" CE"",""""), N$1&amp;""[\w &amp;]*, (\d+\.\d+)""),"""")
"),"")</f>
        <v/>
      </c>
      <c r="O487" s="3" t="str">
        <f aca="false">IFERROR(__xludf.dummyfunction("if($T487&lt;&gt;"""",REGEXEXTRACT($T487, O$1&amp;""[\w &amp;]*, (\d+\.\d+)""),"""")
"),"")</f>
        <v/>
      </c>
      <c r="P487" s="2"/>
      <c r="Q487" s="2"/>
      <c r="R487" s="2"/>
      <c r="S487" s="2"/>
      <c r="T487" s="5"/>
    </row>
    <row r="488" customFormat="false" ht="15.75" hidden="false" customHeight="false" outlineLevel="0" collapsed="false">
      <c r="A488" s="4"/>
      <c r="B488" s="2"/>
      <c r="C488" s="2"/>
      <c r="D488" s="2"/>
      <c r="E488" s="2"/>
      <c r="F488" s="3" t="str">
        <f aca="false">IFERROR(__xludf.dummyfunction("if($T488&lt;&gt;"""",REGEXEXTRACT(SUBSTITUTE ($T488,F$1&amp;"" CE"",""""), F$1&amp;""[\w &amp;]*, (\d+\.\d+)""),"""")
"),"")</f>
        <v/>
      </c>
      <c r="G488" s="3" t="str">
        <f aca="false">IFERROR(__xludf.dummyfunction("if($T488&lt;&gt;"""",REGEXEXTRACT($T488, G$1&amp;""[\w &amp;]*, (\d+\.\d+)""),"""")
"),"")</f>
        <v/>
      </c>
      <c r="H488" s="3"/>
      <c r="I488" s="3" t="str">
        <f aca="false">IFERROR(__xludf.dummyfunction("if($T488&lt;&gt;"""",REGEXEXTRACT(SUBSTITUTE ($T488,I$1&amp;"" CE"",""""), I$1&amp;""[\w &amp;]*, (\d+\.\d+)""),"""")
"),"")</f>
        <v/>
      </c>
      <c r="J488" s="3" t="str">
        <f aca="false">IFERROR(__xludf.dummyfunction("if($T488&lt;&gt;"""",REGEXEXTRACT($T488, J$1&amp;""[\w &amp;]*, (\d+\.\d+)""),"""")
"),"")</f>
        <v/>
      </c>
      <c r="K488" s="3"/>
      <c r="L488" s="3" t="str">
        <f aca="false">IFERROR(__xludf.dummyfunction("if($T488&lt;&gt;"""",REGEXEXTRACT(SUBSTITUTE ($T488,L$1&amp;"" CE"",""""), L$1&amp;""[\w &amp;]*, (\d+\.\d+)""),"""")
"),"")</f>
        <v/>
      </c>
      <c r="M488" s="3" t="str">
        <f aca="false">IFERROR(__xludf.dummyfunction("if($T488&lt;&gt;"""",REGEXEXTRACT($T488, M$1&amp;""[\w &amp;]*, (\d+\.\d+)""),"""")
"),"")</f>
        <v/>
      </c>
      <c r="N488" s="3" t="str">
        <f aca="false">IFERROR(__xludf.dummyfunction("if($T488&lt;&gt;"""",REGEXEXTRACT(SUBSTITUTE ($T488,N$1&amp;"" CE"",""""), N$1&amp;""[\w &amp;]*, (\d+\.\d+)""),"""")
"),"")</f>
        <v/>
      </c>
      <c r="O488" s="3" t="str">
        <f aca="false">IFERROR(__xludf.dummyfunction("if($T488&lt;&gt;"""",REGEXEXTRACT($T488, O$1&amp;""[\w &amp;]*, (\d+\.\d+)""),"""")
"),"")</f>
        <v/>
      </c>
      <c r="P488" s="2"/>
      <c r="Q488" s="2"/>
      <c r="R488" s="2"/>
      <c r="S488" s="2"/>
      <c r="T488" s="5"/>
    </row>
    <row r="489" customFormat="false" ht="15.75" hidden="false" customHeight="false" outlineLevel="0" collapsed="false">
      <c r="A489" s="4"/>
      <c r="B489" s="2"/>
      <c r="C489" s="2"/>
      <c r="D489" s="2"/>
      <c r="E489" s="2"/>
      <c r="F489" s="3" t="str">
        <f aca="false">IFERROR(__xludf.dummyfunction("if($T489&lt;&gt;"""",REGEXEXTRACT(SUBSTITUTE ($T489,F$1&amp;"" CE"",""""), F$1&amp;""[\w &amp;]*, (\d+\.\d+)""),"""")
"),"")</f>
        <v/>
      </c>
      <c r="G489" s="3" t="str">
        <f aca="false">IFERROR(__xludf.dummyfunction("if($T489&lt;&gt;"""",REGEXEXTRACT($T489, G$1&amp;""[\w &amp;]*, (\d+\.\d+)""),"""")
"),"")</f>
        <v/>
      </c>
      <c r="H489" s="3"/>
      <c r="I489" s="3" t="str">
        <f aca="false">IFERROR(__xludf.dummyfunction("if($T489&lt;&gt;"""",REGEXEXTRACT(SUBSTITUTE ($T489,I$1&amp;"" CE"",""""), I$1&amp;""[\w &amp;]*, (\d+\.\d+)""),"""")
"),"")</f>
        <v/>
      </c>
      <c r="J489" s="3" t="str">
        <f aca="false">IFERROR(__xludf.dummyfunction("if($T489&lt;&gt;"""",REGEXEXTRACT($T489, J$1&amp;""[\w &amp;]*, (\d+\.\d+)""),"""")
"),"")</f>
        <v/>
      </c>
      <c r="K489" s="3"/>
      <c r="L489" s="3" t="str">
        <f aca="false">IFERROR(__xludf.dummyfunction("if($T489&lt;&gt;"""",REGEXEXTRACT(SUBSTITUTE ($T489,L$1&amp;"" CE"",""""), L$1&amp;""[\w &amp;]*, (\d+\.\d+)""),"""")
"),"")</f>
        <v/>
      </c>
      <c r="M489" s="3" t="str">
        <f aca="false">IFERROR(__xludf.dummyfunction("if($T489&lt;&gt;"""",REGEXEXTRACT($T489, M$1&amp;""[\w &amp;]*, (\d+\.\d+)""),"""")
"),"")</f>
        <v/>
      </c>
      <c r="N489" s="3" t="str">
        <f aca="false">IFERROR(__xludf.dummyfunction("if($T489&lt;&gt;"""",REGEXEXTRACT(SUBSTITUTE ($T489,N$1&amp;"" CE"",""""), N$1&amp;""[\w &amp;]*, (\d+\.\d+)""),"""")
"),"")</f>
        <v/>
      </c>
      <c r="O489" s="3" t="str">
        <f aca="false">IFERROR(__xludf.dummyfunction("if($T489&lt;&gt;"""",REGEXEXTRACT($T489, O$1&amp;""[\w &amp;]*, (\d+\.\d+)""),"""")
"),"")</f>
        <v/>
      </c>
      <c r="P489" s="2"/>
      <c r="Q489" s="2"/>
      <c r="R489" s="2"/>
      <c r="S489" s="2"/>
      <c r="T489" s="5"/>
    </row>
    <row r="490" customFormat="false" ht="15.75" hidden="false" customHeight="false" outlineLevel="0" collapsed="false">
      <c r="A490" s="4"/>
      <c r="B490" s="2"/>
      <c r="C490" s="2"/>
      <c r="D490" s="2"/>
      <c r="E490" s="2"/>
      <c r="F490" s="3" t="str">
        <f aca="false">IFERROR(__xludf.dummyfunction("if($T490&lt;&gt;"""",REGEXEXTRACT(SUBSTITUTE ($T490,F$1&amp;"" CE"",""""), F$1&amp;""[\w &amp;]*, (\d+\.\d+)""),"""")
"),"")</f>
        <v/>
      </c>
      <c r="G490" s="3" t="str">
        <f aca="false">IFERROR(__xludf.dummyfunction("if($T490&lt;&gt;"""",REGEXEXTRACT($T490, G$1&amp;""[\w &amp;]*, (\d+\.\d+)""),"""")
"),"")</f>
        <v/>
      </c>
      <c r="H490" s="3"/>
      <c r="I490" s="3" t="str">
        <f aca="false">IFERROR(__xludf.dummyfunction("if($T490&lt;&gt;"""",REGEXEXTRACT(SUBSTITUTE ($T490,I$1&amp;"" CE"",""""), I$1&amp;""[\w &amp;]*, (\d+\.\d+)""),"""")
"),"")</f>
        <v/>
      </c>
      <c r="J490" s="3" t="str">
        <f aca="false">IFERROR(__xludf.dummyfunction("if($T490&lt;&gt;"""",REGEXEXTRACT($T490, J$1&amp;""[\w &amp;]*, (\d+\.\d+)""),"""")
"),"")</f>
        <v/>
      </c>
      <c r="K490" s="3"/>
      <c r="L490" s="3" t="str">
        <f aca="false">IFERROR(__xludf.dummyfunction("if($T490&lt;&gt;"""",REGEXEXTRACT(SUBSTITUTE ($T490,L$1&amp;"" CE"",""""), L$1&amp;""[\w &amp;]*, (\d+\.\d+)""),"""")
"),"")</f>
        <v/>
      </c>
      <c r="M490" s="3" t="str">
        <f aca="false">IFERROR(__xludf.dummyfunction("if($T490&lt;&gt;"""",REGEXEXTRACT($T490, M$1&amp;""[\w &amp;]*, (\d+\.\d+)""),"""")
"),"")</f>
        <v/>
      </c>
      <c r="N490" s="3" t="str">
        <f aca="false">IFERROR(__xludf.dummyfunction("if($T490&lt;&gt;"""",REGEXEXTRACT(SUBSTITUTE ($T490,N$1&amp;"" CE"",""""), N$1&amp;""[\w &amp;]*, (\d+\.\d+)""),"""")
"),"")</f>
        <v/>
      </c>
      <c r="O490" s="3" t="str">
        <f aca="false">IFERROR(__xludf.dummyfunction("if($T490&lt;&gt;"""",REGEXEXTRACT($T490, O$1&amp;""[\w &amp;]*, (\d+\.\d+)""),"""")
"),"")</f>
        <v/>
      </c>
      <c r="P490" s="2"/>
      <c r="Q490" s="2"/>
      <c r="R490" s="2"/>
      <c r="S490" s="2"/>
      <c r="T490" s="5"/>
    </row>
    <row r="491" customFormat="false" ht="15.75" hidden="false" customHeight="false" outlineLevel="0" collapsed="false">
      <c r="A491" s="4"/>
      <c r="B491" s="2"/>
      <c r="C491" s="2"/>
      <c r="D491" s="2"/>
      <c r="E491" s="2"/>
      <c r="F491" s="3" t="str">
        <f aca="false">IFERROR(__xludf.dummyfunction("if($T491&lt;&gt;"""",REGEXEXTRACT(SUBSTITUTE ($T491,F$1&amp;"" CE"",""""), F$1&amp;""[\w &amp;]*, (\d+\.\d+)""),"""")
"),"")</f>
        <v/>
      </c>
      <c r="G491" s="3" t="str">
        <f aca="false">IFERROR(__xludf.dummyfunction("if($T491&lt;&gt;"""",REGEXEXTRACT($T491, G$1&amp;""[\w &amp;]*, (\d+\.\d+)""),"""")
"),"")</f>
        <v/>
      </c>
      <c r="H491" s="3"/>
      <c r="I491" s="3" t="str">
        <f aca="false">IFERROR(__xludf.dummyfunction("if($T491&lt;&gt;"""",REGEXEXTRACT(SUBSTITUTE ($T491,I$1&amp;"" CE"",""""), I$1&amp;""[\w &amp;]*, (\d+\.\d+)""),"""")
"),"")</f>
        <v/>
      </c>
      <c r="J491" s="3" t="str">
        <f aca="false">IFERROR(__xludf.dummyfunction("if($T491&lt;&gt;"""",REGEXEXTRACT($T491, J$1&amp;""[\w &amp;]*, (\d+\.\d+)""),"""")
"),"")</f>
        <v/>
      </c>
      <c r="K491" s="3"/>
      <c r="L491" s="3" t="str">
        <f aca="false">IFERROR(__xludf.dummyfunction("if($T491&lt;&gt;"""",REGEXEXTRACT(SUBSTITUTE ($T491,L$1&amp;"" CE"",""""), L$1&amp;""[\w &amp;]*, (\d+\.\d+)""),"""")
"),"")</f>
        <v/>
      </c>
      <c r="M491" s="3" t="str">
        <f aca="false">IFERROR(__xludf.dummyfunction("if($T491&lt;&gt;"""",REGEXEXTRACT($T491, M$1&amp;""[\w &amp;]*, (\d+\.\d+)""),"""")
"),"")</f>
        <v/>
      </c>
      <c r="N491" s="3" t="str">
        <f aca="false">IFERROR(__xludf.dummyfunction("if($T491&lt;&gt;"""",REGEXEXTRACT(SUBSTITUTE ($T491,N$1&amp;"" CE"",""""), N$1&amp;""[\w &amp;]*, (\d+\.\d+)""),"""")
"),"")</f>
        <v/>
      </c>
      <c r="O491" s="3" t="str">
        <f aca="false">IFERROR(__xludf.dummyfunction("if($T491&lt;&gt;"""",REGEXEXTRACT($T491, O$1&amp;""[\w &amp;]*, (\d+\.\d+)""),"""")
"),"")</f>
        <v/>
      </c>
      <c r="P491" s="2"/>
      <c r="Q491" s="2"/>
      <c r="R491" s="2"/>
      <c r="S491" s="2"/>
      <c r="T491" s="5"/>
    </row>
    <row r="492" customFormat="false" ht="15.75" hidden="false" customHeight="false" outlineLevel="0" collapsed="false">
      <c r="A492" s="4"/>
      <c r="B492" s="2"/>
      <c r="C492" s="2"/>
      <c r="D492" s="2"/>
      <c r="E492" s="2"/>
      <c r="F492" s="3" t="str">
        <f aca="false">IFERROR(__xludf.dummyfunction("if($T492&lt;&gt;"""",REGEXEXTRACT(SUBSTITUTE ($T492,F$1&amp;"" CE"",""""), F$1&amp;""[\w &amp;]*, (\d+\.\d+)""),"""")
"),"")</f>
        <v/>
      </c>
      <c r="G492" s="3" t="str">
        <f aca="false">IFERROR(__xludf.dummyfunction("if($T492&lt;&gt;"""",REGEXEXTRACT($T492, G$1&amp;""[\w &amp;]*, (\d+\.\d+)""),"""")
"),"")</f>
        <v/>
      </c>
      <c r="H492" s="3"/>
      <c r="I492" s="3" t="str">
        <f aca="false">IFERROR(__xludf.dummyfunction("if($T492&lt;&gt;"""",REGEXEXTRACT(SUBSTITUTE ($T492,I$1&amp;"" CE"",""""), I$1&amp;""[\w &amp;]*, (\d+\.\d+)""),"""")
"),"")</f>
        <v/>
      </c>
      <c r="J492" s="3" t="str">
        <f aca="false">IFERROR(__xludf.dummyfunction("if($T492&lt;&gt;"""",REGEXEXTRACT($T492, J$1&amp;""[\w &amp;]*, (\d+\.\d+)""),"""")
"),"")</f>
        <v/>
      </c>
      <c r="K492" s="3"/>
      <c r="L492" s="3" t="str">
        <f aca="false">IFERROR(__xludf.dummyfunction("if($T492&lt;&gt;"""",REGEXEXTRACT(SUBSTITUTE ($T492,L$1&amp;"" CE"",""""), L$1&amp;""[\w &amp;]*, (\d+\.\d+)""),"""")
"),"")</f>
        <v/>
      </c>
      <c r="M492" s="3" t="str">
        <f aca="false">IFERROR(__xludf.dummyfunction("if($T492&lt;&gt;"""",REGEXEXTRACT($T492, M$1&amp;""[\w &amp;]*, (\d+\.\d+)""),"""")
"),"")</f>
        <v/>
      </c>
      <c r="N492" s="3" t="str">
        <f aca="false">IFERROR(__xludf.dummyfunction("if($T492&lt;&gt;"""",REGEXEXTRACT(SUBSTITUTE ($T492,N$1&amp;"" CE"",""""), N$1&amp;""[\w &amp;]*, (\d+\.\d+)""),"""")
"),"")</f>
        <v/>
      </c>
      <c r="O492" s="3" t="str">
        <f aca="false">IFERROR(__xludf.dummyfunction("if($T492&lt;&gt;"""",REGEXEXTRACT($T492, O$1&amp;""[\w &amp;]*, (\d+\.\d+)""),"""")
"),"")</f>
        <v/>
      </c>
      <c r="P492" s="2"/>
      <c r="Q492" s="2"/>
      <c r="R492" s="2"/>
      <c r="S492" s="2"/>
      <c r="T492" s="5"/>
    </row>
    <row r="493" customFormat="false" ht="15.75" hidden="false" customHeight="false" outlineLevel="0" collapsed="false">
      <c r="A493" s="4"/>
      <c r="B493" s="2"/>
      <c r="C493" s="2"/>
      <c r="D493" s="2"/>
      <c r="E493" s="2"/>
      <c r="F493" s="3" t="str">
        <f aca="false">IFERROR(__xludf.dummyfunction("if($T493&lt;&gt;"""",REGEXEXTRACT(SUBSTITUTE ($T493,F$1&amp;"" CE"",""""), F$1&amp;""[\w &amp;]*, (\d+\.\d+)""),"""")
"),"")</f>
        <v/>
      </c>
      <c r="G493" s="3" t="str">
        <f aca="false">IFERROR(__xludf.dummyfunction("if($T493&lt;&gt;"""",REGEXEXTRACT($T493, G$1&amp;""[\w &amp;]*, (\d+\.\d+)""),"""")
"),"")</f>
        <v/>
      </c>
      <c r="H493" s="3"/>
      <c r="I493" s="3" t="str">
        <f aca="false">IFERROR(__xludf.dummyfunction("if($T493&lt;&gt;"""",REGEXEXTRACT(SUBSTITUTE ($T493,I$1&amp;"" CE"",""""), I$1&amp;""[\w &amp;]*, (\d+\.\d+)""),"""")
"),"")</f>
        <v/>
      </c>
      <c r="J493" s="3" t="str">
        <f aca="false">IFERROR(__xludf.dummyfunction("if($T493&lt;&gt;"""",REGEXEXTRACT($T493, J$1&amp;""[\w &amp;]*, (\d+\.\d+)""),"""")
"),"")</f>
        <v/>
      </c>
      <c r="K493" s="3"/>
      <c r="L493" s="3" t="str">
        <f aca="false">IFERROR(__xludf.dummyfunction("if($T493&lt;&gt;"""",REGEXEXTRACT(SUBSTITUTE ($T493,L$1&amp;"" CE"",""""), L$1&amp;""[\w &amp;]*, (\d+\.\d+)""),"""")
"),"")</f>
        <v/>
      </c>
      <c r="M493" s="3" t="str">
        <f aca="false">IFERROR(__xludf.dummyfunction("if($T493&lt;&gt;"""",REGEXEXTRACT($T493, M$1&amp;""[\w &amp;]*, (\d+\.\d+)""),"""")
"),"")</f>
        <v/>
      </c>
      <c r="N493" s="3" t="str">
        <f aca="false">IFERROR(__xludf.dummyfunction("if($T493&lt;&gt;"""",REGEXEXTRACT(SUBSTITUTE ($T493,N$1&amp;"" CE"",""""), N$1&amp;""[\w &amp;]*, (\d+\.\d+)""),"""")
"),"")</f>
        <v/>
      </c>
      <c r="O493" s="3" t="str">
        <f aca="false">IFERROR(__xludf.dummyfunction("if($T493&lt;&gt;"""",REGEXEXTRACT($T493, O$1&amp;""[\w &amp;]*, (\d+\.\d+)""),"""")
"),"")</f>
        <v/>
      </c>
      <c r="P493" s="2"/>
      <c r="Q493" s="2"/>
      <c r="R493" s="2"/>
      <c r="S493" s="2"/>
      <c r="T493" s="5"/>
    </row>
    <row r="494" customFormat="false" ht="15.75" hidden="false" customHeight="false" outlineLevel="0" collapsed="false">
      <c r="A494" s="4"/>
      <c r="B494" s="2"/>
      <c r="C494" s="2"/>
      <c r="D494" s="2"/>
      <c r="E494" s="2"/>
      <c r="F494" s="3" t="str">
        <f aca="false">IFERROR(__xludf.dummyfunction("if($T494&lt;&gt;"""",REGEXEXTRACT(SUBSTITUTE ($T494,F$1&amp;"" CE"",""""), F$1&amp;""[\w &amp;]*, (\d+\.\d+)""),"""")
"),"")</f>
        <v/>
      </c>
      <c r="G494" s="3" t="str">
        <f aca="false">IFERROR(__xludf.dummyfunction("if($T494&lt;&gt;"""",REGEXEXTRACT($T494, G$1&amp;""[\w &amp;]*, (\d+\.\d+)""),"""")
"),"")</f>
        <v/>
      </c>
      <c r="H494" s="3"/>
      <c r="I494" s="3" t="str">
        <f aca="false">IFERROR(__xludf.dummyfunction("if($T494&lt;&gt;"""",REGEXEXTRACT(SUBSTITUTE ($T494,I$1&amp;"" CE"",""""), I$1&amp;""[\w &amp;]*, (\d+\.\d+)""),"""")
"),"")</f>
        <v/>
      </c>
      <c r="J494" s="3" t="str">
        <f aca="false">IFERROR(__xludf.dummyfunction("if($T494&lt;&gt;"""",REGEXEXTRACT($T494, J$1&amp;""[\w &amp;]*, (\d+\.\d+)""),"""")
"),"")</f>
        <v/>
      </c>
      <c r="K494" s="3"/>
      <c r="L494" s="3" t="str">
        <f aca="false">IFERROR(__xludf.dummyfunction("if($T494&lt;&gt;"""",REGEXEXTRACT(SUBSTITUTE ($T494,L$1&amp;"" CE"",""""), L$1&amp;""[\w &amp;]*, (\d+\.\d+)""),"""")
"),"")</f>
        <v/>
      </c>
      <c r="M494" s="3" t="str">
        <f aca="false">IFERROR(__xludf.dummyfunction("if($T494&lt;&gt;"""",REGEXEXTRACT($T494, M$1&amp;""[\w &amp;]*, (\d+\.\d+)""),"""")
"),"")</f>
        <v/>
      </c>
      <c r="N494" s="3" t="str">
        <f aca="false">IFERROR(__xludf.dummyfunction("if($T494&lt;&gt;"""",REGEXEXTRACT(SUBSTITUTE ($T494,N$1&amp;"" CE"",""""), N$1&amp;""[\w &amp;]*, (\d+\.\d+)""),"""")
"),"")</f>
        <v/>
      </c>
      <c r="O494" s="3" t="str">
        <f aca="false">IFERROR(__xludf.dummyfunction("if($T494&lt;&gt;"""",REGEXEXTRACT($T494, O$1&amp;""[\w &amp;]*, (\d+\.\d+)""),"""")
"),"")</f>
        <v/>
      </c>
      <c r="P494" s="2"/>
      <c r="Q494" s="2"/>
      <c r="R494" s="2"/>
      <c r="S494" s="2"/>
      <c r="T494" s="5"/>
    </row>
    <row r="495" customFormat="false" ht="15.75" hidden="false" customHeight="false" outlineLevel="0" collapsed="false">
      <c r="A495" s="4"/>
      <c r="B495" s="2"/>
      <c r="C495" s="2"/>
      <c r="D495" s="2"/>
      <c r="E495" s="2"/>
      <c r="F495" s="3" t="str">
        <f aca="false">IFERROR(__xludf.dummyfunction("if($T495&lt;&gt;"""",REGEXEXTRACT(SUBSTITUTE ($T495,F$1&amp;"" CE"",""""), F$1&amp;""[\w &amp;]*, (\d+\.\d+)""),"""")
"),"")</f>
        <v/>
      </c>
      <c r="G495" s="3" t="str">
        <f aca="false">IFERROR(__xludf.dummyfunction("if($T495&lt;&gt;"""",REGEXEXTRACT($T495, G$1&amp;""[\w &amp;]*, (\d+\.\d+)""),"""")
"),"")</f>
        <v/>
      </c>
      <c r="H495" s="3"/>
      <c r="I495" s="3" t="str">
        <f aca="false">IFERROR(__xludf.dummyfunction("if($T495&lt;&gt;"""",REGEXEXTRACT(SUBSTITUTE ($T495,I$1&amp;"" CE"",""""), I$1&amp;""[\w &amp;]*, (\d+\.\d+)""),"""")
"),"")</f>
        <v/>
      </c>
      <c r="J495" s="3" t="str">
        <f aca="false">IFERROR(__xludf.dummyfunction("if($T495&lt;&gt;"""",REGEXEXTRACT($T495, J$1&amp;""[\w &amp;]*, (\d+\.\d+)""),"""")
"),"")</f>
        <v/>
      </c>
      <c r="K495" s="3"/>
      <c r="L495" s="3" t="str">
        <f aca="false">IFERROR(__xludf.dummyfunction("if($T495&lt;&gt;"""",REGEXEXTRACT(SUBSTITUTE ($T495,L$1&amp;"" CE"",""""), L$1&amp;""[\w &amp;]*, (\d+\.\d+)""),"""")
"),"")</f>
        <v/>
      </c>
      <c r="M495" s="3" t="str">
        <f aca="false">IFERROR(__xludf.dummyfunction("if($T495&lt;&gt;"""",REGEXEXTRACT($T495, M$1&amp;""[\w &amp;]*, (\d+\.\d+)""),"""")
"),"")</f>
        <v/>
      </c>
      <c r="N495" s="3" t="str">
        <f aca="false">IFERROR(__xludf.dummyfunction("if($T495&lt;&gt;"""",REGEXEXTRACT(SUBSTITUTE ($T495,N$1&amp;"" CE"",""""), N$1&amp;""[\w &amp;]*, (\d+\.\d+)""),"""")
"),"")</f>
        <v/>
      </c>
      <c r="O495" s="3" t="str">
        <f aca="false">IFERROR(__xludf.dummyfunction("if($T495&lt;&gt;"""",REGEXEXTRACT($T495, O$1&amp;""[\w &amp;]*, (\d+\.\d+)""),"""")
"),"")</f>
        <v/>
      </c>
      <c r="P495" s="2"/>
      <c r="Q495" s="2"/>
      <c r="R495" s="2"/>
      <c r="S495" s="2"/>
      <c r="T495" s="5"/>
    </row>
    <row r="496" customFormat="false" ht="15.75" hidden="false" customHeight="false" outlineLevel="0" collapsed="false">
      <c r="A496" s="4"/>
      <c r="B496" s="2"/>
      <c r="C496" s="2"/>
      <c r="D496" s="2"/>
      <c r="E496" s="2"/>
      <c r="F496" s="3" t="str">
        <f aca="false">IFERROR(__xludf.dummyfunction("if($T496&lt;&gt;"""",REGEXEXTRACT(SUBSTITUTE ($T496,F$1&amp;"" CE"",""""), F$1&amp;""[\w &amp;]*, (\d+\.\d+)""),"""")
"),"")</f>
        <v/>
      </c>
      <c r="G496" s="3" t="str">
        <f aca="false">IFERROR(__xludf.dummyfunction("if($T496&lt;&gt;"""",REGEXEXTRACT($T496, G$1&amp;""[\w &amp;]*, (\d+\.\d+)""),"""")
"),"")</f>
        <v/>
      </c>
      <c r="H496" s="3"/>
      <c r="I496" s="3" t="str">
        <f aca="false">IFERROR(__xludf.dummyfunction("if($T496&lt;&gt;"""",REGEXEXTRACT(SUBSTITUTE ($T496,I$1&amp;"" CE"",""""), I$1&amp;""[\w &amp;]*, (\d+\.\d+)""),"""")
"),"")</f>
        <v/>
      </c>
      <c r="J496" s="3" t="str">
        <f aca="false">IFERROR(__xludf.dummyfunction("if($T496&lt;&gt;"""",REGEXEXTRACT($T496, J$1&amp;""[\w &amp;]*, (\d+\.\d+)""),"""")
"),"")</f>
        <v/>
      </c>
      <c r="K496" s="3"/>
      <c r="L496" s="3" t="str">
        <f aca="false">IFERROR(__xludf.dummyfunction("if($T496&lt;&gt;"""",REGEXEXTRACT(SUBSTITUTE ($T496,L$1&amp;"" CE"",""""), L$1&amp;""[\w &amp;]*, (\d+\.\d+)""),"""")
"),"")</f>
        <v/>
      </c>
      <c r="M496" s="3" t="str">
        <f aca="false">IFERROR(__xludf.dummyfunction("if($T496&lt;&gt;"""",REGEXEXTRACT($T496, M$1&amp;""[\w &amp;]*, (\d+\.\d+)""),"""")
"),"")</f>
        <v/>
      </c>
      <c r="N496" s="3" t="str">
        <f aca="false">IFERROR(__xludf.dummyfunction("if($T496&lt;&gt;"""",REGEXEXTRACT(SUBSTITUTE ($T496,N$1&amp;"" CE"",""""), N$1&amp;""[\w &amp;]*, (\d+\.\d+)""),"""")
"),"")</f>
        <v/>
      </c>
      <c r="O496" s="3" t="str">
        <f aca="false">IFERROR(__xludf.dummyfunction("if($T496&lt;&gt;"""",REGEXEXTRACT($T496, O$1&amp;""[\w &amp;]*, (\d+\.\d+)""),"""")
"),"")</f>
        <v/>
      </c>
      <c r="P496" s="2"/>
      <c r="Q496" s="2"/>
      <c r="R496" s="2"/>
      <c r="S496" s="2"/>
      <c r="T496" s="5"/>
    </row>
    <row r="497" customFormat="false" ht="15.75" hidden="false" customHeight="false" outlineLevel="0" collapsed="false">
      <c r="A497" s="4"/>
      <c r="B497" s="2"/>
      <c r="C497" s="2"/>
      <c r="D497" s="2"/>
      <c r="E497" s="2"/>
      <c r="F497" s="3" t="str">
        <f aca="false">IFERROR(__xludf.dummyfunction("if($T497&lt;&gt;"""",REGEXEXTRACT(SUBSTITUTE ($T497,F$1&amp;"" CE"",""""), F$1&amp;""[\w &amp;]*, (\d+\.\d+)""),"""")
"),"")</f>
        <v/>
      </c>
      <c r="G497" s="3" t="str">
        <f aca="false">IFERROR(__xludf.dummyfunction("if($T497&lt;&gt;"""",REGEXEXTRACT($T497, G$1&amp;""[\w &amp;]*, (\d+\.\d+)""),"""")
"),"")</f>
        <v/>
      </c>
      <c r="H497" s="3"/>
      <c r="I497" s="3" t="str">
        <f aca="false">IFERROR(__xludf.dummyfunction("if($T497&lt;&gt;"""",REGEXEXTRACT(SUBSTITUTE ($T497,I$1&amp;"" CE"",""""), I$1&amp;""[\w &amp;]*, (\d+\.\d+)""),"""")
"),"")</f>
        <v/>
      </c>
      <c r="J497" s="3" t="str">
        <f aca="false">IFERROR(__xludf.dummyfunction("if($T497&lt;&gt;"""",REGEXEXTRACT($T497, J$1&amp;""[\w &amp;]*, (\d+\.\d+)""),"""")
"),"")</f>
        <v/>
      </c>
      <c r="K497" s="3"/>
      <c r="L497" s="3" t="str">
        <f aca="false">IFERROR(__xludf.dummyfunction("if($T497&lt;&gt;"""",REGEXEXTRACT(SUBSTITUTE ($T497,L$1&amp;"" CE"",""""), L$1&amp;""[\w &amp;]*, (\d+\.\d+)""),"""")
"),"")</f>
        <v/>
      </c>
      <c r="M497" s="3" t="str">
        <f aca="false">IFERROR(__xludf.dummyfunction("if($T497&lt;&gt;"""",REGEXEXTRACT($T497, M$1&amp;""[\w &amp;]*, (\d+\.\d+)""),"""")
"),"")</f>
        <v/>
      </c>
      <c r="N497" s="3" t="str">
        <f aca="false">IFERROR(__xludf.dummyfunction("if($T497&lt;&gt;"""",REGEXEXTRACT(SUBSTITUTE ($T497,N$1&amp;"" CE"",""""), N$1&amp;""[\w &amp;]*, (\d+\.\d+)""),"""")
"),"")</f>
        <v/>
      </c>
      <c r="O497" s="3" t="str">
        <f aca="false">IFERROR(__xludf.dummyfunction("if($T497&lt;&gt;"""",REGEXEXTRACT($T497, O$1&amp;""[\w &amp;]*, (\d+\.\d+)""),"""")
"),"")</f>
        <v/>
      </c>
      <c r="P497" s="2"/>
      <c r="Q497" s="2"/>
      <c r="R497" s="2"/>
      <c r="S497" s="2"/>
      <c r="T497" s="5"/>
    </row>
    <row r="498" customFormat="false" ht="15.75" hidden="false" customHeight="false" outlineLevel="0" collapsed="false">
      <c r="A498" s="4"/>
      <c r="B498" s="2"/>
      <c r="C498" s="2"/>
      <c r="D498" s="2"/>
      <c r="E498" s="2"/>
      <c r="F498" s="3" t="str">
        <f aca="false">IFERROR(__xludf.dummyfunction("if($T498&lt;&gt;"""",REGEXEXTRACT(SUBSTITUTE ($T498,F$1&amp;"" CE"",""""), F$1&amp;""[\w &amp;]*, (\d+\.\d+)""),"""")
"),"")</f>
        <v/>
      </c>
      <c r="G498" s="3" t="str">
        <f aca="false">IFERROR(__xludf.dummyfunction("if($T498&lt;&gt;"""",REGEXEXTRACT($T498, G$1&amp;""[\w &amp;]*, (\d+\.\d+)""),"""")
"),"")</f>
        <v/>
      </c>
      <c r="H498" s="3"/>
      <c r="I498" s="3" t="str">
        <f aca="false">IFERROR(__xludf.dummyfunction("if($T498&lt;&gt;"""",REGEXEXTRACT(SUBSTITUTE ($T498,I$1&amp;"" CE"",""""), I$1&amp;""[\w &amp;]*, (\d+\.\d+)""),"""")
"),"")</f>
        <v/>
      </c>
      <c r="J498" s="3" t="str">
        <f aca="false">IFERROR(__xludf.dummyfunction("if($T498&lt;&gt;"""",REGEXEXTRACT($T498, J$1&amp;""[\w &amp;]*, (\d+\.\d+)""),"""")
"),"")</f>
        <v/>
      </c>
      <c r="K498" s="3"/>
      <c r="L498" s="3" t="str">
        <f aca="false">IFERROR(__xludf.dummyfunction("if($T498&lt;&gt;"""",REGEXEXTRACT(SUBSTITUTE ($T498,L$1&amp;"" CE"",""""), L$1&amp;""[\w &amp;]*, (\d+\.\d+)""),"""")
"),"")</f>
        <v/>
      </c>
      <c r="M498" s="3" t="str">
        <f aca="false">IFERROR(__xludf.dummyfunction("if($T498&lt;&gt;"""",REGEXEXTRACT($T498, M$1&amp;""[\w &amp;]*, (\d+\.\d+)""),"""")
"),"")</f>
        <v/>
      </c>
      <c r="N498" s="3" t="str">
        <f aca="false">IFERROR(__xludf.dummyfunction("if($T498&lt;&gt;"""",REGEXEXTRACT(SUBSTITUTE ($T498,N$1&amp;"" CE"",""""), N$1&amp;""[\w &amp;]*, (\d+\.\d+)""),"""")
"),"")</f>
        <v/>
      </c>
      <c r="O498" s="3" t="str">
        <f aca="false">IFERROR(__xludf.dummyfunction("if($T498&lt;&gt;"""",REGEXEXTRACT($T498, O$1&amp;""[\w &amp;]*, (\d+\.\d+)""),"""")
"),"")</f>
        <v/>
      </c>
      <c r="P498" s="2"/>
      <c r="Q498" s="2"/>
      <c r="R498" s="2"/>
      <c r="S498" s="2"/>
      <c r="T498" s="5"/>
    </row>
    <row r="499" customFormat="false" ht="15.75" hidden="false" customHeight="false" outlineLevel="0" collapsed="false">
      <c r="A499" s="4"/>
      <c r="B499" s="2"/>
      <c r="C499" s="2"/>
      <c r="D499" s="2"/>
      <c r="E499" s="2"/>
      <c r="F499" s="3" t="str">
        <f aca="false">IFERROR(__xludf.dummyfunction("if($T499&lt;&gt;"""",REGEXEXTRACT(SUBSTITUTE ($T499,F$1&amp;"" CE"",""""), F$1&amp;""[\w &amp;]*, (\d+\.\d+)""),"""")
"),"")</f>
        <v/>
      </c>
      <c r="G499" s="3" t="str">
        <f aca="false">IFERROR(__xludf.dummyfunction("if($T499&lt;&gt;"""",REGEXEXTRACT($T499, G$1&amp;""[\w &amp;]*, (\d+\.\d+)""),"""")
"),"")</f>
        <v/>
      </c>
      <c r="H499" s="3"/>
      <c r="I499" s="3" t="str">
        <f aca="false">IFERROR(__xludf.dummyfunction("if($T499&lt;&gt;"""",REGEXEXTRACT(SUBSTITUTE ($T499,I$1&amp;"" CE"",""""), I$1&amp;""[\w &amp;]*, (\d+\.\d+)""),"""")
"),"")</f>
        <v/>
      </c>
      <c r="J499" s="3" t="str">
        <f aca="false">IFERROR(__xludf.dummyfunction("if($T499&lt;&gt;"""",REGEXEXTRACT($T499, J$1&amp;""[\w &amp;]*, (\d+\.\d+)""),"""")
"),"")</f>
        <v/>
      </c>
      <c r="K499" s="3"/>
      <c r="L499" s="3" t="str">
        <f aca="false">IFERROR(__xludf.dummyfunction("if($T499&lt;&gt;"""",REGEXEXTRACT(SUBSTITUTE ($T499,L$1&amp;"" CE"",""""), L$1&amp;""[\w &amp;]*, (\d+\.\d+)""),"""")
"),"")</f>
        <v/>
      </c>
      <c r="M499" s="3" t="str">
        <f aca="false">IFERROR(__xludf.dummyfunction("if($T499&lt;&gt;"""",REGEXEXTRACT($T499, M$1&amp;""[\w &amp;]*, (\d+\.\d+)""),"""")
"),"")</f>
        <v/>
      </c>
      <c r="N499" s="3" t="str">
        <f aca="false">IFERROR(__xludf.dummyfunction("if($T499&lt;&gt;"""",REGEXEXTRACT(SUBSTITUTE ($T499,N$1&amp;"" CE"",""""), N$1&amp;""[\w &amp;]*, (\d+\.\d+)""),"""")
"),"")</f>
        <v/>
      </c>
      <c r="O499" s="3" t="str">
        <f aca="false">IFERROR(__xludf.dummyfunction("if($T499&lt;&gt;"""",REGEXEXTRACT($T499, O$1&amp;""[\w &amp;]*, (\d+\.\d+)""),"""")
"),"")</f>
        <v/>
      </c>
      <c r="P499" s="2"/>
      <c r="Q499" s="2"/>
      <c r="R499" s="2"/>
      <c r="S499" s="2"/>
      <c r="T499" s="5"/>
    </row>
    <row r="500" customFormat="false" ht="15.75" hidden="false" customHeight="false" outlineLevel="0" collapsed="false">
      <c r="A500" s="4"/>
      <c r="B500" s="2"/>
      <c r="C500" s="2"/>
      <c r="D500" s="2"/>
      <c r="E500" s="2"/>
      <c r="F500" s="3" t="str">
        <f aca="false">IFERROR(__xludf.dummyfunction("if($T500&lt;&gt;"""",REGEXEXTRACT(SUBSTITUTE ($T500,F$1&amp;"" CE"",""""), F$1&amp;""[\w &amp;]*, (\d+\.\d+)""),"""")
"),"")</f>
        <v/>
      </c>
      <c r="G500" s="3" t="str">
        <f aca="false">IFERROR(__xludf.dummyfunction("if($T500&lt;&gt;"""",REGEXEXTRACT($T500, G$1&amp;""[\w &amp;]*, (\d+\.\d+)""),"""")
"),"")</f>
        <v/>
      </c>
      <c r="H500" s="3"/>
      <c r="I500" s="3" t="str">
        <f aca="false">IFERROR(__xludf.dummyfunction("if($T500&lt;&gt;"""",REGEXEXTRACT(SUBSTITUTE ($T500,I$1&amp;"" CE"",""""), I$1&amp;""[\w &amp;]*, (\d+\.\d+)""),"""")
"),"")</f>
        <v/>
      </c>
      <c r="J500" s="3" t="str">
        <f aca="false">IFERROR(__xludf.dummyfunction("if($T500&lt;&gt;"""",REGEXEXTRACT($T500, J$1&amp;""[\w &amp;]*, (\d+\.\d+)""),"""")
"),"")</f>
        <v/>
      </c>
      <c r="K500" s="3"/>
      <c r="L500" s="3" t="str">
        <f aca="false">IFERROR(__xludf.dummyfunction("if($T500&lt;&gt;"""",REGEXEXTRACT(SUBSTITUTE ($T500,L$1&amp;"" CE"",""""), L$1&amp;""[\w &amp;]*, (\d+\.\d+)""),"""")
"),"")</f>
        <v/>
      </c>
      <c r="M500" s="3" t="str">
        <f aca="false">IFERROR(__xludf.dummyfunction("if($T500&lt;&gt;"""",REGEXEXTRACT($T500, M$1&amp;""[\w &amp;]*, (\d+\.\d+)""),"""")
"),"")</f>
        <v/>
      </c>
      <c r="N500" s="3" t="str">
        <f aca="false">IFERROR(__xludf.dummyfunction("if($T500&lt;&gt;"""",REGEXEXTRACT(SUBSTITUTE ($T500,N$1&amp;"" CE"",""""), N$1&amp;""[\w &amp;]*, (\d+\.\d+)""),"""")
"),"")</f>
        <v/>
      </c>
      <c r="O500" s="3" t="str">
        <f aca="false">IFERROR(__xludf.dummyfunction("if($T500&lt;&gt;"""",REGEXEXTRACT($T500, O$1&amp;""[\w &amp;]*, (\d+\.\d+)""),"""")
"),"")</f>
        <v/>
      </c>
      <c r="P500" s="2"/>
      <c r="Q500" s="2"/>
      <c r="R500" s="2"/>
      <c r="S500" s="2"/>
      <c r="T500" s="5"/>
    </row>
    <row r="501" customFormat="false" ht="15.75" hidden="false" customHeight="false" outlineLevel="0" collapsed="false">
      <c r="A501" s="4"/>
      <c r="B501" s="2"/>
      <c r="C501" s="2"/>
      <c r="D501" s="2"/>
      <c r="E501" s="2"/>
      <c r="F501" s="3" t="str">
        <f aca="false">IFERROR(__xludf.dummyfunction("if($T501&lt;&gt;"""",REGEXEXTRACT(SUBSTITUTE ($T501,F$1&amp;"" CE"",""""), F$1&amp;""[\w &amp;]*, (\d+\.\d+)""),"""")
"),"")</f>
        <v/>
      </c>
      <c r="G501" s="3" t="str">
        <f aca="false">IFERROR(__xludf.dummyfunction("if($T501&lt;&gt;"""",REGEXEXTRACT($T501, G$1&amp;""[\w &amp;]*, (\d+\.\d+)""),"""")
"),"")</f>
        <v/>
      </c>
      <c r="H501" s="3"/>
      <c r="I501" s="3" t="str">
        <f aca="false">IFERROR(__xludf.dummyfunction("if($T501&lt;&gt;"""",REGEXEXTRACT(SUBSTITUTE ($T501,I$1&amp;"" CE"",""""), I$1&amp;""[\w &amp;]*, (\d+\.\d+)""),"""")
"),"")</f>
        <v/>
      </c>
      <c r="J501" s="3" t="str">
        <f aca="false">IFERROR(__xludf.dummyfunction("if($T501&lt;&gt;"""",REGEXEXTRACT($T501, J$1&amp;""[\w &amp;]*, (\d+\.\d+)""),"""")
"),"")</f>
        <v/>
      </c>
      <c r="K501" s="3"/>
      <c r="L501" s="3" t="str">
        <f aca="false">IFERROR(__xludf.dummyfunction("if($T501&lt;&gt;"""",REGEXEXTRACT(SUBSTITUTE ($T501,L$1&amp;"" CE"",""""), L$1&amp;""[\w &amp;]*, (\d+\.\d+)""),"""")
"),"")</f>
        <v/>
      </c>
      <c r="M501" s="3" t="str">
        <f aca="false">IFERROR(__xludf.dummyfunction("if($T501&lt;&gt;"""",REGEXEXTRACT($T501, M$1&amp;""[\w &amp;]*, (\d+\.\d+)""),"""")
"),"")</f>
        <v/>
      </c>
      <c r="N501" s="3" t="str">
        <f aca="false">IFERROR(__xludf.dummyfunction("if($T501&lt;&gt;"""",REGEXEXTRACT(SUBSTITUTE ($T501,N$1&amp;"" CE"",""""), N$1&amp;""[\w &amp;]*, (\d+\.\d+)""),"""")
"),"")</f>
        <v/>
      </c>
      <c r="O501" s="3" t="str">
        <f aca="false">IFERROR(__xludf.dummyfunction("if($T501&lt;&gt;"""",REGEXEXTRACT($T501, O$1&amp;""[\w &amp;]*, (\d+\.\d+)""),"""")
"),"")</f>
        <v/>
      </c>
      <c r="P501" s="2"/>
      <c r="Q501" s="2"/>
      <c r="R501" s="2"/>
      <c r="S501" s="2"/>
      <c r="T501" s="5"/>
    </row>
    <row r="502" customFormat="false" ht="15.75" hidden="false" customHeight="false" outlineLevel="0" collapsed="false">
      <c r="A502" s="4"/>
      <c r="B502" s="2"/>
      <c r="C502" s="2"/>
      <c r="D502" s="2"/>
      <c r="E502" s="2"/>
      <c r="F502" s="3" t="str">
        <f aca="false">IFERROR(__xludf.dummyfunction("if($T502&lt;&gt;"""",REGEXEXTRACT(SUBSTITUTE ($T502,F$1&amp;"" CE"",""""), F$1&amp;""[\w &amp;]*, (\d+\.\d+)""),"""")
"),"")</f>
        <v/>
      </c>
      <c r="G502" s="3" t="str">
        <f aca="false">IFERROR(__xludf.dummyfunction("if($T502&lt;&gt;"""",REGEXEXTRACT($T502, G$1&amp;""[\w &amp;]*, (\d+\.\d+)""),"""")
"),"")</f>
        <v/>
      </c>
      <c r="H502" s="3"/>
      <c r="I502" s="3" t="str">
        <f aca="false">IFERROR(__xludf.dummyfunction("if($T502&lt;&gt;"""",REGEXEXTRACT(SUBSTITUTE ($T502,I$1&amp;"" CE"",""""), I$1&amp;""[\w &amp;]*, (\d+\.\d+)""),"""")
"),"")</f>
        <v/>
      </c>
      <c r="J502" s="3" t="str">
        <f aca="false">IFERROR(__xludf.dummyfunction("if($T502&lt;&gt;"""",REGEXEXTRACT($T502, J$1&amp;""[\w &amp;]*, (\d+\.\d+)""),"""")
"),"")</f>
        <v/>
      </c>
      <c r="K502" s="3"/>
      <c r="L502" s="3" t="str">
        <f aca="false">IFERROR(__xludf.dummyfunction("if($T502&lt;&gt;"""",REGEXEXTRACT(SUBSTITUTE ($T502,L$1&amp;"" CE"",""""), L$1&amp;""[\w &amp;]*, (\d+\.\d+)""),"""")
"),"")</f>
        <v/>
      </c>
      <c r="M502" s="3" t="str">
        <f aca="false">IFERROR(__xludf.dummyfunction("if($T502&lt;&gt;"""",REGEXEXTRACT($T502, M$1&amp;""[\w &amp;]*, (\d+\.\d+)""),"""")
"),"")</f>
        <v/>
      </c>
      <c r="N502" s="3" t="str">
        <f aca="false">IFERROR(__xludf.dummyfunction("if($T502&lt;&gt;"""",REGEXEXTRACT(SUBSTITUTE ($T502,N$1&amp;"" CE"",""""), N$1&amp;""[\w &amp;]*, (\d+\.\d+)""),"""")
"),"")</f>
        <v/>
      </c>
      <c r="O502" s="3" t="str">
        <f aca="false">IFERROR(__xludf.dummyfunction("if($T502&lt;&gt;"""",REGEXEXTRACT($T502, O$1&amp;""[\w &amp;]*, (\d+\.\d+)""),"""")
"),"")</f>
        <v/>
      </c>
      <c r="P502" s="2"/>
      <c r="Q502" s="2"/>
      <c r="R502" s="2"/>
      <c r="S502" s="2"/>
      <c r="T502" s="5"/>
    </row>
    <row r="503" customFormat="false" ht="15.75" hidden="false" customHeight="false" outlineLevel="0" collapsed="false">
      <c r="A503" s="4"/>
      <c r="B503" s="2"/>
      <c r="C503" s="2"/>
      <c r="D503" s="2"/>
      <c r="E503" s="2"/>
      <c r="F503" s="3" t="str">
        <f aca="false">IFERROR(__xludf.dummyfunction("if($T503&lt;&gt;"""",REGEXEXTRACT(SUBSTITUTE ($T503,F$1&amp;"" CE"",""""), F$1&amp;""[\w &amp;]*, (\d+\.\d+)""),"""")
"),"")</f>
        <v/>
      </c>
      <c r="G503" s="3" t="str">
        <f aca="false">IFERROR(__xludf.dummyfunction("if($T503&lt;&gt;"""",REGEXEXTRACT($T503, G$1&amp;""[\w &amp;]*, (\d+\.\d+)""),"""")
"),"")</f>
        <v/>
      </c>
      <c r="H503" s="3"/>
      <c r="I503" s="3" t="str">
        <f aca="false">IFERROR(__xludf.dummyfunction("if($T503&lt;&gt;"""",REGEXEXTRACT(SUBSTITUTE ($T503,I$1&amp;"" CE"",""""), I$1&amp;""[\w &amp;]*, (\d+\.\d+)""),"""")
"),"")</f>
        <v/>
      </c>
      <c r="J503" s="3" t="str">
        <f aca="false">IFERROR(__xludf.dummyfunction("if($T503&lt;&gt;"""",REGEXEXTRACT($T503, J$1&amp;""[\w &amp;]*, (\d+\.\d+)""),"""")
"),"")</f>
        <v/>
      </c>
      <c r="K503" s="3"/>
      <c r="L503" s="3" t="str">
        <f aca="false">IFERROR(__xludf.dummyfunction("if($T503&lt;&gt;"""",REGEXEXTRACT(SUBSTITUTE ($T503,L$1&amp;"" CE"",""""), L$1&amp;""[\w &amp;]*, (\d+\.\d+)""),"""")
"),"")</f>
        <v/>
      </c>
      <c r="M503" s="3" t="str">
        <f aca="false">IFERROR(__xludf.dummyfunction("if($T503&lt;&gt;"""",REGEXEXTRACT($T503, M$1&amp;""[\w &amp;]*, (\d+\.\d+)""),"""")
"),"")</f>
        <v/>
      </c>
      <c r="N503" s="3" t="str">
        <f aca="false">IFERROR(__xludf.dummyfunction("if($T503&lt;&gt;"""",REGEXEXTRACT(SUBSTITUTE ($T503,N$1&amp;"" CE"",""""), N$1&amp;""[\w &amp;]*, (\d+\.\d+)""),"""")
"),"")</f>
        <v/>
      </c>
      <c r="O503" s="3" t="str">
        <f aca="false">IFERROR(__xludf.dummyfunction("if($T503&lt;&gt;"""",REGEXEXTRACT($T503, O$1&amp;""[\w &amp;]*, (\d+\.\d+)""),"""")
"),"")</f>
        <v/>
      </c>
      <c r="P503" s="2"/>
      <c r="Q503" s="2"/>
      <c r="R503" s="2"/>
      <c r="S503" s="2"/>
      <c r="T503" s="5"/>
    </row>
    <row r="504" customFormat="false" ht="15.75" hidden="false" customHeight="false" outlineLevel="0" collapsed="false">
      <c r="A504" s="4"/>
      <c r="B504" s="2"/>
      <c r="C504" s="2"/>
      <c r="D504" s="2"/>
      <c r="E504" s="2"/>
      <c r="F504" s="3" t="str">
        <f aca="false">IFERROR(__xludf.dummyfunction("if($T504&lt;&gt;"""",REGEXEXTRACT(SUBSTITUTE ($T504,F$1&amp;"" CE"",""""), F$1&amp;""[\w &amp;]*, (\d+\.\d+)""),"""")
"),"")</f>
        <v/>
      </c>
      <c r="G504" s="3" t="str">
        <f aca="false">IFERROR(__xludf.dummyfunction("if($T504&lt;&gt;"""",REGEXEXTRACT($T504, G$1&amp;""[\w &amp;]*, (\d+\.\d+)""),"""")
"),"")</f>
        <v/>
      </c>
      <c r="H504" s="3"/>
      <c r="I504" s="3" t="str">
        <f aca="false">IFERROR(__xludf.dummyfunction("if($T504&lt;&gt;"""",REGEXEXTRACT(SUBSTITUTE ($T504,I$1&amp;"" CE"",""""), I$1&amp;""[\w &amp;]*, (\d+\.\d+)""),"""")
"),"")</f>
        <v/>
      </c>
      <c r="J504" s="3" t="str">
        <f aca="false">IFERROR(__xludf.dummyfunction("if($T504&lt;&gt;"""",REGEXEXTRACT($T504, J$1&amp;""[\w &amp;]*, (\d+\.\d+)""),"""")
"),"")</f>
        <v/>
      </c>
      <c r="K504" s="3"/>
      <c r="L504" s="3" t="str">
        <f aca="false">IFERROR(__xludf.dummyfunction("if($T504&lt;&gt;"""",REGEXEXTRACT(SUBSTITUTE ($T504,L$1&amp;"" CE"",""""), L$1&amp;""[\w &amp;]*, (\d+\.\d+)""),"""")
"),"")</f>
        <v/>
      </c>
      <c r="M504" s="3" t="str">
        <f aca="false">IFERROR(__xludf.dummyfunction("if($T504&lt;&gt;"""",REGEXEXTRACT($T504, M$1&amp;""[\w &amp;]*, (\d+\.\d+)""),"""")
"),"")</f>
        <v/>
      </c>
      <c r="N504" s="3" t="str">
        <f aca="false">IFERROR(__xludf.dummyfunction("if($T504&lt;&gt;"""",REGEXEXTRACT(SUBSTITUTE ($T504,N$1&amp;"" CE"",""""), N$1&amp;""[\w &amp;]*, (\d+\.\d+)""),"""")
"),"")</f>
        <v/>
      </c>
      <c r="O504" s="3" t="str">
        <f aca="false">IFERROR(__xludf.dummyfunction("if($T504&lt;&gt;"""",REGEXEXTRACT($T504, O$1&amp;""[\w &amp;]*, (\d+\.\d+)""),"""")
"),"")</f>
        <v/>
      </c>
      <c r="P504" s="2"/>
      <c r="Q504" s="2"/>
      <c r="R504" s="2"/>
      <c r="S504" s="2"/>
      <c r="T504" s="5"/>
    </row>
    <row r="505" customFormat="false" ht="15.75" hidden="false" customHeight="false" outlineLevel="0" collapsed="false">
      <c r="A505" s="4"/>
      <c r="B505" s="2"/>
      <c r="C505" s="2"/>
      <c r="D505" s="2"/>
      <c r="E505" s="2"/>
      <c r="F505" s="3" t="str">
        <f aca="false">IFERROR(__xludf.dummyfunction("if($T505&lt;&gt;"""",REGEXEXTRACT(SUBSTITUTE ($T505,F$1&amp;"" CE"",""""), F$1&amp;""[\w &amp;]*, (\d+\.\d+)""),"""")
"),"")</f>
        <v/>
      </c>
      <c r="G505" s="3" t="str">
        <f aca="false">IFERROR(__xludf.dummyfunction("if($T505&lt;&gt;"""",REGEXEXTRACT($T505, G$1&amp;""[\w &amp;]*, (\d+\.\d+)""),"""")
"),"")</f>
        <v/>
      </c>
      <c r="H505" s="3"/>
      <c r="I505" s="3" t="str">
        <f aca="false">IFERROR(__xludf.dummyfunction("if($T505&lt;&gt;"""",REGEXEXTRACT(SUBSTITUTE ($T505,I$1&amp;"" CE"",""""), I$1&amp;""[\w &amp;]*, (\d+\.\d+)""),"""")
"),"")</f>
        <v/>
      </c>
      <c r="J505" s="3" t="str">
        <f aca="false">IFERROR(__xludf.dummyfunction("if($T505&lt;&gt;"""",REGEXEXTRACT($T505, J$1&amp;""[\w &amp;]*, (\d+\.\d+)""),"""")
"),"")</f>
        <v/>
      </c>
      <c r="K505" s="3"/>
      <c r="L505" s="3" t="str">
        <f aca="false">IFERROR(__xludf.dummyfunction("if($T505&lt;&gt;"""",REGEXEXTRACT(SUBSTITUTE ($T505,L$1&amp;"" CE"",""""), L$1&amp;""[\w &amp;]*, (\d+\.\d+)""),"""")
"),"")</f>
        <v/>
      </c>
      <c r="M505" s="3" t="str">
        <f aca="false">IFERROR(__xludf.dummyfunction("if($T505&lt;&gt;"""",REGEXEXTRACT($T505, M$1&amp;""[\w &amp;]*, (\d+\.\d+)""),"""")
"),"")</f>
        <v/>
      </c>
      <c r="N505" s="3" t="str">
        <f aca="false">IFERROR(__xludf.dummyfunction("if($T505&lt;&gt;"""",REGEXEXTRACT(SUBSTITUTE ($T505,N$1&amp;"" CE"",""""), N$1&amp;""[\w &amp;]*, (\d+\.\d+)""),"""")
"),"")</f>
        <v/>
      </c>
      <c r="O505" s="3" t="str">
        <f aca="false">IFERROR(__xludf.dummyfunction("if($T505&lt;&gt;"""",REGEXEXTRACT($T505, O$1&amp;""[\w &amp;]*, (\d+\.\d+)""),"""")
"),"")</f>
        <v/>
      </c>
      <c r="P505" s="2"/>
      <c r="Q505" s="2"/>
      <c r="R505" s="2"/>
      <c r="S505" s="2"/>
      <c r="T505" s="5"/>
    </row>
    <row r="506" customFormat="false" ht="15.75" hidden="false" customHeight="false" outlineLevel="0" collapsed="false">
      <c r="A506" s="4"/>
      <c r="B506" s="2"/>
      <c r="C506" s="2"/>
      <c r="D506" s="2"/>
      <c r="E506" s="2"/>
      <c r="F506" s="3" t="str">
        <f aca="false">IFERROR(__xludf.dummyfunction("if($T506&lt;&gt;"""",REGEXEXTRACT(SUBSTITUTE ($T506,F$1&amp;"" CE"",""""), F$1&amp;""[\w &amp;]*, (\d+\.\d+)""),"""")
"),"")</f>
        <v/>
      </c>
      <c r="G506" s="3" t="str">
        <f aca="false">IFERROR(__xludf.dummyfunction("if($T506&lt;&gt;"""",REGEXEXTRACT($T506, G$1&amp;""[\w &amp;]*, (\d+\.\d+)""),"""")
"),"")</f>
        <v/>
      </c>
      <c r="H506" s="3"/>
      <c r="I506" s="3" t="str">
        <f aca="false">IFERROR(__xludf.dummyfunction("if($T506&lt;&gt;"""",REGEXEXTRACT(SUBSTITUTE ($T506,I$1&amp;"" CE"",""""), I$1&amp;""[\w &amp;]*, (\d+\.\d+)""),"""")
"),"")</f>
        <v/>
      </c>
      <c r="J506" s="3" t="str">
        <f aca="false">IFERROR(__xludf.dummyfunction("if($T506&lt;&gt;"""",REGEXEXTRACT($T506, J$1&amp;""[\w &amp;]*, (\d+\.\d+)""),"""")
"),"")</f>
        <v/>
      </c>
      <c r="K506" s="3"/>
      <c r="L506" s="3" t="str">
        <f aca="false">IFERROR(__xludf.dummyfunction("if($T506&lt;&gt;"""",REGEXEXTRACT(SUBSTITUTE ($T506,L$1&amp;"" CE"",""""), L$1&amp;""[\w &amp;]*, (\d+\.\d+)""),"""")
"),"")</f>
        <v/>
      </c>
      <c r="M506" s="3" t="str">
        <f aca="false">IFERROR(__xludf.dummyfunction("if($T506&lt;&gt;"""",REGEXEXTRACT($T506, M$1&amp;""[\w &amp;]*, (\d+\.\d+)""),"""")
"),"")</f>
        <v/>
      </c>
      <c r="N506" s="3" t="str">
        <f aca="false">IFERROR(__xludf.dummyfunction("if($T506&lt;&gt;"""",REGEXEXTRACT(SUBSTITUTE ($T506,N$1&amp;"" CE"",""""), N$1&amp;""[\w &amp;]*, (\d+\.\d+)""),"""")
"),"")</f>
        <v/>
      </c>
      <c r="O506" s="3" t="str">
        <f aca="false">IFERROR(__xludf.dummyfunction("if($T506&lt;&gt;"""",REGEXEXTRACT($T506, O$1&amp;""[\w &amp;]*, (\d+\.\d+)""),"""")
"),"")</f>
        <v/>
      </c>
      <c r="P506" s="2"/>
      <c r="Q506" s="2"/>
      <c r="R506" s="2"/>
      <c r="S506" s="2"/>
      <c r="T506" s="5"/>
    </row>
    <row r="507" customFormat="false" ht="15.75" hidden="false" customHeight="false" outlineLevel="0" collapsed="false">
      <c r="A507" s="4"/>
      <c r="B507" s="2"/>
      <c r="C507" s="2"/>
      <c r="D507" s="2"/>
      <c r="E507" s="2"/>
      <c r="F507" s="3" t="str">
        <f aca="false">IFERROR(__xludf.dummyfunction("if($T507&lt;&gt;"""",REGEXEXTRACT(SUBSTITUTE ($T507,F$1&amp;"" CE"",""""), F$1&amp;""[\w &amp;]*, (\d+\.\d+)""),"""")
"),"")</f>
        <v/>
      </c>
      <c r="G507" s="3" t="str">
        <f aca="false">IFERROR(__xludf.dummyfunction("if($T507&lt;&gt;"""",REGEXEXTRACT($T507, G$1&amp;""[\w &amp;]*, (\d+\.\d+)""),"""")
"),"")</f>
        <v/>
      </c>
      <c r="H507" s="3"/>
      <c r="I507" s="3" t="str">
        <f aca="false">IFERROR(__xludf.dummyfunction("if($T507&lt;&gt;"""",REGEXEXTRACT(SUBSTITUTE ($T507,I$1&amp;"" CE"",""""), I$1&amp;""[\w &amp;]*, (\d+\.\d+)""),"""")
"),"")</f>
        <v/>
      </c>
      <c r="J507" s="3" t="str">
        <f aca="false">IFERROR(__xludf.dummyfunction("if($T507&lt;&gt;"""",REGEXEXTRACT($T507, J$1&amp;""[\w &amp;]*, (\d+\.\d+)""),"""")
"),"")</f>
        <v/>
      </c>
      <c r="K507" s="3"/>
      <c r="L507" s="3" t="str">
        <f aca="false">IFERROR(__xludf.dummyfunction("if($T507&lt;&gt;"""",REGEXEXTRACT(SUBSTITUTE ($T507,L$1&amp;"" CE"",""""), L$1&amp;""[\w &amp;]*, (\d+\.\d+)""),"""")
"),"")</f>
        <v/>
      </c>
      <c r="M507" s="3" t="str">
        <f aca="false">IFERROR(__xludf.dummyfunction("if($T507&lt;&gt;"""",REGEXEXTRACT($T507, M$1&amp;""[\w &amp;]*, (\d+\.\d+)""),"""")
"),"")</f>
        <v/>
      </c>
      <c r="N507" s="3" t="str">
        <f aca="false">IFERROR(__xludf.dummyfunction("if($T507&lt;&gt;"""",REGEXEXTRACT(SUBSTITUTE ($T507,N$1&amp;"" CE"",""""), N$1&amp;""[\w &amp;]*, (\d+\.\d+)""),"""")
"),"")</f>
        <v/>
      </c>
      <c r="O507" s="3" t="str">
        <f aca="false">IFERROR(__xludf.dummyfunction("if($T507&lt;&gt;"""",REGEXEXTRACT($T507, O$1&amp;""[\w &amp;]*, (\d+\.\d+)""),"""")
"),"")</f>
        <v/>
      </c>
      <c r="P507" s="2"/>
      <c r="Q507" s="2"/>
      <c r="R507" s="2"/>
      <c r="S507" s="2"/>
      <c r="T507" s="5"/>
    </row>
    <row r="508" customFormat="false" ht="15.75" hidden="false" customHeight="false" outlineLevel="0" collapsed="false">
      <c r="A508" s="4"/>
      <c r="B508" s="2"/>
      <c r="C508" s="2"/>
      <c r="D508" s="2"/>
      <c r="E508" s="2"/>
      <c r="F508" s="3" t="str">
        <f aca="false">IFERROR(__xludf.dummyfunction("if($T508&lt;&gt;"""",REGEXEXTRACT(SUBSTITUTE ($T508,F$1&amp;"" CE"",""""), F$1&amp;""[\w &amp;]*, (\d+\.\d+)""),"""")
"),"")</f>
        <v/>
      </c>
      <c r="G508" s="3" t="str">
        <f aca="false">IFERROR(__xludf.dummyfunction("if($T508&lt;&gt;"""",REGEXEXTRACT($T508, G$1&amp;""[\w &amp;]*, (\d+\.\d+)""),"""")
"),"")</f>
        <v/>
      </c>
      <c r="H508" s="3"/>
      <c r="I508" s="3" t="str">
        <f aca="false">IFERROR(__xludf.dummyfunction("if($T508&lt;&gt;"""",REGEXEXTRACT(SUBSTITUTE ($T508,I$1&amp;"" CE"",""""), I$1&amp;""[\w &amp;]*, (\d+\.\d+)""),"""")
"),"")</f>
        <v/>
      </c>
      <c r="J508" s="3" t="str">
        <f aca="false">IFERROR(__xludf.dummyfunction("if($T508&lt;&gt;"""",REGEXEXTRACT($T508, J$1&amp;""[\w &amp;]*, (\d+\.\d+)""),"""")
"),"")</f>
        <v/>
      </c>
      <c r="K508" s="3"/>
      <c r="L508" s="3" t="str">
        <f aca="false">IFERROR(__xludf.dummyfunction("if($T508&lt;&gt;"""",REGEXEXTRACT(SUBSTITUTE ($T508,L$1&amp;"" CE"",""""), L$1&amp;""[\w &amp;]*, (\d+\.\d+)""),"""")
"),"")</f>
        <v/>
      </c>
      <c r="M508" s="3" t="str">
        <f aca="false">IFERROR(__xludf.dummyfunction("if($T508&lt;&gt;"""",REGEXEXTRACT($T508, M$1&amp;""[\w &amp;]*, (\d+\.\d+)""),"""")
"),"")</f>
        <v/>
      </c>
      <c r="N508" s="3" t="str">
        <f aca="false">IFERROR(__xludf.dummyfunction("if($T508&lt;&gt;"""",REGEXEXTRACT(SUBSTITUTE ($T508,N$1&amp;"" CE"",""""), N$1&amp;""[\w &amp;]*, (\d+\.\d+)""),"""")
"),"")</f>
        <v/>
      </c>
      <c r="O508" s="3" t="str">
        <f aca="false">IFERROR(__xludf.dummyfunction("if($T508&lt;&gt;"""",REGEXEXTRACT($T508, O$1&amp;""[\w &amp;]*, (\d+\.\d+)""),"""")
"),"")</f>
        <v/>
      </c>
      <c r="P508" s="2"/>
      <c r="Q508" s="2"/>
      <c r="R508" s="2"/>
      <c r="S508" s="2"/>
      <c r="T508" s="5"/>
    </row>
    <row r="509" customFormat="false" ht="15.75" hidden="false" customHeight="false" outlineLevel="0" collapsed="false">
      <c r="A509" s="4"/>
      <c r="B509" s="2"/>
      <c r="C509" s="2"/>
      <c r="D509" s="2"/>
      <c r="E509" s="2"/>
      <c r="F509" s="3" t="str">
        <f aca="false">IFERROR(__xludf.dummyfunction("if($T509&lt;&gt;"""",REGEXEXTRACT(SUBSTITUTE ($T509,F$1&amp;"" CE"",""""), F$1&amp;""[\w &amp;]*, (\d+\.\d+)""),"""")
"),"")</f>
        <v/>
      </c>
      <c r="G509" s="3" t="str">
        <f aca="false">IFERROR(__xludf.dummyfunction("if($T509&lt;&gt;"""",REGEXEXTRACT($T509, G$1&amp;""[\w &amp;]*, (\d+\.\d+)""),"""")
"),"")</f>
        <v/>
      </c>
      <c r="H509" s="3"/>
      <c r="I509" s="3" t="str">
        <f aca="false">IFERROR(__xludf.dummyfunction("if($T509&lt;&gt;"""",REGEXEXTRACT(SUBSTITUTE ($T509,I$1&amp;"" CE"",""""), I$1&amp;""[\w &amp;]*, (\d+\.\d+)""),"""")
"),"")</f>
        <v/>
      </c>
      <c r="J509" s="3" t="str">
        <f aca="false">IFERROR(__xludf.dummyfunction("if($T509&lt;&gt;"""",REGEXEXTRACT($T509, J$1&amp;""[\w &amp;]*, (\d+\.\d+)""),"""")
"),"")</f>
        <v/>
      </c>
      <c r="K509" s="3"/>
      <c r="L509" s="3" t="str">
        <f aca="false">IFERROR(__xludf.dummyfunction("if($T509&lt;&gt;"""",REGEXEXTRACT(SUBSTITUTE ($T509,L$1&amp;"" CE"",""""), L$1&amp;""[\w &amp;]*, (\d+\.\d+)""),"""")
"),"")</f>
        <v/>
      </c>
      <c r="M509" s="3" t="str">
        <f aca="false">IFERROR(__xludf.dummyfunction("if($T509&lt;&gt;"""",REGEXEXTRACT($T509, M$1&amp;""[\w &amp;]*, (\d+\.\d+)""),"""")
"),"")</f>
        <v/>
      </c>
      <c r="N509" s="3" t="str">
        <f aca="false">IFERROR(__xludf.dummyfunction("if($T509&lt;&gt;"""",REGEXEXTRACT(SUBSTITUTE ($T509,N$1&amp;"" CE"",""""), N$1&amp;""[\w &amp;]*, (\d+\.\d+)""),"""")
"),"")</f>
        <v/>
      </c>
      <c r="O509" s="3" t="str">
        <f aca="false">IFERROR(__xludf.dummyfunction("if($T509&lt;&gt;"""",REGEXEXTRACT($T509, O$1&amp;""[\w &amp;]*, (\d+\.\d+)""),"""")
"),"")</f>
        <v/>
      </c>
      <c r="P509" s="2"/>
      <c r="Q509" s="2"/>
      <c r="R509" s="2"/>
      <c r="S509" s="2"/>
      <c r="T509" s="5"/>
    </row>
    <row r="510" customFormat="false" ht="15.75" hidden="false" customHeight="false" outlineLevel="0" collapsed="false">
      <c r="A510" s="4"/>
      <c r="B510" s="2"/>
      <c r="C510" s="2"/>
      <c r="D510" s="2"/>
      <c r="E510" s="2"/>
      <c r="F510" s="3" t="str">
        <f aca="false">IFERROR(__xludf.dummyfunction("if($T510&lt;&gt;"""",REGEXEXTRACT(SUBSTITUTE ($T510,F$1&amp;"" CE"",""""), F$1&amp;""[\w &amp;]*, (\d+\.\d+)""),"""")
"),"")</f>
        <v/>
      </c>
      <c r="G510" s="3" t="str">
        <f aca="false">IFERROR(__xludf.dummyfunction("if($T510&lt;&gt;"""",REGEXEXTRACT($T510, G$1&amp;""[\w &amp;]*, (\d+\.\d+)""),"""")
"),"")</f>
        <v/>
      </c>
      <c r="H510" s="3"/>
      <c r="I510" s="3" t="str">
        <f aca="false">IFERROR(__xludf.dummyfunction("if($T510&lt;&gt;"""",REGEXEXTRACT(SUBSTITUTE ($T510,I$1&amp;"" CE"",""""), I$1&amp;""[\w &amp;]*, (\d+\.\d+)""),"""")
"),"")</f>
        <v/>
      </c>
      <c r="J510" s="3" t="str">
        <f aca="false">IFERROR(__xludf.dummyfunction("if($T510&lt;&gt;"""",REGEXEXTRACT($T510, J$1&amp;""[\w &amp;]*, (\d+\.\d+)""),"""")
"),"")</f>
        <v/>
      </c>
      <c r="K510" s="3"/>
      <c r="L510" s="3" t="str">
        <f aca="false">IFERROR(__xludf.dummyfunction("if($T510&lt;&gt;"""",REGEXEXTRACT(SUBSTITUTE ($T510,L$1&amp;"" CE"",""""), L$1&amp;""[\w &amp;]*, (\d+\.\d+)""),"""")
"),"")</f>
        <v/>
      </c>
      <c r="M510" s="3" t="str">
        <f aca="false">IFERROR(__xludf.dummyfunction("if($T510&lt;&gt;"""",REGEXEXTRACT($T510, M$1&amp;""[\w &amp;]*, (\d+\.\d+)""),"""")
"),"")</f>
        <v/>
      </c>
      <c r="N510" s="3" t="str">
        <f aca="false">IFERROR(__xludf.dummyfunction("if($T510&lt;&gt;"""",REGEXEXTRACT(SUBSTITUTE ($T510,N$1&amp;"" CE"",""""), N$1&amp;""[\w &amp;]*, (\d+\.\d+)""),"""")
"),"")</f>
        <v/>
      </c>
      <c r="O510" s="3" t="str">
        <f aca="false">IFERROR(__xludf.dummyfunction("if($T510&lt;&gt;"""",REGEXEXTRACT($T510, O$1&amp;""[\w &amp;]*, (\d+\.\d+)""),"""")
"),"")</f>
        <v/>
      </c>
      <c r="P510" s="2"/>
      <c r="Q510" s="2"/>
      <c r="R510" s="2"/>
      <c r="S510" s="2"/>
      <c r="T510" s="5"/>
    </row>
    <row r="511" customFormat="false" ht="15.75" hidden="false" customHeight="false" outlineLevel="0" collapsed="false">
      <c r="A511" s="4"/>
      <c r="B511" s="2"/>
      <c r="C511" s="2"/>
      <c r="D511" s="2"/>
      <c r="E511" s="2"/>
      <c r="F511" s="3" t="str">
        <f aca="false">IFERROR(__xludf.dummyfunction("if($T511&lt;&gt;"""",REGEXEXTRACT(SUBSTITUTE ($T511,F$1&amp;"" CE"",""""), F$1&amp;""[\w &amp;]*, (\d+\.\d+)""),"""")
"),"")</f>
        <v/>
      </c>
      <c r="G511" s="3" t="str">
        <f aca="false">IFERROR(__xludf.dummyfunction("if($T511&lt;&gt;"""",REGEXEXTRACT($T511, G$1&amp;""[\w &amp;]*, (\d+\.\d+)""),"""")
"),"")</f>
        <v/>
      </c>
      <c r="H511" s="3"/>
      <c r="I511" s="3" t="str">
        <f aca="false">IFERROR(__xludf.dummyfunction("if($T511&lt;&gt;"""",REGEXEXTRACT(SUBSTITUTE ($T511,I$1&amp;"" CE"",""""), I$1&amp;""[\w &amp;]*, (\d+\.\d+)""),"""")
"),"")</f>
        <v/>
      </c>
      <c r="J511" s="3" t="str">
        <f aca="false">IFERROR(__xludf.dummyfunction("if($T511&lt;&gt;"""",REGEXEXTRACT($T511, J$1&amp;""[\w &amp;]*, (\d+\.\d+)""),"""")
"),"")</f>
        <v/>
      </c>
      <c r="K511" s="3"/>
      <c r="L511" s="3" t="str">
        <f aca="false">IFERROR(__xludf.dummyfunction("if($T511&lt;&gt;"""",REGEXEXTRACT(SUBSTITUTE ($T511,L$1&amp;"" CE"",""""), L$1&amp;""[\w &amp;]*, (\d+\.\d+)""),"""")
"),"")</f>
        <v/>
      </c>
      <c r="M511" s="3" t="str">
        <f aca="false">IFERROR(__xludf.dummyfunction("if($T511&lt;&gt;"""",REGEXEXTRACT($T511, M$1&amp;""[\w &amp;]*, (\d+\.\d+)""),"""")
"),"")</f>
        <v/>
      </c>
      <c r="N511" s="3" t="str">
        <f aca="false">IFERROR(__xludf.dummyfunction("if($T511&lt;&gt;"""",REGEXEXTRACT(SUBSTITUTE ($T511,N$1&amp;"" CE"",""""), N$1&amp;""[\w &amp;]*, (\d+\.\d+)""),"""")
"),"")</f>
        <v/>
      </c>
      <c r="O511" s="3" t="str">
        <f aca="false">IFERROR(__xludf.dummyfunction("if($T511&lt;&gt;"""",REGEXEXTRACT($T511, O$1&amp;""[\w &amp;]*, (\d+\.\d+)""),"""")
"),"")</f>
        <v/>
      </c>
      <c r="P511" s="2"/>
      <c r="Q511" s="2"/>
      <c r="R511" s="2"/>
      <c r="S511" s="2"/>
      <c r="T511" s="5"/>
    </row>
    <row r="512" customFormat="false" ht="15.75" hidden="false" customHeight="false" outlineLevel="0" collapsed="false">
      <c r="A512" s="4"/>
      <c r="B512" s="2"/>
      <c r="C512" s="2"/>
      <c r="D512" s="2"/>
      <c r="E512" s="2"/>
      <c r="F512" s="3" t="str">
        <f aca="false">IFERROR(__xludf.dummyfunction("if($T512&lt;&gt;"""",REGEXEXTRACT(SUBSTITUTE ($T512,F$1&amp;"" CE"",""""), F$1&amp;""[\w &amp;]*, (\d+\.\d+)""),"""")
"),"")</f>
        <v/>
      </c>
      <c r="G512" s="3" t="str">
        <f aca="false">IFERROR(__xludf.dummyfunction("if($T512&lt;&gt;"""",REGEXEXTRACT($T512, G$1&amp;""[\w &amp;]*, (\d+\.\d+)""),"""")
"),"")</f>
        <v/>
      </c>
      <c r="H512" s="3"/>
      <c r="I512" s="3" t="str">
        <f aca="false">IFERROR(__xludf.dummyfunction("if($T512&lt;&gt;"""",REGEXEXTRACT(SUBSTITUTE ($T512,I$1&amp;"" CE"",""""), I$1&amp;""[\w &amp;]*, (\d+\.\d+)""),"""")
"),"")</f>
        <v/>
      </c>
      <c r="J512" s="3" t="str">
        <f aca="false">IFERROR(__xludf.dummyfunction("if($T512&lt;&gt;"""",REGEXEXTRACT($T512, J$1&amp;""[\w &amp;]*, (\d+\.\d+)""),"""")
"),"")</f>
        <v/>
      </c>
      <c r="K512" s="3"/>
      <c r="L512" s="3" t="str">
        <f aca="false">IFERROR(__xludf.dummyfunction("if($T512&lt;&gt;"""",REGEXEXTRACT(SUBSTITUTE ($T512,L$1&amp;"" CE"",""""), L$1&amp;""[\w &amp;]*, (\d+\.\d+)""),"""")
"),"")</f>
        <v/>
      </c>
      <c r="M512" s="3" t="str">
        <f aca="false">IFERROR(__xludf.dummyfunction("if($T512&lt;&gt;"""",REGEXEXTRACT($T512, M$1&amp;""[\w &amp;]*, (\d+\.\d+)""),"""")
"),"")</f>
        <v/>
      </c>
      <c r="N512" s="3" t="str">
        <f aca="false">IFERROR(__xludf.dummyfunction("if($T512&lt;&gt;"""",REGEXEXTRACT(SUBSTITUTE ($T512,N$1&amp;"" CE"",""""), N$1&amp;""[\w &amp;]*, (\d+\.\d+)""),"""")
"),"")</f>
        <v/>
      </c>
      <c r="O512" s="3" t="str">
        <f aca="false">IFERROR(__xludf.dummyfunction("if($T512&lt;&gt;"""",REGEXEXTRACT($T512, O$1&amp;""[\w &amp;]*, (\d+\.\d+)""),"""")
"),"")</f>
        <v/>
      </c>
      <c r="P512" s="2"/>
      <c r="Q512" s="2"/>
      <c r="R512" s="2"/>
      <c r="S512" s="2"/>
      <c r="T512" s="5"/>
    </row>
    <row r="513" customFormat="false" ht="15.75" hidden="false" customHeight="false" outlineLevel="0" collapsed="false">
      <c r="A513" s="4"/>
      <c r="B513" s="2"/>
      <c r="C513" s="2"/>
      <c r="D513" s="2"/>
      <c r="E513" s="2"/>
      <c r="F513" s="3" t="str">
        <f aca="false">IFERROR(__xludf.dummyfunction("if($T513&lt;&gt;"""",REGEXEXTRACT(SUBSTITUTE ($T513,F$1&amp;"" CE"",""""), F$1&amp;""[\w &amp;]*, (\d+\.\d+)""),"""")
"),"")</f>
        <v/>
      </c>
      <c r="G513" s="3" t="str">
        <f aca="false">IFERROR(__xludf.dummyfunction("if($T513&lt;&gt;"""",REGEXEXTRACT($T513, G$1&amp;""[\w &amp;]*, (\d+\.\d+)""),"""")
"),"")</f>
        <v/>
      </c>
      <c r="H513" s="3"/>
      <c r="I513" s="3" t="str">
        <f aca="false">IFERROR(__xludf.dummyfunction("if($T513&lt;&gt;"""",REGEXEXTRACT(SUBSTITUTE ($T513,I$1&amp;"" CE"",""""), I$1&amp;""[\w &amp;]*, (\d+\.\d+)""),"""")
"),"")</f>
        <v/>
      </c>
      <c r="J513" s="3" t="str">
        <f aca="false">IFERROR(__xludf.dummyfunction("if($T513&lt;&gt;"""",REGEXEXTRACT($T513, J$1&amp;""[\w &amp;]*, (\d+\.\d+)""),"""")
"),"")</f>
        <v/>
      </c>
      <c r="K513" s="3"/>
      <c r="L513" s="3" t="str">
        <f aca="false">IFERROR(__xludf.dummyfunction("if($T513&lt;&gt;"""",REGEXEXTRACT(SUBSTITUTE ($T513,L$1&amp;"" CE"",""""), L$1&amp;""[\w &amp;]*, (\d+\.\d+)""),"""")
"),"")</f>
        <v/>
      </c>
      <c r="M513" s="3" t="str">
        <f aca="false">IFERROR(__xludf.dummyfunction("if($T513&lt;&gt;"""",REGEXEXTRACT($T513, M$1&amp;""[\w &amp;]*, (\d+\.\d+)""),"""")
"),"")</f>
        <v/>
      </c>
      <c r="N513" s="3" t="str">
        <f aca="false">IFERROR(__xludf.dummyfunction("if($T513&lt;&gt;"""",REGEXEXTRACT(SUBSTITUTE ($T513,N$1&amp;"" CE"",""""), N$1&amp;""[\w &amp;]*, (\d+\.\d+)""),"""")
"),"")</f>
        <v/>
      </c>
      <c r="O513" s="3" t="str">
        <f aca="false">IFERROR(__xludf.dummyfunction("if($T513&lt;&gt;"""",REGEXEXTRACT($T513, O$1&amp;""[\w &amp;]*, (\d+\.\d+)""),"""")
"),"")</f>
        <v/>
      </c>
      <c r="P513" s="2"/>
      <c r="Q513" s="2"/>
      <c r="R513" s="2"/>
      <c r="S513" s="2"/>
      <c r="T513" s="5"/>
    </row>
    <row r="514" customFormat="false" ht="15.75" hidden="false" customHeight="false" outlineLevel="0" collapsed="false">
      <c r="A514" s="4"/>
      <c r="B514" s="2"/>
      <c r="C514" s="2"/>
      <c r="D514" s="2"/>
      <c r="E514" s="2"/>
      <c r="F514" s="3" t="str">
        <f aca="false">IFERROR(__xludf.dummyfunction("if($T514&lt;&gt;"""",REGEXEXTRACT(SUBSTITUTE ($T514,F$1&amp;"" CE"",""""), F$1&amp;""[\w &amp;]*, (\d+\.\d+)""),"""")
"),"")</f>
        <v/>
      </c>
      <c r="G514" s="3" t="str">
        <f aca="false">IFERROR(__xludf.dummyfunction("if($T514&lt;&gt;"""",REGEXEXTRACT($T514, G$1&amp;""[\w &amp;]*, (\d+\.\d+)""),"""")
"),"")</f>
        <v/>
      </c>
      <c r="H514" s="3"/>
      <c r="I514" s="3" t="str">
        <f aca="false">IFERROR(__xludf.dummyfunction("if($T514&lt;&gt;"""",REGEXEXTRACT(SUBSTITUTE ($T514,I$1&amp;"" CE"",""""), I$1&amp;""[\w &amp;]*, (\d+\.\d+)""),"""")
"),"")</f>
        <v/>
      </c>
      <c r="J514" s="3" t="str">
        <f aca="false">IFERROR(__xludf.dummyfunction("if($T514&lt;&gt;"""",REGEXEXTRACT($T514, J$1&amp;""[\w &amp;]*, (\d+\.\d+)""),"""")
"),"")</f>
        <v/>
      </c>
      <c r="K514" s="3"/>
      <c r="L514" s="3" t="str">
        <f aca="false">IFERROR(__xludf.dummyfunction("if($T514&lt;&gt;"""",REGEXEXTRACT(SUBSTITUTE ($T514,L$1&amp;"" CE"",""""), L$1&amp;""[\w &amp;]*, (\d+\.\d+)""),"""")
"),"")</f>
        <v/>
      </c>
      <c r="M514" s="3" t="str">
        <f aca="false">IFERROR(__xludf.dummyfunction("if($T514&lt;&gt;"""",REGEXEXTRACT($T514, M$1&amp;""[\w &amp;]*, (\d+\.\d+)""),"""")
"),"")</f>
        <v/>
      </c>
      <c r="N514" s="3" t="str">
        <f aca="false">IFERROR(__xludf.dummyfunction("if($T514&lt;&gt;"""",REGEXEXTRACT(SUBSTITUTE ($T514,N$1&amp;"" CE"",""""), N$1&amp;""[\w &amp;]*, (\d+\.\d+)""),"""")
"),"")</f>
        <v/>
      </c>
      <c r="O514" s="3" t="str">
        <f aca="false">IFERROR(__xludf.dummyfunction("if($T514&lt;&gt;"""",REGEXEXTRACT($T514, O$1&amp;""[\w &amp;]*, (\d+\.\d+)""),"""")
"),"")</f>
        <v/>
      </c>
      <c r="P514" s="2"/>
      <c r="Q514" s="2"/>
      <c r="R514" s="2"/>
      <c r="S514" s="2"/>
      <c r="T514" s="5"/>
    </row>
    <row r="515" customFormat="false" ht="15.75" hidden="false" customHeight="false" outlineLevel="0" collapsed="false">
      <c r="A515" s="4"/>
      <c r="B515" s="2"/>
      <c r="C515" s="2"/>
      <c r="D515" s="2"/>
      <c r="E515" s="2"/>
      <c r="F515" s="3" t="str">
        <f aca="false">IFERROR(__xludf.dummyfunction("if($T515&lt;&gt;"""",REGEXEXTRACT(SUBSTITUTE ($T515,F$1&amp;"" CE"",""""), F$1&amp;""[\w &amp;]*, (\d+\.\d+)""),"""")
"),"")</f>
        <v/>
      </c>
      <c r="G515" s="3" t="str">
        <f aca="false">IFERROR(__xludf.dummyfunction("if($T515&lt;&gt;"""",REGEXEXTRACT($T515, G$1&amp;""[\w &amp;]*, (\d+\.\d+)""),"""")
"),"")</f>
        <v/>
      </c>
      <c r="H515" s="3"/>
      <c r="I515" s="3" t="str">
        <f aca="false">IFERROR(__xludf.dummyfunction("if($T515&lt;&gt;"""",REGEXEXTRACT(SUBSTITUTE ($T515,I$1&amp;"" CE"",""""), I$1&amp;""[\w &amp;]*, (\d+\.\d+)""),"""")
"),"")</f>
        <v/>
      </c>
      <c r="J515" s="3" t="str">
        <f aca="false">IFERROR(__xludf.dummyfunction("if($T515&lt;&gt;"""",REGEXEXTRACT($T515, J$1&amp;""[\w &amp;]*, (\d+\.\d+)""),"""")
"),"")</f>
        <v/>
      </c>
      <c r="K515" s="3"/>
      <c r="L515" s="3" t="str">
        <f aca="false">IFERROR(__xludf.dummyfunction("if($T515&lt;&gt;"""",REGEXEXTRACT(SUBSTITUTE ($T515,L$1&amp;"" CE"",""""), L$1&amp;""[\w &amp;]*, (\d+\.\d+)""),"""")
"),"")</f>
        <v/>
      </c>
      <c r="M515" s="3" t="str">
        <f aca="false">IFERROR(__xludf.dummyfunction("if($T515&lt;&gt;"""",REGEXEXTRACT($T515, M$1&amp;""[\w &amp;]*, (\d+\.\d+)""),"""")
"),"")</f>
        <v/>
      </c>
      <c r="N515" s="3" t="str">
        <f aca="false">IFERROR(__xludf.dummyfunction("if($T515&lt;&gt;"""",REGEXEXTRACT(SUBSTITUTE ($T515,N$1&amp;"" CE"",""""), N$1&amp;""[\w &amp;]*, (\d+\.\d+)""),"""")
"),"")</f>
        <v/>
      </c>
      <c r="O515" s="3" t="str">
        <f aca="false">IFERROR(__xludf.dummyfunction("if($T515&lt;&gt;"""",REGEXEXTRACT($T515, O$1&amp;""[\w &amp;]*, (\d+\.\d+)""),"""")
"),"")</f>
        <v/>
      </c>
      <c r="P515" s="2"/>
      <c r="Q515" s="2"/>
      <c r="R515" s="2"/>
      <c r="S515" s="2"/>
      <c r="T515" s="5"/>
    </row>
    <row r="516" customFormat="false" ht="15.75" hidden="false" customHeight="false" outlineLevel="0" collapsed="false">
      <c r="A516" s="4"/>
      <c r="B516" s="2"/>
      <c r="C516" s="2"/>
      <c r="D516" s="2"/>
      <c r="E516" s="2"/>
      <c r="F516" s="3" t="str">
        <f aca="false">IFERROR(__xludf.dummyfunction("if($T516&lt;&gt;"""",REGEXEXTRACT(SUBSTITUTE ($T516,F$1&amp;"" CE"",""""), F$1&amp;""[\w &amp;]*, (\d+\.\d+)""),"""")
"),"")</f>
        <v/>
      </c>
      <c r="G516" s="3" t="str">
        <f aca="false">IFERROR(__xludf.dummyfunction("if($T516&lt;&gt;"""",REGEXEXTRACT($T516, G$1&amp;""[\w &amp;]*, (\d+\.\d+)""),"""")
"),"")</f>
        <v/>
      </c>
      <c r="H516" s="3"/>
      <c r="I516" s="3" t="str">
        <f aca="false">IFERROR(__xludf.dummyfunction("if($T516&lt;&gt;"""",REGEXEXTRACT(SUBSTITUTE ($T516,I$1&amp;"" CE"",""""), I$1&amp;""[\w &amp;]*, (\d+\.\d+)""),"""")
"),"")</f>
        <v/>
      </c>
      <c r="J516" s="3" t="str">
        <f aca="false">IFERROR(__xludf.dummyfunction("if($T516&lt;&gt;"""",REGEXEXTRACT($T516, J$1&amp;""[\w &amp;]*, (\d+\.\d+)""),"""")
"),"")</f>
        <v/>
      </c>
      <c r="K516" s="3"/>
      <c r="L516" s="3" t="str">
        <f aca="false">IFERROR(__xludf.dummyfunction("if($T516&lt;&gt;"""",REGEXEXTRACT(SUBSTITUTE ($T516,L$1&amp;"" CE"",""""), L$1&amp;""[\w &amp;]*, (\d+\.\d+)""),"""")
"),"")</f>
        <v/>
      </c>
      <c r="M516" s="3" t="str">
        <f aca="false">IFERROR(__xludf.dummyfunction("if($T516&lt;&gt;"""",REGEXEXTRACT($T516, M$1&amp;""[\w &amp;]*, (\d+\.\d+)""),"""")
"),"")</f>
        <v/>
      </c>
      <c r="N516" s="3" t="str">
        <f aca="false">IFERROR(__xludf.dummyfunction("if($T516&lt;&gt;"""",REGEXEXTRACT(SUBSTITUTE ($T516,N$1&amp;"" CE"",""""), N$1&amp;""[\w &amp;]*, (\d+\.\d+)""),"""")
"),"")</f>
        <v/>
      </c>
      <c r="O516" s="3" t="str">
        <f aca="false">IFERROR(__xludf.dummyfunction("if($T516&lt;&gt;"""",REGEXEXTRACT($T516, O$1&amp;""[\w &amp;]*, (\d+\.\d+)""),"""")
"),"")</f>
        <v/>
      </c>
      <c r="P516" s="2"/>
      <c r="Q516" s="2"/>
      <c r="R516" s="2"/>
      <c r="S516" s="2"/>
      <c r="T516" s="5"/>
    </row>
    <row r="517" customFormat="false" ht="15.75" hidden="false" customHeight="false" outlineLevel="0" collapsed="false">
      <c r="A517" s="4"/>
      <c r="B517" s="2"/>
      <c r="C517" s="2"/>
      <c r="D517" s="2"/>
      <c r="E517" s="2"/>
      <c r="F517" s="3" t="str">
        <f aca="false">IFERROR(__xludf.dummyfunction("if($T517&lt;&gt;"""",REGEXEXTRACT(SUBSTITUTE ($T517,F$1&amp;"" CE"",""""), F$1&amp;""[\w &amp;]*, (\d+\.\d+)""),"""")
"),"")</f>
        <v/>
      </c>
      <c r="G517" s="3" t="str">
        <f aca="false">IFERROR(__xludf.dummyfunction("if($T517&lt;&gt;"""",REGEXEXTRACT($T517, G$1&amp;""[\w &amp;]*, (\d+\.\d+)""),"""")
"),"")</f>
        <v/>
      </c>
      <c r="H517" s="3"/>
      <c r="I517" s="3" t="str">
        <f aca="false">IFERROR(__xludf.dummyfunction("if($T517&lt;&gt;"""",REGEXEXTRACT(SUBSTITUTE ($T517,I$1&amp;"" CE"",""""), I$1&amp;""[\w &amp;]*, (\d+\.\d+)""),"""")
"),"")</f>
        <v/>
      </c>
      <c r="J517" s="3" t="str">
        <f aca="false">IFERROR(__xludf.dummyfunction("if($T517&lt;&gt;"""",REGEXEXTRACT($T517, J$1&amp;""[\w &amp;]*, (\d+\.\d+)""),"""")
"),"")</f>
        <v/>
      </c>
      <c r="K517" s="3"/>
      <c r="L517" s="3" t="str">
        <f aca="false">IFERROR(__xludf.dummyfunction("if($T517&lt;&gt;"""",REGEXEXTRACT(SUBSTITUTE ($T517,L$1&amp;"" CE"",""""), L$1&amp;""[\w &amp;]*, (\d+\.\d+)""),"""")
"),"")</f>
        <v/>
      </c>
      <c r="M517" s="3" t="str">
        <f aca="false">IFERROR(__xludf.dummyfunction("if($T517&lt;&gt;"""",REGEXEXTRACT($T517, M$1&amp;""[\w &amp;]*, (\d+\.\d+)""),"""")
"),"")</f>
        <v/>
      </c>
      <c r="N517" s="3" t="str">
        <f aca="false">IFERROR(__xludf.dummyfunction("if($T517&lt;&gt;"""",REGEXEXTRACT(SUBSTITUTE ($T517,N$1&amp;"" CE"",""""), N$1&amp;""[\w &amp;]*, (\d+\.\d+)""),"""")
"),"")</f>
        <v/>
      </c>
      <c r="O517" s="3" t="str">
        <f aca="false">IFERROR(__xludf.dummyfunction("if($T517&lt;&gt;"""",REGEXEXTRACT($T517, O$1&amp;""[\w &amp;]*, (\d+\.\d+)""),"""")
"),"")</f>
        <v/>
      </c>
      <c r="P517" s="2"/>
      <c r="Q517" s="2"/>
      <c r="R517" s="2"/>
      <c r="S517" s="2"/>
      <c r="T517" s="5"/>
    </row>
    <row r="518" customFormat="false" ht="15.75" hidden="false" customHeight="false" outlineLevel="0" collapsed="false">
      <c r="A518" s="4"/>
      <c r="B518" s="2"/>
      <c r="C518" s="2"/>
      <c r="D518" s="2"/>
      <c r="E518" s="2"/>
      <c r="F518" s="3" t="str">
        <f aca="false">IFERROR(__xludf.dummyfunction("if($T518&lt;&gt;"""",REGEXEXTRACT(SUBSTITUTE ($T518,F$1&amp;"" CE"",""""), F$1&amp;""[\w &amp;]*, (\d+\.\d+)""),"""")
"),"")</f>
        <v/>
      </c>
      <c r="G518" s="3" t="str">
        <f aca="false">IFERROR(__xludf.dummyfunction("if($T518&lt;&gt;"""",REGEXEXTRACT($T518, G$1&amp;""[\w &amp;]*, (\d+\.\d+)""),"""")
"),"")</f>
        <v/>
      </c>
      <c r="H518" s="3"/>
      <c r="I518" s="3" t="str">
        <f aca="false">IFERROR(__xludf.dummyfunction("if($T518&lt;&gt;"""",REGEXEXTRACT(SUBSTITUTE ($T518,I$1&amp;"" CE"",""""), I$1&amp;""[\w &amp;]*, (\d+\.\d+)""),"""")
"),"")</f>
        <v/>
      </c>
      <c r="J518" s="3" t="str">
        <f aca="false">IFERROR(__xludf.dummyfunction("if($T518&lt;&gt;"""",REGEXEXTRACT($T518, J$1&amp;""[\w &amp;]*, (\d+\.\d+)""),"""")
"),"")</f>
        <v/>
      </c>
      <c r="K518" s="3"/>
      <c r="L518" s="3" t="str">
        <f aca="false">IFERROR(__xludf.dummyfunction("if($T518&lt;&gt;"""",REGEXEXTRACT(SUBSTITUTE ($T518,L$1&amp;"" CE"",""""), L$1&amp;""[\w &amp;]*, (\d+\.\d+)""),"""")
"),"")</f>
        <v/>
      </c>
      <c r="M518" s="3" t="str">
        <f aca="false">IFERROR(__xludf.dummyfunction("if($T518&lt;&gt;"""",REGEXEXTRACT($T518, M$1&amp;""[\w &amp;]*, (\d+\.\d+)""),"""")
"),"")</f>
        <v/>
      </c>
      <c r="N518" s="3" t="str">
        <f aca="false">IFERROR(__xludf.dummyfunction("if($T518&lt;&gt;"""",REGEXEXTRACT(SUBSTITUTE ($T518,N$1&amp;"" CE"",""""), N$1&amp;""[\w &amp;]*, (\d+\.\d+)""),"""")
"),"")</f>
        <v/>
      </c>
      <c r="O518" s="3" t="str">
        <f aca="false">IFERROR(__xludf.dummyfunction("if($T518&lt;&gt;"""",REGEXEXTRACT($T518, O$1&amp;""[\w &amp;]*, (\d+\.\d+)""),"""")
"),"")</f>
        <v/>
      </c>
      <c r="P518" s="2"/>
      <c r="Q518" s="2"/>
      <c r="R518" s="2"/>
      <c r="S518" s="2"/>
      <c r="T518" s="5"/>
    </row>
    <row r="519" customFormat="false" ht="15.75" hidden="false" customHeight="false" outlineLevel="0" collapsed="false">
      <c r="A519" s="4"/>
      <c r="B519" s="2"/>
      <c r="C519" s="2"/>
      <c r="D519" s="2"/>
      <c r="E519" s="2"/>
      <c r="F519" s="3" t="str">
        <f aca="false">IFERROR(__xludf.dummyfunction("if($T519&lt;&gt;"""",REGEXEXTRACT(SUBSTITUTE ($T519,F$1&amp;"" CE"",""""), F$1&amp;""[\w &amp;]*, (\d+\.\d+)""),"""")
"),"")</f>
        <v/>
      </c>
      <c r="G519" s="3" t="str">
        <f aca="false">IFERROR(__xludf.dummyfunction("if($T519&lt;&gt;"""",REGEXEXTRACT($T519, G$1&amp;""[\w &amp;]*, (\d+\.\d+)""),"""")
"),"")</f>
        <v/>
      </c>
      <c r="H519" s="3"/>
      <c r="I519" s="3" t="str">
        <f aca="false">IFERROR(__xludf.dummyfunction("if($T519&lt;&gt;"""",REGEXEXTRACT(SUBSTITUTE ($T519,I$1&amp;"" CE"",""""), I$1&amp;""[\w &amp;]*, (\d+\.\d+)""),"""")
"),"")</f>
        <v/>
      </c>
      <c r="J519" s="3" t="str">
        <f aca="false">IFERROR(__xludf.dummyfunction("if($T519&lt;&gt;"""",REGEXEXTRACT($T519, J$1&amp;""[\w &amp;]*, (\d+\.\d+)""),"""")
"),"")</f>
        <v/>
      </c>
      <c r="K519" s="3"/>
      <c r="L519" s="3" t="str">
        <f aca="false">IFERROR(__xludf.dummyfunction("if($T519&lt;&gt;"""",REGEXEXTRACT(SUBSTITUTE ($T519,L$1&amp;"" CE"",""""), L$1&amp;""[\w &amp;]*, (\d+\.\d+)""),"""")
"),"")</f>
        <v/>
      </c>
      <c r="M519" s="3" t="str">
        <f aca="false">IFERROR(__xludf.dummyfunction("if($T519&lt;&gt;"""",REGEXEXTRACT($T519, M$1&amp;""[\w &amp;]*, (\d+\.\d+)""),"""")
"),"")</f>
        <v/>
      </c>
      <c r="N519" s="3" t="str">
        <f aca="false">IFERROR(__xludf.dummyfunction("if($T519&lt;&gt;"""",REGEXEXTRACT(SUBSTITUTE ($T519,N$1&amp;"" CE"",""""), N$1&amp;""[\w &amp;]*, (\d+\.\d+)""),"""")
"),"")</f>
        <v/>
      </c>
      <c r="O519" s="3" t="str">
        <f aca="false">IFERROR(__xludf.dummyfunction("if($T519&lt;&gt;"""",REGEXEXTRACT($T519, O$1&amp;""[\w &amp;]*, (\d+\.\d+)""),"""")
"),"")</f>
        <v/>
      </c>
      <c r="P519" s="2"/>
      <c r="Q519" s="2"/>
      <c r="R519" s="2"/>
      <c r="S519" s="2"/>
      <c r="T519" s="5"/>
    </row>
    <row r="520" customFormat="false" ht="15.75" hidden="false" customHeight="false" outlineLevel="0" collapsed="false">
      <c r="A520" s="4"/>
      <c r="B520" s="2"/>
      <c r="C520" s="2"/>
      <c r="D520" s="2"/>
      <c r="E520" s="2"/>
      <c r="F520" s="3" t="str">
        <f aca="false">IFERROR(__xludf.dummyfunction("if($T520&lt;&gt;"""",REGEXEXTRACT(SUBSTITUTE ($T520,F$1&amp;"" CE"",""""), F$1&amp;""[\w &amp;]*, (\d+\.\d+)""),"""")
"),"")</f>
        <v/>
      </c>
      <c r="G520" s="3" t="str">
        <f aca="false">IFERROR(__xludf.dummyfunction("if($T520&lt;&gt;"""",REGEXEXTRACT($T520, G$1&amp;""[\w &amp;]*, (\d+\.\d+)""),"""")
"),"")</f>
        <v/>
      </c>
      <c r="H520" s="3"/>
      <c r="I520" s="3" t="str">
        <f aca="false">IFERROR(__xludf.dummyfunction("if($T520&lt;&gt;"""",REGEXEXTRACT(SUBSTITUTE ($T520,I$1&amp;"" CE"",""""), I$1&amp;""[\w &amp;]*, (\d+\.\d+)""),"""")
"),"")</f>
        <v/>
      </c>
      <c r="J520" s="3" t="str">
        <f aca="false">IFERROR(__xludf.dummyfunction("if($T520&lt;&gt;"""",REGEXEXTRACT($T520, J$1&amp;""[\w &amp;]*, (\d+\.\d+)""),"""")
"),"")</f>
        <v/>
      </c>
      <c r="K520" s="3"/>
      <c r="L520" s="3" t="str">
        <f aca="false">IFERROR(__xludf.dummyfunction("if($T520&lt;&gt;"""",REGEXEXTRACT(SUBSTITUTE ($T520,L$1&amp;"" CE"",""""), L$1&amp;""[\w &amp;]*, (\d+\.\d+)""),"""")
"),"")</f>
        <v/>
      </c>
      <c r="M520" s="3" t="str">
        <f aca="false">IFERROR(__xludf.dummyfunction("if($T520&lt;&gt;"""",REGEXEXTRACT($T520, M$1&amp;""[\w &amp;]*, (\d+\.\d+)""),"""")
"),"")</f>
        <v/>
      </c>
      <c r="N520" s="3" t="str">
        <f aca="false">IFERROR(__xludf.dummyfunction("if($T520&lt;&gt;"""",REGEXEXTRACT(SUBSTITUTE ($T520,N$1&amp;"" CE"",""""), N$1&amp;""[\w &amp;]*, (\d+\.\d+)""),"""")
"),"")</f>
        <v/>
      </c>
      <c r="O520" s="3" t="str">
        <f aca="false">IFERROR(__xludf.dummyfunction("if($T520&lt;&gt;"""",REGEXEXTRACT($T520, O$1&amp;""[\w &amp;]*, (\d+\.\d+)""),"""")
"),"")</f>
        <v/>
      </c>
      <c r="P520" s="2"/>
      <c r="Q520" s="2"/>
      <c r="R520" s="2"/>
      <c r="S520" s="2"/>
      <c r="T520" s="5"/>
    </row>
    <row r="521" customFormat="false" ht="15.75" hidden="false" customHeight="false" outlineLevel="0" collapsed="false">
      <c r="A521" s="4"/>
      <c r="B521" s="2"/>
      <c r="C521" s="2"/>
      <c r="D521" s="2"/>
      <c r="E521" s="2"/>
      <c r="F521" s="3" t="str">
        <f aca="false">IFERROR(__xludf.dummyfunction("if($T521&lt;&gt;"""",REGEXEXTRACT(SUBSTITUTE ($T521,F$1&amp;"" CE"",""""), F$1&amp;""[\w &amp;]*, (\d+\.\d+)""),"""")
"),"")</f>
        <v/>
      </c>
      <c r="G521" s="3" t="str">
        <f aca="false">IFERROR(__xludf.dummyfunction("if($T521&lt;&gt;"""",REGEXEXTRACT($T521, G$1&amp;""[\w &amp;]*, (\d+\.\d+)""),"""")
"),"")</f>
        <v/>
      </c>
      <c r="H521" s="3"/>
      <c r="I521" s="3" t="str">
        <f aca="false">IFERROR(__xludf.dummyfunction("if($T521&lt;&gt;"""",REGEXEXTRACT(SUBSTITUTE ($T521,I$1&amp;"" CE"",""""), I$1&amp;""[\w &amp;]*, (\d+\.\d+)""),"""")
"),"")</f>
        <v/>
      </c>
      <c r="J521" s="3" t="str">
        <f aca="false">IFERROR(__xludf.dummyfunction("if($T521&lt;&gt;"""",REGEXEXTRACT($T521, J$1&amp;""[\w &amp;]*, (\d+\.\d+)""),"""")
"),"")</f>
        <v/>
      </c>
      <c r="K521" s="3"/>
      <c r="L521" s="3" t="str">
        <f aca="false">IFERROR(__xludf.dummyfunction("if($T521&lt;&gt;"""",REGEXEXTRACT(SUBSTITUTE ($T521,L$1&amp;"" CE"",""""), L$1&amp;""[\w &amp;]*, (\d+\.\d+)""),"""")
"),"")</f>
        <v/>
      </c>
      <c r="M521" s="3" t="str">
        <f aca="false">IFERROR(__xludf.dummyfunction("if($T521&lt;&gt;"""",REGEXEXTRACT($T521, M$1&amp;""[\w &amp;]*, (\d+\.\d+)""),"""")
"),"")</f>
        <v/>
      </c>
      <c r="N521" s="3" t="str">
        <f aca="false">IFERROR(__xludf.dummyfunction("if($T521&lt;&gt;"""",REGEXEXTRACT(SUBSTITUTE ($T521,N$1&amp;"" CE"",""""), N$1&amp;""[\w &amp;]*, (\d+\.\d+)""),"""")
"),"")</f>
        <v/>
      </c>
      <c r="O521" s="3" t="str">
        <f aca="false">IFERROR(__xludf.dummyfunction("if($T521&lt;&gt;"""",REGEXEXTRACT($T521, O$1&amp;""[\w &amp;]*, (\d+\.\d+)""),"""")
"),"")</f>
        <v/>
      </c>
      <c r="P521" s="2"/>
      <c r="Q521" s="2"/>
      <c r="R521" s="2"/>
      <c r="S521" s="2"/>
      <c r="T521" s="5"/>
    </row>
    <row r="522" customFormat="false" ht="15.75" hidden="false" customHeight="false" outlineLevel="0" collapsed="false">
      <c r="A522" s="4"/>
      <c r="B522" s="2"/>
      <c r="C522" s="2"/>
      <c r="D522" s="2"/>
      <c r="E522" s="2"/>
      <c r="F522" s="3" t="str">
        <f aca="false">IFERROR(__xludf.dummyfunction("if($T522&lt;&gt;"""",REGEXEXTRACT(SUBSTITUTE ($T522,F$1&amp;"" CE"",""""), F$1&amp;""[\w &amp;]*, (\d+\.\d+)""),"""")
"),"")</f>
        <v/>
      </c>
      <c r="G522" s="3" t="str">
        <f aca="false">IFERROR(__xludf.dummyfunction("if($T522&lt;&gt;"""",REGEXEXTRACT($T522, G$1&amp;""[\w &amp;]*, (\d+\.\d+)""),"""")
"),"")</f>
        <v/>
      </c>
      <c r="H522" s="3"/>
      <c r="I522" s="3" t="str">
        <f aca="false">IFERROR(__xludf.dummyfunction("if($T522&lt;&gt;"""",REGEXEXTRACT(SUBSTITUTE ($T522,I$1&amp;"" CE"",""""), I$1&amp;""[\w &amp;]*, (\d+\.\d+)""),"""")
"),"")</f>
        <v/>
      </c>
      <c r="J522" s="3" t="str">
        <f aca="false">IFERROR(__xludf.dummyfunction("if($T522&lt;&gt;"""",REGEXEXTRACT($T522, J$1&amp;""[\w &amp;]*, (\d+\.\d+)""),"""")
"),"")</f>
        <v/>
      </c>
      <c r="K522" s="3"/>
      <c r="L522" s="3" t="str">
        <f aca="false">IFERROR(__xludf.dummyfunction("if($T522&lt;&gt;"""",REGEXEXTRACT(SUBSTITUTE ($T522,L$1&amp;"" CE"",""""), L$1&amp;""[\w &amp;]*, (\d+\.\d+)""),"""")
"),"")</f>
        <v/>
      </c>
      <c r="M522" s="3" t="str">
        <f aca="false">IFERROR(__xludf.dummyfunction("if($T522&lt;&gt;"""",REGEXEXTRACT($T522, M$1&amp;""[\w &amp;]*, (\d+\.\d+)""),"""")
"),"")</f>
        <v/>
      </c>
      <c r="N522" s="3" t="str">
        <f aca="false">IFERROR(__xludf.dummyfunction("if($T522&lt;&gt;"""",REGEXEXTRACT(SUBSTITUTE ($T522,N$1&amp;"" CE"",""""), N$1&amp;""[\w &amp;]*, (\d+\.\d+)""),"""")
"),"")</f>
        <v/>
      </c>
      <c r="O522" s="3" t="str">
        <f aca="false">IFERROR(__xludf.dummyfunction("if($T522&lt;&gt;"""",REGEXEXTRACT($T522, O$1&amp;""[\w &amp;]*, (\d+\.\d+)""),"""")
"),"")</f>
        <v/>
      </c>
      <c r="P522" s="2"/>
      <c r="Q522" s="2"/>
      <c r="R522" s="2"/>
      <c r="S522" s="2"/>
      <c r="T522" s="5"/>
    </row>
    <row r="523" customFormat="false" ht="15.75" hidden="false" customHeight="false" outlineLevel="0" collapsed="false">
      <c r="A523" s="4"/>
      <c r="B523" s="2"/>
      <c r="C523" s="2"/>
      <c r="D523" s="2"/>
      <c r="E523" s="2"/>
      <c r="F523" s="3" t="str">
        <f aca="false">IFERROR(__xludf.dummyfunction("if($T523&lt;&gt;"""",REGEXEXTRACT(SUBSTITUTE ($T523,F$1&amp;"" CE"",""""), F$1&amp;""[\w &amp;]*, (\d+\.\d+)""),"""")
"),"")</f>
        <v/>
      </c>
      <c r="G523" s="3" t="str">
        <f aca="false">IFERROR(__xludf.dummyfunction("if($T523&lt;&gt;"""",REGEXEXTRACT($T523, G$1&amp;""[\w &amp;]*, (\d+\.\d+)""),"""")
"),"")</f>
        <v/>
      </c>
      <c r="H523" s="3"/>
      <c r="I523" s="3" t="str">
        <f aca="false">IFERROR(__xludf.dummyfunction("if($T523&lt;&gt;"""",REGEXEXTRACT(SUBSTITUTE ($T523,I$1&amp;"" CE"",""""), I$1&amp;""[\w &amp;]*, (\d+\.\d+)""),"""")
"),"")</f>
        <v/>
      </c>
      <c r="J523" s="3" t="str">
        <f aca="false">IFERROR(__xludf.dummyfunction("if($T523&lt;&gt;"""",REGEXEXTRACT($T523, J$1&amp;""[\w &amp;]*, (\d+\.\d+)""),"""")
"),"")</f>
        <v/>
      </c>
      <c r="K523" s="3"/>
      <c r="L523" s="3" t="str">
        <f aca="false">IFERROR(__xludf.dummyfunction("if($T523&lt;&gt;"""",REGEXEXTRACT(SUBSTITUTE ($T523,L$1&amp;"" CE"",""""), L$1&amp;""[\w &amp;]*, (\d+\.\d+)""),"""")
"),"")</f>
        <v/>
      </c>
      <c r="M523" s="3" t="str">
        <f aca="false">IFERROR(__xludf.dummyfunction("if($T523&lt;&gt;"""",REGEXEXTRACT($T523, M$1&amp;""[\w &amp;]*, (\d+\.\d+)""),"""")
"),"")</f>
        <v/>
      </c>
      <c r="N523" s="3" t="str">
        <f aca="false">IFERROR(__xludf.dummyfunction("if($T523&lt;&gt;"""",REGEXEXTRACT(SUBSTITUTE ($T523,N$1&amp;"" CE"",""""), N$1&amp;""[\w &amp;]*, (\d+\.\d+)""),"""")
"),"")</f>
        <v/>
      </c>
      <c r="O523" s="3" t="str">
        <f aca="false">IFERROR(__xludf.dummyfunction("if($T523&lt;&gt;"""",REGEXEXTRACT($T523, O$1&amp;""[\w &amp;]*, (\d+\.\d+)""),"""")
"),"")</f>
        <v/>
      </c>
      <c r="P523" s="2"/>
      <c r="Q523" s="2"/>
      <c r="R523" s="2"/>
      <c r="S523" s="2"/>
      <c r="T523" s="5"/>
    </row>
    <row r="524" customFormat="false" ht="15.75" hidden="false" customHeight="false" outlineLevel="0" collapsed="false">
      <c r="A524" s="4"/>
      <c r="B524" s="2"/>
      <c r="C524" s="2"/>
      <c r="D524" s="2"/>
      <c r="E524" s="2"/>
      <c r="F524" s="3" t="str">
        <f aca="false">IFERROR(__xludf.dummyfunction("if($T524&lt;&gt;"""",REGEXEXTRACT(SUBSTITUTE ($T524,F$1&amp;"" CE"",""""), F$1&amp;""[\w &amp;]*, (\d+\.\d+)""),"""")
"),"")</f>
        <v/>
      </c>
      <c r="G524" s="3" t="str">
        <f aca="false">IFERROR(__xludf.dummyfunction("if($T524&lt;&gt;"""",REGEXEXTRACT($T524, G$1&amp;""[\w &amp;]*, (\d+\.\d+)""),"""")
"),"")</f>
        <v/>
      </c>
      <c r="H524" s="3"/>
      <c r="I524" s="3" t="str">
        <f aca="false">IFERROR(__xludf.dummyfunction("if($T524&lt;&gt;"""",REGEXEXTRACT(SUBSTITUTE ($T524,I$1&amp;"" CE"",""""), I$1&amp;""[\w &amp;]*, (\d+\.\d+)""),"""")
"),"")</f>
        <v/>
      </c>
      <c r="J524" s="3" t="str">
        <f aca="false">IFERROR(__xludf.dummyfunction("if($T524&lt;&gt;"""",REGEXEXTRACT($T524, J$1&amp;""[\w &amp;]*, (\d+\.\d+)""),"""")
"),"")</f>
        <v/>
      </c>
      <c r="K524" s="3"/>
      <c r="L524" s="3" t="str">
        <f aca="false">IFERROR(__xludf.dummyfunction("if($T524&lt;&gt;"""",REGEXEXTRACT(SUBSTITUTE ($T524,L$1&amp;"" CE"",""""), L$1&amp;""[\w &amp;]*, (\d+\.\d+)""),"""")
"),"")</f>
        <v/>
      </c>
      <c r="M524" s="3" t="str">
        <f aca="false">IFERROR(__xludf.dummyfunction("if($T524&lt;&gt;"""",REGEXEXTRACT($T524, M$1&amp;""[\w &amp;]*, (\d+\.\d+)""),"""")
"),"")</f>
        <v/>
      </c>
      <c r="N524" s="3" t="str">
        <f aca="false">IFERROR(__xludf.dummyfunction("if($T524&lt;&gt;"""",REGEXEXTRACT(SUBSTITUTE ($T524,N$1&amp;"" CE"",""""), N$1&amp;""[\w &amp;]*, (\d+\.\d+)""),"""")
"),"")</f>
        <v/>
      </c>
      <c r="O524" s="3" t="str">
        <f aca="false">IFERROR(__xludf.dummyfunction("if($T524&lt;&gt;"""",REGEXEXTRACT($T524, O$1&amp;""[\w &amp;]*, (\d+\.\d+)""),"""")
"),"")</f>
        <v/>
      </c>
      <c r="P524" s="2"/>
      <c r="Q524" s="2"/>
      <c r="R524" s="2"/>
      <c r="S524" s="2"/>
      <c r="T524" s="5"/>
    </row>
    <row r="525" customFormat="false" ht="15.75" hidden="false" customHeight="false" outlineLevel="0" collapsed="false">
      <c r="A525" s="4"/>
      <c r="B525" s="2"/>
      <c r="C525" s="2"/>
      <c r="D525" s="2"/>
      <c r="E525" s="2"/>
      <c r="F525" s="3" t="str">
        <f aca="false">IFERROR(__xludf.dummyfunction("if($T525&lt;&gt;"""",REGEXEXTRACT(SUBSTITUTE ($T525,F$1&amp;"" CE"",""""), F$1&amp;""[\w &amp;]*, (\d+\.\d+)""),"""")
"),"")</f>
        <v/>
      </c>
      <c r="G525" s="3" t="str">
        <f aca="false">IFERROR(__xludf.dummyfunction("if($T525&lt;&gt;"""",REGEXEXTRACT($T525, G$1&amp;""[\w &amp;]*, (\d+\.\d+)""),"""")
"),"")</f>
        <v/>
      </c>
      <c r="H525" s="3"/>
      <c r="I525" s="3" t="str">
        <f aca="false">IFERROR(__xludf.dummyfunction("if($T525&lt;&gt;"""",REGEXEXTRACT(SUBSTITUTE ($T525,I$1&amp;"" CE"",""""), I$1&amp;""[\w &amp;]*, (\d+\.\d+)""),"""")
"),"")</f>
        <v/>
      </c>
      <c r="J525" s="3" t="str">
        <f aca="false">IFERROR(__xludf.dummyfunction("if($T525&lt;&gt;"""",REGEXEXTRACT($T525, J$1&amp;""[\w &amp;]*, (\d+\.\d+)""),"""")
"),"")</f>
        <v/>
      </c>
      <c r="K525" s="3"/>
      <c r="L525" s="3" t="str">
        <f aca="false">IFERROR(__xludf.dummyfunction("if($T525&lt;&gt;"""",REGEXEXTRACT(SUBSTITUTE ($T525,L$1&amp;"" CE"",""""), L$1&amp;""[\w &amp;]*, (\d+\.\d+)""),"""")
"),"")</f>
        <v/>
      </c>
      <c r="M525" s="3" t="str">
        <f aca="false">IFERROR(__xludf.dummyfunction("if($T525&lt;&gt;"""",REGEXEXTRACT($T525, M$1&amp;""[\w &amp;]*, (\d+\.\d+)""),"""")
"),"")</f>
        <v/>
      </c>
      <c r="N525" s="3" t="str">
        <f aca="false">IFERROR(__xludf.dummyfunction("if($T525&lt;&gt;"""",REGEXEXTRACT(SUBSTITUTE ($T525,N$1&amp;"" CE"",""""), N$1&amp;""[\w &amp;]*, (\d+\.\d+)""),"""")
"),"")</f>
        <v/>
      </c>
      <c r="O525" s="3" t="str">
        <f aca="false">IFERROR(__xludf.dummyfunction("if($T525&lt;&gt;"""",REGEXEXTRACT($T525, O$1&amp;""[\w &amp;]*, (\d+\.\d+)""),"""")
"),"")</f>
        <v/>
      </c>
      <c r="P525" s="2"/>
      <c r="Q525" s="2"/>
      <c r="R525" s="2"/>
      <c r="S525" s="2"/>
      <c r="T525" s="5"/>
    </row>
    <row r="526" customFormat="false" ht="15.75" hidden="false" customHeight="false" outlineLevel="0" collapsed="false">
      <c r="A526" s="4"/>
      <c r="B526" s="2"/>
      <c r="C526" s="2"/>
      <c r="D526" s="2"/>
      <c r="E526" s="2"/>
      <c r="F526" s="3" t="str">
        <f aca="false">IFERROR(__xludf.dummyfunction("if($T526&lt;&gt;"""",REGEXEXTRACT(SUBSTITUTE ($T526,F$1&amp;"" CE"",""""), F$1&amp;""[\w &amp;]*, (\d+\.\d+)""),"""")
"),"")</f>
        <v/>
      </c>
      <c r="G526" s="3" t="str">
        <f aca="false">IFERROR(__xludf.dummyfunction("if($T526&lt;&gt;"""",REGEXEXTRACT($T526, G$1&amp;""[\w &amp;]*, (\d+\.\d+)""),"""")
"),"")</f>
        <v/>
      </c>
      <c r="H526" s="3"/>
      <c r="I526" s="3" t="str">
        <f aca="false">IFERROR(__xludf.dummyfunction("if($T526&lt;&gt;"""",REGEXEXTRACT(SUBSTITUTE ($T526,I$1&amp;"" CE"",""""), I$1&amp;""[\w &amp;]*, (\d+\.\d+)""),"""")
"),"")</f>
        <v/>
      </c>
      <c r="J526" s="3" t="str">
        <f aca="false">IFERROR(__xludf.dummyfunction("if($T526&lt;&gt;"""",REGEXEXTRACT($T526, J$1&amp;""[\w &amp;]*, (\d+\.\d+)""),"""")
"),"")</f>
        <v/>
      </c>
      <c r="K526" s="3"/>
      <c r="L526" s="3" t="str">
        <f aca="false">IFERROR(__xludf.dummyfunction("if($T526&lt;&gt;"""",REGEXEXTRACT(SUBSTITUTE ($T526,L$1&amp;"" CE"",""""), L$1&amp;""[\w &amp;]*, (\d+\.\d+)""),"""")
"),"")</f>
        <v/>
      </c>
      <c r="M526" s="3" t="str">
        <f aca="false">IFERROR(__xludf.dummyfunction("if($T526&lt;&gt;"""",REGEXEXTRACT($T526, M$1&amp;""[\w &amp;]*, (\d+\.\d+)""),"""")
"),"")</f>
        <v/>
      </c>
      <c r="N526" s="3" t="str">
        <f aca="false">IFERROR(__xludf.dummyfunction("if($T526&lt;&gt;"""",REGEXEXTRACT(SUBSTITUTE ($T526,N$1&amp;"" CE"",""""), N$1&amp;""[\w &amp;]*, (\d+\.\d+)""),"""")
"),"")</f>
        <v/>
      </c>
      <c r="O526" s="3" t="str">
        <f aca="false">IFERROR(__xludf.dummyfunction("if($T526&lt;&gt;"""",REGEXEXTRACT($T526, O$1&amp;""[\w &amp;]*, (\d+\.\d+)""),"""")
"),"")</f>
        <v/>
      </c>
      <c r="P526" s="2"/>
      <c r="Q526" s="2"/>
      <c r="R526" s="2"/>
      <c r="S526" s="2"/>
      <c r="T526" s="5"/>
    </row>
    <row r="527" customFormat="false" ht="15.75" hidden="false" customHeight="false" outlineLevel="0" collapsed="false">
      <c r="A527" s="4"/>
      <c r="B527" s="2"/>
      <c r="C527" s="2"/>
      <c r="D527" s="2"/>
      <c r="E527" s="2"/>
      <c r="F527" s="3" t="str">
        <f aca="false">IFERROR(__xludf.dummyfunction("if($T527&lt;&gt;"""",REGEXEXTRACT(SUBSTITUTE ($T527,F$1&amp;"" CE"",""""), F$1&amp;""[\w &amp;]*, (\d+\.\d+)""),"""")
"),"")</f>
        <v/>
      </c>
      <c r="G527" s="3" t="str">
        <f aca="false">IFERROR(__xludf.dummyfunction("if($T527&lt;&gt;"""",REGEXEXTRACT($T527, G$1&amp;""[\w &amp;]*, (\d+\.\d+)""),"""")
"),"")</f>
        <v/>
      </c>
      <c r="H527" s="3"/>
      <c r="I527" s="3" t="str">
        <f aca="false">IFERROR(__xludf.dummyfunction("if($T527&lt;&gt;"""",REGEXEXTRACT(SUBSTITUTE ($T527,I$1&amp;"" CE"",""""), I$1&amp;""[\w &amp;]*, (\d+\.\d+)""),"""")
"),"")</f>
        <v/>
      </c>
      <c r="J527" s="3" t="str">
        <f aca="false">IFERROR(__xludf.dummyfunction("if($T527&lt;&gt;"""",REGEXEXTRACT($T527, J$1&amp;""[\w &amp;]*, (\d+\.\d+)""),"""")
"),"")</f>
        <v/>
      </c>
      <c r="K527" s="3"/>
      <c r="L527" s="3" t="str">
        <f aca="false">IFERROR(__xludf.dummyfunction("if($T527&lt;&gt;"""",REGEXEXTRACT(SUBSTITUTE ($T527,L$1&amp;"" CE"",""""), L$1&amp;""[\w &amp;]*, (\d+\.\d+)""),"""")
"),"")</f>
        <v/>
      </c>
      <c r="M527" s="3" t="str">
        <f aca="false">IFERROR(__xludf.dummyfunction("if($T527&lt;&gt;"""",REGEXEXTRACT($T527, M$1&amp;""[\w &amp;]*, (\d+\.\d+)""),"""")
"),"")</f>
        <v/>
      </c>
      <c r="N527" s="3" t="str">
        <f aca="false">IFERROR(__xludf.dummyfunction("if($T527&lt;&gt;"""",REGEXEXTRACT(SUBSTITUTE ($T527,N$1&amp;"" CE"",""""), N$1&amp;""[\w &amp;]*, (\d+\.\d+)""),"""")
"),"")</f>
        <v/>
      </c>
      <c r="O527" s="3" t="str">
        <f aca="false">IFERROR(__xludf.dummyfunction("if($T527&lt;&gt;"""",REGEXEXTRACT($T527, O$1&amp;""[\w &amp;]*, (\d+\.\d+)""),"""")
"),"")</f>
        <v/>
      </c>
      <c r="P527" s="2"/>
      <c r="Q527" s="2"/>
      <c r="R527" s="2"/>
      <c r="S527" s="2"/>
      <c r="T527" s="5"/>
    </row>
    <row r="528" customFormat="false" ht="15.75" hidden="false" customHeight="false" outlineLevel="0" collapsed="false">
      <c r="A528" s="4"/>
      <c r="B528" s="2"/>
      <c r="C528" s="2"/>
      <c r="D528" s="2"/>
      <c r="E528" s="2"/>
      <c r="F528" s="3" t="str">
        <f aca="false">IFERROR(__xludf.dummyfunction("if($T528&lt;&gt;"""",REGEXEXTRACT(SUBSTITUTE ($T528,F$1&amp;"" CE"",""""), F$1&amp;""[\w &amp;]*, (\d+\.\d+)""),"""")
"),"")</f>
        <v/>
      </c>
      <c r="G528" s="3" t="str">
        <f aca="false">IFERROR(__xludf.dummyfunction("if($T528&lt;&gt;"""",REGEXEXTRACT($T528, G$1&amp;""[\w &amp;]*, (\d+\.\d+)""),"""")
"),"")</f>
        <v/>
      </c>
      <c r="H528" s="3"/>
      <c r="I528" s="3" t="str">
        <f aca="false">IFERROR(__xludf.dummyfunction("if($T528&lt;&gt;"""",REGEXEXTRACT(SUBSTITUTE ($T528,I$1&amp;"" CE"",""""), I$1&amp;""[\w &amp;]*, (\d+\.\d+)""),"""")
"),"")</f>
        <v/>
      </c>
      <c r="J528" s="3" t="str">
        <f aca="false">IFERROR(__xludf.dummyfunction("if($T528&lt;&gt;"""",REGEXEXTRACT($T528, J$1&amp;""[\w &amp;]*, (\d+\.\d+)""),"""")
"),"")</f>
        <v/>
      </c>
      <c r="K528" s="3"/>
      <c r="L528" s="3" t="str">
        <f aca="false">IFERROR(__xludf.dummyfunction("if($T528&lt;&gt;"""",REGEXEXTRACT(SUBSTITUTE ($T528,L$1&amp;"" CE"",""""), L$1&amp;""[\w &amp;]*, (\d+\.\d+)""),"""")
"),"")</f>
        <v/>
      </c>
      <c r="M528" s="3" t="str">
        <f aca="false">IFERROR(__xludf.dummyfunction("if($T528&lt;&gt;"""",REGEXEXTRACT($T528, M$1&amp;""[\w &amp;]*, (\d+\.\d+)""),"""")
"),"")</f>
        <v/>
      </c>
      <c r="N528" s="3" t="str">
        <f aca="false">IFERROR(__xludf.dummyfunction("if($T528&lt;&gt;"""",REGEXEXTRACT(SUBSTITUTE ($T528,N$1&amp;"" CE"",""""), N$1&amp;""[\w &amp;]*, (\d+\.\d+)""),"""")
"),"")</f>
        <v/>
      </c>
      <c r="O528" s="3" t="str">
        <f aca="false">IFERROR(__xludf.dummyfunction("if($T528&lt;&gt;"""",REGEXEXTRACT($T528, O$1&amp;""[\w &amp;]*, (\d+\.\d+)""),"""")
"),"")</f>
        <v/>
      </c>
      <c r="P528" s="2"/>
      <c r="Q528" s="2"/>
      <c r="R528" s="2"/>
      <c r="S528" s="2"/>
      <c r="T528" s="5"/>
    </row>
    <row r="529" customFormat="false" ht="15.75" hidden="false" customHeight="false" outlineLevel="0" collapsed="false">
      <c r="A529" s="4"/>
      <c r="B529" s="2"/>
      <c r="C529" s="2"/>
      <c r="D529" s="2"/>
      <c r="E529" s="2"/>
      <c r="F529" s="3" t="str">
        <f aca="false">IFERROR(__xludf.dummyfunction("if($T529&lt;&gt;"""",REGEXEXTRACT(SUBSTITUTE ($T529,F$1&amp;"" CE"",""""), F$1&amp;""[\w &amp;]*, (\d+\.\d+)""),"""")
"),"")</f>
        <v/>
      </c>
      <c r="G529" s="3" t="str">
        <f aca="false">IFERROR(__xludf.dummyfunction("if($T529&lt;&gt;"""",REGEXEXTRACT($T529, G$1&amp;""[\w &amp;]*, (\d+\.\d+)""),"""")
"),"")</f>
        <v/>
      </c>
      <c r="H529" s="3"/>
      <c r="I529" s="3" t="str">
        <f aca="false">IFERROR(__xludf.dummyfunction("if($T529&lt;&gt;"""",REGEXEXTRACT(SUBSTITUTE ($T529,I$1&amp;"" CE"",""""), I$1&amp;""[\w &amp;]*, (\d+\.\d+)""),"""")
"),"")</f>
        <v/>
      </c>
      <c r="J529" s="3" t="str">
        <f aca="false">IFERROR(__xludf.dummyfunction("if($T529&lt;&gt;"""",REGEXEXTRACT($T529, J$1&amp;""[\w &amp;]*, (\d+\.\d+)""),"""")
"),"")</f>
        <v/>
      </c>
      <c r="K529" s="3"/>
      <c r="L529" s="3" t="str">
        <f aca="false">IFERROR(__xludf.dummyfunction("if($T529&lt;&gt;"""",REGEXEXTRACT(SUBSTITUTE ($T529,L$1&amp;"" CE"",""""), L$1&amp;""[\w &amp;]*, (\d+\.\d+)""),"""")
"),"")</f>
        <v/>
      </c>
      <c r="M529" s="3" t="str">
        <f aca="false">IFERROR(__xludf.dummyfunction("if($T529&lt;&gt;"""",REGEXEXTRACT($T529, M$1&amp;""[\w &amp;]*, (\d+\.\d+)""),"""")
"),"")</f>
        <v/>
      </c>
      <c r="N529" s="3" t="str">
        <f aca="false">IFERROR(__xludf.dummyfunction("if($T529&lt;&gt;"""",REGEXEXTRACT(SUBSTITUTE ($T529,N$1&amp;"" CE"",""""), N$1&amp;""[\w &amp;]*, (\d+\.\d+)""),"""")
"),"")</f>
        <v/>
      </c>
      <c r="O529" s="3" t="str">
        <f aca="false">IFERROR(__xludf.dummyfunction("if($T529&lt;&gt;"""",REGEXEXTRACT($T529, O$1&amp;""[\w &amp;]*, (\d+\.\d+)""),"""")
"),"")</f>
        <v/>
      </c>
      <c r="P529" s="2"/>
      <c r="Q529" s="2"/>
      <c r="R529" s="2"/>
      <c r="S529" s="2"/>
      <c r="T529" s="5"/>
    </row>
    <row r="530" customFormat="false" ht="15.75" hidden="false" customHeight="false" outlineLevel="0" collapsed="false">
      <c r="A530" s="4"/>
      <c r="B530" s="2"/>
      <c r="C530" s="2"/>
      <c r="D530" s="2"/>
      <c r="E530" s="2"/>
      <c r="F530" s="3" t="str">
        <f aca="false">IFERROR(__xludf.dummyfunction("if($T530&lt;&gt;"""",REGEXEXTRACT(SUBSTITUTE ($T530,F$1&amp;"" CE"",""""), F$1&amp;""[\w &amp;]*, (\d+\.\d+)""),"""")
"),"")</f>
        <v/>
      </c>
      <c r="G530" s="3" t="str">
        <f aca="false">IFERROR(__xludf.dummyfunction("if($T530&lt;&gt;"""",REGEXEXTRACT($T530, G$1&amp;""[\w &amp;]*, (\d+\.\d+)""),"""")
"),"")</f>
        <v/>
      </c>
      <c r="H530" s="3"/>
      <c r="I530" s="3" t="str">
        <f aca="false">IFERROR(__xludf.dummyfunction("if($T530&lt;&gt;"""",REGEXEXTRACT(SUBSTITUTE ($T530,I$1&amp;"" CE"",""""), I$1&amp;""[\w &amp;]*, (\d+\.\d+)""),"""")
"),"")</f>
        <v/>
      </c>
      <c r="J530" s="3" t="str">
        <f aca="false">IFERROR(__xludf.dummyfunction("if($T530&lt;&gt;"""",REGEXEXTRACT($T530, J$1&amp;""[\w &amp;]*, (\d+\.\d+)""),"""")
"),"")</f>
        <v/>
      </c>
      <c r="K530" s="3"/>
      <c r="L530" s="3" t="str">
        <f aca="false">IFERROR(__xludf.dummyfunction("if($T530&lt;&gt;"""",REGEXEXTRACT(SUBSTITUTE ($T530,L$1&amp;"" CE"",""""), L$1&amp;""[\w &amp;]*, (\d+\.\d+)""),"""")
"),"")</f>
        <v/>
      </c>
      <c r="M530" s="3" t="str">
        <f aca="false">IFERROR(__xludf.dummyfunction("if($T530&lt;&gt;"""",REGEXEXTRACT($T530, M$1&amp;""[\w &amp;]*, (\d+\.\d+)""),"""")
"),"")</f>
        <v/>
      </c>
      <c r="N530" s="3" t="str">
        <f aca="false">IFERROR(__xludf.dummyfunction("if($T530&lt;&gt;"""",REGEXEXTRACT(SUBSTITUTE ($T530,N$1&amp;"" CE"",""""), N$1&amp;""[\w &amp;]*, (\d+\.\d+)""),"""")
"),"")</f>
        <v/>
      </c>
      <c r="O530" s="3" t="str">
        <f aca="false">IFERROR(__xludf.dummyfunction("if($T530&lt;&gt;"""",REGEXEXTRACT($T530, O$1&amp;""[\w &amp;]*, (\d+\.\d+)""),"""")
"),"")</f>
        <v/>
      </c>
      <c r="P530" s="2"/>
      <c r="Q530" s="2"/>
      <c r="R530" s="2"/>
      <c r="S530" s="2"/>
      <c r="T530" s="5"/>
    </row>
    <row r="531" customFormat="false" ht="15.75" hidden="false" customHeight="false" outlineLevel="0" collapsed="false">
      <c r="A531" s="4"/>
      <c r="B531" s="2"/>
      <c r="C531" s="2"/>
      <c r="D531" s="2"/>
      <c r="E531" s="2"/>
      <c r="F531" s="3" t="str">
        <f aca="false">IFERROR(__xludf.dummyfunction("if($T531&lt;&gt;"""",REGEXEXTRACT(SUBSTITUTE ($T531,F$1&amp;"" CE"",""""), F$1&amp;""[\w &amp;]*, (\d+\.\d+)""),"""")
"),"")</f>
        <v/>
      </c>
      <c r="G531" s="3" t="str">
        <f aca="false">IFERROR(__xludf.dummyfunction("if($T531&lt;&gt;"""",REGEXEXTRACT($T531, G$1&amp;""[\w &amp;]*, (\d+\.\d+)""),"""")
"),"")</f>
        <v/>
      </c>
      <c r="H531" s="3"/>
      <c r="I531" s="3" t="str">
        <f aca="false">IFERROR(__xludf.dummyfunction("if($T531&lt;&gt;"""",REGEXEXTRACT(SUBSTITUTE ($T531,I$1&amp;"" CE"",""""), I$1&amp;""[\w &amp;]*, (\d+\.\d+)""),"""")
"),"")</f>
        <v/>
      </c>
      <c r="J531" s="3" t="str">
        <f aca="false">IFERROR(__xludf.dummyfunction("if($T531&lt;&gt;"""",REGEXEXTRACT($T531, J$1&amp;""[\w &amp;]*, (\d+\.\d+)""),"""")
"),"")</f>
        <v/>
      </c>
      <c r="K531" s="3"/>
      <c r="L531" s="3" t="str">
        <f aca="false">IFERROR(__xludf.dummyfunction("if($T531&lt;&gt;"""",REGEXEXTRACT(SUBSTITUTE ($T531,L$1&amp;"" CE"",""""), L$1&amp;""[\w &amp;]*, (\d+\.\d+)""),"""")
"),"")</f>
        <v/>
      </c>
      <c r="M531" s="3" t="str">
        <f aca="false">IFERROR(__xludf.dummyfunction("if($T531&lt;&gt;"""",REGEXEXTRACT($T531, M$1&amp;""[\w &amp;]*, (\d+\.\d+)""),"""")
"),"")</f>
        <v/>
      </c>
      <c r="N531" s="3" t="str">
        <f aca="false">IFERROR(__xludf.dummyfunction("if($T531&lt;&gt;"""",REGEXEXTRACT(SUBSTITUTE ($T531,N$1&amp;"" CE"",""""), N$1&amp;""[\w &amp;]*, (\d+\.\d+)""),"""")
"),"")</f>
        <v/>
      </c>
      <c r="O531" s="3" t="str">
        <f aca="false">IFERROR(__xludf.dummyfunction("if($T531&lt;&gt;"""",REGEXEXTRACT($T531, O$1&amp;""[\w &amp;]*, (\d+\.\d+)""),"""")
"),"")</f>
        <v/>
      </c>
      <c r="P531" s="2"/>
      <c r="Q531" s="2"/>
      <c r="R531" s="2"/>
      <c r="S531" s="2"/>
      <c r="T531" s="5"/>
    </row>
    <row r="532" customFormat="false" ht="15.75" hidden="false" customHeight="false" outlineLevel="0" collapsed="false">
      <c r="A532" s="4"/>
      <c r="B532" s="2"/>
      <c r="C532" s="2"/>
      <c r="D532" s="2"/>
      <c r="E532" s="2"/>
      <c r="F532" s="3" t="str">
        <f aca="false">IFERROR(__xludf.dummyfunction("if($T532&lt;&gt;"""",REGEXEXTRACT(SUBSTITUTE ($T532,F$1&amp;"" CE"",""""), F$1&amp;""[\w &amp;]*, (\d+\.\d+)""),"""")
"),"")</f>
        <v/>
      </c>
      <c r="G532" s="3" t="str">
        <f aca="false">IFERROR(__xludf.dummyfunction("if($T532&lt;&gt;"""",REGEXEXTRACT($T532, G$1&amp;""[\w &amp;]*, (\d+\.\d+)""),"""")
"),"")</f>
        <v/>
      </c>
      <c r="H532" s="3"/>
      <c r="I532" s="3" t="str">
        <f aca="false">IFERROR(__xludf.dummyfunction("if($T532&lt;&gt;"""",REGEXEXTRACT(SUBSTITUTE ($T532,I$1&amp;"" CE"",""""), I$1&amp;""[\w &amp;]*, (\d+\.\d+)""),"""")
"),"")</f>
        <v/>
      </c>
      <c r="J532" s="3" t="str">
        <f aca="false">IFERROR(__xludf.dummyfunction("if($T532&lt;&gt;"""",REGEXEXTRACT($T532, J$1&amp;""[\w &amp;]*, (\d+\.\d+)""),"""")
"),"")</f>
        <v/>
      </c>
      <c r="K532" s="3"/>
      <c r="L532" s="3" t="str">
        <f aca="false">IFERROR(__xludf.dummyfunction("if($T532&lt;&gt;"""",REGEXEXTRACT(SUBSTITUTE ($T532,L$1&amp;"" CE"",""""), L$1&amp;""[\w &amp;]*, (\d+\.\d+)""),"""")
"),"")</f>
        <v/>
      </c>
      <c r="M532" s="3" t="str">
        <f aca="false">IFERROR(__xludf.dummyfunction("if($T532&lt;&gt;"""",REGEXEXTRACT($T532, M$1&amp;""[\w &amp;]*, (\d+\.\d+)""),"""")
"),"")</f>
        <v/>
      </c>
      <c r="N532" s="3" t="str">
        <f aca="false">IFERROR(__xludf.dummyfunction("if($T532&lt;&gt;"""",REGEXEXTRACT(SUBSTITUTE ($T532,N$1&amp;"" CE"",""""), N$1&amp;""[\w &amp;]*, (\d+\.\d+)""),"""")
"),"")</f>
        <v/>
      </c>
      <c r="O532" s="3" t="str">
        <f aca="false">IFERROR(__xludf.dummyfunction("if($T532&lt;&gt;"""",REGEXEXTRACT($T532, O$1&amp;""[\w &amp;]*, (\d+\.\d+)""),"""")
"),"")</f>
        <v/>
      </c>
      <c r="P532" s="2"/>
      <c r="Q532" s="2"/>
      <c r="R532" s="2"/>
      <c r="S532" s="2"/>
      <c r="T532" s="5"/>
    </row>
    <row r="533" customFormat="false" ht="15.75" hidden="false" customHeight="false" outlineLevel="0" collapsed="false">
      <c r="A533" s="4"/>
      <c r="B533" s="2"/>
      <c r="C533" s="2"/>
      <c r="D533" s="2"/>
      <c r="E533" s="2"/>
      <c r="F533" s="3" t="str">
        <f aca="false">IFERROR(__xludf.dummyfunction("if($T533&lt;&gt;"""",REGEXEXTRACT(SUBSTITUTE ($T533,F$1&amp;"" CE"",""""), F$1&amp;""[\w &amp;]*, (\d+\.\d+)""),"""")
"),"")</f>
        <v/>
      </c>
      <c r="G533" s="3" t="str">
        <f aca="false">IFERROR(__xludf.dummyfunction("if($T533&lt;&gt;"""",REGEXEXTRACT($T533, G$1&amp;""[\w &amp;]*, (\d+\.\d+)""),"""")
"),"")</f>
        <v/>
      </c>
      <c r="H533" s="3"/>
      <c r="I533" s="3" t="str">
        <f aca="false">IFERROR(__xludf.dummyfunction("if($T533&lt;&gt;"""",REGEXEXTRACT(SUBSTITUTE ($T533,I$1&amp;"" CE"",""""), I$1&amp;""[\w &amp;]*, (\d+\.\d+)""),"""")
"),"")</f>
        <v/>
      </c>
      <c r="J533" s="3" t="str">
        <f aca="false">IFERROR(__xludf.dummyfunction("if($T533&lt;&gt;"""",REGEXEXTRACT($T533, J$1&amp;""[\w &amp;]*, (\d+\.\d+)""),"""")
"),"")</f>
        <v/>
      </c>
      <c r="K533" s="3"/>
      <c r="L533" s="3" t="str">
        <f aca="false">IFERROR(__xludf.dummyfunction("if($T533&lt;&gt;"""",REGEXEXTRACT(SUBSTITUTE ($T533,L$1&amp;"" CE"",""""), L$1&amp;""[\w &amp;]*, (\d+\.\d+)""),"""")
"),"")</f>
        <v/>
      </c>
      <c r="M533" s="3" t="str">
        <f aca="false">IFERROR(__xludf.dummyfunction("if($T533&lt;&gt;"""",REGEXEXTRACT($T533, M$1&amp;""[\w &amp;]*, (\d+\.\d+)""),"""")
"),"")</f>
        <v/>
      </c>
      <c r="N533" s="3" t="str">
        <f aca="false">IFERROR(__xludf.dummyfunction("if($T533&lt;&gt;"""",REGEXEXTRACT(SUBSTITUTE ($T533,N$1&amp;"" CE"",""""), N$1&amp;""[\w &amp;]*, (\d+\.\d+)""),"""")
"),"")</f>
        <v/>
      </c>
      <c r="O533" s="3" t="str">
        <f aca="false">IFERROR(__xludf.dummyfunction("if($T533&lt;&gt;"""",REGEXEXTRACT($T533, O$1&amp;""[\w &amp;]*, (\d+\.\d+)""),"""")
"),"")</f>
        <v/>
      </c>
      <c r="P533" s="2"/>
      <c r="Q533" s="2"/>
      <c r="R533" s="2"/>
      <c r="S533" s="2"/>
      <c r="T533" s="5"/>
    </row>
    <row r="534" customFormat="false" ht="15.75" hidden="false" customHeight="false" outlineLevel="0" collapsed="false">
      <c r="A534" s="4"/>
      <c r="B534" s="2"/>
      <c r="C534" s="2"/>
      <c r="D534" s="2"/>
      <c r="E534" s="2"/>
      <c r="F534" s="3" t="str">
        <f aca="false">IFERROR(__xludf.dummyfunction("if($T534&lt;&gt;"""",REGEXEXTRACT(SUBSTITUTE ($T534,F$1&amp;"" CE"",""""), F$1&amp;""[\w &amp;]*, (\d+\.\d+)""),"""")
"),"")</f>
        <v/>
      </c>
      <c r="G534" s="3" t="str">
        <f aca="false">IFERROR(__xludf.dummyfunction("if($T534&lt;&gt;"""",REGEXEXTRACT($T534, G$1&amp;""[\w &amp;]*, (\d+\.\d+)""),"""")
"),"")</f>
        <v/>
      </c>
      <c r="H534" s="3"/>
      <c r="I534" s="3" t="str">
        <f aca="false">IFERROR(__xludf.dummyfunction("if($T534&lt;&gt;"""",REGEXEXTRACT(SUBSTITUTE ($T534,I$1&amp;"" CE"",""""), I$1&amp;""[\w &amp;]*, (\d+\.\d+)""),"""")
"),"")</f>
        <v/>
      </c>
      <c r="J534" s="3" t="str">
        <f aca="false">IFERROR(__xludf.dummyfunction("if($T534&lt;&gt;"""",REGEXEXTRACT($T534, J$1&amp;""[\w &amp;]*, (\d+\.\d+)""),"""")
"),"")</f>
        <v/>
      </c>
      <c r="K534" s="3"/>
      <c r="L534" s="3" t="str">
        <f aca="false">IFERROR(__xludf.dummyfunction("if($T534&lt;&gt;"""",REGEXEXTRACT(SUBSTITUTE ($T534,L$1&amp;"" CE"",""""), L$1&amp;""[\w &amp;]*, (\d+\.\d+)""),"""")
"),"")</f>
        <v/>
      </c>
      <c r="M534" s="3" t="str">
        <f aca="false">IFERROR(__xludf.dummyfunction("if($T534&lt;&gt;"""",REGEXEXTRACT($T534, M$1&amp;""[\w &amp;]*, (\d+\.\d+)""),"""")
"),"")</f>
        <v/>
      </c>
      <c r="N534" s="3" t="str">
        <f aca="false">IFERROR(__xludf.dummyfunction("if($T534&lt;&gt;"""",REGEXEXTRACT(SUBSTITUTE ($T534,N$1&amp;"" CE"",""""), N$1&amp;""[\w &amp;]*, (\d+\.\d+)""),"""")
"),"")</f>
        <v/>
      </c>
      <c r="O534" s="3" t="str">
        <f aca="false">IFERROR(__xludf.dummyfunction("if($T534&lt;&gt;"""",REGEXEXTRACT($T534, O$1&amp;""[\w &amp;]*, (\d+\.\d+)""),"""")
"),"")</f>
        <v/>
      </c>
      <c r="P534" s="2"/>
      <c r="Q534" s="2"/>
      <c r="R534" s="2"/>
      <c r="S534" s="2"/>
      <c r="T534" s="5"/>
    </row>
    <row r="535" customFormat="false" ht="15.75" hidden="false" customHeight="false" outlineLevel="0" collapsed="false">
      <c r="A535" s="4"/>
      <c r="B535" s="2"/>
      <c r="C535" s="2"/>
      <c r="D535" s="2"/>
      <c r="E535" s="2"/>
      <c r="F535" s="3" t="str">
        <f aca="false">IFERROR(__xludf.dummyfunction("if($T535&lt;&gt;"""",REGEXEXTRACT(SUBSTITUTE ($T535,F$1&amp;"" CE"",""""), F$1&amp;""[\w &amp;]*, (\d+\.\d+)""),"""")
"),"")</f>
        <v/>
      </c>
      <c r="G535" s="3" t="str">
        <f aca="false">IFERROR(__xludf.dummyfunction("if($T535&lt;&gt;"""",REGEXEXTRACT($T535, G$1&amp;""[\w &amp;]*, (\d+\.\d+)""),"""")
"),"")</f>
        <v/>
      </c>
      <c r="H535" s="3"/>
      <c r="I535" s="3" t="str">
        <f aca="false">IFERROR(__xludf.dummyfunction("if($T535&lt;&gt;"""",REGEXEXTRACT(SUBSTITUTE ($T535,I$1&amp;"" CE"",""""), I$1&amp;""[\w &amp;]*, (\d+\.\d+)""),"""")
"),"")</f>
        <v/>
      </c>
      <c r="J535" s="3" t="str">
        <f aca="false">IFERROR(__xludf.dummyfunction("if($T535&lt;&gt;"""",REGEXEXTRACT($T535, J$1&amp;""[\w &amp;]*, (\d+\.\d+)""),"""")
"),"")</f>
        <v/>
      </c>
      <c r="K535" s="3"/>
      <c r="L535" s="3" t="str">
        <f aca="false">IFERROR(__xludf.dummyfunction("if($T535&lt;&gt;"""",REGEXEXTRACT(SUBSTITUTE ($T535,L$1&amp;"" CE"",""""), L$1&amp;""[\w &amp;]*, (\d+\.\d+)""),"""")
"),"")</f>
        <v/>
      </c>
      <c r="M535" s="3" t="str">
        <f aca="false">IFERROR(__xludf.dummyfunction("if($T535&lt;&gt;"""",REGEXEXTRACT($T535, M$1&amp;""[\w &amp;]*, (\d+\.\d+)""),"""")
"),"")</f>
        <v/>
      </c>
      <c r="N535" s="3" t="str">
        <f aca="false">IFERROR(__xludf.dummyfunction("if($T535&lt;&gt;"""",REGEXEXTRACT(SUBSTITUTE ($T535,N$1&amp;"" CE"",""""), N$1&amp;""[\w &amp;]*, (\d+\.\d+)""),"""")
"),"")</f>
        <v/>
      </c>
      <c r="O535" s="3" t="str">
        <f aca="false">IFERROR(__xludf.dummyfunction("if($T535&lt;&gt;"""",REGEXEXTRACT($T535, O$1&amp;""[\w &amp;]*, (\d+\.\d+)""),"""")
"),"")</f>
        <v/>
      </c>
      <c r="P535" s="2"/>
      <c r="Q535" s="2"/>
      <c r="R535" s="2"/>
      <c r="S535" s="2"/>
      <c r="T535" s="5"/>
    </row>
    <row r="536" customFormat="false" ht="15.75" hidden="false" customHeight="false" outlineLevel="0" collapsed="false">
      <c r="A536" s="4"/>
      <c r="B536" s="2"/>
      <c r="C536" s="2"/>
      <c r="D536" s="2"/>
      <c r="E536" s="2"/>
      <c r="F536" s="3" t="str">
        <f aca="false">IFERROR(__xludf.dummyfunction("if($T536&lt;&gt;"""",REGEXEXTRACT(SUBSTITUTE ($T536,F$1&amp;"" CE"",""""), F$1&amp;""[\w &amp;]*, (\d+\.\d+)""),"""")
"),"")</f>
        <v/>
      </c>
      <c r="G536" s="3" t="str">
        <f aca="false">IFERROR(__xludf.dummyfunction("if($T536&lt;&gt;"""",REGEXEXTRACT($T536, G$1&amp;""[\w &amp;]*, (\d+\.\d+)""),"""")
"),"")</f>
        <v/>
      </c>
      <c r="H536" s="3"/>
      <c r="I536" s="3" t="str">
        <f aca="false">IFERROR(__xludf.dummyfunction("if($T536&lt;&gt;"""",REGEXEXTRACT(SUBSTITUTE ($T536,I$1&amp;"" CE"",""""), I$1&amp;""[\w &amp;]*, (\d+\.\d+)""),"""")
"),"")</f>
        <v/>
      </c>
      <c r="J536" s="3" t="str">
        <f aca="false">IFERROR(__xludf.dummyfunction("if($T536&lt;&gt;"""",REGEXEXTRACT($T536, J$1&amp;""[\w &amp;]*, (\d+\.\d+)""),"""")
"),"")</f>
        <v/>
      </c>
      <c r="K536" s="3"/>
      <c r="L536" s="3" t="str">
        <f aca="false">IFERROR(__xludf.dummyfunction("if($T536&lt;&gt;"""",REGEXEXTRACT(SUBSTITUTE ($T536,L$1&amp;"" CE"",""""), L$1&amp;""[\w &amp;]*, (\d+\.\d+)""),"""")
"),"")</f>
        <v/>
      </c>
      <c r="M536" s="3" t="str">
        <f aca="false">IFERROR(__xludf.dummyfunction("if($T536&lt;&gt;"""",REGEXEXTRACT($T536, M$1&amp;""[\w &amp;]*, (\d+\.\d+)""),"""")
"),"")</f>
        <v/>
      </c>
      <c r="N536" s="3" t="str">
        <f aca="false">IFERROR(__xludf.dummyfunction("if($T536&lt;&gt;"""",REGEXEXTRACT(SUBSTITUTE ($T536,N$1&amp;"" CE"",""""), N$1&amp;""[\w &amp;]*, (\d+\.\d+)""),"""")
"),"")</f>
        <v/>
      </c>
      <c r="O536" s="3" t="str">
        <f aca="false">IFERROR(__xludf.dummyfunction("if($T536&lt;&gt;"""",REGEXEXTRACT($T536, O$1&amp;""[\w &amp;]*, (\d+\.\d+)""),"""")
"),"")</f>
        <v/>
      </c>
      <c r="P536" s="2"/>
      <c r="Q536" s="2"/>
      <c r="R536" s="2"/>
      <c r="S536" s="2"/>
      <c r="T536" s="5"/>
    </row>
    <row r="537" customFormat="false" ht="15.75" hidden="false" customHeight="false" outlineLevel="0" collapsed="false">
      <c r="A537" s="4"/>
      <c r="B537" s="2"/>
      <c r="C537" s="2"/>
      <c r="D537" s="2"/>
      <c r="E537" s="2"/>
      <c r="F537" s="3" t="str">
        <f aca="false">IFERROR(__xludf.dummyfunction("if($T537&lt;&gt;"""",REGEXEXTRACT(SUBSTITUTE ($T537,F$1&amp;"" CE"",""""), F$1&amp;""[\w &amp;]*, (\d+\.\d+)""),"""")
"),"")</f>
        <v/>
      </c>
      <c r="G537" s="3" t="str">
        <f aca="false">IFERROR(__xludf.dummyfunction("if($T537&lt;&gt;"""",REGEXEXTRACT($T537, G$1&amp;""[\w &amp;]*, (\d+\.\d+)""),"""")
"),"")</f>
        <v/>
      </c>
      <c r="H537" s="3"/>
      <c r="I537" s="3" t="str">
        <f aca="false">IFERROR(__xludf.dummyfunction("if($T537&lt;&gt;"""",REGEXEXTRACT(SUBSTITUTE ($T537,I$1&amp;"" CE"",""""), I$1&amp;""[\w &amp;]*, (\d+\.\d+)""),"""")
"),"")</f>
        <v/>
      </c>
      <c r="J537" s="3" t="str">
        <f aca="false">IFERROR(__xludf.dummyfunction("if($T537&lt;&gt;"""",REGEXEXTRACT($T537, J$1&amp;""[\w &amp;]*, (\d+\.\d+)""),"""")
"),"")</f>
        <v/>
      </c>
      <c r="K537" s="3"/>
      <c r="L537" s="3" t="str">
        <f aca="false">IFERROR(__xludf.dummyfunction("if($T537&lt;&gt;"""",REGEXEXTRACT(SUBSTITUTE ($T537,L$1&amp;"" CE"",""""), L$1&amp;""[\w &amp;]*, (\d+\.\d+)""),"""")
"),"")</f>
        <v/>
      </c>
      <c r="M537" s="3" t="str">
        <f aca="false">IFERROR(__xludf.dummyfunction("if($T537&lt;&gt;"""",REGEXEXTRACT($T537, M$1&amp;""[\w &amp;]*, (\d+\.\d+)""),"""")
"),"")</f>
        <v/>
      </c>
      <c r="N537" s="3" t="str">
        <f aca="false">IFERROR(__xludf.dummyfunction("if($T537&lt;&gt;"""",REGEXEXTRACT(SUBSTITUTE ($T537,N$1&amp;"" CE"",""""), N$1&amp;""[\w &amp;]*, (\d+\.\d+)""),"""")
"),"")</f>
        <v/>
      </c>
      <c r="O537" s="3" t="str">
        <f aca="false">IFERROR(__xludf.dummyfunction("if($T537&lt;&gt;"""",REGEXEXTRACT($T537, O$1&amp;""[\w &amp;]*, (\d+\.\d+)""),"""")
"),"")</f>
        <v/>
      </c>
      <c r="P537" s="2"/>
      <c r="Q537" s="2"/>
      <c r="R537" s="2"/>
      <c r="S537" s="2"/>
      <c r="T537" s="5"/>
    </row>
    <row r="538" customFormat="false" ht="15.75" hidden="false" customHeight="false" outlineLevel="0" collapsed="false">
      <c r="A538" s="4"/>
      <c r="B538" s="2"/>
      <c r="C538" s="2"/>
      <c r="D538" s="2"/>
      <c r="E538" s="2"/>
      <c r="F538" s="3" t="str">
        <f aca="false">IFERROR(__xludf.dummyfunction("if($T538&lt;&gt;"""",REGEXEXTRACT(SUBSTITUTE ($T538,F$1&amp;"" CE"",""""), F$1&amp;""[\w &amp;]*, (\d+\.\d+)""),"""")
"),"")</f>
        <v/>
      </c>
      <c r="G538" s="3" t="str">
        <f aca="false">IFERROR(__xludf.dummyfunction("if($T538&lt;&gt;"""",REGEXEXTRACT($T538, G$1&amp;""[\w &amp;]*, (\d+\.\d+)""),"""")
"),"")</f>
        <v/>
      </c>
      <c r="H538" s="3"/>
      <c r="I538" s="3" t="str">
        <f aca="false">IFERROR(__xludf.dummyfunction("if($T538&lt;&gt;"""",REGEXEXTRACT(SUBSTITUTE ($T538,I$1&amp;"" CE"",""""), I$1&amp;""[\w &amp;]*, (\d+\.\d+)""),"""")
"),"")</f>
        <v/>
      </c>
      <c r="J538" s="3" t="str">
        <f aca="false">IFERROR(__xludf.dummyfunction("if($T538&lt;&gt;"""",REGEXEXTRACT($T538, J$1&amp;""[\w &amp;]*, (\d+\.\d+)""),"""")
"),"")</f>
        <v/>
      </c>
      <c r="K538" s="3"/>
      <c r="L538" s="3" t="str">
        <f aca="false">IFERROR(__xludf.dummyfunction("if($T538&lt;&gt;"""",REGEXEXTRACT(SUBSTITUTE ($T538,L$1&amp;"" CE"",""""), L$1&amp;""[\w &amp;]*, (\d+\.\d+)""),"""")
"),"")</f>
        <v/>
      </c>
      <c r="M538" s="3" t="str">
        <f aca="false">IFERROR(__xludf.dummyfunction("if($T538&lt;&gt;"""",REGEXEXTRACT($T538, M$1&amp;""[\w &amp;]*, (\d+\.\d+)""),"""")
"),"")</f>
        <v/>
      </c>
      <c r="N538" s="3" t="str">
        <f aca="false">IFERROR(__xludf.dummyfunction("if($T538&lt;&gt;"""",REGEXEXTRACT(SUBSTITUTE ($T538,N$1&amp;"" CE"",""""), N$1&amp;""[\w &amp;]*, (\d+\.\d+)""),"""")
"),"")</f>
        <v/>
      </c>
      <c r="O538" s="3" t="str">
        <f aca="false">IFERROR(__xludf.dummyfunction("if($T538&lt;&gt;"""",REGEXEXTRACT($T538, O$1&amp;""[\w &amp;]*, (\d+\.\d+)""),"""")
"),"")</f>
        <v/>
      </c>
      <c r="P538" s="2"/>
      <c r="Q538" s="2"/>
      <c r="R538" s="2"/>
      <c r="S538" s="2"/>
      <c r="T538" s="5"/>
    </row>
    <row r="539" customFormat="false" ht="15.75" hidden="false" customHeight="false" outlineLevel="0" collapsed="false">
      <c r="A539" s="4"/>
      <c r="B539" s="2"/>
      <c r="C539" s="2"/>
      <c r="D539" s="2"/>
      <c r="E539" s="2"/>
      <c r="F539" s="3" t="str">
        <f aca="false">IFERROR(__xludf.dummyfunction("if($T539&lt;&gt;"""",REGEXEXTRACT(SUBSTITUTE ($T539,F$1&amp;"" CE"",""""), F$1&amp;""[\w &amp;]*, (\d+\.\d+)""),"""")
"),"")</f>
        <v/>
      </c>
      <c r="G539" s="3" t="str">
        <f aca="false">IFERROR(__xludf.dummyfunction("if($T539&lt;&gt;"""",REGEXEXTRACT($T539, G$1&amp;""[\w &amp;]*, (\d+\.\d+)""),"""")
"),"")</f>
        <v/>
      </c>
      <c r="H539" s="3"/>
      <c r="I539" s="3" t="str">
        <f aca="false">IFERROR(__xludf.dummyfunction("if($T539&lt;&gt;"""",REGEXEXTRACT(SUBSTITUTE ($T539,I$1&amp;"" CE"",""""), I$1&amp;""[\w &amp;]*, (\d+\.\d+)""),"""")
"),"")</f>
        <v/>
      </c>
      <c r="J539" s="3" t="str">
        <f aca="false">IFERROR(__xludf.dummyfunction("if($T539&lt;&gt;"""",REGEXEXTRACT($T539, J$1&amp;""[\w &amp;]*, (\d+\.\d+)""),"""")
"),"")</f>
        <v/>
      </c>
      <c r="K539" s="3"/>
      <c r="L539" s="3" t="str">
        <f aca="false">IFERROR(__xludf.dummyfunction("if($T539&lt;&gt;"""",REGEXEXTRACT(SUBSTITUTE ($T539,L$1&amp;"" CE"",""""), L$1&amp;""[\w &amp;]*, (\d+\.\d+)""),"""")
"),"")</f>
        <v/>
      </c>
      <c r="M539" s="3" t="str">
        <f aca="false">IFERROR(__xludf.dummyfunction("if($T539&lt;&gt;"""",REGEXEXTRACT($T539, M$1&amp;""[\w &amp;]*, (\d+\.\d+)""),"""")
"),"")</f>
        <v/>
      </c>
      <c r="N539" s="3" t="str">
        <f aca="false">IFERROR(__xludf.dummyfunction("if($T539&lt;&gt;"""",REGEXEXTRACT(SUBSTITUTE ($T539,N$1&amp;"" CE"",""""), N$1&amp;""[\w &amp;]*, (\d+\.\d+)""),"""")
"),"")</f>
        <v/>
      </c>
      <c r="O539" s="3" t="str">
        <f aca="false">IFERROR(__xludf.dummyfunction("if($T539&lt;&gt;"""",REGEXEXTRACT($T539, O$1&amp;""[\w &amp;]*, (\d+\.\d+)""),"""")
"),"")</f>
        <v/>
      </c>
      <c r="P539" s="2"/>
      <c r="Q539" s="2"/>
      <c r="R539" s="2"/>
      <c r="S539" s="2"/>
      <c r="T539" s="5"/>
    </row>
    <row r="540" customFormat="false" ht="15.75" hidden="false" customHeight="false" outlineLevel="0" collapsed="false">
      <c r="A540" s="4"/>
      <c r="B540" s="2"/>
      <c r="C540" s="2"/>
      <c r="D540" s="2"/>
      <c r="E540" s="2"/>
      <c r="F540" s="3" t="str">
        <f aca="false">IFERROR(__xludf.dummyfunction("if($T540&lt;&gt;"""",REGEXEXTRACT(SUBSTITUTE ($T540,F$1&amp;"" CE"",""""), F$1&amp;""[\w &amp;]*, (\d+\.\d+)""),"""")
"),"")</f>
        <v/>
      </c>
      <c r="G540" s="3" t="str">
        <f aca="false">IFERROR(__xludf.dummyfunction("if($T540&lt;&gt;"""",REGEXEXTRACT($T540, G$1&amp;""[\w &amp;]*, (\d+\.\d+)""),"""")
"),"")</f>
        <v/>
      </c>
      <c r="H540" s="3"/>
      <c r="I540" s="3" t="str">
        <f aca="false">IFERROR(__xludf.dummyfunction("if($T540&lt;&gt;"""",REGEXEXTRACT(SUBSTITUTE ($T540,I$1&amp;"" CE"",""""), I$1&amp;""[\w &amp;]*, (\d+\.\d+)""),"""")
"),"")</f>
        <v/>
      </c>
      <c r="J540" s="3" t="str">
        <f aca="false">IFERROR(__xludf.dummyfunction("if($T540&lt;&gt;"""",REGEXEXTRACT($T540, J$1&amp;""[\w &amp;]*, (\d+\.\d+)""),"""")
"),"")</f>
        <v/>
      </c>
      <c r="K540" s="3"/>
      <c r="L540" s="3" t="str">
        <f aca="false">IFERROR(__xludf.dummyfunction("if($T540&lt;&gt;"""",REGEXEXTRACT(SUBSTITUTE ($T540,L$1&amp;"" CE"",""""), L$1&amp;""[\w &amp;]*, (\d+\.\d+)""),"""")
"),"")</f>
        <v/>
      </c>
      <c r="M540" s="3" t="str">
        <f aca="false">IFERROR(__xludf.dummyfunction("if($T540&lt;&gt;"""",REGEXEXTRACT($T540, M$1&amp;""[\w &amp;]*, (\d+\.\d+)""),"""")
"),"")</f>
        <v/>
      </c>
      <c r="N540" s="3" t="str">
        <f aca="false">IFERROR(__xludf.dummyfunction("if($T540&lt;&gt;"""",REGEXEXTRACT(SUBSTITUTE ($T540,N$1&amp;"" CE"",""""), N$1&amp;""[\w &amp;]*, (\d+\.\d+)""),"""")
"),"")</f>
        <v/>
      </c>
      <c r="O540" s="3" t="str">
        <f aca="false">IFERROR(__xludf.dummyfunction("if($T540&lt;&gt;"""",REGEXEXTRACT($T540, O$1&amp;""[\w &amp;]*, (\d+\.\d+)""),"""")
"),"")</f>
        <v/>
      </c>
      <c r="P540" s="2"/>
      <c r="Q540" s="2"/>
      <c r="R540" s="2"/>
      <c r="S540" s="2"/>
      <c r="T540" s="5"/>
    </row>
    <row r="541" customFormat="false" ht="15.75" hidden="false" customHeight="false" outlineLevel="0" collapsed="false">
      <c r="A541" s="4"/>
      <c r="B541" s="2"/>
      <c r="C541" s="2"/>
      <c r="D541" s="2"/>
      <c r="E541" s="2"/>
      <c r="F541" s="3" t="str">
        <f aca="false">IFERROR(__xludf.dummyfunction("if($T541&lt;&gt;"""",REGEXEXTRACT(SUBSTITUTE ($T541,F$1&amp;"" CE"",""""), F$1&amp;""[\w &amp;]*, (\d+\.\d+)""),"""")
"),"")</f>
        <v/>
      </c>
      <c r="G541" s="3" t="str">
        <f aca="false">IFERROR(__xludf.dummyfunction("if($T541&lt;&gt;"""",REGEXEXTRACT($T541, G$1&amp;""[\w &amp;]*, (\d+\.\d+)""),"""")
"),"")</f>
        <v/>
      </c>
      <c r="H541" s="3"/>
      <c r="I541" s="3" t="str">
        <f aca="false">IFERROR(__xludf.dummyfunction("if($T541&lt;&gt;"""",REGEXEXTRACT(SUBSTITUTE ($T541,I$1&amp;"" CE"",""""), I$1&amp;""[\w &amp;]*, (\d+\.\d+)""),"""")
"),"")</f>
        <v/>
      </c>
      <c r="J541" s="3" t="str">
        <f aca="false">IFERROR(__xludf.dummyfunction("if($T541&lt;&gt;"""",REGEXEXTRACT($T541, J$1&amp;""[\w &amp;]*, (\d+\.\d+)""),"""")
"),"")</f>
        <v/>
      </c>
      <c r="K541" s="3"/>
      <c r="L541" s="3" t="str">
        <f aca="false">IFERROR(__xludf.dummyfunction("if($T541&lt;&gt;"""",REGEXEXTRACT(SUBSTITUTE ($T541,L$1&amp;"" CE"",""""), L$1&amp;""[\w &amp;]*, (\d+\.\d+)""),"""")
"),"")</f>
        <v/>
      </c>
      <c r="M541" s="3" t="str">
        <f aca="false">IFERROR(__xludf.dummyfunction("if($T541&lt;&gt;"""",REGEXEXTRACT($T541, M$1&amp;""[\w &amp;]*, (\d+\.\d+)""),"""")
"),"")</f>
        <v/>
      </c>
      <c r="N541" s="3" t="str">
        <f aca="false">IFERROR(__xludf.dummyfunction("if($T541&lt;&gt;"""",REGEXEXTRACT(SUBSTITUTE ($T541,N$1&amp;"" CE"",""""), N$1&amp;""[\w &amp;]*, (\d+\.\d+)""),"""")
"),"")</f>
        <v/>
      </c>
      <c r="O541" s="3" t="str">
        <f aca="false">IFERROR(__xludf.dummyfunction("if($T541&lt;&gt;"""",REGEXEXTRACT($T541, O$1&amp;""[\w &amp;]*, (\d+\.\d+)""),"""")
"),"")</f>
        <v/>
      </c>
      <c r="P541" s="2"/>
      <c r="Q541" s="2"/>
      <c r="R541" s="2"/>
      <c r="S541" s="2"/>
      <c r="T541" s="5"/>
    </row>
    <row r="542" customFormat="false" ht="15.75" hidden="false" customHeight="false" outlineLevel="0" collapsed="false">
      <c r="A542" s="4"/>
      <c r="B542" s="2"/>
      <c r="C542" s="2"/>
      <c r="D542" s="2"/>
      <c r="E542" s="2"/>
      <c r="F542" s="3" t="str">
        <f aca="false">IFERROR(__xludf.dummyfunction("if($T542&lt;&gt;"""",REGEXEXTRACT(SUBSTITUTE ($T542,F$1&amp;"" CE"",""""), F$1&amp;""[\w &amp;]*, (\d+\.\d+)""),"""")
"),"")</f>
        <v/>
      </c>
      <c r="G542" s="3" t="str">
        <f aca="false">IFERROR(__xludf.dummyfunction("if($T542&lt;&gt;"""",REGEXEXTRACT($T542, G$1&amp;""[\w &amp;]*, (\d+\.\d+)""),"""")
"),"")</f>
        <v/>
      </c>
      <c r="H542" s="3"/>
      <c r="I542" s="3" t="str">
        <f aca="false">IFERROR(__xludf.dummyfunction("if($T542&lt;&gt;"""",REGEXEXTRACT(SUBSTITUTE ($T542,I$1&amp;"" CE"",""""), I$1&amp;""[\w &amp;]*, (\d+\.\d+)""),"""")
"),"")</f>
        <v/>
      </c>
      <c r="J542" s="3" t="str">
        <f aca="false">IFERROR(__xludf.dummyfunction("if($T542&lt;&gt;"""",REGEXEXTRACT($T542, J$1&amp;""[\w &amp;]*, (\d+\.\d+)""),"""")
"),"")</f>
        <v/>
      </c>
      <c r="K542" s="3"/>
      <c r="L542" s="3" t="str">
        <f aca="false">IFERROR(__xludf.dummyfunction("if($T542&lt;&gt;"""",REGEXEXTRACT(SUBSTITUTE ($T542,L$1&amp;"" CE"",""""), L$1&amp;""[\w &amp;]*, (\d+\.\d+)""),"""")
"),"")</f>
        <v/>
      </c>
      <c r="M542" s="3" t="str">
        <f aca="false">IFERROR(__xludf.dummyfunction("if($T542&lt;&gt;"""",REGEXEXTRACT($T542, M$1&amp;""[\w &amp;]*, (\d+\.\d+)""),"""")
"),"")</f>
        <v/>
      </c>
      <c r="N542" s="3" t="str">
        <f aca="false">IFERROR(__xludf.dummyfunction("if($T542&lt;&gt;"""",REGEXEXTRACT(SUBSTITUTE ($T542,N$1&amp;"" CE"",""""), N$1&amp;""[\w &amp;]*, (\d+\.\d+)""),"""")
"),"")</f>
        <v/>
      </c>
      <c r="O542" s="3" t="str">
        <f aca="false">IFERROR(__xludf.dummyfunction("if($T542&lt;&gt;"""",REGEXEXTRACT($T542, O$1&amp;""[\w &amp;]*, (\d+\.\d+)""),"""")
"),"")</f>
        <v/>
      </c>
      <c r="P542" s="2"/>
      <c r="Q542" s="2"/>
      <c r="R542" s="2"/>
      <c r="S542" s="2"/>
      <c r="T542" s="5"/>
    </row>
    <row r="543" customFormat="false" ht="15.75" hidden="false" customHeight="false" outlineLevel="0" collapsed="false">
      <c r="A543" s="4"/>
      <c r="B543" s="2"/>
      <c r="C543" s="2"/>
      <c r="D543" s="2"/>
      <c r="E543" s="2"/>
      <c r="F543" s="3" t="str">
        <f aca="false">IFERROR(__xludf.dummyfunction("if($T543&lt;&gt;"""",REGEXEXTRACT(SUBSTITUTE ($T543,F$1&amp;"" CE"",""""), F$1&amp;""[\w &amp;]*, (\d+\.\d+)""),"""")
"),"")</f>
        <v/>
      </c>
      <c r="G543" s="3" t="str">
        <f aca="false">IFERROR(__xludf.dummyfunction("if($T543&lt;&gt;"""",REGEXEXTRACT($T543, G$1&amp;""[\w &amp;]*, (\d+\.\d+)""),"""")
"),"")</f>
        <v/>
      </c>
      <c r="H543" s="3"/>
      <c r="I543" s="3" t="str">
        <f aca="false">IFERROR(__xludf.dummyfunction("if($T543&lt;&gt;"""",REGEXEXTRACT(SUBSTITUTE ($T543,I$1&amp;"" CE"",""""), I$1&amp;""[\w &amp;]*, (\d+\.\d+)""),"""")
"),"")</f>
        <v/>
      </c>
      <c r="J543" s="3" t="str">
        <f aca="false">IFERROR(__xludf.dummyfunction("if($T543&lt;&gt;"""",REGEXEXTRACT($T543, J$1&amp;""[\w &amp;]*, (\d+\.\d+)""),"""")
"),"")</f>
        <v/>
      </c>
      <c r="K543" s="3"/>
      <c r="L543" s="3" t="str">
        <f aca="false">IFERROR(__xludf.dummyfunction("if($T543&lt;&gt;"""",REGEXEXTRACT(SUBSTITUTE ($T543,L$1&amp;"" CE"",""""), L$1&amp;""[\w &amp;]*, (\d+\.\d+)""),"""")
"),"")</f>
        <v/>
      </c>
      <c r="M543" s="3" t="str">
        <f aca="false">IFERROR(__xludf.dummyfunction("if($T543&lt;&gt;"""",REGEXEXTRACT($T543, M$1&amp;""[\w &amp;]*, (\d+\.\d+)""),"""")
"),"")</f>
        <v/>
      </c>
      <c r="N543" s="3" t="str">
        <f aca="false">IFERROR(__xludf.dummyfunction("if($T543&lt;&gt;"""",REGEXEXTRACT(SUBSTITUTE ($T543,N$1&amp;"" CE"",""""), N$1&amp;""[\w &amp;]*, (\d+\.\d+)""),"""")
"),"")</f>
        <v/>
      </c>
      <c r="O543" s="3" t="str">
        <f aca="false">IFERROR(__xludf.dummyfunction("if($T543&lt;&gt;"""",REGEXEXTRACT($T543, O$1&amp;""[\w &amp;]*, (\d+\.\d+)""),"""")
"),"")</f>
        <v/>
      </c>
      <c r="P543" s="2"/>
      <c r="Q543" s="2"/>
      <c r="R543" s="2"/>
      <c r="S543" s="2"/>
      <c r="T543" s="5"/>
    </row>
    <row r="544" customFormat="false" ht="15.75" hidden="false" customHeight="false" outlineLevel="0" collapsed="false">
      <c r="A544" s="4"/>
      <c r="B544" s="2"/>
      <c r="C544" s="2"/>
      <c r="D544" s="2"/>
      <c r="E544" s="2"/>
      <c r="F544" s="3" t="str">
        <f aca="false">IFERROR(__xludf.dummyfunction("if($T544&lt;&gt;"""",REGEXEXTRACT(SUBSTITUTE ($T544,F$1&amp;"" CE"",""""), F$1&amp;""[\w &amp;]*, (\d+\.\d+)""),"""")
"),"")</f>
        <v/>
      </c>
      <c r="G544" s="3" t="str">
        <f aca="false">IFERROR(__xludf.dummyfunction("if($T544&lt;&gt;"""",REGEXEXTRACT($T544, G$1&amp;""[\w &amp;]*, (\d+\.\d+)""),"""")
"),"")</f>
        <v/>
      </c>
      <c r="H544" s="3"/>
      <c r="I544" s="3" t="str">
        <f aca="false">IFERROR(__xludf.dummyfunction("if($T544&lt;&gt;"""",REGEXEXTRACT(SUBSTITUTE ($T544,I$1&amp;"" CE"",""""), I$1&amp;""[\w &amp;]*, (\d+\.\d+)""),"""")
"),"")</f>
        <v/>
      </c>
      <c r="J544" s="3" t="str">
        <f aca="false">IFERROR(__xludf.dummyfunction("if($T544&lt;&gt;"""",REGEXEXTRACT($T544, J$1&amp;""[\w &amp;]*, (\d+\.\d+)""),"""")
"),"")</f>
        <v/>
      </c>
      <c r="K544" s="3"/>
      <c r="L544" s="3" t="str">
        <f aca="false">IFERROR(__xludf.dummyfunction("if($T544&lt;&gt;"""",REGEXEXTRACT(SUBSTITUTE ($T544,L$1&amp;"" CE"",""""), L$1&amp;""[\w &amp;]*, (\d+\.\d+)""),"""")
"),"")</f>
        <v/>
      </c>
      <c r="M544" s="3" t="str">
        <f aca="false">IFERROR(__xludf.dummyfunction("if($T544&lt;&gt;"""",REGEXEXTRACT($T544, M$1&amp;""[\w &amp;]*, (\d+\.\d+)""),"""")
"),"")</f>
        <v/>
      </c>
      <c r="N544" s="3" t="str">
        <f aca="false">IFERROR(__xludf.dummyfunction("if($T544&lt;&gt;"""",REGEXEXTRACT(SUBSTITUTE ($T544,N$1&amp;"" CE"",""""), N$1&amp;""[\w &amp;]*, (\d+\.\d+)""),"""")
"),"")</f>
        <v/>
      </c>
      <c r="O544" s="3" t="str">
        <f aca="false">IFERROR(__xludf.dummyfunction("if($T544&lt;&gt;"""",REGEXEXTRACT($T544, O$1&amp;""[\w &amp;]*, (\d+\.\d+)""),"""")
"),"")</f>
        <v/>
      </c>
      <c r="P544" s="2"/>
      <c r="Q544" s="2"/>
      <c r="R544" s="2"/>
      <c r="S544" s="2"/>
      <c r="T544" s="5"/>
    </row>
    <row r="545" customFormat="false" ht="15.75" hidden="false" customHeight="false" outlineLevel="0" collapsed="false">
      <c r="A545" s="4"/>
      <c r="B545" s="2"/>
      <c r="C545" s="2"/>
      <c r="D545" s="2"/>
      <c r="E545" s="2"/>
      <c r="F545" s="3" t="str">
        <f aca="false">IFERROR(__xludf.dummyfunction("if($T545&lt;&gt;"""",REGEXEXTRACT(SUBSTITUTE ($T545,F$1&amp;"" CE"",""""), F$1&amp;""[\w &amp;]*, (\d+\.\d+)""),"""")
"),"")</f>
        <v/>
      </c>
      <c r="G545" s="3" t="str">
        <f aca="false">IFERROR(__xludf.dummyfunction("if($T545&lt;&gt;"""",REGEXEXTRACT($T545, G$1&amp;""[\w &amp;]*, (\d+\.\d+)""),"""")
"),"")</f>
        <v/>
      </c>
      <c r="H545" s="3"/>
      <c r="I545" s="3" t="str">
        <f aca="false">IFERROR(__xludf.dummyfunction("if($T545&lt;&gt;"""",REGEXEXTRACT(SUBSTITUTE ($T545,I$1&amp;"" CE"",""""), I$1&amp;""[\w &amp;]*, (\d+\.\d+)""),"""")
"),"")</f>
        <v/>
      </c>
      <c r="J545" s="3" t="str">
        <f aca="false">IFERROR(__xludf.dummyfunction("if($T545&lt;&gt;"""",REGEXEXTRACT($T545, J$1&amp;""[\w &amp;]*, (\d+\.\d+)""),"""")
"),"")</f>
        <v/>
      </c>
      <c r="K545" s="3"/>
      <c r="L545" s="3" t="str">
        <f aca="false">IFERROR(__xludf.dummyfunction("if($T545&lt;&gt;"""",REGEXEXTRACT(SUBSTITUTE ($T545,L$1&amp;"" CE"",""""), L$1&amp;""[\w &amp;]*, (\d+\.\d+)""),"""")
"),"")</f>
        <v/>
      </c>
      <c r="M545" s="3" t="str">
        <f aca="false">IFERROR(__xludf.dummyfunction("if($T545&lt;&gt;"""",REGEXEXTRACT($T545, M$1&amp;""[\w &amp;]*, (\d+\.\d+)""),"""")
"),"")</f>
        <v/>
      </c>
      <c r="N545" s="3" t="str">
        <f aca="false">IFERROR(__xludf.dummyfunction("if($T545&lt;&gt;"""",REGEXEXTRACT(SUBSTITUTE ($T545,N$1&amp;"" CE"",""""), N$1&amp;""[\w &amp;]*, (\d+\.\d+)""),"""")
"),"")</f>
        <v/>
      </c>
      <c r="O545" s="3" t="str">
        <f aca="false">IFERROR(__xludf.dummyfunction("if($T545&lt;&gt;"""",REGEXEXTRACT($T545, O$1&amp;""[\w &amp;]*, (\d+\.\d+)""),"""")
"),"")</f>
        <v/>
      </c>
      <c r="P545" s="2"/>
      <c r="Q545" s="2"/>
      <c r="R545" s="2"/>
      <c r="S545" s="2"/>
      <c r="T545" s="5"/>
    </row>
    <row r="546" customFormat="false" ht="15.75" hidden="false" customHeight="false" outlineLevel="0" collapsed="false">
      <c r="A546" s="4"/>
      <c r="B546" s="2"/>
      <c r="C546" s="2"/>
      <c r="D546" s="2"/>
      <c r="E546" s="2"/>
      <c r="F546" s="3" t="str">
        <f aca="false">IFERROR(__xludf.dummyfunction("if($T546&lt;&gt;"""",REGEXEXTRACT(SUBSTITUTE ($T546,F$1&amp;"" CE"",""""), F$1&amp;""[\w &amp;]*, (\d+\.\d+)""),"""")
"),"")</f>
        <v/>
      </c>
      <c r="G546" s="3" t="str">
        <f aca="false">IFERROR(__xludf.dummyfunction("if($T546&lt;&gt;"""",REGEXEXTRACT($T546, G$1&amp;""[\w &amp;]*, (\d+\.\d+)""),"""")
"),"")</f>
        <v/>
      </c>
      <c r="H546" s="3"/>
      <c r="I546" s="3" t="str">
        <f aca="false">IFERROR(__xludf.dummyfunction("if($T546&lt;&gt;"""",REGEXEXTRACT(SUBSTITUTE ($T546,I$1&amp;"" CE"",""""), I$1&amp;""[\w &amp;]*, (\d+\.\d+)""),"""")
"),"")</f>
        <v/>
      </c>
      <c r="J546" s="3" t="str">
        <f aca="false">IFERROR(__xludf.dummyfunction("if($T546&lt;&gt;"""",REGEXEXTRACT($T546, J$1&amp;""[\w &amp;]*, (\d+\.\d+)""),"""")
"),"")</f>
        <v/>
      </c>
      <c r="K546" s="3"/>
      <c r="L546" s="3" t="str">
        <f aca="false">IFERROR(__xludf.dummyfunction("if($T546&lt;&gt;"""",REGEXEXTRACT(SUBSTITUTE ($T546,L$1&amp;"" CE"",""""), L$1&amp;""[\w &amp;]*, (\d+\.\d+)""),"""")
"),"")</f>
        <v/>
      </c>
      <c r="M546" s="3" t="str">
        <f aca="false">IFERROR(__xludf.dummyfunction("if($T546&lt;&gt;"""",REGEXEXTRACT($T546, M$1&amp;""[\w &amp;]*, (\d+\.\d+)""),"""")
"),"")</f>
        <v/>
      </c>
      <c r="N546" s="3" t="str">
        <f aca="false">IFERROR(__xludf.dummyfunction("if($T546&lt;&gt;"""",REGEXEXTRACT(SUBSTITUTE ($T546,N$1&amp;"" CE"",""""), N$1&amp;""[\w &amp;]*, (\d+\.\d+)""),"""")
"),"")</f>
        <v/>
      </c>
      <c r="O546" s="3" t="str">
        <f aca="false">IFERROR(__xludf.dummyfunction("if($T546&lt;&gt;"""",REGEXEXTRACT($T546, O$1&amp;""[\w &amp;]*, (\d+\.\d+)""),"""")
"),"")</f>
        <v/>
      </c>
      <c r="P546" s="2"/>
      <c r="Q546" s="2"/>
      <c r="R546" s="2"/>
      <c r="S546" s="2"/>
      <c r="T546" s="5"/>
    </row>
    <row r="547" customFormat="false" ht="15.75" hidden="false" customHeight="false" outlineLevel="0" collapsed="false">
      <c r="A547" s="4"/>
      <c r="B547" s="2"/>
      <c r="C547" s="2"/>
      <c r="D547" s="2"/>
      <c r="E547" s="2"/>
      <c r="F547" s="3" t="str">
        <f aca="false">IFERROR(__xludf.dummyfunction("if($T547&lt;&gt;"""",REGEXEXTRACT(SUBSTITUTE ($T547,F$1&amp;"" CE"",""""), F$1&amp;""[\w &amp;]*, (\d+\.\d+)""),"""")
"),"")</f>
        <v/>
      </c>
      <c r="G547" s="3" t="str">
        <f aca="false">IFERROR(__xludf.dummyfunction("if($T547&lt;&gt;"""",REGEXEXTRACT($T547, G$1&amp;""[\w &amp;]*, (\d+\.\d+)""),"""")
"),"")</f>
        <v/>
      </c>
      <c r="H547" s="3"/>
      <c r="I547" s="3" t="str">
        <f aca="false">IFERROR(__xludf.dummyfunction("if($T547&lt;&gt;"""",REGEXEXTRACT(SUBSTITUTE ($T547,I$1&amp;"" CE"",""""), I$1&amp;""[\w &amp;]*, (\d+\.\d+)""),"""")
"),"")</f>
        <v/>
      </c>
      <c r="J547" s="3" t="str">
        <f aca="false">IFERROR(__xludf.dummyfunction("if($T547&lt;&gt;"""",REGEXEXTRACT($T547, J$1&amp;""[\w &amp;]*, (\d+\.\d+)""),"""")
"),"")</f>
        <v/>
      </c>
      <c r="K547" s="3"/>
      <c r="L547" s="3" t="str">
        <f aca="false">IFERROR(__xludf.dummyfunction("if($T547&lt;&gt;"""",REGEXEXTRACT(SUBSTITUTE ($T547,L$1&amp;"" CE"",""""), L$1&amp;""[\w &amp;]*, (\d+\.\d+)""),"""")
"),"")</f>
        <v/>
      </c>
      <c r="M547" s="3" t="str">
        <f aca="false">IFERROR(__xludf.dummyfunction("if($T547&lt;&gt;"""",REGEXEXTRACT($T547, M$1&amp;""[\w &amp;]*, (\d+\.\d+)""),"""")
"),"")</f>
        <v/>
      </c>
      <c r="N547" s="3" t="str">
        <f aca="false">IFERROR(__xludf.dummyfunction("if($T547&lt;&gt;"""",REGEXEXTRACT(SUBSTITUTE ($T547,N$1&amp;"" CE"",""""), N$1&amp;""[\w &amp;]*, (\d+\.\d+)""),"""")
"),"")</f>
        <v/>
      </c>
      <c r="O547" s="3" t="str">
        <f aca="false">IFERROR(__xludf.dummyfunction("if($T547&lt;&gt;"""",REGEXEXTRACT($T547, O$1&amp;""[\w &amp;]*, (\d+\.\d+)""),"""")
"),"")</f>
        <v/>
      </c>
      <c r="P547" s="2"/>
      <c r="Q547" s="2"/>
      <c r="R547" s="2"/>
      <c r="S547" s="2"/>
      <c r="T547" s="5"/>
    </row>
    <row r="548" customFormat="false" ht="15.75" hidden="false" customHeight="false" outlineLevel="0" collapsed="false">
      <c r="A548" s="4"/>
      <c r="B548" s="2"/>
      <c r="C548" s="2"/>
      <c r="D548" s="2"/>
      <c r="E548" s="2"/>
      <c r="F548" s="3" t="str">
        <f aca="false">IFERROR(__xludf.dummyfunction("if($T548&lt;&gt;"""",REGEXEXTRACT(SUBSTITUTE ($T548,F$1&amp;"" CE"",""""), F$1&amp;""[\w &amp;]*, (\d+\.\d+)""),"""")
"),"")</f>
        <v/>
      </c>
      <c r="G548" s="3" t="str">
        <f aca="false">IFERROR(__xludf.dummyfunction("if($T548&lt;&gt;"""",REGEXEXTRACT($T548, G$1&amp;""[\w &amp;]*, (\d+\.\d+)""),"""")
"),"")</f>
        <v/>
      </c>
      <c r="H548" s="3"/>
      <c r="I548" s="3" t="str">
        <f aca="false">IFERROR(__xludf.dummyfunction("if($T548&lt;&gt;"""",REGEXEXTRACT(SUBSTITUTE ($T548,I$1&amp;"" CE"",""""), I$1&amp;""[\w &amp;]*, (\d+\.\d+)""),"""")
"),"")</f>
        <v/>
      </c>
      <c r="J548" s="3" t="str">
        <f aca="false">IFERROR(__xludf.dummyfunction("if($T548&lt;&gt;"""",REGEXEXTRACT($T548, J$1&amp;""[\w &amp;]*, (\d+\.\d+)""),"""")
"),"")</f>
        <v/>
      </c>
      <c r="K548" s="3"/>
      <c r="L548" s="3" t="str">
        <f aca="false">IFERROR(__xludf.dummyfunction("if($T548&lt;&gt;"""",REGEXEXTRACT(SUBSTITUTE ($T548,L$1&amp;"" CE"",""""), L$1&amp;""[\w &amp;]*, (\d+\.\d+)""),"""")
"),"")</f>
        <v/>
      </c>
      <c r="M548" s="3" t="str">
        <f aca="false">IFERROR(__xludf.dummyfunction("if($T548&lt;&gt;"""",REGEXEXTRACT($T548, M$1&amp;""[\w &amp;]*, (\d+\.\d+)""),"""")
"),"")</f>
        <v/>
      </c>
      <c r="N548" s="3" t="str">
        <f aca="false">IFERROR(__xludf.dummyfunction("if($T548&lt;&gt;"""",REGEXEXTRACT(SUBSTITUTE ($T548,N$1&amp;"" CE"",""""), N$1&amp;""[\w &amp;]*, (\d+\.\d+)""),"""")
"),"")</f>
        <v/>
      </c>
      <c r="O548" s="3" t="str">
        <f aca="false">IFERROR(__xludf.dummyfunction("if($T548&lt;&gt;"""",REGEXEXTRACT($T548, O$1&amp;""[\w &amp;]*, (\d+\.\d+)""),"""")
"),"")</f>
        <v/>
      </c>
      <c r="P548" s="2"/>
      <c r="Q548" s="2"/>
      <c r="R548" s="2"/>
      <c r="S548" s="2"/>
      <c r="T548" s="5"/>
    </row>
    <row r="549" customFormat="false" ht="15.75" hidden="false" customHeight="false" outlineLevel="0" collapsed="false">
      <c r="A549" s="4"/>
      <c r="B549" s="2"/>
      <c r="C549" s="2"/>
      <c r="D549" s="2"/>
      <c r="E549" s="2"/>
      <c r="F549" s="3" t="str">
        <f aca="false">IFERROR(__xludf.dummyfunction("if($T549&lt;&gt;"""",REGEXEXTRACT(SUBSTITUTE ($T549,F$1&amp;"" CE"",""""), F$1&amp;""[\w &amp;]*, (\d+\.\d+)""),"""")
"),"")</f>
        <v/>
      </c>
      <c r="G549" s="3" t="str">
        <f aca="false">IFERROR(__xludf.dummyfunction("if($T549&lt;&gt;"""",REGEXEXTRACT($T549, G$1&amp;""[\w &amp;]*, (\d+\.\d+)""),"""")
"),"")</f>
        <v/>
      </c>
      <c r="H549" s="3"/>
      <c r="I549" s="3" t="str">
        <f aca="false">IFERROR(__xludf.dummyfunction("if($T549&lt;&gt;"""",REGEXEXTRACT(SUBSTITUTE ($T549,I$1&amp;"" CE"",""""), I$1&amp;""[\w &amp;]*, (\d+\.\d+)""),"""")
"),"")</f>
        <v/>
      </c>
      <c r="J549" s="3" t="str">
        <f aca="false">IFERROR(__xludf.dummyfunction("if($T549&lt;&gt;"""",REGEXEXTRACT($T549, J$1&amp;""[\w &amp;]*, (\d+\.\d+)""),"""")
"),"")</f>
        <v/>
      </c>
      <c r="K549" s="3"/>
      <c r="L549" s="3" t="str">
        <f aca="false">IFERROR(__xludf.dummyfunction("if($T549&lt;&gt;"""",REGEXEXTRACT(SUBSTITUTE ($T549,L$1&amp;"" CE"",""""), L$1&amp;""[\w &amp;]*, (\d+\.\d+)""),"""")
"),"")</f>
        <v/>
      </c>
      <c r="M549" s="3" t="str">
        <f aca="false">IFERROR(__xludf.dummyfunction("if($T549&lt;&gt;"""",REGEXEXTRACT($T549, M$1&amp;""[\w &amp;]*, (\d+\.\d+)""),"""")
"),"")</f>
        <v/>
      </c>
      <c r="N549" s="3" t="str">
        <f aca="false">IFERROR(__xludf.dummyfunction("if($T549&lt;&gt;"""",REGEXEXTRACT(SUBSTITUTE ($T549,N$1&amp;"" CE"",""""), N$1&amp;""[\w &amp;]*, (\d+\.\d+)""),"""")
"),"")</f>
        <v/>
      </c>
      <c r="O549" s="3" t="str">
        <f aca="false">IFERROR(__xludf.dummyfunction("if($T549&lt;&gt;"""",REGEXEXTRACT($T549, O$1&amp;""[\w &amp;]*, (\d+\.\d+)""),"""")
"),"")</f>
        <v/>
      </c>
      <c r="P549" s="2"/>
      <c r="Q549" s="2"/>
      <c r="R549" s="2"/>
      <c r="S549" s="2"/>
      <c r="T549" s="5"/>
    </row>
    <row r="550" customFormat="false" ht="15.75" hidden="false" customHeight="false" outlineLevel="0" collapsed="false">
      <c r="A550" s="4"/>
      <c r="B550" s="2"/>
      <c r="C550" s="2"/>
      <c r="D550" s="2"/>
      <c r="E550" s="2"/>
      <c r="F550" s="3" t="str">
        <f aca="false">IFERROR(__xludf.dummyfunction("if($T550&lt;&gt;"""",REGEXEXTRACT(SUBSTITUTE ($T550,F$1&amp;"" CE"",""""), F$1&amp;""[\w &amp;]*, (\d+\.\d+)""),"""")
"),"")</f>
        <v/>
      </c>
      <c r="G550" s="3" t="str">
        <f aca="false">IFERROR(__xludf.dummyfunction("if($T550&lt;&gt;"""",REGEXEXTRACT($T550, G$1&amp;""[\w &amp;]*, (\d+\.\d+)""),"""")
"),"")</f>
        <v/>
      </c>
      <c r="H550" s="3"/>
      <c r="I550" s="3" t="str">
        <f aca="false">IFERROR(__xludf.dummyfunction("if($T550&lt;&gt;"""",REGEXEXTRACT(SUBSTITUTE ($T550,I$1&amp;"" CE"",""""), I$1&amp;""[\w &amp;]*, (\d+\.\d+)""),"""")
"),"")</f>
        <v/>
      </c>
      <c r="J550" s="3" t="str">
        <f aca="false">IFERROR(__xludf.dummyfunction("if($T550&lt;&gt;"""",REGEXEXTRACT($T550, J$1&amp;""[\w &amp;]*, (\d+\.\d+)""),"""")
"),"")</f>
        <v/>
      </c>
      <c r="K550" s="3"/>
      <c r="L550" s="3" t="str">
        <f aca="false">IFERROR(__xludf.dummyfunction("if($T550&lt;&gt;"""",REGEXEXTRACT(SUBSTITUTE ($T550,L$1&amp;"" CE"",""""), L$1&amp;""[\w &amp;]*, (\d+\.\d+)""),"""")
"),"")</f>
        <v/>
      </c>
      <c r="M550" s="3" t="str">
        <f aca="false">IFERROR(__xludf.dummyfunction("if($T550&lt;&gt;"""",REGEXEXTRACT($T550, M$1&amp;""[\w &amp;]*, (\d+\.\d+)""),"""")
"),"")</f>
        <v/>
      </c>
      <c r="N550" s="3" t="str">
        <f aca="false">IFERROR(__xludf.dummyfunction("if($T550&lt;&gt;"""",REGEXEXTRACT(SUBSTITUTE ($T550,N$1&amp;"" CE"",""""), N$1&amp;""[\w &amp;]*, (\d+\.\d+)""),"""")
"),"")</f>
        <v/>
      </c>
      <c r="O550" s="3" t="str">
        <f aca="false">IFERROR(__xludf.dummyfunction("if($T550&lt;&gt;"""",REGEXEXTRACT($T550, O$1&amp;""[\w &amp;]*, (\d+\.\d+)""),"""")
"),"")</f>
        <v/>
      </c>
      <c r="P550" s="2"/>
      <c r="Q550" s="2"/>
      <c r="R550" s="2"/>
      <c r="S550" s="2"/>
      <c r="T550" s="5"/>
    </row>
    <row r="551" customFormat="false" ht="15.75" hidden="false" customHeight="false" outlineLevel="0" collapsed="false">
      <c r="A551" s="4"/>
      <c r="B551" s="2"/>
      <c r="C551" s="2"/>
      <c r="D551" s="2"/>
      <c r="E551" s="2"/>
      <c r="F551" s="3" t="str">
        <f aca="false">IFERROR(__xludf.dummyfunction("if($T551&lt;&gt;"""",REGEXEXTRACT(SUBSTITUTE ($T551,F$1&amp;"" CE"",""""), F$1&amp;""[\w &amp;]*, (\d+\.\d+)""),"""")
"),"")</f>
        <v/>
      </c>
      <c r="G551" s="3" t="str">
        <f aca="false">IFERROR(__xludf.dummyfunction("if($T551&lt;&gt;"""",REGEXEXTRACT($T551, G$1&amp;""[\w &amp;]*, (\d+\.\d+)""),"""")
"),"")</f>
        <v/>
      </c>
      <c r="H551" s="3"/>
      <c r="I551" s="3" t="str">
        <f aca="false">IFERROR(__xludf.dummyfunction("if($T551&lt;&gt;"""",REGEXEXTRACT(SUBSTITUTE ($T551,I$1&amp;"" CE"",""""), I$1&amp;""[\w &amp;]*, (\d+\.\d+)""),"""")
"),"")</f>
        <v/>
      </c>
      <c r="J551" s="3" t="str">
        <f aca="false">IFERROR(__xludf.dummyfunction("if($T551&lt;&gt;"""",REGEXEXTRACT($T551, J$1&amp;""[\w &amp;]*, (\d+\.\d+)""),"""")
"),"")</f>
        <v/>
      </c>
      <c r="K551" s="3"/>
      <c r="L551" s="3" t="str">
        <f aca="false">IFERROR(__xludf.dummyfunction("if($T551&lt;&gt;"""",REGEXEXTRACT(SUBSTITUTE ($T551,L$1&amp;"" CE"",""""), L$1&amp;""[\w &amp;]*, (\d+\.\d+)""),"""")
"),"")</f>
        <v/>
      </c>
      <c r="M551" s="3" t="str">
        <f aca="false">IFERROR(__xludf.dummyfunction("if($T551&lt;&gt;"""",REGEXEXTRACT($T551, M$1&amp;""[\w &amp;]*, (\d+\.\d+)""),"""")
"),"")</f>
        <v/>
      </c>
      <c r="N551" s="3" t="str">
        <f aca="false">IFERROR(__xludf.dummyfunction("if($T551&lt;&gt;"""",REGEXEXTRACT(SUBSTITUTE ($T551,N$1&amp;"" CE"",""""), N$1&amp;""[\w &amp;]*, (\d+\.\d+)""),"""")
"),"")</f>
        <v/>
      </c>
      <c r="O551" s="3" t="str">
        <f aca="false">IFERROR(__xludf.dummyfunction("if($T551&lt;&gt;"""",REGEXEXTRACT($T551, O$1&amp;""[\w &amp;]*, (\d+\.\d+)""),"""")
"),"")</f>
        <v/>
      </c>
      <c r="P551" s="2"/>
      <c r="Q551" s="2"/>
      <c r="R551" s="2"/>
      <c r="S551" s="2"/>
      <c r="T551" s="5"/>
    </row>
    <row r="552" customFormat="false" ht="15.75" hidden="false" customHeight="false" outlineLevel="0" collapsed="false">
      <c r="A552" s="4"/>
      <c r="B552" s="2"/>
      <c r="C552" s="2"/>
      <c r="D552" s="2"/>
      <c r="E552" s="2"/>
      <c r="F552" s="3" t="str">
        <f aca="false">IFERROR(__xludf.dummyfunction("if($T552&lt;&gt;"""",REGEXEXTRACT(SUBSTITUTE ($T552,F$1&amp;"" CE"",""""), F$1&amp;""[\w &amp;]*, (\d+\.\d+)""),"""")
"),"")</f>
        <v/>
      </c>
      <c r="G552" s="3" t="str">
        <f aca="false">IFERROR(__xludf.dummyfunction("if($T552&lt;&gt;"""",REGEXEXTRACT($T552, G$1&amp;""[\w &amp;]*, (\d+\.\d+)""),"""")
"),"")</f>
        <v/>
      </c>
      <c r="H552" s="3"/>
      <c r="I552" s="3" t="str">
        <f aca="false">IFERROR(__xludf.dummyfunction("if($T552&lt;&gt;"""",REGEXEXTRACT(SUBSTITUTE ($T552,I$1&amp;"" CE"",""""), I$1&amp;""[\w &amp;]*, (\d+\.\d+)""),"""")
"),"")</f>
        <v/>
      </c>
      <c r="J552" s="3" t="str">
        <f aca="false">IFERROR(__xludf.dummyfunction("if($T552&lt;&gt;"""",REGEXEXTRACT($T552, J$1&amp;""[\w &amp;]*, (\d+\.\d+)""),"""")
"),"")</f>
        <v/>
      </c>
      <c r="K552" s="3"/>
      <c r="L552" s="3" t="str">
        <f aca="false">IFERROR(__xludf.dummyfunction("if($T552&lt;&gt;"""",REGEXEXTRACT(SUBSTITUTE ($T552,L$1&amp;"" CE"",""""), L$1&amp;""[\w &amp;]*, (\d+\.\d+)""),"""")
"),"")</f>
        <v/>
      </c>
      <c r="M552" s="3" t="str">
        <f aca="false">IFERROR(__xludf.dummyfunction("if($T552&lt;&gt;"""",REGEXEXTRACT($T552, M$1&amp;""[\w &amp;]*, (\d+\.\d+)""),"""")
"),"")</f>
        <v/>
      </c>
      <c r="N552" s="3" t="str">
        <f aca="false">IFERROR(__xludf.dummyfunction("if($T552&lt;&gt;"""",REGEXEXTRACT(SUBSTITUTE ($T552,N$1&amp;"" CE"",""""), N$1&amp;""[\w &amp;]*, (\d+\.\d+)""),"""")
"),"")</f>
        <v/>
      </c>
      <c r="O552" s="3" t="str">
        <f aca="false">IFERROR(__xludf.dummyfunction("if($T552&lt;&gt;"""",REGEXEXTRACT($T552, O$1&amp;""[\w &amp;]*, (\d+\.\d+)""),"""")
"),"")</f>
        <v/>
      </c>
      <c r="P552" s="2"/>
      <c r="Q552" s="2"/>
      <c r="R552" s="2"/>
      <c r="S552" s="2"/>
      <c r="T552" s="5"/>
    </row>
    <row r="553" customFormat="false" ht="15.75" hidden="false" customHeight="false" outlineLevel="0" collapsed="false">
      <c r="A553" s="4"/>
      <c r="B553" s="2"/>
      <c r="C553" s="2"/>
      <c r="D553" s="2"/>
      <c r="E553" s="2"/>
      <c r="F553" s="3" t="str">
        <f aca="false">IFERROR(__xludf.dummyfunction("if($T553&lt;&gt;"""",REGEXEXTRACT(SUBSTITUTE ($T553,F$1&amp;"" CE"",""""), F$1&amp;""[\w &amp;]*, (\d+\.\d+)""),"""")
"),"")</f>
        <v/>
      </c>
      <c r="G553" s="3" t="str">
        <f aca="false">IFERROR(__xludf.dummyfunction("if($T553&lt;&gt;"""",REGEXEXTRACT($T553, G$1&amp;""[\w &amp;]*, (\d+\.\d+)""),"""")
"),"")</f>
        <v/>
      </c>
      <c r="H553" s="3"/>
      <c r="I553" s="3" t="str">
        <f aca="false">IFERROR(__xludf.dummyfunction("if($T553&lt;&gt;"""",REGEXEXTRACT(SUBSTITUTE ($T553,I$1&amp;"" CE"",""""), I$1&amp;""[\w &amp;]*, (\d+\.\d+)""),"""")
"),"")</f>
        <v/>
      </c>
      <c r="J553" s="3" t="str">
        <f aca="false">IFERROR(__xludf.dummyfunction("if($T553&lt;&gt;"""",REGEXEXTRACT($T553, J$1&amp;""[\w &amp;]*, (\d+\.\d+)""),"""")
"),"")</f>
        <v/>
      </c>
      <c r="K553" s="3"/>
      <c r="L553" s="3" t="str">
        <f aca="false">IFERROR(__xludf.dummyfunction("if($T553&lt;&gt;"""",REGEXEXTRACT(SUBSTITUTE ($T553,L$1&amp;"" CE"",""""), L$1&amp;""[\w &amp;]*, (\d+\.\d+)""),"""")
"),"")</f>
        <v/>
      </c>
      <c r="M553" s="3" t="str">
        <f aca="false">IFERROR(__xludf.dummyfunction("if($T553&lt;&gt;"""",REGEXEXTRACT($T553, M$1&amp;""[\w &amp;]*, (\d+\.\d+)""),"""")
"),"")</f>
        <v/>
      </c>
      <c r="N553" s="3" t="str">
        <f aca="false">IFERROR(__xludf.dummyfunction("if($T553&lt;&gt;"""",REGEXEXTRACT(SUBSTITUTE ($T553,N$1&amp;"" CE"",""""), N$1&amp;""[\w &amp;]*, (\d+\.\d+)""),"""")
"),"")</f>
        <v/>
      </c>
      <c r="O553" s="3" t="str">
        <f aca="false">IFERROR(__xludf.dummyfunction("if($T553&lt;&gt;"""",REGEXEXTRACT($T553, O$1&amp;""[\w &amp;]*, (\d+\.\d+)""),"""")
"),"")</f>
        <v/>
      </c>
      <c r="P553" s="2"/>
      <c r="Q553" s="2"/>
      <c r="R553" s="2"/>
      <c r="S553" s="2"/>
      <c r="T553" s="5"/>
    </row>
    <row r="554" customFormat="false" ht="15.75" hidden="false" customHeight="false" outlineLevel="0" collapsed="false">
      <c r="A554" s="4"/>
      <c r="B554" s="2"/>
      <c r="C554" s="2"/>
      <c r="D554" s="2"/>
      <c r="E554" s="2"/>
      <c r="F554" s="3" t="str">
        <f aca="false">IFERROR(__xludf.dummyfunction("if($T554&lt;&gt;"""",REGEXEXTRACT(SUBSTITUTE ($T554,F$1&amp;"" CE"",""""), F$1&amp;""[\w &amp;]*, (\d+\.\d+)""),"""")
"),"")</f>
        <v/>
      </c>
      <c r="G554" s="3" t="str">
        <f aca="false">IFERROR(__xludf.dummyfunction("if($T554&lt;&gt;"""",REGEXEXTRACT($T554, G$1&amp;""[\w &amp;]*, (\d+\.\d+)""),"""")
"),"")</f>
        <v/>
      </c>
      <c r="H554" s="3"/>
      <c r="I554" s="3" t="str">
        <f aca="false">IFERROR(__xludf.dummyfunction("if($T554&lt;&gt;"""",REGEXEXTRACT(SUBSTITUTE ($T554,I$1&amp;"" CE"",""""), I$1&amp;""[\w &amp;]*, (\d+\.\d+)""),"""")
"),"")</f>
        <v/>
      </c>
      <c r="J554" s="3" t="str">
        <f aca="false">IFERROR(__xludf.dummyfunction("if($T554&lt;&gt;"""",REGEXEXTRACT($T554, J$1&amp;""[\w &amp;]*, (\d+\.\d+)""),"""")
"),"")</f>
        <v/>
      </c>
      <c r="K554" s="3"/>
      <c r="L554" s="3" t="str">
        <f aca="false">IFERROR(__xludf.dummyfunction("if($T554&lt;&gt;"""",REGEXEXTRACT(SUBSTITUTE ($T554,L$1&amp;"" CE"",""""), L$1&amp;""[\w &amp;]*, (\d+\.\d+)""),"""")
"),"")</f>
        <v/>
      </c>
      <c r="M554" s="3" t="str">
        <f aca="false">IFERROR(__xludf.dummyfunction("if($T554&lt;&gt;"""",REGEXEXTRACT($T554, M$1&amp;""[\w &amp;]*, (\d+\.\d+)""),"""")
"),"")</f>
        <v/>
      </c>
      <c r="N554" s="3" t="str">
        <f aca="false">IFERROR(__xludf.dummyfunction("if($T554&lt;&gt;"""",REGEXEXTRACT(SUBSTITUTE ($T554,N$1&amp;"" CE"",""""), N$1&amp;""[\w &amp;]*, (\d+\.\d+)""),"""")
"),"")</f>
        <v/>
      </c>
      <c r="O554" s="3" t="str">
        <f aca="false">IFERROR(__xludf.dummyfunction("if($T554&lt;&gt;"""",REGEXEXTRACT($T554, O$1&amp;""[\w &amp;]*, (\d+\.\d+)""),"""")
"),"")</f>
        <v/>
      </c>
      <c r="P554" s="2"/>
      <c r="Q554" s="2"/>
      <c r="R554" s="2"/>
      <c r="S554" s="2"/>
      <c r="T554" s="5"/>
    </row>
    <row r="555" customFormat="false" ht="15.75" hidden="false" customHeight="false" outlineLevel="0" collapsed="false">
      <c r="A555" s="4"/>
      <c r="B555" s="2"/>
      <c r="C555" s="2"/>
      <c r="D555" s="2"/>
      <c r="E555" s="2"/>
      <c r="F555" s="3" t="str">
        <f aca="false">IFERROR(__xludf.dummyfunction("if($T555&lt;&gt;"""",REGEXEXTRACT(SUBSTITUTE ($T555,F$1&amp;"" CE"",""""), F$1&amp;""[\w &amp;]*, (\d+\.\d+)""),"""")
"),"")</f>
        <v/>
      </c>
      <c r="G555" s="3" t="str">
        <f aca="false">IFERROR(__xludf.dummyfunction("if($T555&lt;&gt;"""",REGEXEXTRACT($T555, G$1&amp;""[\w &amp;]*, (\d+\.\d+)""),"""")
"),"")</f>
        <v/>
      </c>
      <c r="H555" s="3"/>
      <c r="I555" s="3" t="str">
        <f aca="false">IFERROR(__xludf.dummyfunction("if($T555&lt;&gt;"""",REGEXEXTRACT(SUBSTITUTE ($T555,I$1&amp;"" CE"",""""), I$1&amp;""[\w &amp;]*, (\d+\.\d+)""),"""")
"),"")</f>
        <v/>
      </c>
      <c r="J555" s="3" t="str">
        <f aca="false">IFERROR(__xludf.dummyfunction("if($T555&lt;&gt;"""",REGEXEXTRACT($T555, J$1&amp;""[\w &amp;]*, (\d+\.\d+)""),"""")
"),"")</f>
        <v/>
      </c>
      <c r="K555" s="3"/>
      <c r="L555" s="3" t="str">
        <f aca="false">IFERROR(__xludf.dummyfunction("if($T555&lt;&gt;"""",REGEXEXTRACT(SUBSTITUTE ($T555,L$1&amp;"" CE"",""""), L$1&amp;""[\w &amp;]*, (\d+\.\d+)""),"""")
"),"")</f>
        <v/>
      </c>
      <c r="M555" s="3" t="str">
        <f aca="false">IFERROR(__xludf.dummyfunction("if($T555&lt;&gt;"""",REGEXEXTRACT($T555, M$1&amp;""[\w &amp;]*, (\d+\.\d+)""),"""")
"),"")</f>
        <v/>
      </c>
      <c r="N555" s="3" t="str">
        <f aca="false">IFERROR(__xludf.dummyfunction("if($T555&lt;&gt;"""",REGEXEXTRACT(SUBSTITUTE ($T555,N$1&amp;"" CE"",""""), N$1&amp;""[\w &amp;]*, (\d+\.\d+)""),"""")
"),"")</f>
        <v/>
      </c>
      <c r="O555" s="3" t="str">
        <f aca="false">IFERROR(__xludf.dummyfunction("if($T555&lt;&gt;"""",REGEXEXTRACT($T555, O$1&amp;""[\w &amp;]*, (\d+\.\d+)""),"""")
"),"")</f>
        <v/>
      </c>
      <c r="P555" s="2"/>
      <c r="Q555" s="2"/>
      <c r="R555" s="2"/>
      <c r="S555" s="2"/>
      <c r="T555" s="5"/>
    </row>
    <row r="556" customFormat="false" ht="15.75" hidden="false" customHeight="false" outlineLevel="0" collapsed="false">
      <c r="A556" s="4"/>
      <c r="B556" s="2"/>
      <c r="C556" s="2"/>
      <c r="D556" s="2"/>
      <c r="E556" s="2"/>
      <c r="F556" s="3" t="str">
        <f aca="false">IFERROR(__xludf.dummyfunction("if($T556&lt;&gt;"""",REGEXEXTRACT(SUBSTITUTE ($T556,F$1&amp;"" CE"",""""), F$1&amp;""[\w &amp;]*, (\d+\.\d+)""),"""")
"),"")</f>
        <v/>
      </c>
      <c r="G556" s="3" t="str">
        <f aca="false">IFERROR(__xludf.dummyfunction("if($T556&lt;&gt;"""",REGEXEXTRACT($T556, G$1&amp;""[\w &amp;]*, (\d+\.\d+)""),"""")
"),"")</f>
        <v/>
      </c>
      <c r="H556" s="3"/>
      <c r="I556" s="3" t="str">
        <f aca="false">IFERROR(__xludf.dummyfunction("if($T556&lt;&gt;"""",REGEXEXTRACT(SUBSTITUTE ($T556,I$1&amp;"" CE"",""""), I$1&amp;""[\w &amp;]*, (\d+\.\d+)""),"""")
"),"")</f>
        <v/>
      </c>
      <c r="J556" s="3" t="str">
        <f aca="false">IFERROR(__xludf.dummyfunction("if($T556&lt;&gt;"""",REGEXEXTRACT($T556, J$1&amp;""[\w &amp;]*, (\d+\.\d+)""),"""")
"),"")</f>
        <v/>
      </c>
      <c r="K556" s="3"/>
      <c r="L556" s="3" t="str">
        <f aca="false">IFERROR(__xludf.dummyfunction("if($T556&lt;&gt;"""",REGEXEXTRACT(SUBSTITUTE ($T556,L$1&amp;"" CE"",""""), L$1&amp;""[\w &amp;]*, (\d+\.\d+)""),"""")
"),"")</f>
        <v/>
      </c>
      <c r="M556" s="3" t="str">
        <f aca="false">IFERROR(__xludf.dummyfunction("if($T556&lt;&gt;"""",REGEXEXTRACT($T556, M$1&amp;""[\w &amp;]*, (\d+\.\d+)""),"""")
"),"")</f>
        <v/>
      </c>
      <c r="N556" s="3" t="str">
        <f aca="false">IFERROR(__xludf.dummyfunction("if($T556&lt;&gt;"""",REGEXEXTRACT(SUBSTITUTE ($T556,N$1&amp;"" CE"",""""), N$1&amp;""[\w &amp;]*, (\d+\.\d+)""),"""")
"),"")</f>
        <v/>
      </c>
      <c r="O556" s="3" t="str">
        <f aca="false">IFERROR(__xludf.dummyfunction("if($T556&lt;&gt;"""",REGEXEXTRACT($T556, O$1&amp;""[\w &amp;]*, (\d+\.\d+)""),"""")
"),"")</f>
        <v/>
      </c>
      <c r="P556" s="2"/>
      <c r="Q556" s="2"/>
      <c r="R556" s="2"/>
      <c r="S556" s="2"/>
      <c r="T556" s="5"/>
    </row>
    <row r="557" customFormat="false" ht="15.75" hidden="false" customHeight="false" outlineLevel="0" collapsed="false">
      <c r="A557" s="4"/>
      <c r="B557" s="2"/>
      <c r="C557" s="2"/>
      <c r="D557" s="2"/>
      <c r="E557" s="2"/>
      <c r="F557" s="3" t="str">
        <f aca="false">IFERROR(__xludf.dummyfunction("if($T557&lt;&gt;"""",REGEXEXTRACT(SUBSTITUTE ($T557,F$1&amp;"" CE"",""""), F$1&amp;""[\w &amp;]*, (\d+\.\d+)""),"""")
"),"")</f>
        <v/>
      </c>
      <c r="G557" s="3" t="str">
        <f aca="false">IFERROR(__xludf.dummyfunction("if($T557&lt;&gt;"""",REGEXEXTRACT($T557, G$1&amp;""[\w &amp;]*, (\d+\.\d+)""),"""")
"),"")</f>
        <v/>
      </c>
      <c r="H557" s="3"/>
      <c r="I557" s="3" t="str">
        <f aca="false">IFERROR(__xludf.dummyfunction("if($T557&lt;&gt;"""",REGEXEXTRACT(SUBSTITUTE ($T557,I$1&amp;"" CE"",""""), I$1&amp;""[\w &amp;]*, (\d+\.\d+)""),"""")
"),"")</f>
        <v/>
      </c>
      <c r="J557" s="3" t="str">
        <f aca="false">IFERROR(__xludf.dummyfunction("if($T557&lt;&gt;"""",REGEXEXTRACT($T557, J$1&amp;""[\w &amp;]*, (\d+\.\d+)""),"""")
"),"")</f>
        <v/>
      </c>
      <c r="K557" s="3"/>
      <c r="L557" s="3" t="str">
        <f aca="false">IFERROR(__xludf.dummyfunction("if($T557&lt;&gt;"""",REGEXEXTRACT(SUBSTITUTE ($T557,L$1&amp;"" CE"",""""), L$1&amp;""[\w &amp;]*, (\d+\.\d+)""),"""")
"),"")</f>
        <v/>
      </c>
      <c r="M557" s="3" t="str">
        <f aca="false">IFERROR(__xludf.dummyfunction("if($T557&lt;&gt;"""",REGEXEXTRACT($T557, M$1&amp;""[\w &amp;]*, (\d+\.\d+)""),"""")
"),"")</f>
        <v/>
      </c>
      <c r="N557" s="3" t="str">
        <f aca="false">IFERROR(__xludf.dummyfunction("if($T557&lt;&gt;"""",REGEXEXTRACT(SUBSTITUTE ($T557,N$1&amp;"" CE"",""""), N$1&amp;""[\w &amp;]*, (\d+\.\d+)""),"""")
"),"")</f>
        <v/>
      </c>
      <c r="O557" s="3" t="str">
        <f aca="false">IFERROR(__xludf.dummyfunction("if($T557&lt;&gt;"""",REGEXEXTRACT($T557, O$1&amp;""[\w &amp;]*, (\d+\.\d+)""),"""")
"),"")</f>
        <v/>
      </c>
      <c r="P557" s="2"/>
      <c r="Q557" s="2"/>
      <c r="R557" s="2"/>
      <c r="S557" s="2"/>
      <c r="T557" s="5"/>
    </row>
    <row r="558" customFormat="false" ht="15.75" hidden="false" customHeight="false" outlineLevel="0" collapsed="false">
      <c r="A558" s="4"/>
      <c r="B558" s="2"/>
      <c r="C558" s="2"/>
      <c r="D558" s="2"/>
      <c r="E558" s="2"/>
      <c r="F558" s="3" t="str">
        <f aca="false">IFERROR(__xludf.dummyfunction("if($T558&lt;&gt;"""",REGEXEXTRACT(SUBSTITUTE ($T558,F$1&amp;"" CE"",""""), F$1&amp;""[\w &amp;]*, (\d+\.\d+)""),"""")
"),"")</f>
        <v/>
      </c>
      <c r="G558" s="3" t="str">
        <f aca="false">IFERROR(__xludf.dummyfunction("if($T558&lt;&gt;"""",REGEXEXTRACT($T558, G$1&amp;""[\w &amp;]*, (\d+\.\d+)""),"""")
"),"")</f>
        <v/>
      </c>
      <c r="H558" s="3"/>
      <c r="I558" s="3" t="str">
        <f aca="false">IFERROR(__xludf.dummyfunction("if($T558&lt;&gt;"""",REGEXEXTRACT(SUBSTITUTE ($T558,I$1&amp;"" CE"",""""), I$1&amp;""[\w &amp;]*, (\d+\.\d+)""),"""")
"),"")</f>
        <v/>
      </c>
      <c r="J558" s="3" t="str">
        <f aca="false">IFERROR(__xludf.dummyfunction("if($T558&lt;&gt;"""",REGEXEXTRACT($T558, J$1&amp;""[\w &amp;]*, (\d+\.\d+)""),"""")
"),"")</f>
        <v/>
      </c>
      <c r="K558" s="3"/>
      <c r="L558" s="3" t="str">
        <f aca="false">IFERROR(__xludf.dummyfunction("if($T558&lt;&gt;"""",REGEXEXTRACT(SUBSTITUTE ($T558,L$1&amp;"" CE"",""""), L$1&amp;""[\w &amp;]*, (\d+\.\d+)""),"""")
"),"")</f>
        <v/>
      </c>
      <c r="M558" s="3" t="str">
        <f aca="false">IFERROR(__xludf.dummyfunction("if($T558&lt;&gt;"""",REGEXEXTRACT($T558, M$1&amp;""[\w &amp;]*, (\d+\.\d+)""),"""")
"),"")</f>
        <v/>
      </c>
      <c r="N558" s="3" t="str">
        <f aca="false">IFERROR(__xludf.dummyfunction("if($T558&lt;&gt;"""",REGEXEXTRACT(SUBSTITUTE ($T558,N$1&amp;"" CE"",""""), N$1&amp;""[\w &amp;]*, (\d+\.\d+)""),"""")
"),"")</f>
        <v/>
      </c>
      <c r="O558" s="3" t="str">
        <f aca="false">IFERROR(__xludf.dummyfunction("if($T558&lt;&gt;"""",REGEXEXTRACT($T558, O$1&amp;""[\w &amp;]*, (\d+\.\d+)""),"""")
"),"")</f>
        <v/>
      </c>
      <c r="P558" s="2"/>
      <c r="Q558" s="2"/>
      <c r="R558" s="2"/>
      <c r="S558" s="2"/>
      <c r="T558" s="5"/>
    </row>
    <row r="559" customFormat="false" ht="15.75" hidden="false" customHeight="false" outlineLevel="0" collapsed="false">
      <c r="A559" s="4"/>
      <c r="B559" s="2"/>
      <c r="C559" s="2"/>
      <c r="D559" s="2"/>
      <c r="E559" s="2"/>
      <c r="F559" s="3" t="str">
        <f aca="false">IFERROR(__xludf.dummyfunction("if($T559&lt;&gt;"""",REGEXEXTRACT(SUBSTITUTE ($T559,F$1&amp;"" CE"",""""), F$1&amp;""[\w &amp;]*, (\d+\.\d+)""),"""")
"),"")</f>
        <v/>
      </c>
      <c r="G559" s="3" t="str">
        <f aca="false">IFERROR(__xludf.dummyfunction("if($T559&lt;&gt;"""",REGEXEXTRACT($T559, G$1&amp;""[\w &amp;]*, (\d+\.\d+)""),"""")
"),"")</f>
        <v/>
      </c>
      <c r="H559" s="3"/>
      <c r="I559" s="3" t="str">
        <f aca="false">IFERROR(__xludf.dummyfunction("if($T559&lt;&gt;"""",REGEXEXTRACT(SUBSTITUTE ($T559,I$1&amp;"" CE"",""""), I$1&amp;""[\w &amp;]*, (\d+\.\d+)""),"""")
"),"")</f>
        <v/>
      </c>
      <c r="J559" s="3" t="str">
        <f aca="false">IFERROR(__xludf.dummyfunction("if($T559&lt;&gt;"""",REGEXEXTRACT($T559, J$1&amp;""[\w &amp;]*, (\d+\.\d+)""),"""")
"),"")</f>
        <v/>
      </c>
      <c r="K559" s="3"/>
      <c r="L559" s="3" t="str">
        <f aca="false">IFERROR(__xludf.dummyfunction("if($T559&lt;&gt;"""",REGEXEXTRACT(SUBSTITUTE ($T559,L$1&amp;"" CE"",""""), L$1&amp;""[\w &amp;]*, (\d+\.\d+)""),"""")
"),"")</f>
        <v/>
      </c>
      <c r="M559" s="3" t="str">
        <f aca="false">IFERROR(__xludf.dummyfunction("if($T559&lt;&gt;"""",REGEXEXTRACT($T559, M$1&amp;""[\w &amp;]*, (\d+\.\d+)""),"""")
"),"")</f>
        <v/>
      </c>
      <c r="N559" s="3" t="str">
        <f aca="false">IFERROR(__xludf.dummyfunction("if($T559&lt;&gt;"""",REGEXEXTRACT(SUBSTITUTE ($T559,N$1&amp;"" CE"",""""), N$1&amp;""[\w &amp;]*, (\d+\.\d+)""),"""")
"),"")</f>
        <v/>
      </c>
      <c r="O559" s="3" t="str">
        <f aca="false">IFERROR(__xludf.dummyfunction("if($T559&lt;&gt;"""",REGEXEXTRACT($T559, O$1&amp;""[\w &amp;]*, (\d+\.\d+)""),"""")
"),"")</f>
        <v/>
      </c>
      <c r="P559" s="2"/>
      <c r="Q559" s="2"/>
      <c r="R559" s="2"/>
      <c r="S559" s="2"/>
      <c r="T559" s="5"/>
    </row>
    <row r="560" customFormat="false" ht="15.75" hidden="false" customHeight="false" outlineLevel="0" collapsed="false">
      <c r="A560" s="4"/>
      <c r="B560" s="2"/>
      <c r="C560" s="2"/>
      <c r="D560" s="2"/>
      <c r="E560" s="2"/>
      <c r="F560" s="3" t="str">
        <f aca="false">IFERROR(__xludf.dummyfunction("if($T560&lt;&gt;"""",REGEXEXTRACT(SUBSTITUTE ($T560,F$1&amp;"" CE"",""""), F$1&amp;""[\w &amp;]*, (\d+\.\d+)""),"""")
"),"")</f>
        <v/>
      </c>
      <c r="G560" s="3" t="str">
        <f aca="false">IFERROR(__xludf.dummyfunction("if($T560&lt;&gt;"""",REGEXEXTRACT($T560, G$1&amp;""[\w &amp;]*, (\d+\.\d+)""),"""")
"),"")</f>
        <v/>
      </c>
      <c r="H560" s="3"/>
      <c r="I560" s="3" t="str">
        <f aca="false">IFERROR(__xludf.dummyfunction("if($T560&lt;&gt;"""",REGEXEXTRACT(SUBSTITUTE ($T560,I$1&amp;"" CE"",""""), I$1&amp;""[\w &amp;]*, (\d+\.\d+)""),"""")
"),"")</f>
        <v/>
      </c>
      <c r="J560" s="3" t="str">
        <f aca="false">IFERROR(__xludf.dummyfunction("if($T560&lt;&gt;"""",REGEXEXTRACT($T560, J$1&amp;""[\w &amp;]*, (\d+\.\d+)""),"""")
"),"")</f>
        <v/>
      </c>
      <c r="K560" s="3"/>
      <c r="L560" s="3" t="str">
        <f aca="false">IFERROR(__xludf.dummyfunction("if($T560&lt;&gt;"""",REGEXEXTRACT(SUBSTITUTE ($T560,L$1&amp;"" CE"",""""), L$1&amp;""[\w &amp;]*, (\d+\.\d+)""),"""")
"),"")</f>
        <v/>
      </c>
      <c r="M560" s="3" t="str">
        <f aca="false">IFERROR(__xludf.dummyfunction("if($T560&lt;&gt;"""",REGEXEXTRACT($T560, M$1&amp;""[\w &amp;]*, (\d+\.\d+)""),"""")
"),"")</f>
        <v/>
      </c>
      <c r="N560" s="3" t="str">
        <f aca="false">IFERROR(__xludf.dummyfunction("if($T560&lt;&gt;"""",REGEXEXTRACT(SUBSTITUTE ($T560,N$1&amp;"" CE"",""""), N$1&amp;""[\w &amp;]*, (\d+\.\d+)""),"""")
"),"")</f>
        <v/>
      </c>
      <c r="O560" s="3" t="str">
        <f aca="false">IFERROR(__xludf.dummyfunction("if($T560&lt;&gt;"""",REGEXEXTRACT($T560, O$1&amp;""[\w &amp;]*, (\d+\.\d+)""),"""")
"),"")</f>
        <v/>
      </c>
      <c r="P560" s="2"/>
      <c r="Q560" s="2"/>
      <c r="R560" s="2"/>
      <c r="S560" s="2"/>
      <c r="T560" s="5"/>
    </row>
    <row r="561" customFormat="false" ht="15.75" hidden="false" customHeight="false" outlineLevel="0" collapsed="false">
      <c r="A561" s="4"/>
      <c r="B561" s="2"/>
      <c r="C561" s="2"/>
      <c r="D561" s="2"/>
      <c r="E561" s="2"/>
      <c r="F561" s="3" t="str">
        <f aca="false">IFERROR(__xludf.dummyfunction("if($T561&lt;&gt;"""",REGEXEXTRACT(SUBSTITUTE ($T561,F$1&amp;"" CE"",""""), F$1&amp;""[\w &amp;]*, (\d+\.\d+)""),"""")
"),"")</f>
        <v/>
      </c>
      <c r="G561" s="3" t="str">
        <f aca="false">IFERROR(__xludf.dummyfunction("if($T561&lt;&gt;"""",REGEXEXTRACT($T561, G$1&amp;""[\w &amp;]*, (\d+\.\d+)""),"""")
"),"")</f>
        <v/>
      </c>
      <c r="H561" s="3"/>
      <c r="I561" s="3" t="str">
        <f aca="false">IFERROR(__xludf.dummyfunction("if($T561&lt;&gt;"""",REGEXEXTRACT(SUBSTITUTE ($T561,I$1&amp;"" CE"",""""), I$1&amp;""[\w &amp;]*, (\d+\.\d+)""),"""")
"),"")</f>
        <v/>
      </c>
      <c r="J561" s="3" t="str">
        <f aca="false">IFERROR(__xludf.dummyfunction("if($T561&lt;&gt;"""",REGEXEXTRACT($T561, J$1&amp;""[\w &amp;]*, (\d+\.\d+)""),"""")
"),"")</f>
        <v/>
      </c>
      <c r="K561" s="3"/>
      <c r="L561" s="3" t="str">
        <f aca="false">IFERROR(__xludf.dummyfunction("if($T561&lt;&gt;"""",REGEXEXTRACT(SUBSTITUTE ($T561,L$1&amp;"" CE"",""""), L$1&amp;""[\w &amp;]*, (\d+\.\d+)""),"""")
"),"")</f>
        <v/>
      </c>
      <c r="M561" s="3" t="str">
        <f aca="false">IFERROR(__xludf.dummyfunction("if($T561&lt;&gt;"""",REGEXEXTRACT($T561, M$1&amp;""[\w &amp;]*, (\d+\.\d+)""),"""")
"),"")</f>
        <v/>
      </c>
      <c r="N561" s="3" t="str">
        <f aca="false">IFERROR(__xludf.dummyfunction("if($T561&lt;&gt;"""",REGEXEXTRACT(SUBSTITUTE ($T561,N$1&amp;"" CE"",""""), N$1&amp;""[\w &amp;]*, (\d+\.\d+)""),"""")
"),"")</f>
        <v/>
      </c>
      <c r="O561" s="3" t="str">
        <f aca="false">IFERROR(__xludf.dummyfunction("if($T561&lt;&gt;"""",REGEXEXTRACT($T561, O$1&amp;""[\w &amp;]*, (\d+\.\d+)""),"""")
"),"")</f>
        <v/>
      </c>
      <c r="P561" s="2"/>
      <c r="Q561" s="2"/>
      <c r="R561" s="2"/>
      <c r="S561" s="2"/>
      <c r="T561" s="5"/>
    </row>
    <row r="562" customFormat="false" ht="15.75" hidden="false" customHeight="false" outlineLevel="0" collapsed="false">
      <c r="A562" s="4"/>
      <c r="B562" s="2"/>
      <c r="C562" s="2"/>
      <c r="D562" s="2"/>
      <c r="E562" s="2"/>
      <c r="F562" s="3" t="str">
        <f aca="false">IFERROR(__xludf.dummyfunction("if($T562&lt;&gt;"""",REGEXEXTRACT(SUBSTITUTE ($T562,F$1&amp;"" CE"",""""), F$1&amp;""[\w &amp;]*, (\d+\.\d+)""),"""")
"),"")</f>
        <v/>
      </c>
      <c r="G562" s="3" t="str">
        <f aca="false">IFERROR(__xludf.dummyfunction("if($T562&lt;&gt;"""",REGEXEXTRACT($T562, G$1&amp;""[\w &amp;]*, (\d+\.\d+)""),"""")
"),"")</f>
        <v/>
      </c>
      <c r="H562" s="3"/>
      <c r="I562" s="3" t="str">
        <f aca="false">IFERROR(__xludf.dummyfunction("if($T562&lt;&gt;"""",REGEXEXTRACT(SUBSTITUTE ($T562,I$1&amp;"" CE"",""""), I$1&amp;""[\w &amp;]*, (\d+\.\d+)""),"""")
"),"")</f>
        <v/>
      </c>
      <c r="J562" s="3" t="str">
        <f aca="false">IFERROR(__xludf.dummyfunction("if($T562&lt;&gt;"""",REGEXEXTRACT($T562, J$1&amp;""[\w &amp;]*, (\d+\.\d+)""),"""")
"),"")</f>
        <v/>
      </c>
      <c r="K562" s="3"/>
      <c r="L562" s="3" t="str">
        <f aca="false">IFERROR(__xludf.dummyfunction("if($T562&lt;&gt;"""",REGEXEXTRACT(SUBSTITUTE ($T562,L$1&amp;"" CE"",""""), L$1&amp;""[\w &amp;]*, (\d+\.\d+)""),"""")
"),"")</f>
        <v/>
      </c>
      <c r="M562" s="3" t="str">
        <f aca="false">IFERROR(__xludf.dummyfunction("if($T562&lt;&gt;"""",REGEXEXTRACT($T562, M$1&amp;""[\w &amp;]*, (\d+\.\d+)""),"""")
"),"")</f>
        <v/>
      </c>
      <c r="N562" s="3" t="str">
        <f aca="false">IFERROR(__xludf.dummyfunction("if($T562&lt;&gt;"""",REGEXEXTRACT(SUBSTITUTE ($T562,N$1&amp;"" CE"",""""), N$1&amp;""[\w &amp;]*, (\d+\.\d+)""),"""")
"),"")</f>
        <v/>
      </c>
      <c r="O562" s="3" t="str">
        <f aca="false">IFERROR(__xludf.dummyfunction("if($T562&lt;&gt;"""",REGEXEXTRACT($T562, O$1&amp;""[\w &amp;]*, (\d+\.\d+)""),"""")
"),"")</f>
        <v/>
      </c>
      <c r="P562" s="2"/>
      <c r="Q562" s="2"/>
      <c r="R562" s="2"/>
      <c r="S562" s="2"/>
      <c r="T562" s="5"/>
    </row>
    <row r="563" customFormat="false" ht="15.75" hidden="false" customHeight="false" outlineLevel="0" collapsed="false">
      <c r="A563" s="4"/>
      <c r="B563" s="2"/>
      <c r="C563" s="2"/>
      <c r="D563" s="2"/>
      <c r="E563" s="2"/>
      <c r="F563" s="3" t="str">
        <f aca="false">IFERROR(__xludf.dummyfunction("if($T563&lt;&gt;"""",REGEXEXTRACT(SUBSTITUTE ($T563,F$1&amp;"" CE"",""""), F$1&amp;""[\w &amp;]*, (\d+\.\d+)""),"""")
"),"")</f>
        <v/>
      </c>
      <c r="G563" s="3" t="str">
        <f aca="false">IFERROR(__xludf.dummyfunction("if($T563&lt;&gt;"""",REGEXEXTRACT($T563, G$1&amp;""[\w &amp;]*, (\d+\.\d+)""),"""")
"),"")</f>
        <v/>
      </c>
      <c r="H563" s="3"/>
      <c r="I563" s="3" t="str">
        <f aca="false">IFERROR(__xludf.dummyfunction("if($T563&lt;&gt;"""",REGEXEXTRACT(SUBSTITUTE ($T563,I$1&amp;"" CE"",""""), I$1&amp;""[\w &amp;]*, (\d+\.\d+)""),"""")
"),"")</f>
        <v/>
      </c>
      <c r="J563" s="3" t="str">
        <f aca="false">IFERROR(__xludf.dummyfunction("if($T563&lt;&gt;"""",REGEXEXTRACT($T563, J$1&amp;""[\w &amp;]*, (\d+\.\d+)""),"""")
"),"")</f>
        <v/>
      </c>
      <c r="K563" s="3"/>
      <c r="L563" s="3" t="str">
        <f aca="false">IFERROR(__xludf.dummyfunction("if($T563&lt;&gt;"""",REGEXEXTRACT(SUBSTITUTE ($T563,L$1&amp;"" CE"",""""), L$1&amp;""[\w &amp;]*, (\d+\.\d+)""),"""")
"),"")</f>
        <v/>
      </c>
      <c r="M563" s="3" t="str">
        <f aca="false">IFERROR(__xludf.dummyfunction("if($T563&lt;&gt;"""",REGEXEXTRACT($T563, M$1&amp;""[\w &amp;]*, (\d+\.\d+)""),"""")
"),"")</f>
        <v/>
      </c>
      <c r="N563" s="3" t="str">
        <f aca="false">IFERROR(__xludf.dummyfunction("if($T563&lt;&gt;"""",REGEXEXTRACT(SUBSTITUTE ($T563,N$1&amp;"" CE"",""""), N$1&amp;""[\w &amp;]*, (\d+\.\d+)""),"""")
"),"")</f>
        <v/>
      </c>
      <c r="O563" s="3" t="str">
        <f aca="false">IFERROR(__xludf.dummyfunction("if($T563&lt;&gt;"""",REGEXEXTRACT($T563, O$1&amp;""[\w &amp;]*, (\d+\.\d+)""),"""")
"),"")</f>
        <v/>
      </c>
      <c r="P563" s="2"/>
      <c r="Q563" s="2"/>
      <c r="R563" s="2"/>
      <c r="S563" s="2"/>
      <c r="T563" s="5"/>
    </row>
    <row r="564" customFormat="false" ht="15.75" hidden="false" customHeight="false" outlineLevel="0" collapsed="false">
      <c r="A564" s="4"/>
      <c r="B564" s="2"/>
      <c r="C564" s="2"/>
      <c r="D564" s="2"/>
      <c r="E564" s="2"/>
      <c r="F564" s="3" t="str">
        <f aca="false">IFERROR(__xludf.dummyfunction("if($T564&lt;&gt;"""",REGEXEXTRACT(SUBSTITUTE ($T564,F$1&amp;"" CE"",""""), F$1&amp;""[\w &amp;]*, (\d+\.\d+)""),"""")
"),"")</f>
        <v/>
      </c>
      <c r="G564" s="3" t="str">
        <f aca="false">IFERROR(__xludf.dummyfunction("if($T564&lt;&gt;"""",REGEXEXTRACT($T564, G$1&amp;""[\w &amp;]*, (\d+\.\d+)""),"""")
"),"")</f>
        <v/>
      </c>
      <c r="H564" s="3"/>
      <c r="I564" s="3" t="str">
        <f aca="false">IFERROR(__xludf.dummyfunction("if($T564&lt;&gt;"""",REGEXEXTRACT(SUBSTITUTE ($T564,I$1&amp;"" CE"",""""), I$1&amp;""[\w &amp;]*, (\d+\.\d+)""),"""")
"),"")</f>
        <v/>
      </c>
      <c r="J564" s="3" t="str">
        <f aca="false">IFERROR(__xludf.dummyfunction("if($T564&lt;&gt;"""",REGEXEXTRACT($T564, J$1&amp;""[\w &amp;]*, (\d+\.\d+)""),"""")
"),"")</f>
        <v/>
      </c>
      <c r="K564" s="3"/>
      <c r="L564" s="3" t="str">
        <f aca="false">IFERROR(__xludf.dummyfunction("if($T564&lt;&gt;"""",REGEXEXTRACT(SUBSTITUTE ($T564,L$1&amp;"" CE"",""""), L$1&amp;""[\w &amp;]*, (\d+\.\d+)""),"""")
"),"")</f>
        <v/>
      </c>
      <c r="M564" s="3" t="str">
        <f aca="false">IFERROR(__xludf.dummyfunction("if($T564&lt;&gt;"""",REGEXEXTRACT($T564, M$1&amp;""[\w &amp;]*, (\d+\.\d+)""),"""")
"),"")</f>
        <v/>
      </c>
      <c r="N564" s="3" t="str">
        <f aca="false">IFERROR(__xludf.dummyfunction("if($T564&lt;&gt;"""",REGEXEXTRACT(SUBSTITUTE ($T564,N$1&amp;"" CE"",""""), N$1&amp;""[\w &amp;]*, (\d+\.\d+)""),"""")
"),"")</f>
        <v/>
      </c>
      <c r="O564" s="3" t="str">
        <f aca="false">IFERROR(__xludf.dummyfunction("if($T564&lt;&gt;"""",REGEXEXTRACT($T564, O$1&amp;""[\w &amp;]*, (\d+\.\d+)""),"""")
"),"")</f>
        <v/>
      </c>
      <c r="P564" s="2"/>
      <c r="Q564" s="2"/>
      <c r="R564" s="2"/>
      <c r="S564" s="2"/>
      <c r="T564" s="5"/>
    </row>
    <row r="565" customFormat="false" ht="15.75" hidden="false" customHeight="false" outlineLevel="0" collapsed="false">
      <c r="A565" s="4"/>
      <c r="B565" s="2"/>
      <c r="C565" s="2"/>
      <c r="D565" s="2"/>
      <c r="E565" s="2"/>
      <c r="F565" s="3" t="str">
        <f aca="false">IFERROR(__xludf.dummyfunction("if($T565&lt;&gt;"""",REGEXEXTRACT(SUBSTITUTE ($T565,F$1&amp;"" CE"",""""), F$1&amp;""[\w &amp;]*, (\d+\.\d+)""),"""")
"),"")</f>
        <v/>
      </c>
      <c r="G565" s="3" t="str">
        <f aca="false">IFERROR(__xludf.dummyfunction("if($T565&lt;&gt;"""",REGEXEXTRACT($T565, G$1&amp;""[\w &amp;]*, (\d+\.\d+)""),"""")
"),"")</f>
        <v/>
      </c>
      <c r="H565" s="3"/>
      <c r="I565" s="3" t="str">
        <f aca="false">IFERROR(__xludf.dummyfunction("if($T565&lt;&gt;"""",REGEXEXTRACT(SUBSTITUTE ($T565,I$1&amp;"" CE"",""""), I$1&amp;""[\w &amp;]*, (\d+\.\d+)""),"""")
"),"")</f>
        <v/>
      </c>
      <c r="J565" s="3" t="str">
        <f aca="false">IFERROR(__xludf.dummyfunction("if($T565&lt;&gt;"""",REGEXEXTRACT($T565, J$1&amp;""[\w &amp;]*, (\d+\.\d+)""),"""")
"),"")</f>
        <v/>
      </c>
      <c r="K565" s="3"/>
      <c r="L565" s="3" t="str">
        <f aca="false">IFERROR(__xludf.dummyfunction("if($T565&lt;&gt;"""",REGEXEXTRACT(SUBSTITUTE ($T565,L$1&amp;"" CE"",""""), L$1&amp;""[\w &amp;]*, (\d+\.\d+)""),"""")
"),"")</f>
        <v/>
      </c>
      <c r="M565" s="3" t="str">
        <f aca="false">IFERROR(__xludf.dummyfunction("if($T565&lt;&gt;"""",REGEXEXTRACT($T565, M$1&amp;""[\w &amp;]*, (\d+\.\d+)""),"""")
"),"")</f>
        <v/>
      </c>
      <c r="N565" s="3" t="str">
        <f aca="false">IFERROR(__xludf.dummyfunction("if($T565&lt;&gt;"""",REGEXEXTRACT(SUBSTITUTE ($T565,N$1&amp;"" CE"",""""), N$1&amp;""[\w &amp;]*, (\d+\.\d+)""),"""")
"),"")</f>
        <v/>
      </c>
      <c r="O565" s="3" t="str">
        <f aca="false">IFERROR(__xludf.dummyfunction("if($T565&lt;&gt;"""",REGEXEXTRACT($T565, O$1&amp;""[\w &amp;]*, (\d+\.\d+)""),"""")
"),"")</f>
        <v/>
      </c>
      <c r="P565" s="2"/>
      <c r="Q565" s="2"/>
      <c r="R565" s="2"/>
      <c r="S565" s="2"/>
      <c r="T565" s="5"/>
    </row>
    <row r="566" customFormat="false" ht="15.75" hidden="false" customHeight="false" outlineLevel="0" collapsed="false">
      <c r="A566" s="4"/>
      <c r="B566" s="2"/>
      <c r="C566" s="2"/>
      <c r="D566" s="2"/>
      <c r="E566" s="2"/>
      <c r="F566" s="3" t="str">
        <f aca="false">IFERROR(__xludf.dummyfunction("if($T566&lt;&gt;"""",REGEXEXTRACT(SUBSTITUTE ($T566,F$1&amp;"" CE"",""""), F$1&amp;""[\w &amp;]*, (\d+\.\d+)""),"""")
"),"")</f>
        <v/>
      </c>
      <c r="G566" s="3" t="str">
        <f aca="false">IFERROR(__xludf.dummyfunction("if($T566&lt;&gt;"""",REGEXEXTRACT($T566, G$1&amp;""[\w &amp;]*, (\d+\.\d+)""),"""")
"),"")</f>
        <v/>
      </c>
      <c r="H566" s="3"/>
      <c r="I566" s="3" t="str">
        <f aca="false">IFERROR(__xludf.dummyfunction("if($T566&lt;&gt;"""",REGEXEXTRACT(SUBSTITUTE ($T566,I$1&amp;"" CE"",""""), I$1&amp;""[\w &amp;]*, (\d+\.\d+)""),"""")
"),"")</f>
        <v/>
      </c>
      <c r="J566" s="3" t="str">
        <f aca="false">IFERROR(__xludf.dummyfunction("if($T566&lt;&gt;"""",REGEXEXTRACT($T566, J$1&amp;""[\w &amp;]*, (\d+\.\d+)""),"""")
"),"")</f>
        <v/>
      </c>
      <c r="K566" s="3"/>
      <c r="L566" s="3" t="str">
        <f aca="false">IFERROR(__xludf.dummyfunction("if($T566&lt;&gt;"""",REGEXEXTRACT(SUBSTITUTE ($T566,L$1&amp;"" CE"",""""), L$1&amp;""[\w &amp;]*, (\d+\.\d+)""),"""")
"),"")</f>
        <v/>
      </c>
      <c r="M566" s="3" t="str">
        <f aca="false">IFERROR(__xludf.dummyfunction("if($T566&lt;&gt;"""",REGEXEXTRACT($T566, M$1&amp;""[\w &amp;]*, (\d+\.\d+)""),"""")
"),"")</f>
        <v/>
      </c>
      <c r="N566" s="3" t="str">
        <f aca="false">IFERROR(__xludf.dummyfunction("if($T566&lt;&gt;"""",REGEXEXTRACT(SUBSTITUTE ($T566,N$1&amp;"" CE"",""""), N$1&amp;""[\w &amp;]*, (\d+\.\d+)""),"""")
"),"")</f>
        <v/>
      </c>
      <c r="O566" s="3" t="str">
        <f aca="false">IFERROR(__xludf.dummyfunction("if($T566&lt;&gt;"""",REGEXEXTRACT($T566, O$1&amp;""[\w &amp;]*, (\d+\.\d+)""),"""")
"),"")</f>
        <v/>
      </c>
      <c r="P566" s="2"/>
      <c r="Q566" s="2"/>
      <c r="R566" s="2"/>
      <c r="S566" s="2"/>
      <c r="T566" s="5"/>
    </row>
    <row r="567" customFormat="false" ht="15.75" hidden="false" customHeight="false" outlineLevel="0" collapsed="false">
      <c r="A567" s="4"/>
      <c r="B567" s="2"/>
      <c r="C567" s="2"/>
      <c r="D567" s="2"/>
      <c r="E567" s="2"/>
      <c r="F567" s="3" t="str">
        <f aca="false">IFERROR(__xludf.dummyfunction("if($T567&lt;&gt;"""",REGEXEXTRACT(SUBSTITUTE ($T567,F$1&amp;"" CE"",""""), F$1&amp;""[\w &amp;]*, (\d+\.\d+)""),"""")
"),"")</f>
        <v/>
      </c>
      <c r="G567" s="3" t="str">
        <f aca="false">IFERROR(__xludf.dummyfunction("if($T567&lt;&gt;"""",REGEXEXTRACT($T567, G$1&amp;""[\w &amp;]*, (\d+\.\d+)""),"""")
"),"")</f>
        <v/>
      </c>
      <c r="H567" s="3"/>
      <c r="I567" s="3" t="str">
        <f aca="false">IFERROR(__xludf.dummyfunction("if($T567&lt;&gt;"""",REGEXEXTRACT(SUBSTITUTE ($T567,I$1&amp;"" CE"",""""), I$1&amp;""[\w &amp;]*, (\d+\.\d+)""),"""")
"),"")</f>
        <v/>
      </c>
      <c r="J567" s="3" t="str">
        <f aca="false">IFERROR(__xludf.dummyfunction("if($T567&lt;&gt;"""",REGEXEXTRACT($T567, J$1&amp;""[\w &amp;]*, (\d+\.\d+)""),"""")
"),"")</f>
        <v/>
      </c>
      <c r="K567" s="3"/>
      <c r="L567" s="3" t="str">
        <f aca="false">IFERROR(__xludf.dummyfunction("if($T567&lt;&gt;"""",REGEXEXTRACT(SUBSTITUTE ($T567,L$1&amp;"" CE"",""""), L$1&amp;""[\w &amp;]*, (\d+\.\d+)""),"""")
"),"")</f>
        <v/>
      </c>
      <c r="M567" s="3" t="str">
        <f aca="false">IFERROR(__xludf.dummyfunction("if($T567&lt;&gt;"""",REGEXEXTRACT($T567, M$1&amp;""[\w &amp;]*, (\d+\.\d+)""),"""")
"),"")</f>
        <v/>
      </c>
      <c r="N567" s="3" t="str">
        <f aca="false">IFERROR(__xludf.dummyfunction("if($T567&lt;&gt;"""",REGEXEXTRACT(SUBSTITUTE ($T567,N$1&amp;"" CE"",""""), N$1&amp;""[\w &amp;]*, (\d+\.\d+)""),"""")
"),"")</f>
        <v/>
      </c>
      <c r="O567" s="3" t="str">
        <f aca="false">IFERROR(__xludf.dummyfunction("if($T567&lt;&gt;"""",REGEXEXTRACT($T567, O$1&amp;""[\w &amp;]*, (\d+\.\d+)""),"""")
"),"")</f>
        <v/>
      </c>
      <c r="P567" s="2"/>
      <c r="Q567" s="2"/>
      <c r="R567" s="2"/>
      <c r="S567" s="2"/>
      <c r="T567" s="5"/>
    </row>
    <row r="568" customFormat="false" ht="15.75" hidden="false" customHeight="false" outlineLevel="0" collapsed="false">
      <c r="A568" s="4"/>
      <c r="B568" s="2"/>
      <c r="C568" s="2"/>
      <c r="D568" s="2"/>
      <c r="E568" s="2"/>
      <c r="F568" s="3" t="str">
        <f aca="false">IFERROR(__xludf.dummyfunction("if($T568&lt;&gt;"""",REGEXEXTRACT(SUBSTITUTE ($T568,F$1&amp;"" CE"",""""), F$1&amp;""[\w &amp;]*, (\d+\.\d+)""),"""")
"),"")</f>
        <v/>
      </c>
      <c r="G568" s="3" t="str">
        <f aca="false">IFERROR(__xludf.dummyfunction("if($T568&lt;&gt;"""",REGEXEXTRACT($T568, G$1&amp;""[\w &amp;]*, (\d+\.\d+)""),"""")
"),"")</f>
        <v/>
      </c>
      <c r="H568" s="3"/>
      <c r="I568" s="3" t="str">
        <f aca="false">IFERROR(__xludf.dummyfunction("if($T568&lt;&gt;"""",REGEXEXTRACT(SUBSTITUTE ($T568,I$1&amp;"" CE"",""""), I$1&amp;""[\w &amp;]*, (\d+\.\d+)""),"""")
"),"")</f>
        <v/>
      </c>
      <c r="J568" s="3" t="str">
        <f aca="false">IFERROR(__xludf.dummyfunction("if($T568&lt;&gt;"""",REGEXEXTRACT($T568, J$1&amp;""[\w &amp;]*, (\d+\.\d+)""),"""")
"),"")</f>
        <v/>
      </c>
      <c r="K568" s="3"/>
      <c r="L568" s="3" t="str">
        <f aca="false">IFERROR(__xludf.dummyfunction("if($T568&lt;&gt;"""",REGEXEXTRACT(SUBSTITUTE ($T568,L$1&amp;"" CE"",""""), L$1&amp;""[\w &amp;]*, (\d+\.\d+)""),"""")
"),"")</f>
        <v/>
      </c>
      <c r="M568" s="3" t="str">
        <f aca="false">IFERROR(__xludf.dummyfunction("if($T568&lt;&gt;"""",REGEXEXTRACT($T568, M$1&amp;""[\w &amp;]*, (\d+\.\d+)""),"""")
"),"")</f>
        <v/>
      </c>
      <c r="N568" s="3" t="str">
        <f aca="false">IFERROR(__xludf.dummyfunction("if($T568&lt;&gt;"""",REGEXEXTRACT(SUBSTITUTE ($T568,N$1&amp;"" CE"",""""), N$1&amp;""[\w &amp;]*, (\d+\.\d+)""),"""")
"),"")</f>
        <v/>
      </c>
      <c r="O568" s="3" t="str">
        <f aca="false">IFERROR(__xludf.dummyfunction("if($T568&lt;&gt;"""",REGEXEXTRACT($T568, O$1&amp;""[\w &amp;]*, (\d+\.\d+)""),"""")
"),"")</f>
        <v/>
      </c>
      <c r="P568" s="2"/>
      <c r="Q568" s="2"/>
      <c r="R568" s="2"/>
      <c r="S568" s="2"/>
      <c r="T568" s="5"/>
    </row>
    <row r="569" customFormat="false" ht="15.75" hidden="false" customHeight="false" outlineLevel="0" collapsed="false">
      <c r="A569" s="4"/>
      <c r="B569" s="2"/>
      <c r="C569" s="2"/>
      <c r="D569" s="2"/>
      <c r="E569" s="2"/>
      <c r="F569" s="3" t="str">
        <f aca="false">IFERROR(__xludf.dummyfunction("if($T569&lt;&gt;"""",REGEXEXTRACT(SUBSTITUTE ($T569,F$1&amp;"" CE"",""""), F$1&amp;""[\w &amp;]*, (\d+\.\d+)""),"""")
"),"")</f>
        <v/>
      </c>
      <c r="G569" s="3" t="str">
        <f aca="false">IFERROR(__xludf.dummyfunction("if($T569&lt;&gt;"""",REGEXEXTRACT($T569, G$1&amp;""[\w &amp;]*, (\d+\.\d+)""),"""")
"),"")</f>
        <v/>
      </c>
      <c r="H569" s="3"/>
      <c r="I569" s="3" t="str">
        <f aca="false">IFERROR(__xludf.dummyfunction("if($T569&lt;&gt;"""",REGEXEXTRACT(SUBSTITUTE ($T569,I$1&amp;"" CE"",""""), I$1&amp;""[\w &amp;]*, (\d+\.\d+)""),"""")
"),"")</f>
        <v/>
      </c>
      <c r="J569" s="3" t="str">
        <f aca="false">IFERROR(__xludf.dummyfunction("if($T569&lt;&gt;"""",REGEXEXTRACT($T569, J$1&amp;""[\w &amp;]*, (\d+\.\d+)""),"""")
"),"")</f>
        <v/>
      </c>
      <c r="K569" s="3"/>
      <c r="L569" s="3" t="str">
        <f aca="false">IFERROR(__xludf.dummyfunction("if($T569&lt;&gt;"""",REGEXEXTRACT(SUBSTITUTE ($T569,L$1&amp;"" CE"",""""), L$1&amp;""[\w &amp;]*, (\d+\.\d+)""),"""")
"),"")</f>
        <v/>
      </c>
      <c r="M569" s="3" t="str">
        <f aca="false">IFERROR(__xludf.dummyfunction("if($T569&lt;&gt;"""",REGEXEXTRACT($T569, M$1&amp;""[\w &amp;]*, (\d+\.\d+)""),"""")
"),"")</f>
        <v/>
      </c>
      <c r="N569" s="3" t="str">
        <f aca="false">IFERROR(__xludf.dummyfunction("if($T569&lt;&gt;"""",REGEXEXTRACT(SUBSTITUTE ($T569,N$1&amp;"" CE"",""""), N$1&amp;""[\w &amp;]*, (\d+\.\d+)""),"""")
"),"")</f>
        <v/>
      </c>
      <c r="O569" s="3" t="str">
        <f aca="false">IFERROR(__xludf.dummyfunction("if($T569&lt;&gt;"""",REGEXEXTRACT($T569, O$1&amp;""[\w &amp;]*, (\d+\.\d+)""),"""")
"),"")</f>
        <v/>
      </c>
      <c r="P569" s="2"/>
      <c r="Q569" s="2"/>
      <c r="R569" s="2"/>
      <c r="S569" s="2"/>
      <c r="T569" s="5"/>
    </row>
    <row r="570" customFormat="false" ht="15.75" hidden="false" customHeight="false" outlineLevel="0" collapsed="false">
      <c r="A570" s="4"/>
      <c r="B570" s="2"/>
      <c r="C570" s="2"/>
      <c r="D570" s="2"/>
      <c r="E570" s="2"/>
      <c r="F570" s="3" t="str">
        <f aca="false">IFERROR(__xludf.dummyfunction("if($T570&lt;&gt;"""",REGEXEXTRACT(SUBSTITUTE ($T570,F$1&amp;"" CE"",""""), F$1&amp;""[\w &amp;]*, (\d+\.\d+)""),"""")
"),"")</f>
        <v/>
      </c>
      <c r="G570" s="3" t="str">
        <f aca="false">IFERROR(__xludf.dummyfunction("if($T570&lt;&gt;"""",REGEXEXTRACT($T570, G$1&amp;""[\w &amp;]*, (\d+\.\d+)""),"""")
"),"")</f>
        <v/>
      </c>
      <c r="H570" s="3"/>
      <c r="I570" s="3" t="str">
        <f aca="false">IFERROR(__xludf.dummyfunction("if($T570&lt;&gt;"""",REGEXEXTRACT(SUBSTITUTE ($T570,I$1&amp;"" CE"",""""), I$1&amp;""[\w &amp;]*, (\d+\.\d+)""),"""")
"),"")</f>
        <v/>
      </c>
      <c r="J570" s="3" t="str">
        <f aca="false">IFERROR(__xludf.dummyfunction("if($T570&lt;&gt;"""",REGEXEXTRACT($T570, J$1&amp;""[\w &amp;]*, (\d+\.\d+)""),"""")
"),"")</f>
        <v/>
      </c>
      <c r="K570" s="3"/>
      <c r="L570" s="3" t="str">
        <f aca="false">IFERROR(__xludf.dummyfunction("if($T570&lt;&gt;"""",REGEXEXTRACT(SUBSTITUTE ($T570,L$1&amp;"" CE"",""""), L$1&amp;""[\w &amp;]*, (\d+\.\d+)""),"""")
"),"")</f>
        <v/>
      </c>
      <c r="M570" s="3" t="str">
        <f aca="false">IFERROR(__xludf.dummyfunction("if($T570&lt;&gt;"""",REGEXEXTRACT($T570, M$1&amp;""[\w &amp;]*, (\d+\.\d+)""),"""")
"),"")</f>
        <v/>
      </c>
      <c r="N570" s="3" t="str">
        <f aca="false">IFERROR(__xludf.dummyfunction("if($T570&lt;&gt;"""",REGEXEXTRACT(SUBSTITUTE ($T570,N$1&amp;"" CE"",""""), N$1&amp;""[\w &amp;]*, (\d+\.\d+)""),"""")
"),"")</f>
        <v/>
      </c>
      <c r="O570" s="3" t="str">
        <f aca="false">IFERROR(__xludf.dummyfunction("if($T570&lt;&gt;"""",REGEXEXTRACT($T570, O$1&amp;""[\w &amp;]*, (\d+\.\d+)""),"""")
"),"")</f>
        <v/>
      </c>
      <c r="P570" s="2"/>
      <c r="Q570" s="2"/>
      <c r="R570" s="2"/>
      <c r="S570" s="2"/>
      <c r="T570" s="5"/>
    </row>
    <row r="571" customFormat="false" ht="15.75" hidden="false" customHeight="false" outlineLevel="0" collapsed="false">
      <c r="A571" s="4"/>
      <c r="B571" s="2"/>
      <c r="C571" s="2"/>
      <c r="D571" s="2"/>
      <c r="E571" s="2"/>
      <c r="F571" s="3" t="str">
        <f aca="false">IFERROR(__xludf.dummyfunction("if($T571&lt;&gt;"""",REGEXEXTRACT(SUBSTITUTE ($T571,F$1&amp;"" CE"",""""), F$1&amp;""[\w &amp;]*, (\d+\.\d+)""),"""")
"),"")</f>
        <v/>
      </c>
      <c r="G571" s="3" t="str">
        <f aca="false">IFERROR(__xludf.dummyfunction("if($T571&lt;&gt;"""",REGEXEXTRACT($T571, G$1&amp;""[\w &amp;]*, (\d+\.\d+)""),"""")
"),"")</f>
        <v/>
      </c>
      <c r="H571" s="3"/>
      <c r="I571" s="3" t="str">
        <f aca="false">IFERROR(__xludf.dummyfunction("if($T571&lt;&gt;"""",REGEXEXTRACT(SUBSTITUTE ($T571,I$1&amp;"" CE"",""""), I$1&amp;""[\w &amp;]*, (\d+\.\d+)""),"""")
"),"")</f>
        <v/>
      </c>
      <c r="J571" s="3" t="str">
        <f aca="false">IFERROR(__xludf.dummyfunction("if($T571&lt;&gt;"""",REGEXEXTRACT($T571, J$1&amp;""[\w &amp;]*, (\d+\.\d+)""),"""")
"),"")</f>
        <v/>
      </c>
      <c r="K571" s="3"/>
      <c r="L571" s="3" t="str">
        <f aca="false">IFERROR(__xludf.dummyfunction("if($T571&lt;&gt;"""",REGEXEXTRACT(SUBSTITUTE ($T571,L$1&amp;"" CE"",""""), L$1&amp;""[\w &amp;]*, (\d+\.\d+)""),"""")
"),"")</f>
        <v/>
      </c>
      <c r="M571" s="3" t="str">
        <f aca="false">IFERROR(__xludf.dummyfunction("if($T571&lt;&gt;"""",REGEXEXTRACT($T571, M$1&amp;""[\w &amp;]*, (\d+\.\d+)""),"""")
"),"")</f>
        <v/>
      </c>
      <c r="N571" s="3" t="str">
        <f aca="false">IFERROR(__xludf.dummyfunction("if($T571&lt;&gt;"""",REGEXEXTRACT(SUBSTITUTE ($T571,N$1&amp;"" CE"",""""), N$1&amp;""[\w &amp;]*, (\d+\.\d+)""),"""")
"),"")</f>
        <v/>
      </c>
      <c r="O571" s="3" t="str">
        <f aca="false">IFERROR(__xludf.dummyfunction("if($T571&lt;&gt;"""",REGEXEXTRACT($T571, O$1&amp;""[\w &amp;]*, (\d+\.\d+)""),"""")
"),"")</f>
        <v/>
      </c>
      <c r="P571" s="2"/>
      <c r="Q571" s="2"/>
      <c r="R571" s="2"/>
      <c r="S571" s="2"/>
      <c r="T571" s="5"/>
    </row>
    <row r="572" customFormat="false" ht="15.75" hidden="false" customHeight="false" outlineLevel="0" collapsed="false">
      <c r="A572" s="4"/>
      <c r="B572" s="2"/>
      <c r="C572" s="2"/>
      <c r="D572" s="2"/>
      <c r="E572" s="2"/>
      <c r="F572" s="3" t="str">
        <f aca="false">IFERROR(__xludf.dummyfunction("if($T572&lt;&gt;"""",REGEXEXTRACT(SUBSTITUTE ($T572,F$1&amp;"" CE"",""""), F$1&amp;""[\w &amp;]*, (\d+\.\d+)""),"""")
"),"")</f>
        <v/>
      </c>
      <c r="G572" s="3" t="str">
        <f aca="false">IFERROR(__xludf.dummyfunction("if($T572&lt;&gt;"""",REGEXEXTRACT($T572, G$1&amp;""[\w &amp;]*, (\d+\.\d+)""),"""")
"),"")</f>
        <v/>
      </c>
      <c r="H572" s="3"/>
      <c r="I572" s="3" t="str">
        <f aca="false">IFERROR(__xludf.dummyfunction("if($T572&lt;&gt;"""",REGEXEXTRACT(SUBSTITUTE ($T572,I$1&amp;"" CE"",""""), I$1&amp;""[\w &amp;]*, (\d+\.\d+)""),"""")
"),"")</f>
        <v/>
      </c>
      <c r="J572" s="3" t="str">
        <f aca="false">IFERROR(__xludf.dummyfunction("if($T572&lt;&gt;"""",REGEXEXTRACT($T572, J$1&amp;""[\w &amp;]*, (\d+\.\d+)""),"""")
"),"")</f>
        <v/>
      </c>
      <c r="K572" s="3"/>
      <c r="L572" s="3" t="str">
        <f aca="false">IFERROR(__xludf.dummyfunction("if($T572&lt;&gt;"""",REGEXEXTRACT(SUBSTITUTE ($T572,L$1&amp;"" CE"",""""), L$1&amp;""[\w &amp;]*, (\d+\.\d+)""),"""")
"),"")</f>
        <v/>
      </c>
      <c r="M572" s="3" t="str">
        <f aca="false">IFERROR(__xludf.dummyfunction("if($T572&lt;&gt;"""",REGEXEXTRACT($T572, M$1&amp;""[\w &amp;]*, (\d+\.\d+)""),"""")
"),"")</f>
        <v/>
      </c>
      <c r="N572" s="3" t="str">
        <f aca="false">IFERROR(__xludf.dummyfunction("if($T572&lt;&gt;"""",REGEXEXTRACT(SUBSTITUTE ($T572,N$1&amp;"" CE"",""""), N$1&amp;""[\w &amp;]*, (\d+\.\d+)""),"""")
"),"")</f>
        <v/>
      </c>
      <c r="O572" s="3" t="str">
        <f aca="false">IFERROR(__xludf.dummyfunction("if($T572&lt;&gt;"""",REGEXEXTRACT($T572, O$1&amp;""[\w &amp;]*, (\d+\.\d+)""),"""")
"),"")</f>
        <v/>
      </c>
      <c r="P572" s="2"/>
      <c r="Q572" s="2"/>
      <c r="R572" s="2"/>
      <c r="S572" s="2"/>
      <c r="T572" s="5"/>
    </row>
    <row r="573" customFormat="false" ht="15.75" hidden="false" customHeight="false" outlineLevel="0" collapsed="false">
      <c r="A573" s="4"/>
      <c r="B573" s="2"/>
      <c r="C573" s="2"/>
      <c r="D573" s="2"/>
      <c r="E573" s="2"/>
      <c r="F573" s="3" t="str">
        <f aca="false">IFERROR(__xludf.dummyfunction("if($T573&lt;&gt;"""",REGEXEXTRACT(SUBSTITUTE ($T573,F$1&amp;"" CE"",""""), F$1&amp;""[\w &amp;]*, (\d+\.\d+)""),"""")
"),"")</f>
        <v/>
      </c>
      <c r="G573" s="3" t="str">
        <f aca="false">IFERROR(__xludf.dummyfunction("if($T573&lt;&gt;"""",REGEXEXTRACT($T573, G$1&amp;""[\w &amp;]*, (\d+\.\d+)""),"""")
"),"")</f>
        <v/>
      </c>
      <c r="H573" s="3"/>
      <c r="I573" s="3" t="str">
        <f aca="false">IFERROR(__xludf.dummyfunction("if($T573&lt;&gt;"""",REGEXEXTRACT(SUBSTITUTE ($T573,I$1&amp;"" CE"",""""), I$1&amp;""[\w &amp;]*, (\d+\.\d+)""),"""")
"),"")</f>
        <v/>
      </c>
      <c r="J573" s="3" t="str">
        <f aca="false">IFERROR(__xludf.dummyfunction("if($T573&lt;&gt;"""",REGEXEXTRACT($T573, J$1&amp;""[\w &amp;]*, (\d+\.\d+)""),"""")
"),"")</f>
        <v/>
      </c>
      <c r="K573" s="3"/>
      <c r="L573" s="3" t="str">
        <f aca="false">IFERROR(__xludf.dummyfunction("if($T573&lt;&gt;"""",REGEXEXTRACT(SUBSTITUTE ($T573,L$1&amp;"" CE"",""""), L$1&amp;""[\w &amp;]*, (\d+\.\d+)""),"""")
"),"")</f>
        <v/>
      </c>
      <c r="M573" s="3" t="str">
        <f aca="false">IFERROR(__xludf.dummyfunction("if($T573&lt;&gt;"""",REGEXEXTRACT($T573, M$1&amp;""[\w &amp;]*, (\d+\.\d+)""),"""")
"),"")</f>
        <v/>
      </c>
      <c r="N573" s="3" t="str">
        <f aca="false">IFERROR(__xludf.dummyfunction("if($T573&lt;&gt;"""",REGEXEXTRACT(SUBSTITUTE ($T573,N$1&amp;"" CE"",""""), N$1&amp;""[\w &amp;]*, (\d+\.\d+)""),"""")
"),"")</f>
        <v/>
      </c>
      <c r="O573" s="3" t="str">
        <f aca="false">IFERROR(__xludf.dummyfunction("if($T573&lt;&gt;"""",REGEXEXTRACT($T573, O$1&amp;""[\w &amp;]*, (\d+\.\d+)""),"""")
"),"")</f>
        <v/>
      </c>
      <c r="P573" s="2"/>
      <c r="Q573" s="2"/>
      <c r="R573" s="2"/>
      <c r="S573" s="2"/>
      <c r="T573" s="5"/>
    </row>
    <row r="574" customFormat="false" ht="15.75" hidden="false" customHeight="false" outlineLevel="0" collapsed="false">
      <c r="A574" s="4"/>
      <c r="B574" s="2"/>
      <c r="C574" s="2"/>
      <c r="D574" s="2"/>
      <c r="E574" s="2"/>
      <c r="F574" s="3" t="str">
        <f aca="false">IFERROR(__xludf.dummyfunction("if($T574&lt;&gt;"""",REGEXEXTRACT(SUBSTITUTE ($T574,F$1&amp;"" CE"",""""), F$1&amp;""[\w &amp;]*, (\d+\.\d+)""),"""")
"),"")</f>
        <v/>
      </c>
      <c r="G574" s="3" t="str">
        <f aca="false">IFERROR(__xludf.dummyfunction("if($T574&lt;&gt;"""",REGEXEXTRACT($T574, G$1&amp;""[\w &amp;]*, (\d+\.\d+)""),"""")
"),"")</f>
        <v/>
      </c>
      <c r="H574" s="3"/>
      <c r="I574" s="3" t="str">
        <f aca="false">IFERROR(__xludf.dummyfunction("if($T574&lt;&gt;"""",REGEXEXTRACT(SUBSTITUTE ($T574,I$1&amp;"" CE"",""""), I$1&amp;""[\w &amp;]*, (\d+\.\d+)""),"""")
"),"")</f>
        <v/>
      </c>
      <c r="J574" s="3" t="str">
        <f aca="false">IFERROR(__xludf.dummyfunction("if($T574&lt;&gt;"""",REGEXEXTRACT($T574, J$1&amp;""[\w &amp;]*, (\d+\.\d+)""),"""")
"),"")</f>
        <v/>
      </c>
      <c r="K574" s="3"/>
      <c r="L574" s="3" t="str">
        <f aca="false">IFERROR(__xludf.dummyfunction("if($T574&lt;&gt;"""",REGEXEXTRACT(SUBSTITUTE ($T574,L$1&amp;"" CE"",""""), L$1&amp;""[\w &amp;]*, (\d+\.\d+)""),"""")
"),"")</f>
        <v/>
      </c>
      <c r="M574" s="3" t="str">
        <f aca="false">IFERROR(__xludf.dummyfunction("if($T574&lt;&gt;"""",REGEXEXTRACT($T574, M$1&amp;""[\w &amp;]*, (\d+\.\d+)""),"""")
"),"")</f>
        <v/>
      </c>
      <c r="N574" s="3" t="str">
        <f aca="false">IFERROR(__xludf.dummyfunction("if($T574&lt;&gt;"""",REGEXEXTRACT(SUBSTITUTE ($T574,N$1&amp;"" CE"",""""), N$1&amp;""[\w &amp;]*, (\d+\.\d+)""),"""")
"),"")</f>
        <v/>
      </c>
      <c r="O574" s="3" t="str">
        <f aca="false">IFERROR(__xludf.dummyfunction("if($T574&lt;&gt;"""",REGEXEXTRACT($T574, O$1&amp;""[\w &amp;]*, (\d+\.\d+)""),"""")
"),"")</f>
        <v/>
      </c>
      <c r="P574" s="2"/>
      <c r="Q574" s="2"/>
      <c r="R574" s="2"/>
      <c r="S574" s="2"/>
      <c r="T574" s="5"/>
    </row>
    <row r="575" customFormat="false" ht="15.75" hidden="false" customHeight="false" outlineLevel="0" collapsed="false">
      <c r="A575" s="4"/>
      <c r="B575" s="2"/>
      <c r="C575" s="2"/>
      <c r="D575" s="2"/>
      <c r="E575" s="2"/>
      <c r="F575" s="3" t="str">
        <f aca="false">IFERROR(__xludf.dummyfunction("if($T575&lt;&gt;"""",REGEXEXTRACT(SUBSTITUTE ($T575,F$1&amp;"" CE"",""""), F$1&amp;""[\w &amp;]*, (\d+\.\d+)""),"""")
"),"")</f>
        <v/>
      </c>
      <c r="G575" s="3" t="str">
        <f aca="false">IFERROR(__xludf.dummyfunction("if($T575&lt;&gt;"""",REGEXEXTRACT($T575, G$1&amp;""[\w &amp;]*, (\d+\.\d+)""),"""")
"),"")</f>
        <v/>
      </c>
      <c r="H575" s="3"/>
      <c r="I575" s="3" t="str">
        <f aca="false">IFERROR(__xludf.dummyfunction("if($T575&lt;&gt;"""",REGEXEXTRACT(SUBSTITUTE ($T575,I$1&amp;"" CE"",""""), I$1&amp;""[\w &amp;]*, (\d+\.\d+)""),"""")
"),"")</f>
        <v/>
      </c>
      <c r="J575" s="3" t="str">
        <f aca="false">IFERROR(__xludf.dummyfunction("if($T575&lt;&gt;"""",REGEXEXTRACT($T575, J$1&amp;""[\w &amp;]*, (\d+\.\d+)""),"""")
"),"")</f>
        <v/>
      </c>
      <c r="K575" s="3"/>
      <c r="L575" s="3" t="str">
        <f aca="false">IFERROR(__xludf.dummyfunction("if($T575&lt;&gt;"""",REGEXEXTRACT(SUBSTITUTE ($T575,L$1&amp;"" CE"",""""), L$1&amp;""[\w &amp;]*, (\d+\.\d+)""),"""")
"),"")</f>
        <v/>
      </c>
      <c r="M575" s="3" t="str">
        <f aca="false">IFERROR(__xludf.dummyfunction("if($T575&lt;&gt;"""",REGEXEXTRACT($T575, M$1&amp;""[\w &amp;]*, (\d+\.\d+)""),"""")
"),"")</f>
        <v/>
      </c>
      <c r="N575" s="3" t="str">
        <f aca="false">IFERROR(__xludf.dummyfunction("if($T575&lt;&gt;"""",REGEXEXTRACT(SUBSTITUTE ($T575,N$1&amp;"" CE"",""""), N$1&amp;""[\w &amp;]*, (\d+\.\d+)""),"""")
"),"")</f>
        <v/>
      </c>
      <c r="O575" s="3" t="str">
        <f aca="false">IFERROR(__xludf.dummyfunction("if($T575&lt;&gt;"""",REGEXEXTRACT($T575, O$1&amp;""[\w &amp;]*, (\d+\.\d+)""),"""")
"),"")</f>
        <v/>
      </c>
      <c r="P575" s="2"/>
      <c r="Q575" s="2"/>
      <c r="R575" s="2"/>
      <c r="S575" s="2"/>
      <c r="T575" s="5"/>
    </row>
    <row r="576" customFormat="false" ht="15.75" hidden="false" customHeight="false" outlineLevel="0" collapsed="false">
      <c r="A576" s="4"/>
      <c r="B576" s="2"/>
      <c r="C576" s="2"/>
      <c r="D576" s="2"/>
      <c r="E576" s="2"/>
      <c r="F576" s="3" t="str">
        <f aca="false">IFERROR(__xludf.dummyfunction("if($T576&lt;&gt;"""",REGEXEXTRACT(SUBSTITUTE ($T576,F$1&amp;"" CE"",""""), F$1&amp;""[\w &amp;]*, (\d+\.\d+)""),"""")
"),"")</f>
        <v/>
      </c>
      <c r="G576" s="3" t="str">
        <f aca="false">IFERROR(__xludf.dummyfunction("if($T576&lt;&gt;"""",REGEXEXTRACT($T576, G$1&amp;""[\w &amp;]*, (\d+\.\d+)""),"""")
"),"")</f>
        <v/>
      </c>
      <c r="H576" s="3"/>
      <c r="I576" s="3" t="str">
        <f aca="false">IFERROR(__xludf.dummyfunction("if($T576&lt;&gt;"""",REGEXEXTRACT(SUBSTITUTE ($T576,I$1&amp;"" CE"",""""), I$1&amp;""[\w &amp;]*, (\d+\.\d+)""),"""")
"),"")</f>
        <v/>
      </c>
      <c r="J576" s="3" t="str">
        <f aca="false">IFERROR(__xludf.dummyfunction("if($T576&lt;&gt;"""",REGEXEXTRACT($T576, J$1&amp;""[\w &amp;]*, (\d+\.\d+)""),"""")
"),"")</f>
        <v/>
      </c>
      <c r="K576" s="3"/>
      <c r="L576" s="3" t="str">
        <f aca="false">IFERROR(__xludf.dummyfunction("if($T576&lt;&gt;"""",REGEXEXTRACT(SUBSTITUTE ($T576,L$1&amp;"" CE"",""""), L$1&amp;""[\w &amp;]*, (\d+\.\d+)""),"""")
"),"")</f>
        <v/>
      </c>
      <c r="M576" s="3" t="str">
        <f aca="false">IFERROR(__xludf.dummyfunction("if($T576&lt;&gt;"""",REGEXEXTRACT($T576, M$1&amp;""[\w &amp;]*, (\d+\.\d+)""),"""")
"),"")</f>
        <v/>
      </c>
      <c r="N576" s="3" t="str">
        <f aca="false">IFERROR(__xludf.dummyfunction("if($T576&lt;&gt;"""",REGEXEXTRACT(SUBSTITUTE ($T576,N$1&amp;"" CE"",""""), N$1&amp;""[\w &amp;]*, (\d+\.\d+)""),"""")
"),"")</f>
        <v/>
      </c>
      <c r="O576" s="3" t="str">
        <f aca="false">IFERROR(__xludf.dummyfunction("if($T576&lt;&gt;"""",REGEXEXTRACT($T576, O$1&amp;""[\w &amp;]*, (\d+\.\d+)""),"""")
"),"")</f>
        <v/>
      </c>
      <c r="P576" s="2"/>
      <c r="Q576" s="2"/>
      <c r="R576" s="2"/>
      <c r="S576" s="2"/>
      <c r="T576" s="5"/>
    </row>
    <row r="577" customFormat="false" ht="15.75" hidden="false" customHeight="false" outlineLevel="0" collapsed="false">
      <c r="A577" s="4"/>
      <c r="B577" s="2"/>
      <c r="C577" s="2"/>
      <c r="D577" s="2"/>
      <c r="E577" s="2"/>
      <c r="F577" s="3" t="str">
        <f aca="false">IFERROR(__xludf.dummyfunction("if($T577&lt;&gt;"""",REGEXEXTRACT(SUBSTITUTE ($T577,F$1&amp;"" CE"",""""), F$1&amp;""[\w &amp;]*, (\d+\.\d+)""),"""")
"),"")</f>
        <v/>
      </c>
      <c r="G577" s="3" t="str">
        <f aca="false">IFERROR(__xludf.dummyfunction("if($T577&lt;&gt;"""",REGEXEXTRACT($T577, G$1&amp;""[\w &amp;]*, (\d+\.\d+)""),"""")
"),"")</f>
        <v/>
      </c>
      <c r="H577" s="3"/>
      <c r="I577" s="3" t="str">
        <f aca="false">IFERROR(__xludf.dummyfunction("if($T577&lt;&gt;"""",REGEXEXTRACT(SUBSTITUTE ($T577,I$1&amp;"" CE"",""""), I$1&amp;""[\w &amp;]*, (\d+\.\d+)""),"""")
"),"")</f>
        <v/>
      </c>
      <c r="J577" s="3" t="str">
        <f aca="false">IFERROR(__xludf.dummyfunction("if($T577&lt;&gt;"""",REGEXEXTRACT($T577, J$1&amp;""[\w &amp;]*, (\d+\.\d+)""),"""")
"),"")</f>
        <v/>
      </c>
      <c r="K577" s="3"/>
      <c r="L577" s="3" t="str">
        <f aca="false">IFERROR(__xludf.dummyfunction("if($T577&lt;&gt;"""",REGEXEXTRACT(SUBSTITUTE ($T577,L$1&amp;"" CE"",""""), L$1&amp;""[\w &amp;]*, (\d+\.\d+)""),"""")
"),"")</f>
        <v/>
      </c>
      <c r="M577" s="3" t="str">
        <f aca="false">IFERROR(__xludf.dummyfunction("if($T577&lt;&gt;"""",REGEXEXTRACT($T577, M$1&amp;""[\w &amp;]*, (\d+\.\d+)""),"""")
"),"")</f>
        <v/>
      </c>
      <c r="N577" s="3" t="str">
        <f aca="false">IFERROR(__xludf.dummyfunction("if($T577&lt;&gt;"""",REGEXEXTRACT(SUBSTITUTE ($T577,N$1&amp;"" CE"",""""), N$1&amp;""[\w &amp;]*, (\d+\.\d+)""),"""")
"),"")</f>
        <v/>
      </c>
      <c r="O577" s="3" t="str">
        <f aca="false">IFERROR(__xludf.dummyfunction("if($T577&lt;&gt;"""",REGEXEXTRACT($T577, O$1&amp;""[\w &amp;]*, (\d+\.\d+)""),"""")
"),"")</f>
        <v/>
      </c>
      <c r="P577" s="2"/>
      <c r="Q577" s="2"/>
      <c r="R577" s="2"/>
      <c r="S577" s="2"/>
      <c r="T577" s="5"/>
    </row>
    <row r="578" customFormat="false" ht="15.75" hidden="false" customHeight="false" outlineLevel="0" collapsed="false">
      <c r="A578" s="4"/>
      <c r="B578" s="2"/>
      <c r="C578" s="2"/>
      <c r="D578" s="2"/>
      <c r="E578" s="2"/>
      <c r="F578" s="3" t="str">
        <f aca="false">IFERROR(__xludf.dummyfunction("if($T578&lt;&gt;"""",REGEXEXTRACT(SUBSTITUTE ($T578,F$1&amp;"" CE"",""""), F$1&amp;""[\w &amp;]*, (\d+\.\d+)""),"""")
"),"")</f>
        <v/>
      </c>
      <c r="G578" s="3" t="str">
        <f aca="false">IFERROR(__xludf.dummyfunction("if($T578&lt;&gt;"""",REGEXEXTRACT($T578, G$1&amp;""[\w &amp;]*, (\d+\.\d+)""),"""")
"),"")</f>
        <v/>
      </c>
      <c r="H578" s="3"/>
      <c r="I578" s="3" t="str">
        <f aca="false">IFERROR(__xludf.dummyfunction("if($T578&lt;&gt;"""",REGEXEXTRACT(SUBSTITUTE ($T578,I$1&amp;"" CE"",""""), I$1&amp;""[\w &amp;]*, (\d+\.\d+)""),"""")
"),"")</f>
        <v/>
      </c>
      <c r="J578" s="3" t="str">
        <f aca="false">IFERROR(__xludf.dummyfunction("if($T578&lt;&gt;"""",REGEXEXTRACT($T578, J$1&amp;""[\w &amp;]*, (\d+\.\d+)""),"""")
"),"")</f>
        <v/>
      </c>
      <c r="K578" s="3"/>
      <c r="L578" s="3" t="str">
        <f aca="false">IFERROR(__xludf.dummyfunction("if($T578&lt;&gt;"""",REGEXEXTRACT(SUBSTITUTE ($T578,L$1&amp;"" CE"",""""), L$1&amp;""[\w &amp;]*, (\d+\.\d+)""),"""")
"),"")</f>
        <v/>
      </c>
      <c r="M578" s="3" t="str">
        <f aca="false">IFERROR(__xludf.dummyfunction("if($T578&lt;&gt;"""",REGEXEXTRACT($T578, M$1&amp;""[\w &amp;]*, (\d+\.\d+)""),"""")
"),"")</f>
        <v/>
      </c>
      <c r="N578" s="3" t="str">
        <f aca="false">IFERROR(__xludf.dummyfunction("if($T578&lt;&gt;"""",REGEXEXTRACT(SUBSTITUTE ($T578,N$1&amp;"" CE"",""""), N$1&amp;""[\w &amp;]*, (\d+\.\d+)""),"""")
"),"")</f>
        <v/>
      </c>
      <c r="O578" s="3" t="str">
        <f aca="false">IFERROR(__xludf.dummyfunction("if($T578&lt;&gt;"""",REGEXEXTRACT($T578, O$1&amp;""[\w &amp;]*, (\d+\.\d+)""),"""")
"),"")</f>
        <v/>
      </c>
      <c r="P578" s="2"/>
      <c r="Q578" s="2"/>
      <c r="R578" s="2"/>
      <c r="S578" s="2"/>
      <c r="T578" s="5"/>
    </row>
    <row r="579" customFormat="false" ht="15.75" hidden="false" customHeight="false" outlineLevel="0" collapsed="false">
      <c r="A579" s="4"/>
      <c r="B579" s="2"/>
      <c r="C579" s="2"/>
      <c r="D579" s="2"/>
      <c r="E579" s="2"/>
      <c r="F579" s="3" t="str">
        <f aca="false">IFERROR(__xludf.dummyfunction("if($T579&lt;&gt;"""",REGEXEXTRACT(SUBSTITUTE ($T579,F$1&amp;"" CE"",""""), F$1&amp;""[\w &amp;]*, (\d+\.\d+)""),"""")
"),"")</f>
        <v/>
      </c>
      <c r="G579" s="3" t="str">
        <f aca="false">IFERROR(__xludf.dummyfunction("if($T579&lt;&gt;"""",REGEXEXTRACT($T579, G$1&amp;""[\w &amp;]*, (\d+\.\d+)""),"""")
"),"")</f>
        <v/>
      </c>
      <c r="H579" s="3"/>
      <c r="I579" s="3" t="str">
        <f aca="false">IFERROR(__xludf.dummyfunction("if($T579&lt;&gt;"""",REGEXEXTRACT(SUBSTITUTE ($T579,I$1&amp;"" CE"",""""), I$1&amp;""[\w &amp;]*, (\d+\.\d+)""),"""")
"),"")</f>
        <v/>
      </c>
      <c r="J579" s="3" t="str">
        <f aca="false">IFERROR(__xludf.dummyfunction("if($T579&lt;&gt;"""",REGEXEXTRACT($T579, J$1&amp;""[\w &amp;]*, (\d+\.\d+)""),"""")
"),"")</f>
        <v/>
      </c>
      <c r="K579" s="3"/>
      <c r="L579" s="3" t="str">
        <f aca="false">IFERROR(__xludf.dummyfunction("if($T579&lt;&gt;"""",REGEXEXTRACT(SUBSTITUTE ($T579,L$1&amp;"" CE"",""""), L$1&amp;""[\w &amp;]*, (\d+\.\d+)""),"""")
"),"")</f>
        <v/>
      </c>
      <c r="M579" s="3" t="str">
        <f aca="false">IFERROR(__xludf.dummyfunction("if($T579&lt;&gt;"""",REGEXEXTRACT($T579, M$1&amp;""[\w &amp;]*, (\d+\.\d+)""),"""")
"),"")</f>
        <v/>
      </c>
      <c r="N579" s="3" t="str">
        <f aca="false">IFERROR(__xludf.dummyfunction("if($T579&lt;&gt;"""",REGEXEXTRACT(SUBSTITUTE ($T579,N$1&amp;"" CE"",""""), N$1&amp;""[\w &amp;]*, (\d+\.\d+)""),"""")
"),"")</f>
        <v/>
      </c>
      <c r="O579" s="3" t="str">
        <f aca="false">IFERROR(__xludf.dummyfunction("if($T579&lt;&gt;"""",REGEXEXTRACT($T579, O$1&amp;""[\w &amp;]*, (\d+\.\d+)""),"""")
"),"")</f>
        <v/>
      </c>
      <c r="P579" s="2"/>
      <c r="Q579" s="2"/>
      <c r="R579" s="2"/>
      <c r="S579" s="2"/>
      <c r="T579" s="5"/>
    </row>
    <row r="580" customFormat="false" ht="15.75" hidden="false" customHeight="false" outlineLevel="0" collapsed="false">
      <c r="A580" s="4"/>
      <c r="B580" s="2"/>
      <c r="C580" s="2"/>
      <c r="D580" s="2"/>
      <c r="E580" s="2"/>
      <c r="F580" s="3" t="str">
        <f aca="false">IFERROR(__xludf.dummyfunction("if($T580&lt;&gt;"""",REGEXEXTRACT(SUBSTITUTE ($T580,F$1&amp;"" CE"",""""), F$1&amp;""[\w &amp;]*, (\d+\.\d+)""),"""")
"),"")</f>
        <v/>
      </c>
      <c r="G580" s="3" t="str">
        <f aca="false">IFERROR(__xludf.dummyfunction("if($T580&lt;&gt;"""",REGEXEXTRACT($T580, G$1&amp;""[\w &amp;]*, (\d+\.\d+)""),"""")
"),"")</f>
        <v/>
      </c>
      <c r="H580" s="3"/>
      <c r="I580" s="3" t="str">
        <f aca="false">IFERROR(__xludf.dummyfunction("if($T580&lt;&gt;"""",REGEXEXTRACT(SUBSTITUTE ($T580,I$1&amp;"" CE"",""""), I$1&amp;""[\w &amp;]*, (\d+\.\d+)""),"""")
"),"")</f>
        <v/>
      </c>
      <c r="J580" s="3" t="str">
        <f aca="false">IFERROR(__xludf.dummyfunction("if($T580&lt;&gt;"""",REGEXEXTRACT($T580, J$1&amp;""[\w &amp;]*, (\d+\.\d+)""),"""")
"),"")</f>
        <v/>
      </c>
      <c r="K580" s="3"/>
      <c r="L580" s="3" t="str">
        <f aca="false">IFERROR(__xludf.dummyfunction("if($T580&lt;&gt;"""",REGEXEXTRACT(SUBSTITUTE ($T580,L$1&amp;"" CE"",""""), L$1&amp;""[\w &amp;]*, (\d+\.\d+)""),"""")
"),"")</f>
        <v/>
      </c>
      <c r="M580" s="3" t="str">
        <f aca="false">IFERROR(__xludf.dummyfunction("if($T580&lt;&gt;"""",REGEXEXTRACT($T580, M$1&amp;""[\w &amp;]*, (\d+\.\d+)""),"""")
"),"")</f>
        <v/>
      </c>
      <c r="N580" s="3" t="str">
        <f aca="false">IFERROR(__xludf.dummyfunction("if($T580&lt;&gt;"""",REGEXEXTRACT(SUBSTITUTE ($T580,N$1&amp;"" CE"",""""), N$1&amp;""[\w &amp;]*, (\d+\.\d+)""),"""")
"),"")</f>
        <v/>
      </c>
      <c r="O580" s="3" t="str">
        <f aca="false">IFERROR(__xludf.dummyfunction("if($T580&lt;&gt;"""",REGEXEXTRACT($T580, O$1&amp;""[\w &amp;]*, (\d+\.\d+)""),"""")
"),"")</f>
        <v/>
      </c>
      <c r="P580" s="2"/>
      <c r="Q580" s="2"/>
      <c r="R580" s="2"/>
      <c r="S580" s="2"/>
      <c r="T580" s="5"/>
    </row>
    <row r="581" customFormat="false" ht="15.75" hidden="false" customHeight="false" outlineLevel="0" collapsed="false">
      <c r="A581" s="4"/>
      <c r="B581" s="2"/>
      <c r="C581" s="2"/>
      <c r="D581" s="2"/>
      <c r="E581" s="2"/>
      <c r="F581" s="3" t="str">
        <f aca="false">IFERROR(__xludf.dummyfunction("if($T581&lt;&gt;"""",REGEXEXTRACT(SUBSTITUTE ($T581,F$1&amp;"" CE"",""""), F$1&amp;""[\w &amp;]*, (\d+\.\d+)""),"""")
"),"")</f>
        <v/>
      </c>
      <c r="G581" s="3" t="str">
        <f aca="false">IFERROR(__xludf.dummyfunction("if($T581&lt;&gt;"""",REGEXEXTRACT($T581, G$1&amp;""[\w &amp;]*, (\d+\.\d+)""),"""")
"),"")</f>
        <v/>
      </c>
      <c r="H581" s="3"/>
      <c r="I581" s="3" t="str">
        <f aca="false">IFERROR(__xludf.dummyfunction("if($T581&lt;&gt;"""",REGEXEXTRACT(SUBSTITUTE ($T581,I$1&amp;"" CE"",""""), I$1&amp;""[\w &amp;]*, (\d+\.\d+)""),"""")
"),"")</f>
        <v/>
      </c>
      <c r="J581" s="3" t="str">
        <f aca="false">IFERROR(__xludf.dummyfunction("if($T581&lt;&gt;"""",REGEXEXTRACT($T581, J$1&amp;""[\w &amp;]*, (\d+\.\d+)""),"""")
"),"")</f>
        <v/>
      </c>
      <c r="K581" s="3"/>
      <c r="L581" s="3" t="str">
        <f aca="false">IFERROR(__xludf.dummyfunction("if($T581&lt;&gt;"""",REGEXEXTRACT(SUBSTITUTE ($T581,L$1&amp;"" CE"",""""), L$1&amp;""[\w &amp;]*, (\d+\.\d+)""),"""")
"),"")</f>
        <v/>
      </c>
      <c r="M581" s="3" t="str">
        <f aca="false">IFERROR(__xludf.dummyfunction("if($T581&lt;&gt;"""",REGEXEXTRACT($T581, M$1&amp;""[\w &amp;]*, (\d+\.\d+)""),"""")
"),"")</f>
        <v/>
      </c>
      <c r="N581" s="3" t="str">
        <f aca="false">IFERROR(__xludf.dummyfunction("if($T581&lt;&gt;"""",REGEXEXTRACT(SUBSTITUTE ($T581,N$1&amp;"" CE"",""""), N$1&amp;""[\w &amp;]*, (\d+\.\d+)""),"""")
"),"")</f>
        <v/>
      </c>
      <c r="O581" s="3" t="str">
        <f aca="false">IFERROR(__xludf.dummyfunction("if($T581&lt;&gt;"""",REGEXEXTRACT($T581, O$1&amp;""[\w &amp;]*, (\d+\.\d+)""),"""")
"),"")</f>
        <v/>
      </c>
      <c r="P581" s="2"/>
      <c r="Q581" s="2"/>
      <c r="R581" s="2"/>
      <c r="S581" s="2"/>
      <c r="T581" s="5"/>
    </row>
    <row r="582" customFormat="false" ht="15.75" hidden="false" customHeight="false" outlineLevel="0" collapsed="false">
      <c r="A582" s="4"/>
      <c r="B582" s="2"/>
      <c r="C582" s="2"/>
      <c r="D582" s="2"/>
      <c r="E582" s="2"/>
      <c r="F582" s="3" t="str">
        <f aca="false">IFERROR(__xludf.dummyfunction("if($T582&lt;&gt;"""",REGEXEXTRACT(SUBSTITUTE ($T582,F$1&amp;"" CE"",""""), F$1&amp;""[\w &amp;]*, (\d+\.\d+)""),"""")
"),"")</f>
        <v/>
      </c>
      <c r="G582" s="3" t="str">
        <f aca="false">IFERROR(__xludf.dummyfunction("if($T582&lt;&gt;"""",REGEXEXTRACT($T582, G$1&amp;""[\w &amp;]*, (\d+\.\d+)""),"""")
"),"")</f>
        <v/>
      </c>
      <c r="H582" s="3"/>
      <c r="I582" s="3" t="str">
        <f aca="false">IFERROR(__xludf.dummyfunction("if($T582&lt;&gt;"""",REGEXEXTRACT(SUBSTITUTE ($T582,I$1&amp;"" CE"",""""), I$1&amp;""[\w &amp;]*, (\d+\.\d+)""),"""")
"),"")</f>
        <v/>
      </c>
      <c r="J582" s="3" t="str">
        <f aca="false">IFERROR(__xludf.dummyfunction("if($T582&lt;&gt;"""",REGEXEXTRACT($T582, J$1&amp;""[\w &amp;]*, (\d+\.\d+)""),"""")
"),"")</f>
        <v/>
      </c>
      <c r="K582" s="3"/>
      <c r="L582" s="3" t="str">
        <f aca="false">IFERROR(__xludf.dummyfunction("if($T582&lt;&gt;"""",REGEXEXTRACT(SUBSTITUTE ($T582,L$1&amp;"" CE"",""""), L$1&amp;""[\w &amp;]*, (\d+\.\d+)""),"""")
"),"")</f>
        <v/>
      </c>
      <c r="M582" s="3" t="str">
        <f aca="false">IFERROR(__xludf.dummyfunction("if($T582&lt;&gt;"""",REGEXEXTRACT($T582, M$1&amp;""[\w &amp;]*, (\d+\.\d+)""),"""")
"),"")</f>
        <v/>
      </c>
      <c r="N582" s="3" t="str">
        <f aca="false">IFERROR(__xludf.dummyfunction("if($T582&lt;&gt;"""",REGEXEXTRACT(SUBSTITUTE ($T582,N$1&amp;"" CE"",""""), N$1&amp;""[\w &amp;]*, (\d+\.\d+)""),"""")
"),"")</f>
        <v/>
      </c>
      <c r="O582" s="3" t="str">
        <f aca="false">IFERROR(__xludf.dummyfunction("if($T582&lt;&gt;"""",REGEXEXTRACT($T582, O$1&amp;""[\w &amp;]*, (\d+\.\d+)""),"""")
"),"")</f>
        <v/>
      </c>
      <c r="P582" s="2"/>
      <c r="Q582" s="2"/>
      <c r="R582" s="2"/>
      <c r="S582" s="2"/>
      <c r="T582" s="5"/>
    </row>
    <row r="583" customFormat="false" ht="15.75" hidden="false" customHeight="false" outlineLevel="0" collapsed="false">
      <c r="A583" s="4"/>
      <c r="B583" s="2"/>
      <c r="C583" s="2"/>
      <c r="D583" s="2"/>
      <c r="E583" s="2"/>
      <c r="F583" s="3" t="str">
        <f aca="false">IFERROR(__xludf.dummyfunction("if($T583&lt;&gt;"""",REGEXEXTRACT(SUBSTITUTE ($T583,F$1&amp;"" CE"",""""), F$1&amp;""[\w &amp;]*, (\d+\.\d+)""),"""")
"),"")</f>
        <v/>
      </c>
      <c r="G583" s="3" t="str">
        <f aca="false">IFERROR(__xludf.dummyfunction("if($T583&lt;&gt;"""",REGEXEXTRACT($T583, G$1&amp;""[\w &amp;]*, (\d+\.\d+)""),"""")
"),"")</f>
        <v/>
      </c>
      <c r="H583" s="3"/>
      <c r="I583" s="3" t="str">
        <f aca="false">IFERROR(__xludf.dummyfunction("if($T583&lt;&gt;"""",REGEXEXTRACT(SUBSTITUTE ($T583,I$1&amp;"" CE"",""""), I$1&amp;""[\w &amp;]*, (\d+\.\d+)""),"""")
"),"")</f>
        <v/>
      </c>
      <c r="J583" s="3" t="str">
        <f aca="false">IFERROR(__xludf.dummyfunction("if($T583&lt;&gt;"""",REGEXEXTRACT($T583, J$1&amp;""[\w &amp;]*, (\d+\.\d+)""),"""")
"),"")</f>
        <v/>
      </c>
      <c r="K583" s="3"/>
      <c r="L583" s="3" t="str">
        <f aca="false">IFERROR(__xludf.dummyfunction("if($T583&lt;&gt;"""",REGEXEXTRACT(SUBSTITUTE ($T583,L$1&amp;"" CE"",""""), L$1&amp;""[\w &amp;]*, (\d+\.\d+)""),"""")
"),"")</f>
        <v/>
      </c>
      <c r="M583" s="3" t="str">
        <f aca="false">IFERROR(__xludf.dummyfunction("if($T583&lt;&gt;"""",REGEXEXTRACT($T583, M$1&amp;""[\w &amp;]*, (\d+\.\d+)""),"""")
"),"")</f>
        <v/>
      </c>
      <c r="N583" s="3" t="str">
        <f aca="false">IFERROR(__xludf.dummyfunction("if($T583&lt;&gt;"""",REGEXEXTRACT(SUBSTITUTE ($T583,N$1&amp;"" CE"",""""), N$1&amp;""[\w &amp;]*, (\d+\.\d+)""),"""")
"),"")</f>
        <v/>
      </c>
      <c r="O583" s="3" t="str">
        <f aca="false">IFERROR(__xludf.dummyfunction("if($T583&lt;&gt;"""",REGEXEXTRACT($T583, O$1&amp;""[\w &amp;]*, (\d+\.\d+)""),"""")
"),"")</f>
        <v/>
      </c>
      <c r="P583" s="2"/>
      <c r="Q583" s="2"/>
      <c r="R583" s="2"/>
      <c r="S583" s="2"/>
      <c r="T583" s="5"/>
    </row>
    <row r="584" customFormat="false" ht="15.75" hidden="false" customHeight="false" outlineLevel="0" collapsed="false">
      <c r="A584" s="4"/>
      <c r="B584" s="2"/>
      <c r="C584" s="2"/>
      <c r="D584" s="2"/>
      <c r="E584" s="2"/>
      <c r="F584" s="3" t="str">
        <f aca="false">IFERROR(__xludf.dummyfunction("if($T584&lt;&gt;"""",REGEXEXTRACT(SUBSTITUTE ($T584,F$1&amp;"" CE"",""""), F$1&amp;""[\w &amp;]*, (\d+\.\d+)""),"""")
"),"")</f>
        <v/>
      </c>
      <c r="G584" s="3" t="str">
        <f aca="false">IFERROR(__xludf.dummyfunction("if($T584&lt;&gt;"""",REGEXEXTRACT($T584, G$1&amp;""[\w &amp;]*, (\d+\.\d+)""),"""")
"),"")</f>
        <v/>
      </c>
      <c r="H584" s="3"/>
      <c r="I584" s="3" t="str">
        <f aca="false">IFERROR(__xludf.dummyfunction("if($T584&lt;&gt;"""",REGEXEXTRACT(SUBSTITUTE ($T584,I$1&amp;"" CE"",""""), I$1&amp;""[\w &amp;]*, (\d+\.\d+)""),"""")
"),"")</f>
        <v/>
      </c>
      <c r="J584" s="3" t="str">
        <f aca="false">IFERROR(__xludf.dummyfunction("if($T584&lt;&gt;"""",REGEXEXTRACT($T584, J$1&amp;""[\w &amp;]*, (\d+\.\d+)""),"""")
"),"")</f>
        <v/>
      </c>
      <c r="K584" s="3"/>
      <c r="L584" s="3" t="str">
        <f aca="false">IFERROR(__xludf.dummyfunction("if($T584&lt;&gt;"""",REGEXEXTRACT(SUBSTITUTE ($T584,L$1&amp;"" CE"",""""), L$1&amp;""[\w &amp;]*, (\d+\.\d+)""),"""")
"),"")</f>
        <v/>
      </c>
      <c r="M584" s="3" t="str">
        <f aca="false">IFERROR(__xludf.dummyfunction("if($T584&lt;&gt;"""",REGEXEXTRACT($T584, M$1&amp;""[\w &amp;]*, (\d+\.\d+)""),"""")
"),"")</f>
        <v/>
      </c>
      <c r="N584" s="3" t="str">
        <f aca="false">IFERROR(__xludf.dummyfunction("if($T584&lt;&gt;"""",REGEXEXTRACT(SUBSTITUTE ($T584,N$1&amp;"" CE"",""""), N$1&amp;""[\w &amp;]*, (\d+\.\d+)""),"""")
"),"")</f>
        <v/>
      </c>
      <c r="O584" s="3" t="str">
        <f aca="false">IFERROR(__xludf.dummyfunction("if($T584&lt;&gt;"""",REGEXEXTRACT($T584, O$1&amp;""[\w &amp;]*, (\d+\.\d+)""),"""")
"),"")</f>
        <v/>
      </c>
      <c r="P584" s="2"/>
      <c r="Q584" s="2"/>
      <c r="R584" s="2"/>
      <c r="S584" s="2"/>
      <c r="T584" s="5"/>
    </row>
    <row r="585" customFormat="false" ht="15.75" hidden="false" customHeight="false" outlineLevel="0" collapsed="false">
      <c r="A585" s="4"/>
      <c r="B585" s="2"/>
      <c r="C585" s="2"/>
      <c r="D585" s="2"/>
      <c r="E585" s="2"/>
      <c r="F585" s="3" t="str">
        <f aca="false">IFERROR(__xludf.dummyfunction("if($T585&lt;&gt;"""",REGEXEXTRACT(SUBSTITUTE ($T585,F$1&amp;"" CE"",""""), F$1&amp;""[\w &amp;]*, (\d+\.\d+)""),"""")
"),"")</f>
        <v/>
      </c>
      <c r="G585" s="3" t="str">
        <f aca="false">IFERROR(__xludf.dummyfunction("if($T585&lt;&gt;"""",REGEXEXTRACT($T585, G$1&amp;""[\w &amp;]*, (\d+\.\d+)""),"""")
"),"")</f>
        <v/>
      </c>
      <c r="H585" s="3"/>
      <c r="I585" s="3" t="str">
        <f aca="false">IFERROR(__xludf.dummyfunction("if($T585&lt;&gt;"""",REGEXEXTRACT(SUBSTITUTE ($T585,I$1&amp;"" CE"",""""), I$1&amp;""[\w &amp;]*, (\d+\.\d+)""),"""")
"),"")</f>
        <v/>
      </c>
      <c r="J585" s="3" t="str">
        <f aca="false">IFERROR(__xludf.dummyfunction("if($T585&lt;&gt;"""",REGEXEXTRACT($T585, J$1&amp;""[\w &amp;]*, (\d+\.\d+)""),"""")
"),"")</f>
        <v/>
      </c>
      <c r="K585" s="3"/>
      <c r="L585" s="3" t="str">
        <f aca="false">IFERROR(__xludf.dummyfunction("if($T585&lt;&gt;"""",REGEXEXTRACT(SUBSTITUTE ($T585,L$1&amp;"" CE"",""""), L$1&amp;""[\w &amp;]*, (\d+\.\d+)""),"""")
"),"")</f>
        <v/>
      </c>
      <c r="M585" s="3" t="str">
        <f aca="false">IFERROR(__xludf.dummyfunction("if($T585&lt;&gt;"""",REGEXEXTRACT($T585, M$1&amp;""[\w &amp;]*, (\d+\.\d+)""),"""")
"),"")</f>
        <v/>
      </c>
      <c r="N585" s="3" t="str">
        <f aca="false">IFERROR(__xludf.dummyfunction("if($T585&lt;&gt;"""",REGEXEXTRACT(SUBSTITUTE ($T585,N$1&amp;"" CE"",""""), N$1&amp;""[\w &amp;]*, (\d+\.\d+)""),"""")
"),"")</f>
        <v/>
      </c>
      <c r="O585" s="3" t="str">
        <f aca="false">IFERROR(__xludf.dummyfunction("if($T585&lt;&gt;"""",REGEXEXTRACT($T585, O$1&amp;""[\w &amp;]*, (\d+\.\d+)""),"""")
"),"")</f>
        <v/>
      </c>
      <c r="P585" s="2"/>
      <c r="Q585" s="2"/>
      <c r="R585" s="2"/>
      <c r="S585" s="2"/>
      <c r="T585" s="5"/>
    </row>
    <row r="586" customFormat="false" ht="15.75" hidden="false" customHeight="false" outlineLevel="0" collapsed="false">
      <c r="A586" s="4"/>
      <c r="B586" s="2"/>
      <c r="C586" s="2"/>
      <c r="D586" s="2"/>
      <c r="E586" s="2"/>
      <c r="F586" s="3" t="str">
        <f aca="false">IFERROR(__xludf.dummyfunction("if($T586&lt;&gt;"""",REGEXEXTRACT(SUBSTITUTE ($T586,F$1&amp;"" CE"",""""), F$1&amp;""[\w &amp;]*, (\d+\.\d+)""),"""")
"),"")</f>
        <v/>
      </c>
      <c r="G586" s="3" t="str">
        <f aca="false">IFERROR(__xludf.dummyfunction("if($T586&lt;&gt;"""",REGEXEXTRACT($T586, G$1&amp;""[\w &amp;]*, (\d+\.\d+)""),"""")
"),"")</f>
        <v/>
      </c>
      <c r="H586" s="3"/>
      <c r="I586" s="3" t="str">
        <f aca="false">IFERROR(__xludf.dummyfunction("if($T586&lt;&gt;"""",REGEXEXTRACT(SUBSTITUTE ($T586,I$1&amp;"" CE"",""""), I$1&amp;""[\w &amp;]*, (\d+\.\d+)""),"""")
"),"")</f>
        <v/>
      </c>
      <c r="J586" s="3" t="str">
        <f aca="false">IFERROR(__xludf.dummyfunction("if($T586&lt;&gt;"""",REGEXEXTRACT($T586, J$1&amp;""[\w &amp;]*, (\d+\.\d+)""),"""")
"),"")</f>
        <v/>
      </c>
      <c r="K586" s="3"/>
      <c r="L586" s="3" t="str">
        <f aca="false">IFERROR(__xludf.dummyfunction("if($T586&lt;&gt;"""",REGEXEXTRACT(SUBSTITUTE ($T586,L$1&amp;"" CE"",""""), L$1&amp;""[\w &amp;]*, (\d+\.\d+)""),"""")
"),"")</f>
        <v/>
      </c>
      <c r="M586" s="3" t="str">
        <f aca="false">IFERROR(__xludf.dummyfunction("if($T586&lt;&gt;"""",REGEXEXTRACT($T586, M$1&amp;""[\w &amp;]*, (\d+\.\d+)""),"""")
"),"")</f>
        <v/>
      </c>
      <c r="N586" s="3" t="str">
        <f aca="false">IFERROR(__xludf.dummyfunction("if($T586&lt;&gt;"""",REGEXEXTRACT(SUBSTITUTE ($T586,N$1&amp;"" CE"",""""), N$1&amp;""[\w &amp;]*, (\d+\.\d+)""),"""")
"),"")</f>
        <v/>
      </c>
      <c r="O586" s="3" t="str">
        <f aca="false">IFERROR(__xludf.dummyfunction("if($T586&lt;&gt;"""",REGEXEXTRACT($T586, O$1&amp;""[\w &amp;]*, (\d+\.\d+)""),"""")
"),"")</f>
        <v/>
      </c>
      <c r="P586" s="2"/>
      <c r="Q586" s="2"/>
      <c r="R586" s="2"/>
      <c r="S586" s="2"/>
      <c r="T586" s="5"/>
    </row>
    <row r="587" customFormat="false" ht="15.75" hidden="false" customHeight="false" outlineLevel="0" collapsed="false">
      <c r="A587" s="4"/>
      <c r="B587" s="2"/>
      <c r="C587" s="2"/>
      <c r="D587" s="2"/>
      <c r="E587" s="2"/>
      <c r="F587" s="3" t="str">
        <f aca="false">IFERROR(__xludf.dummyfunction("if($T587&lt;&gt;"""",REGEXEXTRACT(SUBSTITUTE ($T587,F$1&amp;"" CE"",""""), F$1&amp;""[\w &amp;]*, (\d+\.\d+)""),"""")
"),"")</f>
        <v/>
      </c>
      <c r="G587" s="3" t="str">
        <f aca="false">IFERROR(__xludf.dummyfunction("if($T587&lt;&gt;"""",REGEXEXTRACT($T587, G$1&amp;""[\w &amp;]*, (\d+\.\d+)""),"""")
"),"")</f>
        <v/>
      </c>
      <c r="H587" s="3"/>
      <c r="I587" s="3" t="str">
        <f aca="false">IFERROR(__xludf.dummyfunction("if($T587&lt;&gt;"""",REGEXEXTRACT(SUBSTITUTE ($T587,I$1&amp;"" CE"",""""), I$1&amp;""[\w &amp;]*, (\d+\.\d+)""),"""")
"),"")</f>
        <v/>
      </c>
      <c r="J587" s="3" t="str">
        <f aca="false">IFERROR(__xludf.dummyfunction("if($T587&lt;&gt;"""",REGEXEXTRACT($T587, J$1&amp;""[\w &amp;]*, (\d+\.\d+)""),"""")
"),"")</f>
        <v/>
      </c>
      <c r="K587" s="3"/>
      <c r="L587" s="3" t="str">
        <f aca="false">IFERROR(__xludf.dummyfunction("if($T587&lt;&gt;"""",REGEXEXTRACT(SUBSTITUTE ($T587,L$1&amp;"" CE"",""""), L$1&amp;""[\w &amp;]*, (\d+\.\d+)""),"""")
"),"")</f>
        <v/>
      </c>
      <c r="M587" s="3" t="str">
        <f aca="false">IFERROR(__xludf.dummyfunction("if($T587&lt;&gt;"""",REGEXEXTRACT($T587, M$1&amp;""[\w &amp;]*, (\d+\.\d+)""),"""")
"),"")</f>
        <v/>
      </c>
      <c r="N587" s="3" t="str">
        <f aca="false">IFERROR(__xludf.dummyfunction("if($T587&lt;&gt;"""",REGEXEXTRACT(SUBSTITUTE ($T587,N$1&amp;"" CE"",""""), N$1&amp;""[\w &amp;]*, (\d+\.\d+)""),"""")
"),"")</f>
        <v/>
      </c>
      <c r="O587" s="3" t="str">
        <f aca="false">IFERROR(__xludf.dummyfunction("if($T587&lt;&gt;"""",REGEXEXTRACT($T587, O$1&amp;""[\w &amp;]*, (\d+\.\d+)""),"""")
"),"")</f>
        <v/>
      </c>
      <c r="P587" s="2"/>
      <c r="Q587" s="2"/>
      <c r="R587" s="2"/>
      <c r="S587" s="2"/>
      <c r="T587" s="5"/>
    </row>
    <row r="588" customFormat="false" ht="15.75" hidden="false" customHeight="false" outlineLevel="0" collapsed="false">
      <c r="A588" s="4"/>
      <c r="B588" s="2"/>
      <c r="C588" s="2"/>
      <c r="D588" s="2"/>
      <c r="E588" s="2"/>
      <c r="F588" s="3" t="str">
        <f aca="false">IFERROR(__xludf.dummyfunction("if($T588&lt;&gt;"""",REGEXEXTRACT(SUBSTITUTE ($T588,F$1&amp;"" CE"",""""), F$1&amp;""[\w &amp;]*, (\d+\.\d+)""),"""")
"),"")</f>
        <v/>
      </c>
      <c r="G588" s="3" t="str">
        <f aca="false">IFERROR(__xludf.dummyfunction("if($T588&lt;&gt;"""",REGEXEXTRACT($T588, G$1&amp;""[\w &amp;]*, (\d+\.\d+)""),"""")
"),"")</f>
        <v/>
      </c>
      <c r="H588" s="3"/>
      <c r="I588" s="3" t="str">
        <f aca="false">IFERROR(__xludf.dummyfunction("if($T588&lt;&gt;"""",REGEXEXTRACT(SUBSTITUTE ($T588,I$1&amp;"" CE"",""""), I$1&amp;""[\w &amp;]*, (\d+\.\d+)""),"""")
"),"")</f>
        <v/>
      </c>
      <c r="J588" s="3" t="str">
        <f aca="false">IFERROR(__xludf.dummyfunction("if($T588&lt;&gt;"""",REGEXEXTRACT($T588, J$1&amp;""[\w &amp;]*, (\d+\.\d+)""),"""")
"),"")</f>
        <v/>
      </c>
      <c r="K588" s="3"/>
      <c r="L588" s="3" t="str">
        <f aca="false">IFERROR(__xludf.dummyfunction("if($T588&lt;&gt;"""",REGEXEXTRACT(SUBSTITUTE ($T588,L$1&amp;"" CE"",""""), L$1&amp;""[\w &amp;]*, (\d+\.\d+)""),"""")
"),"")</f>
        <v/>
      </c>
      <c r="M588" s="3" t="str">
        <f aca="false">IFERROR(__xludf.dummyfunction("if($T588&lt;&gt;"""",REGEXEXTRACT($T588, M$1&amp;""[\w &amp;]*, (\d+\.\d+)""),"""")
"),"")</f>
        <v/>
      </c>
      <c r="N588" s="3" t="str">
        <f aca="false">IFERROR(__xludf.dummyfunction("if($T588&lt;&gt;"""",REGEXEXTRACT(SUBSTITUTE ($T588,N$1&amp;"" CE"",""""), N$1&amp;""[\w &amp;]*, (\d+\.\d+)""),"""")
"),"")</f>
        <v/>
      </c>
      <c r="O588" s="3" t="str">
        <f aca="false">IFERROR(__xludf.dummyfunction("if($T588&lt;&gt;"""",REGEXEXTRACT($T588, O$1&amp;""[\w &amp;]*, (\d+\.\d+)""),"""")
"),"")</f>
        <v/>
      </c>
      <c r="P588" s="2"/>
      <c r="Q588" s="2"/>
      <c r="R588" s="2"/>
      <c r="S588" s="2"/>
      <c r="T588" s="5"/>
    </row>
    <row r="589" customFormat="false" ht="15.75" hidden="false" customHeight="false" outlineLevel="0" collapsed="false">
      <c r="A589" s="4"/>
      <c r="B589" s="2"/>
      <c r="C589" s="2"/>
      <c r="D589" s="2"/>
      <c r="E589" s="2"/>
      <c r="F589" s="3" t="str">
        <f aca="false">IFERROR(__xludf.dummyfunction("if($T589&lt;&gt;"""",REGEXEXTRACT(SUBSTITUTE ($T589,F$1&amp;"" CE"",""""), F$1&amp;""[\w &amp;]*, (\d+\.\d+)""),"""")
"),"")</f>
        <v/>
      </c>
      <c r="G589" s="3" t="str">
        <f aca="false">IFERROR(__xludf.dummyfunction("if($T589&lt;&gt;"""",REGEXEXTRACT($T589, G$1&amp;""[\w &amp;]*, (\d+\.\d+)""),"""")
"),"")</f>
        <v/>
      </c>
      <c r="H589" s="3"/>
      <c r="I589" s="3" t="str">
        <f aca="false">IFERROR(__xludf.dummyfunction("if($T589&lt;&gt;"""",REGEXEXTRACT(SUBSTITUTE ($T589,I$1&amp;"" CE"",""""), I$1&amp;""[\w &amp;]*, (\d+\.\d+)""),"""")
"),"")</f>
        <v/>
      </c>
      <c r="J589" s="3" t="str">
        <f aca="false">IFERROR(__xludf.dummyfunction("if($T589&lt;&gt;"""",REGEXEXTRACT($T589, J$1&amp;""[\w &amp;]*, (\d+\.\d+)""),"""")
"),"")</f>
        <v/>
      </c>
      <c r="K589" s="3"/>
      <c r="L589" s="3" t="str">
        <f aca="false">IFERROR(__xludf.dummyfunction("if($T589&lt;&gt;"""",REGEXEXTRACT(SUBSTITUTE ($T589,L$1&amp;"" CE"",""""), L$1&amp;""[\w &amp;]*, (\d+\.\d+)""),"""")
"),"")</f>
        <v/>
      </c>
      <c r="M589" s="3" t="str">
        <f aca="false">IFERROR(__xludf.dummyfunction("if($T589&lt;&gt;"""",REGEXEXTRACT($T589, M$1&amp;""[\w &amp;]*, (\d+\.\d+)""),"""")
"),"")</f>
        <v/>
      </c>
      <c r="N589" s="3" t="str">
        <f aca="false">IFERROR(__xludf.dummyfunction("if($T589&lt;&gt;"""",REGEXEXTRACT(SUBSTITUTE ($T589,N$1&amp;"" CE"",""""), N$1&amp;""[\w &amp;]*, (\d+\.\d+)""),"""")
"),"")</f>
        <v/>
      </c>
      <c r="O589" s="3" t="str">
        <f aca="false">IFERROR(__xludf.dummyfunction("if($T589&lt;&gt;"""",REGEXEXTRACT($T589, O$1&amp;""[\w &amp;]*, (\d+\.\d+)""),"""")
"),"")</f>
        <v/>
      </c>
      <c r="P589" s="2"/>
      <c r="Q589" s="2"/>
      <c r="R589" s="2"/>
      <c r="S589" s="2"/>
      <c r="T589" s="5"/>
    </row>
    <row r="590" customFormat="false" ht="15.75" hidden="false" customHeight="false" outlineLevel="0" collapsed="false">
      <c r="A590" s="4"/>
      <c r="B590" s="2"/>
      <c r="C590" s="2"/>
      <c r="D590" s="2"/>
      <c r="E590" s="2"/>
      <c r="F590" s="3" t="str">
        <f aca="false">IFERROR(__xludf.dummyfunction("if($T590&lt;&gt;"""",REGEXEXTRACT(SUBSTITUTE ($T590,F$1&amp;"" CE"",""""), F$1&amp;""[\w &amp;]*, (\d+\.\d+)""),"""")
"),"")</f>
        <v/>
      </c>
      <c r="G590" s="3" t="str">
        <f aca="false">IFERROR(__xludf.dummyfunction("if($T590&lt;&gt;"""",REGEXEXTRACT($T590, G$1&amp;""[\w &amp;]*, (\d+\.\d+)""),"""")
"),"")</f>
        <v/>
      </c>
      <c r="H590" s="3"/>
      <c r="I590" s="3" t="str">
        <f aca="false">IFERROR(__xludf.dummyfunction("if($T590&lt;&gt;"""",REGEXEXTRACT(SUBSTITUTE ($T590,I$1&amp;"" CE"",""""), I$1&amp;""[\w &amp;]*, (\d+\.\d+)""),"""")
"),"")</f>
        <v/>
      </c>
      <c r="J590" s="3" t="str">
        <f aca="false">IFERROR(__xludf.dummyfunction("if($T590&lt;&gt;"""",REGEXEXTRACT($T590, J$1&amp;""[\w &amp;]*, (\d+\.\d+)""),"""")
"),"")</f>
        <v/>
      </c>
      <c r="K590" s="3"/>
      <c r="L590" s="3" t="str">
        <f aca="false">IFERROR(__xludf.dummyfunction("if($T590&lt;&gt;"""",REGEXEXTRACT(SUBSTITUTE ($T590,L$1&amp;"" CE"",""""), L$1&amp;""[\w &amp;]*, (\d+\.\d+)""),"""")
"),"")</f>
        <v/>
      </c>
      <c r="M590" s="3" t="str">
        <f aca="false">IFERROR(__xludf.dummyfunction("if($T590&lt;&gt;"""",REGEXEXTRACT($T590, M$1&amp;""[\w &amp;]*, (\d+\.\d+)""),"""")
"),"")</f>
        <v/>
      </c>
      <c r="N590" s="3" t="str">
        <f aca="false">IFERROR(__xludf.dummyfunction("if($T590&lt;&gt;"""",REGEXEXTRACT(SUBSTITUTE ($T590,N$1&amp;"" CE"",""""), N$1&amp;""[\w &amp;]*, (\d+\.\d+)""),"""")
"),"")</f>
        <v/>
      </c>
      <c r="O590" s="3" t="str">
        <f aca="false">IFERROR(__xludf.dummyfunction("if($T590&lt;&gt;"""",REGEXEXTRACT($T590, O$1&amp;""[\w &amp;]*, (\d+\.\d+)""),"""")
"),"")</f>
        <v/>
      </c>
      <c r="P590" s="2"/>
      <c r="Q590" s="2"/>
      <c r="R590" s="2"/>
      <c r="S590" s="2"/>
      <c r="T590" s="5"/>
    </row>
    <row r="591" customFormat="false" ht="15.75" hidden="false" customHeight="false" outlineLevel="0" collapsed="false">
      <c r="A591" s="4"/>
      <c r="B591" s="2"/>
      <c r="C591" s="2"/>
      <c r="D591" s="2"/>
      <c r="E591" s="2"/>
      <c r="F591" s="3" t="str">
        <f aca="false">IFERROR(__xludf.dummyfunction("if($T591&lt;&gt;"""",REGEXEXTRACT(SUBSTITUTE ($T591,F$1&amp;"" CE"",""""), F$1&amp;""[\w &amp;]*, (\d+\.\d+)""),"""")
"),"")</f>
        <v/>
      </c>
      <c r="G591" s="3" t="str">
        <f aca="false">IFERROR(__xludf.dummyfunction("if($T591&lt;&gt;"""",REGEXEXTRACT($T591, G$1&amp;""[\w &amp;]*, (\d+\.\d+)""),"""")
"),"")</f>
        <v/>
      </c>
      <c r="H591" s="3"/>
      <c r="I591" s="3" t="str">
        <f aca="false">IFERROR(__xludf.dummyfunction("if($T591&lt;&gt;"""",REGEXEXTRACT(SUBSTITUTE ($T591,I$1&amp;"" CE"",""""), I$1&amp;""[\w &amp;]*, (\d+\.\d+)""),"""")
"),"")</f>
        <v/>
      </c>
      <c r="J591" s="3" t="str">
        <f aca="false">IFERROR(__xludf.dummyfunction("if($T591&lt;&gt;"""",REGEXEXTRACT($T591, J$1&amp;""[\w &amp;]*, (\d+\.\d+)""),"""")
"),"")</f>
        <v/>
      </c>
      <c r="K591" s="3"/>
      <c r="L591" s="3" t="str">
        <f aca="false">IFERROR(__xludf.dummyfunction("if($T591&lt;&gt;"""",REGEXEXTRACT(SUBSTITUTE ($T591,L$1&amp;"" CE"",""""), L$1&amp;""[\w &amp;]*, (\d+\.\d+)""),"""")
"),"")</f>
        <v/>
      </c>
      <c r="M591" s="3" t="str">
        <f aca="false">IFERROR(__xludf.dummyfunction("if($T591&lt;&gt;"""",REGEXEXTRACT($T591, M$1&amp;""[\w &amp;]*, (\d+\.\d+)""),"""")
"),"")</f>
        <v/>
      </c>
      <c r="N591" s="3" t="str">
        <f aca="false">IFERROR(__xludf.dummyfunction("if($T591&lt;&gt;"""",REGEXEXTRACT(SUBSTITUTE ($T591,N$1&amp;"" CE"",""""), N$1&amp;""[\w &amp;]*, (\d+\.\d+)""),"""")
"),"")</f>
        <v/>
      </c>
      <c r="O591" s="3" t="str">
        <f aca="false">IFERROR(__xludf.dummyfunction("if($T591&lt;&gt;"""",REGEXEXTRACT($T591, O$1&amp;""[\w &amp;]*, (\d+\.\d+)""),"""")
"),"")</f>
        <v/>
      </c>
      <c r="P591" s="2"/>
      <c r="Q591" s="2"/>
      <c r="R591" s="2"/>
      <c r="S591" s="2"/>
      <c r="T591" s="5"/>
    </row>
    <row r="592" customFormat="false" ht="15.75" hidden="false" customHeight="false" outlineLevel="0" collapsed="false">
      <c r="A592" s="4"/>
      <c r="B592" s="2"/>
      <c r="C592" s="2"/>
      <c r="D592" s="2"/>
      <c r="E592" s="2"/>
      <c r="F592" s="3" t="str">
        <f aca="false">IFERROR(__xludf.dummyfunction("if($T592&lt;&gt;"""",REGEXEXTRACT(SUBSTITUTE ($T592,F$1&amp;"" CE"",""""), F$1&amp;""[\w &amp;]*, (\d+\.\d+)""),"""")
"),"")</f>
        <v/>
      </c>
      <c r="G592" s="3" t="str">
        <f aca="false">IFERROR(__xludf.dummyfunction("if($T592&lt;&gt;"""",REGEXEXTRACT($T592, G$1&amp;""[\w &amp;]*, (\d+\.\d+)""),"""")
"),"")</f>
        <v/>
      </c>
      <c r="H592" s="3"/>
      <c r="I592" s="3" t="str">
        <f aca="false">IFERROR(__xludf.dummyfunction("if($T592&lt;&gt;"""",REGEXEXTRACT(SUBSTITUTE ($T592,I$1&amp;"" CE"",""""), I$1&amp;""[\w &amp;]*, (\d+\.\d+)""),"""")
"),"")</f>
        <v/>
      </c>
      <c r="J592" s="3" t="str">
        <f aca="false">IFERROR(__xludf.dummyfunction("if($T592&lt;&gt;"""",REGEXEXTRACT($T592, J$1&amp;""[\w &amp;]*, (\d+\.\d+)""),"""")
"),"")</f>
        <v/>
      </c>
      <c r="K592" s="3"/>
      <c r="L592" s="3" t="str">
        <f aca="false">IFERROR(__xludf.dummyfunction("if($T592&lt;&gt;"""",REGEXEXTRACT(SUBSTITUTE ($T592,L$1&amp;"" CE"",""""), L$1&amp;""[\w &amp;]*, (\d+\.\d+)""),"""")
"),"")</f>
        <v/>
      </c>
      <c r="M592" s="3" t="str">
        <f aca="false">IFERROR(__xludf.dummyfunction("if($T592&lt;&gt;"""",REGEXEXTRACT($T592, M$1&amp;""[\w &amp;]*, (\d+\.\d+)""),"""")
"),"")</f>
        <v/>
      </c>
      <c r="N592" s="3" t="str">
        <f aca="false">IFERROR(__xludf.dummyfunction("if($T592&lt;&gt;"""",REGEXEXTRACT(SUBSTITUTE ($T592,N$1&amp;"" CE"",""""), N$1&amp;""[\w &amp;]*, (\d+\.\d+)""),"""")
"),"")</f>
        <v/>
      </c>
      <c r="O592" s="3" t="str">
        <f aca="false">IFERROR(__xludf.dummyfunction("if($T592&lt;&gt;"""",REGEXEXTRACT($T592, O$1&amp;""[\w &amp;]*, (\d+\.\d+)""),"""")
"),"")</f>
        <v/>
      </c>
      <c r="P592" s="2"/>
      <c r="Q592" s="2"/>
      <c r="R592" s="2"/>
      <c r="S592" s="2"/>
      <c r="T592" s="5"/>
    </row>
    <row r="593" customFormat="false" ht="15.75" hidden="false" customHeight="false" outlineLevel="0" collapsed="false">
      <c r="A593" s="4"/>
      <c r="B593" s="2"/>
      <c r="C593" s="2"/>
      <c r="D593" s="2"/>
      <c r="E593" s="2"/>
      <c r="F593" s="3" t="str">
        <f aca="false">IFERROR(__xludf.dummyfunction("if($T593&lt;&gt;"""",REGEXEXTRACT(SUBSTITUTE ($T593,F$1&amp;"" CE"",""""), F$1&amp;""[\w &amp;]*, (\d+\.\d+)""),"""")
"),"")</f>
        <v/>
      </c>
      <c r="G593" s="3" t="str">
        <f aca="false">IFERROR(__xludf.dummyfunction("if($T593&lt;&gt;"""",REGEXEXTRACT($T593, G$1&amp;""[\w &amp;]*, (\d+\.\d+)""),"""")
"),"")</f>
        <v/>
      </c>
      <c r="H593" s="3"/>
      <c r="I593" s="3" t="str">
        <f aca="false">IFERROR(__xludf.dummyfunction("if($T593&lt;&gt;"""",REGEXEXTRACT(SUBSTITUTE ($T593,I$1&amp;"" CE"",""""), I$1&amp;""[\w &amp;]*, (\d+\.\d+)""),"""")
"),"")</f>
        <v/>
      </c>
      <c r="J593" s="3" t="str">
        <f aca="false">IFERROR(__xludf.dummyfunction("if($T593&lt;&gt;"""",REGEXEXTRACT($T593, J$1&amp;""[\w &amp;]*, (\d+\.\d+)""),"""")
"),"")</f>
        <v/>
      </c>
      <c r="K593" s="3"/>
      <c r="L593" s="3" t="str">
        <f aca="false">IFERROR(__xludf.dummyfunction("if($T593&lt;&gt;"""",REGEXEXTRACT(SUBSTITUTE ($T593,L$1&amp;"" CE"",""""), L$1&amp;""[\w &amp;]*, (\d+\.\d+)""),"""")
"),"")</f>
        <v/>
      </c>
      <c r="M593" s="3" t="str">
        <f aca="false">IFERROR(__xludf.dummyfunction("if($T593&lt;&gt;"""",REGEXEXTRACT($T593, M$1&amp;""[\w &amp;]*, (\d+\.\d+)""),"""")
"),"")</f>
        <v/>
      </c>
      <c r="N593" s="3" t="str">
        <f aca="false">IFERROR(__xludf.dummyfunction("if($T593&lt;&gt;"""",REGEXEXTRACT(SUBSTITUTE ($T593,N$1&amp;"" CE"",""""), N$1&amp;""[\w &amp;]*, (\d+\.\d+)""),"""")
"),"")</f>
        <v/>
      </c>
      <c r="O593" s="3" t="str">
        <f aca="false">IFERROR(__xludf.dummyfunction("if($T593&lt;&gt;"""",REGEXEXTRACT($T593, O$1&amp;""[\w &amp;]*, (\d+\.\d+)""),"""")
"),"")</f>
        <v/>
      </c>
      <c r="P593" s="2"/>
      <c r="Q593" s="2"/>
      <c r="R593" s="2"/>
      <c r="S593" s="2"/>
      <c r="T593" s="5"/>
    </row>
    <row r="594" customFormat="false" ht="15.75" hidden="false" customHeight="false" outlineLevel="0" collapsed="false">
      <c r="A594" s="4"/>
      <c r="B594" s="2"/>
      <c r="C594" s="2"/>
      <c r="D594" s="2"/>
      <c r="E594" s="2"/>
      <c r="F594" s="3" t="str">
        <f aca="false">IFERROR(__xludf.dummyfunction("if($T594&lt;&gt;"""",REGEXEXTRACT(SUBSTITUTE ($T594,F$1&amp;"" CE"",""""), F$1&amp;""[\w &amp;]*, (\d+\.\d+)""),"""")
"),"")</f>
        <v/>
      </c>
      <c r="G594" s="3" t="str">
        <f aca="false">IFERROR(__xludf.dummyfunction("if($T594&lt;&gt;"""",REGEXEXTRACT($T594, G$1&amp;""[\w &amp;]*, (\d+\.\d+)""),"""")
"),"")</f>
        <v/>
      </c>
      <c r="H594" s="3"/>
      <c r="I594" s="3" t="str">
        <f aca="false">IFERROR(__xludf.dummyfunction("if($T594&lt;&gt;"""",REGEXEXTRACT(SUBSTITUTE ($T594,I$1&amp;"" CE"",""""), I$1&amp;""[\w &amp;]*, (\d+\.\d+)""),"""")
"),"")</f>
        <v/>
      </c>
      <c r="J594" s="3" t="str">
        <f aca="false">IFERROR(__xludf.dummyfunction("if($T594&lt;&gt;"""",REGEXEXTRACT($T594, J$1&amp;""[\w &amp;]*, (\d+\.\d+)""),"""")
"),"")</f>
        <v/>
      </c>
      <c r="K594" s="3"/>
      <c r="L594" s="3" t="str">
        <f aca="false">IFERROR(__xludf.dummyfunction("if($T594&lt;&gt;"""",REGEXEXTRACT(SUBSTITUTE ($T594,L$1&amp;"" CE"",""""), L$1&amp;""[\w &amp;]*, (\d+\.\d+)""),"""")
"),"")</f>
        <v/>
      </c>
      <c r="M594" s="3" t="str">
        <f aca="false">IFERROR(__xludf.dummyfunction("if($T594&lt;&gt;"""",REGEXEXTRACT($T594, M$1&amp;""[\w &amp;]*, (\d+\.\d+)""),"""")
"),"")</f>
        <v/>
      </c>
      <c r="N594" s="3" t="str">
        <f aca="false">IFERROR(__xludf.dummyfunction("if($T594&lt;&gt;"""",REGEXEXTRACT(SUBSTITUTE ($T594,N$1&amp;"" CE"",""""), N$1&amp;""[\w &amp;]*, (\d+\.\d+)""),"""")
"),"")</f>
        <v/>
      </c>
      <c r="O594" s="3" t="str">
        <f aca="false">IFERROR(__xludf.dummyfunction("if($T594&lt;&gt;"""",REGEXEXTRACT($T594, O$1&amp;""[\w &amp;]*, (\d+\.\d+)""),"""")
"),"")</f>
        <v/>
      </c>
      <c r="P594" s="2"/>
      <c r="Q594" s="2"/>
      <c r="R594" s="2"/>
      <c r="S594" s="2"/>
      <c r="T594" s="5"/>
    </row>
    <row r="595" customFormat="false" ht="15.75" hidden="false" customHeight="false" outlineLevel="0" collapsed="false">
      <c r="A595" s="4"/>
      <c r="B595" s="2"/>
      <c r="C595" s="2"/>
      <c r="D595" s="2"/>
      <c r="E595" s="2"/>
      <c r="F595" s="3" t="str">
        <f aca="false">IFERROR(__xludf.dummyfunction("if($T595&lt;&gt;"""",REGEXEXTRACT(SUBSTITUTE ($T595,F$1&amp;"" CE"",""""), F$1&amp;""[\w &amp;]*, (\d+\.\d+)""),"""")
"),"")</f>
        <v/>
      </c>
      <c r="G595" s="3" t="str">
        <f aca="false">IFERROR(__xludf.dummyfunction("if($T595&lt;&gt;"""",REGEXEXTRACT($T595, G$1&amp;""[\w &amp;]*, (\d+\.\d+)""),"""")
"),"")</f>
        <v/>
      </c>
      <c r="H595" s="3"/>
      <c r="I595" s="3" t="str">
        <f aca="false">IFERROR(__xludf.dummyfunction("if($T595&lt;&gt;"""",REGEXEXTRACT(SUBSTITUTE ($T595,I$1&amp;"" CE"",""""), I$1&amp;""[\w &amp;]*, (\d+\.\d+)""),"""")
"),"")</f>
        <v/>
      </c>
      <c r="J595" s="3" t="str">
        <f aca="false">IFERROR(__xludf.dummyfunction("if($T595&lt;&gt;"""",REGEXEXTRACT($T595, J$1&amp;""[\w &amp;]*, (\d+\.\d+)""),"""")
"),"")</f>
        <v/>
      </c>
      <c r="K595" s="3"/>
      <c r="L595" s="3" t="str">
        <f aca="false">IFERROR(__xludf.dummyfunction("if($T595&lt;&gt;"""",REGEXEXTRACT(SUBSTITUTE ($T595,L$1&amp;"" CE"",""""), L$1&amp;""[\w &amp;]*, (\d+\.\d+)""),"""")
"),"")</f>
        <v/>
      </c>
      <c r="M595" s="3" t="str">
        <f aca="false">IFERROR(__xludf.dummyfunction("if($T595&lt;&gt;"""",REGEXEXTRACT($T595, M$1&amp;""[\w &amp;]*, (\d+\.\d+)""),"""")
"),"")</f>
        <v/>
      </c>
      <c r="N595" s="3" t="str">
        <f aca="false">IFERROR(__xludf.dummyfunction("if($T595&lt;&gt;"""",REGEXEXTRACT(SUBSTITUTE ($T595,N$1&amp;"" CE"",""""), N$1&amp;""[\w &amp;]*, (\d+\.\d+)""),"""")
"),"")</f>
        <v/>
      </c>
      <c r="O595" s="3" t="str">
        <f aca="false">IFERROR(__xludf.dummyfunction("if($T595&lt;&gt;"""",REGEXEXTRACT($T595, O$1&amp;""[\w &amp;]*, (\d+\.\d+)""),"""")
"),"")</f>
        <v/>
      </c>
      <c r="P595" s="2"/>
      <c r="Q595" s="2"/>
      <c r="R595" s="2"/>
      <c r="S595" s="2"/>
      <c r="T595" s="5"/>
    </row>
    <row r="596" customFormat="false" ht="15.75" hidden="false" customHeight="false" outlineLevel="0" collapsed="false">
      <c r="A596" s="4"/>
      <c r="B596" s="2"/>
      <c r="C596" s="2"/>
      <c r="D596" s="2"/>
      <c r="E596" s="2"/>
      <c r="F596" s="3" t="str">
        <f aca="false">IFERROR(__xludf.dummyfunction("if($T596&lt;&gt;"""",REGEXEXTRACT(SUBSTITUTE ($T596,F$1&amp;"" CE"",""""), F$1&amp;""[\w &amp;]*, (\d+\.\d+)""),"""")
"),"")</f>
        <v/>
      </c>
      <c r="G596" s="3" t="str">
        <f aca="false">IFERROR(__xludf.dummyfunction("if($T596&lt;&gt;"""",REGEXEXTRACT($T596, G$1&amp;""[\w &amp;]*, (\d+\.\d+)""),"""")
"),"")</f>
        <v/>
      </c>
      <c r="H596" s="3"/>
      <c r="I596" s="3" t="str">
        <f aca="false">IFERROR(__xludf.dummyfunction("if($T596&lt;&gt;"""",REGEXEXTRACT(SUBSTITUTE ($T596,I$1&amp;"" CE"",""""), I$1&amp;""[\w &amp;]*, (\d+\.\d+)""),"""")
"),"")</f>
        <v/>
      </c>
      <c r="J596" s="3" t="str">
        <f aca="false">IFERROR(__xludf.dummyfunction("if($T596&lt;&gt;"""",REGEXEXTRACT($T596, J$1&amp;""[\w &amp;]*, (\d+\.\d+)""),"""")
"),"")</f>
        <v/>
      </c>
      <c r="K596" s="3"/>
      <c r="L596" s="3" t="str">
        <f aca="false">IFERROR(__xludf.dummyfunction("if($T596&lt;&gt;"""",REGEXEXTRACT(SUBSTITUTE ($T596,L$1&amp;"" CE"",""""), L$1&amp;""[\w &amp;]*, (\d+\.\d+)""),"""")
"),"")</f>
        <v/>
      </c>
      <c r="M596" s="3" t="str">
        <f aca="false">IFERROR(__xludf.dummyfunction("if($T596&lt;&gt;"""",REGEXEXTRACT($T596, M$1&amp;""[\w &amp;]*, (\d+\.\d+)""),"""")
"),"")</f>
        <v/>
      </c>
      <c r="N596" s="3" t="str">
        <f aca="false">IFERROR(__xludf.dummyfunction("if($T596&lt;&gt;"""",REGEXEXTRACT(SUBSTITUTE ($T596,N$1&amp;"" CE"",""""), N$1&amp;""[\w &amp;]*, (\d+\.\d+)""),"""")
"),"")</f>
        <v/>
      </c>
      <c r="O596" s="3" t="str">
        <f aca="false">IFERROR(__xludf.dummyfunction("if($T596&lt;&gt;"""",REGEXEXTRACT($T596, O$1&amp;""[\w &amp;]*, (\d+\.\d+)""),"""")
"),"")</f>
        <v/>
      </c>
      <c r="P596" s="2"/>
      <c r="Q596" s="2"/>
      <c r="R596" s="2"/>
      <c r="S596" s="2"/>
      <c r="T596" s="5"/>
    </row>
    <row r="597" customFormat="false" ht="15.75" hidden="false" customHeight="false" outlineLevel="0" collapsed="false">
      <c r="A597" s="4"/>
      <c r="B597" s="2"/>
      <c r="C597" s="2"/>
      <c r="D597" s="2"/>
      <c r="E597" s="2"/>
      <c r="F597" s="3" t="str">
        <f aca="false">IFERROR(__xludf.dummyfunction("if($T597&lt;&gt;"""",REGEXEXTRACT(SUBSTITUTE ($T597,F$1&amp;"" CE"",""""), F$1&amp;""[\w &amp;]*, (\d+\.\d+)""),"""")
"),"")</f>
        <v/>
      </c>
      <c r="G597" s="3" t="str">
        <f aca="false">IFERROR(__xludf.dummyfunction("if($T597&lt;&gt;"""",REGEXEXTRACT($T597, G$1&amp;""[\w &amp;]*, (\d+\.\d+)""),"""")
"),"")</f>
        <v/>
      </c>
      <c r="H597" s="3"/>
      <c r="I597" s="3" t="str">
        <f aca="false">IFERROR(__xludf.dummyfunction("if($T597&lt;&gt;"""",REGEXEXTRACT(SUBSTITUTE ($T597,I$1&amp;"" CE"",""""), I$1&amp;""[\w &amp;]*, (\d+\.\d+)""),"""")
"),"")</f>
        <v/>
      </c>
      <c r="J597" s="3" t="str">
        <f aca="false">IFERROR(__xludf.dummyfunction("if($T597&lt;&gt;"""",REGEXEXTRACT($T597, J$1&amp;""[\w &amp;]*, (\d+\.\d+)""),"""")
"),"")</f>
        <v/>
      </c>
      <c r="K597" s="3"/>
      <c r="L597" s="3" t="str">
        <f aca="false">IFERROR(__xludf.dummyfunction("if($T597&lt;&gt;"""",REGEXEXTRACT(SUBSTITUTE ($T597,L$1&amp;"" CE"",""""), L$1&amp;""[\w &amp;]*, (\d+\.\d+)""),"""")
"),"")</f>
        <v/>
      </c>
      <c r="M597" s="3" t="str">
        <f aca="false">IFERROR(__xludf.dummyfunction("if($T597&lt;&gt;"""",REGEXEXTRACT($T597, M$1&amp;""[\w &amp;]*, (\d+\.\d+)""),"""")
"),"")</f>
        <v/>
      </c>
      <c r="N597" s="3" t="str">
        <f aca="false">IFERROR(__xludf.dummyfunction("if($T597&lt;&gt;"""",REGEXEXTRACT(SUBSTITUTE ($T597,N$1&amp;"" CE"",""""), N$1&amp;""[\w &amp;]*, (\d+\.\d+)""),"""")
"),"")</f>
        <v/>
      </c>
      <c r="O597" s="3" t="str">
        <f aca="false">IFERROR(__xludf.dummyfunction("if($T597&lt;&gt;"""",REGEXEXTRACT($T597, O$1&amp;""[\w &amp;]*, (\d+\.\d+)""),"""")
"),"")</f>
        <v/>
      </c>
      <c r="P597" s="2"/>
      <c r="Q597" s="2"/>
      <c r="R597" s="2"/>
      <c r="S597" s="2"/>
      <c r="T597" s="5"/>
    </row>
    <row r="598" customFormat="false" ht="15.75" hidden="false" customHeight="false" outlineLevel="0" collapsed="false">
      <c r="A598" s="4"/>
      <c r="B598" s="2"/>
      <c r="C598" s="2"/>
      <c r="D598" s="2"/>
      <c r="E598" s="2"/>
      <c r="F598" s="3" t="str">
        <f aca="false">IFERROR(__xludf.dummyfunction("if($T598&lt;&gt;"""",REGEXEXTRACT(SUBSTITUTE ($T598,F$1&amp;"" CE"",""""), F$1&amp;""[\w &amp;]*, (\d+\.\d+)""),"""")
"),"")</f>
        <v/>
      </c>
      <c r="G598" s="3" t="str">
        <f aca="false">IFERROR(__xludf.dummyfunction("if($T598&lt;&gt;"""",REGEXEXTRACT($T598, G$1&amp;""[\w &amp;]*, (\d+\.\d+)""),"""")
"),"")</f>
        <v/>
      </c>
      <c r="H598" s="3"/>
      <c r="I598" s="3" t="str">
        <f aca="false">IFERROR(__xludf.dummyfunction("if($T598&lt;&gt;"""",REGEXEXTRACT(SUBSTITUTE ($T598,I$1&amp;"" CE"",""""), I$1&amp;""[\w &amp;]*, (\d+\.\d+)""),"""")
"),"")</f>
        <v/>
      </c>
      <c r="J598" s="3" t="str">
        <f aca="false">IFERROR(__xludf.dummyfunction("if($T598&lt;&gt;"""",REGEXEXTRACT($T598, J$1&amp;""[\w &amp;]*, (\d+\.\d+)""),"""")
"),"")</f>
        <v/>
      </c>
      <c r="K598" s="3"/>
      <c r="L598" s="3" t="str">
        <f aca="false">IFERROR(__xludf.dummyfunction("if($T598&lt;&gt;"""",REGEXEXTRACT(SUBSTITUTE ($T598,L$1&amp;"" CE"",""""), L$1&amp;""[\w &amp;]*, (\d+\.\d+)""),"""")
"),"")</f>
        <v/>
      </c>
      <c r="M598" s="3" t="str">
        <f aca="false">IFERROR(__xludf.dummyfunction("if($T598&lt;&gt;"""",REGEXEXTRACT($T598, M$1&amp;""[\w &amp;]*, (\d+\.\d+)""),"""")
"),"")</f>
        <v/>
      </c>
      <c r="N598" s="3" t="str">
        <f aca="false">IFERROR(__xludf.dummyfunction("if($T598&lt;&gt;"""",REGEXEXTRACT(SUBSTITUTE ($T598,N$1&amp;"" CE"",""""), N$1&amp;""[\w &amp;]*, (\d+\.\d+)""),"""")
"),"")</f>
        <v/>
      </c>
      <c r="O598" s="3" t="str">
        <f aca="false">IFERROR(__xludf.dummyfunction("if($T598&lt;&gt;"""",REGEXEXTRACT($T598, O$1&amp;""[\w &amp;]*, (\d+\.\d+)""),"""")
"),"")</f>
        <v/>
      </c>
      <c r="P598" s="2"/>
      <c r="Q598" s="2"/>
      <c r="R598" s="2"/>
      <c r="S598" s="2"/>
      <c r="T598" s="5"/>
    </row>
    <row r="599" customFormat="false" ht="15.75" hidden="false" customHeight="false" outlineLevel="0" collapsed="false">
      <c r="A599" s="4"/>
      <c r="B599" s="2"/>
      <c r="C599" s="2"/>
      <c r="D599" s="2"/>
      <c r="E599" s="2"/>
      <c r="F599" s="3" t="str">
        <f aca="false">IFERROR(__xludf.dummyfunction("if($T599&lt;&gt;"""",REGEXEXTRACT(SUBSTITUTE ($T599,F$1&amp;"" CE"",""""), F$1&amp;""[\w &amp;]*, (\d+\.\d+)""),"""")
"),"")</f>
        <v/>
      </c>
      <c r="G599" s="3" t="str">
        <f aca="false">IFERROR(__xludf.dummyfunction("if($T599&lt;&gt;"""",REGEXEXTRACT($T599, G$1&amp;""[\w &amp;]*, (\d+\.\d+)""),"""")
"),"")</f>
        <v/>
      </c>
      <c r="H599" s="3"/>
      <c r="I599" s="3" t="str">
        <f aca="false">IFERROR(__xludf.dummyfunction("if($T599&lt;&gt;"""",REGEXEXTRACT(SUBSTITUTE ($T599,I$1&amp;"" CE"",""""), I$1&amp;""[\w &amp;]*, (\d+\.\d+)""),"""")
"),"")</f>
        <v/>
      </c>
      <c r="J599" s="3" t="str">
        <f aca="false">IFERROR(__xludf.dummyfunction("if($T599&lt;&gt;"""",REGEXEXTRACT($T599, J$1&amp;""[\w &amp;]*, (\d+\.\d+)""),"""")
"),"")</f>
        <v/>
      </c>
      <c r="K599" s="3"/>
      <c r="L599" s="3" t="str">
        <f aca="false">IFERROR(__xludf.dummyfunction("if($T599&lt;&gt;"""",REGEXEXTRACT(SUBSTITUTE ($T599,L$1&amp;"" CE"",""""), L$1&amp;""[\w &amp;]*, (\d+\.\d+)""),"""")
"),"")</f>
        <v/>
      </c>
      <c r="M599" s="3" t="str">
        <f aca="false">IFERROR(__xludf.dummyfunction("if($T599&lt;&gt;"""",REGEXEXTRACT($T599, M$1&amp;""[\w &amp;]*, (\d+\.\d+)""),"""")
"),"")</f>
        <v/>
      </c>
      <c r="N599" s="3" t="str">
        <f aca="false">IFERROR(__xludf.dummyfunction("if($T599&lt;&gt;"""",REGEXEXTRACT(SUBSTITUTE ($T599,N$1&amp;"" CE"",""""), N$1&amp;""[\w &amp;]*, (\d+\.\d+)""),"""")
"),"")</f>
        <v/>
      </c>
      <c r="O599" s="3" t="str">
        <f aca="false">IFERROR(__xludf.dummyfunction("if($T599&lt;&gt;"""",REGEXEXTRACT($T599, O$1&amp;""[\w &amp;]*, (\d+\.\d+)""),"""")
"),"")</f>
        <v/>
      </c>
      <c r="P599" s="2"/>
      <c r="Q599" s="2"/>
      <c r="R599" s="2"/>
      <c r="S599" s="2"/>
      <c r="T599" s="5"/>
    </row>
    <row r="600" customFormat="false" ht="15.75" hidden="false" customHeight="false" outlineLevel="0" collapsed="false">
      <c r="A600" s="4"/>
      <c r="B600" s="2"/>
      <c r="C600" s="2"/>
      <c r="D600" s="2"/>
      <c r="E600" s="2"/>
      <c r="F600" s="3" t="str">
        <f aca="false">IFERROR(__xludf.dummyfunction("if($T600&lt;&gt;"""",REGEXEXTRACT(SUBSTITUTE ($T600,F$1&amp;"" CE"",""""), F$1&amp;""[\w &amp;]*, (\d+\.\d+)""),"""")
"),"")</f>
        <v/>
      </c>
      <c r="G600" s="3" t="str">
        <f aca="false">IFERROR(__xludf.dummyfunction("if($T600&lt;&gt;"""",REGEXEXTRACT($T600, G$1&amp;""[\w &amp;]*, (\d+\.\d+)""),"""")
"),"")</f>
        <v/>
      </c>
      <c r="H600" s="3"/>
      <c r="I600" s="3" t="str">
        <f aca="false">IFERROR(__xludf.dummyfunction("if($T600&lt;&gt;"""",REGEXEXTRACT(SUBSTITUTE ($T600,I$1&amp;"" CE"",""""), I$1&amp;""[\w &amp;]*, (\d+\.\d+)""),"""")
"),"")</f>
        <v/>
      </c>
      <c r="J600" s="3" t="str">
        <f aca="false">IFERROR(__xludf.dummyfunction("if($T600&lt;&gt;"""",REGEXEXTRACT($T600, J$1&amp;""[\w &amp;]*, (\d+\.\d+)""),"""")
"),"")</f>
        <v/>
      </c>
      <c r="K600" s="3"/>
      <c r="L600" s="3" t="str">
        <f aca="false">IFERROR(__xludf.dummyfunction("if($T600&lt;&gt;"""",REGEXEXTRACT(SUBSTITUTE ($T600,L$1&amp;"" CE"",""""), L$1&amp;""[\w &amp;]*, (\d+\.\d+)""),"""")
"),"")</f>
        <v/>
      </c>
      <c r="M600" s="3" t="str">
        <f aca="false">IFERROR(__xludf.dummyfunction("if($T600&lt;&gt;"""",REGEXEXTRACT($T600, M$1&amp;""[\w &amp;]*, (\d+\.\d+)""),"""")
"),"")</f>
        <v/>
      </c>
      <c r="N600" s="3" t="str">
        <f aca="false">IFERROR(__xludf.dummyfunction("if($T600&lt;&gt;"""",REGEXEXTRACT(SUBSTITUTE ($T600,N$1&amp;"" CE"",""""), N$1&amp;""[\w &amp;]*, (\d+\.\d+)""),"""")
"),"")</f>
        <v/>
      </c>
      <c r="O600" s="3" t="str">
        <f aca="false">IFERROR(__xludf.dummyfunction("if($T600&lt;&gt;"""",REGEXEXTRACT($T600, O$1&amp;""[\w &amp;]*, (\d+\.\d+)""),"""")
"),"")</f>
        <v/>
      </c>
      <c r="P600" s="2"/>
      <c r="Q600" s="2"/>
      <c r="R600" s="2"/>
      <c r="S600" s="2"/>
      <c r="T600" s="5"/>
    </row>
    <row r="601" customFormat="false" ht="15.75" hidden="false" customHeight="false" outlineLevel="0" collapsed="false">
      <c r="A601" s="4"/>
      <c r="B601" s="2"/>
      <c r="C601" s="2"/>
      <c r="D601" s="2"/>
      <c r="E601" s="2"/>
      <c r="F601" s="3" t="str">
        <f aca="false">IFERROR(__xludf.dummyfunction("if($T601&lt;&gt;"""",REGEXEXTRACT(SUBSTITUTE ($T601,F$1&amp;"" CE"",""""), F$1&amp;""[\w &amp;]*, (\d+\.\d+)""),"""")
"),"")</f>
        <v/>
      </c>
      <c r="G601" s="3" t="str">
        <f aca="false">IFERROR(__xludf.dummyfunction("if($T601&lt;&gt;"""",REGEXEXTRACT($T601, G$1&amp;""[\w &amp;]*, (\d+\.\d+)""),"""")
"),"")</f>
        <v/>
      </c>
      <c r="H601" s="3"/>
      <c r="I601" s="3" t="str">
        <f aca="false">IFERROR(__xludf.dummyfunction("if($T601&lt;&gt;"""",REGEXEXTRACT(SUBSTITUTE ($T601,I$1&amp;"" CE"",""""), I$1&amp;""[\w &amp;]*, (\d+\.\d+)""),"""")
"),"")</f>
        <v/>
      </c>
      <c r="J601" s="3" t="str">
        <f aca="false">IFERROR(__xludf.dummyfunction("if($T601&lt;&gt;"""",REGEXEXTRACT($T601, J$1&amp;""[\w &amp;]*, (\d+\.\d+)""),"""")
"),"")</f>
        <v/>
      </c>
      <c r="K601" s="3"/>
      <c r="L601" s="3" t="str">
        <f aca="false">IFERROR(__xludf.dummyfunction("if($T601&lt;&gt;"""",REGEXEXTRACT(SUBSTITUTE ($T601,L$1&amp;"" CE"",""""), L$1&amp;""[\w &amp;]*, (\d+\.\d+)""),"""")
"),"")</f>
        <v/>
      </c>
      <c r="M601" s="3" t="str">
        <f aca="false">IFERROR(__xludf.dummyfunction("if($T601&lt;&gt;"""",REGEXEXTRACT($T601, M$1&amp;""[\w &amp;]*, (\d+\.\d+)""),"""")
"),"")</f>
        <v/>
      </c>
      <c r="N601" s="3" t="str">
        <f aca="false">IFERROR(__xludf.dummyfunction("if($T601&lt;&gt;"""",REGEXEXTRACT(SUBSTITUTE ($T601,N$1&amp;"" CE"",""""), N$1&amp;""[\w &amp;]*, (\d+\.\d+)""),"""")
"),"")</f>
        <v/>
      </c>
      <c r="O601" s="3" t="str">
        <f aca="false">IFERROR(__xludf.dummyfunction("if($T601&lt;&gt;"""",REGEXEXTRACT($T601, O$1&amp;""[\w &amp;]*, (\d+\.\d+)""),"""")
"),"")</f>
        <v/>
      </c>
      <c r="P601" s="2"/>
      <c r="Q601" s="2"/>
      <c r="R601" s="2"/>
      <c r="S601" s="2"/>
      <c r="T601" s="5"/>
    </row>
    <row r="602" customFormat="false" ht="15.75" hidden="false" customHeight="false" outlineLevel="0" collapsed="false">
      <c r="A602" s="4"/>
      <c r="B602" s="2"/>
      <c r="C602" s="2"/>
      <c r="D602" s="2"/>
      <c r="E602" s="2"/>
      <c r="F602" s="3" t="str">
        <f aca="false">IFERROR(__xludf.dummyfunction("if($T602&lt;&gt;"""",REGEXEXTRACT(SUBSTITUTE ($T602,F$1&amp;"" CE"",""""), F$1&amp;""[\w &amp;]*, (\d+\.\d+)""),"""")
"),"")</f>
        <v/>
      </c>
      <c r="G602" s="3" t="str">
        <f aca="false">IFERROR(__xludf.dummyfunction("if($T602&lt;&gt;"""",REGEXEXTRACT($T602, G$1&amp;""[\w &amp;]*, (\d+\.\d+)""),"""")
"),"")</f>
        <v/>
      </c>
      <c r="H602" s="3"/>
      <c r="I602" s="3" t="str">
        <f aca="false">IFERROR(__xludf.dummyfunction("if($T602&lt;&gt;"""",REGEXEXTRACT(SUBSTITUTE ($T602,I$1&amp;"" CE"",""""), I$1&amp;""[\w &amp;]*, (\d+\.\d+)""),"""")
"),"")</f>
        <v/>
      </c>
      <c r="J602" s="3" t="str">
        <f aca="false">IFERROR(__xludf.dummyfunction("if($T602&lt;&gt;"""",REGEXEXTRACT($T602, J$1&amp;""[\w &amp;]*, (\d+\.\d+)""),"""")
"),"")</f>
        <v/>
      </c>
      <c r="K602" s="3"/>
      <c r="L602" s="3" t="str">
        <f aca="false">IFERROR(__xludf.dummyfunction("if($T602&lt;&gt;"""",REGEXEXTRACT(SUBSTITUTE ($T602,L$1&amp;"" CE"",""""), L$1&amp;""[\w &amp;]*, (\d+\.\d+)""),"""")
"),"")</f>
        <v/>
      </c>
      <c r="M602" s="3" t="str">
        <f aca="false">IFERROR(__xludf.dummyfunction("if($T602&lt;&gt;"""",REGEXEXTRACT($T602, M$1&amp;""[\w &amp;]*, (\d+\.\d+)""),"""")
"),"")</f>
        <v/>
      </c>
      <c r="N602" s="3" t="str">
        <f aca="false">IFERROR(__xludf.dummyfunction("if($T602&lt;&gt;"""",REGEXEXTRACT(SUBSTITUTE ($T602,N$1&amp;"" CE"",""""), N$1&amp;""[\w &amp;]*, (\d+\.\d+)""),"""")
"),"")</f>
        <v/>
      </c>
      <c r="O602" s="3" t="str">
        <f aca="false">IFERROR(__xludf.dummyfunction("if($T602&lt;&gt;"""",REGEXEXTRACT($T602, O$1&amp;""[\w &amp;]*, (\d+\.\d+)""),"""")
"),"")</f>
        <v/>
      </c>
      <c r="P602" s="2"/>
      <c r="Q602" s="2"/>
      <c r="R602" s="2"/>
      <c r="S602" s="2"/>
      <c r="T602" s="5"/>
    </row>
    <row r="603" customFormat="false" ht="15.75" hidden="false" customHeight="false" outlineLevel="0" collapsed="false">
      <c r="A603" s="4"/>
      <c r="B603" s="2"/>
      <c r="C603" s="2"/>
      <c r="D603" s="2"/>
      <c r="E603" s="2"/>
      <c r="F603" s="3" t="str">
        <f aca="false">IFERROR(__xludf.dummyfunction("if($T603&lt;&gt;"""",REGEXEXTRACT(SUBSTITUTE ($T603,F$1&amp;"" CE"",""""), F$1&amp;""[\w &amp;]*, (\d+\.\d+)""),"""")
"),"")</f>
        <v/>
      </c>
      <c r="G603" s="3" t="str">
        <f aca="false">IFERROR(__xludf.dummyfunction("if($T603&lt;&gt;"""",REGEXEXTRACT($T603, G$1&amp;""[\w &amp;]*, (\d+\.\d+)""),"""")
"),"")</f>
        <v/>
      </c>
      <c r="H603" s="3"/>
      <c r="I603" s="3" t="str">
        <f aca="false">IFERROR(__xludf.dummyfunction("if($T603&lt;&gt;"""",REGEXEXTRACT(SUBSTITUTE ($T603,I$1&amp;"" CE"",""""), I$1&amp;""[\w &amp;]*, (\d+\.\d+)""),"""")
"),"")</f>
        <v/>
      </c>
      <c r="J603" s="3" t="str">
        <f aca="false">IFERROR(__xludf.dummyfunction("if($T603&lt;&gt;"""",REGEXEXTRACT($T603, J$1&amp;""[\w &amp;]*, (\d+\.\d+)""),"""")
"),"")</f>
        <v/>
      </c>
      <c r="K603" s="3"/>
      <c r="L603" s="3" t="str">
        <f aca="false">IFERROR(__xludf.dummyfunction("if($T603&lt;&gt;"""",REGEXEXTRACT(SUBSTITUTE ($T603,L$1&amp;"" CE"",""""), L$1&amp;""[\w &amp;]*, (\d+\.\d+)""),"""")
"),"")</f>
        <v/>
      </c>
      <c r="M603" s="3" t="str">
        <f aca="false">IFERROR(__xludf.dummyfunction("if($T603&lt;&gt;"""",REGEXEXTRACT($T603, M$1&amp;""[\w &amp;]*, (\d+\.\d+)""),"""")
"),"")</f>
        <v/>
      </c>
      <c r="N603" s="3" t="str">
        <f aca="false">IFERROR(__xludf.dummyfunction("if($T603&lt;&gt;"""",REGEXEXTRACT(SUBSTITUTE ($T603,N$1&amp;"" CE"",""""), N$1&amp;""[\w &amp;]*, (\d+\.\d+)""),"""")
"),"")</f>
        <v/>
      </c>
      <c r="O603" s="3" t="str">
        <f aca="false">IFERROR(__xludf.dummyfunction("if($T603&lt;&gt;"""",REGEXEXTRACT($T603, O$1&amp;""[\w &amp;]*, (\d+\.\d+)""),"""")
"),"")</f>
        <v/>
      </c>
      <c r="P603" s="2"/>
      <c r="Q603" s="2"/>
      <c r="R603" s="2"/>
      <c r="S603" s="2"/>
      <c r="T603" s="5"/>
    </row>
    <row r="604" customFormat="false" ht="15.75" hidden="false" customHeight="false" outlineLevel="0" collapsed="false">
      <c r="A604" s="4"/>
      <c r="B604" s="2"/>
      <c r="C604" s="2"/>
      <c r="D604" s="2"/>
      <c r="E604" s="2"/>
      <c r="F604" s="3" t="str">
        <f aca="false">IFERROR(__xludf.dummyfunction("if($T604&lt;&gt;"""",REGEXEXTRACT(SUBSTITUTE ($T604,F$1&amp;"" CE"",""""), F$1&amp;""[\w &amp;]*, (\d+\.\d+)""),"""")
"),"")</f>
        <v/>
      </c>
      <c r="G604" s="3" t="str">
        <f aca="false">IFERROR(__xludf.dummyfunction("if($T604&lt;&gt;"""",REGEXEXTRACT($T604, G$1&amp;""[\w &amp;]*, (\d+\.\d+)""),"""")
"),"")</f>
        <v/>
      </c>
      <c r="H604" s="3"/>
      <c r="I604" s="3" t="str">
        <f aca="false">IFERROR(__xludf.dummyfunction("if($T604&lt;&gt;"""",REGEXEXTRACT(SUBSTITUTE ($T604,I$1&amp;"" CE"",""""), I$1&amp;""[\w &amp;]*, (\d+\.\d+)""),"""")
"),"")</f>
        <v/>
      </c>
      <c r="J604" s="3" t="str">
        <f aca="false">IFERROR(__xludf.dummyfunction("if($T604&lt;&gt;"""",REGEXEXTRACT($T604, J$1&amp;""[\w &amp;]*, (\d+\.\d+)""),"""")
"),"")</f>
        <v/>
      </c>
      <c r="K604" s="3"/>
      <c r="L604" s="3" t="str">
        <f aca="false">IFERROR(__xludf.dummyfunction("if($T604&lt;&gt;"""",REGEXEXTRACT(SUBSTITUTE ($T604,L$1&amp;"" CE"",""""), L$1&amp;""[\w &amp;]*, (\d+\.\d+)""),"""")
"),"")</f>
        <v/>
      </c>
      <c r="M604" s="3" t="str">
        <f aca="false">IFERROR(__xludf.dummyfunction("if($T604&lt;&gt;"""",REGEXEXTRACT($T604, M$1&amp;""[\w &amp;]*, (\d+\.\d+)""),"""")
"),"")</f>
        <v/>
      </c>
      <c r="N604" s="3" t="str">
        <f aca="false">IFERROR(__xludf.dummyfunction("if($T604&lt;&gt;"""",REGEXEXTRACT(SUBSTITUTE ($T604,N$1&amp;"" CE"",""""), N$1&amp;""[\w &amp;]*, (\d+\.\d+)""),"""")
"),"")</f>
        <v/>
      </c>
      <c r="O604" s="3" t="str">
        <f aca="false">IFERROR(__xludf.dummyfunction("if($T604&lt;&gt;"""",REGEXEXTRACT($T604, O$1&amp;""[\w &amp;]*, (\d+\.\d+)""),"""")
"),"")</f>
        <v/>
      </c>
      <c r="P604" s="2"/>
      <c r="Q604" s="2"/>
      <c r="R604" s="2"/>
      <c r="S604" s="2"/>
      <c r="T604" s="5"/>
    </row>
    <row r="605" customFormat="false" ht="15.75" hidden="false" customHeight="false" outlineLevel="0" collapsed="false">
      <c r="A605" s="4"/>
      <c r="B605" s="2"/>
      <c r="C605" s="2"/>
      <c r="D605" s="2"/>
      <c r="E605" s="2"/>
      <c r="F605" s="3" t="str">
        <f aca="false">IFERROR(__xludf.dummyfunction("if($T605&lt;&gt;"""",REGEXEXTRACT(SUBSTITUTE ($T605,F$1&amp;"" CE"",""""), F$1&amp;""[\w &amp;]*, (\d+\.\d+)""),"""")
"),"")</f>
        <v/>
      </c>
      <c r="G605" s="3" t="str">
        <f aca="false">IFERROR(__xludf.dummyfunction("if($T605&lt;&gt;"""",REGEXEXTRACT($T605, G$1&amp;""[\w &amp;]*, (\d+\.\d+)""),"""")
"),"")</f>
        <v/>
      </c>
      <c r="H605" s="3"/>
      <c r="I605" s="3" t="str">
        <f aca="false">IFERROR(__xludf.dummyfunction("if($T605&lt;&gt;"""",REGEXEXTRACT(SUBSTITUTE ($T605,I$1&amp;"" CE"",""""), I$1&amp;""[\w &amp;]*, (\d+\.\d+)""),"""")
"),"")</f>
        <v/>
      </c>
      <c r="J605" s="3" t="str">
        <f aca="false">IFERROR(__xludf.dummyfunction("if($T605&lt;&gt;"""",REGEXEXTRACT($T605, J$1&amp;""[\w &amp;]*, (\d+\.\d+)""),"""")
"),"")</f>
        <v/>
      </c>
      <c r="K605" s="3"/>
      <c r="L605" s="3" t="str">
        <f aca="false">IFERROR(__xludf.dummyfunction("if($T605&lt;&gt;"""",REGEXEXTRACT(SUBSTITUTE ($T605,L$1&amp;"" CE"",""""), L$1&amp;""[\w &amp;]*, (\d+\.\d+)""),"""")
"),"")</f>
        <v/>
      </c>
      <c r="M605" s="3" t="str">
        <f aca="false">IFERROR(__xludf.dummyfunction("if($T605&lt;&gt;"""",REGEXEXTRACT($T605, M$1&amp;""[\w &amp;]*, (\d+\.\d+)""),"""")
"),"")</f>
        <v/>
      </c>
      <c r="N605" s="3" t="str">
        <f aca="false">IFERROR(__xludf.dummyfunction("if($T605&lt;&gt;"""",REGEXEXTRACT(SUBSTITUTE ($T605,N$1&amp;"" CE"",""""), N$1&amp;""[\w &amp;]*, (\d+\.\d+)""),"""")
"),"")</f>
        <v/>
      </c>
      <c r="O605" s="3" t="str">
        <f aca="false">IFERROR(__xludf.dummyfunction("if($T605&lt;&gt;"""",REGEXEXTRACT($T605, O$1&amp;""[\w &amp;]*, (\d+\.\d+)""),"""")
"),"")</f>
        <v/>
      </c>
      <c r="P605" s="2"/>
      <c r="Q605" s="2"/>
      <c r="R605" s="2"/>
      <c r="S605" s="2"/>
      <c r="T605" s="5"/>
    </row>
    <row r="606" customFormat="false" ht="15.75" hidden="false" customHeight="false" outlineLevel="0" collapsed="false">
      <c r="A606" s="4"/>
      <c r="B606" s="2"/>
      <c r="C606" s="2"/>
      <c r="D606" s="2"/>
      <c r="E606" s="2"/>
      <c r="F606" s="3" t="str">
        <f aca="false">IFERROR(__xludf.dummyfunction("if($T606&lt;&gt;"""",REGEXEXTRACT(SUBSTITUTE ($T606,F$1&amp;"" CE"",""""), F$1&amp;""[\w &amp;]*, (\d+\.\d+)""),"""")
"),"")</f>
        <v/>
      </c>
      <c r="G606" s="3" t="str">
        <f aca="false">IFERROR(__xludf.dummyfunction("if($T606&lt;&gt;"""",REGEXEXTRACT($T606, G$1&amp;""[\w &amp;]*, (\d+\.\d+)""),"""")
"),"")</f>
        <v/>
      </c>
      <c r="H606" s="3"/>
      <c r="I606" s="3" t="str">
        <f aca="false">IFERROR(__xludf.dummyfunction("if($T606&lt;&gt;"""",REGEXEXTRACT(SUBSTITUTE ($T606,I$1&amp;"" CE"",""""), I$1&amp;""[\w &amp;]*, (\d+\.\d+)""),"""")
"),"")</f>
        <v/>
      </c>
      <c r="J606" s="3" t="str">
        <f aca="false">IFERROR(__xludf.dummyfunction("if($T606&lt;&gt;"""",REGEXEXTRACT($T606, J$1&amp;""[\w &amp;]*, (\d+\.\d+)""),"""")
"),"")</f>
        <v/>
      </c>
      <c r="K606" s="3"/>
      <c r="L606" s="3" t="str">
        <f aca="false">IFERROR(__xludf.dummyfunction("if($T606&lt;&gt;"""",REGEXEXTRACT(SUBSTITUTE ($T606,L$1&amp;"" CE"",""""), L$1&amp;""[\w &amp;]*, (\d+\.\d+)""),"""")
"),"")</f>
        <v/>
      </c>
      <c r="M606" s="3" t="str">
        <f aca="false">IFERROR(__xludf.dummyfunction("if($T606&lt;&gt;"""",REGEXEXTRACT($T606, M$1&amp;""[\w &amp;]*, (\d+\.\d+)""),"""")
"),"")</f>
        <v/>
      </c>
      <c r="N606" s="3" t="str">
        <f aca="false">IFERROR(__xludf.dummyfunction("if($T606&lt;&gt;"""",REGEXEXTRACT(SUBSTITUTE ($T606,N$1&amp;"" CE"",""""), N$1&amp;""[\w &amp;]*, (\d+\.\d+)""),"""")
"),"")</f>
        <v/>
      </c>
      <c r="O606" s="3" t="str">
        <f aca="false">IFERROR(__xludf.dummyfunction("if($T606&lt;&gt;"""",REGEXEXTRACT($T606, O$1&amp;""[\w &amp;]*, (\d+\.\d+)""),"""")
"),"")</f>
        <v/>
      </c>
      <c r="P606" s="2"/>
      <c r="Q606" s="2"/>
      <c r="R606" s="2"/>
      <c r="S606" s="2"/>
      <c r="T606" s="5"/>
    </row>
    <row r="607" customFormat="false" ht="15.75" hidden="false" customHeight="false" outlineLevel="0" collapsed="false">
      <c r="A607" s="4"/>
      <c r="B607" s="2"/>
      <c r="C607" s="2"/>
      <c r="D607" s="2"/>
      <c r="E607" s="2"/>
      <c r="F607" s="3" t="str">
        <f aca="false">IFERROR(__xludf.dummyfunction("if($T607&lt;&gt;"""",REGEXEXTRACT(SUBSTITUTE ($T607,F$1&amp;"" CE"",""""), F$1&amp;""[\w &amp;]*, (\d+\.\d+)""),"""")
"),"")</f>
        <v/>
      </c>
      <c r="G607" s="3" t="str">
        <f aca="false">IFERROR(__xludf.dummyfunction("if($T607&lt;&gt;"""",REGEXEXTRACT($T607, G$1&amp;""[\w &amp;]*, (\d+\.\d+)""),"""")
"),"")</f>
        <v/>
      </c>
      <c r="H607" s="3"/>
      <c r="I607" s="3" t="str">
        <f aca="false">IFERROR(__xludf.dummyfunction("if($T607&lt;&gt;"""",REGEXEXTRACT(SUBSTITUTE ($T607,I$1&amp;"" CE"",""""), I$1&amp;""[\w &amp;]*, (\d+\.\d+)""),"""")
"),"")</f>
        <v/>
      </c>
      <c r="J607" s="3" t="str">
        <f aca="false">IFERROR(__xludf.dummyfunction("if($T607&lt;&gt;"""",REGEXEXTRACT($T607, J$1&amp;""[\w &amp;]*, (\d+\.\d+)""),"""")
"),"")</f>
        <v/>
      </c>
      <c r="K607" s="3"/>
      <c r="L607" s="3" t="str">
        <f aca="false">IFERROR(__xludf.dummyfunction("if($T607&lt;&gt;"""",REGEXEXTRACT(SUBSTITUTE ($T607,L$1&amp;"" CE"",""""), L$1&amp;""[\w &amp;]*, (\d+\.\d+)""),"""")
"),"")</f>
        <v/>
      </c>
      <c r="M607" s="3" t="str">
        <f aca="false">IFERROR(__xludf.dummyfunction("if($T607&lt;&gt;"""",REGEXEXTRACT($T607, M$1&amp;""[\w &amp;]*, (\d+\.\d+)""),"""")
"),"")</f>
        <v/>
      </c>
      <c r="N607" s="3" t="str">
        <f aca="false">IFERROR(__xludf.dummyfunction("if($T607&lt;&gt;"""",REGEXEXTRACT(SUBSTITUTE ($T607,N$1&amp;"" CE"",""""), N$1&amp;""[\w &amp;]*, (\d+\.\d+)""),"""")
"),"")</f>
        <v/>
      </c>
      <c r="O607" s="3" t="str">
        <f aca="false">IFERROR(__xludf.dummyfunction("if($T607&lt;&gt;"""",REGEXEXTRACT($T607, O$1&amp;""[\w &amp;]*, (\d+\.\d+)""),"""")
"),"")</f>
        <v/>
      </c>
      <c r="P607" s="2"/>
      <c r="Q607" s="2"/>
      <c r="R607" s="2"/>
      <c r="S607" s="2"/>
      <c r="T607" s="5"/>
    </row>
    <row r="608" customFormat="false" ht="15.75" hidden="false" customHeight="false" outlineLevel="0" collapsed="false">
      <c r="A608" s="4"/>
      <c r="B608" s="2"/>
      <c r="C608" s="2"/>
      <c r="D608" s="2"/>
      <c r="E608" s="2"/>
      <c r="F608" s="3" t="str">
        <f aca="false">IFERROR(__xludf.dummyfunction("if($T608&lt;&gt;"""",REGEXEXTRACT(SUBSTITUTE ($T608,F$1&amp;"" CE"",""""), F$1&amp;""[\w &amp;]*, (\d+\.\d+)""),"""")
"),"")</f>
        <v/>
      </c>
      <c r="G608" s="3" t="str">
        <f aca="false">IFERROR(__xludf.dummyfunction("if($T608&lt;&gt;"""",REGEXEXTRACT($T608, G$1&amp;""[\w &amp;]*, (\d+\.\d+)""),"""")
"),"")</f>
        <v/>
      </c>
      <c r="H608" s="3"/>
      <c r="I608" s="3" t="str">
        <f aca="false">IFERROR(__xludf.dummyfunction("if($T608&lt;&gt;"""",REGEXEXTRACT(SUBSTITUTE ($T608,I$1&amp;"" CE"",""""), I$1&amp;""[\w &amp;]*, (\d+\.\d+)""),"""")
"),"")</f>
        <v/>
      </c>
      <c r="J608" s="3" t="str">
        <f aca="false">IFERROR(__xludf.dummyfunction("if($T608&lt;&gt;"""",REGEXEXTRACT($T608, J$1&amp;""[\w &amp;]*, (\d+\.\d+)""),"""")
"),"")</f>
        <v/>
      </c>
      <c r="K608" s="3"/>
      <c r="L608" s="3" t="str">
        <f aca="false">IFERROR(__xludf.dummyfunction("if($T608&lt;&gt;"""",REGEXEXTRACT(SUBSTITUTE ($T608,L$1&amp;"" CE"",""""), L$1&amp;""[\w &amp;]*, (\d+\.\d+)""),"""")
"),"")</f>
        <v/>
      </c>
      <c r="M608" s="3" t="str">
        <f aca="false">IFERROR(__xludf.dummyfunction("if($T608&lt;&gt;"""",REGEXEXTRACT($T608, M$1&amp;""[\w &amp;]*, (\d+\.\d+)""),"""")
"),"")</f>
        <v/>
      </c>
      <c r="N608" s="3" t="str">
        <f aca="false">IFERROR(__xludf.dummyfunction("if($T608&lt;&gt;"""",REGEXEXTRACT(SUBSTITUTE ($T608,N$1&amp;"" CE"",""""), N$1&amp;""[\w &amp;]*, (\d+\.\d+)""),"""")
"),"")</f>
        <v/>
      </c>
      <c r="O608" s="3" t="str">
        <f aca="false">IFERROR(__xludf.dummyfunction("if($T608&lt;&gt;"""",REGEXEXTRACT($T608, O$1&amp;""[\w &amp;]*, (\d+\.\d+)""),"""")
"),"")</f>
        <v/>
      </c>
      <c r="P608" s="2"/>
      <c r="Q608" s="2"/>
      <c r="R608" s="2"/>
      <c r="S608" s="2"/>
      <c r="T608" s="5"/>
    </row>
    <row r="609" customFormat="false" ht="15.75" hidden="false" customHeight="false" outlineLevel="0" collapsed="false">
      <c r="A609" s="4"/>
      <c r="B609" s="2"/>
      <c r="C609" s="2"/>
      <c r="D609" s="2"/>
      <c r="E609" s="2"/>
      <c r="F609" s="3" t="str">
        <f aca="false">IFERROR(__xludf.dummyfunction("if($T609&lt;&gt;"""",REGEXEXTRACT(SUBSTITUTE ($T609,F$1&amp;"" CE"",""""), F$1&amp;""[\w &amp;]*, (\d+\.\d+)""),"""")
"),"")</f>
        <v/>
      </c>
      <c r="G609" s="3" t="str">
        <f aca="false">IFERROR(__xludf.dummyfunction("if($T609&lt;&gt;"""",REGEXEXTRACT($T609, G$1&amp;""[\w &amp;]*, (\d+\.\d+)""),"""")
"),"")</f>
        <v/>
      </c>
      <c r="H609" s="3"/>
      <c r="I609" s="3" t="str">
        <f aca="false">IFERROR(__xludf.dummyfunction("if($T609&lt;&gt;"""",REGEXEXTRACT(SUBSTITUTE ($T609,I$1&amp;"" CE"",""""), I$1&amp;""[\w &amp;]*, (\d+\.\d+)""),"""")
"),"")</f>
        <v/>
      </c>
      <c r="J609" s="3" t="str">
        <f aca="false">IFERROR(__xludf.dummyfunction("if($T609&lt;&gt;"""",REGEXEXTRACT($T609, J$1&amp;""[\w &amp;]*, (\d+\.\d+)""),"""")
"),"")</f>
        <v/>
      </c>
      <c r="K609" s="3"/>
      <c r="L609" s="3" t="str">
        <f aca="false">IFERROR(__xludf.dummyfunction("if($T609&lt;&gt;"""",REGEXEXTRACT(SUBSTITUTE ($T609,L$1&amp;"" CE"",""""), L$1&amp;""[\w &amp;]*, (\d+\.\d+)""),"""")
"),"")</f>
        <v/>
      </c>
      <c r="M609" s="3" t="str">
        <f aca="false">IFERROR(__xludf.dummyfunction("if($T609&lt;&gt;"""",REGEXEXTRACT($T609, M$1&amp;""[\w &amp;]*, (\d+\.\d+)""),"""")
"),"")</f>
        <v/>
      </c>
      <c r="N609" s="3" t="str">
        <f aca="false">IFERROR(__xludf.dummyfunction("if($T609&lt;&gt;"""",REGEXEXTRACT(SUBSTITUTE ($T609,N$1&amp;"" CE"",""""), N$1&amp;""[\w &amp;]*, (\d+\.\d+)""),"""")
"),"")</f>
        <v/>
      </c>
      <c r="O609" s="3" t="str">
        <f aca="false">IFERROR(__xludf.dummyfunction("if($T609&lt;&gt;"""",REGEXEXTRACT($T609, O$1&amp;""[\w &amp;]*, (\d+\.\d+)""),"""")
"),"")</f>
        <v/>
      </c>
      <c r="P609" s="2"/>
      <c r="Q609" s="2"/>
      <c r="R609" s="2"/>
      <c r="S609" s="2"/>
      <c r="T609" s="5"/>
    </row>
    <row r="610" customFormat="false" ht="15.75" hidden="false" customHeight="false" outlineLevel="0" collapsed="false">
      <c r="A610" s="4"/>
      <c r="B610" s="2"/>
      <c r="C610" s="2"/>
      <c r="D610" s="2"/>
      <c r="E610" s="2"/>
      <c r="F610" s="3" t="str">
        <f aca="false">IFERROR(__xludf.dummyfunction("if($T610&lt;&gt;"""",REGEXEXTRACT(SUBSTITUTE ($T610,F$1&amp;"" CE"",""""), F$1&amp;""[\w &amp;]*, (\d+\.\d+)""),"""")
"),"")</f>
        <v/>
      </c>
      <c r="G610" s="3" t="str">
        <f aca="false">IFERROR(__xludf.dummyfunction("if($T610&lt;&gt;"""",REGEXEXTRACT($T610, G$1&amp;""[\w &amp;]*, (\d+\.\d+)""),"""")
"),"")</f>
        <v/>
      </c>
      <c r="H610" s="3"/>
      <c r="I610" s="3" t="str">
        <f aca="false">IFERROR(__xludf.dummyfunction("if($T610&lt;&gt;"""",REGEXEXTRACT(SUBSTITUTE ($T610,I$1&amp;"" CE"",""""), I$1&amp;""[\w &amp;]*, (\d+\.\d+)""),"""")
"),"")</f>
        <v/>
      </c>
      <c r="J610" s="3" t="str">
        <f aca="false">IFERROR(__xludf.dummyfunction("if($T610&lt;&gt;"""",REGEXEXTRACT($T610, J$1&amp;""[\w &amp;]*, (\d+\.\d+)""),"""")
"),"")</f>
        <v/>
      </c>
      <c r="K610" s="3"/>
      <c r="L610" s="3" t="str">
        <f aca="false">IFERROR(__xludf.dummyfunction("if($T610&lt;&gt;"""",REGEXEXTRACT(SUBSTITUTE ($T610,L$1&amp;"" CE"",""""), L$1&amp;""[\w &amp;]*, (\d+\.\d+)""),"""")
"),"")</f>
        <v/>
      </c>
      <c r="M610" s="3" t="str">
        <f aca="false">IFERROR(__xludf.dummyfunction("if($T610&lt;&gt;"""",REGEXEXTRACT($T610, M$1&amp;""[\w &amp;]*, (\d+\.\d+)""),"""")
"),"")</f>
        <v/>
      </c>
      <c r="N610" s="3" t="str">
        <f aca="false">IFERROR(__xludf.dummyfunction("if($T610&lt;&gt;"""",REGEXEXTRACT(SUBSTITUTE ($T610,N$1&amp;"" CE"",""""), N$1&amp;""[\w &amp;]*, (\d+\.\d+)""),"""")
"),"")</f>
        <v/>
      </c>
      <c r="O610" s="3" t="str">
        <f aca="false">IFERROR(__xludf.dummyfunction("if($T610&lt;&gt;"""",REGEXEXTRACT($T610, O$1&amp;""[\w &amp;]*, (\d+\.\d+)""),"""")
"),"")</f>
        <v/>
      </c>
      <c r="P610" s="2"/>
      <c r="Q610" s="2"/>
      <c r="R610" s="2"/>
      <c r="S610" s="2"/>
      <c r="T610" s="5"/>
    </row>
    <row r="611" customFormat="false" ht="15.75" hidden="false" customHeight="false" outlineLevel="0" collapsed="false">
      <c r="A611" s="4"/>
      <c r="B611" s="2"/>
      <c r="C611" s="2"/>
      <c r="D611" s="2"/>
      <c r="E611" s="2"/>
      <c r="F611" s="3" t="str">
        <f aca="false">IFERROR(__xludf.dummyfunction("if($T611&lt;&gt;"""",REGEXEXTRACT(SUBSTITUTE ($T611,F$1&amp;"" CE"",""""), F$1&amp;""[\w &amp;]*, (\d+\.\d+)""),"""")
"),"")</f>
        <v/>
      </c>
      <c r="G611" s="3" t="str">
        <f aca="false">IFERROR(__xludf.dummyfunction("if($T611&lt;&gt;"""",REGEXEXTRACT($T611, G$1&amp;""[\w &amp;]*, (\d+\.\d+)""),"""")
"),"")</f>
        <v/>
      </c>
      <c r="H611" s="3"/>
      <c r="I611" s="3" t="str">
        <f aca="false">IFERROR(__xludf.dummyfunction("if($T611&lt;&gt;"""",REGEXEXTRACT(SUBSTITUTE ($T611,I$1&amp;"" CE"",""""), I$1&amp;""[\w &amp;]*, (\d+\.\d+)""),"""")
"),"")</f>
        <v/>
      </c>
      <c r="J611" s="3" t="str">
        <f aca="false">IFERROR(__xludf.dummyfunction("if($T611&lt;&gt;"""",REGEXEXTRACT($T611, J$1&amp;""[\w &amp;]*, (\d+\.\d+)""),"""")
"),"")</f>
        <v/>
      </c>
      <c r="K611" s="3"/>
      <c r="L611" s="3" t="str">
        <f aca="false">IFERROR(__xludf.dummyfunction("if($T611&lt;&gt;"""",REGEXEXTRACT(SUBSTITUTE ($T611,L$1&amp;"" CE"",""""), L$1&amp;""[\w &amp;]*, (\d+\.\d+)""),"""")
"),"")</f>
        <v/>
      </c>
      <c r="M611" s="3" t="str">
        <f aca="false">IFERROR(__xludf.dummyfunction("if($T611&lt;&gt;"""",REGEXEXTRACT($T611, M$1&amp;""[\w &amp;]*, (\d+\.\d+)""),"""")
"),"")</f>
        <v/>
      </c>
      <c r="N611" s="3" t="str">
        <f aca="false">IFERROR(__xludf.dummyfunction("if($T611&lt;&gt;"""",REGEXEXTRACT(SUBSTITUTE ($T611,N$1&amp;"" CE"",""""), N$1&amp;""[\w &amp;]*, (\d+\.\d+)""),"""")
"),"")</f>
        <v/>
      </c>
      <c r="O611" s="3" t="str">
        <f aca="false">IFERROR(__xludf.dummyfunction("if($T611&lt;&gt;"""",REGEXEXTRACT($T611, O$1&amp;""[\w &amp;]*, (\d+\.\d+)""),"""")
"),"")</f>
        <v/>
      </c>
      <c r="P611" s="2"/>
      <c r="Q611" s="2"/>
      <c r="R611" s="2"/>
      <c r="S611" s="2"/>
      <c r="T611" s="5"/>
    </row>
    <row r="612" customFormat="false" ht="15.75" hidden="false" customHeight="false" outlineLevel="0" collapsed="false">
      <c r="A612" s="4"/>
      <c r="B612" s="2"/>
      <c r="C612" s="2"/>
      <c r="D612" s="2"/>
      <c r="E612" s="2"/>
      <c r="F612" s="3" t="str">
        <f aca="false">IFERROR(__xludf.dummyfunction("if($T612&lt;&gt;"""",REGEXEXTRACT(SUBSTITUTE ($T612,F$1&amp;"" CE"",""""), F$1&amp;""[\w &amp;]*, (\d+\.\d+)""),"""")
"),"")</f>
        <v/>
      </c>
      <c r="G612" s="3" t="str">
        <f aca="false">IFERROR(__xludf.dummyfunction("if($T612&lt;&gt;"""",REGEXEXTRACT($T612, G$1&amp;""[\w &amp;]*, (\d+\.\d+)""),"""")
"),"")</f>
        <v/>
      </c>
      <c r="H612" s="3"/>
      <c r="I612" s="3" t="str">
        <f aca="false">IFERROR(__xludf.dummyfunction("if($T612&lt;&gt;"""",REGEXEXTRACT(SUBSTITUTE ($T612,I$1&amp;"" CE"",""""), I$1&amp;""[\w &amp;]*, (\d+\.\d+)""),"""")
"),"")</f>
        <v/>
      </c>
      <c r="J612" s="3" t="str">
        <f aca="false">IFERROR(__xludf.dummyfunction("if($T612&lt;&gt;"""",REGEXEXTRACT($T612, J$1&amp;""[\w &amp;]*, (\d+\.\d+)""),"""")
"),"")</f>
        <v/>
      </c>
      <c r="K612" s="3"/>
      <c r="L612" s="3" t="str">
        <f aca="false">IFERROR(__xludf.dummyfunction("if($T612&lt;&gt;"""",REGEXEXTRACT(SUBSTITUTE ($T612,L$1&amp;"" CE"",""""), L$1&amp;""[\w &amp;]*, (\d+\.\d+)""),"""")
"),"")</f>
        <v/>
      </c>
      <c r="M612" s="3" t="str">
        <f aca="false">IFERROR(__xludf.dummyfunction("if($T612&lt;&gt;"""",REGEXEXTRACT($T612, M$1&amp;""[\w &amp;]*, (\d+\.\d+)""),"""")
"),"")</f>
        <v/>
      </c>
      <c r="N612" s="3" t="str">
        <f aca="false">IFERROR(__xludf.dummyfunction("if($T612&lt;&gt;"""",REGEXEXTRACT(SUBSTITUTE ($T612,N$1&amp;"" CE"",""""), N$1&amp;""[\w &amp;]*, (\d+\.\d+)""),"""")
"),"")</f>
        <v/>
      </c>
      <c r="O612" s="3" t="str">
        <f aca="false">IFERROR(__xludf.dummyfunction("if($T612&lt;&gt;"""",REGEXEXTRACT($T612, O$1&amp;""[\w &amp;]*, (\d+\.\d+)""),"""")
"),"")</f>
        <v/>
      </c>
      <c r="P612" s="2"/>
      <c r="Q612" s="2"/>
      <c r="R612" s="2"/>
      <c r="S612" s="2"/>
      <c r="T612" s="5"/>
    </row>
    <row r="613" customFormat="false" ht="15.75" hidden="false" customHeight="false" outlineLevel="0" collapsed="false">
      <c r="A613" s="4"/>
      <c r="B613" s="2"/>
      <c r="C613" s="2"/>
      <c r="D613" s="2"/>
      <c r="E613" s="2"/>
      <c r="F613" s="3" t="str">
        <f aca="false">IFERROR(__xludf.dummyfunction("if($T613&lt;&gt;"""",REGEXEXTRACT(SUBSTITUTE ($T613,F$1&amp;"" CE"",""""), F$1&amp;""[\w &amp;]*, (\d+\.\d+)""),"""")
"),"")</f>
        <v/>
      </c>
      <c r="G613" s="3" t="str">
        <f aca="false">IFERROR(__xludf.dummyfunction("if($T613&lt;&gt;"""",REGEXEXTRACT($T613, G$1&amp;""[\w &amp;]*, (\d+\.\d+)""),"""")
"),"")</f>
        <v/>
      </c>
      <c r="H613" s="3"/>
      <c r="I613" s="3" t="str">
        <f aca="false">IFERROR(__xludf.dummyfunction("if($T613&lt;&gt;"""",REGEXEXTRACT(SUBSTITUTE ($T613,I$1&amp;"" CE"",""""), I$1&amp;""[\w &amp;]*, (\d+\.\d+)""),"""")
"),"")</f>
        <v/>
      </c>
      <c r="J613" s="3" t="str">
        <f aca="false">IFERROR(__xludf.dummyfunction("if($T613&lt;&gt;"""",REGEXEXTRACT($T613, J$1&amp;""[\w &amp;]*, (\d+\.\d+)""),"""")
"),"")</f>
        <v/>
      </c>
      <c r="K613" s="3"/>
      <c r="L613" s="3" t="str">
        <f aca="false">IFERROR(__xludf.dummyfunction("if($T613&lt;&gt;"""",REGEXEXTRACT(SUBSTITUTE ($T613,L$1&amp;"" CE"",""""), L$1&amp;""[\w &amp;]*, (\d+\.\d+)""),"""")
"),"")</f>
        <v/>
      </c>
      <c r="M613" s="3" t="str">
        <f aca="false">IFERROR(__xludf.dummyfunction("if($T613&lt;&gt;"""",REGEXEXTRACT($T613, M$1&amp;""[\w &amp;]*, (\d+\.\d+)""),"""")
"),"")</f>
        <v/>
      </c>
      <c r="N613" s="3" t="str">
        <f aca="false">IFERROR(__xludf.dummyfunction("if($T613&lt;&gt;"""",REGEXEXTRACT(SUBSTITUTE ($T613,N$1&amp;"" CE"",""""), N$1&amp;""[\w &amp;]*, (\d+\.\d+)""),"""")
"),"")</f>
        <v/>
      </c>
      <c r="O613" s="3" t="str">
        <f aca="false">IFERROR(__xludf.dummyfunction("if($T613&lt;&gt;"""",REGEXEXTRACT($T613, O$1&amp;""[\w &amp;]*, (\d+\.\d+)""),"""")
"),"")</f>
        <v/>
      </c>
      <c r="P613" s="2"/>
      <c r="Q613" s="2"/>
      <c r="R613" s="2"/>
      <c r="S613" s="2"/>
      <c r="T613" s="5"/>
    </row>
    <row r="614" customFormat="false" ht="15.75" hidden="false" customHeight="false" outlineLevel="0" collapsed="false">
      <c r="A614" s="4"/>
      <c r="B614" s="2"/>
      <c r="C614" s="2"/>
      <c r="D614" s="2"/>
      <c r="E614" s="2"/>
      <c r="F614" s="3" t="str">
        <f aca="false">IFERROR(__xludf.dummyfunction("if($T614&lt;&gt;"""",REGEXEXTRACT(SUBSTITUTE ($T614,F$1&amp;"" CE"",""""), F$1&amp;""[\w &amp;]*, (\d+\.\d+)""),"""")
"),"")</f>
        <v/>
      </c>
      <c r="G614" s="3" t="str">
        <f aca="false">IFERROR(__xludf.dummyfunction("if($T614&lt;&gt;"""",REGEXEXTRACT($T614, G$1&amp;""[\w &amp;]*, (\d+\.\d+)""),"""")
"),"")</f>
        <v/>
      </c>
      <c r="H614" s="3"/>
      <c r="I614" s="3" t="str">
        <f aca="false">IFERROR(__xludf.dummyfunction("if($T614&lt;&gt;"""",REGEXEXTRACT(SUBSTITUTE ($T614,I$1&amp;"" CE"",""""), I$1&amp;""[\w &amp;]*, (\d+\.\d+)""),"""")
"),"")</f>
        <v/>
      </c>
      <c r="J614" s="3" t="str">
        <f aca="false">IFERROR(__xludf.dummyfunction("if($T614&lt;&gt;"""",REGEXEXTRACT($T614, J$1&amp;""[\w &amp;]*, (\d+\.\d+)""),"""")
"),"")</f>
        <v/>
      </c>
      <c r="K614" s="3"/>
      <c r="L614" s="3" t="str">
        <f aca="false">IFERROR(__xludf.dummyfunction("if($T614&lt;&gt;"""",REGEXEXTRACT(SUBSTITUTE ($T614,L$1&amp;"" CE"",""""), L$1&amp;""[\w &amp;]*, (\d+\.\d+)""),"""")
"),"")</f>
        <v/>
      </c>
      <c r="M614" s="3" t="str">
        <f aca="false">IFERROR(__xludf.dummyfunction("if($T614&lt;&gt;"""",REGEXEXTRACT($T614, M$1&amp;""[\w &amp;]*, (\d+\.\d+)""),"""")
"),"")</f>
        <v/>
      </c>
      <c r="N614" s="3" t="str">
        <f aca="false">IFERROR(__xludf.dummyfunction("if($T614&lt;&gt;"""",REGEXEXTRACT(SUBSTITUTE ($T614,N$1&amp;"" CE"",""""), N$1&amp;""[\w &amp;]*, (\d+\.\d+)""),"""")
"),"")</f>
        <v/>
      </c>
      <c r="O614" s="3" t="str">
        <f aca="false">IFERROR(__xludf.dummyfunction("if($T614&lt;&gt;"""",REGEXEXTRACT($T614, O$1&amp;""[\w &amp;]*, (\d+\.\d+)""),"""")
"),"")</f>
        <v/>
      </c>
      <c r="P614" s="2"/>
      <c r="Q614" s="2"/>
      <c r="R614" s="2"/>
      <c r="S614" s="2"/>
      <c r="T614" s="5"/>
    </row>
    <row r="615" customFormat="false" ht="15.75" hidden="false" customHeight="false" outlineLevel="0" collapsed="false">
      <c r="A615" s="4"/>
      <c r="B615" s="2"/>
      <c r="C615" s="2"/>
      <c r="D615" s="2"/>
      <c r="E615" s="2"/>
      <c r="F615" s="3" t="str">
        <f aca="false">IFERROR(__xludf.dummyfunction("if($T615&lt;&gt;"""",REGEXEXTRACT(SUBSTITUTE ($T615,F$1&amp;"" CE"",""""), F$1&amp;""[\w &amp;]*, (\d+\.\d+)""),"""")
"),"")</f>
        <v/>
      </c>
      <c r="G615" s="3" t="str">
        <f aca="false">IFERROR(__xludf.dummyfunction("if($T615&lt;&gt;"""",REGEXEXTRACT($T615, G$1&amp;""[\w &amp;]*, (\d+\.\d+)""),"""")
"),"")</f>
        <v/>
      </c>
      <c r="H615" s="3"/>
      <c r="I615" s="3" t="str">
        <f aca="false">IFERROR(__xludf.dummyfunction("if($T615&lt;&gt;"""",REGEXEXTRACT(SUBSTITUTE ($T615,I$1&amp;"" CE"",""""), I$1&amp;""[\w &amp;]*, (\d+\.\d+)""),"""")
"),"")</f>
        <v/>
      </c>
      <c r="J615" s="3" t="str">
        <f aca="false">IFERROR(__xludf.dummyfunction("if($T615&lt;&gt;"""",REGEXEXTRACT($T615, J$1&amp;""[\w &amp;]*, (\d+\.\d+)""),"""")
"),"")</f>
        <v/>
      </c>
      <c r="K615" s="3"/>
      <c r="L615" s="3" t="str">
        <f aca="false">IFERROR(__xludf.dummyfunction("if($T615&lt;&gt;"""",REGEXEXTRACT(SUBSTITUTE ($T615,L$1&amp;"" CE"",""""), L$1&amp;""[\w &amp;]*, (\d+\.\d+)""),"""")
"),"")</f>
        <v/>
      </c>
      <c r="M615" s="3" t="str">
        <f aca="false">IFERROR(__xludf.dummyfunction("if($T615&lt;&gt;"""",REGEXEXTRACT($T615, M$1&amp;""[\w &amp;]*, (\d+\.\d+)""),"""")
"),"")</f>
        <v/>
      </c>
      <c r="N615" s="3" t="str">
        <f aca="false">IFERROR(__xludf.dummyfunction("if($T615&lt;&gt;"""",REGEXEXTRACT(SUBSTITUTE ($T615,N$1&amp;"" CE"",""""), N$1&amp;""[\w &amp;]*, (\d+\.\d+)""),"""")
"),"")</f>
        <v/>
      </c>
      <c r="O615" s="3" t="str">
        <f aca="false">IFERROR(__xludf.dummyfunction("if($T615&lt;&gt;"""",REGEXEXTRACT($T615, O$1&amp;""[\w &amp;]*, (\d+\.\d+)""),"""")
"),"")</f>
        <v/>
      </c>
      <c r="P615" s="2"/>
      <c r="Q615" s="2"/>
      <c r="R615" s="2"/>
      <c r="S615" s="2"/>
      <c r="T615" s="5"/>
    </row>
    <row r="616" customFormat="false" ht="15.75" hidden="false" customHeight="false" outlineLevel="0" collapsed="false">
      <c r="A616" s="4"/>
      <c r="B616" s="2"/>
      <c r="C616" s="2"/>
      <c r="D616" s="2"/>
      <c r="E616" s="2"/>
      <c r="F616" s="3" t="str">
        <f aca="false">IFERROR(__xludf.dummyfunction("if($T616&lt;&gt;"""",REGEXEXTRACT(SUBSTITUTE ($T616,F$1&amp;"" CE"",""""), F$1&amp;""[\w &amp;]*, (\d+\.\d+)""),"""")
"),"")</f>
        <v/>
      </c>
      <c r="G616" s="3" t="str">
        <f aca="false">IFERROR(__xludf.dummyfunction("if($T616&lt;&gt;"""",REGEXEXTRACT($T616, G$1&amp;""[\w &amp;]*, (\d+\.\d+)""),"""")
"),"")</f>
        <v/>
      </c>
      <c r="H616" s="3"/>
      <c r="I616" s="3" t="str">
        <f aca="false">IFERROR(__xludf.dummyfunction("if($T616&lt;&gt;"""",REGEXEXTRACT(SUBSTITUTE ($T616,I$1&amp;"" CE"",""""), I$1&amp;""[\w &amp;]*, (\d+\.\d+)""),"""")
"),"")</f>
        <v/>
      </c>
      <c r="J616" s="3" t="str">
        <f aca="false">IFERROR(__xludf.dummyfunction("if($T616&lt;&gt;"""",REGEXEXTRACT($T616, J$1&amp;""[\w &amp;]*, (\d+\.\d+)""),"""")
"),"")</f>
        <v/>
      </c>
      <c r="K616" s="3"/>
      <c r="L616" s="3" t="str">
        <f aca="false">IFERROR(__xludf.dummyfunction("if($T616&lt;&gt;"""",REGEXEXTRACT(SUBSTITUTE ($T616,L$1&amp;"" CE"",""""), L$1&amp;""[\w &amp;]*, (\d+\.\d+)""),"""")
"),"")</f>
        <v/>
      </c>
      <c r="M616" s="3" t="str">
        <f aca="false">IFERROR(__xludf.dummyfunction("if($T616&lt;&gt;"""",REGEXEXTRACT($T616, M$1&amp;""[\w &amp;]*, (\d+\.\d+)""),"""")
"),"")</f>
        <v/>
      </c>
      <c r="N616" s="3" t="str">
        <f aca="false">IFERROR(__xludf.dummyfunction("if($T616&lt;&gt;"""",REGEXEXTRACT(SUBSTITUTE ($T616,N$1&amp;"" CE"",""""), N$1&amp;""[\w &amp;]*, (\d+\.\d+)""),"""")
"),"")</f>
        <v/>
      </c>
      <c r="O616" s="3" t="str">
        <f aca="false">IFERROR(__xludf.dummyfunction("if($T616&lt;&gt;"""",REGEXEXTRACT($T616, O$1&amp;""[\w &amp;]*, (\d+\.\d+)""),"""")
"),"")</f>
        <v/>
      </c>
      <c r="P616" s="2"/>
      <c r="Q616" s="2"/>
      <c r="R616" s="2"/>
      <c r="S616" s="2"/>
      <c r="T616" s="5"/>
    </row>
    <row r="617" customFormat="false" ht="15.75" hidden="false" customHeight="false" outlineLevel="0" collapsed="false">
      <c r="A617" s="4"/>
      <c r="B617" s="2"/>
      <c r="C617" s="2"/>
      <c r="D617" s="2"/>
      <c r="E617" s="2"/>
      <c r="F617" s="3" t="str">
        <f aca="false">IFERROR(__xludf.dummyfunction("if($T617&lt;&gt;"""",REGEXEXTRACT(SUBSTITUTE ($T617,F$1&amp;"" CE"",""""), F$1&amp;""[\w &amp;]*, (\d+\.\d+)""),"""")
"),"")</f>
        <v/>
      </c>
      <c r="G617" s="3" t="str">
        <f aca="false">IFERROR(__xludf.dummyfunction("if($T617&lt;&gt;"""",REGEXEXTRACT($T617, G$1&amp;""[\w &amp;]*, (\d+\.\d+)""),"""")
"),"")</f>
        <v/>
      </c>
      <c r="H617" s="3"/>
      <c r="I617" s="3" t="str">
        <f aca="false">IFERROR(__xludf.dummyfunction("if($T617&lt;&gt;"""",REGEXEXTRACT(SUBSTITUTE ($T617,I$1&amp;"" CE"",""""), I$1&amp;""[\w &amp;]*, (\d+\.\d+)""),"""")
"),"")</f>
        <v/>
      </c>
      <c r="J617" s="3" t="str">
        <f aca="false">IFERROR(__xludf.dummyfunction("if($T617&lt;&gt;"""",REGEXEXTRACT($T617, J$1&amp;""[\w &amp;]*, (\d+\.\d+)""),"""")
"),"")</f>
        <v/>
      </c>
      <c r="K617" s="3"/>
      <c r="L617" s="3" t="str">
        <f aca="false">IFERROR(__xludf.dummyfunction("if($T617&lt;&gt;"""",REGEXEXTRACT(SUBSTITUTE ($T617,L$1&amp;"" CE"",""""), L$1&amp;""[\w &amp;]*, (\d+\.\d+)""),"""")
"),"")</f>
        <v/>
      </c>
      <c r="M617" s="3" t="str">
        <f aca="false">IFERROR(__xludf.dummyfunction("if($T617&lt;&gt;"""",REGEXEXTRACT($T617, M$1&amp;""[\w &amp;]*, (\d+\.\d+)""),"""")
"),"")</f>
        <v/>
      </c>
      <c r="N617" s="3" t="str">
        <f aca="false">IFERROR(__xludf.dummyfunction("if($T617&lt;&gt;"""",REGEXEXTRACT(SUBSTITUTE ($T617,N$1&amp;"" CE"",""""), N$1&amp;""[\w &amp;]*, (\d+\.\d+)""),"""")
"),"")</f>
        <v/>
      </c>
      <c r="O617" s="3" t="str">
        <f aca="false">IFERROR(__xludf.dummyfunction("if($T617&lt;&gt;"""",REGEXEXTRACT($T617, O$1&amp;""[\w &amp;]*, (\d+\.\d+)""),"""")
"),"")</f>
        <v/>
      </c>
      <c r="P617" s="2"/>
      <c r="Q617" s="2"/>
      <c r="R617" s="2"/>
      <c r="S617" s="2"/>
      <c r="T617" s="5"/>
    </row>
    <row r="618" customFormat="false" ht="15.75" hidden="false" customHeight="false" outlineLevel="0" collapsed="false">
      <c r="A618" s="4"/>
      <c r="B618" s="2"/>
      <c r="C618" s="2"/>
      <c r="D618" s="2"/>
      <c r="E618" s="2"/>
      <c r="F618" s="3" t="str">
        <f aca="false">IFERROR(__xludf.dummyfunction("if($T618&lt;&gt;"""",REGEXEXTRACT(SUBSTITUTE ($T618,F$1&amp;"" CE"",""""), F$1&amp;""[\w &amp;]*, (\d+\.\d+)""),"""")
"),"")</f>
        <v/>
      </c>
      <c r="G618" s="3" t="str">
        <f aca="false">IFERROR(__xludf.dummyfunction("if($T618&lt;&gt;"""",REGEXEXTRACT($T618, G$1&amp;""[\w &amp;]*, (\d+\.\d+)""),"""")
"),"")</f>
        <v/>
      </c>
      <c r="H618" s="3"/>
      <c r="I618" s="3" t="str">
        <f aca="false">IFERROR(__xludf.dummyfunction("if($T618&lt;&gt;"""",REGEXEXTRACT(SUBSTITUTE ($T618,I$1&amp;"" CE"",""""), I$1&amp;""[\w &amp;]*, (\d+\.\d+)""),"""")
"),"")</f>
        <v/>
      </c>
      <c r="J618" s="3" t="str">
        <f aca="false">IFERROR(__xludf.dummyfunction("if($T618&lt;&gt;"""",REGEXEXTRACT($T618, J$1&amp;""[\w &amp;]*, (\d+\.\d+)""),"""")
"),"")</f>
        <v/>
      </c>
      <c r="K618" s="3"/>
      <c r="L618" s="3" t="str">
        <f aca="false">IFERROR(__xludf.dummyfunction("if($T618&lt;&gt;"""",REGEXEXTRACT(SUBSTITUTE ($T618,L$1&amp;"" CE"",""""), L$1&amp;""[\w &amp;]*, (\d+\.\d+)""),"""")
"),"")</f>
        <v/>
      </c>
      <c r="M618" s="3" t="str">
        <f aca="false">IFERROR(__xludf.dummyfunction("if($T618&lt;&gt;"""",REGEXEXTRACT($T618, M$1&amp;""[\w &amp;]*, (\d+\.\d+)""),"""")
"),"")</f>
        <v/>
      </c>
      <c r="N618" s="3" t="str">
        <f aca="false">IFERROR(__xludf.dummyfunction("if($T618&lt;&gt;"""",REGEXEXTRACT(SUBSTITUTE ($T618,N$1&amp;"" CE"",""""), N$1&amp;""[\w &amp;]*, (\d+\.\d+)""),"""")
"),"")</f>
        <v/>
      </c>
      <c r="O618" s="3" t="str">
        <f aca="false">IFERROR(__xludf.dummyfunction("if($T618&lt;&gt;"""",REGEXEXTRACT($T618, O$1&amp;""[\w &amp;]*, (\d+\.\d+)""),"""")
"),"")</f>
        <v/>
      </c>
      <c r="P618" s="2"/>
      <c r="Q618" s="2"/>
      <c r="R618" s="2"/>
      <c r="S618" s="2"/>
      <c r="T618" s="5"/>
    </row>
    <row r="619" customFormat="false" ht="15.75" hidden="false" customHeight="false" outlineLevel="0" collapsed="false">
      <c r="A619" s="4"/>
      <c r="B619" s="2"/>
      <c r="C619" s="2"/>
      <c r="D619" s="2"/>
      <c r="E619" s="2"/>
      <c r="F619" s="3" t="str">
        <f aca="false">IFERROR(__xludf.dummyfunction("if($T619&lt;&gt;"""",REGEXEXTRACT(SUBSTITUTE ($T619,F$1&amp;"" CE"",""""), F$1&amp;""[\w &amp;]*, (\d+\.\d+)""),"""")
"),"")</f>
        <v/>
      </c>
      <c r="G619" s="3" t="str">
        <f aca="false">IFERROR(__xludf.dummyfunction("if($T619&lt;&gt;"""",REGEXEXTRACT($T619, G$1&amp;""[\w &amp;]*, (\d+\.\d+)""),"""")
"),"")</f>
        <v/>
      </c>
      <c r="H619" s="3"/>
      <c r="I619" s="3" t="str">
        <f aca="false">IFERROR(__xludf.dummyfunction("if($T619&lt;&gt;"""",REGEXEXTRACT(SUBSTITUTE ($T619,I$1&amp;"" CE"",""""), I$1&amp;""[\w &amp;]*, (\d+\.\d+)""),"""")
"),"")</f>
        <v/>
      </c>
      <c r="J619" s="3" t="str">
        <f aca="false">IFERROR(__xludf.dummyfunction("if($T619&lt;&gt;"""",REGEXEXTRACT($T619, J$1&amp;""[\w &amp;]*, (\d+\.\d+)""),"""")
"),"")</f>
        <v/>
      </c>
      <c r="K619" s="3"/>
      <c r="L619" s="3" t="str">
        <f aca="false">IFERROR(__xludf.dummyfunction("if($T619&lt;&gt;"""",REGEXEXTRACT(SUBSTITUTE ($T619,L$1&amp;"" CE"",""""), L$1&amp;""[\w &amp;]*, (\d+\.\d+)""),"""")
"),"")</f>
        <v/>
      </c>
      <c r="M619" s="3" t="str">
        <f aca="false">IFERROR(__xludf.dummyfunction("if($T619&lt;&gt;"""",REGEXEXTRACT($T619, M$1&amp;""[\w &amp;]*, (\d+\.\d+)""),"""")
"),"")</f>
        <v/>
      </c>
      <c r="N619" s="3" t="str">
        <f aca="false">IFERROR(__xludf.dummyfunction("if($T619&lt;&gt;"""",REGEXEXTRACT(SUBSTITUTE ($T619,N$1&amp;"" CE"",""""), N$1&amp;""[\w &amp;]*, (\d+\.\d+)""),"""")
"),"")</f>
        <v/>
      </c>
      <c r="O619" s="3" t="str">
        <f aca="false">IFERROR(__xludf.dummyfunction("if($T619&lt;&gt;"""",REGEXEXTRACT($T619, O$1&amp;""[\w &amp;]*, (\d+\.\d+)""),"""")
"),"")</f>
        <v/>
      </c>
      <c r="P619" s="2"/>
      <c r="Q619" s="2"/>
      <c r="R619" s="2"/>
      <c r="S619" s="2"/>
      <c r="T619" s="5"/>
    </row>
    <row r="620" customFormat="false" ht="15.75" hidden="false" customHeight="false" outlineLevel="0" collapsed="false">
      <c r="A620" s="4"/>
      <c r="B620" s="2"/>
      <c r="C620" s="2"/>
      <c r="D620" s="2"/>
      <c r="E620" s="2"/>
      <c r="F620" s="3" t="str">
        <f aca="false">IFERROR(__xludf.dummyfunction("if($T620&lt;&gt;"""",REGEXEXTRACT(SUBSTITUTE ($T620,F$1&amp;"" CE"",""""), F$1&amp;""[\w &amp;]*, (\d+\.\d+)""),"""")
"),"")</f>
        <v/>
      </c>
      <c r="G620" s="3" t="str">
        <f aca="false">IFERROR(__xludf.dummyfunction("if($T620&lt;&gt;"""",REGEXEXTRACT($T620, G$1&amp;""[\w &amp;]*, (\d+\.\d+)""),"""")
"),"")</f>
        <v/>
      </c>
      <c r="H620" s="3"/>
      <c r="I620" s="3" t="str">
        <f aca="false">IFERROR(__xludf.dummyfunction("if($T620&lt;&gt;"""",REGEXEXTRACT(SUBSTITUTE ($T620,I$1&amp;"" CE"",""""), I$1&amp;""[\w &amp;]*, (\d+\.\d+)""),"""")
"),"")</f>
        <v/>
      </c>
      <c r="J620" s="3" t="str">
        <f aca="false">IFERROR(__xludf.dummyfunction("if($T620&lt;&gt;"""",REGEXEXTRACT($T620, J$1&amp;""[\w &amp;]*, (\d+\.\d+)""),"""")
"),"")</f>
        <v/>
      </c>
      <c r="K620" s="3"/>
      <c r="L620" s="3" t="str">
        <f aca="false">IFERROR(__xludf.dummyfunction("if($T620&lt;&gt;"""",REGEXEXTRACT(SUBSTITUTE ($T620,L$1&amp;"" CE"",""""), L$1&amp;""[\w &amp;]*, (\d+\.\d+)""),"""")
"),"")</f>
        <v/>
      </c>
      <c r="M620" s="3" t="str">
        <f aca="false">IFERROR(__xludf.dummyfunction("if($T620&lt;&gt;"""",REGEXEXTRACT($T620, M$1&amp;""[\w &amp;]*, (\d+\.\d+)""),"""")
"),"")</f>
        <v/>
      </c>
      <c r="N620" s="3" t="str">
        <f aca="false">IFERROR(__xludf.dummyfunction("if($T620&lt;&gt;"""",REGEXEXTRACT(SUBSTITUTE ($T620,N$1&amp;"" CE"",""""), N$1&amp;""[\w &amp;]*, (\d+\.\d+)""),"""")
"),"")</f>
        <v/>
      </c>
      <c r="O620" s="3" t="str">
        <f aca="false">IFERROR(__xludf.dummyfunction("if($T620&lt;&gt;"""",REGEXEXTRACT($T620, O$1&amp;""[\w &amp;]*, (\d+\.\d+)""),"""")
"),"")</f>
        <v/>
      </c>
      <c r="P620" s="2"/>
      <c r="Q620" s="2"/>
      <c r="R620" s="2"/>
      <c r="S620" s="2"/>
      <c r="T620" s="5"/>
    </row>
    <row r="621" customFormat="false" ht="15.75" hidden="false" customHeight="false" outlineLevel="0" collapsed="false">
      <c r="A621" s="4"/>
      <c r="B621" s="2"/>
      <c r="C621" s="2"/>
      <c r="D621" s="2"/>
      <c r="E621" s="2"/>
      <c r="F621" s="3" t="str">
        <f aca="false">IFERROR(__xludf.dummyfunction("if($T621&lt;&gt;"""",REGEXEXTRACT(SUBSTITUTE ($T621,F$1&amp;"" CE"",""""), F$1&amp;""[\w &amp;]*, (\d+\.\d+)""),"""")
"),"")</f>
        <v/>
      </c>
      <c r="G621" s="3" t="str">
        <f aca="false">IFERROR(__xludf.dummyfunction("if($T621&lt;&gt;"""",REGEXEXTRACT($T621, G$1&amp;""[\w &amp;]*, (\d+\.\d+)""),"""")
"),"")</f>
        <v/>
      </c>
      <c r="H621" s="3"/>
      <c r="I621" s="3" t="str">
        <f aca="false">IFERROR(__xludf.dummyfunction("if($T621&lt;&gt;"""",REGEXEXTRACT(SUBSTITUTE ($T621,I$1&amp;"" CE"",""""), I$1&amp;""[\w &amp;]*, (\d+\.\d+)""),"""")
"),"")</f>
        <v/>
      </c>
      <c r="J621" s="3" t="str">
        <f aca="false">IFERROR(__xludf.dummyfunction("if($T621&lt;&gt;"""",REGEXEXTRACT($T621, J$1&amp;""[\w &amp;]*, (\d+\.\d+)""),"""")
"),"")</f>
        <v/>
      </c>
      <c r="K621" s="3"/>
      <c r="L621" s="3" t="str">
        <f aca="false">IFERROR(__xludf.dummyfunction("if($T621&lt;&gt;"""",REGEXEXTRACT(SUBSTITUTE ($T621,L$1&amp;"" CE"",""""), L$1&amp;""[\w &amp;]*, (\d+\.\d+)""),"""")
"),"")</f>
        <v/>
      </c>
      <c r="M621" s="3" t="str">
        <f aca="false">IFERROR(__xludf.dummyfunction("if($T621&lt;&gt;"""",REGEXEXTRACT($T621, M$1&amp;""[\w &amp;]*, (\d+\.\d+)""),"""")
"),"")</f>
        <v/>
      </c>
      <c r="N621" s="3" t="str">
        <f aca="false">IFERROR(__xludf.dummyfunction("if($T621&lt;&gt;"""",REGEXEXTRACT(SUBSTITUTE ($T621,N$1&amp;"" CE"",""""), N$1&amp;""[\w &amp;]*, (\d+\.\d+)""),"""")
"),"")</f>
        <v/>
      </c>
      <c r="O621" s="3" t="str">
        <f aca="false">IFERROR(__xludf.dummyfunction("if($T621&lt;&gt;"""",REGEXEXTRACT($T621, O$1&amp;""[\w &amp;]*, (\d+\.\d+)""),"""")
"),"")</f>
        <v/>
      </c>
      <c r="P621" s="2"/>
      <c r="Q621" s="2"/>
      <c r="R621" s="2"/>
      <c r="S621" s="2"/>
      <c r="T621" s="5"/>
    </row>
    <row r="622" customFormat="false" ht="15.75" hidden="false" customHeight="false" outlineLevel="0" collapsed="false">
      <c r="A622" s="4"/>
      <c r="B622" s="2"/>
      <c r="C622" s="2"/>
      <c r="D622" s="2"/>
      <c r="E622" s="2"/>
      <c r="F622" s="3" t="str">
        <f aca="false">IFERROR(__xludf.dummyfunction("if($T622&lt;&gt;"""",REGEXEXTRACT(SUBSTITUTE ($T622,F$1&amp;"" CE"",""""), F$1&amp;""[\w &amp;]*, (\d+\.\d+)""),"""")
"),"")</f>
        <v/>
      </c>
      <c r="G622" s="3" t="str">
        <f aca="false">IFERROR(__xludf.dummyfunction("if($T622&lt;&gt;"""",REGEXEXTRACT($T622, G$1&amp;""[\w &amp;]*, (\d+\.\d+)""),"""")
"),"")</f>
        <v/>
      </c>
      <c r="H622" s="3"/>
      <c r="I622" s="3" t="str">
        <f aca="false">IFERROR(__xludf.dummyfunction("if($T622&lt;&gt;"""",REGEXEXTRACT(SUBSTITUTE ($T622,I$1&amp;"" CE"",""""), I$1&amp;""[\w &amp;]*, (\d+\.\d+)""),"""")
"),"")</f>
        <v/>
      </c>
      <c r="J622" s="3" t="str">
        <f aca="false">IFERROR(__xludf.dummyfunction("if($T622&lt;&gt;"""",REGEXEXTRACT($T622, J$1&amp;""[\w &amp;]*, (\d+\.\d+)""),"""")
"),"")</f>
        <v/>
      </c>
      <c r="K622" s="3"/>
      <c r="L622" s="3" t="str">
        <f aca="false">IFERROR(__xludf.dummyfunction("if($T622&lt;&gt;"""",REGEXEXTRACT(SUBSTITUTE ($T622,L$1&amp;"" CE"",""""), L$1&amp;""[\w &amp;]*, (\d+\.\d+)""),"""")
"),"")</f>
        <v/>
      </c>
      <c r="M622" s="3" t="str">
        <f aca="false">IFERROR(__xludf.dummyfunction("if($T622&lt;&gt;"""",REGEXEXTRACT($T622, M$1&amp;""[\w &amp;]*, (\d+\.\d+)""),"""")
"),"")</f>
        <v/>
      </c>
      <c r="N622" s="3" t="str">
        <f aca="false">IFERROR(__xludf.dummyfunction("if($T622&lt;&gt;"""",REGEXEXTRACT(SUBSTITUTE ($T622,N$1&amp;"" CE"",""""), N$1&amp;""[\w &amp;]*, (\d+\.\d+)""),"""")
"),"")</f>
        <v/>
      </c>
      <c r="O622" s="3" t="str">
        <f aca="false">IFERROR(__xludf.dummyfunction("if($T622&lt;&gt;"""",REGEXEXTRACT($T622, O$1&amp;""[\w &amp;]*, (\d+\.\d+)""),"""")
"),"")</f>
        <v/>
      </c>
      <c r="P622" s="2"/>
      <c r="Q622" s="2"/>
      <c r="R622" s="2"/>
      <c r="S622" s="2"/>
      <c r="T622" s="5"/>
    </row>
    <row r="623" customFormat="false" ht="15.75" hidden="false" customHeight="false" outlineLevel="0" collapsed="false">
      <c r="A623" s="4"/>
      <c r="B623" s="2"/>
      <c r="C623" s="2"/>
      <c r="D623" s="2"/>
      <c r="E623" s="2"/>
      <c r="F623" s="3" t="str">
        <f aca="false">IFERROR(__xludf.dummyfunction("if($T623&lt;&gt;"""",REGEXEXTRACT(SUBSTITUTE ($T623,F$1&amp;"" CE"",""""), F$1&amp;""[\w &amp;]*, (\d+\.\d+)""),"""")
"),"")</f>
        <v/>
      </c>
      <c r="G623" s="3" t="str">
        <f aca="false">IFERROR(__xludf.dummyfunction("if($T623&lt;&gt;"""",REGEXEXTRACT($T623, G$1&amp;""[\w &amp;]*, (\d+\.\d+)""),"""")
"),"")</f>
        <v/>
      </c>
      <c r="H623" s="3"/>
      <c r="I623" s="3" t="str">
        <f aca="false">IFERROR(__xludf.dummyfunction("if($T623&lt;&gt;"""",REGEXEXTRACT(SUBSTITUTE ($T623,I$1&amp;"" CE"",""""), I$1&amp;""[\w &amp;]*, (\d+\.\d+)""),"""")
"),"")</f>
        <v/>
      </c>
      <c r="J623" s="3" t="str">
        <f aca="false">IFERROR(__xludf.dummyfunction("if($T623&lt;&gt;"""",REGEXEXTRACT($T623, J$1&amp;""[\w &amp;]*, (\d+\.\d+)""),"""")
"),"")</f>
        <v/>
      </c>
      <c r="K623" s="3"/>
      <c r="L623" s="3" t="str">
        <f aca="false">IFERROR(__xludf.dummyfunction("if($T623&lt;&gt;"""",REGEXEXTRACT(SUBSTITUTE ($T623,L$1&amp;"" CE"",""""), L$1&amp;""[\w &amp;]*, (\d+\.\d+)""),"""")
"),"")</f>
        <v/>
      </c>
      <c r="M623" s="3" t="str">
        <f aca="false">IFERROR(__xludf.dummyfunction("if($T623&lt;&gt;"""",REGEXEXTRACT($T623, M$1&amp;""[\w &amp;]*, (\d+\.\d+)""),"""")
"),"")</f>
        <v/>
      </c>
      <c r="N623" s="3" t="str">
        <f aca="false">IFERROR(__xludf.dummyfunction("if($T623&lt;&gt;"""",REGEXEXTRACT(SUBSTITUTE ($T623,N$1&amp;"" CE"",""""), N$1&amp;""[\w &amp;]*, (\d+\.\d+)""),"""")
"),"")</f>
        <v/>
      </c>
      <c r="O623" s="3" t="str">
        <f aca="false">IFERROR(__xludf.dummyfunction("if($T623&lt;&gt;"""",REGEXEXTRACT($T623, O$1&amp;""[\w &amp;]*, (\d+\.\d+)""),"""")
"),"")</f>
        <v/>
      </c>
      <c r="P623" s="2"/>
      <c r="Q623" s="2"/>
      <c r="R623" s="2"/>
      <c r="S623" s="2"/>
      <c r="T623" s="5"/>
    </row>
    <row r="624" customFormat="false" ht="15.75" hidden="false" customHeight="false" outlineLevel="0" collapsed="false">
      <c r="A624" s="4"/>
      <c r="B624" s="2"/>
      <c r="C624" s="2"/>
      <c r="D624" s="2"/>
      <c r="E624" s="2"/>
      <c r="F624" s="3" t="str">
        <f aca="false">IFERROR(__xludf.dummyfunction("if($T624&lt;&gt;"""",REGEXEXTRACT(SUBSTITUTE ($T624,F$1&amp;"" CE"",""""), F$1&amp;""[\w &amp;]*, (\d+\.\d+)""),"""")
"),"")</f>
        <v/>
      </c>
      <c r="G624" s="3" t="str">
        <f aca="false">IFERROR(__xludf.dummyfunction("if($T624&lt;&gt;"""",REGEXEXTRACT($T624, G$1&amp;""[\w &amp;]*, (\d+\.\d+)""),"""")
"),"")</f>
        <v/>
      </c>
      <c r="H624" s="3"/>
      <c r="I624" s="3" t="str">
        <f aca="false">IFERROR(__xludf.dummyfunction("if($T624&lt;&gt;"""",REGEXEXTRACT(SUBSTITUTE ($T624,I$1&amp;"" CE"",""""), I$1&amp;""[\w &amp;]*, (\d+\.\d+)""),"""")
"),"")</f>
        <v/>
      </c>
      <c r="J624" s="3" t="str">
        <f aca="false">IFERROR(__xludf.dummyfunction("if($T624&lt;&gt;"""",REGEXEXTRACT($T624, J$1&amp;""[\w &amp;]*, (\d+\.\d+)""),"""")
"),"")</f>
        <v/>
      </c>
      <c r="K624" s="3"/>
      <c r="L624" s="3" t="str">
        <f aca="false">IFERROR(__xludf.dummyfunction("if($T624&lt;&gt;"""",REGEXEXTRACT(SUBSTITUTE ($T624,L$1&amp;"" CE"",""""), L$1&amp;""[\w &amp;]*, (\d+\.\d+)""),"""")
"),"")</f>
        <v/>
      </c>
      <c r="M624" s="3" t="str">
        <f aca="false">IFERROR(__xludf.dummyfunction("if($T624&lt;&gt;"""",REGEXEXTRACT($T624, M$1&amp;""[\w &amp;]*, (\d+\.\d+)""),"""")
"),"")</f>
        <v/>
      </c>
      <c r="N624" s="3" t="str">
        <f aca="false">IFERROR(__xludf.dummyfunction("if($T624&lt;&gt;"""",REGEXEXTRACT(SUBSTITUTE ($T624,N$1&amp;"" CE"",""""), N$1&amp;""[\w &amp;]*, (\d+\.\d+)""),"""")
"),"")</f>
        <v/>
      </c>
      <c r="O624" s="3" t="str">
        <f aca="false">IFERROR(__xludf.dummyfunction("if($T624&lt;&gt;"""",REGEXEXTRACT($T624, O$1&amp;""[\w &amp;]*, (\d+\.\d+)""),"""")
"),"")</f>
        <v/>
      </c>
      <c r="P624" s="2"/>
      <c r="Q624" s="2"/>
      <c r="R624" s="2"/>
      <c r="S624" s="2"/>
      <c r="T624" s="5"/>
    </row>
    <row r="625" customFormat="false" ht="15.75" hidden="false" customHeight="false" outlineLevel="0" collapsed="false">
      <c r="A625" s="4"/>
      <c r="B625" s="2"/>
      <c r="C625" s="2"/>
      <c r="D625" s="2"/>
      <c r="E625" s="2"/>
      <c r="F625" s="3" t="str">
        <f aca="false">IFERROR(__xludf.dummyfunction("if($T625&lt;&gt;"""",REGEXEXTRACT(SUBSTITUTE ($T625,F$1&amp;"" CE"",""""), F$1&amp;""[\w &amp;]*, (\d+\.\d+)""),"""")
"),"")</f>
        <v/>
      </c>
      <c r="G625" s="3" t="str">
        <f aca="false">IFERROR(__xludf.dummyfunction("if($T625&lt;&gt;"""",REGEXEXTRACT($T625, G$1&amp;""[\w &amp;]*, (\d+\.\d+)""),"""")
"),"")</f>
        <v/>
      </c>
      <c r="H625" s="3"/>
      <c r="I625" s="3" t="str">
        <f aca="false">IFERROR(__xludf.dummyfunction("if($T625&lt;&gt;"""",REGEXEXTRACT(SUBSTITUTE ($T625,I$1&amp;"" CE"",""""), I$1&amp;""[\w &amp;]*, (\d+\.\d+)""),"""")
"),"")</f>
        <v/>
      </c>
      <c r="J625" s="3" t="str">
        <f aca="false">IFERROR(__xludf.dummyfunction("if($T625&lt;&gt;"""",REGEXEXTRACT($T625, J$1&amp;""[\w &amp;]*, (\d+\.\d+)""),"""")
"),"")</f>
        <v/>
      </c>
      <c r="K625" s="3"/>
      <c r="L625" s="3" t="str">
        <f aca="false">IFERROR(__xludf.dummyfunction("if($T625&lt;&gt;"""",REGEXEXTRACT(SUBSTITUTE ($T625,L$1&amp;"" CE"",""""), L$1&amp;""[\w &amp;]*, (\d+\.\d+)""),"""")
"),"")</f>
        <v/>
      </c>
      <c r="M625" s="3" t="str">
        <f aca="false">IFERROR(__xludf.dummyfunction("if($T625&lt;&gt;"""",REGEXEXTRACT($T625, M$1&amp;""[\w &amp;]*, (\d+\.\d+)""),"""")
"),"")</f>
        <v/>
      </c>
      <c r="N625" s="3" t="str">
        <f aca="false">IFERROR(__xludf.dummyfunction("if($T625&lt;&gt;"""",REGEXEXTRACT(SUBSTITUTE ($T625,N$1&amp;"" CE"",""""), N$1&amp;""[\w &amp;]*, (\d+\.\d+)""),"""")
"),"")</f>
        <v/>
      </c>
      <c r="O625" s="3" t="str">
        <f aca="false">IFERROR(__xludf.dummyfunction("if($T625&lt;&gt;"""",REGEXEXTRACT($T625, O$1&amp;""[\w &amp;]*, (\d+\.\d+)""),"""")
"),"")</f>
        <v/>
      </c>
      <c r="P625" s="2"/>
      <c r="Q625" s="2"/>
      <c r="R625" s="2"/>
      <c r="S625" s="2"/>
      <c r="T625" s="5"/>
    </row>
    <row r="626" customFormat="false" ht="15.75" hidden="false" customHeight="false" outlineLevel="0" collapsed="false">
      <c r="A626" s="4"/>
      <c r="B626" s="2"/>
      <c r="C626" s="2"/>
      <c r="D626" s="2"/>
      <c r="E626" s="2"/>
      <c r="F626" s="3" t="str">
        <f aca="false">IFERROR(__xludf.dummyfunction("if($T626&lt;&gt;"""",REGEXEXTRACT(SUBSTITUTE ($T626,F$1&amp;"" CE"",""""), F$1&amp;""[\w &amp;]*, (\d+\.\d+)""),"""")
"),"")</f>
        <v/>
      </c>
      <c r="G626" s="3" t="str">
        <f aca="false">IFERROR(__xludf.dummyfunction("if($T626&lt;&gt;"""",REGEXEXTRACT($T626, G$1&amp;""[\w &amp;]*, (\d+\.\d+)""),"""")
"),"")</f>
        <v/>
      </c>
      <c r="H626" s="3"/>
      <c r="I626" s="3" t="str">
        <f aca="false">IFERROR(__xludf.dummyfunction("if($T626&lt;&gt;"""",REGEXEXTRACT(SUBSTITUTE ($T626,I$1&amp;"" CE"",""""), I$1&amp;""[\w &amp;]*, (\d+\.\d+)""),"""")
"),"")</f>
        <v/>
      </c>
      <c r="J626" s="3" t="str">
        <f aca="false">IFERROR(__xludf.dummyfunction("if($T626&lt;&gt;"""",REGEXEXTRACT($T626, J$1&amp;""[\w &amp;]*, (\d+\.\d+)""),"""")
"),"")</f>
        <v/>
      </c>
      <c r="K626" s="3"/>
      <c r="L626" s="3" t="str">
        <f aca="false">IFERROR(__xludf.dummyfunction("if($T626&lt;&gt;"""",REGEXEXTRACT(SUBSTITUTE ($T626,L$1&amp;"" CE"",""""), L$1&amp;""[\w &amp;]*, (\d+\.\d+)""),"""")
"),"")</f>
        <v/>
      </c>
      <c r="M626" s="3" t="str">
        <f aca="false">IFERROR(__xludf.dummyfunction("if($T626&lt;&gt;"""",REGEXEXTRACT($T626, M$1&amp;""[\w &amp;]*, (\d+\.\d+)""),"""")
"),"")</f>
        <v/>
      </c>
      <c r="N626" s="3" t="str">
        <f aca="false">IFERROR(__xludf.dummyfunction("if($T626&lt;&gt;"""",REGEXEXTRACT(SUBSTITUTE ($T626,N$1&amp;"" CE"",""""), N$1&amp;""[\w &amp;]*, (\d+\.\d+)""),"""")
"),"")</f>
        <v/>
      </c>
      <c r="O626" s="3" t="str">
        <f aca="false">IFERROR(__xludf.dummyfunction("if($T626&lt;&gt;"""",REGEXEXTRACT($T626, O$1&amp;""[\w &amp;]*, (\d+\.\d+)""),"""")
"),"")</f>
        <v/>
      </c>
      <c r="P626" s="2"/>
      <c r="Q626" s="2"/>
      <c r="R626" s="2"/>
      <c r="S626" s="2"/>
      <c r="T626" s="5"/>
    </row>
    <row r="627" customFormat="false" ht="15.75" hidden="false" customHeight="false" outlineLevel="0" collapsed="false">
      <c r="A627" s="4"/>
      <c r="B627" s="2"/>
      <c r="C627" s="2"/>
      <c r="D627" s="2"/>
      <c r="E627" s="2"/>
      <c r="F627" s="3" t="str">
        <f aca="false">IFERROR(__xludf.dummyfunction("if($T627&lt;&gt;"""",REGEXEXTRACT(SUBSTITUTE ($T627,F$1&amp;"" CE"",""""), F$1&amp;""[\w &amp;]*, (\d+\.\d+)""),"""")
"),"")</f>
        <v/>
      </c>
      <c r="G627" s="3" t="str">
        <f aca="false">IFERROR(__xludf.dummyfunction("if($T627&lt;&gt;"""",REGEXEXTRACT($T627, G$1&amp;""[\w &amp;]*, (\d+\.\d+)""),"""")
"),"")</f>
        <v/>
      </c>
      <c r="H627" s="3"/>
      <c r="I627" s="3" t="str">
        <f aca="false">IFERROR(__xludf.dummyfunction("if($T627&lt;&gt;"""",REGEXEXTRACT(SUBSTITUTE ($T627,I$1&amp;"" CE"",""""), I$1&amp;""[\w &amp;]*, (\d+\.\d+)""),"""")
"),"")</f>
        <v/>
      </c>
      <c r="J627" s="3" t="str">
        <f aca="false">IFERROR(__xludf.dummyfunction("if($T627&lt;&gt;"""",REGEXEXTRACT($T627, J$1&amp;""[\w &amp;]*, (\d+\.\d+)""),"""")
"),"")</f>
        <v/>
      </c>
      <c r="K627" s="3"/>
      <c r="L627" s="3" t="str">
        <f aca="false">IFERROR(__xludf.dummyfunction("if($T627&lt;&gt;"""",REGEXEXTRACT(SUBSTITUTE ($T627,L$1&amp;"" CE"",""""), L$1&amp;""[\w &amp;]*, (\d+\.\d+)""),"""")
"),"")</f>
        <v/>
      </c>
      <c r="M627" s="3" t="str">
        <f aca="false">IFERROR(__xludf.dummyfunction("if($T627&lt;&gt;"""",REGEXEXTRACT($T627, M$1&amp;""[\w &amp;]*, (\d+\.\d+)""),"""")
"),"")</f>
        <v/>
      </c>
      <c r="N627" s="3" t="str">
        <f aca="false">IFERROR(__xludf.dummyfunction("if($T627&lt;&gt;"""",REGEXEXTRACT(SUBSTITUTE ($T627,N$1&amp;"" CE"",""""), N$1&amp;""[\w &amp;]*, (\d+\.\d+)""),"""")
"),"")</f>
        <v/>
      </c>
      <c r="O627" s="3" t="str">
        <f aca="false">IFERROR(__xludf.dummyfunction("if($T627&lt;&gt;"""",REGEXEXTRACT($T627, O$1&amp;""[\w &amp;]*, (\d+\.\d+)""),"""")
"),"")</f>
        <v/>
      </c>
      <c r="P627" s="2"/>
      <c r="Q627" s="2"/>
      <c r="R627" s="2"/>
      <c r="S627" s="2"/>
      <c r="T627" s="5"/>
    </row>
    <row r="628" customFormat="false" ht="15.75" hidden="false" customHeight="false" outlineLevel="0" collapsed="false">
      <c r="A628" s="4"/>
      <c r="B628" s="2"/>
      <c r="C628" s="2"/>
      <c r="D628" s="2"/>
      <c r="E628" s="2"/>
      <c r="F628" s="3" t="str">
        <f aca="false">IFERROR(__xludf.dummyfunction("if($T628&lt;&gt;"""",REGEXEXTRACT(SUBSTITUTE ($T628,F$1&amp;"" CE"",""""), F$1&amp;""[\w &amp;]*, (\d+\.\d+)""),"""")
"),"")</f>
        <v/>
      </c>
      <c r="G628" s="3" t="str">
        <f aca="false">IFERROR(__xludf.dummyfunction("if($T628&lt;&gt;"""",REGEXEXTRACT($T628, G$1&amp;""[\w &amp;]*, (\d+\.\d+)""),"""")
"),"")</f>
        <v/>
      </c>
      <c r="H628" s="3"/>
      <c r="I628" s="3" t="str">
        <f aca="false">IFERROR(__xludf.dummyfunction("if($T628&lt;&gt;"""",REGEXEXTRACT(SUBSTITUTE ($T628,I$1&amp;"" CE"",""""), I$1&amp;""[\w &amp;]*, (\d+\.\d+)""),"""")
"),"")</f>
        <v/>
      </c>
      <c r="J628" s="3" t="str">
        <f aca="false">IFERROR(__xludf.dummyfunction("if($T628&lt;&gt;"""",REGEXEXTRACT($T628, J$1&amp;""[\w &amp;]*, (\d+\.\d+)""),"""")
"),"")</f>
        <v/>
      </c>
      <c r="K628" s="3"/>
      <c r="L628" s="3" t="str">
        <f aca="false">IFERROR(__xludf.dummyfunction("if($T628&lt;&gt;"""",REGEXEXTRACT(SUBSTITUTE ($T628,L$1&amp;"" CE"",""""), L$1&amp;""[\w &amp;]*, (\d+\.\d+)""),"""")
"),"")</f>
        <v/>
      </c>
      <c r="M628" s="3" t="str">
        <f aca="false">IFERROR(__xludf.dummyfunction("if($T628&lt;&gt;"""",REGEXEXTRACT($T628, M$1&amp;""[\w &amp;]*, (\d+\.\d+)""),"""")
"),"")</f>
        <v/>
      </c>
      <c r="N628" s="3" t="str">
        <f aca="false">IFERROR(__xludf.dummyfunction("if($T628&lt;&gt;"""",REGEXEXTRACT(SUBSTITUTE ($T628,N$1&amp;"" CE"",""""), N$1&amp;""[\w &amp;]*, (\d+\.\d+)""),"""")
"),"")</f>
        <v/>
      </c>
      <c r="O628" s="3" t="str">
        <f aca="false">IFERROR(__xludf.dummyfunction("if($T628&lt;&gt;"""",REGEXEXTRACT($T628, O$1&amp;""[\w &amp;]*, (\d+\.\d+)""),"""")
"),"")</f>
        <v/>
      </c>
      <c r="P628" s="2"/>
      <c r="Q628" s="2"/>
      <c r="R628" s="2"/>
      <c r="S628" s="2"/>
      <c r="T628" s="5"/>
    </row>
    <row r="629" customFormat="false" ht="15.75" hidden="false" customHeight="false" outlineLevel="0" collapsed="false">
      <c r="A629" s="4"/>
      <c r="B629" s="2"/>
      <c r="C629" s="2"/>
      <c r="D629" s="2"/>
      <c r="E629" s="2"/>
      <c r="F629" s="3" t="str">
        <f aca="false">IFERROR(__xludf.dummyfunction("if($T629&lt;&gt;"""",REGEXEXTRACT(SUBSTITUTE ($T629,F$1&amp;"" CE"",""""), F$1&amp;""[\w &amp;]*, (\d+\.\d+)""),"""")
"),"")</f>
        <v/>
      </c>
      <c r="G629" s="3" t="str">
        <f aca="false">IFERROR(__xludf.dummyfunction("if($T629&lt;&gt;"""",REGEXEXTRACT($T629, G$1&amp;""[\w &amp;]*, (\d+\.\d+)""),"""")
"),"")</f>
        <v/>
      </c>
      <c r="H629" s="3"/>
      <c r="I629" s="3" t="str">
        <f aca="false">IFERROR(__xludf.dummyfunction("if($T629&lt;&gt;"""",REGEXEXTRACT(SUBSTITUTE ($T629,I$1&amp;"" CE"",""""), I$1&amp;""[\w &amp;]*, (\d+\.\d+)""),"""")
"),"")</f>
        <v/>
      </c>
      <c r="J629" s="3" t="str">
        <f aca="false">IFERROR(__xludf.dummyfunction("if($T629&lt;&gt;"""",REGEXEXTRACT($T629, J$1&amp;""[\w &amp;]*, (\d+\.\d+)""),"""")
"),"")</f>
        <v/>
      </c>
      <c r="K629" s="3"/>
      <c r="L629" s="3" t="str">
        <f aca="false">IFERROR(__xludf.dummyfunction("if($T629&lt;&gt;"""",REGEXEXTRACT(SUBSTITUTE ($T629,L$1&amp;"" CE"",""""), L$1&amp;""[\w &amp;]*, (\d+\.\d+)""),"""")
"),"")</f>
        <v/>
      </c>
      <c r="M629" s="3" t="str">
        <f aca="false">IFERROR(__xludf.dummyfunction("if($T629&lt;&gt;"""",REGEXEXTRACT($T629, M$1&amp;""[\w &amp;]*, (\d+\.\d+)""),"""")
"),"")</f>
        <v/>
      </c>
      <c r="N629" s="3" t="str">
        <f aca="false">IFERROR(__xludf.dummyfunction("if($T629&lt;&gt;"""",REGEXEXTRACT(SUBSTITUTE ($T629,N$1&amp;"" CE"",""""), N$1&amp;""[\w &amp;]*, (\d+\.\d+)""),"""")
"),"")</f>
        <v/>
      </c>
      <c r="O629" s="3" t="str">
        <f aca="false">IFERROR(__xludf.dummyfunction("if($T629&lt;&gt;"""",REGEXEXTRACT($T629, O$1&amp;""[\w &amp;]*, (\d+\.\d+)""),"""")
"),"")</f>
        <v/>
      </c>
      <c r="P629" s="2"/>
      <c r="Q629" s="2"/>
      <c r="R629" s="2"/>
      <c r="S629" s="2"/>
      <c r="T629" s="5"/>
    </row>
    <row r="630" customFormat="false" ht="15.75" hidden="false" customHeight="false" outlineLevel="0" collapsed="false">
      <c r="A630" s="4"/>
      <c r="B630" s="2"/>
      <c r="C630" s="2"/>
      <c r="D630" s="2"/>
      <c r="E630" s="2"/>
      <c r="F630" s="3" t="str">
        <f aca="false">IFERROR(__xludf.dummyfunction("if($T630&lt;&gt;"""",REGEXEXTRACT(SUBSTITUTE ($T630,F$1&amp;"" CE"",""""), F$1&amp;""[\w &amp;]*, (\d+\.\d+)""),"""")
"),"")</f>
        <v/>
      </c>
      <c r="G630" s="3" t="str">
        <f aca="false">IFERROR(__xludf.dummyfunction("if($T630&lt;&gt;"""",REGEXEXTRACT($T630, G$1&amp;""[\w &amp;]*, (\d+\.\d+)""),"""")
"),"")</f>
        <v/>
      </c>
      <c r="H630" s="3"/>
      <c r="I630" s="3" t="str">
        <f aca="false">IFERROR(__xludf.dummyfunction("if($T630&lt;&gt;"""",REGEXEXTRACT(SUBSTITUTE ($T630,I$1&amp;"" CE"",""""), I$1&amp;""[\w &amp;]*, (\d+\.\d+)""),"""")
"),"")</f>
        <v/>
      </c>
      <c r="J630" s="3" t="str">
        <f aca="false">IFERROR(__xludf.dummyfunction("if($T630&lt;&gt;"""",REGEXEXTRACT($T630, J$1&amp;""[\w &amp;]*, (\d+\.\d+)""),"""")
"),"")</f>
        <v/>
      </c>
      <c r="K630" s="3"/>
      <c r="L630" s="3" t="str">
        <f aca="false">IFERROR(__xludf.dummyfunction("if($T630&lt;&gt;"""",REGEXEXTRACT(SUBSTITUTE ($T630,L$1&amp;"" CE"",""""), L$1&amp;""[\w &amp;]*, (\d+\.\d+)""),"""")
"),"")</f>
        <v/>
      </c>
      <c r="M630" s="3" t="str">
        <f aca="false">IFERROR(__xludf.dummyfunction("if($T630&lt;&gt;"""",REGEXEXTRACT($T630, M$1&amp;""[\w &amp;]*, (\d+\.\d+)""),"""")
"),"")</f>
        <v/>
      </c>
      <c r="N630" s="3" t="str">
        <f aca="false">IFERROR(__xludf.dummyfunction("if($T630&lt;&gt;"""",REGEXEXTRACT(SUBSTITUTE ($T630,N$1&amp;"" CE"",""""), N$1&amp;""[\w &amp;]*, (\d+\.\d+)""),"""")
"),"")</f>
        <v/>
      </c>
      <c r="O630" s="3" t="str">
        <f aca="false">IFERROR(__xludf.dummyfunction("if($T630&lt;&gt;"""",REGEXEXTRACT($T630, O$1&amp;""[\w &amp;]*, (\d+\.\d+)""),"""")
"),"")</f>
        <v/>
      </c>
      <c r="P630" s="2"/>
      <c r="Q630" s="2"/>
      <c r="R630" s="2"/>
      <c r="S630" s="2"/>
      <c r="T630" s="5"/>
    </row>
    <row r="631" customFormat="false" ht="15.75" hidden="false" customHeight="false" outlineLevel="0" collapsed="false">
      <c r="A631" s="4"/>
      <c r="B631" s="2"/>
      <c r="C631" s="2"/>
      <c r="D631" s="2"/>
      <c r="E631" s="2"/>
      <c r="F631" s="3" t="str">
        <f aca="false">IFERROR(__xludf.dummyfunction("if($T631&lt;&gt;"""",REGEXEXTRACT(SUBSTITUTE ($T631,F$1&amp;"" CE"",""""), F$1&amp;""[\w &amp;]*, (\d+\.\d+)""),"""")
"),"")</f>
        <v/>
      </c>
      <c r="G631" s="3" t="str">
        <f aca="false">IFERROR(__xludf.dummyfunction("if($T631&lt;&gt;"""",REGEXEXTRACT($T631, G$1&amp;""[\w &amp;]*, (\d+\.\d+)""),"""")
"),"")</f>
        <v/>
      </c>
      <c r="H631" s="3"/>
      <c r="I631" s="3" t="str">
        <f aca="false">IFERROR(__xludf.dummyfunction("if($T631&lt;&gt;"""",REGEXEXTRACT(SUBSTITUTE ($T631,I$1&amp;"" CE"",""""), I$1&amp;""[\w &amp;]*, (\d+\.\d+)""),"""")
"),"")</f>
        <v/>
      </c>
      <c r="J631" s="3" t="str">
        <f aca="false">IFERROR(__xludf.dummyfunction("if($T631&lt;&gt;"""",REGEXEXTRACT($T631, J$1&amp;""[\w &amp;]*, (\d+\.\d+)""),"""")
"),"")</f>
        <v/>
      </c>
      <c r="K631" s="3"/>
      <c r="L631" s="3" t="str">
        <f aca="false">IFERROR(__xludf.dummyfunction("if($T631&lt;&gt;"""",REGEXEXTRACT(SUBSTITUTE ($T631,L$1&amp;"" CE"",""""), L$1&amp;""[\w &amp;]*, (\d+\.\d+)""),"""")
"),"")</f>
        <v/>
      </c>
      <c r="M631" s="3" t="str">
        <f aca="false">IFERROR(__xludf.dummyfunction("if($T631&lt;&gt;"""",REGEXEXTRACT($T631, M$1&amp;""[\w &amp;]*, (\d+\.\d+)""),"""")
"),"")</f>
        <v/>
      </c>
      <c r="N631" s="3" t="str">
        <f aca="false">IFERROR(__xludf.dummyfunction("if($T631&lt;&gt;"""",REGEXEXTRACT(SUBSTITUTE ($T631,N$1&amp;"" CE"",""""), N$1&amp;""[\w &amp;]*, (\d+\.\d+)""),"""")
"),"")</f>
        <v/>
      </c>
      <c r="O631" s="3" t="str">
        <f aca="false">IFERROR(__xludf.dummyfunction("if($T631&lt;&gt;"""",REGEXEXTRACT($T631, O$1&amp;""[\w &amp;]*, (\d+\.\d+)""),"""")
"),"")</f>
        <v/>
      </c>
      <c r="P631" s="2"/>
      <c r="Q631" s="2"/>
      <c r="R631" s="2"/>
      <c r="S631" s="2"/>
      <c r="T631" s="5"/>
    </row>
    <row r="632" customFormat="false" ht="15.75" hidden="false" customHeight="false" outlineLevel="0" collapsed="false">
      <c r="A632" s="4"/>
      <c r="B632" s="2"/>
      <c r="C632" s="2"/>
      <c r="D632" s="2"/>
      <c r="E632" s="2"/>
      <c r="F632" s="3" t="str">
        <f aca="false">IFERROR(__xludf.dummyfunction("if($T632&lt;&gt;"""",REGEXEXTRACT(SUBSTITUTE ($T632,F$1&amp;"" CE"",""""), F$1&amp;""[\w &amp;]*, (\d+\.\d+)""),"""")
"),"")</f>
        <v/>
      </c>
      <c r="G632" s="3" t="str">
        <f aca="false">IFERROR(__xludf.dummyfunction("if($T632&lt;&gt;"""",REGEXEXTRACT($T632, G$1&amp;""[\w &amp;]*, (\d+\.\d+)""),"""")
"),"")</f>
        <v/>
      </c>
      <c r="H632" s="3"/>
      <c r="I632" s="3" t="str">
        <f aca="false">IFERROR(__xludf.dummyfunction("if($T632&lt;&gt;"""",REGEXEXTRACT(SUBSTITUTE ($T632,I$1&amp;"" CE"",""""), I$1&amp;""[\w &amp;]*, (\d+\.\d+)""),"""")
"),"")</f>
        <v/>
      </c>
      <c r="J632" s="3" t="str">
        <f aca="false">IFERROR(__xludf.dummyfunction("if($T632&lt;&gt;"""",REGEXEXTRACT($T632, J$1&amp;""[\w &amp;]*, (\d+\.\d+)""),"""")
"),"")</f>
        <v/>
      </c>
      <c r="K632" s="3"/>
      <c r="L632" s="3" t="str">
        <f aca="false">IFERROR(__xludf.dummyfunction("if($T632&lt;&gt;"""",REGEXEXTRACT(SUBSTITUTE ($T632,L$1&amp;"" CE"",""""), L$1&amp;""[\w &amp;]*, (\d+\.\d+)""),"""")
"),"")</f>
        <v/>
      </c>
      <c r="M632" s="3" t="str">
        <f aca="false">IFERROR(__xludf.dummyfunction("if($T632&lt;&gt;"""",REGEXEXTRACT($T632, M$1&amp;""[\w &amp;]*, (\d+\.\d+)""),"""")
"),"")</f>
        <v/>
      </c>
      <c r="N632" s="3" t="str">
        <f aca="false">IFERROR(__xludf.dummyfunction("if($T632&lt;&gt;"""",REGEXEXTRACT(SUBSTITUTE ($T632,N$1&amp;"" CE"",""""), N$1&amp;""[\w &amp;]*, (\d+\.\d+)""),"""")
"),"")</f>
        <v/>
      </c>
      <c r="O632" s="3" t="str">
        <f aca="false">IFERROR(__xludf.dummyfunction("if($T632&lt;&gt;"""",REGEXEXTRACT($T632, O$1&amp;""[\w &amp;]*, (\d+\.\d+)""),"""")
"),"")</f>
        <v/>
      </c>
      <c r="P632" s="2"/>
      <c r="Q632" s="2"/>
      <c r="R632" s="2"/>
      <c r="S632" s="2"/>
      <c r="T632" s="5"/>
    </row>
    <row r="633" customFormat="false" ht="15.75" hidden="false" customHeight="false" outlineLevel="0" collapsed="false">
      <c r="A633" s="4"/>
      <c r="B633" s="2"/>
      <c r="C633" s="2"/>
      <c r="D633" s="2"/>
      <c r="E633" s="2"/>
      <c r="F633" s="3" t="str">
        <f aca="false">IFERROR(__xludf.dummyfunction("if($T633&lt;&gt;"""",REGEXEXTRACT(SUBSTITUTE ($T633,F$1&amp;"" CE"",""""), F$1&amp;""[\w &amp;]*, (\d+\.\d+)""),"""")
"),"")</f>
        <v/>
      </c>
      <c r="G633" s="3" t="str">
        <f aca="false">IFERROR(__xludf.dummyfunction("if($T633&lt;&gt;"""",REGEXEXTRACT($T633, G$1&amp;""[\w &amp;]*, (\d+\.\d+)""),"""")
"),"")</f>
        <v/>
      </c>
      <c r="H633" s="3"/>
      <c r="I633" s="3" t="str">
        <f aca="false">IFERROR(__xludf.dummyfunction("if($T633&lt;&gt;"""",REGEXEXTRACT(SUBSTITUTE ($T633,I$1&amp;"" CE"",""""), I$1&amp;""[\w &amp;]*, (\d+\.\d+)""),"""")
"),"")</f>
        <v/>
      </c>
      <c r="J633" s="3" t="str">
        <f aca="false">IFERROR(__xludf.dummyfunction("if($T633&lt;&gt;"""",REGEXEXTRACT($T633, J$1&amp;""[\w &amp;]*, (\d+\.\d+)""),"""")
"),"")</f>
        <v/>
      </c>
      <c r="K633" s="3"/>
      <c r="L633" s="3" t="str">
        <f aca="false">IFERROR(__xludf.dummyfunction("if($T633&lt;&gt;"""",REGEXEXTRACT(SUBSTITUTE ($T633,L$1&amp;"" CE"",""""), L$1&amp;""[\w &amp;]*, (\d+\.\d+)""),"""")
"),"")</f>
        <v/>
      </c>
      <c r="M633" s="3" t="str">
        <f aca="false">IFERROR(__xludf.dummyfunction("if($T633&lt;&gt;"""",REGEXEXTRACT($T633, M$1&amp;""[\w &amp;]*, (\d+\.\d+)""),"""")
"),"")</f>
        <v/>
      </c>
      <c r="N633" s="3" t="str">
        <f aca="false">IFERROR(__xludf.dummyfunction("if($T633&lt;&gt;"""",REGEXEXTRACT(SUBSTITUTE ($T633,N$1&amp;"" CE"",""""), N$1&amp;""[\w &amp;]*, (\d+\.\d+)""),"""")
"),"")</f>
        <v/>
      </c>
      <c r="O633" s="3" t="str">
        <f aca="false">IFERROR(__xludf.dummyfunction("if($T633&lt;&gt;"""",REGEXEXTRACT($T633, O$1&amp;""[\w &amp;]*, (\d+\.\d+)""),"""")
"),"")</f>
        <v/>
      </c>
      <c r="P633" s="2"/>
      <c r="Q633" s="2"/>
      <c r="R633" s="2"/>
      <c r="S633" s="2"/>
      <c r="T633" s="5"/>
    </row>
    <row r="634" customFormat="false" ht="15.75" hidden="false" customHeight="false" outlineLevel="0" collapsed="false">
      <c r="A634" s="4"/>
      <c r="B634" s="2"/>
      <c r="C634" s="2"/>
      <c r="D634" s="2"/>
      <c r="E634" s="2"/>
      <c r="F634" s="3" t="str">
        <f aca="false">IFERROR(__xludf.dummyfunction("if($T634&lt;&gt;"""",REGEXEXTRACT(SUBSTITUTE ($T634,F$1&amp;"" CE"",""""), F$1&amp;""[\w &amp;]*, (\d+\.\d+)""),"""")
"),"")</f>
        <v/>
      </c>
      <c r="G634" s="3" t="str">
        <f aca="false">IFERROR(__xludf.dummyfunction("if($T634&lt;&gt;"""",REGEXEXTRACT($T634, G$1&amp;""[\w &amp;]*, (\d+\.\d+)""),"""")
"),"")</f>
        <v/>
      </c>
      <c r="H634" s="3"/>
      <c r="I634" s="3" t="str">
        <f aca="false">IFERROR(__xludf.dummyfunction("if($T634&lt;&gt;"""",REGEXEXTRACT(SUBSTITUTE ($T634,I$1&amp;"" CE"",""""), I$1&amp;""[\w &amp;]*, (\d+\.\d+)""),"""")
"),"")</f>
        <v/>
      </c>
      <c r="J634" s="3" t="str">
        <f aca="false">IFERROR(__xludf.dummyfunction("if($T634&lt;&gt;"""",REGEXEXTRACT($T634, J$1&amp;""[\w &amp;]*, (\d+\.\d+)""),"""")
"),"")</f>
        <v/>
      </c>
      <c r="K634" s="3"/>
      <c r="L634" s="3" t="str">
        <f aca="false">IFERROR(__xludf.dummyfunction("if($T634&lt;&gt;"""",REGEXEXTRACT(SUBSTITUTE ($T634,L$1&amp;"" CE"",""""), L$1&amp;""[\w &amp;]*, (\d+\.\d+)""),"""")
"),"")</f>
        <v/>
      </c>
      <c r="M634" s="3" t="str">
        <f aca="false">IFERROR(__xludf.dummyfunction("if($T634&lt;&gt;"""",REGEXEXTRACT($T634, M$1&amp;""[\w &amp;]*, (\d+\.\d+)""),"""")
"),"")</f>
        <v/>
      </c>
      <c r="N634" s="3" t="str">
        <f aca="false">IFERROR(__xludf.dummyfunction("if($T634&lt;&gt;"""",REGEXEXTRACT(SUBSTITUTE ($T634,N$1&amp;"" CE"",""""), N$1&amp;""[\w &amp;]*, (\d+\.\d+)""),"""")
"),"")</f>
        <v/>
      </c>
      <c r="O634" s="3" t="str">
        <f aca="false">IFERROR(__xludf.dummyfunction("if($T634&lt;&gt;"""",REGEXEXTRACT($T634, O$1&amp;""[\w &amp;]*, (\d+\.\d+)""),"""")
"),"")</f>
        <v/>
      </c>
      <c r="P634" s="2"/>
      <c r="Q634" s="2"/>
      <c r="R634" s="2"/>
      <c r="S634" s="2"/>
      <c r="T634" s="5"/>
    </row>
    <row r="635" customFormat="false" ht="15.75" hidden="false" customHeight="false" outlineLevel="0" collapsed="false">
      <c r="A635" s="4"/>
      <c r="B635" s="2"/>
      <c r="C635" s="2"/>
      <c r="D635" s="2"/>
      <c r="E635" s="2"/>
      <c r="F635" s="3" t="str">
        <f aca="false">IFERROR(__xludf.dummyfunction("if($T635&lt;&gt;"""",REGEXEXTRACT(SUBSTITUTE ($T635,F$1&amp;"" CE"",""""), F$1&amp;""[\w &amp;]*, (\d+\.\d+)""),"""")
"),"")</f>
        <v/>
      </c>
      <c r="G635" s="3" t="str">
        <f aca="false">IFERROR(__xludf.dummyfunction("if($T635&lt;&gt;"""",REGEXEXTRACT($T635, G$1&amp;""[\w &amp;]*, (\d+\.\d+)""),"""")
"),"")</f>
        <v/>
      </c>
      <c r="H635" s="3"/>
      <c r="I635" s="3" t="str">
        <f aca="false">IFERROR(__xludf.dummyfunction("if($T635&lt;&gt;"""",REGEXEXTRACT(SUBSTITUTE ($T635,I$1&amp;"" CE"",""""), I$1&amp;""[\w &amp;]*, (\d+\.\d+)""),"""")
"),"")</f>
        <v/>
      </c>
      <c r="J635" s="3" t="str">
        <f aca="false">IFERROR(__xludf.dummyfunction("if($T635&lt;&gt;"""",REGEXEXTRACT($T635, J$1&amp;""[\w &amp;]*, (\d+\.\d+)""),"""")
"),"")</f>
        <v/>
      </c>
      <c r="K635" s="3"/>
      <c r="L635" s="3" t="str">
        <f aca="false">IFERROR(__xludf.dummyfunction("if($T635&lt;&gt;"""",REGEXEXTRACT(SUBSTITUTE ($T635,L$1&amp;"" CE"",""""), L$1&amp;""[\w &amp;]*, (\d+\.\d+)""),"""")
"),"")</f>
        <v/>
      </c>
      <c r="M635" s="3" t="str">
        <f aca="false">IFERROR(__xludf.dummyfunction("if($T635&lt;&gt;"""",REGEXEXTRACT($T635, M$1&amp;""[\w &amp;]*, (\d+\.\d+)""),"""")
"),"")</f>
        <v/>
      </c>
      <c r="N635" s="3" t="str">
        <f aca="false">IFERROR(__xludf.dummyfunction("if($T635&lt;&gt;"""",REGEXEXTRACT(SUBSTITUTE ($T635,N$1&amp;"" CE"",""""), N$1&amp;""[\w &amp;]*, (\d+\.\d+)""),"""")
"),"")</f>
        <v/>
      </c>
      <c r="O635" s="3" t="str">
        <f aca="false">IFERROR(__xludf.dummyfunction("if($T635&lt;&gt;"""",REGEXEXTRACT($T635, O$1&amp;""[\w &amp;]*, (\d+\.\d+)""),"""")
"),"")</f>
        <v/>
      </c>
      <c r="P635" s="2"/>
      <c r="Q635" s="2"/>
      <c r="R635" s="2"/>
      <c r="S635" s="2"/>
      <c r="T635" s="5"/>
    </row>
    <row r="636" customFormat="false" ht="15.75" hidden="false" customHeight="false" outlineLevel="0" collapsed="false">
      <c r="A636" s="4"/>
      <c r="B636" s="2"/>
      <c r="C636" s="2"/>
      <c r="D636" s="2"/>
      <c r="E636" s="2"/>
      <c r="F636" s="3" t="str">
        <f aca="false">IFERROR(__xludf.dummyfunction("if($T636&lt;&gt;"""",REGEXEXTRACT(SUBSTITUTE ($T636,F$1&amp;"" CE"",""""), F$1&amp;""[\w &amp;]*, (\d+\.\d+)""),"""")
"),"")</f>
        <v/>
      </c>
      <c r="G636" s="3" t="str">
        <f aca="false">IFERROR(__xludf.dummyfunction("if($T636&lt;&gt;"""",REGEXEXTRACT($T636, G$1&amp;""[\w &amp;]*, (\d+\.\d+)""),"""")
"),"")</f>
        <v/>
      </c>
      <c r="H636" s="3"/>
      <c r="I636" s="3" t="str">
        <f aca="false">IFERROR(__xludf.dummyfunction("if($T636&lt;&gt;"""",REGEXEXTRACT(SUBSTITUTE ($T636,I$1&amp;"" CE"",""""), I$1&amp;""[\w &amp;]*, (\d+\.\d+)""),"""")
"),"")</f>
        <v/>
      </c>
      <c r="J636" s="3" t="str">
        <f aca="false">IFERROR(__xludf.dummyfunction("if($T636&lt;&gt;"""",REGEXEXTRACT($T636, J$1&amp;""[\w &amp;]*, (\d+\.\d+)""),"""")
"),"")</f>
        <v/>
      </c>
      <c r="K636" s="3"/>
      <c r="L636" s="3" t="str">
        <f aca="false">IFERROR(__xludf.dummyfunction("if($T636&lt;&gt;"""",REGEXEXTRACT(SUBSTITUTE ($T636,L$1&amp;"" CE"",""""), L$1&amp;""[\w &amp;]*, (\d+\.\d+)""),"""")
"),"")</f>
        <v/>
      </c>
      <c r="M636" s="3" t="str">
        <f aca="false">IFERROR(__xludf.dummyfunction("if($T636&lt;&gt;"""",REGEXEXTRACT($T636, M$1&amp;""[\w &amp;]*, (\d+\.\d+)""),"""")
"),"")</f>
        <v/>
      </c>
      <c r="N636" s="3" t="str">
        <f aca="false">IFERROR(__xludf.dummyfunction("if($T636&lt;&gt;"""",REGEXEXTRACT(SUBSTITUTE ($T636,N$1&amp;"" CE"",""""), N$1&amp;""[\w &amp;]*, (\d+\.\d+)""),"""")
"),"")</f>
        <v/>
      </c>
      <c r="O636" s="3" t="str">
        <f aca="false">IFERROR(__xludf.dummyfunction("if($T636&lt;&gt;"""",REGEXEXTRACT($T636, O$1&amp;""[\w &amp;]*, (\d+\.\d+)""),"""")
"),"")</f>
        <v/>
      </c>
      <c r="P636" s="2"/>
      <c r="Q636" s="2"/>
      <c r="R636" s="2"/>
      <c r="S636" s="2"/>
      <c r="T636" s="5"/>
    </row>
    <row r="637" customFormat="false" ht="15.75" hidden="false" customHeight="false" outlineLevel="0" collapsed="false">
      <c r="A637" s="4"/>
      <c r="B637" s="2"/>
      <c r="C637" s="2"/>
      <c r="D637" s="2"/>
      <c r="E637" s="2"/>
      <c r="F637" s="3" t="str">
        <f aca="false">IFERROR(__xludf.dummyfunction("if($T637&lt;&gt;"""",REGEXEXTRACT(SUBSTITUTE ($T637,F$1&amp;"" CE"",""""), F$1&amp;""[\w &amp;]*, (\d+\.\d+)""),"""")
"),"")</f>
        <v/>
      </c>
      <c r="G637" s="3" t="str">
        <f aca="false">IFERROR(__xludf.dummyfunction("if($T637&lt;&gt;"""",REGEXEXTRACT($T637, G$1&amp;""[\w &amp;]*, (\d+\.\d+)""),"""")
"),"")</f>
        <v/>
      </c>
      <c r="H637" s="3"/>
      <c r="I637" s="3" t="str">
        <f aca="false">IFERROR(__xludf.dummyfunction("if($T637&lt;&gt;"""",REGEXEXTRACT(SUBSTITUTE ($T637,I$1&amp;"" CE"",""""), I$1&amp;""[\w &amp;]*, (\d+\.\d+)""),"""")
"),"")</f>
        <v/>
      </c>
      <c r="J637" s="3" t="str">
        <f aca="false">IFERROR(__xludf.dummyfunction("if($T637&lt;&gt;"""",REGEXEXTRACT($T637, J$1&amp;""[\w &amp;]*, (\d+\.\d+)""),"""")
"),"")</f>
        <v/>
      </c>
      <c r="K637" s="3"/>
      <c r="L637" s="3" t="str">
        <f aca="false">IFERROR(__xludf.dummyfunction("if($T637&lt;&gt;"""",REGEXEXTRACT(SUBSTITUTE ($T637,L$1&amp;"" CE"",""""), L$1&amp;""[\w &amp;]*, (\d+\.\d+)""),"""")
"),"")</f>
        <v/>
      </c>
      <c r="M637" s="3" t="str">
        <f aca="false">IFERROR(__xludf.dummyfunction("if($T637&lt;&gt;"""",REGEXEXTRACT($T637, M$1&amp;""[\w &amp;]*, (\d+\.\d+)""),"""")
"),"")</f>
        <v/>
      </c>
      <c r="N637" s="3" t="str">
        <f aca="false">IFERROR(__xludf.dummyfunction("if($T637&lt;&gt;"""",REGEXEXTRACT(SUBSTITUTE ($T637,N$1&amp;"" CE"",""""), N$1&amp;""[\w &amp;]*, (\d+\.\d+)""),"""")
"),"")</f>
        <v/>
      </c>
      <c r="O637" s="3" t="str">
        <f aca="false">IFERROR(__xludf.dummyfunction("if($T637&lt;&gt;"""",REGEXEXTRACT($T637, O$1&amp;""[\w &amp;]*, (\d+\.\d+)""),"""")
"),"")</f>
        <v/>
      </c>
      <c r="P637" s="2"/>
      <c r="Q637" s="2"/>
      <c r="R637" s="2"/>
      <c r="S637" s="2"/>
      <c r="T637" s="5"/>
    </row>
    <row r="638" customFormat="false" ht="15.75" hidden="false" customHeight="false" outlineLevel="0" collapsed="false">
      <c r="A638" s="4"/>
      <c r="B638" s="2"/>
      <c r="C638" s="2"/>
      <c r="D638" s="2"/>
      <c r="E638" s="2"/>
      <c r="F638" s="3" t="str">
        <f aca="false">IFERROR(__xludf.dummyfunction("if($T638&lt;&gt;"""",REGEXEXTRACT(SUBSTITUTE ($T638,F$1&amp;"" CE"",""""), F$1&amp;""[\w &amp;]*, (\d+\.\d+)""),"""")
"),"")</f>
        <v/>
      </c>
      <c r="G638" s="3" t="str">
        <f aca="false">IFERROR(__xludf.dummyfunction("if($T638&lt;&gt;"""",REGEXEXTRACT($T638, G$1&amp;""[\w &amp;]*, (\d+\.\d+)""),"""")
"),"")</f>
        <v/>
      </c>
      <c r="H638" s="3"/>
      <c r="I638" s="3" t="str">
        <f aca="false">IFERROR(__xludf.dummyfunction("if($T638&lt;&gt;"""",REGEXEXTRACT(SUBSTITUTE ($T638,I$1&amp;"" CE"",""""), I$1&amp;""[\w &amp;]*, (\d+\.\d+)""),"""")
"),"")</f>
        <v/>
      </c>
      <c r="J638" s="3" t="str">
        <f aca="false">IFERROR(__xludf.dummyfunction("if($T638&lt;&gt;"""",REGEXEXTRACT($T638, J$1&amp;""[\w &amp;]*, (\d+\.\d+)""),"""")
"),"")</f>
        <v/>
      </c>
      <c r="K638" s="3"/>
      <c r="L638" s="3" t="str">
        <f aca="false">IFERROR(__xludf.dummyfunction("if($T638&lt;&gt;"""",REGEXEXTRACT(SUBSTITUTE ($T638,L$1&amp;"" CE"",""""), L$1&amp;""[\w &amp;]*, (\d+\.\d+)""),"""")
"),"")</f>
        <v/>
      </c>
      <c r="M638" s="3" t="str">
        <f aca="false">IFERROR(__xludf.dummyfunction("if($T638&lt;&gt;"""",REGEXEXTRACT($T638, M$1&amp;""[\w &amp;]*, (\d+\.\d+)""),"""")
"),"")</f>
        <v/>
      </c>
      <c r="N638" s="3" t="str">
        <f aca="false">IFERROR(__xludf.dummyfunction("if($T638&lt;&gt;"""",REGEXEXTRACT(SUBSTITUTE ($T638,N$1&amp;"" CE"",""""), N$1&amp;""[\w &amp;]*, (\d+\.\d+)""),"""")
"),"")</f>
        <v/>
      </c>
      <c r="O638" s="3" t="str">
        <f aca="false">IFERROR(__xludf.dummyfunction("if($T638&lt;&gt;"""",REGEXEXTRACT($T638, O$1&amp;""[\w &amp;]*, (\d+\.\d+)""),"""")
"),"")</f>
        <v/>
      </c>
      <c r="P638" s="2"/>
      <c r="Q638" s="2"/>
      <c r="R638" s="2"/>
      <c r="S638" s="2"/>
      <c r="T638" s="5"/>
    </row>
    <row r="639" customFormat="false" ht="15.75" hidden="false" customHeight="false" outlineLevel="0" collapsed="false">
      <c r="A639" s="4"/>
      <c r="B639" s="2"/>
      <c r="C639" s="2"/>
      <c r="D639" s="2"/>
      <c r="E639" s="2"/>
      <c r="F639" s="3" t="str">
        <f aca="false">IFERROR(__xludf.dummyfunction("if($T639&lt;&gt;"""",REGEXEXTRACT(SUBSTITUTE ($T639,F$1&amp;"" CE"",""""), F$1&amp;""[\w &amp;]*, (\d+\.\d+)""),"""")
"),"")</f>
        <v/>
      </c>
      <c r="G639" s="3" t="str">
        <f aca="false">IFERROR(__xludf.dummyfunction("if($T639&lt;&gt;"""",REGEXEXTRACT($T639, G$1&amp;""[\w &amp;]*, (\d+\.\d+)""),"""")
"),"")</f>
        <v/>
      </c>
      <c r="H639" s="3"/>
      <c r="I639" s="3" t="str">
        <f aca="false">IFERROR(__xludf.dummyfunction("if($T639&lt;&gt;"""",REGEXEXTRACT(SUBSTITUTE ($T639,I$1&amp;"" CE"",""""), I$1&amp;""[\w &amp;]*, (\d+\.\d+)""),"""")
"),"")</f>
        <v/>
      </c>
      <c r="J639" s="3" t="str">
        <f aca="false">IFERROR(__xludf.dummyfunction("if($T639&lt;&gt;"""",REGEXEXTRACT($T639, J$1&amp;""[\w &amp;]*, (\d+\.\d+)""),"""")
"),"")</f>
        <v/>
      </c>
      <c r="K639" s="3"/>
      <c r="L639" s="3" t="str">
        <f aca="false">IFERROR(__xludf.dummyfunction("if($T639&lt;&gt;"""",REGEXEXTRACT(SUBSTITUTE ($T639,L$1&amp;"" CE"",""""), L$1&amp;""[\w &amp;]*, (\d+\.\d+)""),"""")
"),"")</f>
        <v/>
      </c>
      <c r="M639" s="3" t="str">
        <f aca="false">IFERROR(__xludf.dummyfunction("if($T639&lt;&gt;"""",REGEXEXTRACT($T639, M$1&amp;""[\w &amp;]*, (\d+\.\d+)""),"""")
"),"")</f>
        <v/>
      </c>
      <c r="N639" s="3" t="str">
        <f aca="false">IFERROR(__xludf.dummyfunction("if($T639&lt;&gt;"""",REGEXEXTRACT(SUBSTITUTE ($T639,N$1&amp;"" CE"",""""), N$1&amp;""[\w &amp;]*, (\d+\.\d+)""),"""")
"),"")</f>
        <v/>
      </c>
      <c r="O639" s="3" t="str">
        <f aca="false">IFERROR(__xludf.dummyfunction("if($T639&lt;&gt;"""",REGEXEXTRACT($T639, O$1&amp;""[\w &amp;]*, (\d+\.\d+)""),"""")
"),"")</f>
        <v/>
      </c>
      <c r="P639" s="2"/>
      <c r="Q639" s="2"/>
      <c r="R639" s="2"/>
      <c r="S639" s="2"/>
      <c r="T639" s="5"/>
    </row>
    <row r="640" customFormat="false" ht="15.75" hidden="false" customHeight="false" outlineLevel="0" collapsed="false">
      <c r="A640" s="4"/>
      <c r="B640" s="2"/>
      <c r="C640" s="2"/>
      <c r="D640" s="2"/>
      <c r="E640" s="2"/>
      <c r="F640" s="3" t="str">
        <f aca="false">IFERROR(__xludf.dummyfunction("if($T640&lt;&gt;"""",REGEXEXTRACT(SUBSTITUTE ($T640,F$1&amp;"" CE"",""""), F$1&amp;""[\w &amp;]*, (\d+\.\d+)""),"""")
"),"")</f>
        <v/>
      </c>
      <c r="G640" s="3" t="str">
        <f aca="false">IFERROR(__xludf.dummyfunction("if($T640&lt;&gt;"""",REGEXEXTRACT($T640, G$1&amp;""[\w &amp;]*, (\d+\.\d+)""),"""")
"),"")</f>
        <v/>
      </c>
      <c r="H640" s="3"/>
      <c r="I640" s="3" t="str">
        <f aca="false">IFERROR(__xludf.dummyfunction("if($T640&lt;&gt;"""",REGEXEXTRACT(SUBSTITUTE ($T640,I$1&amp;"" CE"",""""), I$1&amp;""[\w &amp;]*, (\d+\.\d+)""),"""")
"),"")</f>
        <v/>
      </c>
      <c r="J640" s="3" t="str">
        <f aca="false">IFERROR(__xludf.dummyfunction("if($T640&lt;&gt;"""",REGEXEXTRACT($T640, J$1&amp;""[\w &amp;]*, (\d+\.\d+)""),"""")
"),"")</f>
        <v/>
      </c>
      <c r="K640" s="3"/>
      <c r="L640" s="3" t="str">
        <f aca="false">IFERROR(__xludf.dummyfunction("if($T640&lt;&gt;"""",REGEXEXTRACT(SUBSTITUTE ($T640,L$1&amp;"" CE"",""""), L$1&amp;""[\w &amp;]*, (\d+\.\d+)""),"""")
"),"")</f>
        <v/>
      </c>
      <c r="M640" s="3" t="str">
        <f aca="false">IFERROR(__xludf.dummyfunction("if($T640&lt;&gt;"""",REGEXEXTRACT($T640, M$1&amp;""[\w &amp;]*, (\d+\.\d+)""),"""")
"),"")</f>
        <v/>
      </c>
      <c r="N640" s="3" t="str">
        <f aca="false">IFERROR(__xludf.dummyfunction("if($T640&lt;&gt;"""",REGEXEXTRACT(SUBSTITUTE ($T640,N$1&amp;"" CE"",""""), N$1&amp;""[\w &amp;]*, (\d+\.\d+)""),"""")
"),"")</f>
        <v/>
      </c>
      <c r="O640" s="3" t="str">
        <f aca="false">IFERROR(__xludf.dummyfunction("if($T640&lt;&gt;"""",REGEXEXTRACT($T640, O$1&amp;""[\w &amp;]*, (\d+\.\d+)""),"""")
"),"")</f>
        <v/>
      </c>
      <c r="P640" s="2"/>
      <c r="Q640" s="2"/>
      <c r="R640" s="2"/>
      <c r="S640" s="2"/>
      <c r="T640" s="5"/>
    </row>
    <row r="641" customFormat="false" ht="15.75" hidden="false" customHeight="false" outlineLevel="0" collapsed="false">
      <c r="A641" s="4"/>
      <c r="B641" s="2"/>
      <c r="C641" s="2"/>
      <c r="D641" s="2"/>
      <c r="E641" s="2"/>
      <c r="F641" s="3" t="str">
        <f aca="false">IFERROR(__xludf.dummyfunction("if($T641&lt;&gt;"""",REGEXEXTRACT(SUBSTITUTE ($T641,F$1&amp;"" CE"",""""), F$1&amp;""[\w &amp;]*, (\d+\.\d+)""),"""")
"),"")</f>
        <v/>
      </c>
      <c r="G641" s="3" t="str">
        <f aca="false">IFERROR(__xludf.dummyfunction("if($T641&lt;&gt;"""",REGEXEXTRACT($T641, G$1&amp;""[\w &amp;]*, (\d+\.\d+)""),"""")
"),"")</f>
        <v/>
      </c>
      <c r="H641" s="3"/>
      <c r="I641" s="3" t="str">
        <f aca="false">IFERROR(__xludf.dummyfunction("if($T641&lt;&gt;"""",REGEXEXTRACT(SUBSTITUTE ($T641,I$1&amp;"" CE"",""""), I$1&amp;""[\w &amp;]*, (\d+\.\d+)""),"""")
"),"")</f>
        <v/>
      </c>
      <c r="J641" s="3" t="str">
        <f aca="false">IFERROR(__xludf.dummyfunction("if($T641&lt;&gt;"""",REGEXEXTRACT($T641, J$1&amp;""[\w &amp;]*, (\d+\.\d+)""),"""")
"),"")</f>
        <v/>
      </c>
      <c r="K641" s="3"/>
      <c r="L641" s="3" t="str">
        <f aca="false">IFERROR(__xludf.dummyfunction("if($T641&lt;&gt;"""",REGEXEXTRACT(SUBSTITUTE ($T641,L$1&amp;"" CE"",""""), L$1&amp;""[\w &amp;]*, (\d+\.\d+)""),"""")
"),"")</f>
        <v/>
      </c>
      <c r="M641" s="3" t="str">
        <f aca="false">IFERROR(__xludf.dummyfunction("if($T641&lt;&gt;"""",REGEXEXTRACT($T641, M$1&amp;""[\w &amp;]*, (\d+\.\d+)""),"""")
"),"")</f>
        <v/>
      </c>
      <c r="N641" s="3" t="str">
        <f aca="false">IFERROR(__xludf.dummyfunction("if($T641&lt;&gt;"""",REGEXEXTRACT(SUBSTITUTE ($T641,N$1&amp;"" CE"",""""), N$1&amp;""[\w &amp;]*, (\d+\.\d+)""),"""")
"),"")</f>
        <v/>
      </c>
      <c r="O641" s="3" t="str">
        <f aca="false">IFERROR(__xludf.dummyfunction("if($T641&lt;&gt;"""",REGEXEXTRACT($T641, O$1&amp;""[\w &amp;]*, (\d+\.\d+)""),"""")
"),"")</f>
        <v/>
      </c>
      <c r="P641" s="2"/>
      <c r="Q641" s="2"/>
      <c r="R641" s="2"/>
      <c r="S641" s="2"/>
      <c r="T641" s="5"/>
    </row>
    <row r="642" customFormat="false" ht="15.75" hidden="false" customHeight="false" outlineLevel="0" collapsed="false">
      <c r="A642" s="4"/>
      <c r="B642" s="2"/>
      <c r="C642" s="2"/>
      <c r="D642" s="2"/>
      <c r="E642" s="2"/>
      <c r="F642" s="3" t="str">
        <f aca="false">IFERROR(__xludf.dummyfunction("if($T642&lt;&gt;"""",REGEXEXTRACT(SUBSTITUTE ($T642,F$1&amp;"" CE"",""""), F$1&amp;""[\w &amp;]*, (\d+\.\d+)""),"""")
"),"")</f>
        <v/>
      </c>
      <c r="G642" s="3" t="str">
        <f aca="false">IFERROR(__xludf.dummyfunction("if($T642&lt;&gt;"""",REGEXEXTRACT($T642, G$1&amp;""[\w &amp;]*, (\d+\.\d+)""),"""")
"),"")</f>
        <v/>
      </c>
      <c r="H642" s="3"/>
      <c r="I642" s="3" t="str">
        <f aca="false">IFERROR(__xludf.dummyfunction("if($T642&lt;&gt;"""",REGEXEXTRACT(SUBSTITUTE ($T642,I$1&amp;"" CE"",""""), I$1&amp;""[\w &amp;]*, (\d+\.\d+)""),"""")
"),"")</f>
        <v/>
      </c>
      <c r="J642" s="3" t="str">
        <f aca="false">IFERROR(__xludf.dummyfunction("if($T642&lt;&gt;"""",REGEXEXTRACT($T642, J$1&amp;""[\w &amp;]*, (\d+\.\d+)""),"""")
"),"")</f>
        <v/>
      </c>
      <c r="K642" s="3"/>
      <c r="L642" s="3" t="str">
        <f aca="false">IFERROR(__xludf.dummyfunction("if($T642&lt;&gt;"""",REGEXEXTRACT(SUBSTITUTE ($T642,L$1&amp;"" CE"",""""), L$1&amp;""[\w &amp;]*, (\d+\.\d+)""),"""")
"),"")</f>
        <v/>
      </c>
      <c r="M642" s="3" t="str">
        <f aca="false">IFERROR(__xludf.dummyfunction("if($T642&lt;&gt;"""",REGEXEXTRACT($T642, M$1&amp;""[\w &amp;]*, (\d+\.\d+)""),"""")
"),"")</f>
        <v/>
      </c>
      <c r="N642" s="3" t="str">
        <f aca="false">IFERROR(__xludf.dummyfunction("if($T642&lt;&gt;"""",REGEXEXTRACT(SUBSTITUTE ($T642,N$1&amp;"" CE"",""""), N$1&amp;""[\w &amp;]*, (\d+\.\d+)""),"""")
"),"")</f>
        <v/>
      </c>
      <c r="O642" s="3" t="str">
        <f aca="false">IFERROR(__xludf.dummyfunction("if($T642&lt;&gt;"""",REGEXEXTRACT($T642, O$1&amp;""[\w &amp;]*, (\d+\.\d+)""),"""")
"),"")</f>
        <v/>
      </c>
      <c r="P642" s="2"/>
      <c r="Q642" s="2"/>
      <c r="R642" s="2"/>
      <c r="S642" s="2"/>
      <c r="T642" s="5"/>
    </row>
    <row r="643" customFormat="false" ht="15.75" hidden="false" customHeight="false" outlineLevel="0" collapsed="false">
      <c r="A643" s="4"/>
      <c r="B643" s="2"/>
      <c r="C643" s="2"/>
      <c r="D643" s="2"/>
      <c r="E643" s="2"/>
      <c r="F643" s="3" t="str">
        <f aca="false">IFERROR(__xludf.dummyfunction("if($T643&lt;&gt;"""",REGEXEXTRACT(SUBSTITUTE ($T643,F$1&amp;"" CE"",""""), F$1&amp;""[\w &amp;]*, (\d+\.\d+)""),"""")
"),"")</f>
        <v/>
      </c>
      <c r="G643" s="3" t="str">
        <f aca="false">IFERROR(__xludf.dummyfunction("if($T643&lt;&gt;"""",REGEXEXTRACT($T643, G$1&amp;""[\w &amp;]*, (\d+\.\d+)""),"""")
"),"")</f>
        <v/>
      </c>
      <c r="H643" s="3"/>
      <c r="I643" s="3" t="str">
        <f aca="false">IFERROR(__xludf.dummyfunction("if($T643&lt;&gt;"""",REGEXEXTRACT(SUBSTITUTE ($T643,I$1&amp;"" CE"",""""), I$1&amp;""[\w &amp;]*, (\d+\.\d+)""),"""")
"),"")</f>
        <v/>
      </c>
      <c r="J643" s="3" t="str">
        <f aca="false">IFERROR(__xludf.dummyfunction("if($T643&lt;&gt;"""",REGEXEXTRACT($T643, J$1&amp;""[\w &amp;]*, (\d+\.\d+)""),"""")
"),"")</f>
        <v/>
      </c>
      <c r="K643" s="3"/>
      <c r="L643" s="3" t="str">
        <f aca="false">IFERROR(__xludf.dummyfunction("if($T643&lt;&gt;"""",REGEXEXTRACT(SUBSTITUTE ($T643,L$1&amp;"" CE"",""""), L$1&amp;""[\w &amp;]*, (\d+\.\d+)""),"""")
"),"")</f>
        <v/>
      </c>
      <c r="M643" s="3" t="str">
        <f aca="false">IFERROR(__xludf.dummyfunction("if($T643&lt;&gt;"""",REGEXEXTRACT($T643, M$1&amp;""[\w &amp;]*, (\d+\.\d+)""),"""")
"),"")</f>
        <v/>
      </c>
      <c r="N643" s="3" t="str">
        <f aca="false">IFERROR(__xludf.dummyfunction("if($T643&lt;&gt;"""",REGEXEXTRACT(SUBSTITUTE ($T643,N$1&amp;"" CE"",""""), N$1&amp;""[\w &amp;]*, (\d+\.\d+)""),"""")
"),"")</f>
        <v/>
      </c>
      <c r="O643" s="3" t="str">
        <f aca="false">IFERROR(__xludf.dummyfunction("if($T643&lt;&gt;"""",REGEXEXTRACT($T643, O$1&amp;""[\w &amp;]*, (\d+\.\d+)""),"""")
"),"")</f>
        <v/>
      </c>
      <c r="P643" s="2"/>
      <c r="Q643" s="2"/>
      <c r="R643" s="2"/>
      <c r="S643" s="2"/>
      <c r="T643" s="5"/>
    </row>
    <row r="644" customFormat="false" ht="15.75" hidden="false" customHeight="false" outlineLevel="0" collapsed="false">
      <c r="A644" s="4"/>
      <c r="B644" s="2"/>
      <c r="C644" s="2"/>
      <c r="D644" s="2"/>
      <c r="E644" s="2"/>
      <c r="F644" s="3" t="str">
        <f aca="false">IFERROR(__xludf.dummyfunction("if($T644&lt;&gt;"""",REGEXEXTRACT(SUBSTITUTE ($T644,F$1&amp;"" CE"",""""), F$1&amp;""[\w &amp;]*, (\d+\.\d+)""),"""")
"),"")</f>
        <v/>
      </c>
      <c r="G644" s="3" t="str">
        <f aca="false">IFERROR(__xludf.dummyfunction("if($T644&lt;&gt;"""",REGEXEXTRACT($T644, G$1&amp;""[\w &amp;]*, (\d+\.\d+)""),"""")
"),"")</f>
        <v/>
      </c>
      <c r="H644" s="3"/>
      <c r="I644" s="3" t="str">
        <f aca="false">IFERROR(__xludf.dummyfunction("if($T644&lt;&gt;"""",REGEXEXTRACT(SUBSTITUTE ($T644,I$1&amp;"" CE"",""""), I$1&amp;""[\w &amp;]*, (\d+\.\d+)""),"""")
"),"")</f>
        <v/>
      </c>
      <c r="J644" s="3" t="str">
        <f aca="false">IFERROR(__xludf.dummyfunction("if($T644&lt;&gt;"""",REGEXEXTRACT($T644, J$1&amp;""[\w &amp;]*, (\d+\.\d+)""),"""")
"),"")</f>
        <v/>
      </c>
      <c r="K644" s="3"/>
      <c r="L644" s="3" t="str">
        <f aca="false">IFERROR(__xludf.dummyfunction("if($T644&lt;&gt;"""",REGEXEXTRACT(SUBSTITUTE ($T644,L$1&amp;"" CE"",""""), L$1&amp;""[\w &amp;]*, (\d+\.\d+)""),"""")
"),"")</f>
        <v/>
      </c>
      <c r="M644" s="3" t="str">
        <f aca="false">IFERROR(__xludf.dummyfunction("if($T644&lt;&gt;"""",REGEXEXTRACT($T644, M$1&amp;""[\w &amp;]*, (\d+\.\d+)""),"""")
"),"")</f>
        <v/>
      </c>
      <c r="N644" s="3" t="str">
        <f aca="false">IFERROR(__xludf.dummyfunction("if($T644&lt;&gt;"""",REGEXEXTRACT(SUBSTITUTE ($T644,N$1&amp;"" CE"",""""), N$1&amp;""[\w &amp;]*, (\d+\.\d+)""),"""")
"),"")</f>
        <v/>
      </c>
      <c r="O644" s="3" t="str">
        <f aca="false">IFERROR(__xludf.dummyfunction("if($T644&lt;&gt;"""",REGEXEXTRACT($T644, O$1&amp;""[\w &amp;]*, (\d+\.\d+)""),"""")
"),"")</f>
        <v/>
      </c>
      <c r="P644" s="2"/>
      <c r="Q644" s="2"/>
      <c r="R644" s="2"/>
      <c r="S644" s="2"/>
      <c r="T644" s="5"/>
    </row>
    <row r="645" customFormat="false" ht="15.75" hidden="false" customHeight="false" outlineLevel="0" collapsed="false">
      <c r="A645" s="4"/>
      <c r="B645" s="2"/>
      <c r="C645" s="2"/>
      <c r="D645" s="2"/>
      <c r="E645" s="2"/>
      <c r="F645" s="3" t="str">
        <f aca="false">IFERROR(__xludf.dummyfunction("if($T645&lt;&gt;"""",REGEXEXTRACT(SUBSTITUTE ($T645,F$1&amp;"" CE"",""""), F$1&amp;""[\w &amp;]*, (\d+\.\d+)""),"""")
"),"")</f>
        <v/>
      </c>
      <c r="G645" s="3" t="str">
        <f aca="false">IFERROR(__xludf.dummyfunction("if($T645&lt;&gt;"""",REGEXEXTRACT($T645, G$1&amp;""[\w &amp;]*, (\d+\.\d+)""),"""")
"),"")</f>
        <v/>
      </c>
      <c r="H645" s="3"/>
      <c r="I645" s="3" t="str">
        <f aca="false">IFERROR(__xludf.dummyfunction("if($T645&lt;&gt;"""",REGEXEXTRACT(SUBSTITUTE ($T645,I$1&amp;"" CE"",""""), I$1&amp;""[\w &amp;]*, (\d+\.\d+)""),"""")
"),"")</f>
        <v/>
      </c>
      <c r="J645" s="3" t="str">
        <f aca="false">IFERROR(__xludf.dummyfunction("if($T645&lt;&gt;"""",REGEXEXTRACT($T645, J$1&amp;""[\w &amp;]*, (\d+\.\d+)""),"""")
"),"")</f>
        <v/>
      </c>
      <c r="K645" s="3"/>
      <c r="L645" s="3" t="str">
        <f aca="false">IFERROR(__xludf.dummyfunction("if($T645&lt;&gt;"""",REGEXEXTRACT(SUBSTITUTE ($T645,L$1&amp;"" CE"",""""), L$1&amp;""[\w &amp;]*, (\d+\.\d+)""),"""")
"),"")</f>
        <v/>
      </c>
      <c r="M645" s="3" t="str">
        <f aca="false">IFERROR(__xludf.dummyfunction("if($T645&lt;&gt;"""",REGEXEXTRACT($T645, M$1&amp;""[\w &amp;]*, (\d+\.\d+)""),"""")
"),"")</f>
        <v/>
      </c>
      <c r="N645" s="3" t="str">
        <f aca="false">IFERROR(__xludf.dummyfunction("if($T645&lt;&gt;"""",REGEXEXTRACT(SUBSTITUTE ($T645,N$1&amp;"" CE"",""""), N$1&amp;""[\w &amp;]*, (\d+\.\d+)""),"""")
"),"")</f>
        <v/>
      </c>
      <c r="O645" s="3" t="str">
        <f aca="false">IFERROR(__xludf.dummyfunction("if($T645&lt;&gt;"""",REGEXEXTRACT($T645, O$1&amp;""[\w &amp;]*, (\d+\.\d+)""),"""")
"),"")</f>
        <v/>
      </c>
      <c r="P645" s="2"/>
      <c r="Q645" s="2"/>
      <c r="R645" s="2"/>
      <c r="S645" s="2"/>
      <c r="T645" s="5"/>
    </row>
    <row r="646" customFormat="false" ht="15.75" hidden="false" customHeight="false" outlineLevel="0" collapsed="false">
      <c r="A646" s="4"/>
      <c r="B646" s="2"/>
      <c r="C646" s="2"/>
      <c r="D646" s="2"/>
      <c r="E646" s="2"/>
      <c r="F646" s="3" t="str">
        <f aca="false">IFERROR(__xludf.dummyfunction("if($T646&lt;&gt;"""",REGEXEXTRACT(SUBSTITUTE ($T646,F$1&amp;"" CE"",""""), F$1&amp;""[\w &amp;]*, (\d+\.\d+)""),"""")
"),"")</f>
        <v/>
      </c>
      <c r="G646" s="3" t="str">
        <f aca="false">IFERROR(__xludf.dummyfunction("if($T646&lt;&gt;"""",REGEXEXTRACT($T646, G$1&amp;""[\w &amp;]*, (\d+\.\d+)""),"""")
"),"")</f>
        <v/>
      </c>
      <c r="H646" s="3"/>
      <c r="I646" s="3" t="str">
        <f aca="false">IFERROR(__xludf.dummyfunction("if($T646&lt;&gt;"""",REGEXEXTRACT(SUBSTITUTE ($T646,I$1&amp;"" CE"",""""), I$1&amp;""[\w &amp;]*, (\d+\.\d+)""),"""")
"),"")</f>
        <v/>
      </c>
      <c r="J646" s="3" t="str">
        <f aca="false">IFERROR(__xludf.dummyfunction("if($T646&lt;&gt;"""",REGEXEXTRACT($T646, J$1&amp;""[\w &amp;]*, (\d+\.\d+)""),"""")
"),"")</f>
        <v/>
      </c>
      <c r="K646" s="3"/>
      <c r="L646" s="3" t="str">
        <f aca="false">IFERROR(__xludf.dummyfunction("if($T646&lt;&gt;"""",REGEXEXTRACT(SUBSTITUTE ($T646,L$1&amp;"" CE"",""""), L$1&amp;""[\w &amp;]*, (\d+\.\d+)""),"""")
"),"")</f>
        <v/>
      </c>
      <c r="M646" s="3" t="str">
        <f aca="false">IFERROR(__xludf.dummyfunction("if($T646&lt;&gt;"""",REGEXEXTRACT($T646, M$1&amp;""[\w &amp;]*, (\d+\.\d+)""),"""")
"),"")</f>
        <v/>
      </c>
      <c r="N646" s="3" t="str">
        <f aca="false">IFERROR(__xludf.dummyfunction("if($T646&lt;&gt;"""",REGEXEXTRACT(SUBSTITUTE ($T646,N$1&amp;"" CE"",""""), N$1&amp;""[\w &amp;]*, (\d+\.\d+)""),"""")
"),"")</f>
        <v/>
      </c>
      <c r="O646" s="3" t="str">
        <f aca="false">IFERROR(__xludf.dummyfunction("if($T646&lt;&gt;"""",REGEXEXTRACT($T646, O$1&amp;""[\w &amp;]*, (\d+\.\d+)""),"""")
"),"")</f>
        <v/>
      </c>
      <c r="P646" s="2"/>
      <c r="Q646" s="2"/>
      <c r="R646" s="2"/>
      <c r="S646" s="2"/>
      <c r="T646" s="5"/>
    </row>
    <row r="647" customFormat="false" ht="15.75" hidden="false" customHeight="false" outlineLevel="0" collapsed="false">
      <c r="A647" s="4"/>
      <c r="B647" s="2"/>
      <c r="C647" s="2"/>
      <c r="D647" s="2"/>
      <c r="E647" s="2"/>
      <c r="F647" s="3" t="str">
        <f aca="false">IFERROR(__xludf.dummyfunction("if($T647&lt;&gt;"""",REGEXEXTRACT(SUBSTITUTE ($T647,F$1&amp;"" CE"",""""), F$1&amp;""[\w &amp;]*, (\d+\.\d+)""),"""")
"),"")</f>
        <v/>
      </c>
      <c r="G647" s="3" t="str">
        <f aca="false">IFERROR(__xludf.dummyfunction("if($T647&lt;&gt;"""",REGEXEXTRACT($T647, G$1&amp;""[\w &amp;]*, (\d+\.\d+)""),"""")
"),"")</f>
        <v/>
      </c>
      <c r="H647" s="3"/>
      <c r="I647" s="3" t="str">
        <f aca="false">IFERROR(__xludf.dummyfunction("if($T647&lt;&gt;"""",REGEXEXTRACT(SUBSTITUTE ($T647,I$1&amp;"" CE"",""""), I$1&amp;""[\w &amp;]*, (\d+\.\d+)""),"""")
"),"")</f>
        <v/>
      </c>
      <c r="J647" s="3" t="str">
        <f aca="false">IFERROR(__xludf.dummyfunction("if($T647&lt;&gt;"""",REGEXEXTRACT($T647, J$1&amp;""[\w &amp;]*, (\d+\.\d+)""),"""")
"),"")</f>
        <v/>
      </c>
      <c r="K647" s="3"/>
      <c r="L647" s="3" t="str">
        <f aca="false">IFERROR(__xludf.dummyfunction("if($T647&lt;&gt;"""",REGEXEXTRACT(SUBSTITUTE ($T647,L$1&amp;"" CE"",""""), L$1&amp;""[\w &amp;]*, (\d+\.\d+)""),"""")
"),"")</f>
        <v/>
      </c>
      <c r="M647" s="3" t="str">
        <f aca="false">IFERROR(__xludf.dummyfunction("if($T647&lt;&gt;"""",REGEXEXTRACT($T647, M$1&amp;""[\w &amp;]*, (\d+\.\d+)""),"""")
"),"")</f>
        <v/>
      </c>
      <c r="N647" s="3" t="str">
        <f aca="false">IFERROR(__xludf.dummyfunction("if($T647&lt;&gt;"""",REGEXEXTRACT(SUBSTITUTE ($T647,N$1&amp;"" CE"",""""), N$1&amp;""[\w &amp;]*, (\d+\.\d+)""),"""")
"),"")</f>
        <v/>
      </c>
      <c r="O647" s="3" t="str">
        <f aca="false">IFERROR(__xludf.dummyfunction("if($T647&lt;&gt;"""",REGEXEXTRACT($T647, O$1&amp;""[\w &amp;]*, (\d+\.\d+)""),"""")
"),"")</f>
        <v/>
      </c>
      <c r="P647" s="2"/>
      <c r="Q647" s="2"/>
      <c r="R647" s="2"/>
      <c r="S647" s="2"/>
      <c r="T647" s="5"/>
    </row>
    <row r="648" customFormat="false" ht="15.75" hidden="false" customHeight="false" outlineLevel="0" collapsed="false">
      <c r="A648" s="4"/>
      <c r="B648" s="2"/>
      <c r="C648" s="2"/>
      <c r="D648" s="2"/>
      <c r="E648" s="2"/>
      <c r="F648" s="3" t="str">
        <f aca="false">IFERROR(__xludf.dummyfunction("if($T648&lt;&gt;"""",REGEXEXTRACT(SUBSTITUTE ($T648,F$1&amp;"" CE"",""""), F$1&amp;""[\w &amp;]*, (\d+\.\d+)""),"""")
"),"")</f>
        <v/>
      </c>
      <c r="G648" s="3" t="str">
        <f aca="false">IFERROR(__xludf.dummyfunction("if($T648&lt;&gt;"""",REGEXEXTRACT($T648, G$1&amp;""[\w &amp;]*, (\d+\.\d+)""),"""")
"),"")</f>
        <v/>
      </c>
      <c r="H648" s="3"/>
      <c r="I648" s="3" t="str">
        <f aca="false">IFERROR(__xludf.dummyfunction("if($T648&lt;&gt;"""",REGEXEXTRACT(SUBSTITUTE ($T648,I$1&amp;"" CE"",""""), I$1&amp;""[\w &amp;]*, (\d+\.\d+)""),"""")
"),"")</f>
        <v/>
      </c>
      <c r="J648" s="3" t="str">
        <f aca="false">IFERROR(__xludf.dummyfunction("if($T648&lt;&gt;"""",REGEXEXTRACT($T648, J$1&amp;""[\w &amp;]*, (\d+\.\d+)""),"""")
"),"")</f>
        <v/>
      </c>
      <c r="K648" s="3"/>
      <c r="L648" s="3" t="str">
        <f aca="false">IFERROR(__xludf.dummyfunction("if($T648&lt;&gt;"""",REGEXEXTRACT(SUBSTITUTE ($T648,L$1&amp;"" CE"",""""), L$1&amp;""[\w &amp;]*, (\d+\.\d+)""),"""")
"),"")</f>
        <v/>
      </c>
      <c r="M648" s="3" t="str">
        <f aca="false">IFERROR(__xludf.dummyfunction("if($T648&lt;&gt;"""",REGEXEXTRACT($T648, M$1&amp;""[\w &amp;]*, (\d+\.\d+)""),"""")
"),"")</f>
        <v/>
      </c>
      <c r="N648" s="3" t="str">
        <f aca="false">IFERROR(__xludf.dummyfunction("if($T648&lt;&gt;"""",REGEXEXTRACT(SUBSTITUTE ($T648,N$1&amp;"" CE"",""""), N$1&amp;""[\w &amp;]*, (\d+\.\d+)""),"""")
"),"")</f>
        <v/>
      </c>
      <c r="O648" s="3" t="str">
        <f aca="false">IFERROR(__xludf.dummyfunction("if($T648&lt;&gt;"""",REGEXEXTRACT($T648, O$1&amp;""[\w &amp;]*, (\d+\.\d+)""),"""")
"),"")</f>
        <v/>
      </c>
      <c r="P648" s="2"/>
      <c r="Q648" s="2"/>
      <c r="R648" s="2"/>
      <c r="S648" s="2"/>
      <c r="T648" s="5"/>
    </row>
    <row r="649" customFormat="false" ht="15.75" hidden="false" customHeight="false" outlineLevel="0" collapsed="false">
      <c r="A649" s="4"/>
      <c r="B649" s="2"/>
      <c r="C649" s="2"/>
      <c r="D649" s="2"/>
      <c r="E649" s="2"/>
      <c r="F649" s="3" t="str">
        <f aca="false">IFERROR(__xludf.dummyfunction("if($T649&lt;&gt;"""",REGEXEXTRACT(SUBSTITUTE ($T649,F$1&amp;"" CE"",""""), F$1&amp;""[\w &amp;]*, (\d+\.\d+)""),"""")
"),"")</f>
        <v/>
      </c>
      <c r="G649" s="3" t="str">
        <f aca="false">IFERROR(__xludf.dummyfunction("if($T649&lt;&gt;"""",REGEXEXTRACT($T649, G$1&amp;""[\w &amp;]*, (\d+\.\d+)""),"""")
"),"")</f>
        <v/>
      </c>
      <c r="H649" s="3"/>
      <c r="I649" s="3" t="str">
        <f aca="false">IFERROR(__xludf.dummyfunction("if($T649&lt;&gt;"""",REGEXEXTRACT(SUBSTITUTE ($T649,I$1&amp;"" CE"",""""), I$1&amp;""[\w &amp;]*, (\d+\.\d+)""),"""")
"),"")</f>
        <v/>
      </c>
      <c r="J649" s="3" t="str">
        <f aca="false">IFERROR(__xludf.dummyfunction("if($T649&lt;&gt;"""",REGEXEXTRACT($T649, J$1&amp;""[\w &amp;]*, (\d+\.\d+)""),"""")
"),"")</f>
        <v/>
      </c>
      <c r="K649" s="3"/>
      <c r="L649" s="3" t="str">
        <f aca="false">IFERROR(__xludf.dummyfunction("if($T649&lt;&gt;"""",REGEXEXTRACT(SUBSTITUTE ($T649,L$1&amp;"" CE"",""""), L$1&amp;""[\w &amp;]*, (\d+\.\d+)""),"""")
"),"")</f>
        <v/>
      </c>
      <c r="M649" s="3" t="str">
        <f aca="false">IFERROR(__xludf.dummyfunction("if($T649&lt;&gt;"""",REGEXEXTRACT($T649, M$1&amp;""[\w &amp;]*, (\d+\.\d+)""),"""")
"),"")</f>
        <v/>
      </c>
      <c r="N649" s="3" t="str">
        <f aca="false">IFERROR(__xludf.dummyfunction("if($T649&lt;&gt;"""",REGEXEXTRACT(SUBSTITUTE ($T649,N$1&amp;"" CE"",""""), N$1&amp;""[\w &amp;]*, (\d+\.\d+)""),"""")
"),"")</f>
        <v/>
      </c>
      <c r="O649" s="3" t="str">
        <f aca="false">IFERROR(__xludf.dummyfunction("if($T649&lt;&gt;"""",REGEXEXTRACT($T649, O$1&amp;""[\w &amp;]*, (\d+\.\d+)""),"""")
"),"")</f>
        <v/>
      </c>
      <c r="P649" s="2"/>
      <c r="Q649" s="2"/>
      <c r="R649" s="2"/>
      <c r="S649" s="2"/>
      <c r="T649" s="5"/>
    </row>
    <row r="650" customFormat="false" ht="15.75" hidden="false" customHeight="false" outlineLevel="0" collapsed="false">
      <c r="A650" s="4"/>
      <c r="B650" s="2"/>
      <c r="C650" s="2"/>
      <c r="D650" s="2"/>
      <c r="E650" s="2"/>
      <c r="F650" s="3" t="str">
        <f aca="false">IFERROR(__xludf.dummyfunction("if($T650&lt;&gt;"""",REGEXEXTRACT(SUBSTITUTE ($T650,F$1&amp;"" CE"",""""), F$1&amp;""[\w &amp;]*, (\d+\.\d+)""),"""")
"),"")</f>
        <v/>
      </c>
      <c r="G650" s="3" t="str">
        <f aca="false">IFERROR(__xludf.dummyfunction("if($T650&lt;&gt;"""",REGEXEXTRACT($T650, G$1&amp;""[\w &amp;]*, (\d+\.\d+)""),"""")
"),"")</f>
        <v/>
      </c>
      <c r="H650" s="3"/>
      <c r="I650" s="3" t="str">
        <f aca="false">IFERROR(__xludf.dummyfunction("if($T650&lt;&gt;"""",REGEXEXTRACT(SUBSTITUTE ($T650,I$1&amp;"" CE"",""""), I$1&amp;""[\w &amp;]*, (\d+\.\d+)""),"""")
"),"")</f>
        <v/>
      </c>
      <c r="J650" s="3" t="str">
        <f aca="false">IFERROR(__xludf.dummyfunction("if($T650&lt;&gt;"""",REGEXEXTRACT($T650, J$1&amp;""[\w &amp;]*, (\d+\.\d+)""),"""")
"),"")</f>
        <v/>
      </c>
      <c r="K650" s="3"/>
      <c r="L650" s="3" t="str">
        <f aca="false">IFERROR(__xludf.dummyfunction("if($T650&lt;&gt;"""",REGEXEXTRACT(SUBSTITUTE ($T650,L$1&amp;"" CE"",""""), L$1&amp;""[\w &amp;]*, (\d+\.\d+)""),"""")
"),"")</f>
        <v/>
      </c>
      <c r="M650" s="3" t="str">
        <f aca="false">IFERROR(__xludf.dummyfunction("if($T650&lt;&gt;"""",REGEXEXTRACT($T650, M$1&amp;""[\w &amp;]*, (\d+\.\d+)""),"""")
"),"")</f>
        <v/>
      </c>
      <c r="N650" s="3" t="str">
        <f aca="false">IFERROR(__xludf.dummyfunction("if($T650&lt;&gt;"""",REGEXEXTRACT(SUBSTITUTE ($T650,N$1&amp;"" CE"",""""), N$1&amp;""[\w &amp;]*, (\d+\.\d+)""),"""")
"),"")</f>
        <v/>
      </c>
      <c r="O650" s="3" t="str">
        <f aca="false">IFERROR(__xludf.dummyfunction("if($T650&lt;&gt;"""",REGEXEXTRACT($T650, O$1&amp;""[\w &amp;]*, (\d+\.\d+)""),"""")
"),"")</f>
        <v/>
      </c>
      <c r="P650" s="2"/>
      <c r="Q650" s="2"/>
      <c r="R650" s="2"/>
      <c r="S650" s="2"/>
      <c r="T650" s="5"/>
    </row>
    <row r="651" customFormat="false" ht="15.75" hidden="false" customHeight="false" outlineLevel="0" collapsed="false">
      <c r="A651" s="4"/>
      <c r="B651" s="2"/>
      <c r="C651" s="2"/>
      <c r="D651" s="2"/>
      <c r="E651" s="2"/>
      <c r="F651" s="3" t="str">
        <f aca="false">IFERROR(__xludf.dummyfunction("if($T651&lt;&gt;"""",REGEXEXTRACT(SUBSTITUTE ($T651,F$1&amp;"" CE"",""""), F$1&amp;""[\w &amp;]*, (\d+\.\d+)""),"""")
"),"")</f>
        <v/>
      </c>
      <c r="G651" s="3" t="str">
        <f aca="false">IFERROR(__xludf.dummyfunction("if($T651&lt;&gt;"""",REGEXEXTRACT($T651, G$1&amp;""[\w &amp;]*, (\d+\.\d+)""),"""")
"),"")</f>
        <v/>
      </c>
      <c r="H651" s="3"/>
      <c r="I651" s="3" t="str">
        <f aca="false">IFERROR(__xludf.dummyfunction("if($T651&lt;&gt;"""",REGEXEXTRACT(SUBSTITUTE ($T651,I$1&amp;"" CE"",""""), I$1&amp;""[\w &amp;]*, (\d+\.\d+)""),"""")
"),"")</f>
        <v/>
      </c>
      <c r="J651" s="3" t="str">
        <f aca="false">IFERROR(__xludf.dummyfunction("if($T651&lt;&gt;"""",REGEXEXTRACT($T651, J$1&amp;""[\w &amp;]*, (\d+\.\d+)""),"""")
"),"")</f>
        <v/>
      </c>
      <c r="K651" s="3"/>
      <c r="L651" s="3" t="str">
        <f aca="false">IFERROR(__xludf.dummyfunction("if($T651&lt;&gt;"""",REGEXEXTRACT(SUBSTITUTE ($T651,L$1&amp;"" CE"",""""), L$1&amp;""[\w &amp;]*, (\d+\.\d+)""),"""")
"),"")</f>
        <v/>
      </c>
      <c r="M651" s="3" t="str">
        <f aca="false">IFERROR(__xludf.dummyfunction("if($T651&lt;&gt;"""",REGEXEXTRACT($T651, M$1&amp;""[\w &amp;]*, (\d+\.\d+)""),"""")
"),"")</f>
        <v/>
      </c>
      <c r="N651" s="3" t="str">
        <f aca="false">IFERROR(__xludf.dummyfunction("if($T651&lt;&gt;"""",REGEXEXTRACT(SUBSTITUTE ($T651,N$1&amp;"" CE"",""""), N$1&amp;""[\w &amp;]*, (\d+\.\d+)""),"""")
"),"")</f>
        <v/>
      </c>
      <c r="O651" s="3" t="str">
        <f aca="false">IFERROR(__xludf.dummyfunction("if($T651&lt;&gt;"""",REGEXEXTRACT($T651, O$1&amp;""[\w &amp;]*, (\d+\.\d+)""),"""")
"),"")</f>
        <v/>
      </c>
      <c r="P651" s="2"/>
      <c r="Q651" s="2"/>
      <c r="R651" s="2"/>
      <c r="S651" s="2"/>
      <c r="T651" s="5"/>
    </row>
    <row r="652" customFormat="false" ht="15.75" hidden="false" customHeight="false" outlineLevel="0" collapsed="false">
      <c r="A652" s="4"/>
      <c r="B652" s="2"/>
      <c r="C652" s="2"/>
      <c r="D652" s="2"/>
      <c r="E652" s="2"/>
      <c r="F652" s="3" t="str">
        <f aca="false">IFERROR(__xludf.dummyfunction("if($T652&lt;&gt;"""",REGEXEXTRACT(SUBSTITUTE ($T652,F$1&amp;"" CE"",""""), F$1&amp;""[\w &amp;]*, (\d+\.\d+)""),"""")
"),"")</f>
        <v/>
      </c>
      <c r="G652" s="3" t="str">
        <f aca="false">IFERROR(__xludf.dummyfunction("if($T652&lt;&gt;"""",REGEXEXTRACT($T652, G$1&amp;""[\w &amp;]*, (\d+\.\d+)""),"""")
"),"")</f>
        <v/>
      </c>
      <c r="H652" s="3"/>
      <c r="I652" s="3" t="str">
        <f aca="false">IFERROR(__xludf.dummyfunction("if($T652&lt;&gt;"""",REGEXEXTRACT(SUBSTITUTE ($T652,I$1&amp;"" CE"",""""), I$1&amp;""[\w &amp;]*, (\d+\.\d+)""),"""")
"),"")</f>
        <v/>
      </c>
      <c r="J652" s="3" t="str">
        <f aca="false">IFERROR(__xludf.dummyfunction("if($T652&lt;&gt;"""",REGEXEXTRACT($T652, J$1&amp;""[\w &amp;]*, (\d+\.\d+)""),"""")
"),"")</f>
        <v/>
      </c>
      <c r="K652" s="3"/>
      <c r="L652" s="3" t="str">
        <f aca="false">IFERROR(__xludf.dummyfunction("if($T652&lt;&gt;"""",REGEXEXTRACT(SUBSTITUTE ($T652,L$1&amp;"" CE"",""""), L$1&amp;""[\w &amp;]*, (\d+\.\d+)""),"""")
"),"")</f>
        <v/>
      </c>
      <c r="M652" s="3" t="str">
        <f aca="false">IFERROR(__xludf.dummyfunction("if($T652&lt;&gt;"""",REGEXEXTRACT($T652, M$1&amp;""[\w &amp;]*, (\d+\.\d+)""),"""")
"),"")</f>
        <v/>
      </c>
      <c r="N652" s="3" t="str">
        <f aca="false">IFERROR(__xludf.dummyfunction("if($T652&lt;&gt;"""",REGEXEXTRACT(SUBSTITUTE ($T652,N$1&amp;"" CE"",""""), N$1&amp;""[\w &amp;]*, (\d+\.\d+)""),"""")
"),"")</f>
        <v/>
      </c>
      <c r="O652" s="3" t="str">
        <f aca="false">IFERROR(__xludf.dummyfunction("if($T652&lt;&gt;"""",REGEXEXTRACT($T652, O$1&amp;""[\w &amp;]*, (\d+\.\d+)""),"""")
"),"")</f>
        <v/>
      </c>
      <c r="P652" s="2"/>
      <c r="Q652" s="2"/>
      <c r="R652" s="2"/>
      <c r="S652" s="2"/>
      <c r="T652" s="5"/>
    </row>
    <row r="653" customFormat="false" ht="15.75" hidden="false" customHeight="false" outlineLevel="0" collapsed="false">
      <c r="A653" s="4"/>
      <c r="B653" s="2"/>
      <c r="C653" s="2"/>
      <c r="D653" s="2"/>
      <c r="E653" s="2"/>
      <c r="F653" s="3" t="str">
        <f aca="false">IFERROR(__xludf.dummyfunction("if($T653&lt;&gt;"""",REGEXEXTRACT(SUBSTITUTE ($T653,F$1&amp;"" CE"",""""), F$1&amp;""[\w &amp;]*, (\d+\.\d+)""),"""")
"),"")</f>
        <v/>
      </c>
      <c r="G653" s="3" t="str">
        <f aca="false">IFERROR(__xludf.dummyfunction("if($T653&lt;&gt;"""",REGEXEXTRACT($T653, G$1&amp;""[\w &amp;]*, (\d+\.\d+)""),"""")
"),"")</f>
        <v/>
      </c>
      <c r="H653" s="3"/>
      <c r="I653" s="3" t="str">
        <f aca="false">IFERROR(__xludf.dummyfunction("if($T653&lt;&gt;"""",REGEXEXTRACT(SUBSTITUTE ($T653,I$1&amp;"" CE"",""""), I$1&amp;""[\w &amp;]*, (\d+\.\d+)""),"""")
"),"")</f>
        <v/>
      </c>
      <c r="J653" s="3" t="str">
        <f aca="false">IFERROR(__xludf.dummyfunction("if($T653&lt;&gt;"""",REGEXEXTRACT($T653, J$1&amp;""[\w &amp;]*, (\d+\.\d+)""),"""")
"),"")</f>
        <v/>
      </c>
      <c r="K653" s="3"/>
      <c r="L653" s="3" t="str">
        <f aca="false">IFERROR(__xludf.dummyfunction("if($T653&lt;&gt;"""",REGEXEXTRACT(SUBSTITUTE ($T653,L$1&amp;"" CE"",""""), L$1&amp;""[\w &amp;]*, (\d+\.\d+)""),"""")
"),"")</f>
        <v/>
      </c>
      <c r="M653" s="3" t="str">
        <f aca="false">IFERROR(__xludf.dummyfunction("if($T653&lt;&gt;"""",REGEXEXTRACT($T653, M$1&amp;""[\w &amp;]*, (\d+\.\d+)""),"""")
"),"")</f>
        <v/>
      </c>
      <c r="N653" s="3" t="str">
        <f aca="false">IFERROR(__xludf.dummyfunction("if($T653&lt;&gt;"""",REGEXEXTRACT(SUBSTITUTE ($T653,N$1&amp;"" CE"",""""), N$1&amp;""[\w &amp;]*, (\d+\.\d+)""),"""")
"),"")</f>
        <v/>
      </c>
      <c r="O653" s="3" t="str">
        <f aca="false">IFERROR(__xludf.dummyfunction("if($T653&lt;&gt;"""",REGEXEXTRACT($T653, O$1&amp;""[\w &amp;]*, (\d+\.\d+)""),"""")
"),"")</f>
        <v/>
      </c>
      <c r="P653" s="2"/>
      <c r="Q653" s="2"/>
      <c r="R653" s="2"/>
      <c r="S653" s="2"/>
      <c r="T653" s="5"/>
    </row>
    <row r="654" customFormat="false" ht="15.75" hidden="false" customHeight="false" outlineLevel="0" collapsed="false">
      <c r="A654" s="4"/>
      <c r="B654" s="2"/>
      <c r="C654" s="2"/>
      <c r="D654" s="2"/>
      <c r="E654" s="2"/>
      <c r="F654" s="3" t="str">
        <f aca="false">IFERROR(__xludf.dummyfunction("if($T654&lt;&gt;"""",REGEXEXTRACT(SUBSTITUTE ($T654,F$1&amp;"" CE"",""""), F$1&amp;""[\w &amp;]*, (\d+\.\d+)""),"""")
"),"")</f>
        <v/>
      </c>
      <c r="G654" s="3" t="str">
        <f aca="false">IFERROR(__xludf.dummyfunction("if($T654&lt;&gt;"""",REGEXEXTRACT($T654, G$1&amp;""[\w &amp;]*, (\d+\.\d+)""),"""")
"),"")</f>
        <v/>
      </c>
      <c r="H654" s="3"/>
      <c r="I654" s="3" t="str">
        <f aca="false">IFERROR(__xludf.dummyfunction("if($T654&lt;&gt;"""",REGEXEXTRACT(SUBSTITUTE ($T654,I$1&amp;"" CE"",""""), I$1&amp;""[\w &amp;]*, (\d+\.\d+)""),"""")
"),"")</f>
        <v/>
      </c>
      <c r="J654" s="3" t="str">
        <f aca="false">IFERROR(__xludf.dummyfunction("if($T654&lt;&gt;"""",REGEXEXTRACT($T654, J$1&amp;""[\w &amp;]*, (\d+\.\d+)""),"""")
"),"")</f>
        <v/>
      </c>
      <c r="K654" s="3"/>
      <c r="L654" s="3" t="str">
        <f aca="false">IFERROR(__xludf.dummyfunction("if($T654&lt;&gt;"""",REGEXEXTRACT(SUBSTITUTE ($T654,L$1&amp;"" CE"",""""), L$1&amp;""[\w &amp;]*, (\d+\.\d+)""),"""")
"),"")</f>
        <v/>
      </c>
      <c r="M654" s="3" t="str">
        <f aca="false">IFERROR(__xludf.dummyfunction("if($T654&lt;&gt;"""",REGEXEXTRACT($T654, M$1&amp;""[\w &amp;]*, (\d+\.\d+)""),"""")
"),"")</f>
        <v/>
      </c>
      <c r="N654" s="3" t="str">
        <f aca="false">IFERROR(__xludf.dummyfunction("if($T654&lt;&gt;"""",REGEXEXTRACT(SUBSTITUTE ($T654,N$1&amp;"" CE"",""""), N$1&amp;""[\w &amp;]*, (\d+\.\d+)""),"""")
"),"")</f>
        <v/>
      </c>
      <c r="O654" s="3" t="str">
        <f aca="false">IFERROR(__xludf.dummyfunction("if($T654&lt;&gt;"""",REGEXEXTRACT($T654, O$1&amp;""[\w &amp;]*, (\d+\.\d+)""),"""")
"),"")</f>
        <v/>
      </c>
      <c r="P654" s="2"/>
      <c r="Q654" s="2"/>
      <c r="R654" s="2"/>
      <c r="S654" s="2"/>
      <c r="T654" s="5"/>
    </row>
    <row r="655" customFormat="false" ht="15.75" hidden="false" customHeight="false" outlineLevel="0" collapsed="false">
      <c r="A655" s="4"/>
      <c r="B655" s="2"/>
      <c r="C655" s="2"/>
      <c r="D655" s="2"/>
      <c r="E655" s="2"/>
      <c r="F655" s="3" t="str">
        <f aca="false">IFERROR(__xludf.dummyfunction("if($T655&lt;&gt;"""",REGEXEXTRACT(SUBSTITUTE ($T655,F$1&amp;"" CE"",""""), F$1&amp;""[\w &amp;]*, (\d+\.\d+)""),"""")
"),"")</f>
        <v/>
      </c>
      <c r="G655" s="3" t="str">
        <f aca="false">IFERROR(__xludf.dummyfunction("if($T655&lt;&gt;"""",REGEXEXTRACT($T655, G$1&amp;""[\w &amp;]*, (\d+\.\d+)""),"""")
"),"")</f>
        <v/>
      </c>
      <c r="H655" s="3"/>
      <c r="I655" s="3" t="str">
        <f aca="false">IFERROR(__xludf.dummyfunction("if($T655&lt;&gt;"""",REGEXEXTRACT(SUBSTITUTE ($T655,I$1&amp;"" CE"",""""), I$1&amp;""[\w &amp;]*, (\d+\.\d+)""),"""")
"),"")</f>
        <v/>
      </c>
      <c r="J655" s="3" t="str">
        <f aca="false">IFERROR(__xludf.dummyfunction("if($T655&lt;&gt;"""",REGEXEXTRACT($T655, J$1&amp;""[\w &amp;]*, (\d+\.\d+)""),"""")
"),"")</f>
        <v/>
      </c>
      <c r="K655" s="3"/>
      <c r="L655" s="3" t="str">
        <f aca="false">IFERROR(__xludf.dummyfunction("if($T655&lt;&gt;"""",REGEXEXTRACT(SUBSTITUTE ($T655,L$1&amp;"" CE"",""""), L$1&amp;""[\w &amp;]*, (\d+\.\d+)""),"""")
"),"")</f>
        <v/>
      </c>
      <c r="M655" s="3" t="str">
        <f aca="false">IFERROR(__xludf.dummyfunction("if($T655&lt;&gt;"""",REGEXEXTRACT($T655, M$1&amp;""[\w &amp;]*, (\d+\.\d+)""),"""")
"),"")</f>
        <v/>
      </c>
      <c r="N655" s="3" t="str">
        <f aca="false">IFERROR(__xludf.dummyfunction("if($T655&lt;&gt;"""",REGEXEXTRACT(SUBSTITUTE ($T655,N$1&amp;"" CE"",""""), N$1&amp;""[\w &amp;]*, (\d+\.\d+)""),"""")
"),"")</f>
        <v/>
      </c>
      <c r="O655" s="3" t="str">
        <f aca="false">IFERROR(__xludf.dummyfunction("if($T655&lt;&gt;"""",REGEXEXTRACT($T655, O$1&amp;""[\w &amp;]*, (\d+\.\d+)""),"""")
"),"")</f>
        <v/>
      </c>
      <c r="P655" s="2"/>
      <c r="Q655" s="2"/>
      <c r="R655" s="2"/>
      <c r="S655" s="2"/>
      <c r="T655" s="5"/>
    </row>
    <row r="656" customFormat="false" ht="15.75" hidden="false" customHeight="false" outlineLevel="0" collapsed="false">
      <c r="A656" s="4"/>
      <c r="B656" s="2"/>
      <c r="C656" s="2"/>
      <c r="D656" s="2"/>
      <c r="E656" s="2"/>
      <c r="F656" s="3" t="str">
        <f aca="false">IFERROR(__xludf.dummyfunction("if($T656&lt;&gt;"""",REGEXEXTRACT(SUBSTITUTE ($T656,F$1&amp;"" CE"",""""), F$1&amp;""[\w &amp;]*, (\d+\.\d+)""),"""")
"),"")</f>
        <v/>
      </c>
      <c r="G656" s="3" t="str">
        <f aca="false">IFERROR(__xludf.dummyfunction("if($T656&lt;&gt;"""",REGEXEXTRACT($T656, G$1&amp;""[\w &amp;]*, (\d+\.\d+)""),"""")
"),"")</f>
        <v/>
      </c>
      <c r="H656" s="3"/>
      <c r="I656" s="3" t="str">
        <f aca="false">IFERROR(__xludf.dummyfunction("if($T656&lt;&gt;"""",REGEXEXTRACT(SUBSTITUTE ($T656,I$1&amp;"" CE"",""""), I$1&amp;""[\w &amp;]*, (\d+\.\d+)""),"""")
"),"")</f>
        <v/>
      </c>
      <c r="J656" s="3" t="str">
        <f aca="false">IFERROR(__xludf.dummyfunction("if($T656&lt;&gt;"""",REGEXEXTRACT($T656, J$1&amp;""[\w &amp;]*, (\d+\.\d+)""),"""")
"),"")</f>
        <v/>
      </c>
      <c r="K656" s="3"/>
      <c r="L656" s="3" t="str">
        <f aca="false">IFERROR(__xludf.dummyfunction("if($T656&lt;&gt;"""",REGEXEXTRACT(SUBSTITUTE ($T656,L$1&amp;"" CE"",""""), L$1&amp;""[\w &amp;]*, (\d+\.\d+)""),"""")
"),"")</f>
        <v/>
      </c>
      <c r="M656" s="3" t="str">
        <f aca="false">IFERROR(__xludf.dummyfunction("if($T656&lt;&gt;"""",REGEXEXTRACT($T656, M$1&amp;""[\w &amp;]*, (\d+\.\d+)""),"""")
"),"")</f>
        <v/>
      </c>
      <c r="N656" s="3" t="str">
        <f aca="false">IFERROR(__xludf.dummyfunction("if($T656&lt;&gt;"""",REGEXEXTRACT(SUBSTITUTE ($T656,N$1&amp;"" CE"",""""), N$1&amp;""[\w &amp;]*, (\d+\.\d+)""),"""")
"),"")</f>
        <v/>
      </c>
      <c r="O656" s="3" t="str">
        <f aca="false">IFERROR(__xludf.dummyfunction("if($T656&lt;&gt;"""",REGEXEXTRACT($T656, O$1&amp;""[\w &amp;]*, (\d+\.\d+)""),"""")
"),"")</f>
        <v/>
      </c>
      <c r="P656" s="2"/>
      <c r="Q656" s="2"/>
      <c r="R656" s="2"/>
      <c r="S656" s="2"/>
      <c r="T656" s="5"/>
    </row>
    <row r="657" customFormat="false" ht="15.75" hidden="false" customHeight="false" outlineLevel="0" collapsed="false">
      <c r="A657" s="4"/>
      <c r="B657" s="2"/>
      <c r="C657" s="2"/>
      <c r="D657" s="2"/>
      <c r="E657" s="2"/>
      <c r="F657" s="3" t="str">
        <f aca="false">IFERROR(__xludf.dummyfunction("if($T657&lt;&gt;"""",REGEXEXTRACT(SUBSTITUTE ($T657,F$1&amp;"" CE"",""""), F$1&amp;""[\w &amp;]*, (\d+\.\d+)""),"""")
"),"")</f>
        <v/>
      </c>
      <c r="G657" s="3" t="str">
        <f aca="false">IFERROR(__xludf.dummyfunction("if($T657&lt;&gt;"""",REGEXEXTRACT($T657, G$1&amp;""[\w &amp;]*, (\d+\.\d+)""),"""")
"),"")</f>
        <v/>
      </c>
      <c r="H657" s="3"/>
      <c r="I657" s="3" t="str">
        <f aca="false">IFERROR(__xludf.dummyfunction("if($T657&lt;&gt;"""",REGEXEXTRACT(SUBSTITUTE ($T657,I$1&amp;"" CE"",""""), I$1&amp;""[\w &amp;]*, (\d+\.\d+)""),"""")
"),"")</f>
        <v/>
      </c>
      <c r="J657" s="3" t="str">
        <f aca="false">IFERROR(__xludf.dummyfunction("if($T657&lt;&gt;"""",REGEXEXTRACT($T657, J$1&amp;""[\w &amp;]*, (\d+\.\d+)""),"""")
"),"")</f>
        <v/>
      </c>
      <c r="K657" s="3"/>
      <c r="L657" s="3" t="str">
        <f aca="false">IFERROR(__xludf.dummyfunction("if($T657&lt;&gt;"""",REGEXEXTRACT(SUBSTITUTE ($T657,L$1&amp;"" CE"",""""), L$1&amp;""[\w &amp;]*, (\d+\.\d+)""),"""")
"),"")</f>
        <v/>
      </c>
      <c r="M657" s="3" t="str">
        <f aca="false">IFERROR(__xludf.dummyfunction("if($T657&lt;&gt;"""",REGEXEXTRACT($T657, M$1&amp;""[\w &amp;]*, (\d+\.\d+)""),"""")
"),"")</f>
        <v/>
      </c>
      <c r="N657" s="3" t="str">
        <f aca="false">IFERROR(__xludf.dummyfunction("if($T657&lt;&gt;"""",REGEXEXTRACT(SUBSTITUTE ($T657,N$1&amp;"" CE"",""""), N$1&amp;""[\w &amp;]*, (\d+\.\d+)""),"""")
"),"")</f>
        <v/>
      </c>
      <c r="O657" s="3" t="str">
        <f aca="false">IFERROR(__xludf.dummyfunction("if($T657&lt;&gt;"""",REGEXEXTRACT($T657, O$1&amp;""[\w &amp;]*, (\d+\.\d+)""),"""")
"),"")</f>
        <v/>
      </c>
      <c r="P657" s="2"/>
      <c r="Q657" s="2"/>
      <c r="R657" s="2"/>
      <c r="S657" s="2"/>
      <c r="T657" s="5"/>
    </row>
    <row r="658" customFormat="false" ht="15.75" hidden="false" customHeight="false" outlineLevel="0" collapsed="false">
      <c r="A658" s="4"/>
      <c r="B658" s="2"/>
      <c r="C658" s="2"/>
      <c r="D658" s="2"/>
      <c r="E658" s="2"/>
      <c r="F658" s="3" t="str">
        <f aca="false">IFERROR(__xludf.dummyfunction("if($T658&lt;&gt;"""",REGEXEXTRACT(SUBSTITUTE ($T658,F$1&amp;"" CE"",""""), F$1&amp;""[\w &amp;]*, (\d+\.\d+)""),"""")
"),"")</f>
        <v/>
      </c>
      <c r="G658" s="3" t="str">
        <f aca="false">IFERROR(__xludf.dummyfunction("if($T658&lt;&gt;"""",REGEXEXTRACT($T658, G$1&amp;""[\w &amp;]*, (\d+\.\d+)""),"""")
"),"")</f>
        <v/>
      </c>
      <c r="H658" s="3"/>
      <c r="I658" s="3" t="str">
        <f aca="false">IFERROR(__xludf.dummyfunction("if($T658&lt;&gt;"""",REGEXEXTRACT(SUBSTITUTE ($T658,I$1&amp;"" CE"",""""), I$1&amp;""[\w &amp;]*, (\d+\.\d+)""),"""")
"),"")</f>
        <v/>
      </c>
      <c r="J658" s="3" t="str">
        <f aca="false">IFERROR(__xludf.dummyfunction("if($T658&lt;&gt;"""",REGEXEXTRACT($T658, J$1&amp;""[\w &amp;]*, (\d+\.\d+)""),"""")
"),"")</f>
        <v/>
      </c>
      <c r="K658" s="3"/>
      <c r="L658" s="3" t="str">
        <f aca="false">IFERROR(__xludf.dummyfunction("if($T658&lt;&gt;"""",REGEXEXTRACT(SUBSTITUTE ($T658,L$1&amp;"" CE"",""""), L$1&amp;""[\w &amp;]*, (\d+\.\d+)""),"""")
"),"")</f>
        <v/>
      </c>
      <c r="M658" s="3" t="str">
        <f aca="false">IFERROR(__xludf.dummyfunction("if($T658&lt;&gt;"""",REGEXEXTRACT($T658, M$1&amp;""[\w &amp;]*, (\d+\.\d+)""),"""")
"),"")</f>
        <v/>
      </c>
      <c r="N658" s="3" t="str">
        <f aca="false">IFERROR(__xludf.dummyfunction("if($T658&lt;&gt;"""",REGEXEXTRACT(SUBSTITUTE ($T658,N$1&amp;"" CE"",""""), N$1&amp;""[\w &amp;]*, (\d+\.\d+)""),"""")
"),"")</f>
        <v/>
      </c>
      <c r="O658" s="3" t="str">
        <f aca="false">IFERROR(__xludf.dummyfunction("if($T658&lt;&gt;"""",REGEXEXTRACT($T658, O$1&amp;""[\w &amp;]*, (\d+\.\d+)""),"""")
"),"")</f>
        <v/>
      </c>
      <c r="P658" s="2"/>
      <c r="Q658" s="2"/>
      <c r="R658" s="2"/>
      <c r="S658" s="2"/>
      <c r="T658" s="5"/>
    </row>
    <row r="659" customFormat="false" ht="15.75" hidden="false" customHeight="false" outlineLevel="0" collapsed="false">
      <c r="A659" s="4"/>
      <c r="B659" s="2"/>
      <c r="C659" s="2"/>
      <c r="D659" s="2"/>
      <c r="E659" s="2"/>
      <c r="F659" s="3" t="str">
        <f aca="false">IFERROR(__xludf.dummyfunction("if($T659&lt;&gt;"""",REGEXEXTRACT(SUBSTITUTE ($T659,F$1&amp;"" CE"",""""), F$1&amp;""[\w &amp;]*, (\d+\.\d+)""),"""")
"),"")</f>
        <v/>
      </c>
      <c r="G659" s="3" t="str">
        <f aca="false">IFERROR(__xludf.dummyfunction("if($T659&lt;&gt;"""",REGEXEXTRACT($T659, G$1&amp;""[\w &amp;]*, (\d+\.\d+)""),"""")
"),"")</f>
        <v/>
      </c>
      <c r="H659" s="3"/>
      <c r="I659" s="3" t="str">
        <f aca="false">IFERROR(__xludf.dummyfunction("if($T659&lt;&gt;"""",REGEXEXTRACT(SUBSTITUTE ($T659,I$1&amp;"" CE"",""""), I$1&amp;""[\w &amp;]*, (\d+\.\d+)""),"""")
"),"")</f>
        <v/>
      </c>
      <c r="J659" s="3" t="str">
        <f aca="false">IFERROR(__xludf.dummyfunction("if($T659&lt;&gt;"""",REGEXEXTRACT($T659, J$1&amp;""[\w &amp;]*, (\d+\.\d+)""),"""")
"),"")</f>
        <v/>
      </c>
      <c r="K659" s="3"/>
      <c r="L659" s="3" t="str">
        <f aca="false">IFERROR(__xludf.dummyfunction("if($T659&lt;&gt;"""",REGEXEXTRACT(SUBSTITUTE ($T659,L$1&amp;"" CE"",""""), L$1&amp;""[\w &amp;]*, (\d+\.\d+)""),"""")
"),"")</f>
        <v/>
      </c>
      <c r="M659" s="3" t="str">
        <f aca="false">IFERROR(__xludf.dummyfunction("if($T659&lt;&gt;"""",REGEXEXTRACT($T659, M$1&amp;""[\w &amp;]*, (\d+\.\d+)""),"""")
"),"")</f>
        <v/>
      </c>
      <c r="N659" s="3" t="str">
        <f aca="false">IFERROR(__xludf.dummyfunction("if($T659&lt;&gt;"""",REGEXEXTRACT(SUBSTITUTE ($T659,N$1&amp;"" CE"",""""), N$1&amp;""[\w &amp;]*, (\d+\.\d+)""),"""")
"),"")</f>
        <v/>
      </c>
      <c r="O659" s="3" t="str">
        <f aca="false">IFERROR(__xludf.dummyfunction("if($T659&lt;&gt;"""",REGEXEXTRACT($T659, O$1&amp;""[\w &amp;]*, (\d+\.\d+)""),"""")
"),"")</f>
        <v/>
      </c>
      <c r="P659" s="2"/>
      <c r="Q659" s="2"/>
      <c r="R659" s="2"/>
      <c r="S659" s="2"/>
      <c r="T659" s="5"/>
    </row>
    <row r="660" customFormat="false" ht="15.75" hidden="false" customHeight="false" outlineLevel="0" collapsed="false">
      <c r="A660" s="4"/>
      <c r="B660" s="2"/>
      <c r="C660" s="2"/>
      <c r="D660" s="2"/>
      <c r="E660" s="2"/>
      <c r="F660" s="3" t="str">
        <f aca="false">IFERROR(__xludf.dummyfunction("if($T660&lt;&gt;"""",REGEXEXTRACT(SUBSTITUTE ($T660,F$1&amp;"" CE"",""""), F$1&amp;""[\w &amp;]*, (\d+\.\d+)""),"""")
"),"")</f>
        <v/>
      </c>
      <c r="G660" s="3" t="str">
        <f aca="false">IFERROR(__xludf.dummyfunction("if($T660&lt;&gt;"""",REGEXEXTRACT($T660, G$1&amp;""[\w &amp;]*, (\d+\.\d+)""),"""")
"),"")</f>
        <v/>
      </c>
      <c r="H660" s="3"/>
      <c r="I660" s="3" t="str">
        <f aca="false">IFERROR(__xludf.dummyfunction("if($T660&lt;&gt;"""",REGEXEXTRACT(SUBSTITUTE ($T660,I$1&amp;"" CE"",""""), I$1&amp;""[\w &amp;]*, (\d+\.\d+)""),"""")
"),"")</f>
        <v/>
      </c>
      <c r="J660" s="3" t="str">
        <f aca="false">IFERROR(__xludf.dummyfunction("if($T660&lt;&gt;"""",REGEXEXTRACT($T660, J$1&amp;""[\w &amp;]*, (\d+\.\d+)""),"""")
"),"")</f>
        <v/>
      </c>
      <c r="K660" s="3"/>
      <c r="L660" s="3" t="str">
        <f aca="false">IFERROR(__xludf.dummyfunction("if($T660&lt;&gt;"""",REGEXEXTRACT(SUBSTITUTE ($T660,L$1&amp;"" CE"",""""), L$1&amp;""[\w &amp;]*, (\d+\.\d+)""),"""")
"),"")</f>
        <v/>
      </c>
      <c r="M660" s="3" t="str">
        <f aca="false">IFERROR(__xludf.dummyfunction("if($T660&lt;&gt;"""",REGEXEXTRACT($T660, M$1&amp;""[\w &amp;]*, (\d+\.\d+)""),"""")
"),"")</f>
        <v/>
      </c>
      <c r="N660" s="3" t="str">
        <f aca="false">IFERROR(__xludf.dummyfunction("if($T660&lt;&gt;"""",REGEXEXTRACT(SUBSTITUTE ($T660,N$1&amp;"" CE"",""""), N$1&amp;""[\w &amp;]*, (\d+\.\d+)""),"""")
"),"")</f>
        <v/>
      </c>
      <c r="O660" s="3" t="str">
        <f aca="false">IFERROR(__xludf.dummyfunction("if($T660&lt;&gt;"""",REGEXEXTRACT($T660, O$1&amp;""[\w &amp;]*, (\d+\.\d+)""),"""")
"),"")</f>
        <v/>
      </c>
      <c r="P660" s="2"/>
      <c r="Q660" s="2"/>
      <c r="R660" s="2"/>
      <c r="S660" s="2"/>
      <c r="T660" s="5"/>
    </row>
    <row r="661" customFormat="false" ht="15.75" hidden="false" customHeight="false" outlineLevel="0" collapsed="false">
      <c r="A661" s="4"/>
      <c r="B661" s="2"/>
      <c r="C661" s="2"/>
      <c r="D661" s="2"/>
      <c r="E661" s="2"/>
      <c r="F661" s="3" t="str">
        <f aca="false">IFERROR(__xludf.dummyfunction("if($T661&lt;&gt;"""",REGEXEXTRACT(SUBSTITUTE ($T661,F$1&amp;"" CE"",""""), F$1&amp;""[\w &amp;]*, (\d+\.\d+)""),"""")
"),"")</f>
        <v/>
      </c>
      <c r="G661" s="3" t="str">
        <f aca="false">IFERROR(__xludf.dummyfunction("if($T661&lt;&gt;"""",REGEXEXTRACT($T661, G$1&amp;""[\w &amp;]*, (\d+\.\d+)""),"""")
"),"")</f>
        <v/>
      </c>
      <c r="H661" s="3"/>
      <c r="I661" s="3" t="str">
        <f aca="false">IFERROR(__xludf.dummyfunction("if($T661&lt;&gt;"""",REGEXEXTRACT(SUBSTITUTE ($T661,I$1&amp;"" CE"",""""), I$1&amp;""[\w &amp;]*, (\d+\.\d+)""),"""")
"),"")</f>
        <v/>
      </c>
      <c r="J661" s="3" t="str">
        <f aca="false">IFERROR(__xludf.dummyfunction("if($T661&lt;&gt;"""",REGEXEXTRACT($T661, J$1&amp;""[\w &amp;]*, (\d+\.\d+)""),"""")
"),"")</f>
        <v/>
      </c>
      <c r="K661" s="3"/>
      <c r="L661" s="3" t="str">
        <f aca="false">IFERROR(__xludf.dummyfunction("if($T661&lt;&gt;"""",REGEXEXTRACT(SUBSTITUTE ($T661,L$1&amp;"" CE"",""""), L$1&amp;""[\w &amp;]*, (\d+\.\d+)""),"""")
"),"")</f>
        <v/>
      </c>
      <c r="M661" s="3" t="str">
        <f aca="false">IFERROR(__xludf.dummyfunction("if($T661&lt;&gt;"""",REGEXEXTRACT($T661, M$1&amp;""[\w &amp;]*, (\d+\.\d+)""),"""")
"),"")</f>
        <v/>
      </c>
      <c r="N661" s="3" t="str">
        <f aca="false">IFERROR(__xludf.dummyfunction("if($T661&lt;&gt;"""",REGEXEXTRACT(SUBSTITUTE ($T661,N$1&amp;"" CE"",""""), N$1&amp;""[\w &amp;]*, (\d+\.\d+)""),"""")
"),"")</f>
        <v/>
      </c>
      <c r="O661" s="3" t="str">
        <f aca="false">IFERROR(__xludf.dummyfunction("if($T661&lt;&gt;"""",REGEXEXTRACT($T661, O$1&amp;""[\w &amp;]*, (\d+\.\d+)""),"""")
"),"")</f>
        <v/>
      </c>
      <c r="P661" s="2"/>
      <c r="Q661" s="2"/>
      <c r="R661" s="2"/>
      <c r="S661" s="2"/>
      <c r="T661" s="5"/>
    </row>
    <row r="662" customFormat="false" ht="15.75" hidden="false" customHeight="false" outlineLevel="0" collapsed="false">
      <c r="A662" s="4"/>
      <c r="B662" s="2"/>
      <c r="C662" s="2"/>
      <c r="D662" s="2"/>
      <c r="E662" s="2"/>
      <c r="F662" s="3" t="str">
        <f aca="false">IFERROR(__xludf.dummyfunction("if($T662&lt;&gt;"""",REGEXEXTRACT(SUBSTITUTE ($T662,F$1&amp;"" CE"",""""), F$1&amp;""[\w &amp;]*, (\d+\.\d+)""),"""")
"),"")</f>
        <v/>
      </c>
      <c r="G662" s="3" t="str">
        <f aca="false">IFERROR(__xludf.dummyfunction("if($T662&lt;&gt;"""",REGEXEXTRACT($T662, G$1&amp;""[\w &amp;]*, (\d+\.\d+)""),"""")
"),"")</f>
        <v/>
      </c>
      <c r="H662" s="3"/>
      <c r="I662" s="3" t="str">
        <f aca="false">IFERROR(__xludf.dummyfunction("if($T662&lt;&gt;"""",REGEXEXTRACT(SUBSTITUTE ($T662,I$1&amp;"" CE"",""""), I$1&amp;""[\w &amp;]*, (\d+\.\d+)""),"""")
"),"")</f>
        <v/>
      </c>
      <c r="J662" s="3" t="str">
        <f aca="false">IFERROR(__xludf.dummyfunction("if($T662&lt;&gt;"""",REGEXEXTRACT($T662, J$1&amp;""[\w &amp;]*, (\d+\.\d+)""),"""")
"),"")</f>
        <v/>
      </c>
      <c r="K662" s="3"/>
      <c r="L662" s="3" t="str">
        <f aca="false">IFERROR(__xludf.dummyfunction("if($T662&lt;&gt;"""",REGEXEXTRACT(SUBSTITUTE ($T662,L$1&amp;"" CE"",""""), L$1&amp;""[\w &amp;]*, (\d+\.\d+)""),"""")
"),"")</f>
        <v/>
      </c>
      <c r="M662" s="3" t="str">
        <f aca="false">IFERROR(__xludf.dummyfunction("if($T662&lt;&gt;"""",REGEXEXTRACT($T662, M$1&amp;""[\w &amp;]*, (\d+\.\d+)""),"""")
"),"")</f>
        <v/>
      </c>
      <c r="N662" s="3" t="str">
        <f aca="false">IFERROR(__xludf.dummyfunction("if($T662&lt;&gt;"""",REGEXEXTRACT(SUBSTITUTE ($T662,N$1&amp;"" CE"",""""), N$1&amp;""[\w &amp;]*, (\d+\.\d+)""),"""")
"),"")</f>
        <v/>
      </c>
      <c r="O662" s="3" t="str">
        <f aca="false">IFERROR(__xludf.dummyfunction("if($T662&lt;&gt;"""",REGEXEXTRACT($T662, O$1&amp;""[\w &amp;]*, (\d+\.\d+)""),"""")
"),"")</f>
        <v/>
      </c>
      <c r="P662" s="2"/>
      <c r="Q662" s="2"/>
      <c r="R662" s="2"/>
      <c r="S662" s="2"/>
      <c r="T662" s="5"/>
    </row>
    <row r="663" customFormat="false" ht="15.75" hidden="false" customHeight="false" outlineLevel="0" collapsed="false">
      <c r="A663" s="4"/>
      <c r="B663" s="2"/>
      <c r="C663" s="2"/>
      <c r="D663" s="2"/>
      <c r="E663" s="2"/>
      <c r="F663" s="3" t="str">
        <f aca="false">IFERROR(__xludf.dummyfunction("if($T663&lt;&gt;"""",REGEXEXTRACT(SUBSTITUTE ($T663,F$1&amp;"" CE"",""""), F$1&amp;""[\w &amp;]*, (\d+\.\d+)""),"""")
"),"")</f>
        <v/>
      </c>
      <c r="G663" s="3" t="str">
        <f aca="false">IFERROR(__xludf.dummyfunction("if($T663&lt;&gt;"""",REGEXEXTRACT($T663, G$1&amp;""[\w &amp;]*, (\d+\.\d+)""),"""")
"),"")</f>
        <v/>
      </c>
      <c r="H663" s="3"/>
      <c r="I663" s="3" t="str">
        <f aca="false">IFERROR(__xludf.dummyfunction("if($T663&lt;&gt;"""",REGEXEXTRACT(SUBSTITUTE ($T663,I$1&amp;"" CE"",""""), I$1&amp;""[\w &amp;]*, (\d+\.\d+)""),"""")
"),"")</f>
        <v/>
      </c>
      <c r="J663" s="3" t="str">
        <f aca="false">IFERROR(__xludf.dummyfunction("if($T663&lt;&gt;"""",REGEXEXTRACT($T663, J$1&amp;""[\w &amp;]*, (\d+\.\d+)""),"""")
"),"")</f>
        <v/>
      </c>
      <c r="K663" s="3"/>
      <c r="L663" s="3" t="str">
        <f aca="false">IFERROR(__xludf.dummyfunction("if($T663&lt;&gt;"""",REGEXEXTRACT(SUBSTITUTE ($T663,L$1&amp;"" CE"",""""), L$1&amp;""[\w &amp;]*, (\d+\.\d+)""),"""")
"),"")</f>
        <v/>
      </c>
      <c r="M663" s="3" t="str">
        <f aca="false">IFERROR(__xludf.dummyfunction("if($T663&lt;&gt;"""",REGEXEXTRACT($T663, M$1&amp;""[\w &amp;]*, (\d+\.\d+)""),"""")
"),"")</f>
        <v/>
      </c>
      <c r="N663" s="3" t="str">
        <f aca="false">IFERROR(__xludf.dummyfunction("if($T663&lt;&gt;"""",REGEXEXTRACT(SUBSTITUTE ($T663,N$1&amp;"" CE"",""""), N$1&amp;""[\w &amp;]*, (\d+\.\d+)""),"""")
"),"")</f>
        <v/>
      </c>
      <c r="O663" s="3" t="str">
        <f aca="false">IFERROR(__xludf.dummyfunction("if($T663&lt;&gt;"""",REGEXEXTRACT($T663, O$1&amp;""[\w &amp;]*, (\d+\.\d+)""),"""")
"),"")</f>
        <v/>
      </c>
      <c r="P663" s="2"/>
      <c r="Q663" s="2"/>
      <c r="R663" s="2"/>
      <c r="S663" s="2"/>
      <c r="T663" s="5"/>
    </row>
    <row r="664" customFormat="false" ht="15.75" hidden="false" customHeight="false" outlineLevel="0" collapsed="false">
      <c r="A664" s="4"/>
      <c r="B664" s="2"/>
      <c r="C664" s="2"/>
      <c r="D664" s="2"/>
      <c r="E664" s="2"/>
      <c r="F664" s="3" t="str">
        <f aca="false">IFERROR(__xludf.dummyfunction("if($T664&lt;&gt;"""",REGEXEXTRACT(SUBSTITUTE ($T664,F$1&amp;"" CE"",""""), F$1&amp;""[\w &amp;]*, (\d+\.\d+)""),"""")
"),"")</f>
        <v/>
      </c>
      <c r="G664" s="3" t="str">
        <f aca="false">IFERROR(__xludf.dummyfunction("if($T664&lt;&gt;"""",REGEXEXTRACT($T664, G$1&amp;""[\w &amp;]*, (\d+\.\d+)""),"""")
"),"")</f>
        <v/>
      </c>
      <c r="H664" s="3"/>
      <c r="I664" s="3" t="str">
        <f aca="false">IFERROR(__xludf.dummyfunction("if($T664&lt;&gt;"""",REGEXEXTRACT(SUBSTITUTE ($T664,I$1&amp;"" CE"",""""), I$1&amp;""[\w &amp;]*, (\d+\.\d+)""),"""")
"),"")</f>
        <v/>
      </c>
      <c r="J664" s="3" t="str">
        <f aca="false">IFERROR(__xludf.dummyfunction("if($T664&lt;&gt;"""",REGEXEXTRACT($T664, J$1&amp;""[\w &amp;]*, (\d+\.\d+)""),"""")
"),"")</f>
        <v/>
      </c>
      <c r="K664" s="3"/>
      <c r="L664" s="3" t="str">
        <f aca="false">IFERROR(__xludf.dummyfunction("if($T664&lt;&gt;"""",REGEXEXTRACT(SUBSTITUTE ($T664,L$1&amp;"" CE"",""""), L$1&amp;""[\w &amp;]*, (\d+\.\d+)""),"""")
"),"")</f>
        <v/>
      </c>
      <c r="M664" s="3" t="str">
        <f aca="false">IFERROR(__xludf.dummyfunction("if($T664&lt;&gt;"""",REGEXEXTRACT($T664, M$1&amp;""[\w &amp;]*, (\d+\.\d+)""),"""")
"),"")</f>
        <v/>
      </c>
      <c r="N664" s="3" t="str">
        <f aca="false">IFERROR(__xludf.dummyfunction("if($T664&lt;&gt;"""",REGEXEXTRACT(SUBSTITUTE ($T664,N$1&amp;"" CE"",""""), N$1&amp;""[\w &amp;]*, (\d+\.\d+)""),"""")
"),"")</f>
        <v/>
      </c>
      <c r="O664" s="3" t="str">
        <f aca="false">IFERROR(__xludf.dummyfunction("if($T664&lt;&gt;"""",REGEXEXTRACT($T664, O$1&amp;""[\w &amp;]*, (\d+\.\d+)""),"""")
"),"")</f>
        <v/>
      </c>
      <c r="P664" s="2"/>
      <c r="Q664" s="2"/>
      <c r="R664" s="2"/>
      <c r="S664" s="2"/>
      <c r="T664" s="5"/>
    </row>
    <row r="665" customFormat="false" ht="15.75" hidden="false" customHeight="false" outlineLevel="0" collapsed="false">
      <c r="A665" s="4"/>
      <c r="B665" s="2"/>
      <c r="C665" s="2"/>
      <c r="D665" s="2"/>
      <c r="E665" s="2"/>
      <c r="F665" s="3" t="str">
        <f aca="false">IFERROR(__xludf.dummyfunction("if($T665&lt;&gt;"""",REGEXEXTRACT(SUBSTITUTE ($T665,F$1&amp;"" CE"",""""), F$1&amp;""[\w &amp;]*, (\d+\.\d+)""),"""")
"),"")</f>
        <v/>
      </c>
      <c r="G665" s="3" t="str">
        <f aca="false">IFERROR(__xludf.dummyfunction("if($T665&lt;&gt;"""",REGEXEXTRACT($T665, G$1&amp;""[\w &amp;]*, (\d+\.\d+)""),"""")
"),"")</f>
        <v/>
      </c>
      <c r="H665" s="3"/>
      <c r="I665" s="3" t="str">
        <f aca="false">IFERROR(__xludf.dummyfunction("if($T665&lt;&gt;"""",REGEXEXTRACT(SUBSTITUTE ($T665,I$1&amp;"" CE"",""""), I$1&amp;""[\w &amp;]*, (\d+\.\d+)""),"""")
"),"")</f>
        <v/>
      </c>
      <c r="J665" s="3" t="str">
        <f aca="false">IFERROR(__xludf.dummyfunction("if($T665&lt;&gt;"""",REGEXEXTRACT($T665, J$1&amp;""[\w &amp;]*, (\d+\.\d+)""),"""")
"),"")</f>
        <v/>
      </c>
      <c r="K665" s="3"/>
      <c r="L665" s="3" t="str">
        <f aca="false">IFERROR(__xludf.dummyfunction("if($T665&lt;&gt;"""",REGEXEXTRACT(SUBSTITUTE ($T665,L$1&amp;"" CE"",""""), L$1&amp;""[\w &amp;]*, (\d+\.\d+)""),"""")
"),"")</f>
        <v/>
      </c>
      <c r="M665" s="3" t="str">
        <f aca="false">IFERROR(__xludf.dummyfunction("if($T665&lt;&gt;"""",REGEXEXTRACT($T665, M$1&amp;""[\w &amp;]*, (\d+\.\d+)""),"""")
"),"")</f>
        <v/>
      </c>
      <c r="N665" s="3" t="str">
        <f aca="false">IFERROR(__xludf.dummyfunction("if($T665&lt;&gt;"""",REGEXEXTRACT(SUBSTITUTE ($T665,N$1&amp;"" CE"",""""), N$1&amp;""[\w &amp;]*, (\d+\.\d+)""),"""")
"),"")</f>
        <v/>
      </c>
      <c r="O665" s="3" t="str">
        <f aca="false">IFERROR(__xludf.dummyfunction("if($T665&lt;&gt;"""",REGEXEXTRACT($T665, O$1&amp;""[\w &amp;]*, (\d+\.\d+)""),"""")
"),"")</f>
        <v/>
      </c>
      <c r="P665" s="2"/>
      <c r="Q665" s="2"/>
      <c r="R665" s="2"/>
      <c r="S665" s="2"/>
      <c r="T665" s="5"/>
    </row>
    <row r="666" customFormat="false" ht="15.75" hidden="false" customHeight="false" outlineLevel="0" collapsed="false">
      <c r="A666" s="4"/>
      <c r="B666" s="2"/>
      <c r="C666" s="2"/>
      <c r="D666" s="2"/>
      <c r="E666" s="2"/>
      <c r="F666" s="3" t="str">
        <f aca="false">IFERROR(__xludf.dummyfunction("if($T666&lt;&gt;"""",REGEXEXTRACT(SUBSTITUTE ($T666,F$1&amp;"" CE"",""""), F$1&amp;""[\w &amp;]*, (\d+\.\d+)""),"""")
"),"")</f>
        <v/>
      </c>
      <c r="G666" s="3" t="str">
        <f aca="false">IFERROR(__xludf.dummyfunction("if($T666&lt;&gt;"""",REGEXEXTRACT($T666, G$1&amp;""[\w &amp;]*, (\d+\.\d+)""),"""")
"),"")</f>
        <v/>
      </c>
      <c r="H666" s="3"/>
      <c r="I666" s="3" t="str">
        <f aca="false">IFERROR(__xludf.dummyfunction("if($T666&lt;&gt;"""",REGEXEXTRACT(SUBSTITUTE ($T666,I$1&amp;"" CE"",""""), I$1&amp;""[\w &amp;]*, (\d+\.\d+)""),"""")
"),"")</f>
        <v/>
      </c>
      <c r="J666" s="3" t="str">
        <f aca="false">IFERROR(__xludf.dummyfunction("if($T666&lt;&gt;"""",REGEXEXTRACT($T666, J$1&amp;""[\w &amp;]*, (\d+\.\d+)""),"""")
"),"")</f>
        <v/>
      </c>
      <c r="K666" s="3"/>
      <c r="L666" s="3" t="str">
        <f aca="false">IFERROR(__xludf.dummyfunction("if($T666&lt;&gt;"""",REGEXEXTRACT(SUBSTITUTE ($T666,L$1&amp;"" CE"",""""), L$1&amp;""[\w &amp;]*, (\d+\.\d+)""),"""")
"),"")</f>
        <v/>
      </c>
      <c r="M666" s="3" t="str">
        <f aca="false">IFERROR(__xludf.dummyfunction("if($T666&lt;&gt;"""",REGEXEXTRACT($T666, M$1&amp;""[\w &amp;]*, (\d+\.\d+)""),"""")
"),"")</f>
        <v/>
      </c>
      <c r="N666" s="3" t="str">
        <f aca="false">IFERROR(__xludf.dummyfunction("if($T666&lt;&gt;"""",REGEXEXTRACT(SUBSTITUTE ($T666,N$1&amp;"" CE"",""""), N$1&amp;""[\w &amp;]*, (\d+\.\d+)""),"""")
"),"")</f>
        <v/>
      </c>
      <c r="O666" s="3" t="str">
        <f aca="false">IFERROR(__xludf.dummyfunction("if($T666&lt;&gt;"""",REGEXEXTRACT($T666, O$1&amp;""[\w &amp;]*, (\d+\.\d+)""),"""")
"),"")</f>
        <v/>
      </c>
      <c r="P666" s="2"/>
      <c r="Q666" s="2"/>
      <c r="R666" s="2"/>
      <c r="S666" s="2"/>
      <c r="T666" s="5"/>
    </row>
    <row r="667" customFormat="false" ht="15.75" hidden="false" customHeight="false" outlineLevel="0" collapsed="false">
      <c r="A667" s="4"/>
      <c r="B667" s="2"/>
      <c r="C667" s="2"/>
      <c r="D667" s="2"/>
      <c r="E667" s="2"/>
      <c r="F667" s="3" t="str">
        <f aca="false">IFERROR(__xludf.dummyfunction("if($T667&lt;&gt;"""",REGEXEXTRACT(SUBSTITUTE ($T667,F$1&amp;"" CE"",""""), F$1&amp;""[\w &amp;]*, (\d+\.\d+)""),"""")
"),"")</f>
        <v/>
      </c>
      <c r="G667" s="3" t="str">
        <f aca="false">IFERROR(__xludf.dummyfunction("if($T667&lt;&gt;"""",REGEXEXTRACT($T667, G$1&amp;""[\w &amp;]*, (\d+\.\d+)""),"""")
"),"")</f>
        <v/>
      </c>
      <c r="H667" s="3"/>
      <c r="I667" s="3" t="str">
        <f aca="false">IFERROR(__xludf.dummyfunction("if($T667&lt;&gt;"""",REGEXEXTRACT(SUBSTITUTE ($T667,I$1&amp;"" CE"",""""), I$1&amp;""[\w &amp;]*, (\d+\.\d+)""),"""")
"),"")</f>
        <v/>
      </c>
      <c r="J667" s="3" t="str">
        <f aca="false">IFERROR(__xludf.dummyfunction("if($T667&lt;&gt;"""",REGEXEXTRACT($T667, J$1&amp;""[\w &amp;]*, (\d+\.\d+)""),"""")
"),"")</f>
        <v/>
      </c>
      <c r="K667" s="3"/>
      <c r="L667" s="3" t="str">
        <f aca="false">IFERROR(__xludf.dummyfunction("if($T667&lt;&gt;"""",REGEXEXTRACT(SUBSTITUTE ($T667,L$1&amp;"" CE"",""""), L$1&amp;""[\w &amp;]*, (\d+\.\d+)""),"""")
"),"")</f>
        <v/>
      </c>
      <c r="M667" s="3" t="str">
        <f aca="false">IFERROR(__xludf.dummyfunction("if($T667&lt;&gt;"""",REGEXEXTRACT($T667, M$1&amp;""[\w &amp;]*, (\d+\.\d+)""),"""")
"),"")</f>
        <v/>
      </c>
      <c r="N667" s="3" t="str">
        <f aca="false">IFERROR(__xludf.dummyfunction("if($T667&lt;&gt;"""",REGEXEXTRACT(SUBSTITUTE ($T667,N$1&amp;"" CE"",""""), N$1&amp;""[\w &amp;]*, (\d+\.\d+)""),"""")
"),"")</f>
        <v/>
      </c>
      <c r="O667" s="3" t="str">
        <f aca="false">IFERROR(__xludf.dummyfunction("if($T667&lt;&gt;"""",REGEXEXTRACT($T667, O$1&amp;""[\w &amp;]*, (\d+\.\d+)""),"""")
"),"")</f>
        <v/>
      </c>
      <c r="P667" s="2"/>
      <c r="Q667" s="2"/>
      <c r="R667" s="2"/>
      <c r="S667" s="2"/>
      <c r="T667" s="5"/>
    </row>
    <row r="668" customFormat="false" ht="15.75" hidden="false" customHeight="false" outlineLevel="0" collapsed="false">
      <c r="A668" s="4"/>
      <c r="B668" s="2"/>
      <c r="C668" s="2"/>
      <c r="D668" s="2"/>
      <c r="E668" s="2"/>
      <c r="F668" s="3" t="str">
        <f aca="false">IFERROR(__xludf.dummyfunction("if($T668&lt;&gt;"""",REGEXEXTRACT(SUBSTITUTE ($T668,F$1&amp;"" CE"",""""), F$1&amp;""[\w &amp;]*, (\d+\.\d+)""),"""")
"),"")</f>
        <v/>
      </c>
      <c r="G668" s="3" t="str">
        <f aca="false">IFERROR(__xludf.dummyfunction("if($T668&lt;&gt;"""",REGEXEXTRACT($T668, G$1&amp;""[\w &amp;]*, (\d+\.\d+)""),"""")
"),"")</f>
        <v/>
      </c>
      <c r="H668" s="3"/>
      <c r="I668" s="3" t="str">
        <f aca="false">IFERROR(__xludf.dummyfunction("if($T668&lt;&gt;"""",REGEXEXTRACT(SUBSTITUTE ($T668,I$1&amp;"" CE"",""""), I$1&amp;""[\w &amp;]*, (\d+\.\d+)""),"""")
"),"")</f>
        <v/>
      </c>
      <c r="J668" s="3" t="str">
        <f aca="false">IFERROR(__xludf.dummyfunction("if($T668&lt;&gt;"""",REGEXEXTRACT($T668, J$1&amp;""[\w &amp;]*, (\d+\.\d+)""),"""")
"),"")</f>
        <v/>
      </c>
      <c r="K668" s="3"/>
      <c r="L668" s="3" t="str">
        <f aca="false">IFERROR(__xludf.dummyfunction("if($T668&lt;&gt;"""",REGEXEXTRACT(SUBSTITUTE ($T668,L$1&amp;"" CE"",""""), L$1&amp;""[\w &amp;]*, (\d+\.\d+)""),"""")
"),"")</f>
        <v/>
      </c>
      <c r="M668" s="3" t="str">
        <f aca="false">IFERROR(__xludf.dummyfunction("if($T668&lt;&gt;"""",REGEXEXTRACT($T668, M$1&amp;""[\w &amp;]*, (\d+\.\d+)""),"""")
"),"")</f>
        <v/>
      </c>
      <c r="N668" s="3" t="str">
        <f aca="false">IFERROR(__xludf.dummyfunction("if($T668&lt;&gt;"""",REGEXEXTRACT(SUBSTITUTE ($T668,N$1&amp;"" CE"",""""), N$1&amp;""[\w &amp;]*, (\d+\.\d+)""),"""")
"),"")</f>
        <v/>
      </c>
      <c r="O668" s="3" t="str">
        <f aca="false">IFERROR(__xludf.dummyfunction("if($T668&lt;&gt;"""",REGEXEXTRACT($T668, O$1&amp;""[\w &amp;]*, (\d+\.\d+)""),"""")
"),"")</f>
        <v/>
      </c>
      <c r="P668" s="2"/>
      <c r="Q668" s="2"/>
      <c r="R668" s="2"/>
      <c r="S668" s="2"/>
      <c r="T668" s="5"/>
    </row>
    <row r="669" customFormat="false" ht="15.75" hidden="false" customHeight="false" outlineLevel="0" collapsed="false">
      <c r="A669" s="4"/>
      <c r="B669" s="2"/>
      <c r="C669" s="2"/>
      <c r="D669" s="2"/>
      <c r="E669" s="2"/>
      <c r="F669" s="3" t="str">
        <f aca="false">IFERROR(__xludf.dummyfunction("if($T669&lt;&gt;"""",REGEXEXTRACT(SUBSTITUTE ($T669,F$1&amp;"" CE"",""""), F$1&amp;""[\w &amp;]*, (\d+\.\d+)""),"""")
"),"")</f>
        <v/>
      </c>
      <c r="G669" s="3" t="str">
        <f aca="false">IFERROR(__xludf.dummyfunction("if($T669&lt;&gt;"""",REGEXEXTRACT($T669, G$1&amp;""[\w &amp;]*, (\d+\.\d+)""),"""")
"),"")</f>
        <v/>
      </c>
      <c r="H669" s="3"/>
      <c r="I669" s="3" t="str">
        <f aca="false">IFERROR(__xludf.dummyfunction("if($T669&lt;&gt;"""",REGEXEXTRACT(SUBSTITUTE ($T669,I$1&amp;"" CE"",""""), I$1&amp;""[\w &amp;]*, (\d+\.\d+)""),"""")
"),"")</f>
        <v/>
      </c>
      <c r="J669" s="3" t="str">
        <f aca="false">IFERROR(__xludf.dummyfunction("if($T669&lt;&gt;"""",REGEXEXTRACT($T669, J$1&amp;""[\w &amp;]*, (\d+\.\d+)""),"""")
"),"")</f>
        <v/>
      </c>
      <c r="K669" s="3"/>
      <c r="L669" s="3" t="str">
        <f aca="false">IFERROR(__xludf.dummyfunction("if($T669&lt;&gt;"""",REGEXEXTRACT(SUBSTITUTE ($T669,L$1&amp;"" CE"",""""), L$1&amp;""[\w &amp;]*, (\d+\.\d+)""),"""")
"),"")</f>
        <v/>
      </c>
      <c r="M669" s="3" t="str">
        <f aca="false">IFERROR(__xludf.dummyfunction("if($T669&lt;&gt;"""",REGEXEXTRACT($T669, M$1&amp;""[\w &amp;]*, (\d+\.\d+)""),"""")
"),"")</f>
        <v/>
      </c>
      <c r="N669" s="3" t="str">
        <f aca="false">IFERROR(__xludf.dummyfunction("if($T669&lt;&gt;"""",REGEXEXTRACT(SUBSTITUTE ($T669,N$1&amp;"" CE"",""""), N$1&amp;""[\w &amp;]*, (\d+\.\d+)""),"""")
"),"")</f>
        <v/>
      </c>
      <c r="O669" s="3" t="str">
        <f aca="false">IFERROR(__xludf.dummyfunction("if($T669&lt;&gt;"""",REGEXEXTRACT($T669, O$1&amp;""[\w &amp;]*, (\d+\.\d+)""),"""")
"),"")</f>
        <v/>
      </c>
      <c r="P669" s="2"/>
      <c r="Q669" s="2"/>
      <c r="R669" s="2"/>
      <c r="S669" s="2"/>
      <c r="T669" s="5"/>
    </row>
    <row r="670" customFormat="false" ht="15.75" hidden="false" customHeight="false" outlineLevel="0" collapsed="false">
      <c r="A670" s="4"/>
      <c r="B670" s="2"/>
      <c r="C670" s="2"/>
      <c r="D670" s="2"/>
      <c r="E670" s="2"/>
      <c r="F670" s="3" t="str">
        <f aca="false">IFERROR(__xludf.dummyfunction("if($T670&lt;&gt;"""",REGEXEXTRACT(SUBSTITUTE ($T670,F$1&amp;"" CE"",""""), F$1&amp;""[\w &amp;]*, (\d+\.\d+)""),"""")
"),"")</f>
        <v/>
      </c>
      <c r="G670" s="3" t="str">
        <f aca="false">IFERROR(__xludf.dummyfunction("if($T670&lt;&gt;"""",REGEXEXTRACT($T670, G$1&amp;""[\w &amp;]*, (\d+\.\d+)""),"""")
"),"")</f>
        <v/>
      </c>
      <c r="H670" s="3"/>
      <c r="I670" s="3" t="str">
        <f aca="false">IFERROR(__xludf.dummyfunction("if($T670&lt;&gt;"""",REGEXEXTRACT(SUBSTITUTE ($T670,I$1&amp;"" CE"",""""), I$1&amp;""[\w &amp;]*, (\d+\.\d+)""),"""")
"),"")</f>
        <v/>
      </c>
      <c r="J670" s="3" t="str">
        <f aca="false">IFERROR(__xludf.dummyfunction("if($T670&lt;&gt;"""",REGEXEXTRACT($T670, J$1&amp;""[\w &amp;]*, (\d+\.\d+)""),"""")
"),"")</f>
        <v/>
      </c>
      <c r="K670" s="3"/>
      <c r="L670" s="3" t="str">
        <f aca="false">IFERROR(__xludf.dummyfunction("if($T670&lt;&gt;"""",REGEXEXTRACT(SUBSTITUTE ($T670,L$1&amp;"" CE"",""""), L$1&amp;""[\w &amp;]*, (\d+\.\d+)""),"""")
"),"")</f>
        <v/>
      </c>
      <c r="M670" s="3" t="str">
        <f aca="false">IFERROR(__xludf.dummyfunction("if($T670&lt;&gt;"""",REGEXEXTRACT($T670, M$1&amp;""[\w &amp;]*, (\d+\.\d+)""),"""")
"),"")</f>
        <v/>
      </c>
      <c r="N670" s="3" t="str">
        <f aca="false">IFERROR(__xludf.dummyfunction("if($T670&lt;&gt;"""",REGEXEXTRACT(SUBSTITUTE ($T670,N$1&amp;"" CE"",""""), N$1&amp;""[\w &amp;]*, (\d+\.\d+)""),"""")
"),"")</f>
        <v/>
      </c>
      <c r="O670" s="3" t="str">
        <f aca="false">IFERROR(__xludf.dummyfunction("if($T670&lt;&gt;"""",REGEXEXTRACT($T670, O$1&amp;""[\w &amp;]*, (\d+\.\d+)""),"""")
"),"")</f>
        <v/>
      </c>
      <c r="P670" s="2"/>
      <c r="Q670" s="2"/>
      <c r="R670" s="2"/>
      <c r="S670" s="2"/>
      <c r="T670" s="5"/>
    </row>
    <row r="671" customFormat="false" ht="15.75" hidden="false" customHeight="false" outlineLevel="0" collapsed="false">
      <c r="A671" s="4"/>
      <c r="B671" s="2"/>
      <c r="C671" s="2"/>
      <c r="D671" s="2"/>
      <c r="E671" s="2"/>
      <c r="F671" s="3" t="str">
        <f aca="false">IFERROR(__xludf.dummyfunction("if($T671&lt;&gt;"""",REGEXEXTRACT(SUBSTITUTE ($T671,F$1&amp;"" CE"",""""), F$1&amp;""[\w &amp;]*, (\d+\.\d+)""),"""")
"),"")</f>
        <v/>
      </c>
      <c r="G671" s="3" t="str">
        <f aca="false">IFERROR(__xludf.dummyfunction("if($T671&lt;&gt;"""",REGEXEXTRACT($T671, G$1&amp;""[\w &amp;]*, (\d+\.\d+)""),"""")
"),"")</f>
        <v/>
      </c>
      <c r="H671" s="3"/>
      <c r="I671" s="3" t="str">
        <f aca="false">IFERROR(__xludf.dummyfunction("if($T671&lt;&gt;"""",REGEXEXTRACT(SUBSTITUTE ($T671,I$1&amp;"" CE"",""""), I$1&amp;""[\w &amp;]*, (\d+\.\d+)""),"""")
"),"")</f>
        <v/>
      </c>
      <c r="J671" s="3" t="str">
        <f aca="false">IFERROR(__xludf.dummyfunction("if($T671&lt;&gt;"""",REGEXEXTRACT($T671, J$1&amp;""[\w &amp;]*, (\d+\.\d+)""),"""")
"),"")</f>
        <v/>
      </c>
      <c r="K671" s="3"/>
      <c r="L671" s="3" t="str">
        <f aca="false">IFERROR(__xludf.dummyfunction("if($T671&lt;&gt;"""",REGEXEXTRACT(SUBSTITUTE ($T671,L$1&amp;"" CE"",""""), L$1&amp;""[\w &amp;]*, (\d+\.\d+)""),"""")
"),"")</f>
        <v/>
      </c>
      <c r="M671" s="3" t="str">
        <f aca="false">IFERROR(__xludf.dummyfunction("if($T671&lt;&gt;"""",REGEXEXTRACT($T671, M$1&amp;""[\w &amp;]*, (\d+\.\d+)""),"""")
"),"")</f>
        <v/>
      </c>
      <c r="N671" s="3" t="str">
        <f aca="false">IFERROR(__xludf.dummyfunction("if($T671&lt;&gt;"""",REGEXEXTRACT(SUBSTITUTE ($T671,N$1&amp;"" CE"",""""), N$1&amp;""[\w &amp;]*, (\d+\.\d+)""),"""")
"),"")</f>
        <v/>
      </c>
      <c r="O671" s="3" t="str">
        <f aca="false">IFERROR(__xludf.dummyfunction("if($T671&lt;&gt;"""",REGEXEXTRACT($T671, O$1&amp;""[\w &amp;]*, (\d+\.\d+)""),"""")
"),"")</f>
        <v/>
      </c>
      <c r="P671" s="2"/>
      <c r="Q671" s="2"/>
      <c r="R671" s="2"/>
      <c r="S671" s="2"/>
      <c r="T671" s="5"/>
    </row>
    <row r="672" customFormat="false" ht="15.75" hidden="false" customHeight="false" outlineLevel="0" collapsed="false">
      <c r="A672" s="4"/>
      <c r="B672" s="2"/>
      <c r="C672" s="2"/>
      <c r="D672" s="2"/>
      <c r="E672" s="2"/>
      <c r="F672" s="3" t="str">
        <f aca="false">IFERROR(__xludf.dummyfunction("if($T672&lt;&gt;"""",REGEXEXTRACT(SUBSTITUTE ($T672,F$1&amp;"" CE"",""""), F$1&amp;""[\w &amp;]*, (\d+\.\d+)""),"""")
"),"")</f>
        <v/>
      </c>
      <c r="G672" s="3" t="str">
        <f aca="false">IFERROR(__xludf.dummyfunction("if($T672&lt;&gt;"""",REGEXEXTRACT($T672, G$1&amp;""[\w &amp;]*, (\d+\.\d+)""),"""")
"),"")</f>
        <v/>
      </c>
      <c r="H672" s="3"/>
      <c r="I672" s="3" t="str">
        <f aca="false">IFERROR(__xludf.dummyfunction("if($T672&lt;&gt;"""",REGEXEXTRACT(SUBSTITUTE ($T672,I$1&amp;"" CE"",""""), I$1&amp;""[\w &amp;]*, (\d+\.\d+)""),"""")
"),"")</f>
        <v/>
      </c>
      <c r="J672" s="3" t="str">
        <f aca="false">IFERROR(__xludf.dummyfunction("if($T672&lt;&gt;"""",REGEXEXTRACT($T672, J$1&amp;""[\w &amp;]*, (\d+\.\d+)""),"""")
"),"")</f>
        <v/>
      </c>
      <c r="K672" s="3"/>
      <c r="L672" s="3" t="str">
        <f aca="false">IFERROR(__xludf.dummyfunction("if($T672&lt;&gt;"""",REGEXEXTRACT(SUBSTITUTE ($T672,L$1&amp;"" CE"",""""), L$1&amp;""[\w &amp;]*, (\d+\.\d+)""),"""")
"),"")</f>
        <v/>
      </c>
      <c r="M672" s="3" t="str">
        <f aca="false">IFERROR(__xludf.dummyfunction("if($T672&lt;&gt;"""",REGEXEXTRACT($T672, M$1&amp;""[\w &amp;]*, (\d+\.\d+)""),"""")
"),"")</f>
        <v/>
      </c>
      <c r="N672" s="3" t="str">
        <f aca="false">IFERROR(__xludf.dummyfunction("if($T672&lt;&gt;"""",REGEXEXTRACT(SUBSTITUTE ($T672,N$1&amp;"" CE"",""""), N$1&amp;""[\w &amp;]*, (\d+\.\d+)""),"""")
"),"")</f>
        <v/>
      </c>
      <c r="O672" s="3" t="str">
        <f aca="false">IFERROR(__xludf.dummyfunction("if($T672&lt;&gt;"""",REGEXEXTRACT($T672, O$1&amp;""[\w &amp;]*, (\d+\.\d+)""),"""")
"),"")</f>
        <v/>
      </c>
      <c r="P672" s="2"/>
      <c r="Q672" s="2"/>
      <c r="R672" s="2"/>
      <c r="S672" s="2"/>
      <c r="T672" s="5"/>
    </row>
    <row r="673" customFormat="false" ht="15.75" hidden="false" customHeight="false" outlineLevel="0" collapsed="false">
      <c r="A673" s="4"/>
      <c r="B673" s="2"/>
      <c r="C673" s="2"/>
      <c r="D673" s="2"/>
      <c r="E673" s="2"/>
      <c r="F673" s="3" t="str">
        <f aca="false">IFERROR(__xludf.dummyfunction("if($T673&lt;&gt;"""",REGEXEXTRACT(SUBSTITUTE ($T673,F$1&amp;"" CE"",""""), F$1&amp;""[\w &amp;]*, (\d+\.\d+)""),"""")
"),"")</f>
        <v/>
      </c>
      <c r="G673" s="3" t="str">
        <f aca="false">IFERROR(__xludf.dummyfunction("if($T673&lt;&gt;"""",REGEXEXTRACT($T673, G$1&amp;""[\w &amp;]*, (\d+\.\d+)""),"""")
"),"")</f>
        <v/>
      </c>
      <c r="H673" s="3"/>
      <c r="I673" s="3" t="str">
        <f aca="false">IFERROR(__xludf.dummyfunction("if($T673&lt;&gt;"""",REGEXEXTRACT(SUBSTITUTE ($T673,I$1&amp;"" CE"",""""), I$1&amp;""[\w &amp;]*, (\d+\.\d+)""),"""")
"),"")</f>
        <v/>
      </c>
      <c r="J673" s="3" t="str">
        <f aca="false">IFERROR(__xludf.dummyfunction("if($T673&lt;&gt;"""",REGEXEXTRACT($T673, J$1&amp;""[\w &amp;]*, (\d+\.\d+)""),"""")
"),"")</f>
        <v/>
      </c>
      <c r="K673" s="3"/>
      <c r="L673" s="3" t="str">
        <f aca="false">IFERROR(__xludf.dummyfunction("if($T673&lt;&gt;"""",REGEXEXTRACT(SUBSTITUTE ($T673,L$1&amp;"" CE"",""""), L$1&amp;""[\w &amp;]*, (\d+\.\d+)""),"""")
"),"")</f>
        <v/>
      </c>
      <c r="M673" s="3" t="str">
        <f aca="false">IFERROR(__xludf.dummyfunction("if($T673&lt;&gt;"""",REGEXEXTRACT($T673, M$1&amp;""[\w &amp;]*, (\d+\.\d+)""),"""")
"),"")</f>
        <v/>
      </c>
      <c r="N673" s="3" t="str">
        <f aca="false">IFERROR(__xludf.dummyfunction("if($T673&lt;&gt;"""",REGEXEXTRACT(SUBSTITUTE ($T673,N$1&amp;"" CE"",""""), N$1&amp;""[\w &amp;]*, (\d+\.\d+)""),"""")
"),"")</f>
        <v/>
      </c>
      <c r="O673" s="3" t="str">
        <f aca="false">IFERROR(__xludf.dummyfunction("if($T673&lt;&gt;"""",REGEXEXTRACT($T673, O$1&amp;""[\w &amp;]*, (\d+\.\d+)""),"""")
"),"")</f>
        <v/>
      </c>
      <c r="P673" s="2"/>
      <c r="Q673" s="2"/>
      <c r="R673" s="2"/>
      <c r="S673" s="2"/>
      <c r="T673" s="5"/>
    </row>
    <row r="674" customFormat="false" ht="15.75" hidden="false" customHeight="false" outlineLevel="0" collapsed="false">
      <c r="A674" s="4"/>
      <c r="B674" s="2"/>
      <c r="C674" s="2"/>
      <c r="D674" s="2"/>
      <c r="E674" s="2"/>
      <c r="F674" s="3" t="str">
        <f aca="false">IFERROR(__xludf.dummyfunction("if($T674&lt;&gt;"""",REGEXEXTRACT(SUBSTITUTE ($T674,F$1&amp;"" CE"",""""), F$1&amp;""[\w &amp;]*, (\d+\.\d+)""),"""")
"),"")</f>
        <v/>
      </c>
      <c r="G674" s="3" t="str">
        <f aca="false">IFERROR(__xludf.dummyfunction("if($T674&lt;&gt;"""",REGEXEXTRACT($T674, G$1&amp;""[\w &amp;]*, (\d+\.\d+)""),"""")
"),"")</f>
        <v/>
      </c>
      <c r="H674" s="3"/>
      <c r="I674" s="3" t="str">
        <f aca="false">IFERROR(__xludf.dummyfunction("if($T674&lt;&gt;"""",REGEXEXTRACT(SUBSTITUTE ($T674,I$1&amp;"" CE"",""""), I$1&amp;""[\w &amp;]*, (\d+\.\d+)""),"""")
"),"")</f>
        <v/>
      </c>
      <c r="J674" s="3" t="str">
        <f aca="false">IFERROR(__xludf.dummyfunction("if($T674&lt;&gt;"""",REGEXEXTRACT($T674, J$1&amp;""[\w &amp;]*, (\d+\.\d+)""),"""")
"),"")</f>
        <v/>
      </c>
      <c r="K674" s="3"/>
      <c r="L674" s="3" t="str">
        <f aca="false">IFERROR(__xludf.dummyfunction("if($T674&lt;&gt;"""",REGEXEXTRACT(SUBSTITUTE ($T674,L$1&amp;"" CE"",""""), L$1&amp;""[\w &amp;]*, (\d+\.\d+)""),"""")
"),"")</f>
        <v/>
      </c>
      <c r="M674" s="3" t="str">
        <f aca="false">IFERROR(__xludf.dummyfunction("if($T674&lt;&gt;"""",REGEXEXTRACT($T674, M$1&amp;""[\w &amp;]*, (\d+\.\d+)""),"""")
"),"")</f>
        <v/>
      </c>
      <c r="N674" s="3" t="str">
        <f aca="false">IFERROR(__xludf.dummyfunction("if($T674&lt;&gt;"""",REGEXEXTRACT(SUBSTITUTE ($T674,N$1&amp;"" CE"",""""), N$1&amp;""[\w &amp;]*, (\d+\.\d+)""),"""")
"),"")</f>
        <v/>
      </c>
      <c r="O674" s="3" t="str">
        <f aca="false">IFERROR(__xludf.dummyfunction("if($T674&lt;&gt;"""",REGEXEXTRACT($T674, O$1&amp;""[\w &amp;]*, (\d+\.\d+)""),"""")
"),"")</f>
        <v/>
      </c>
      <c r="P674" s="2"/>
      <c r="Q674" s="2"/>
      <c r="R674" s="2"/>
      <c r="S674" s="2"/>
      <c r="T674" s="5"/>
    </row>
    <row r="675" customFormat="false" ht="15.75" hidden="false" customHeight="false" outlineLevel="0" collapsed="false">
      <c r="A675" s="4"/>
      <c r="B675" s="2"/>
      <c r="C675" s="2"/>
      <c r="D675" s="2"/>
      <c r="E675" s="2"/>
      <c r="F675" s="3" t="str">
        <f aca="false">IFERROR(__xludf.dummyfunction("if($T675&lt;&gt;"""",REGEXEXTRACT(SUBSTITUTE ($T675,F$1&amp;"" CE"",""""), F$1&amp;""[\w &amp;]*, (\d+\.\d+)""),"""")
"),"")</f>
        <v/>
      </c>
      <c r="G675" s="3" t="str">
        <f aca="false">IFERROR(__xludf.dummyfunction("if($T675&lt;&gt;"""",REGEXEXTRACT($T675, G$1&amp;""[\w &amp;]*, (\d+\.\d+)""),"""")
"),"")</f>
        <v/>
      </c>
      <c r="H675" s="3"/>
      <c r="I675" s="3" t="str">
        <f aca="false">IFERROR(__xludf.dummyfunction("if($T675&lt;&gt;"""",REGEXEXTRACT(SUBSTITUTE ($T675,I$1&amp;"" CE"",""""), I$1&amp;""[\w &amp;]*, (\d+\.\d+)""),"""")
"),"")</f>
        <v/>
      </c>
      <c r="J675" s="3" t="str">
        <f aca="false">IFERROR(__xludf.dummyfunction("if($T675&lt;&gt;"""",REGEXEXTRACT($T675, J$1&amp;""[\w &amp;]*, (\d+\.\d+)""),"""")
"),"")</f>
        <v/>
      </c>
      <c r="K675" s="3"/>
      <c r="L675" s="3" t="str">
        <f aca="false">IFERROR(__xludf.dummyfunction("if($T675&lt;&gt;"""",REGEXEXTRACT(SUBSTITUTE ($T675,L$1&amp;"" CE"",""""), L$1&amp;""[\w &amp;]*, (\d+\.\d+)""),"""")
"),"")</f>
        <v/>
      </c>
      <c r="M675" s="3" t="str">
        <f aca="false">IFERROR(__xludf.dummyfunction("if($T675&lt;&gt;"""",REGEXEXTRACT($T675, M$1&amp;""[\w &amp;]*, (\d+\.\d+)""),"""")
"),"")</f>
        <v/>
      </c>
      <c r="N675" s="3" t="str">
        <f aca="false">IFERROR(__xludf.dummyfunction("if($T675&lt;&gt;"""",REGEXEXTRACT(SUBSTITUTE ($T675,N$1&amp;"" CE"",""""), N$1&amp;""[\w &amp;]*, (\d+\.\d+)""),"""")
"),"")</f>
        <v/>
      </c>
      <c r="O675" s="3" t="str">
        <f aca="false">IFERROR(__xludf.dummyfunction("if($T675&lt;&gt;"""",REGEXEXTRACT($T675, O$1&amp;""[\w &amp;]*, (\d+\.\d+)""),"""")
"),"")</f>
        <v/>
      </c>
      <c r="P675" s="2"/>
      <c r="Q675" s="2"/>
      <c r="R675" s="2"/>
      <c r="S675" s="2"/>
      <c r="T675" s="5"/>
    </row>
    <row r="676" customFormat="false" ht="15.75" hidden="false" customHeight="false" outlineLevel="0" collapsed="false">
      <c r="A676" s="4"/>
      <c r="B676" s="2"/>
      <c r="C676" s="2"/>
      <c r="D676" s="2"/>
      <c r="E676" s="2"/>
      <c r="F676" s="3" t="str">
        <f aca="false">IFERROR(__xludf.dummyfunction("if($T676&lt;&gt;"""",REGEXEXTRACT(SUBSTITUTE ($T676,F$1&amp;"" CE"",""""), F$1&amp;""[\w &amp;]*, (\d+\.\d+)""),"""")
"),"")</f>
        <v/>
      </c>
      <c r="G676" s="3" t="str">
        <f aca="false">IFERROR(__xludf.dummyfunction("if($T676&lt;&gt;"""",REGEXEXTRACT($T676, G$1&amp;""[\w &amp;]*, (\d+\.\d+)""),"""")
"),"")</f>
        <v/>
      </c>
      <c r="H676" s="3"/>
      <c r="I676" s="3" t="str">
        <f aca="false">IFERROR(__xludf.dummyfunction("if($T676&lt;&gt;"""",REGEXEXTRACT(SUBSTITUTE ($T676,I$1&amp;"" CE"",""""), I$1&amp;""[\w &amp;]*, (\d+\.\d+)""),"""")
"),"")</f>
        <v/>
      </c>
      <c r="J676" s="3" t="str">
        <f aca="false">IFERROR(__xludf.dummyfunction("if($T676&lt;&gt;"""",REGEXEXTRACT($T676, J$1&amp;""[\w &amp;]*, (\d+\.\d+)""),"""")
"),"")</f>
        <v/>
      </c>
      <c r="K676" s="3"/>
      <c r="L676" s="3" t="str">
        <f aca="false">IFERROR(__xludf.dummyfunction("if($T676&lt;&gt;"""",REGEXEXTRACT(SUBSTITUTE ($T676,L$1&amp;"" CE"",""""), L$1&amp;""[\w &amp;]*, (\d+\.\d+)""),"""")
"),"")</f>
        <v/>
      </c>
      <c r="M676" s="3" t="str">
        <f aca="false">IFERROR(__xludf.dummyfunction("if($T676&lt;&gt;"""",REGEXEXTRACT($T676, M$1&amp;""[\w &amp;]*, (\d+\.\d+)""),"""")
"),"")</f>
        <v/>
      </c>
      <c r="N676" s="3" t="str">
        <f aca="false">IFERROR(__xludf.dummyfunction("if($T676&lt;&gt;"""",REGEXEXTRACT(SUBSTITUTE ($T676,N$1&amp;"" CE"",""""), N$1&amp;""[\w &amp;]*, (\d+\.\d+)""),"""")
"),"")</f>
        <v/>
      </c>
      <c r="O676" s="3" t="str">
        <f aca="false">IFERROR(__xludf.dummyfunction("if($T676&lt;&gt;"""",REGEXEXTRACT($T676, O$1&amp;""[\w &amp;]*, (\d+\.\d+)""),"""")
"),"")</f>
        <v/>
      </c>
      <c r="P676" s="2"/>
      <c r="Q676" s="2"/>
      <c r="R676" s="2"/>
      <c r="S676" s="2"/>
      <c r="T676" s="5"/>
    </row>
    <row r="677" customFormat="false" ht="15.75" hidden="false" customHeight="false" outlineLevel="0" collapsed="false">
      <c r="A677" s="4"/>
      <c r="B677" s="2"/>
      <c r="C677" s="2"/>
      <c r="D677" s="2"/>
      <c r="E677" s="2"/>
      <c r="F677" s="3" t="str">
        <f aca="false">IFERROR(__xludf.dummyfunction("if($T677&lt;&gt;"""",REGEXEXTRACT(SUBSTITUTE ($T677,F$1&amp;"" CE"",""""), F$1&amp;""[\w &amp;]*, (\d+\.\d+)""),"""")
"),"")</f>
        <v/>
      </c>
      <c r="G677" s="3" t="str">
        <f aca="false">IFERROR(__xludf.dummyfunction("if($T677&lt;&gt;"""",REGEXEXTRACT($T677, G$1&amp;""[\w &amp;]*, (\d+\.\d+)""),"""")
"),"")</f>
        <v/>
      </c>
      <c r="H677" s="3"/>
      <c r="I677" s="3" t="str">
        <f aca="false">IFERROR(__xludf.dummyfunction("if($T677&lt;&gt;"""",REGEXEXTRACT(SUBSTITUTE ($T677,I$1&amp;"" CE"",""""), I$1&amp;""[\w &amp;]*, (\d+\.\d+)""),"""")
"),"")</f>
        <v/>
      </c>
      <c r="J677" s="3" t="str">
        <f aca="false">IFERROR(__xludf.dummyfunction("if($T677&lt;&gt;"""",REGEXEXTRACT($T677, J$1&amp;""[\w &amp;]*, (\d+\.\d+)""),"""")
"),"")</f>
        <v/>
      </c>
      <c r="K677" s="3"/>
      <c r="L677" s="3" t="str">
        <f aca="false">IFERROR(__xludf.dummyfunction("if($T677&lt;&gt;"""",REGEXEXTRACT(SUBSTITUTE ($T677,L$1&amp;"" CE"",""""), L$1&amp;""[\w &amp;]*, (\d+\.\d+)""),"""")
"),"")</f>
        <v/>
      </c>
      <c r="M677" s="3" t="str">
        <f aca="false">IFERROR(__xludf.dummyfunction("if($T677&lt;&gt;"""",REGEXEXTRACT($T677, M$1&amp;""[\w &amp;]*, (\d+\.\d+)""),"""")
"),"")</f>
        <v/>
      </c>
      <c r="N677" s="3" t="str">
        <f aca="false">IFERROR(__xludf.dummyfunction("if($T677&lt;&gt;"""",REGEXEXTRACT(SUBSTITUTE ($T677,N$1&amp;"" CE"",""""), N$1&amp;""[\w &amp;]*, (\d+\.\d+)""),"""")
"),"")</f>
        <v/>
      </c>
      <c r="O677" s="3" t="str">
        <f aca="false">IFERROR(__xludf.dummyfunction("if($T677&lt;&gt;"""",REGEXEXTRACT($T677, O$1&amp;""[\w &amp;]*, (\d+\.\d+)""),"""")
"),"")</f>
        <v/>
      </c>
      <c r="P677" s="2"/>
      <c r="Q677" s="2"/>
      <c r="R677" s="2"/>
      <c r="S677" s="2"/>
      <c r="T677" s="5"/>
    </row>
    <row r="678" customFormat="false" ht="15.75" hidden="false" customHeight="false" outlineLevel="0" collapsed="false">
      <c r="A678" s="4"/>
      <c r="B678" s="2"/>
      <c r="C678" s="2"/>
      <c r="D678" s="2"/>
      <c r="E678" s="2"/>
      <c r="F678" s="3" t="str">
        <f aca="false">IFERROR(__xludf.dummyfunction("if($T678&lt;&gt;"""",REGEXEXTRACT(SUBSTITUTE ($T678,F$1&amp;"" CE"",""""), F$1&amp;""[\w &amp;]*, (\d+\.\d+)""),"""")
"),"")</f>
        <v/>
      </c>
      <c r="G678" s="3" t="str">
        <f aca="false">IFERROR(__xludf.dummyfunction("if($T678&lt;&gt;"""",REGEXEXTRACT($T678, G$1&amp;""[\w &amp;]*, (\d+\.\d+)""),"""")
"),"")</f>
        <v/>
      </c>
      <c r="H678" s="3"/>
      <c r="I678" s="3" t="str">
        <f aca="false">IFERROR(__xludf.dummyfunction("if($T678&lt;&gt;"""",REGEXEXTRACT(SUBSTITUTE ($T678,I$1&amp;"" CE"",""""), I$1&amp;""[\w &amp;]*, (\d+\.\d+)""),"""")
"),"")</f>
        <v/>
      </c>
      <c r="J678" s="3" t="str">
        <f aca="false">IFERROR(__xludf.dummyfunction("if($T678&lt;&gt;"""",REGEXEXTRACT($T678, J$1&amp;""[\w &amp;]*, (\d+\.\d+)""),"""")
"),"")</f>
        <v/>
      </c>
      <c r="K678" s="3"/>
      <c r="L678" s="3" t="str">
        <f aca="false">IFERROR(__xludf.dummyfunction("if($T678&lt;&gt;"""",REGEXEXTRACT(SUBSTITUTE ($T678,L$1&amp;"" CE"",""""), L$1&amp;""[\w &amp;]*, (\d+\.\d+)""),"""")
"),"")</f>
        <v/>
      </c>
      <c r="M678" s="3" t="str">
        <f aca="false">IFERROR(__xludf.dummyfunction("if($T678&lt;&gt;"""",REGEXEXTRACT($T678, M$1&amp;""[\w &amp;]*, (\d+\.\d+)""),"""")
"),"")</f>
        <v/>
      </c>
      <c r="N678" s="3" t="str">
        <f aca="false">IFERROR(__xludf.dummyfunction("if($T678&lt;&gt;"""",REGEXEXTRACT(SUBSTITUTE ($T678,N$1&amp;"" CE"",""""), N$1&amp;""[\w &amp;]*, (\d+\.\d+)""),"""")
"),"")</f>
        <v/>
      </c>
      <c r="O678" s="3" t="str">
        <f aca="false">IFERROR(__xludf.dummyfunction("if($T678&lt;&gt;"""",REGEXEXTRACT($T678, O$1&amp;""[\w &amp;]*, (\d+\.\d+)""),"""")
"),"")</f>
        <v/>
      </c>
      <c r="P678" s="2"/>
      <c r="Q678" s="2"/>
      <c r="R678" s="2"/>
      <c r="S678" s="2"/>
      <c r="T678" s="5"/>
    </row>
    <row r="679" customFormat="false" ht="15.75" hidden="false" customHeight="false" outlineLevel="0" collapsed="false">
      <c r="A679" s="4"/>
      <c r="B679" s="2"/>
      <c r="C679" s="2"/>
      <c r="D679" s="2"/>
      <c r="E679" s="2"/>
      <c r="F679" s="3" t="str">
        <f aca="false">IFERROR(__xludf.dummyfunction("if($T679&lt;&gt;"""",REGEXEXTRACT(SUBSTITUTE ($T679,F$1&amp;"" CE"",""""), F$1&amp;""[\w &amp;]*, (\d+\.\d+)""),"""")
"),"")</f>
        <v/>
      </c>
      <c r="G679" s="3" t="str">
        <f aca="false">IFERROR(__xludf.dummyfunction("if($T679&lt;&gt;"""",REGEXEXTRACT($T679, G$1&amp;""[\w &amp;]*, (\d+\.\d+)""),"""")
"),"")</f>
        <v/>
      </c>
      <c r="H679" s="3"/>
      <c r="I679" s="3" t="str">
        <f aca="false">IFERROR(__xludf.dummyfunction("if($T679&lt;&gt;"""",REGEXEXTRACT(SUBSTITUTE ($T679,I$1&amp;"" CE"",""""), I$1&amp;""[\w &amp;]*, (\d+\.\d+)""),"""")
"),"")</f>
        <v/>
      </c>
      <c r="J679" s="3" t="str">
        <f aca="false">IFERROR(__xludf.dummyfunction("if($T679&lt;&gt;"""",REGEXEXTRACT($T679, J$1&amp;""[\w &amp;]*, (\d+\.\d+)""),"""")
"),"")</f>
        <v/>
      </c>
      <c r="K679" s="3"/>
      <c r="L679" s="3" t="str">
        <f aca="false">IFERROR(__xludf.dummyfunction("if($T679&lt;&gt;"""",REGEXEXTRACT(SUBSTITUTE ($T679,L$1&amp;"" CE"",""""), L$1&amp;""[\w &amp;]*, (\d+\.\d+)""),"""")
"),"")</f>
        <v/>
      </c>
      <c r="M679" s="3" t="str">
        <f aca="false">IFERROR(__xludf.dummyfunction("if($T679&lt;&gt;"""",REGEXEXTRACT($T679, M$1&amp;""[\w &amp;]*, (\d+\.\d+)""),"""")
"),"")</f>
        <v/>
      </c>
      <c r="N679" s="3" t="str">
        <f aca="false">IFERROR(__xludf.dummyfunction("if($T679&lt;&gt;"""",REGEXEXTRACT(SUBSTITUTE ($T679,N$1&amp;"" CE"",""""), N$1&amp;""[\w &amp;]*, (\d+\.\d+)""),"""")
"),"")</f>
        <v/>
      </c>
      <c r="O679" s="3" t="str">
        <f aca="false">IFERROR(__xludf.dummyfunction("if($T679&lt;&gt;"""",REGEXEXTRACT($T679, O$1&amp;""[\w &amp;]*, (\d+\.\d+)""),"""")
"),"")</f>
        <v/>
      </c>
      <c r="P679" s="2"/>
      <c r="Q679" s="2"/>
      <c r="R679" s="2"/>
      <c r="S679" s="2"/>
      <c r="T679" s="5"/>
    </row>
    <row r="680" customFormat="false" ht="15.75" hidden="false" customHeight="false" outlineLevel="0" collapsed="false">
      <c r="A680" s="4"/>
      <c r="B680" s="2"/>
      <c r="C680" s="2"/>
      <c r="D680" s="2"/>
      <c r="E680" s="2"/>
      <c r="F680" s="3" t="str">
        <f aca="false">IFERROR(__xludf.dummyfunction("if($T680&lt;&gt;"""",REGEXEXTRACT(SUBSTITUTE ($T680,F$1&amp;"" CE"",""""), F$1&amp;""[\w &amp;]*, (\d+\.\d+)""),"""")
"),"")</f>
        <v/>
      </c>
      <c r="G680" s="3" t="str">
        <f aca="false">IFERROR(__xludf.dummyfunction("if($T680&lt;&gt;"""",REGEXEXTRACT($T680, G$1&amp;""[\w &amp;]*, (\d+\.\d+)""),"""")
"),"")</f>
        <v/>
      </c>
      <c r="H680" s="3"/>
      <c r="I680" s="3" t="str">
        <f aca="false">IFERROR(__xludf.dummyfunction("if($T680&lt;&gt;"""",REGEXEXTRACT(SUBSTITUTE ($T680,I$1&amp;"" CE"",""""), I$1&amp;""[\w &amp;]*, (\d+\.\d+)""),"""")
"),"")</f>
        <v/>
      </c>
      <c r="J680" s="3" t="str">
        <f aca="false">IFERROR(__xludf.dummyfunction("if($T680&lt;&gt;"""",REGEXEXTRACT($T680, J$1&amp;""[\w &amp;]*, (\d+\.\d+)""),"""")
"),"")</f>
        <v/>
      </c>
      <c r="K680" s="3"/>
      <c r="L680" s="3" t="str">
        <f aca="false">IFERROR(__xludf.dummyfunction("if($T680&lt;&gt;"""",REGEXEXTRACT(SUBSTITUTE ($T680,L$1&amp;"" CE"",""""), L$1&amp;""[\w &amp;]*, (\d+\.\d+)""),"""")
"),"")</f>
        <v/>
      </c>
      <c r="M680" s="3" t="str">
        <f aca="false">IFERROR(__xludf.dummyfunction("if($T680&lt;&gt;"""",REGEXEXTRACT($T680, M$1&amp;""[\w &amp;]*, (\d+\.\d+)""),"""")
"),"")</f>
        <v/>
      </c>
      <c r="N680" s="3" t="str">
        <f aca="false">IFERROR(__xludf.dummyfunction("if($T680&lt;&gt;"""",REGEXEXTRACT(SUBSTITUTE ($T680,N$1&amp;"" CE"",""""), N$1&amp;""[\w &amp;]*, (\d+\.\d+)""),"""")
"),"")</f>
        <v/>
      </c>
      <c r="O680" s="3" t="str">
        <f aca="false">IFERROR(__xludf.dummyfunction("if($T680&lt;&gt;"""",REGEXEXTRACT($T680, O$1&amp;""[\w &amp;]*, (\d+\.\d+)""),"""")
"),"")</f>
        <v/>
      </c>
      <c r="P680" s="2"/>
      <c r="Q680" s="2"/>
      <c r="R680" s="2"/>
      <c r="S680" s="2"/>
      <c r="T680" s="5"/>
    </row>
    <row r="681" customFormat="false" ht="15.75" hidden="false" customHeight="false" outlineLevel="0" collapsed="false">
      <c r="A681" s="4"/>
      <c r="B681" s="2"/>
      <c r="C681" s="2"/>
      <c r="D681" s="2"/>
      <c r="E681" s="2"/>
      <c r="F681" s="3" t="str">
        <f aca="false">IFERROR(__xludf.dummyfunction("if($T681&lt;&gt;"""",REGEXEXTRACT(SUBSTITUTE ($T681,F$1&amp;"" CE"",""""), F$1&amp;""[\w &amp;]*, (\d+\.\d+)""),"""")
"),"")</f>
        <v/>
      </c>
      <c r="G681" s="3" t="str">
        <f aca="false">IFERROR(__xludf.dummyfunction("if($T681&lt;&gt;"""",REGEXEXTRACT($T681, G$1&amp;""[\w &amp;]*, (\d+\.\d+)""),"""")
"),"")</f>
        <v/>
      </c>
      <c r="H681" s="3"/>
      <c r="I681" s="3" t="str">
        <f aca="false">IFERROR(__xludf.dummyfunction("if($T681&lt;&gt;"""",REGEXEXTRACT(SUBSTITUTE ($T681,I$1&amp;"" CE"",""""), I$1&amp;""[\w &amp;]*, (\d+\.\d+)""),"""")
"),"")</f>
        <v/>
      </c>
      <c r="J681" s="3" t="str">
        <f aca="false">IFERROR(__xludf.dummyfunction("if($T681&lt;&gt;"""",REGEXEXTRACT($T681, J$1&amp;""[\w &amp;]*, (\d+\.\d+)""),"""")
"),"")</f>
        <v/>
      </c>
      <c r="K681" s="3"/>
      <c r="L681" s="3" t="str">
        <f aca="false">IFERROR(__xludf.dummyfunction("if($T681&lt;&gt;"""",REGEXEXTRACT(SUBSTITUTE ($T681,L$1&amp;"" CE"",""""), L$1&amp;""[\w &amp;]*, (\d+\.\d+)""),"""")
"),"")</f>
        <v/>
      </c>
      <c r="M681" s="3" t="str">
        <f aca="false">IFERROR(__xludf.dummyfunction("if($T681&lt;&gt;"""",REGEXEXTRACT($T681, M$1&amp;""[\w &amp;]*, (\d+\.\d+)""),"""")
"),"")</f>
        <v/>
      </c>
      <c r="N681" s="3" t="str">
        <f aca="false">IFERROR(__xludf.dummyfunction("if($T681&lt;&gt;"""",REGEXEXTRACT(SUBSTITUTE ($T681,N$1&amp;"" CE"",""""), N$1&amp;""[\w &amp;]*, (\d+\.\d+)""),"""")
"),"")</f>
        <v/>
      </c>
      <c r="O681" s="3" t="str">
        <f aca="false">IFERROR(__xludf.dummyfunction("if($T681&lt;&gt;"""",REGEXEXTRACT($T681, O$1&amp;""[\w &amp;]*, (\d+\.\d+)""),"""")
"),"")</f>
        <v/>
      </c>
      <c r="P681" s="2"/>
      <c r="Q681" s="2"/>
      <c r="R681" s="2"/>
      <c r="S681" s="2"/>
      <c r="T681" s="5"/>
    </row>
    <row r="682" customFormat="false" ht="15.75" hidden="false" customHeight="false" outlineLevel="0" collapsed="false">
      <c r="A682" s="4"/>
      <c r="B682" s="2"/>
      <c r="C682" s="2"/>
      <c r="D682" s="2"/>
      <c r="E682" s="2"/>
      <c r="F682" s="3" t="str">
        <f aca="false">IFERROR(__xludf.dummyfunction("if($T682&lt;&gt;"""",REGEXEXTRACT(SUBSTITUTE ($T682,F$1&amp;"" CE"",""""), F$1&amp;""[\w &amp;]*, (\d+\.\d+)""),"""")
"),"")</f>
        <v/>
      </c>
      <c r="G682" s="3" t="str">
        <f aca="false">IFERROR(__xludf.dummyfunction("if($T682&lt;&gt;"""",REGEXEXTRACT($T682, G$1&amp;""[\w &amp;]*, (\d+\.\d+)""),"""")
"),"")</f>
        <v/>
      </c>
      <c r="H682" s="3"/>
      <c r="I682" s="3" t="str">
        <f aca="false">IFERROR(__xludf.dummyfunction("if($T682&lt;&gt;"""",REGEXEXTRACT(SUBSTITUTE ($T682,I$1&amp;"" CE"",""""), I$1&amp;""[\w &amp;]*, (\d+\.\d+)""),"""")
"),"")</f>
        <v/>
      </c>
      <c r="J682" s="3" t="str">
        <f aca="false">IFERROR(__xludf.dummyfunction("if($T682&lt;&gt;"""",REGEXEXTRACT($T682, J$1&amp;""[\w &amp;]*, (\d+\.\d+)""),"""")
"),"")</f>
        <v/>
      </c>
      <c r="K682" s="3"/>
      <c r="L682" s="3" t="str">
        <f aca="false">IFERROR(__xludf.dummyfunction("if($T682&lt;&gt;"""",REGEXEXTRACT(SUBSTITUTE ($T682,L$1&amp;"" CE"",""""), L$1&amp;""[\w &amp;]*, (\d+\.\d+)""),"""")
"),"")</f>
        <v/>
      </c>
      <c r="M682" s="3" t="str">
        <f aca="false">IFERROR(__xludf.dummyfunction("if($T682&lt;&gt;"""",REGEXEXTRACT($T682, M$1&amp;""[\w &amp;]*, (\d+\.\d+)""),"""")
"),"")</f>
        <v/>
      </c>
      <c r="N682" s="3" t="str">
        <f aca="false">IFERROR(__xludf.dummyfunction("if($T682&lt;&gt;"""",REGEXEXTRACT(SUBSTITUTE ($T682,N$1&amp;"" CE"",""""), N$1&amp;""[\w &amp;]*, (\d+\.\d+)""),"""")
"),"")</f>
        <v/>
      </c>
      <c r="O682" s="3" t="str">
        <f aca="false">IFERROR(__xludf.dummyfunction("if($T682&lt;&gt;"""",REGEXEXTRACT($T682, O$1&amp;""[\w &amp;]*, (\d+\.\d+)""),"""")
"),"")</f>
        <v/>
      </c>
      <c r="P682" s="2"/>
      <c r="Q682" s="2"/>
      <c r="R682" s="2"/>
      <c r="S682" s="2"/>
      <c r="T682" s="5"/>
    </row>
    <row r="683" customFormat="false" ht="15.75" hidden="false" customHeight="false" outlineLevel="0" collapsed="false">
      <c r="A683" s="4"/>
      <c r="B683" s="2"/>
      <c r="C683" s="2"/>
      <c r="D683" s="2"/>
      <c r="E683" s="2"/>
      <c r="F683" s="3" t="str">
        <f aca="false">IFERROR(__xludf.dummyfunction("if($T683&lt;&gt;"""",REGEXEXTRACT(SUBSTITUTE ($T683,F$1&amp;"" CE"",""""), F$1&amp;""[\w &amp;]*, (\d+\.\d+)""),"""")
"),"")</f>
        <v/>
      </c>
      <c r="G683" s="3" t="str">
        <f aca="false">IFERROR(__xludf.dummyfunction("if($T683&lt;&gt;"""",REGEXEXTRACT($T683, G$1&amp;""[\w &amp;]*, (\d+\.\d+)""),"""")
"),"")</f>
        <v/>
      </c>
      <c r="H683" s="3"/>
      <c r="I683" s="3" t="str">
        <f aca="false">IFERROR(__xludf.dummyfunction("if($T683&lt;&gt;"""",REGEXEXTRACT(SUBSTITUTE ($T683,I$1&amp;"" CE"",""""), I$1&amp;""[\w &amp;]*, (\d+\.\d+)""),"""")
"),"")</f>
        <v/>
      </c>
      <c r="J683" s="3" t="str">
        <f aca="false">IFERROR(__xludf.dummyfunction("if($T683&lt;&gt;"""",REGEXEXTRACT($T683, J$1&amp;""[\w &amp;]*, (\d+\.\d+)""),"""")
"),"")</f>
        <v/>
      </c>
      <c r="K683" s="3"/>
      <c r="L683" s="3" t="str">
        <f aca="false">IFERROR(__xludf.dummyfunction("if($T683&lt;&gt;"""",REGEXEXTRACT(SUBSTITUTE ($T683,L$1&amp;"" CE"",""""), L$1&amp;""[\w &amp;]*, (\d+\.\d+)""),"""")
"),"")</f>
        <v/>
      </c>
      <c r="M683" s="3" t="str">
        <f aca="false">IFERROR(__xludf.dummyfunction("if($T683&lt;&gt;"""",REGEXEXTRACT($T683, M$1&amp;""[\w &amp;]*, (\d+\.\d+)""),"""")
"),"")</f>
        <v/>
      </c>
      <c r="N683" s="3" t="str">
        <f aca="false">IFERROR(__xludf.dummyfunction("if($T683&lt;&gt;"""",REGEXEXTRACT(SUBSTITUTE ($T683,N$1&amp;"" CE"",""""), N$1&amp;""[\w &amp;]*, (\d+\.\d+)""),"""")
"),"")</f>
        <v/>
      </c>
      <c r="O683" s="3" t="str">
        <f aca="false">IFERROR(__xludf.dummyfunction("if($T683&lt;&gt;"""",REGEXEXTRACT($T683, O$1&amp;""[\w &amp;]*, (\d+\.\d+)""),"""")
"),"")</f>
        <v/>
      </c>
      <c r="P683" s="2"/>
      <c r="Q683" s="2"/>
      <c r="R683" s="2"/>
      <c r="S683" s="2"/>
      <c r="T683" s="5"/>
    </row>
    <row r="684" customFormat="false" ht="15.75" hidden="false" customHeight="false" outlineLevel="0" collapsed="false">
      <c r="A684" s="4"/>
      <c r="B684" s="2"/>
      <c r="C684" s="2"/>
      <c r="D684" s="2"/>
      <c r="E684" s="2"/>
      <c r="F684" s="3" t="str">
        <f aca="false">IFERROR(__xludf.dummyfunction("if($T684&lt;&gt;"""",REGEXEXTRACT(SUBSTITUTE ($T684,F$1&amp;"" CE"",""""), F$1&amp;""[\w &amp;]*, (\d+\.\d+)""),"""")
"),"")</f>
        <v/>
      </c>
      <c r="G684" s="3" t="str">
        <f aca="false">IFERROR(__xludf.dummyfunction("if($T684&lt;&gt;"""",REGEXEXTRACT($T684, G$1&amp;""[\w &amp;]*, (\d+\.\d+)""),"""")
"),"")</f>
        <v/>
      </c>
      <c r="H684" s="3"/>
      <c r="I684" s="3" t="str">
        <f aca="false">IFERROR(__xludf.dummyfunction("if($T684&lt;&gt;"""",REGEXEXTRACT(SUBSTITUTE ($T684,I$1&amp;"" CE"",""""), I$1&amp;""[\w &amp;]*, (\d+\.\d+)""),"""")
"),"")</f>
        <v/>
      </c>
      <c r="J684" s="3" t="str">
        <f aca="false">IFERROR(__xludf.dummyfunction("if($T684&lt;&gt;"""",REGEXEXTRACT($T684, J$1&amp;""[\w &amp;]*, (\d+\.\d+)""),"""")
"),"")</f>
        <v/>
      </c>
      <c r="K684" s="3"/>
      <c r="L684" s="3" t="str">
        <f aca="false">IFERROR(__xludf.dummyfunction("if($T684&lt;&gt;"""",REGEXEXTRACT(SUBSTITUTE ($T684,L$1&amp;"" CE"",""""), L$1&amp;""[\w &amp;]*, (\d+\.\d+)""),"""")
"),"")</f>
        <v/>
      </c>
      <c r="M684" s="3" t="str">
        <f aca="false">IFERROR(__xludf.dummyfunction("if($T684&lt;&gt;"""",REGEXEXTRACT($T684, M$1&amp;""[\w &amp;]*, (\d+\.\d+)""),"""")
"),"")</f>
        <v/>
      </c>
      <c r="N684" s="3" t="str">
        <f aca="false">IFERROR(__xludf.dummyfunction("if($T684&lt;&gt;"""",REGEXEXTRACT(SUBSTITUTE ($T684,N$1&amp;"" CE"",""""), N$1&amp;""[\w &amp;]*, (\d+\.\d+)""),"""")
"),"")</f>
        <v/>
      </c>
      <c r="O684" s="3" t="str">
        <f aca="false">IFERROR(__xludf.dummyfunction("if($T684&lt;&gt;"""",REGEXEXTRACT($T684, O$1&amp;""[\w &amp;]*, (\d+\.\d+)""),"""")
"),"")</f>
        <v/>
      </c>
      <c r="P684" s="2"/>
      <c r="Q684" s="2"/>
      <c r="R684" s="2"/>
      <c r="S684" s="2"/>
      <c r="T684" s="5"/>
    </row>
    <row r="685" customFormat="false" ht="15.75" hidden="false" customHeight="false" outlineLevel="0" collapsed="false">
      <c r="A685" s="4"/>
      <c r="B685" s="2"/>
      <c r="C685" s="2"/>
      <c r="D685" s="2"/>
      <c r="E685" s="2"/>
      <c r="F685" s="3" t="str">
        <f aca="false">IFERROR(__xludf.dummyfunction("if($T685&lt;&gt;"""",REGEXEXTRACT(SUBSTITUTE ($T685,F$1&amp;"" CE"",""""), F$1&amp;""[\w &amp;]*, (\d+\.\d+)""),"""")
"),"")</f>
        <v/>
      </c>
      <c r="G685" s="3" t="str">
        <f aca="false">IFERROR(__xludf.dummyfunction("if($T685&lt;&gt;"""",REGEXEXTRACT($T685, G$1&amp;""[\w &amp;]*, (\d+\.\d+)""),"""")
"),"")</f>
        <v/>
      </c>
      <c r="H685" s="3"/>
      <c r="I685" s="3" t="str">
        <f aca="false">IFERROR(__xludf.dummyfunction("if($T685&lt;&gt;"""",REGEXEXTRACT(SUBSTITUTE ($T685,I$1&amp;"" CE"",""""), I$1&amp;""[\w &amp;]*, (\d+\.\d+)""),"""")
"),"")</f>
        <v/>
      </c>
      <c r="J685" s="3" t="str">
        <f aca="false">IFERROR(__xludf.dummyfunction("if($T685&lt;&gt;"""",REGEXEXTRACT($T685, J$1&amp;""[\w &amp;]*, (\d+\.\d+)""),"""")
"),"")</f>
        <v/>
      </c>
      <c r="K685" s="3"/>
      <c r="L685" s="3" t="str">
        <f aca="false">IFERROR(__xludf.dummyfunction("if($T685&lt;&gt;"""",REGEXEXTRACT(SUBSTITUTE ($T685,L$1&amp;"" CE"",""""), L$1&amp;""[\w &amp;]*, (\d+\.\d+)""),"""")
"),"")</f>
        <v/>
      </c>
      <c r="M685" s="3" t="str">
        <f aca="false">IFERROR(__xludf.dummyfunction("if($T685&lt;&gt;"""",REGEXEXTRACT($T685, M$1&amp;""[\w &amp;]*, (\d+\.\d+)""),"""")
"),"")</f>
        <v/>
      </c>
      <c r="N685" s="3" t="str">
        <f aca="false">IFERROR(__xludf.dummyfunction("if($T685&lt;&gt;"""",REGEXEXTRACT(SUBSTITUTE ($T685,N$1&amp;"" CE"",""""), N$1&amp;""[\w &amp;]*, (\d+\.\d+)""),"""")
"),"")</f>
        <v/>
      </c>
      <c r="O685" s="3" t="str">
        <f aca="false">IFERROR(__xludf.dummyfunction("if($T685&lt;&gt;"""",REGEXEXTRACT($T685, O$1&amp;""[\w &amp;]*, (\d+\.\d+)""),"""")
"),"")</f>
        <v/>
      </c>
      <c r="P685" s="2"/>
      <c r="Q685" s="2"/>
      <c r="R685" s="2"/>
      <c r="S685" s="2"/>
      <c r="T685" s="5"/>
    </row>
    <row r="686" customFormat="false" ht="15.75" hidden="false" customHeight="false" outlineLevel="0" collapsed="false">
      <c r="A686" s="4"/>
      <c r="B686" s="2"/>
      <c r="C686" s="2"/>
      <c r="D686" s="2"/>
      <c r="E686" s="2"/>
      <c r="F686" s="3" t="str">
        <f aca="false">IFERROR(__xludf.dummyfunction("if($T686&lt;&gt;"""",REGEXEXTRACT(SUBSTITUTE ($T686,F$1&amp;"" CE"",""""), F$1&amp;""[\w &amp;]*, (\d+\.\d+)""),"""")
"),"")</f>
        <v/>
      </c>
      <c r="G686" s="3" t="str">
        <f aca="false">IFERROR(__xludf.dummyfunction("if($T686&lt;&gt;"""",REGEXEXTRACT($T686, G$1&amp;""[\w &amp;]*, (\d+\.\d+)""),"""")
"),"")</f>
        <v/>
      </c>
      <c r="H686" s="3"/>
      <c r="I686" s="3" t="str">
        <f aca="false">IFERROR(__xludf.dummyfunction("if($T686&lt;&gt;"""",REGEXEXTRACT(SUBSTITUTE ($T686,I$1&amp;"" CE"",""""), I$1&amp;""[\w &amp;]*, (\d+\.\d+)""),"""")
"),"")</f>
        <v/>
      </c>
      <c r="J686" s="3" t="str">
        <f aca="false">IFERROR(__xludf.dummyfunction("if($T686&lt;&gt;"""",REGEXEXTRACT($T686, J$1&amp;""[\w &amp;]*, (\d+\.\d+)""),"""")
"),"")</f>
        <v/>
      </c>
      <c r="K686" s="3"/>
      <c r="L686" s="3" t="str">
        <f aca="false">IFERROR(__xludf.dummyfunction("if($T686&lt;&gt;"""",REGEXEXTRACT(SUBSTITUTE ($T686,L$1&amp;"" CE"",""""), L$1&amp;""[\w &amp;]*, (\d+\.\d+)""),"""")
"),"")</f>
        <v/>
      </c>
      <c r="M686" s="3" t="str">
        <f aca="false">IFERROR(__xludf.dummyfunction("if($T686&lt;&gt;"""",REGEXEXTRACT($T686, M$1&amp;""[\w &amp;]*, (\d+\.\d+)""),"""")
"),"")</f>
        <v/>
      </c>
      <c r="N686" s="3" t="str">
        <f aca="false">IFERROR(__xludf.dummyfunction("if($T686&lt;&gt;"""",REGEXEXTRACT(SUBSTITUTE ($T686,N$1&amp;"" CE"",""""), N$1&amp;""[\w &amp;]*, (\d+\.\d+)""),"""")
"),"")</f>
        <v/>
      </c>
      <c r="O686" s="3" t="str">
        <f aca="false">IFERROR(__xludf.dummyfunction("if($T686&lt;&gt;"""",REGEXEXTRACT($T686, O$1&amp;""[\w &amp;]*, (\d+\.\d+)""),"""")
"),"")</f>
        <v/>
      </c>
      <c r="P686" s="2"/>
      <c r="Q686" s="2"/>
      <c r="R686" s="2"/>
      <c r="S686" s="2"/>
      <c r="T686" s="5"/>
    </row>
    <row r="687" customFormat="false" ht="15.75" hidden="false" customHeight="false" outlineLevel="0" collapsed="false">
      <c r="A687" s="4"/>
      <c r="B687" s="2"/>
      <c r="C687" s="2"/>
      <c r="D687" s="2"/>
      <c r="E687" s="2"/>
      <c r="F687" s="3" t="str">
        <f aca="false">IFERROR(__xludf.dummyfunction("if($T687&lt;&gt;"""",REGEXEXTRACT(SUBSTITUTE ($T687,F$1&amp;"" CE"",""""), F$1&amp;""[\w &amp;]*, (\d+\.\d+)""),"""")
"),"")</f>
        <v/>
      </c>
      <c r="G687" s="3" t="str">
        <f aca="false">IFERROR(__xludf.dummyfunction("if($T687&lt;&gt;"""",REGEXEXTRACT($T687, G$1&amp;""[\w &amp;]*, (\d+\.\d+)""),"""")
"),"")</f>
        <v/>
      </c>
      <c r="H687" s="3"/>
      <c r="I687" s="3" t="str">
        <f aca="false">IFERROR(__xludf.dummyfunction("if($T687&lt;&gt;"""",REGEXEXTRACT(SUBSTITUTE ($T687,I$1&amp;"" CE"",""""), I$1&amp;""[\w &amp;]*, (\d+\.\d+)""),"""")
"),"")</f>
        <v/>
      </c>
      <c r="J687" s="3" t="str">
        <f aca="false">IFERROR(__xludf.dummyfunction("if($T687&lt;&gt;"""",REGEXEXTRACT($T687, J$1&amp;""[\w &amp;]*, (\d+\.\d+)""),"""")
"),"")</f>
        <v/>
      </c>
      <c r="K687" s="3"/>
      <c r="L687" s="3" t="str">
        <f aca="false">IFERROR(__xludf.dummyfunction("if($T687&lt;&gt;"""",REGEXEXTRACT(SUBSTITUTE ($T687,L$1&amp;"" CE"",""""), L$1&amp;""[\w &amp;]*, (\d+\.\d+)""),"""")
"),"")</f>
        <v/>
      </c>
      <c r="M687" s="3" t="str">
        <f aca="false">IFERROR(__xludf.dummyfunction("if($T687&lt;&gt;"""",REGEXEXTRACT($T687, M$1&amp;""[\w &amp;]*, (\d+\.\d+)""),"""")
"),"")</f>
        <v/>
      </c>
      <c r="N687" s="3" t="str">
        <f aca="false">IFERROR(__xludf.dummyfunction("if($T687&lt;&gt;"""",REGEXEXTRACT(SUBSTITUTE ($T687,N$1&amp;"" CE"",""""), N$1&amp;""[\w &amp;]*, (\d+\.\d+)""),"""")
"),"")</f>
        <v/>
      </c>
      <c r="O687" s="3" t="str">
        <f aca="false">IFERROR(__xludf.dummyfunction("if($T687&lt;&gt;"""",REGEXEXTRACT($T687, O$1&amp;""[\w &amp;]*, (\d+\.\d+)""),"""")
"),"")</f>
        <v/>
      </c>
      <c r="P687" s="2"/>
      <c r="Q687" s="2"/>
      <c r="R687" s="2"/>
      <c r="S687" s="2"/>
      <c r="T687" s="5"/>
    </row>
    <row r="688" customFormat="false" ht="15.75" hidden="false" customHeight="false" outlineLevel="0" collapsed="false">
      <c r="A688" s="4"/>
      <c r="B688" s="2"/>
      <c r="C688" s="2"/>
      <c r="D688" s="2"/>
      <c r="E688" s="2"/>
      <c r="F688" s="3" t="str">
        <f aca="false">IFERROR(__xludf.dummyfunction("if($T688&lt;&gt;"""",REGEXEXTRACT(SUBSTITUTE ($T688,F$1&amp;"" CE"",""""), F$1&amp;""[\w &amp;]*, (\d+\.\d+)""),"""")
"),"")</f>
        <v/>
      </c>
      <c r="G688" s="3" t="str">
        <f aca="false">IFERROR(__xludf.dummyfunction("if($T688&lt;&gt;"""",REGEXEXTRACT($T688, G$1&amp;""[\w &amp;]*, (\d+\.\d+)""),"""")
"),"")</f>
        <v/>
      </c>
      <c r="H688" s="3"/>
      <c r="I688" s="3" t="str">
        <f aca="false">IFERROR(__xludf.dummyfunction("if($T688&lt;&gt;"""",REGEXEXTRACT(SUBSTITUTE ($T688,I$1&amp;"" CE"",""""), I$1&amp;""[\w &amp;]*, (\d+\.\d+)""),"""")
"),"")</f>
        <v/>
      </c>
      <c r="J688" s="3" t="str">
        <f aca="false">IFERROR(__xludf.dummyfunction("if($T688&lt;&gt;"""",REGEXEXTRACT($T688, J$1&amp;""[\w &amp;]*, (\d+\.\d+)""),"""")
"),"")</f>
        <v/>
      </c>
      <c r="K688" s="3"/>
      <c r="L688" s="3" t="str">
        <f aca="false">IFERROR(__xludf.dummyfunction("if($T688&lt;&gt;"""",REGEXEXTRACT(SUBSTITUTE ($T688,L$1&amp;"" CE"",""""), L$1&amp;""[\w &amp;]*, (\d+\.\d+)""),"""")
"),"")</f>
        <v/>
      </c>
      <c r="M688" s="3" t="str">
        <f aca="false">IFERROR(__xludf.dummyfunction("if($T688&lt;&gt;"""",REGEXEXTRACT($T688, M$1&amp;""[\w &amp;]*, (\d+\.\d+)""),"""")
"),"")</f>
        <v/>
      </c>
      <c r="N688" s="3" t="str">
        <f aca="false">IFERROR(__xludf.dummyfunction("if($T688&lt;&gt;"""",REGEXEXTRACT(SUBSTITUTE ($T688,N$1&amp;"" CE"",""""), N$1&amp;""[\w &amp;]*, (\d+\.\d+)""),"""")
"),"")</f>
        <v/>
      </c>
      <c r="O688" s="3" t="str">
        <f aca="false">IFERROR(__xludf.dummyfunction("if($T688&lt;&gt;"""",REGEXEXTRACT($T688, O$1&amp;""[\w &amp;]*, (\d+\.\d+)""),"""")
"),"")</f>
        <v/>
      </c>
      <c r="P688" s="2"/>
      <c r="Q688" s="2"/>
      <c r="R688" s="2"/>
      <c r="S688" s="2"/>
      <c r="T688" s="5"/>
    </row>
    <row r="689" customFormat="false" ht="15.75" hidden="false" customHeight="false" outlineLevel="0" collapsed="false">
      <c r="A689" s="4"/>
      <c r="B689" s="2"/>
      <c r="C689" s="2"/>
      <c r="D689" s="2"/>
      <c r="E689" s="2"/>
      <c r="F689" s="3" t="str">
        <f aca="false">IFERROR(__xludf.dummyfunction("if($T689&lt;&gt;"""",REGEXEXTRACT(SUBSTITUTE ($T689,F$1&amp;"" CE"",""""), F$1&amp;""[\w &amp;]*, (\d+\.\d+)""),"""")
"),"")</f>
        <v/>
      </c>
      <c r="G689" s="3" t="str">
        <f aca="false">IFERROR(__xludf.dummyfunction("if($T689&lt;&gt;"""",REGEXEXTRACT($T689, G$1&amp;""[\w &amp;]*, (\d+\.\d+)""),"""")
"),"")</f>
        <v/>
      </c>
      <c r="H689" s="3"/>
      <c r="I689" s="3" t="str">
        <f aca="false">IFERROR(__xludf.dummyfunction("if($T689&lt;&gt;"""",REGEXEXTRACT(SUBSTITUTE ($T689,I$1&amp;"" CE"",""""), I$1&amp;""[\w &amp;]*, (\d+\.\d+)""),"""")
"),"")</f>
        <v/>
      </c>
      <c r="J689" s="3" t="str">
        <f aca="false">IFERROR(__xludf.dummyfunction("if($T689&lt;&gt;"""",REGEXEXTRACT($T689, J$1&amp;""[\w &amp;]*, (\d+\.\d+)""),"""")
"),"")</f>
        <v/>
      </c>
      <c r="K689" s="3"/>
      <c r="L689" s="3" t="str">
        <f aca="false">IFERROR(__xludf.dummyfunction("if($T689&lt;&gt;"""",REGEXEXTRACT(SUBSTITUTE ($T689,L$1&amp;"" CE"",""""), L$1&amp;""[\w &amp;]*, (\d+\.\d+)""),"""")
"),"")</f>
        <v/>
      </c>
      <c r="M689" s="3" t="str">
        <f aca="false">IFERROR(__xludf.dummyfunction("if($T689&lt;&gt;"""",REGEXEXTRACT($T689, M$1&amp;""[\w &amp;]*, (\d+\.\d+)""),"""")
"),"")</f>
        <v/>
      </c>
      <c r="N689" s="3" t="str">
        <f aca="false">IFERROR(__xludf.dummyfunction("if($T689&lt;&gt;"""",REGEXEXTRACT(SUBSTITUTE ($T689,N$1&amp;"" CE"",""""), N$1&amp;""[\w &amp;]*, (\d+\.\d+)""),"""")
"),"")</f>
        <v/>
      </c>
      <c r="O689" s="3" t="str">
        <f aca="false">IFERROR(__xludf.dummyfunction("if($T689&lt;&gt;"""",REGEXEXTRACT($T689, O$1&amp;""[\w &amp;]*, (\d+\.\d+)""),"""")
"),"")</f>
        <v/>
      </c>
      <c r="P689" s="2"/>
      <c r="Q689" s="2"/>
      <c r="R689" s="2"/>
      <c r="S689" s="2"/>
      <c r="T689" s="5"/>
    </row>
    <row r="690" customFormat="false" ht="15.75" hidden="false" customHeight="false" outlineLevel="0" collapsed="false">
      <c r="A690" s="4"/>
      <c r="B690" s="2"/>
      <c r="C690" s="2"/>
      <c r="D690" s="2"/>
      <c r="E690" s="2"/>
      <c r="F690" s="3" t="str">
        <f aca="false">IFERROR(__xludf.dummyfunction("if($T690&lt;&gt;"""",REGEXEXTRACT(SUBSTITUTE ($T690,F$1&amp;"" CE"",""""), F$1&amp;""[\w &amp;]*, (\d+\.\d+)""),"""")
"),"")</f>
        <v/>
      </c>
      <c r="G690" s="3" t="str">
        <f aca="false">IFERROR(__xludf.dummyfunction("if($T690&lt;&gt;"""",REGEXEXTRACT($T690, G$1&amp;""[\w &amp;]*, (\d+\.\d+)""),"""")
"),"")</f>
        <v/>
      </c>
      <c r="H690" s="3"/>
      <c r="I690" s="3" t="str">
        <f aca="false">IFERROR(__xludf.dummyfunction("if($T690&lt;&gt;"""",REGEXEXTRACT(SUBSTITUTE ($T690,I$1&amp;"" CE"",""""), I$1&amp;""[\w &amp;]*, (\d+\.\d+)""),"""")
"),"")</f>
        <v/>
      </c>
      <c r="J690" s="3" t="str">
        <f aca="false">IFERROR(__xludf.dummyfunction("if($T690&lt;&gt;"""",REGEXEXTRACT($T690, J$1&amp;""[\w &amp;]*, (\d+\.\d+)""),"""")
"),"")</f>
        <v/>
      </c>
      <c r="K690" s="3"/>
      <c r="L690" s="3" t="str">
        <f aca="false">IFERROR(__xludf.dummyfunction("if($T690&lt;&gt;"""",REGEXEXTRACT(SUBSTITUTE ($T690,L$1&amp;"" CE"",""""), L$1&amp;""[\w &amp;]*, (\d+\.\d+)""),"""")
"),"")</f>
        <v/>
      </c>
      <c r="M690" s="3" t="str">
        <f aca="false">IFERROR(__xludf.dummyfunction("if($T690&lt;&gt;"""",REGEXEXTRACT($T690, M$1&amp;""[\w &amp;]*, (\d+\.\d+)""),"""")
"),"")</f>
        <v/>
      </c>
      <c r="N690" s="3" t="str">
        <f aca="false">IFERROR(__xludf.dummyfunction("if($T690&lt;&gt;"""",REGEXEXTRACT(SUBSTITUTE ($T690,N$1&amp;"" CE"",""""), N$1&amp;""[\w &amp;]*, (\d+\.\d+)""),"""")
"),"")</f>
        <v/>
      </c>
      <c r="O690" s="3" t="str">
        <f aca="false">IFERROR(__xludf.dummyfunction("if($T690&lt;&gt;"""",REGEXEXTRACT($T690, O$1&amp;""[\w &amp;]*, (\d+\.\d+)""),"""")
"),"")</f>
        <v/>
      </c>
      <c r="P690" s="2"/>
      <c r="Q690" s="2"/>
      <c r="R690" s="2"/>
      <c r="S690" s="2"/>
      <c r="T690" s="5"/>
    </row>
    <row r="691" customFormat="false" ht="15.75" hidden="false" customHeight="false" outlineLevel="0" collapsed="false">
      <c r="A691" s="4"/>
      <c r="B691" s="2"/>
      <c r="C691" s="2"/>
      <c r="D691" s="2"/>
      <c r="E691" s="2"/>
      <c r="F691" s="3" t="str">
        <f aca="false">IFERROR(__xludf.dummyfunction("if($T691&lt;&gt;"""",REGEXEXTRACT(SUBSTITUTE ($T691,F$1&amp;"" CE"",""""), F$1&amp;""[\w &amp;]*, (\d+\.\d+)""),"""")
"),"")</f>
        <v/>
      </c>
      <c r="G691" s="3" t="str">
        <f aca="false">IFERROR(__xludf.dummyfunction("if($T691&lt;&gt;"""",REGEXEXTRACT($T691, G$1&amp;""[\w &amp;]*, (\d+\.\d+)""),"""")
"),"")</f>
        <v/>
      </c>
      <c r="H691" s="3"/>
      <c r="I691" s="3" t="str">
        <f aca="false">IFERROR(__xludf.dummyfunction("if($T691&lt;&gt;"""",REGEXEXTRACT(SUBSTITUTE ($T691,I$1&amp;"" CE"",""""), I$1&amp;""[\w &amp;]*, (\d+\.\d+)""),"""")
"),"")</f>
        <v/>
      </c>
      <c r="J691" s="3" t="str">
        <f aca="false">IFERROR(__xludf.dummyfunction("if($T691&lt;&gt;"""",REGEXEXTRACT($T691, J$1&amp;""[\w &amp;]*, (\d+\.\d+)""),"""")
"),"")</f>
        <v/>
      </c>
      <c r="K691" s="3"/>
      <c r="L691" s="3" t="str">
        <f aca="false">IFERROR(__xludf.dummyfunction("if($T691&lt;&gt;"""",REGEXEXTRACT(SUBSTITUTE ($T691,L$1&amp;"" CE"",""""), L$1&amp;""[\w &amp;]*, (\d+\.\d+)""),"""")
"),"")</f>
        <v/>
      </c>
      <c r="M691" s="3" t="str">
        <f aca="false">IFERROR(__xludf.dummyfunction("if($T691&lt;&gt;"""",REGEXEXTRACT($T691, M$1&amp;""[\w &amp;]*, (\d+\.\d+)""),"""")
"),"")</f>
        <v/>
      </c>
      <c r="N691" s="3" t="str">
        <f aca="false">IFERROR(__xludf.dummyfunction("if($T691&lt;&gt;"""",REGEXEXTRACT(SUBSTITUTE ($T691,N$1&amp;"" CE"",""""), N$1&amp;""[\w &amp;]*, (\d+\.\d+)""),"""")
"),"")</f>
        <v/>
      </c>
      <c r="O691" s="3" t="str">
        <f aca="false">IFERROR(__xludf.dummyfunction("if($T691&lt;&gt;"""",REGEXEXTRACT($T691, O$1&amp;""[\w &amp;]*, (\d+\.\d+)""),"""")
"),"")</f>
        <v/>
      </c>
      <c r="P691" s="2"/>
      <c r="Q691" s="2"/>
      <c r="R691" s="2"/>
      <c r="S691" s="2"/>
      <c r="T691" s="5"/>
    </row>
    <row r="692" customFormat="false" ht="15.75" hidden="false" customHeight="false" outlineLevel="0" collapsed="false">
      <c r="A692" s="4"/>
      <c r="B692" s="2"/>
      <c r="C692" s="2"/>
      <c r="D692" s="2"/>
      <c r="E692" s="2"/>
      <c r="F692" s="3" t="str">
        <f aca="false">IFERROR(__xludf.dummyfunction("if($T692&lt;&gt;"""",REGEXEXTRACT(SUBSTITUTE ($T692,F$1&amp;"" CE"",""""), F$1&amp;""[\w &amp;]*, (\d+\.\d+)""),"""")
"),"")</f>
        <v/>
      </c>
      <c r="G692" s="3" t="str">
        <f aca="false">IFERROR(__xludf.dummyfunction("if($T692&lt;&gt;"""",REGEXEXTRACT($T692, G$1&amp;""[\w &amp;]*, (\d+\.\d+)""),"""")
"),"")</f>
        <v/>
      </c>
      <c r="H692" s="3"/>
      <c r="I692" s="3" t="str">
        <f aca="false">IFERROR(__xludf.dummyfunction("if($T692&lt;&gt;"""",REGEXEXTRACT(SUBSTITUTE ($T692,I$1&amp;"" CE"",""""), I$1&amp;""[\w &amp;]*, (\d+\.\d+)""),"""")
"),"")</f>
        <v/>
      </c>
      <c r="J692" s="3" t="str">
        <f aca="false">IFERROR(__xludf.dummyfunction("if($T692&lt;&gt;"""",REGEXEXTRACT($T692, J$1&amp;""[\w &amp;]*, (\d+\.\d+)""),"""")
"),"")</f>
        <v/>
      </c>
      <c r="K692" s="3"/>
      <c r="L692" s="3" t="str">
        <f aca="false">IFERROR(__xludf.dummyfunction("if($T692&lt;&gt;"""",REGEXEXTRACT(SUBSTITUTE ($T692,L$1&amp;"" CE"",""""), L$1&amp;""[\w &amp;]*, (\d+\.\d+)""),"""")
"),"")</f>
        <v/>
      </c>
      <c r="M692" s="3" t="str">
        <f aca="false">IFERROR(__xludf.dummyfunction("if($T692&lt;&gt;"""",REGEXEXTRACT($T692, M$1&amp;""[\w &amp;]*, (\d+\.\d+)""),"""")
"),"")</f>
        <v/>
      </c>
      <c r="N692" s="3" t="str">
        <f aca="false">IFERROR(__xludf.dummyfunction("if($T692&lt;&gt;"""",REGEXEXTRACT(SUBSTITUTE ($T692,N$1&amp;"" CE"",""""), N$1&amp;""[\w &amp;]*, (\d+\.\d+)""),"""")
"),"")</f>
        <v/>
      </c>
      <c r="O692" s="3" t="str">
        <f aca="false">IFERROR(__xludf.dummyfunction("if($T692&lt;&gt;"""",REGEXEXTRACT($T692, O$1&amp;""[\w &amp;]*, (\d+\.\d+)""),"""")
"),"")</f>
        <v/>
      </c>
      <c r="P692" s="2"/>
      <c r="Q692" s="2"/>
      <c r="R692" s="2"/>
      <c r="S692" s="2"/>
      <c r="T692" s="5"/>
    </row>
    <row r="693" customFormat="false" ht="15.75" hidden="false" customHeight="false" outlineLevel="0" collapsed="false">
      <c r="A693" s="4"/>
      <c r="B693" s="2"/>
      <c r="C693" s="2"/>
      <c r="D693" s="2"/>
      <c r="E693" s="2"/>
      <c r="F693" s="3" t="str">
        <f aca="false">IFERROR(__xludf.dummyfunction("if($T693&lt;&gt;"""",REGEXEXTRACT(SUBSTITUTE ($T693,F$1&amp;"" CE"",""""), F$1&amp;""[\w &amp;]*, (\d+\.\d+)""),"""")
"),"")</f>
        <v/>
      </c>
      <c r="G693" s="3" t="str">
        <f aca="false">IFERROR(__xludf.dummyfunction("if($T693&lt;&gt;"""",REGEXEXTRACT($T693, G$1&amp;""[\w &amp;]*, (\d+\.\d+)""),"""")
"),"")</f>
        <v/>
      </c>
      <c r="H693" s="3"/>
      <c r="I693" s="3" t="str">
        <f aca="false">IFERROR(__xludf.dummyfunction("if($T693&lt;&gt;"""",REGEXEXTRACT(SUBSTITUTE ($T693,I$1&amp;"" CE"",""""), I$1&amp;""[\w &amp;]*, (\d+\.\d+)""),"""")
"),"")</f>
        <v/>
      </c>
      <c r="J693" s="3" t="str">
        <f aca="false">IFERROR(__xludf.dummyfunction("if($T693&lt;&gt;"""",REGEXEXTRACT($T693, J$1&amp;""[\w &amp;]*, (\d+\.\d+)""),"""")
"),"")</f>
        <v/>
      </c>
      <c r="K693" s="3"/>
      <c r="L693" s="3" t="str">
        <f aca="false">IFERROR(__xludf.dummyfunction("if($T693&lt;&gt;"""",REGEXEXTRACT(SUBSTITUTE ($T693,L$1&amp;"" CE"",""""), L$1&amp;""[\w &amp;]*, (\d+\.\d+)""),"""")
"),"")</f>
        <v/>
      </c>
      <c r="M693" s="3" t="str">
        <f aca="false">IFERROR(__xludf.dummyfunction("if($T693&lt;&gt;"""",REGEXEXTRACT($T693, M$1&amp;""[\w &amp;]*, (\d+\.\d+)""),"""")
"),"")</f>
        <v/>
      </c>
      <c r="N693" s="3" t="str">
        <f aca="false">IFERROR(__xludf.dummyfunction("if($T693&lt;&gt;"""",REGEXEXTRACT(SUBSTITUTE ($T693,N$1&amp;"" CE"",""""), N$1&amp;""[\w &amp;]*, (\d+\.\d+)""),"""")
"),"")</f>
        <v/>
      </c>
      <c r="O693" s="3" t="str">
        <f aca="false">IFERROR(__xludf.dummyfunction("if($T693&lt;&gt;"""",REGEXEXTRACT($T693, O$1&amp;""[\w &amp;]*, (\d+\.\d+)""),"""")
"),"")</f>
        <v/>
      </c>
      <c r="P693" s="2"/>
      <c r="Q693" s="2"/>
      <c r="R693" s="2"/>
      <c r="S693" s="2"/>
      <c r="T693" s="5"/>
    </row>
    <row r="694" customFormat="false" ht="15.75" hidden="false" customHeight="false" outlineLevel="0" collapsed="false">
      <c r="A694" s="4"/>
      <c r="B694" s="2"/>
      <c r="C694" s="2"/>
      <c r="D694" s="2"/>
      <c r="E694" s="2"/>
      <c r="F694" s="3" t="str">
        <f aca="false">IFERROR(__xludf.dummyfunction("if($T694&lt;&gt;"""",REGEXEXTRACT(SUBSTITUTE ($T694,F$1&amp;"" CE"",""""), F$1&amp;""[\w &amp;]*, (\d+\.\d+)""),"""")
"),"")</f>
        <v/>
      </c>
      <c r="G694" s="3" t="str">
        <f aca="false">IFERROR(__xludf.dummyfunction("if($T694&lt;&gt;"""",REGEXEXTRACT($T694, G$1&amp;""[\w &amp;]*, (\d+\.\d+)""),"""")
"),"")</f>
        <v/>
      </c>
      <c r="H694" s="3"/>
      <c r="I694" s="3" t="str">
        <f aca="false">IFERROR(__xludf.dummyfunction("if($T694&lt;&gt;"""",REGEXEXTRACT(SUBSTITUTE ($T694,I$1&amp;"" CE"",""""), I$1&amp;""[\w &amp;]*, (\d+\.\d+)""),"""")
"),"")</f>
        <v/>
      </c>
      <c r="J694" s="3" t="str">
        <f aca="false">IFERROR(__xludf.dummyfunction("if($T694&lt;&gt;"""",REGEXEXTRACT($T694, J$1&amp;""[\w &amp;]*, (\d+\.\d+)""),"""")
"),"")</f>
        <v/>
      </c>
      <c r="K694" s="3"/>
      <c r="L694" s="3" t="str">
        <f aca="false">IFERROR(__xludf.dummyfunction("if($T694&lt;&gt;"""",REGEXEXTRACT(SUBSTITUTE ($T694,L$1&amp;"" CE"",""""), L$1&amp;""[\w &amp;]*, (\d+\.\d+)""),"""")
"),"")</f>
        <v/>
      </c>
      <c r="M694" s="3" t="str">
        <f aca="false">IFERROR(__xludf.dummyfunction("if($T694&lt;&gt;"""",REGEXEXTRACT($T694, M$1&amp;""[\w &amp;]*, (\d+\.\d+)""),"""")
"),"")</f>
        <v/>
      </c>
      <c r="N694" s="3" t="str">
        <f aca="false">IFERROR(__xludf.dummyfunction("if($T694&lt;&gt;"""",REGEXEXTRACT(SUBSTITUTE ($T694,N$1&amp;"" CE"",""""), N$1&amp;""[\w &amp;]*, (\d+\.\d+)""),"""")
"),"")</f>
        <v/>
      </c>
      <c r="O694" s="3" t="str">
        <f aca="false">IFERROR(__xludf.dummyfunction("if($T694&lt;&gt;"""",REGEXEXTRACT($T694, O$1&amp;""[\w &amp;]*, (\d+\.\d+)""),"""")
"),"")</f>
        <v/>
      </c>
      <c r="P694" s="2"/>
      <c r="Q694" s="2"/>
      <c r="R694" s="2"/>
      <c r="S694" s="2"/>
      <c r="T694" s="5"/>
    </row>
    <row r="695" customFormat="false" ht="15.75" hidden="false" customHeight="false" outlineLevel="0" collapsed="false">
      <c r="A695" s="4"/>
      <c r="B695" s="2"/>
      <c r="C695" s="2"/>
      <c r="D695" s="2"/>
      <c r="E695" s="2"/>
      <c r="F695" s="3" t="str">
        <f aca="false">IFERROR(__xludf.dummyfunction("if($T695&lt;&gt;"""",REGEXEXTRACT(SUBSTITUTE ($T695,F$1&amp;"" CE"",""""), F$1&amp;""[\w &amp;]*, (\d+\.\d+)""),"""")
"),"")</f>
        <v/>
      </c>
      <c r="G695" s="3" t="str">
        <f aca="false">IFERROR(__xludf.dummyfunction("if($T695&lt;&gt;"""",REGEXEXTRACT($T695, G$1&amp;""[\w &amp;]*, (\d+\.\d+)""),"""")
"),"")</f>
        <v/>
      </c>
      <c r="H695" s="3"/>
      <c r="I695" s="3" t="str">
        <f aca="false">IFERROR(__xludf.dummyfunction("if($T695&lt;&gt;"""",REGEXEXTRACT(SUBSTITUTE ($T695,I$1&amp;"" CE"",""""), I$1&amp;""[\w &amp;]*, (\d+\.\d+)""),"""")
"),"")</f>
        <v/>
      </c>
      <c r="J695" s="3" t="str">
        <f aca="false">IFERROR(__xludf.dummyfunction("if($T695&lt;&gt;"""",REGEXEXTRACT($T695, J$1&amp;""[\w &amp;]*, (\d+\.\d+)""),"""")
"),"")</f>
        <v/>
      </c>
      <c r="K695" s="3"/>
      <c r="L695" s="3" t="str">
        <f aca="false">IFERROR(__xludf.dummyfunction("if($T695&lt;&gt;"""",REGEXEXTRACT(SUBSTITUTE ($T695,L$1&amp;"" CE"",""""), L$1&amp;""[\w &amp;]*, (\d+\.\d+)""),"""")
"),"")</f>
        <v/>
      </c>
      <c r="M695" s="3" t="str">
        <f aca="false">IFERROR(__xludf.dummyfunction("if($T695&lt;&gt;"""",REGEXEXTRACT($T695, M$1&amp;""[\w &amp;]*, (\d+\.\d+)""),"""")
"),"")</f>
        <v/>
      </c>
      <c r="N695" s="3" t="str">
        <f aca="false">IFERROR(__xludf.dummyfunction("if($T695&lt;&gt;"""",REGEXEXTRACT(SUBSTITUTE ($T695,N$1&amp;"" CE"",""""), N$1&amp;""[\w &amp;]*, (\d+\.\d+)""),"""")
"),"")</f>
        <v/>
      </c>
      <c r="O695" s="3" t="str">
        <f aca="false">IFERROR(__xludf.dummyfunction("if($T695&lt;&gt;"""",REGEXEXTRACT($T695, O$1&amp;""[\w &amp;]*, (\d+\.\d+)""),"""")
"),"")</f>
        <v/>
      </c>
      <c r="P695" s="2"/>
      <c r="Q695" s="2"/>
      <c r="R695" s="2"/>
      <c r="S695" s="2"/>
      <c r="T695" s="5"/>
    </row>
    <row r="696" customFormat="false" ht="15.75" hidden="false" customHeight="false" outlineLevel="0" collapsed="false">
      <c r="A696" s="4"/>
      <c r="B696" s="2"/>
      <c r="C696" s="2"/>
      <c r="D696" s="2"/>
      <c r="E696" s="2"/>
      <c r="F696" s="3" t="str">
        <f aca="false">IFERROR(__xludf.dummyfunction("if($T696&lt;&gt;"""",REGEXEXTRACT(SUBSTITUTE ($T696,F$1&amp;"" CE"",""""), F$1&amp;""[\w &amp;]*, (\d+\.\d+)""),"""")
"),"")</f>
        <v/>
      </c>
      <c r="G696" s="3" t="str">
        <f aca="false">IFERROR(__xludf.dummyfunction("if($T696&lt;&gt;"""",REGEXEXTRACT($T696, G$1&amp;""[\w &amp;]*, (\d+\.\d+)""),"""")
"),"")</f>
        <v/>
      </c>
      <c r="H696" s="3"/>
      <c r="I696" s="3" t="str">
        <f aca="false">IFERROR(__xludf.dummyfunction("if($T696&lt;&gt;"""",REGEXEXTRACT(SUBSTITUTE ($T696,I$1&amp;"" CE"",""""), I$1&amp;""[\w &amp;]*, (\d+\.\d+)""),"""")
"),"")</f>
        <v/>
      </c>
      <c r="J696" s="3" t="str">
        <f aca="false">IFERROR(__xludf.dummyfunction("if($T696&lt;&gt;"""",REGEXEXTRACT($T696, J$1&amp;""[\w &amp;]*, (\d+\.\d+)""),"""")
"),"")</f>
        <v/>
      </c>
      <c r="K696" s="3"/>
      <c r="L696" s="3" t="str">
        <f aca="false">IFERROR(__xludf.dummyfunction("if($T696&lt;&gt;"""",REGEXEXTRACT(SUBSTITUTE ($T696,L$1&amp;"" CE"",""""), L$1&amp;""[\w &amp;]*, (\d+\.\d+)""),"""")
"),"")</f>
        <v/>
      </c>
      <c r="M696" s="3" t="str">
        <f aca="false">IFERROR(__xludf.dummyfunction("if($T696&lt;&gt;"""",REGEXEXTRACT($T696, M$1&amp;""[\w &amp;]*, (\d+\.\d+)""),"""")
"),"")</f>
        <v/>
      </c>
      <c r="N696" s="3" t="str">
        <f aca="false">IFERROR(__xludf.dummyfunction("if($T696&lt;&gt;"""",REGEXEXTRACT(SUBSTITUTE ($T696,N$1&amp;"" CE"",""""), N$1&amp;""[\w &amp;]*, (\d+\.\d+)""),"""")
"),"")</f>
        <v/>
      </c>
      <c r="O696" s="3" t="str">
        <f aca="false">IFERROR(__xludf.dummyfunction("if($T696&lt;&gt;"""",REGEXEXTRACT($T696, O$1&amp;""[\w &amp;]*, (\d+\.\d+)""),"""")
"),"")</f>
        <v/>
      </c>
      <c r="P696" s="2"/>
      <c r="Q696" s="2"/>
      <c r="R696" s="2"/>
      <c r="S696" s="2"/>
      <c r="T696" s="5"/>
    </row>
    <row r="697" customFormat="false" ht="15.75" hidden="false" customHeight="false" outlineLevel="0" collapsed="false">
      <c r="A697" s="4"/>
      <c r="B697" s="2"/>
      <c r="C697" s="2"/>
      <c r="D697" s="2"/>
      <c r="E697" s="2"/>
      <c r="F697" s="3" t="str">
        <f aca="false">IFERROR(__xludf.dummyfunction("if($T697&lt;&gt;"""",REGEXEXTRACT(SUBSTITUTE ($T697,F$1&amp;"" CE"",""""), F$1&amp;""[\w &amp;]*, (\d+\.\d+)""),"""")
"),"")</f>
        <v/>
      </c>
      <c r="G697" s="3" t="str">
        <f aca="false">IFERROR(__xludf.dummyfunction("if($T697&lt;&gt;"""",REGEXEXTRACT($T697, G$1&amp;""[\w &amp;]*, (\d+\.\d+)""),"""")
"),"")</f>
        <v/>
      </c>
      <c r="H697" s="3"/>
      <c r="I697" s="3" t="str">
        <f aca="false">IFERROR(__xludf.dummyfunction("if($T697&lt;&gt;"""",REGEXEXTRACT(SUBSTITUTE ($T697,I$1&amp;"" CE"",""""), I$1&amp;""[\w &amp;]*, (\d+\.\d+)""),"""")
"),"")</f>
        <v/>
      </c>
      <c r="J697" s="3" t="str">
        <f aca="false">IFERROR(__xludf.dummyfunction("if($T697&lt;&gt;"""",REGEXEXTRACT($T697, J$1&amp;""[\w &amp;]*, (\d+\.\d+)""),"""")
"),"")</f>
        <v/>
      </c>
      <c r="K697" s="3"/>
      <c r="L697" s="3" t="str">
        <f aca="false">IFERROR(__xludf.dummyfunction("if($T697&lt;&gt;"""",REGEXEXTRACT(SUBSTITUTE ($T697,L$1&amp;"" CE"",""""), L$1&amp;""[\w &amp;]*, (\d+\.\d+)""),"""")
"),"")</f>
        <v/>
      </c>
      <c r="M697" s="3" t="str">
        <f aca="false">IFERROR(__xludf.dummyfunction("if($T697&lt;&gt;"""",REGEXEXTRACT($T697, M$1&amp;""[\w &amp;]*, (\d+\.\d+)""),"""")
"),"")</f>
        <v/>
      </c>
      <c r="N697" s="3" t="str">
        <f aca="false">IFERROR(__xludf.dummyfunction("if($T697&lt;&gt;"""",REGEXEXTRACT(SUBSTITUTE ($T697,N$1&amp;"" CE"",""""), N$1&amp;""[\w &amp;]*, (\d+\.\d+)""),"""")
"),"")</f>
        <v/>
      </c>
      <c r="O697" s="3" t="str">
        <f aca="false">IFERROR(__xludf.dummyfunction("if($T697&lt;&gt;"""",REGEXEXTRACT($T697, O$1&amp;""[\w &amp;]*, (\d+\.\d+)""),"""")
"),"")</f>
        <v/>
      </c>
      <c r="P697" s="2"/>
      <c r="Q697" s="2"/>
      <c r="R697" s="2"/>
      <c r="S697" s="2"/>
      <c r="T697" s="5"/>
    </row>
    <row r="698" customFormat="false" ht="15.75" hidden="false" customHeight="false" outlineLevel="0" collapsed="false">
      <c r="A698" s="4"/>
      <c r="B698" s="2"/>
      <c r="C698" s="2"/>
      <c r="D698" s="2"/>
      <c r="E698" s="2"/>
      <c r="F698" s="3" t="str">
        <f aca="false">IFERROR(__xludf.dummyfunction("if($T698&lt;&gt;"""",REGEXEXTRACT(SUBSTITUTE ($T698,F$1&amp;"" CE"",""""), F$1&amp;""[\w &amp;]*, (\d+\.\d+)""),"""")
"),"")</f>
        <v/>
      </c>
      <c r="G698" s="3" t="str">
        <f aca="false">IFERROR(__xludf.dummyfunction("if($T698&lt;&gt;"""",REGEXEXTRACT($T698, G$1&amp;""[\w &amp;]*, (\d+\.\d+)""),"""")
"),"")</f>
        <v/>
      </c>
      <c r="H698" s="3"/>
      <c r="I698" s="3" t="str">
        <f aca="false">IFERROR(__xludf.dummyfunction("if($T698&lt;&gt;"""",REGEXEXTRACT(SUBSTITUTE ($T698,I$1&amp;"" CE"",""""), I$1&amp;""[\w &amp;]*, (\d+\.\d+)""),"""")
"),"")</f>
        <v/>
      </c>
      <c r="J698" s="3" t="str">
        <f aca="false">IFERROR(__xludf.dummyfunction("if($T698&lt;&gt;"""",REGEXEXTRACT($T698, J$1&amp;""[\w &amp;]*, (\d+\.\d+)""),"""")
"),"")</f>
        <v/>
      </c>
      <c r="K698" s="3"/>
      <c r="L698" s="3" t="str">
        <f aca="false">IFERROR(__xludf.dummyfunction("if($T698&lt;&gt;"""",REGEXEXTRACT(SUBSTITUTE ($T698,L$1&amp;"" CE"",""""), L$1&amp;""[\w &amp;]*, (\d+\.\d+)""),"""")
"),"")</f>
        <v/>
      </c>
      <c r="M698" s="3" t="str">
        <f aca="false">IFERROR(__xludf.dummyfunction("if($T698&lt;&gt;"""",REGEXEXTRACT($T698, M$1&amp;""[\w &amp;]*, (\d+\.\d+)""),"""")
"),"")</f>
        <v/>
      </c>
      <c r="N698" s="3" t="str">
        <f aca="false">IFERROR(__xludf.dummyfunction("if($T698&lt;&gt;"""",REGEXEXTRACT(SUBSTITUTE ($T698,N$1&amp;"" CE"",""""), N$1&amp;""[\w &amp;]*, (\d+\.\d+)""),"""")
"),"")</f>
        <v/>
      </c>
      <c r="O698" s="3" t="str">
        <f aca="false">IFERROR(__xludf.dummyfunction("if($T698&lt;&gt;"""",REGEXEXTRACT($T698, O$1&amp;""[\w &amp;]*, (\d+\.\d+)""),"""")
"),"")</f>
        <v/>
      </c>
      <c r="P698" s="2"/>
      <c r="Q698" s="2"/>
      <c r="R698" s="2"/>
      <c r="S698" s="2"/>
      <c r="T698" s="5"/>
    </row>
    <row r="699" customFormat="false" ht="15.75" hidden="false" customHeight="false" outlineLevel="0" collapsed="false">
      <c r="A699" s="4"/>
      <c r="B699" s="2"/>
      <c r="C699" s="2"/>
      <c r="D699" s="2"/>
      <c r="E699" s="2"/>
      <c r="F699" s="3" t="str">
        <f aca="false">IFERROR(__xludf.dummyfunction("if($T699&lt;&gt;"""",REGEXEXTRACT(SUBSTITUTE ($T699,F$1&amp;"" CE"",""""), F$1&amp;""[\w &amp;]*, (\d+\.\d+)""),"""")
"),"")</f>
        <v/>
      </c>
      <c r="G699" s="3" t="str">
        <f aca="false">IFERROR(__xludf.dummyfunction("if($T699&lt;&gt;"""",REGEXEXTRACT($T699, G$1&amp;""[\w &amp;]*, (\d+\.\d+)""),"""")
"),"")</f>
        <v/>
      </c>
      <c r="H699" s="3"/>
      <c r="I699" s="3" t="str">
        <f aca="false">IFERROR(__xludf.dummyfunction("if($T699&lt;&gt;"""",REGEXEXTRACT(SUBSTITUTE ($T699,I$1&amp;"" CE"",""""), I$1&amp;""[\w &amp;]*, (\d+\.\d+)""),"""")
"),"")</f>
        <v/>
      </c>
      <c r="J699" s="3" t="str">
        <f aca="false">IFERROR(__xludf.dummyfunction("if($T699&lt;&gt;"""",REGEXEXTRACT($T699, J$1&amp;""[\w &amp;]*, (\d+\.\d+)""),"""")
"),"")</f>
        <v/>
      </c>
      <c r="K699" s="3"/>
      <c r="L699" s="3" t="str">
        <f aca="false">IFERROR(__xludf.dummyfunction("if($T699&lt;&gt;"""",REGEXEXTRACT(SUBSTITUTE ($T699,L$1&amp;"" CE"",""""), L$1&amp;""[\w &amp;]*, (\d+\.\d+)""),"""")
"),"")</f>
        <v/>
      </c>
      <c r="M699" s="3" t="str">
        <f aca="false">IFERROR(__xludf.dummyfunction("if($T699&lt;&gt;"""",REGEXEXTRACT($T699, M$1&amp;""[\w &amp;]*, (\d+\.\d+)""),"""")
"),"")</f>
        <v/>
      </c>
      <c r="N699" s="3" t="str">
        <f aca="false">IFERROR(__xludf.dummyfunction("if($T699&lt;&gt;"""",REGEXEXTRACT(SUBSTITUTE ($T699,N$1&amp;"" CE"",""""), N$1&amp;""[\w &amp;]*, (\d+\.\d+)""),"""")
"),"")</f>
        <v/>
      </c>
      <c r="O699" s="3" t="str">
        <f aca="false">IFERROR(__xludf.dummyfunction("if($T699&lt;&gt;"""",REGEXEXTRACT($T699, O$1&amp;""[\w &amp;]*, (\d+\.\d+)""),"""")
"),"")</f>
        <v/>
      </c>
      <c r="P699" s="2"/>
      <c r="Q699" s="2"/>
      <c r="R699" s="2"/>
      <c r="S699" s="2"/>
      <c r="T699" s="5"/>
    </row>
    <row r="700" customFormat="false" ht="15.75" hidden="false" customHeight="false" outlineLevel="0" collapsed="false">
      <c r="A700" s="4"/>
      <c r="B700" s="2"/>
      <c r="C700" s="2"/>
      <c r="D700" s="2"/>
      <c r="E700" s="2"/>
      <c r="F700" s="3" t="str">
        <f aca="false">IFERROR(__xludf.dummyfunction("if($T700&lt;&gt;"""",REGEXEXTRACT(SUBSTITUTE ($T700,F$1&amp;"" CE"",""""), F$1&amp;""[\w &amp;]*, (\d+\.\d+)""),"""")
"),"")</f>
        <v/>
      </c>
      <c r="G700" s="3" t="str">
        <f aca="false">IFERROR(__xludf.dummyfunction("if($T700&lt;&gt;"""",REGEXEXTRACT($T700, G$1&amp;""[\w &amp;]*, (\d+\.\d+)""),"""")
"),"")</f>
        <v/>
      </c>
      <c r="H700" s="3"/>
      <c r="I700" s="3" t="str">
        <f aca="false">IFERROR(__xludf.dummyfunction("if($T700&lt;&gt;"""",REGEXEXTRACT(SUBSTITUTE ($T700,I$1&amp;"" CE"",""""), I$1&amp;""[\w &amp;]*, (\d+\.\d+)""),"""")
"),"")</f>
        <v/>
      </c>
      <c r="J700" s="3" t="str">
        <f aca="false">IFERROR(__xludf.dummyfunction("if($T700&lt;&gt;"""",REGEXEXTRACT($T700, J$1&amp;""[\w &amp;]*, (\d+\.\d+)""),"""")
"),"")</f>
        <v/>
      </c>
      <c r="K700" s="3"/>
      <c r="L700" s="3" t="str">
        <f aca="false">IFERROR(__xludf.dummyfunction("if($T700&lt;&gt;"""",REGEXEXTRACT(SUBSTITUTE ($T700,L$1&amp;"" CE"",""""), L$1&amp;""[\w &amp;]*, (\d+\.\d+)""),"""")
"),"")</f>
        <v/>
      </c>
      <c r="M700" s="3" t="str">
        <f aca="false">IFERROR(__xludf.dummyfunction("if($T700&lt;&gt;"""",REGEXEXTRACT($T700, M$1&amp;""[\w &amp;]*, (\d+\.\d+)""),"""")
"),"")</f>
        <v/>
      </c>
      <c r="N700" s="3" t="str">
        <f aca="false">IFERROR(__xludf.dummyfunction("if($T700&lt;&gt;"""",REGEXEXTRACT(SUBSTITUTE ($T700,N$1&amp;"" CE"",""""), N$1&amp;""[\w &amp;]*, (\d+\.\d+)""),"""")
"),"")</f>
        <v/>
      </c>
      <c r="O700" s="3" t="str">
        <f aca="false">IFERROR(__xludf.dummyfunction("if($T700&lt;&gt;"""",REGEXEXTRACT($T700, O$1&amp;""[\w &amp;]*, (\d+\.\d+)""),"""")
"),"")</f>
        <v/>
      </c>
      <c r="P700" s="2"/>
      <c r="Q700" s="2"/>
      <c r="R700" s="2"/>
      <c r="S700" s="2"/>
      <c r="T700" s="5"/>
    </row>
    <row r="701" customFormat="false" ht="15.75" hidden="false" customHeight="false" outlineLevel="0" collapsed="false">
      <c r="A701" s="4"/>
      <c r="B701" s="2"/>
      <c r="C701" s="2"/>
      <c r="D701" s="2"/>
      <c r="E701" s="2"/>
      <c r="F701" s="3" t="str">
        <f aca="false">IFERROR(__xludf.dummyfunction("if($T701&lt;&gt;"""",REGEXEXTRACT(SUBSTITUTE ($T701,F$1&amp;"" CE"",""""), F$1&amp;""[\w &amp;]*, (\d+\.\d+)""),"""")
"),"")</f>
        <v/>
      </c>
      <c r="G701" s="3" t="str">
        <f aca="false">IFERROR(__xludf.dummyfunction("if($T701&lt;&gt;"""",REGEXEXTRACT($T701, G$1&amp;""[\w &amp;]*, (\d+\.\d+)""),"""")
"),"")</f>
        <v/>
      </c>
      <c r="H701" s="3"/>
      <c r="I701" s="3" t="str">
        <f aca="false">IFERROR(__xludf.dummyfunction("if($T701&lt;&gt;"""",REGEXEXTRACT(SUBSTITUTE ($T701,I$1&amp;"" CE"",""""), I$1&amp;""[\w &amp;]*, (\d+\.\d+)""),"""")
"),"")</f>
        <v/>
      </c>
      <c r="J701" s="3" t="str">
        <f aca="false">IFERROR(__xludf.dummyfunction("if($T701&lt;&gt;"""",REGEXEXTRACT($T701, J$1&amp;""[\w &amp;]*, (\d+\.\d+)""),"""")
"),"")</f>
        <v/>
      </c>
      <c r="K701" s="3"/>
      <c r="L701" s="3" t="str">
        <f aca="false">IFERROR(__xludf.dummyfunction("if($T701&lt;&gt;"""",REGEXEXTRACT(SUBSTITUTE ($T701,L$1&amp;"" CE"",""""), L$1&amp;""[\w &amp;]*, (\d+\.\d+)""),"""")
"),"")</f>
        <v/>
      </c>
      <c r="M701" s="3" t="str">
        <f aca="false">IFERROR(__xludf.dummyfunction("if($T701&lt;&gt;"""",REGEXEXTRACT($T701, M$1&amp;""[\w &amp;]*, (\d+\.\d+)""),"""")
"),"")</f>
        <v/>
      </c>
      <c r="N701" s="3" t="str">
        <f aca="false">IFERROR(__xludf.dummyfunction("if($T701&lt;&gt;"""",REGEXEXTRACT(SUBSTITUTE ($T701,N$1&amp;"" CE"",""""), N$1&amp;""[\w &amp;]*, (\d+\.\d+)""),"""")
"),"")</f>
        <v/>
      </c>
      <c r="O701" s="3" t="str">
        <f aca="false">IFERROR(__xludf.dummyfunction("if($T701&lt;&gt;"""",REGEXEXTRACT($T701, O$1&amp;""[\w &amp;]*, (\d+\.\d+)""),"""")
"),"")</f>
        <v/>
      </c>
      <c r="P701" s="2"/>
      <c r="Q701" s="2"/>
      <c r="R701" s="2"/>
      <c r="S701" s="2"/>
      <c r="T701" s="5"/>
    </row>
    <row r="702" customFormat="false" ht="15.75" hidden="false" customHeight="false" outlineLevel="0" collapsed="false">
      <c r="A702" s="4"/>
      <c r="B702" s="2"/>
      <c r="C702" s="2"/>
      <c r="D702" s="2"/>
      <c r="E702" s="2"/>
      <c r="F702" s="3" t="str">
        <f aca="false">IFERROR(__xludf.dummyfunction("if($T702&lt;&gt;"""",REGEXEXTRACT(SUBSTITUTE ($T702,F$1&amp;"" CE"",""""), F$1&amp;""[\w &amp;]*, (\d+\.\d+)""),"""")
"),"")</f>
        <v/>
      </c>
      <c r="G702" s="3" t="str">
        <f aca="false">IFERROR(__xludf.dummyfunction("if($T702&lt;&gt;"""",REGEXEXTRACT($T702, G$1&amp;""[\w &amp;]*, (\d+\.\d+)""),"""")
"),"")</f>
        <v/>
      </c>
      <c r="H702" s="3"/>
      <c r="I702" s="3" t="str">
        <f aca="false">IFERROR(__xludf.dummyfunction("if($T702&lt;&gt;"""",REGEXEXTRACT(SUBSTITUTE ($T702,I$1&amp;"" CE"",""""), I$1&amp;""[\w &amp;]*, (\d+\.\d+)""),"""")
"),"")</f>
        <v/>
      </c>
      <c r="J702" s="3" t="str">
        <f aca="false">IFERROR(__xludf.dummyfunction("if($T702&lt;&gt;"""",REGEXEXTRACT($T702, J$1&amp;""[\w &amp;]*, (\d+\.\d+)""),"""")
"),"")</f>
        <v/>
      </c>
      <c r="K702" s="3"/>
      <c r="L702" s="3" t="str">
        <f aca="false">IFERROR(__xludf.dummyfunction("if($T702&lt;&gt;"""",REGEXEXTRACT(SUBSTITUTE ($T702,L$1&amp;"" CE"",""""), L$1&amp;""[\w &amp;]*, (\d+\.\d+)""),"""")
"),"")</f>
        <v/>
      </c>
      <c r="M702" s="3" t="str">
        <f aca="false">IFERROR(__xludf.dummyfunction("if($T702&lt;&gt;"""",REGEXEXTRACT($T702, M$1&amp;""[\w &amp;]*, (\d+\.\d+)""),"""")
"),"")</f>
        <v/>
      </c>
      <c r="N702" s="3" t="str">
        <f aca="false">IFERROR(__xludf.dummyfunction("if($T702&lt;&gt;"""",REGEXEXTRACT(SUBSTITUTE ($T702,N$1&amp;"" CE"",""""), N$1&amp;""[\w &amp;]*, (\d+\.\d+)""),"""")
"),"")</f>
        <v/>
      </c>
      <c r="O702" s="3" t="str">
        <f aca="false">IFERROR(__xludf.dummyfunction("if($T702&lt;&gt;"""",REGEXEXTRACT($T702, O$1&amp;""[\w &amp;]*, (\d+\.\d+)""),"""")
"),"")</f>
        <v/>
      </c>
      <c r="P702" s="2"/>
      <c r="Q702" s="2"/>
      <c r="R702" s="2"/>
      <c r="S702" s="2"/>
      <c r="T702" s="5"/>
    </row>
    <row r="703" customFormat="false" ht="15.75" hidden="false" customHeight="false" outlineLevel="0" collapsed="false">
      <c r="A703" s="4"/>
      <c r="B703" s="2"/>
      <c r="C703" s="2"/>
      <c r="D703" s="2"/>
      <c r="E703" s="2"/>
      <c r="F703" s="3" t="str">
        <f aca="false">IFERROR(__xludf.dummyfunction("if($T703&lt;&gt;"""",REGEXEXTRACT(SUBSTITUTE ($T703,F$1&amp;"" CE"",""""), F$1&amp;""[\w &amp;]*, (\d+\.\d+)""),"""")
"),"")</f>
        <v/>
      </c>
      <c r="G703" s="3" t="str">
        <f aca="false">IFERROR(__xludf.dummyfunction("if($T703&lt;&gt;"""",REGEXEXTRACT($T703, G$1&amp;""[\w &amp;]*, (\d+\.\d+)""),"""")
"),"")</f>
        <v/>
      </c>
      <c r="H703" s="3"/>
      <c r="I703" s="3" t="str">
        <f aca="false">IFERROR(__xludf.dummyfunction("if($T703&lt;&gt;"""",REGEXEXTRACT(SUBSTITUTE ($T703,I$1&amp;"" CE"",""""), I$1&amp;""[\w &amp;]*, (\d+\.\d+)""),"""")
"),"")</f>
        <v/>
      </c>
      <c r="J703" s="3" t="str">
        <f aca="false">IFERROR(__xludf.dummyfunction("if($T703&lt;&gt;"""",REGEXEXTRACT($T703, J$1&amp;""[\w &amp;]*, (\d+\.\d+)""),"""")
"),"")</f>
        <v/>
      </c>
      <c r="K703" s="3"/>
      <c r="L703" s="3" t="str">
        <f aca="false">IFERROR(__xludf.dummyfunction("if($T703&lt;&gt;"""",REGEXEXTRACT(SUBSTITUTE ($T703,L$1&amp;"" CE"",""""), L$1&amp;""[\w &amp;]*, (\d+\.\d+)""),"""")
"),"")</f>
        <v/>
      </c>
      <c r="M703" s="3" t="str">
        <f aca="false">IFERROR(__xludf.dummyfunction("if($T703&lt;&gt;"""",REGEXEXTRACT($T703, M$1&amp;""[\w &amp;]*, (\d+\.\d+)""),"""")
"),"")</f>
        <v/>
      </c>
      <c r="N703" s="3" t="str">
        <f aca="false">IFERROR(__xludf.dummyfunction("if($T703&lt;&gt;"""",REGEXEXTRACT(SUBSTITUTE ($T703,N$1&amp;"" CE"",""""), N$1&amp;""[\w &amp;]*, (\d+\.\d+)""),"""")
"),"")</f>
        <v/>
      </c>
      <c r="O703" s="3" t="str">
        <f aca="false">IFERROR(__xludf.dummyfunction("if($T703&lt;&gt;"""",REGEXEXTRACT($T703, O$1&amp;""[\w &amp;]*, (\d+\.\d+)""),"""")
"),"")</f>
        <v/>
      </c>
      <c r="P703" s="2"/>
      <c r="Q703" s="2"/>
      <c r="R703" s="2"/>
      <c r="S703" s="2"/>
      <c r="T703" s="5"/>
    </row>
    <row r="704" customFormat="false" ht="15.75" hidden="false" customHeight="false" outlineLevel="0" collapsed="false">
      <c r="A704" s="4"/>
      <c r="B704" s="2"/>
      <c r="C704" s="2"/>
      <c r="D704" s="2"/>
      <c r="E704" s="2"/>
      <c r="F704" s="3" t="str">
        <f aca="false">IFERROR(__xludf.dummyfunction("if($T704&lt;&gt;"""",REGEXEXTRACT(SUBSTITUTE ($T704,F$1&amp;"" CE"",""""), F$1&amp;""[\w &amp;]*, (\d+\.\d+)""),"""")
"),"")</f>
        <v/>
      </c>
      <c r="G704" s="3" t="str">
        <f aca="false">IFERROR(__xludf.dummyfunction("if($T704&lt;&gt;"""",REGEXEXTRACT($T704, G$1&amp;""[\w &amp;]*, (\d+\.\d+)""),"""")
"),"")</f>
        <v/>
      </c>
      <c r="H704" s="3"/>
      <c r="I704" s="3" t="str">
        <f aca="false">IFERROR(__xludf.dummyfunction("if($T704&lt;&gt;"""",REGEXEXTRACT(SUBSTITUTE ($T704,I$1&amp;"" CE"",""""), I$1&amp;""[\w &amp;]*, (\d+\.\d+)""),"""")
"),"")</f>
        <v/>
      </c>
      <c r="J704" s="3" t="str">
        <f aca="false">IFERROR(__xludf.dummyfunction("if($T704&lt;&gt;"""",REGEXEXTRACT($T704, J$1&amp;""[\w &amp;]*, (\d+\.\d+)""),"""")
"),"")</f>
        <v/>
      </c>
      <c r="K704" s="3"/>
      <c r="L704" s="3" t="str">
        <f aca="false">IFERROR(__xludf.dummyfunction("if($T704&lt;&gt;"""",REGEXEXTRACT(SUBSTITUTE ($T704,L$1&amp;"" CE"",""""), L$1&amp;""[\w &amp;]*, (\d+\.\d+)""),"""")
"),"")</f>
        <v/>
      </c>
      <c r="M704" s="3" t="str">
        <f aca="false">IFERROR(__xludf.dummyfunction("if($T704&lt;&gt;"""",REGEXEXTRACT($T704, M$1&amp;""[\w &amp;]*, (\d+\.\d+)""),"""")
"),"")</f>
        <v/>
      </c>
      <c r="N704" s="3" t="str">
        <f aca="false">IFERROR(__xludf.dummyfunction("if($T704&lt;&gt;"""",REGEXEXTRACT(SUBSTITUTE ($T704,N$1&amp;"" CE"",""""), N$1&amp;""[\w &amp;]*, (\d+\.\d+)""),"""")
"),"")</f>
        <v/>
      </c>
      <c r="O704" s="3" t="str">
        <f aca="false">IFERROR(__xludf.dummyfunction("if($T704&lt;&gt;"""",REGEXEXTRACT($T704, O$1&amp;""[\w &amp;]*, (\d+\.\d+)""),"""")
"),"")</f>
        <v/>
      </c>
      <c r="P704" s="2"/>
      <c r="Q704" s="2"/>
      <c r="R704" s="2"/>
      <c r="S704" s="2"/>
      <c r="T704" s="5"/>
    </row>
    <row r="705" customFormat="false" ht="15.75" hidden="false" customHeight="false" outlineLevel="0" collapsed="false">
      <c r="A705" s="4"/>
      <c r="B705" s="2"/>
      <c r="C705" s="2"/>
      <c r="D705" s="2"/>
      <c r="E705" s="2"/>
      <c r="F705" s="3" t="str">
        <f aca="false">IFERROR(__xludf.dummyfunction("if($T705&lt;&gt;"""",REGEXEXTRACT(SUBSTITUTE ($T705,F$1&amp;"" CE"",""""), F$1&amp;""[\w &amp;]*, (\d+\.\d+)""),"""")
"),"")</f>
        <v/>
      </c>
      <c r="G705" s="3" t="str">
        <f aca="false">IFERROR(__xludf.dummyfunction("if($T705&lt;&gt;"""",REGEXEXTRACT($T705, G$1&amp;""[\w &amp;]*, (\d+\.\d+)""),"""")
"),"")</f>
        <v/>
      </c>
      <c r="H705" s="3"/>
      <c r="I705" s="3" t="str">
        <f aca="false">IFERROR(__xludf.dummyfunction("if($T705&lt;&gt;"""",REGEXEXTRACT(SUBSTITUTE ($T705,I$1&amp;"" CE"",""""), I$1&amp;""[\w &amp;]*, (\d+\.\d+)""),"""")
"),"")</f>
        <v/>
      </c>
      <c r="J705" s="3" t="str">
        <f aca="false">IFERROR(__xludf.dummyfunction("if($T705&lt;&gt;"""",REGEXEXTRACT($T705, J$1&amp;""[\w &amp;]*, (\d+\.\d+)""),"""")
"),"")</f>
        <v/>
      </c>
      <c r="K705" s="3"/>
      <c r="L705" s="3" t="str">
        <f aca="false">IFERROR(__xludf.dummyfunction("if($T705&lt;&gt;"""",REGEXEXTRACT(SUBSTITUTE ($T705,L$1&amp;"" CE"",""""), L$1&amp;""[\w &amp;]*, (\d+\.\d+)""),"""")
"),"")</f>
        <v/>
      </c>
      <c r="M705" s="3" t="str">
        <f aca="false">IFERROR(__xludf.dummyfunction("if($T705&lt;&gt;"""",REGEXEXTRACT($T705, M$1&amp;""[\w &amp;]*, (\d+\.\d+)""),"""")
"),"")</f>
        <v/>
      </c>
      <c r="N705" s="3" t="str">
        <f aca="false">IFERROR(__xludf.dummyfunction("if($T705&lt;&gt;"""",REGEXEXTRACT(SUBSTITUTE ($T705,N$1&amp;"" CE"",""""), N$1&amp;""[\w &amp;]*, (\d+\.\d+)""),"""")
"),"")</f>
        <v/>
      </c>
      <c r="O705" s="3" t="str">
        <f aca="false">IFERROR(__xludf.dummyfunction("if($T705&lt;&gt;"""",REGEXEXTRACT($T705, O$1&amp;""[\w &amp;]*, (\d+\.\d+)""),"""")
"),"")</f>
        <v/>
      </c>
      <c r="P705" s="2"/>
      <c r="Q705" s="2"/>
      <c r="R705" s="2"/>
      <c r="S705" s="2"/>
      <c r="T705" s="5"/>
    </row>
    <row r="706" customFormat="false" ht="15.75" hidden="false" customHeight="false" outlineLevel="0" collapsed="false">
      <c r="A706" s="4"/>
      <c r="B706" s="2"/>
      <c r="C706" s="2"/>
      <c r="D706" s="2"/>
      <c r="E706" s="2"/>
      <c r="F706" s="3" t="str">
        <f aca="false">IFERROR(__xludf.dummyfunction("if($T706&lt;&gt;"""",REGEXEXTRACT(SUBSTITUTE ($T706,F$1&amp;"" CE"",""""), F$1&amp;""[\w &amp;]*, (\d+\.\d+)""),"""")
"),"")</f>
        <v/>
      </c>
      <c r="G706" s="3" t="str">
        <f aca="false">IFERROR(__xludf.dummyfunction("if($T706&lt;&gt;"""",REGEXEXTRACT($T706, G$1&amp;""[\w &amp;]*, (\d+\.\d+)""),"""")
"),"")</f>
        <v/>
      </c>
      <c r="H706" s="3"/>
      <c r="I706" s="3" t="str">
        <f aca="false">IFERROR(__xludf.dummyfunction("if($T706&lt;&gt;"""",REGEXEXTRACT(SUBSTITUTE ($T706,I$1&amp;"" CE"",""""), I$1&amp;""[\w &amp;]*, (\d+\.\d+)""),"""")
"),"")</f>
        <v/>
      </c>
      <c r="J706" s="3" t="str">
        <f aca="false">IFERROR(__xludf.dummyfunction("if($T706&lt;&gt;"""",REGEXEXTRACT($T706, J$1&amp;""[\w &amp;]*, (\d+\.\d+)""),"""")
"),"")</f>
        <v/>
      </c>
      <c r="K706" s="3"/>
      <c r="L706" s="3" t="str">
        <f aca="false">IFERROR(__xludf.dummyfunction("if($T706&lt;&gt;"""",REGEXEXTRACT(SUBSTITUTE ($T706,L$1&amp;"" CE"",""""), L$1&amp;""[\w &amp;]*, (\d+\.\d+)""),"""")
"),"")</f>
        <v/>
      </c>
      <c r="M706" s="3" t="str">
        <f aca="false">IFERROR(__xludf.dummyfunction("if($T706&lt;&gt;"""",REGEXEXTRACT($T706, M$1&amp;""[\w &amp;]*, (\d+\.\d+)""),"""")
"),"")</f>
        <v/>
      </c>
      <c r="N706" s="3" t="str">
        <f aca="false">IFERROR(__xludf.dummyfunction("if($T706&lt;&gt;"""",REGEXEXTRACT(SUBSTITUTE ($T706,N$1&amp;"" CE"",""""), N$1&amp;""[\w &amp;]*, (\d+\.\d+)""),"""")
"),"")</f>
        <v/>
      </c>
      <c r="O706" s="3" t="str">
        <f aca="false">IFERROR(__xludf.dummyfunction("if($T706&lt;&gt;"""",REGEXEXTRACT($T706, O$1&amp;""[\w &amp;]*, (\d+\.\d+)""),"""")
"),"")</f>
        <v/>
      </c>
      <c r="P706" s="2"/>
      <c r="Q706" s="2"/>
      <c r="R706" s="2"/>
      <c r="S706" s="2"/>
      <c r="T706" s="5"/>
    </row>
    <row r="707" customFormat="false" ht="15.75" hidden="false" customHeight="false" outlineLevel="0" collapsed="false">
      <c r="A707" s="4"/>
      <c r="B707" s="2"/>
      <c r="C707" s="2"/>
      <c r="D707" s="2"/>
      <c r="E707" s="2"/>
      <c r="F707" s="3" t="str">
        <f aca="false">IFERROR(__xludf.dummyfunction("if($T707&lt;&gt;"""",REGEXEXTRACT(SUBSTITUTE ($T707,F$1&amp;"" CE"",""""), F$1&amp;""[\w &amp;]*, (\d+\.\d+)""),"""")
"),"")</f>
        <v/>
      </c>
      <c r="G707" s="3" t="str">
        <f aca="false">IFERROR(__xludf.dummyfunction("if($T707&lt;&gt;"""",REGEXEXTRACT($T707, G$1&amp;""[\w &amp;]*, (\d+\.\d+)""),"""")
"),"")</f>
        <v/>
      </c>
      <c r="H707" s="3"/>
      <c r="I707" s="3" t="str">
        <f aca="false">IFERROR(__xludf.dummyfunction("if($T707&lt;&gt;"""",REGEXEXTRACT(SUBSTITUTE ($T707,I$1&amp;"" CE"",""""), I$1&amp;""[\w &amp;]*, (\d+\.\d+)""),"""")
"),"")</f>
        <v/>
      </c>
      <c r="J707" s="3" t="str">
        <f aca="false">IFERROR(__xludf.dummyfunction("if($T707&lt;&gt;"""",REGEXEXTRACT($T707, J$1&amp;""[\w &amp;]*, (\d+\.\d+)""),"""")
"),"")</f>
        <v/>
      </c>
      <c r="K707" s="3"/>
      <c r="L707" s="3" t="str">
        <f aca="false">IFERROR(__xludf.dummyfunction("if($T707&lt;&gt;"""",REGEXEXTRACT(SUBSTITUTE ($T707,L$1&amp;"" CE"",""""), L$1&amp;""[\w &amp;]*, (\d+\.\d+)""),"""")
"),"")</f>
        <v/>
      </c>
      <c r="M707" s="3" t="str">
        <f aca="false">IFERROR(__xludf.dummyfunction("if($T707&lt;&gt;"""",REGEXEXTRACT($T707, M$1&amp;""[\w &amp;]*, (\d+\.\d+)""),"""")
"),"")</f>
        <v/>
      </c>
      <c r="N707" s="3" t="str">
        <f aca="false">IFERROR(__xludf.dummyfunction("if($T707&lt;&gt;"""",REGEXEXTRACT(SUBSTITUTE ($T707,N$1&amp;"" CE"",""""), N$1&amp;""[\w &amp;]*, (\d+\.\d+)""),"""")
"),"")</f>
        <v/>
      </c>
      <c r="O707" s="3" t="str">
        <f aca="false">IFERROR(__xludf.dummyfunction("if($T707&lt;&gt;"""",REGEXEXTRACT($T707, O$1&amp;""[\w &amp;]*, (\d+\.\d+)""),"""")
"),"")</f>
        <v/>
      </c>
      <c r="P707" s="2"/>
      <c r="Q707" s="2"/>
      <c r="R707" s="2"/>
      <c r="S707" s="2"/>
      <c r="T707" s="5"/>
    </row>
    <row r="708" customFormat="false" ht="15.75" hidden="false" customHeight="false" outlineLevel="0" collapsed="false">
      <c r="A708" s="4"/>
      <c r="B708" s="2"/>
      <c r="C708" s="2"/>
      <c r="D708" s="2"/>
      <c r="E708" s="2"/>
      <c r="F708" s="3" t="str">
        <f aca="false">IFERROR(__xludf.dummyfunction("if($T708&lt;&gt;"""",REGEXEXTRACT(SUBSTITUTE ($T708,F$1&amp;"" CE"",""""), F$1&amp;""[\w &amp;]*, (\d+\.\d+)""),"""")
"),"")</f>
        <v/>
      </c>
      <c r="G708" s="3" t="str">
        <f aca="false">IFERROR(__xludf.dummyfunction("if($T708&lt;&gt;"""",REGEXEXTRACT($T708, G$1&amp;""[\w &amp;]*, (\d+\.\d+)""),"""")
"),"")</f>
        <v/>
      </c>
      <c r="H708" s="3"/>
      <c r="I708" s="3" t="str">
        <f aca="false">IFERROR(__xludf.dummyfunction("if($T708&lt;&gt;"""",REGEXEXTRACT(SUBSTITUTE ($T708,I$1&amp;"" CE"",""""), I$1&amp;""[\w &amp;]*, (\d+\.\d+)""),"""")
"),"")</f>
        <v/>
      </c>
      <c r="J708" s="3" t="str">
        <f aca="false">IFERROR(__xludf.dummyfunction("if($T708&lt;&gt;"""",REGEXEXTRACT($T708, J$1&amp;""[\w &amp;]*, (\d+\.\d+)""),"""")
"),"")</f>
        <v/>
      </c>
      <c r="K708" s="3"/>
      <c r="L708" s="3" t="str">
        <f aca="false">IFERROR(__xludf.dummyfunction("if($T708&lt;&gt;"""",REGEXEXTRACT(SUBSTITUTE ($T708,L$1&amp;"" CE"",""""), L$1&amp;""[\w &amp;]*, (\d+\.\d+)""),"""")
"),"")</f>
        <v/>
      </c>
      <c r="M708" s="3" t="str">
        <f aca="false">IFERROR(__xludf.dummyfunction("if($T708&lt;&gt;"""",REGEXEXTRACT($T708, M$1&amp;""[\w &amp;]*, (\d+\.\d+)""),"""")
"),"")</f>
        <v/>
      </c>
      <c r="N708" s="3" t="str">
        <f aca="false">IFERROR(__xludf.dummyfunction("if($T708&lt;&gt;"""",REGEXEXTRACT(SUBSTITUTE ($T708,N$1&amp;"" CE"",""""), N$1&amp;""[\w &amp;]*, (\d+\.\d+)""),"""")
"),"")</f>
        <v/>
      </c>
      <c r="O708" s="3" t="str">
        <f aca="false">IFERROR(__xludf.dummyfunction("if($T708&lt;&gt;"""",REGEXEXTRACT($T708, O$1&amp;""[\w &amp;]*, (\d+\.\d+)""),"""")
"),"")</f>
        <v/>
      </c>
      <c r="P708" s="2"/>
      <c r="Q708" s="2"/>
      <c r="R708" s="2"/>
      <c r="S708" s="2"/>
      <c r="T708" s="5"/>
    </row>
    <row r="709" customFormat="false" ht="15.75" hidden="false" customHeight="false" outlineLevel="0" collapsed="false">
      <c r="A709" s="4"/>
      <c r="B709" s="2"/>
      <c r="C709" s="2"/>
      <c r="D709" s="2"/>
      <c r="E709" s="2"/>
      <c r="F709" s="3" t="str">
        <f aca="false">IFERROR(__xludf.dummyfunction("if($T709&lt;&gt;"""",REGEXEXTRACT(SUBSTITUTE ($T709,F$1&amp;"" CE"",""""), F$1&amp;""[\w &amp;]*, (\d+\.\d+)""),"""")
"),"")</f>
        <v/>
      </c>
      <c r="G709" s="3" t="str">
        <f aca="false">IFERROR(__xludf.dummyfunction("if($T709&lt;&gt;"""",REGEXEXTRACT($T709, G$1&amp;""[\w &amp;]*, (\d+\.\d+)""),"""")
"),"")</f>
        <v/>
      </c>
      <c r="H709" s="3"/>
      <c r="I709" s="3" t="str">
        <f aca="false">IFERROR(__xludf.dummyfunction("if($T709&lt;&gt;"""",REGEXEXTRACT(SUBSTITUTE ($T709,I$1&amp;"" CE"",""""), I$1&amp;""[\w &amp;]*, (\d+\.\d+)""),"""")
"),"")</f>
        <v/>
      </c>
      <c r="J709" s="3" t="str">
        <f aca="false">IFERROR(__xludf.dummyfunction("if($T709&lt;&gt;"""",REGEXEXTRACT($T709, J$1&amp;""[\w &amp;]*, (\d+\.\d+)""),"""")
"),"")</f>
        <v/>
      </c>
      <c r="K709" s="3"/>
      <c r="L709" s="3" t="str">
        <f aca="false">IFERROR(__xludf.dummyfunction("if($T709&lt;&gt;"""",REGEXEXTRACT(SUBSTITUTE ($T709,L$1&amp;"" CE"",""""), L$1&amp;""[\w &amp;]*, (\d+\.\d+)""),"""")
"),"")</f>
        <v/>
      </c>
      <c r="M709" s="3" t="str">
        <f aca="false">IFERROR(__xludf.dummyfunction("if($T709&lt;&gt;"""",REGEXEXTRACT($T709, M$1&amp;""[\w &amp;]*, (\d+\.\d+)""),"""")
"),"")</f>
        <v/>
      </c>
      <c r="N709" s="3" t="str">
        <f aca="false">IFERROR(__xludf.dummyfunction("if($T709&lt;&gt;"""",REGEXEXTRACT(SUBSTITUTE ($T709,N$1&amp;"" CE"",""""), N$1&amp;""[\w &amp;]*, (\d+\.\d+)""),"""")
"),"")</f>
        <v/>
      </c>
      <c r="O709" s="3" t="str">
        <f aca="false">IFERROR(__xludf.dummyfunction("if($T709&lt;&gt;"""",REGEXEXTRACT($T709, O$1&amp;""[\w &amp;]*, (\d+\.\d+)""),"""")
"),"")</f>
        <v/>
      </c>
      <c r="P709" s="2"/>
      <c r="Q709" s="2"/>
      <c r="R709" s="2"/>
      <c r="S709" s="2"/>
      <c r="T709" s="5"/>
    </row>
    <row r="710" customFormat="false" ht="15.75" hidden="false" customHeight="false" outlineLevel="0" collapsed="false">
      <c r="A710" s="4"/>
      <c r="B710" s="2"/>
      <c r="C710" s="2"/>
      <c r="D710" s="2"/>
      <c r="E710" s="2"/>
      <c r="F710" s="3" t="str">
        <f aca="false">IFERROR(__xludf.dummyfunction("if($T710&lt;&gt;"""",REGEXEXTRACT(SUBSTITUTE ($T710,F$1&amp;"" CE"",""""), F$1&amp;""[\w &amp;]*, (\d+\.\d+)""),"""")
"),"")</f>
        <v/>
      </c>
      <c r="G710" s="3" t="str">
        <f aca="false">IFERROR(__xludf.dummyfunction("if($T710&lt;&gt;"""",REGEXEXTRACT($T710, G$1&amp;""[\w &amp;]*, (\d+\.\d+)""),"""")
"),"")</f>
        <v/>
      </c>
      <c r="H710" s="3"/>
      <c r="I710" s="3" t="str">
        <f aca="false">IFERROR(__xludf.dummyfunction("if($T710&lt;&gt;"""",REGEXEXTRACT(SUBSTITUTE ($T710,I$1&amp;"" CE"",""""), I$1&amp;""[\w &amp;]*, (\d+\.\d+)""),"""")
"),"")</f>
        <v/>
      </c>
      <c r="J710" s="3" t="str">
        <f aca="false">IFERROR(__xludf.dummyfunction("if($T710&lt;&gt;"""",REGEXEXTRACT($T710, J$1&amp;""[\w &amp;]*, (\d+\.\d+)""),"""")
"),"")</f>
        <v/>
      </c>
      <c r="K710" s="3"/>
      <c r="L710" s="3" t="str">
        <f aca="false">IFERROR(__xludf.dummyfunction("if($T710&lt;&gt;"""",REGEXEXTRACT(SUBSTITUTE ($T710,L$1&amp;"" CE"",""""), L$1&amp;""[\w &amp;]*, (\d+\.\d+)""),"""")
"),"")</f>
        <v/>
      </c>
      <c r="M710" s="3" t="str">
        <f aca="false">IFERROR(__xludf.dummyfunction("if($T710&lt;&gt;"""",REGEXEXTRACT($T710, M$1&amp;""[\w &amp;]*, (\d+\.\d+)""),"""")
"),"")</f>
        <v/>
      </c>
      <c r="N710" s="3" t="str">
        <f aca="false">IFERROR(__xludf.dummyfunction("if($T710&lt;&gt;"""",REGEXEXTRACT(SUBSTITUTE ($T710,N$1&amp;"" CE"",""""), N$1&amp;""[\w &amp;]*, (\d+\.\d+)""),"""")
"),"")</f>
        <v/>
      </c>
      <c r="O710" s="3" t="str">
        <f aca="false">IFERROR(__xludf.dummyfunction("if($T710&lt;&gt;"""",REGEXEXTRACT($T710, O$1&amp;""[\w &amp;]*, (\d+\.\d+)""),"""")
"),"")</f>
        <v/>
      </c>
      <c r="P710" s="2"/>
      <c r="Q710" s="2"/>
      <c r="R710" s="2"/>
      <c r="S710" s="2"/>
      <c r="T710" s="5"/>
    </row>
    <row r="711" customFormat="false" ht="15.75" hidden="false" customHeight="false" outlineLevel="0" collapsed="false">
      <c r="A711" s="4"/>
      <c r="B711" s="2"/>
      <c r="C711" s="2"/>
      <c r="D711" s="2"/>
      <c r="E711" s="2"/>
      <c r="F711" s="3" t="str">
        <f aca="false">IFERROR(__xludf.dummyfunction("if($T711&lt;&gt;"""",REGEXEXTRACT(SUBSTITUTE ($T711,F$1&amp;"" CE"",""""), F$1&amp;""[\w &amp;]*, (\d+\.\d+)""),"""")
"),"")</f>
        <v/>
      </c>
      <c r="G711" s="3" t="str">
        <f aca="false">IFERROR(__xludf.dummyfunction("if($T711&lt;&gt;"""",REGEXEXTRACT($T711, G$1&amp;""[\w &amp;]*, (\d+\.\d+)""),"""")
"),"")</f>
        <v/>
      </c>
      <c r="H711" s="3"/>
      <c r="I711" s="3" t="str">
        <f aca="false">IFERROR(__xludf.dummyfunction("if($T711&lt;&gt;"""",REGEXEXTRACT(SUBSTITUTE ($T711,I$1&amp;"" CE"",""""), I$1&amp;""[\w &amp;]*, (\d+\.\d+)""),"""")
"),"")</f>
        <v/>
      </c>
      <c r="J711" s="3" t="str">
        <f aca="false">IFERROR(__xludf.dummyfunction("if($T711&lt;&gt;"""",REGEXEXTRACT($T711, J$1&amp;""[\w &amp;]*, (\d+\.\d+)""),"""")
"),"")</f>
        <v/>
      </c>
      <c r="K711" s="3"/>
      <c r="L711" s="3" t="str">
        <f aca="false">IFERROR(__xludf.dummyfunction("if($T711&lt;&gt;"""",REGEXEXTRACT(SUBSTITUTE ($T711,L$1&amp;"" CE"",""""), L$1&amp;""[\w &amp;]*, (\d+\.\d+)""),"""")
"),"")</f>
        <v/>
      </c>
      <c r="M711" s="3" t="str">
        <f aca="false">IFERROR(__xludf.dummyfunction("if($T711&lt;&gt;"""",REGEXEXTRACT($T711, M$1&amp;""[\w &amp;]*, (\d+\.\d+)""),"""")
"),"")</f>
        <v/>
      </c>
      <c r="N711" s="3" t="str">
        <f aca="false">IFERROR(__xludf.dummyfunction("if($T711&lt;&gt;"""",REGEXEXTRACT(SUBSTITUTE ($T711,N$1&amp;"" CE"",""""), N$1&amp;""[\w &amp;]*, (\d+\.\d+)""),"""")
"),"")</f>
        <v/>
      </c>
      <c r="O711" s="3" t="str">
        <f aca="false">IFERROR(__xludf.dummyfunction("if($T711&lt;&gt;"""",REGEXEXTRACT($T711, O$1&amp;""[\w &amp;]*, (\d+\.\d+)""),"""")
"),"")</f>
        <v/>
      </c>
      <c r="P711" s="2"/>
      <c r="Q711" s="2"/>
      <c r="R711" s="2"/>
      <c r="S711" s="2"/>
      <c r="T711" s="5"/>
    </row>
    <row r="712" customFormat="false" ht="15.75" hidden="false" customHeight="false" outlineLevel="0" collapsed="false">
      <c r="A712" s="4"/>
      <c r="B712" s="2"/>
      <c r="C712" s="2"/>
      <c r="D712" s="2"/>
      <c r="E712" s="2"/>
      <c r="F712" s="3" t="str">
        <f aca="false">IFERROR(__xludf.dummyfunction("if($T712&lt;&gt;"""",REGEXEXTRACT(SUBSTITUTE ($T712,F$1&amp;"" CE"",""""), F$1&amp;""[\w &amp;]*, (\d+\.\d+)""),"""")
"),"")</f>
        <v/>
      </c>
      <c r="G712" s="3" t="str">
        <f aca="false">IFERROR(__xludf.dummyfunction("if($T712&lt;&gt;"""",REGEXEXTRACT($T712, G$1&amp;""[\w &amp;]*, (\d+\.\d+)""),"""")
"),"")</f>
        <v/>
      </c>
      <c r="H712" s="3"/>
      <c r="I712" s="3" t="str">
        <f aca="false">IFERROR(__xludf.dummyfunction("if($T712&lt;&gt;"""",REGEXEXTRACT(SUBSTITUTE ($T712,I$1&amp;"" CE"",""""), I$1&amp;""[\w &amp;]*, (\d+\.\d+)""),"""")
"),"")</f>
        <v/>
      </c>
      <c r="J712" s="3" t="str">
        <f aca="false">IFERROR(__xludf.dummyfunction("if($T712&lt;&gt;"""",REGEXEXTRACT($T712, J$1&amp;""[\w &amp;]*, (\d+\.\d+)""),"""")
"),"")</f>
        <v/>
      </c>
      <c r="K712" s="3"/>
      <c r="L712" s="3" t="str">
        <f aca="false">IFERROR(__xludf.dummyfunction("if($T712&lt;&gt;"""",REGEXEXTRACT(SUBSTITUTE ($T712,L$1&amp;"" CE"",""""), L$1&amp;""[\w &amp;]*, (\d+\.\d+)""),"""")
"),"")</f>
        <v/>
      </c>
      <c r="M712" s="3" t="str">
        <f aca="false">IFERROR(__xludf.dummyfunction("if($T712&lt;&gt;"""",REGEXEXTRACT($T712, M$1&amp;""[\w &amp;]*, (\d+\.\d+)""),"""")
"),"")</f>
        <v/>
      </c>
      <c r="N712" s="3" t="str">
        <f aca="false">IFERROR(__xludf.dummyfunction("if($T712&lt;&gt;"""",REGEXEXTRACT(SUBSTITUTE ($T712,N$1&amp;"" CE"",""""), N$1&amp;""[\w &amp;]*, (\d+\.\d+)""),"""")
"),"")</f>
        <v/>
      </c>
      <c r="O712" s="3" t="str">
        <f aca="false">IFERROR(__xludf.dummyfunction("if($T712&lt;&gt;"""",REGEXEXTRACT($T712, O$1&amp;""[\w &amp;]*, (\d+\.\d+)""),"""")
"),"")</f>
        <v/>
      </c>
      <c r="P712" s="2"/>
      <c r="Q712" s="2"/>
      <c r="R712" s="2"/>
      <c r="S712" s="2"/>
      <c r="T712" s="5"/>
    </row>
    <row r="713" customFormat="false" ht="15.75" hidden="false" customHeight="false" outlineLevel="0" collapsed="false">
      <c r="A713" s="4"/>
      <c r="B713" s="2"/>
      <c r="C713" s="2"/>
      <c r="D713" s="2"/>
      <c r="E713" s="2"/>
      <c r="F713" s="3" t="str">
        <f aca="false">IFERROR(__xludf.dummyfunction("if($T713&lt;&gt;"""",REGEXEXTRACT(SUBSTITUTE ($T713,F$1&amp;"" CE"",""""), F$1&amp;""[\w &amp;]*, (\d+\.\d+)""),"""")
"),"")</f>
        <v/>
      </c>
      <c r="G713" s="3" t="str">
        <f aca="false">IFERROR(__xludf.dummyfunction("if($T713&lt;&gt;"""",REGEXEXTRACT($T713, G$1&amp;""[\w &amp;]*, (\d+\.\d+)""),"""")
"),"")</f>
        <v/>
      </c>
      <c r="H713" s="3"/>
      <c r="I713" s="3" t="str">
        <f aca="false">IFERROR(__xludf.dummyfunction("if($T713&lt;&gt;"""",REGEXEXTRACT(SUBSTITUTE ($T713,I$1&amp;"" CE"",""""), I$1&amp;""[\w &amp;]*, (\d+\.\d+)""),"""")
"),"")</f>
        <v/>
      </c>
      <c r="J713" s="3" t="str">
        <f aca="false">IFERROR(__xludf.dummyfunction("if($T713&lt;&gt;"""",REGEXEXTRACT($T713, J$1&amp;""[\w &amp;]*, (\d+\.\d+)""),"""")
"),"")</f>
        <v/>
      </c>
      <c r="K713" s="3"/>
      <c r="L713" s="3" t="str">
        <f aca="false">IFERROR(__xludf.dummyfunction("if($T713&lt;&gt;"""",REGEXEXTRACT(SUBSTITUTE ($T713,L$1&amp;"" CE"",""""), L$1&amp;""[\w &amp;]*, (\d+\.\d+)""),"""")
"),"")</f>
        <v/>
      </c>
      <c r="M713" s="3" t="str">
        <f aca="false">IFERROR(__xludf.dummyfunction("if($T713&lt;&gt;"""",REGEXEXTRACT($T713, M$1&amp;""[\w &amp;]*, (\d+\.\d+)""),"""")
"),"")</f>
        <v/>
      </c>
      <c r="N713" s="3" t="str">
        <f aca="false">IFERROR(__xludf.dummyfunction("if($T713&lt;&gt;"""",REGEXEXTRACT(SUBSTITUTE ($T713,N$1&amp;"" CE"",""""), N$1&amp;""[\w &amp;]*, (\d+\.\d+)""),"""")
"),"")</f>
        <v/>
      </c>
      <c r="O713" s="3" t="str">
        <f aca="false">IFERROR(__xludf.dummyfunction("if($T713&lt;&gt;"""",REGEXEXTRACT($T713, O$1&amp;""[\w &amp;]*, (\d+\.\d+)""),"""")
"),"")</f>
        <v/>
      </c>
      <c r="P713" s="2"/>
      <c r="Q713" s="2"/>
      <c r="R713" s="2"/>
      <c r="S713" s="2"/>
      <c r="T713" s="5"/>
    </row>
    <row r="714" customFormat="false" ht="15.75" hidden="false" customHeight="false" outlineLevel="0" collapsed="false">
      <c r="A714" s="4"/>
      <c r="B714" s="2"/>
      <c r="C714" s="2"/>
      <c r="D714" s="2"/>
      <c r="E714" s="2"/>
      <c r="F714" s="3" t="str">
        <f aca="false">IFERROR(__xludf.dummyfunction("if($T714&lt;&gt;"""",REGEXEXTRACT(SUBSTITUTE ($T714,F$1&amp;"" CE"",""""), F$1&amp;""[\w &amp;]*, (\d+\.\d+)""),"""")
"),"")</f>
        <v/>
      </c>
      <c r="G714" s="3" t="str">
        <f aca="false">IFERROR(__xludf.dummyfunction("if($T714&lt;&gt;"""",REGEXEXTRACT($T714, G$1&amp;""[\w &amp;]*, (\d+\.\d+)""),"""")
"),"")</f>
        <v/>
      </c>
      <c r="H714" s="3"/>
      <c r="I714" s="3" t="str">
        <f aca="false">IFERROR(__xludf.dummyfunction("if($T714&lt;&gt;"""",REGEXEXTRACT(SUBSTITUTE ($T714,I$1&amp;"" CE"",""""), I$1&amp;""[\w &amp;]*, (\d+\.\d+)""),"""")
"),"")</f>
        <v/>
      </c>
      <c r="J714" s="3" t="str">
        <f aca="false">IFERROR(__xludf.dummyfunction("if($T714&lt;&gt;"""",REGEXEXTRACT($T714, J$1&amp;""[\w &amp;]*, (\d+\.\d+)""),"""")
"),"")</f>
        <v/>
      </c>
      <c r="K714" s="3"/>
      <c r="L714" s="3" t="str">
        <f aca="false">IFERROR(__xludf.dummyfunction("if($T714&lt;&gt;"""",REGEXEXTRACT(SUBSTITUTE ($T714,L$1&amp;"" CE"",""""), L$1&amp;""[\w &amp;]*, (\d+\.\d+)""),"""")
"),"")</f>
        <v/>
      </c>
      <c r="M714" s="3" t="str">
        <f aca="false">IFERROR(__xludf.dummyfunction("if($T714&lt;&gt;"""",REGEXEXTRACT($T714, M$1&amp;""[\w &amp;]*, (\d+\.\d+)""),"""")
"),"")</f>
        <v/>
      </c>
      <c r="N714" s="3" t="str">
        <f aca="false">IFERROR(__xludf.dummyfunction("if($T714&lt;&gt;"""",REGEXEXTRACT(SUBSTITUTE ($T714,N$1&amp;"" CE"",""""), N$1&amp;""[\w &amp;]*, (\d+\.\d+)""),"""")
"),"")</f>
        <v/>
      </c>
      <c r="O714" s="3" t="str">
        <f aca="false">IFERROR(__xludf.dummyfunction("if($T714&lt;&gt;"""",REGEXEXTRACT($T714, O$1&amp;""[\w &amp;]*, (\d+\.\d+)""),"""")
"),"")</f>
        <v/>
      </c>
      <c r="P714" s="2"/>
      <c r="Q714" s="2"/>
      <c r="R714" s="2"/>
      <c r="S714" s="2"/>
      <c r="T714" s="5"/>
    </row>
    <row r="715" customFormat="false" ht="15.75" hidden="false" customHeight="false" outlineLevel="0" collapsed="false">
      <c r="A715" s="4"/>
      <c r="B715" s="2"/>
      <c r="C715" s="2"/>
      <c r="D715" s="2"/>
      <c r="E715" s="2"/>
      <c r="F715" s="3" t="str">
        <f aca="false">IFERROR(__xludf.dummyfunction("if($T715&lt;&gt;"""",REGEXEXTRACT(SUBSTITUTE ($T715,F$1&amp;"" CE"",""""), F$1&amp;""[\w &amp;]*, (\d+\.\d+)""),"""")
"),"")</f>
        <v/>
      </c>
      <c r="G715" s="3" t="str">
        <f aca="false">IFERROR(__xludf.dummyfunction("if($T715&lt;&gt;"""",REGEXEXTRACT($T715, G$1&amp;""[\w &amp;]*, (\d+\.\d+)""),"""")
"),"")</f>
        <v/>
      </c>
      <c r="H715" s="3"/>
      <c r="I715" s="3" t="str">
        <f aca="false">IFERROR(__xludf.dummyfunction("if($T715&lt;&gt;"""",REGEXEXTRACT(SUBSTITUTE ($T715,I$1&amp;"" CE"",""""), I$1&amp;""[\w &amp;]*, (\d+\.\d+)""),"""")
"),"")</f>
        <v/>
      </c>
      <c r="J715" s="3" t="str">
        <f aca="false">IFERROR(__xludf.dummyfunction("if($T715&lt;&gt;"""",REGEXEXTRACT($T715, J$1&amp;""[\w &amp;]*, (\d+\.\d+)""),"""")
"),"")</f>
        <v/>
      </c>
      <c r="K715" s="3"/>
      <c r="L715" s="3" t="str">
        <f aca="false">IFERROR(__xludf.dummyfunction("if($T715&lt;&gt;"""",REGEXEXTRACT(SUBSTITUTE ($T715,L$1&amp;"" CE"",""""), L$1&amp;""[\w &amp;]*, (\d+\.\d+)""),"""")
"),"")</f>
        <v/>
      </c>
      <c r="M715" s="3" t="str">
        <f aca="false">IFERROR(__xludf.dummyfunction("if($T715&lt;&gt;"""",REGEXEXTRACT($T715, M$1&amp;""[\w &amp;]*, (\d+\.\d+)""),"""")
"),"")</f>
        <v/>
      </c>
      <c r="N715" s="3" t="str">
        <f aca="false">IFERROR(__xludf.dummyfunction("if($T715&lt;&gt;"""",REGEXEXTRACT(SUBSTITUTE ($T715,N$1&amp;"" CE"",""""), N$1&amp;""[\w &amp;]*, (\d+\.\d+)""),"""")
"),"")</f>
        <v/>
      </c>
      <c r="O715" s="3" t="str">
        <f aca="false">IFERROR(__xludf.dummyfunction("if($T715&lt;&gt;"""",REGEXEXTRACT($T715, O$1&amp;""[\w &amp;]*, (\d+\.\d+)""),"""")
"),"")</f>
        <v/>
      </c>
      <c r="P715" s="2"/>
      <c r="Q715" s="2"/>
      <c r="R715" s="2"/>
      <c r="S715" s="2"/>
      <c r="T715" s="5"/>
    </row>
    <row r="716" customFormat="false" ht="15.75" hidden="false" customHeight="false" outlineLevel="0" collapsed="false">
      <c r="A716" s="4"/>
      <c r="B716" s="2"/>
      <c r="C716" s="2"/>
      <c r="D716" s="2"/>
      <c r="E716" s="2"/>
      <c r="F716" s="3" t="str">
        <f aca="false">IFERROR(__xludf.dummyfunction("if($T716&lt;&gt;"""",REGEXEXTRACT(SUBSTITUTE ($T716,F$1&amp;"" CE"",""""), F$1&amp;""[\w &amp;]*, (\d+\.\d+)""),"""")
"),"")</f>
        <v/>
      </c>
      <c r="G716" s="3" t="str">
        <f aca="false">IFERROR(__xludf.dummyfunction("if($T716&lt;&gt;"""",REGEXEXTRACT($T716, G$1&amp;""[\w &amp;]*, (\d+\.\d+)""),"""")
"),"")</f>
        <v/>
      </c>
      <c r="H716" s="3"/>
      <c r="I716" s="3" t="str">
        <f aca="false">IFERROR(__xludf.dummyfunction("if($T716&lt;&gt;"""",REGEXEXTRACT(SUBSTITUTE ($T716,I$1&amp;"" CE"",""""), I$1&amp;""[\w &amp;]*, (\d+\.\d+)""),"""")
"),"")</f>
        <v/>
      </c>
      <c r="J716" s="3" t="str">
        <f aca="false">IFERROR(__xludf.dummyfunction("if($T716&lt;&gt;"""",REGEXEXTRACT($T716, J$1&amp;""[\w &amp;]*, (\d+\.\d+)""),"""")
"),"")</f>
        <v/>
      </c>
      <c r="K716" s="3"/>
      <c r="L716" s="3" t="str">
        <f aca="false">IFERROR(__xludf.dummyfunction("if($T716&lt;&gt;"""",REGEXEXTRACT(SUBSTITUTE ($T716,L$1&amp;"" CE"",""""), L$1&amp;""[\w &amp;]*, (\d+\.\d+)""),"""")
"),"")</f>
        <v/>
      </c>
      <c r="M716" s="3" t="str">
        <f aca="false">IFERROR(__xludf.dummyfunction("if($T716&lt;&gt;"""",REGEXEXTRACT($T716, M$1&amp;""[\w &amp;]*, (\d+\.\d+)""),"""")
"),"")</f>
        <v/>
      </c>
      <c r="N716" s="3" t="str">
        <f aca="false">IFERROR(__xludf.dummyfunction("if($T716&lt;&gt;"""",REGEXEXTRACT(SUBSTITUTE ($T716,N$1&amp;"" CE"",""""), N$1&amp;""[\w &amp;]*, (\d+\.\d+)""),"""")
"),"")</f>
        <v/>
      </c>
      <c r="O716" s="3" t="str">
        <f aca="false">IFERROR(__xludf.dummyfunction("if($T716&lt;&gt;"""",REGEXEXTRACT($T716, O$1&amp;""[\w &amp;]*, (\d+\.\d+)""),"""")
"),"")</f>
        <v/>
      </c>
      <c r="P716" s="2"/>
      <c r="Q716" s="2"/>
      <c r="R716" s="2"/>
      <c r="S716" s="2"/>
      <c r="T716" s="5"/>
    </row>
    <row r="717" customFormat="false" ht="15.75" hidden="false" customHeight="false" outlineLevel="0" collapsed="false">
      <c r="A717" s="4"/>
      <c r="B717" s="2"/>
      <c r="C717" s="2"/>
      <c r="D717" s="2"/>
      <c r="E717" s="2"/>
      <c r="F717" s="3" t="str">
        <f aca="false">IFERROR(__xludf.dummyfunction("if($T717&lt;&gt;"""",REGEXEXTRACT(SUBSTITUTE ($T717,F$1&amp;"" CE"",""""), F$1&amp;""[\w &amp;]*, (\d+\.\d+)""),"""")
"),"")</f>
        <v/>
      </c>
      <c r="G717" s="3" t="str">
        <f aca="false">IFERROR(__xludf.dummyfunction("if($T717&lt;&gt;"""",REGEXEXTRACT($T717, G$1&amp;""[\w &amp;]*, (\d+\.\d+)""),"""")
"),"")</f>
        <v/>
      </c>
      <c r="H717" s="3"/>
      <c r="I717" s="3" t="str">
        <f aca="false">IFERROR(__xludf.dummyfunction("if($T717&lt;&gt;"""",REGEXEXTRACT(SUBSTITUTE ($T717,I$1&amp;"" CE"",""""), I$1&amp;""[\w &amp;]*, (\d+\.\d+)""),"""")
"),"")</f>
        <v/>
      </c>
      <c r="J717" s="3" t="str">
        <f aca="false">IFERROR(__xludf.dummyfunction("if($T717&lt;&gt;"""",REGEXEXTRACT($T717, J$1&amp;""[\w &amp;]*, (\d+\.\d+)""),"""")
"),"")</f>
        <v/>
      </c>
      <c r="K717" s="3"/>
      <c r="L717" s="3" t="str">
        <f aca="false">IFERROR(__xludf.dummyfunction("if($T717&lt;&gt;"""",REGEXEXTRACT(SUBSTITUTE ($T717,L$1&amp;"" CE"",""""), L$1&amp;""[\w &amp;]*, (\d+\.\d+)""),"""")
"),"")</f>
        <v/>
      </c>
      <c r="M717" s="3" t="str">
        <f aca="false">IFERROR(__xludf.dummyfunction("if($T717&lt;&gt;"""",REGEXEXTRACT($T717, M$1&amp;""[\w &amp;]*, (\d+\.\d+)""),"""")
"),"")</f>
        <v/>
      </c>
      <c r="N717" s="3" t="str">
        <f aca="false">IFERROR(__xludf.dummyfunction("if($T717&lt;&gt;"""",REGEXEXTRACT(SUBSTITUTE ($T717,N$1&amp;"" CE"",""""), N$1&amp;""[\w &amp;]*, (\d+\.\d+)""),"""")
"),"")</f>
        <v/>
      </c>
      <c r="O717" s="3" t="str">
        <f aca="false">IFERROR(__xludf.dummyfunction("if($T717&lt;&gt;"""",REGEXEXTRACT($T717, O$1&amp;""[\w &amp;]*, (\d+\.\d+)""),"""")
"),"")</f>
        <v/>
      </c>
      <c r="P717" s="2"/>
      <c r="Q717" s="2"/>
      <c r="R717" s="2"/>
      <c r="S717" s="2"/>
      <c r="T717" s="5"/>
    </row>
    <row r="718" customFormat="false" ht="15.75" hidden="false" customHeight="false" outlineLevel="0" collapsed="false">
      <c r="A718" s="4"/>
      <c r="B718" s="2"/>
      <c r="C718" s="2"/>
      <c r="D718" s="2"/>
      <c r="E718" s="2"/>
      <c r="F718" s="3" t="str">
        <f aca="false">IFERROR(__xludf.dummyfunction("if($T718&lt;&gt;"""",REGEXEXTRACT(SUBSTITUTE ($T718,F$1&amp;"" CE"",""""), F$1&amp;""[\w &amp;]*, (\d+\.\d+)""),"""")
"),"")</f>
        <v/>
      </c>
      <c r="G718" s="3" t="str">
        <f aca="false">IFERROR(__xludf.dummyfunction("if($T718&lt;&gt;"""",REGEXEXTRACT($T718, G$1&amp;""[\w &amp;]*, (\d+\.\d+)""),"""")
"),"")</f>
        <v/>
      </c>
      <c r="H718" s="3"/>
      <c r="I718" s="3" t="str">
        <f aca="false">IFERROR(__xludf.dummyfunction("if($T718&lt;&gt;"""",REGEXEXTRACT(SUBSTITUTE ($T718,I$1&amp;"" CE"",""""), I$1&amp;""[\w &amp;]*, (\d+\.\d+)""),"""")
"),"")</f>
        <v/>
      </c>
      <c r="J718" s="3" t="str">
        <f aca="false">IFERROR(__xludf.dummyfunction("if($T718&lt;&gt;"""",REGEXEXTRACT($T718, J$1&amp;""[\w &amp;]*, (\d+\.\d+)""),"""")
"),"")</f>
        <v/>
      </c>
      <c r="K718" s="3"/>
      <c r="L718" s="3" t="str">
        <f aca="false">IFERROR(__xludf.dummyfunction("if($T718&lt;&gt;"""",REGEXEXTRACT(SUBSTITUTE ($T718,L$1&amp;"" CE"",""""), L$1&amp;""[\w &amp;]*, (\d+\.\d+)""),"""")
"),"")</f>
        <v/>
      </c>
      <c r="M718" s="3" t="str">
        <f aca="false">IFERROR(__xludf.dummyfunction("if($T718&lt;&gt;"""",REGEXEXTRACT($T718, M$1&amp;""[\w &amp;]*, (\d+\.\d+)""),"""")
"),"")</f>
        <v/>
      </c>
      <c r="N718" s="3" t="str">
        <f aca="false">IFERROR(__xludf.dummyfunction("if($T718&lt;&gt;"""",REGEXEXTRACT(SUBSTITUTE ($T718,N$1&amp;"" CE"",""""), N$1&amp;""[\w &amp;]*, (\d+\.\d+)""),"""")
"),"")</f>
        <v/>
      </c>
      <c r="O718" s="3" t="str">
        <f aca="false">IFERROR(__xludf.dummyfunction("if($T718&lt;&gt;"""",REGEXEXTRACT($T718, O$1&amp;""[\w &amp;]*, (\d+\.\d+)""),"""")
"),"")</f>
        <v/>
      </c>
      <c r="P718" s="2"/>
      <c r="Q718" s="2"/>
      <c r="R718" s="2"/>
      <c r="S718" s="2"/>
      <c r="T718" s="5"/>
    </row>
    <row r="719" customFormat="false" ht="15.75" hidden="false" customHeight="false" outlineLevel="0" collapsed="false">
      <c r="A719" s="4"/>
      <c r="B719" s="2"/>
      <c r="C719" s="2"/>
      <c r="D719" s="2"/>
      <c r="E719" s="2"/>
      <c r="F719" s="3" t="str">
        <f aca="false">IFERROR(__xludf.dummyfunction("if($T719&lt;&gt;"""",REGEXEXTRACT(SUBSTITUTE ($T719,F$1&amp;"" CE"",""""), F$1&amp;""[\w &amp;]*, (\d+\.\d+)""),"""")
"),"")</f>
        <v/>
      </c>
      <c r="G719" s="3" t="str">
        <f aca="false">IFERROR(__xludf.dummyfunction("if($T719&lt;&gt;"""",REGEXEXTRACT($T719, G$1&amp;""[\w &amp;]*, (\d+\.\d+)""),"""")
"),"")</f>
        <v/>
      </c>
      <c r="H719" s="3"/>
      <c r="I719" s="3" t="str">
        <f aca="false">IFERROR(__xludf.dummyfunction("if($T719&lt;&gt;"""",REGEXEXTRACT(SUBSTITUTE ($T719,I$1&amp;"" CE"",""""), I$1&amp;""[\w &amp;]*, (\d+\.\d+)""),"""")
"),"")</f>
        <v/>
      </c>
      <c r="J719" s="3" t="str">
        <f aca="false">IFERROR(__xludf.dummyfunction("if($T719&lt;&gt;"""",REGEXEXTRACT($T719, J$1&amp;""[\w &amp;]*, (\d+\.\d+)""),"""")
"),"")</f>
        <v/>
      </c>
      <c r="K719" s="3"/>
      <c r="L719" s="3" t="str">
        <f aca="false">IFERROR(__xludf.dummyfunction("if($T719&lt;&gt;"""",REGEXEXTRACT(SUBSTITUTE ($T719,L$1&amp;"" CE"",""""), L$1&amp;""[\w &amp;]*, (\d+\.\d+)""),"""")
"),"")</f>
        <v/>
      </c>
      <c r="M719" s="3" t="str">
        <f aca="false">IFERROR(__xludf.dummyfunction("if($T719&lt;&gt;"""",REGEXEXTRACT($T719, M$1&amp;""[\w &amp;]*, (\d+\.\d+)""),"""")
"),"")</f>
        <v/>
      </c>
      <c r="N719" s="3" t="str">
        <f aca="false">IFERROR(__xludf.dummyfunction("if($T719&lt;&gt;"""",REGEXEXTRACT(SUBSTITUTE ($T719,N$1&amp;"" CE"",""""), N$1&amp;""[\w &amp;]*, (\d+\.\d+)""),"""")
"),"")</f>
        <v/>
      </c>
      <c r="O719" s="3" t="str">
        <f aca="false">IFERROR(__xludf.dummyfunction("if($T719&lt;&gt;"""",REGEXEXTRACT($T719, O$1&amp;""[\w &amp;]*, (\d+\.\d+)""),"""")
"),"")</f>
        <v/>
      </c>
      <c r="P719" s="2"/>
      <c r="Q719" s="2"/>
      <c r="R719" s="2"/>
      <c r="S719" s="2"/>
      <c r="T719" s="5"/>
    </row>
    <row r="720" customFormat="false" ht="15.75" hidden="false" customHeight="false" outlineLevel="0" collapsed="false">
      <c r="A720" s="4"/>
      <c r="B720" s="2"/>
      <c r="C720" s="2"/>
      <c r="D720" s="2"/>
      <c r="E720" s="2"/>
      <c r="F720" s="3" t="str">
        <f aca="false">IFERROR(__xludf.dummyfunction("if($T720&lt;&gt;"""",REGEXEXTRACT(SUBSTITUTE ($T720,F$1&amp;"" CE"",""""), F$1&amp;""[\w &amp;]*, (\d+\.\d+)""),"""")
"),"")</f>
        <v/>
      </c>
      <c r="G720" s="3" t="str">
        <f aca="false">IFERROR(__xludf.dummyfunction("if($T720&lt;&gt;"""",REGEXEXTRACT($T720, G$1&amp;""[\w &amp;]*, (\d+\.\d+)""),"""")
"),"")</f>
        <v/>
      </c>
      <c r="H720" s="3"/>
      <c r="I720" s="3" t="str">
        <f aca="false">IFERROR(__xludf.dummyfunction("if($T720&lt;&gt;"""",REGEXEXTRACT(SUBSTITUTE ($T720,I$1&amp;"" CE"",""""), I$1&amp;""[\w &amp;]*, (\d+\.\d+)""),"""")
"),"")</f>
        <v/>
      </c>
      <c r="J720" s="3" t="str">
        <f aca="false">IFERROR(__xludf.dummyfunction("if($T720&lt;&gt;"""",REGEXEXTRACT($T720, J$1&amp;""[\w &amp;]*, (\d+\.\d+)""),"""")
"),"")</f>
        <v/>
      </c>
      <c r="K720" s="3"/>
      <c r="L720" s="3" t="str">
        <f aca="false">IFERROR(__xludf.dummyfunction("if($T720&lt;&gt;"""",REGEXEXTRACT(SUBSTITUTE ($T720,L$1&amp;"" CE"",""""), L$1&amp;""[\w &amp;]*, (\d+\.\d+)""),"""")
"),"")</f>
        <v/>
      </c>
      <c r="M720" s="3" t="str">
        <f aca="false">IFERROR(__xludf.dummyfunction("if($T720&lt;&gt;"""",REGEXEXTRACT($T720, M$1&amp;""[\w &amp;]*, (\d+\.\d+)""),"""")
"),"")</f>
        <v/>
      </c>
      <c r="N720" s="3" t="str">
        <f aca="false">IFERROR(__xludf.dummyfunction("if($T720&lt;&gt;"""",REGEXEXTRACT(SUBSTITUTE ($T720,N$1&amp;"" CE"",""""), N$1&amp;""[\w &amp;]*, (\d+\.\d+)""),"""")
"),"")</f>
        <v/>
      </c>
      <c r="O720" s="3" t="str">
        <f aca="false">IFERROR(__xludf.dummyfunction("if($T720&lt;&gt;"""",REGEXEXTRACT($T720, O$1&amp;""[\w &amp;]*, (\d+\.\d+)""),"""")
"),"")</f>
        <v/>
      </c>
      <c r="P720" s="2"/>
      <c r="Q720" s="2"/>
      <c r="R720" s="2"/>
      <c r="S720" s="2"/>
      <c r="T720" s="5"/>
    </row>
    <row r="721" customFormat="false" ht="15.75" hidden="false" customHeight="false" outlineLevel="0" collapsed="false">
      <c r="A721" s="4"/>
      <c r="B721" s="2"/>
      <c r="C721" s="2"/>
      <c r="D721" s="2"/>
      <c r="E721" s="2"/>
      <c r="F721" s="3" t="str">
        <f aca="false">IFERROR(__xludf.dummyfunction("if($T721&lt;&gt;"""",REGEXEXTRACT(SUBSTITUTE ($T721,F$1&amp;"" CE"",""""), F$1&amp;""[\w &amp;]*, (\d+\.\d+)""),"""")
"),"")</f>
        <v/>
      </c>
      <c r="G721" s="3" t="str">
        <f aca="false">IFERROR(__xludf.dummyfunction("if($T721&lt;&gt;"""",REGEXEXTRACT($T721, G$1&amp;""[\w &amp;]*, (\d+\.\d+)""),"""")
"),"")</f>
        <v/>
      </c>
      <c r="H721" s="3"/>
      <c r="I721" s="3" t="str">
        <f aca="false">IFERROR(__xludf.dummyfunction("if($T721&lt;&gt;"""",REGEXEXTRACT(SUBSTITUTE ($T721,I$1&amp;"" CE"",""""), I$1&amp;""[\w &amp;]*, (\d+\.\d+)""),"""")
"),"")</f>
        <v/>
      </c>
      <c r="J721" s="3" t="str">
        <f aca="false">IFERROR(__xludf.dummyfunction("if($T721&lt;&gt;"""",REGEXEXTRACT($T721, J$1&amp;""[\w &amp;]*, (\d+\.\d+)""),"""")
"),"")</f>
        <v/>
      </c>
      <c r="K721" s="3"/>
      <c r="L721" s="3" t="str">
        <f aca="false">IFERROR(__xludf.dummyfunction("if($T721&lt;&gt;"""",REGEXEXTRACT(SUBSTITUTE ($T721,L$1&amp;"" CE"",""""), L$1&amp;""[\w &amp;]*, (\d+\.\d+)""),"""")
"),"")</f>
        <v/>
      </c>
      <c r="M721" s="3" t="str">
        <f aca="false">IFERROR(__xludf.dummyfunction("if($T721&lt;&gt;"""",REGEXEXTRACT($T721, M$1&amp;""[\w &amp;]*, (\d+\.\d+)""),"""")
"),"")</f>
        <v/>
      </c>
      <c r="N721" s="3" t="str">
        <f aca="false">IFERROR(__xludf.dummyfunction("if($T721&lt;&gt;"""",REGEXEXTRACT(SUBSTITUTE ($T721,N$1&amp;"" CE"",""""), N$1&amp;""[\w &amp;]*, (\d+\.\d+)""),"""")
"),"")</f>
        <v/>
      </c>
      <c r="O721" s="3" t="str">
        <f aca="false">IFERROR(__xludf.dummyfunction("if($T721&lt;&gt;"""",REGEXEXTRACT($T721, O$1&amp;""[\w &amp;]*, (\d+\.\d+)""),"""")
"),"")</f>
        <v/>
      </c>
      <c r="P721" s="2"/>
      <c r="Q721" s="2"/>
      <c r="R721" s="2"/>
      <c r="S721" s="2"/>
      <c r="T721" s="5"/>
    </row>
    <row r="722" customFormat="false" ht="15.75" hidden="false" customHeight="false" outlineLevel="0" collapsed="false">
      <c r="A722" s="4"/>
      <c r="B722" s="2"/>
      <c r="C722" s="2"/>
      <c r="D722" s="2"/>
      <c r="E722" s="2"/>
      <c r="F722" s="3" t="str">
        <f aca="false">IFERROR(__xludf.dummyfunction("if($T722&lt;&gt;"""",REGEXEXTRACT(SUBSTITUTE ($T722,F$1&amp;"" CE"",""""), F$1&amp;""[\w &amp;]*, (\d+\.\d+)""),"""")
"),"")</f>
        <v/>
      </c>
      <c r="G722" s="3" t="str">
        <f aca="false">IFERROR(__xludf.dummyfunction("if($T722&lt;&gt;"""",REGEXEXTRACT($T722, G$1&amp;""[\w &amp;]*, (\d+\.\d+)""),"""")
"),"")</f>
        <v/>
      </c>
      <c r="H722" s="3"/>
      <c r="I722" s="3" t="str">
        <f aca="false">IFERROR(__xludf.dummyfunction("if($T722&lt;&gt;"""",REGEXEXTRACT(SUBSTITUTE ($T722,I$1&amp;"" CE"",""""), I$1&amp;""[\w &amp;]*, (\d+\.\d+)""),"""")
"),"")</f>
        <v/>
      </c>
      <c r="J722" s="3" t="str">
        <f aca="false">IFERROR(__xludf.dummyfunction("if($T722&lt;&gt;"""",REGEXEXTRACT($T722, J$1&amp;""[\w &amp;]*, (\d+\.\d+)""),"""")
"),"")</f>
        <v/>
      </c>
      <c r="K722" s="3"/>
      <c r="L722" s="3" t="str">
        <f aca="false">IFERROR(__xludf.dummyfunction("if($T722&lt;&gt;"""",REGEXEXTRACT(SUBSTITUTE ($T722,L$1&amp;"" CE"",""""), L$1&amp;""[\w &amp;]*, (\d+\.\d+)""),"""")
"),"")</f>
        <v/>
      </c>
      <c r="M722" s="3" t="str">
        <f aca="false">IFERROR(__xludf.dummyfunction("if($T722&lt;&gt;"""",REGEXEXTRACT($T722, M$1&amp;""[\w &amp;]*, (\d+\.\d+)""),"""")
"),"")</f>
        <v/>
      </c>
      <c r="N722" s="3" t="str">
        <f aca="false">IFERROR(__xludf.dummyfunction("if($T722&lt;&gt;"""",REGEXEXTRACT(SUBSTITUTE ($T722,N$1&amp;"" CE"",""""), N$1&amp;""[\w &amp;]*, (\d+\.\d+)""),"""")
"),"")</f>
        <v/>
      </c>
      <c r="O722" s="3" t="str">
        <f aca="false">IFERROR(__xludf.dummyfunction("if($T722&lt;&gt;"""",REGEXEXTRACT($T722, O$1&amp;""[\w &amp;]*, (\d+\.\d+)""),"""")
"),"")</f>
        <v/>
      </c>
      <c r="P722" s="2"/>
      <c r="Q722" s="2"/>
      <c r="R722" s="2"/>
      <c r="S722" s="2"/>
      <c r="T722" s="5"/>
    </row>
    <row r="723" customFormat="false" ht="15.75" hidden="false" customHeight="false" outlineLevel="0" collapsed="false">
      <c r="A723" s="4"/>
      <c r="B723" s="2"/>
      <c r="C723" s="2"/>
      <c r="D723" s="2"/>
      <c r="E723" s="2"/>
      <c r="F723" s="3" t="str">
        <f aca="false">IFERROR(__xludf.dummyfunction("if($T723&lt;&gt;"""",REGEXEXTRACT(SUBSTITUTE ($T723,F$1&amp;"" CE"",""""), F$1&amp;""[\w &amp;]*, (\d+\.\d+)""),"""")
"),"")</f>
        <v/>
      </c>
      <c r="G723" s="3" t="str">
        <f aca="false">IFERROR(__xludf.dummyfunction("if($T723&lt;&gt;"""",REGEXEXTRACT($T723, G$1&amp;""[\w &amp;]*, (\d+\.\d+)""),"""")
"),"")</f>
        <v/>
      </c>
      <c r="H723" s="3"/>
      <c r="I723" s="3" t="str">
        <f aca="false">IFERROR(__xludf.dummyfunction("if($T723&lt;&gt;"""",REGEXEXTRACT(SUBSTITUTE ($T723,I$1&amp;"" CE"",""""), I$1&amp;""[\w &amp;]*, (\d+\.\d+)""),"""")
"),"")</f>
        <v/>
      </c>
      <c r="J723" s="3" t="str">
        <f aca="false">IFERROR(__xludf.dummyfunction("if($T723&lt;&gt;"""",REGEXEXTRACT($T723, J$1&amp;""[\w &amp;]*, (\d+\.\d+)""),"""")
"),"")</f>
        <v/>
      </c>
      <c r="K723" s="3"/>
      <c r="L723" s="3" t="str">
        <f aca="false">IFERROR(__xludf.dummyfunction("if($T723&lt;&gt;"""",REGEXEXTRACT(SUBSTITUTE ($T723,L$1&amp;"" CE"",""""), L$1&amp;""[\w &amp;]*, (\d+\.\d+)""),"""")
"),"")</f>
        <v/>
      </c>
      <c r="M723" s="3" t="str">
        <f aca="false">IFERROR(__xludf.dummyfunction("if($T723&lt;&gt;"""",REGEXEXTRACT($T723, M$1&amp;""[\w &amp;]*, (\d+\.\d+)""),"""")
"),"")</f>
        <v/>
      </c>
      <c r="N723" s="3" t="str">
        <f aca="false">IFERROR(__xludf.dummyfunction("if($T723&lt;&gt;"""",REGEXEXTRACT(SUBSTITUTE ($T723,N$1&amp;"" CE"",""""), N$1&amp;""[\w &amp;]*, (\d+\.\d+)""),"""")
"),"")</f>
        <v/>
      </c>
      <c r="O723" s="3" t="str">
        <f aca="false">IFERROR(__xludf.dummyfunction("if($T723&lt;&gt;"""",REGEXEXTRACT($T723, O$1&amp;""[\w &amp;]*, (\d+\.\d+)""),"""")
"),"")</f>
        <v/>
      </c>
      <c r="P723" s="2"/>
      <c r="Q723" s="2"/>
      <c r="R723" s="2"/>
      <c r="S723" s="2"/>
      <c r="T723" s="5"/>
    </row>
    <row r="724" customFormat="false" ht="15.75" hidden="false" customHeight="false" outlineLevel="0" collapsed="false">
      <c r="A724" s="4"/>
      <c r="B724" s="2"/>
      <c r="C724" s="2"/>
      <c r="D724" s="2"/>
      <c r="E724" s="2"/>
      <c r="F724" s="3" t="str">
        <f aca="false">IFERROR(__xludf.dummyfunction("if($T724&lt;&gt;"""",REGEXEXTRACT(SUBSTITUTE ($T724,F$1&amp;"" CE"",""""), F$1&amp;""[\w &amp;]*, (\d+\.\d+)""),"""")
"),"")</f>
        <v/>
      </c>
      <c r="G724" s="3" t="str">
        <f aca="false">IFERROR(__xludf.dummyfunction("if($T724&lt;&gt;"""",REGEXEXTRACT($T724, G$1&amp;""[\w &amp;]*, (\d+\.\d+)""),"""")
"),"")</f>
        <v/>
      </c>
      <c r="H724" s="3"/>
      <c r="I724" s="3" t="str">
        <f aca="false">IFERROR(__xludf.dummyfunction("if($T724&lt;&gt;"""",REGEXEXTRACT(SUBSTITUTE ($T724,I$1&amp;"" CE"",""""), I$1&amp;""[\w &amp;]*, (\d+\.\d+)""),"""")
"),"")</f>
        <v/>
      </c>
      <c r="J724" s="3" t="str">
        <f aca="false">IFERROR(__xludf.dummyfunction("if($T724&lt;&gt;"""",REGEXEXTRACT($T724, J$1&amp;""[\w &amp;]*, (\d+\.\d+)""),"""")
"),"")</f>
        <v/>
      </c>
      <c r="K724" s="3"/>
      <c r="L724" s="3" t="str">
        <f aca="false">IFERROR(__xludf.dummyfunction("if($T724&lt;&gt;"""",REGEXEXTRACT(SUBSTITUTE ($T724,L$1&amp;"" CE"",""""), L$1&amp;""[\w &amp;]*, (\d+\.\d+)""),"""")
"),"")</f>
        <v/>
      </c>
      <c r="M724" s="3" t="str">
        <f aca="false">IFERROR(__xludf.dummyfunction("if($T724&lt;&gt;"""",REGEXEXTRACT($T724, M$1&amp;""[\w &amp;]*, (\d+\.\d+)""),"""")
"),"")</f>
        <v/>
      </c>
      <c r="N724" s="3" t="str">
        <f aca="false">IFERROR(__xludf.dummyfunction("if($T724&lt;&gt;"""",REGEXEXTRACT(SUBSTITUTE ($T724,N$1&amp;"" CE"",""""), N$1&amp;""[\w &amp;]*, (\d+\.\d+)""),"""")
"),"")</f>
        <v/>
      </c>
      <c r="O724" s="3" t="str">
        <f aca="false">IFERROR(__xludf.dummyfunction("if($T724&lt;&gt;"""",REGEXEXTRACT($T724, O$1&amp;""[\w &amp;]*, (\d+\.\d+)""),"""")
"),"")</f>
        <v/>
      </c>
      <c r="P724" s="2"/>
      <c r="Q724" s="2"/>
      <c r="R724" s="2"/>
      <c r="S724" s="2"/>
      <c r="T724" s="5"/>
    </row>
    <row r="725" customFormat="false" ht="15.75" hidden="false" customHeight="false" outlineLevel="0" collapsed="false">
      <c r="A725" s="4"/>
      <c r="B725" s="2"/>
      <c r="C725" s="2"/>
      <c r="D725" s="2"/>
      <c r="E725" s="2"/>
      <c r="F725" s="3" t="str">
        <f aca="false">IFERROR(__xludf.dummyfunction("if($T725&lt;&gt;"""",REGEXEXTRACT(SUBSTITUTE ($T725,F$1&amp;"" CE"",""""), F$1&amp;""[\w &amp;]*, (\d+\.\d+)""),"""")
"),"")</f>
        <v/>
      </c>
      <c r="G725" s="3" t="str">
        <f aca="false">IFERROR(__xludf.dummyfunction("if($T725&lt;&gt;"""",REGEXEXTRACT($T725, G$1&amp;""[\w &amp;]*, (\d+\.\d+)""),"""")
"),"")</f>
        <v/>
      </c>
      <c r="H725" s="3"/>
      <c r="I725" s="3" t="str">
        <f aca="false">IFERROR(__xludf.dummyfunction("if($T725&lt;&gt;"""",REGEXEXTRACT(SUBSTITUTE ($T725,I$1&amp;"" CE"",""""), I$1&amp;""[\w &amp;]*, (\d+\.\d+)""),"""")
"),"")</f>
        <v/>
      </c>
      <c r="J725" s="3" t="str">
        <f aca="false">IFERROR(__xludf.dummyfunction("if($T725&lt;&gt;"""",REGEXEXTRACT($T725, J$1&amp;""[\w &amp;]*, (\d+\.\d+)""),"""")
"),"")</f>
        <v/>
      </c>
      <c r="K725" s="3"/>
      <c r="L725" s="3" t="str">
        <f aca="false">IFERROR(__xludf.dummyfunction("if($T725&lt;&gt;"""",REGEXEXTRACT(SUBSTITUTE ($T725,L$1&amp;"" CE"",""""), L$1&amp;""[\w &amp;]*, (\d+\.\d+)""),"""")
"),"")</f>
        <v/>
      </c>
      <c r="M725" s="3" t="str">
        <f aca="false">IFERROR(__xludf.dummyfunction("if($T725&lt;&gt;"""",REGEXEXTRACT($T725, M$1&amp;""[\w &amp;]*, (\d+\.\d+)""),"""")
"),"")</f>
        <v/>
      </c>
      <c r="N725" s="3" t="str">
        <f aca="false">IFERROR(__xludf.dummyfunction("if($T725&lt;&gt;"""",REGEXEXTRACT(SUBSTITUTE ($T725,N$1&amp;"" CE"",""""), N$1&amp;""[\w &amp;]*, (\d+\.\d+)""),"""")
"),"")</f>
        <v/>
      </c>
      <c r="O725" s="3" t="str">
        <f aca="false">IFERROR(__xludf.dummyfunction("if($T725&lt;&gt;"""",REGEXEXTRACT($T725, O$1&amp;""[\w &amp;]*, (\d+\.\d+)""),"""")
"),"")</f>
        <v/>
      </c>
      <c r="P725" s="2"/>
      <c r="Q725" s="2"/>
      <c r="R725" s="2"/>
      <c r="S725" s="2"/>
      <c r="T725" s="5"/>
    </row>
    <row r="726" customFormat="false" ht="15.75" hidden="false" customHeight="false" outlineLevel="0" collapsed="false">
      <c r="A726" s="4"/>
      <c r="B726" s="2"/>
      <c r="C726" s="2"/>
      <c r="D726" s="2"/>
      <c r="E726" s="2"/>
      <c r="F726" s="3" t="str">
        <f aca="false">IFERROR(__xludf.dummyfunction("if($T726&lt;&gt;"""",REGEXEXTRACT(SUBSTITUTE ($T726,F$1&amp;"" CE"",""""), F$1&amp;""[\w &amp;]*, (\d+\.\d+)""),"""")
"),"")</f>
        <v/>
      </c>
      <c r="G726" s="3" t="str">
        <f aca="false">IFERROR(__xludf.dummyfunction("if($T726&lt;&gt;"""",REGEXEXTRACT($T726, G$1&amp;""[\w &amp;]*, (\d+\.\d+)""),"""")
"),"")</f>
        <v/>
      </c>
      <c r="H726" s="3"/>
      <c r="I726" s="3" t="str">
        <f aca="false">IFERROR(__xludf.dummyfunction("if($T726&lt;&gt;"""",REGEXEXTRACT(SUBSTITUTE ($T726,I$1&amp;"" CE"",""""), I$1&amp;""[\w &amp;]*, (\d+\.\d+)""),"""")
"),"")</f>
        <v/>
      </c>
      <c r="J726" s="3" t="str">
        <f aca="false">IFERROR(__xludf.dummyfunction("if($T726&lt;&gt;"""",REGEXEXTRACT($T726, J$1&amp;""[\w &amp;]*, (\d+\.\d+)""),"""")
"),"")</f>
        <v/>
      </c>
      <c r="K726" s="3"/>
      <c r="L726" s="3" t="str">
        <f aca="false">IFERROR(__xludf.dummyfunction("if($T726&lt;&gt;"""",REGEXEXTRACT(SUBSTITUTE ($T726,L$1&amp;"" CE"",""""), L$1&amp;""[\w &amp;]*, (\d+\.\d+)""),"""")
"),"")</f>
        <v/>
      </c>
      <c r="M726" s="3" t="str">
        <f aca="false">IFERROR(__xludf.dummyfunction("if($T726&lt;&gt;"""",REGEXEXTRACT($T726, M$1&amp;""[\w &amp;]*, (\d+\.\d+)""),"""")
"),"")</f>
        <v/>
      </c>
      <c r="N726" s="3" t="str">
        <f aca="false">IFERROR(__xludf.dummyfunction("if($T726&lt;&gt;"""",REGEXEXTRACT(SUBSTITUTE ($T726,N$1&amp;"" CE"",""""), N$1&amp;""[\w &amp;]*, (\d+\.\d+)""),"""")
"),"")</f>
        <v/>
      </c>
      <c r="O726" s="3" t="str">
        <f aca="false">IFERROR(__xludf.dummyfunction("if($T726&lt;&gt;"""",REGEXEXTRACT($T726, O$1&amp;""[\w &amp;]*, (\d+\.\d+)""),"""")
"),"")</f>
        <v/>
      </c>
      <c r="P726" s="2"/>
      <c r="Q726" s="2"/>
      <c r="R726" s="2"/>
      <c r="S726" s="2"/>
      <c r="T726" s="5"/>
    </row>
    <row r="727" customFormat="false" ht="15.75" hidden="false" customHeight="false" outlineLevel="0" collapsed="false">
      <c r="A727" s="4"/>
      <c r="B727" s="2"/>
      <c r="C727" s="2"/>
      <c r="D727" s="2"/>
      <c r="E727" s="2"/>
      <c r="F727" s="3" t="str">
        <f aca="false">IFERROR(__xludf.dummyfunction("if($T727&lt;&gt;"""",REGEXEXTRACT(SUBSTITUTE ($T727,F$1&amp;"" CE"",""""), F$1&amp;""[\w &amp;]*, (\d+\.\d+)""),"""")
"),"")</f>
        <v/>
      </c>
      <c r="G727" s="3" t="str">
        <f aca="false">IFERROR(__xludf.dummyfunction("if($T727&lt;&gt;"""",REGEXEXTRACT($T727, G$1&amp;""[\w &amp;]*, (\d+\.\d+)""),"""")
"),"")</f>
        <v/>
      </c>
      <c r="H727" s="3"/>
      <c r="I727" s="3" t="str">
        <f aca="false">IFERROR(__xludf.dummyfunction("if($T727&lt;&gt;"""",REGEXEXTRACT(SUBSTITUTE ($T727,I$1&amp;"" CE"",""""), I$1&amp;""[\w &amp;]*, (\d+\.\d+)""),"""")
"),"")</f>
        <v/>
      </c>
      <c r="J727" s="3" t="str">
        <f aca="false">IFERROR(__xludf.dummyfunction("if($T727&lt;&gt;"""",REGEXEXTRACT($T727, J$1&amp;""[\w &amp;]*, (\d+\.\d+)""),"""")
"),"")</f>
        <v/>
      </c>
      <c r="K727" s="3"/>
      <c r="L727" s="3" t="str">
        <f aca="false">IFERROR(__xludf.dummyfunction("if($T727&lt;&gt;"""",REGEXEXTRACT(SUBSTITUTE ($T727,L$1&amp;"" CE"",""""), L$1&amp;""[\w &amp;]*, (\d+\.\d+)""),"""")
"),"")</f>
        <v/>
      </c>
      <c r="M727" s="3" t="str">
        <f aca="false">IFERROR(__xludf.dummyfunction("if($T727&lt;&gt;"""",REGEXEXTRACT($T727, M$1&amp;""[\w &amp;]*, (\d+\.\d+)""),"""")
"),"")</f>
        <v/>
      </c>
      <c r="N727" s="3" t="str">
        <f aca="false">IFERROR(__xludf.dummyfunction("if($T727&lt;&gt;"""",REGEXEXTRACT(SUBSTITUTE ($T727,N$1&amp;"" CE"",""""), N$1&amp;""[\w &amp;]*, (\d+\.\d+)""),"""")
"),"")</f>
        <v/>
      </c>
      <c r="O727" s="3" t="str">
        <f aca="false">IFERROR(__xludf.dummyfunction("if($T727&lt;&gt;"""",REGEXEXTRACT($T727, O$1&amp;""[\w &amp;]*, (\d+\.\d+)""),"""")
"),"")</f>
        <v/>
      </c>
      <c r="P727" s="2"/>
      <c r="Q727" s="2"/>
      <c r="R727" s="2"/>
      <c r="S727" s="2"/>
      <c r="T727" s="5"/>
    </row>
    <row r="728" customFormat="false" ht="15.75" hidden="false" customHeight="false" outlineLevel="0" collapsed="false">
      <c r="A728" s="4"/>
      <c r="B728" s="2"/>
      <c r="C728" s="2"/>
      <c r="D728" s="2"/>
      <c r="E728" s="2"/>
      <c r="F728" s="3" t="str">
        <f aca="false">IFERROR(__xludf.dummyfunction("if($T728&lt;&gt;"""",REGEXEXTRACT(SUBSTITUTE ($T728,F$1&amp;"" CE"",""""), F$1&amp;""[\w &amp;]*, (\d+\.\d+)""),"""")
"),"")</f>
        <v/>
      </c>
      <c r="G728" s="3" t="str">
        <f aca="false">IFERROR(__xludf.dummyfunction("if($T728&lt;&gt;"""",REGEXEXTRACT($T728, G$1&amp;""[\w &amp;]*, (\d+\.\d+)""),"""")
"),"")</f>
        <v/>
      </c>
      <c r="H728" s="3"/>
      <c r="I728" s="3" t="str">
        <f aca="false">IFERROR(__xludf.dummyfunction("if($T728&lt;&gt;"""",REGEXEXTRACT(SUBSTITUTE ($T728,I$1&amp;"" CE"",""""), I$1&amp;""[\w &amp;]*, (\d+\.\d+)""),"""")
"),"")</f>
        <v/>
      </c>
      <c r="J728" s="3" t="str">
        <f aca="false">IFERROR(__xludf.dummyfunction("if($T728&lt;&gt;"""",REGEXEXTRACT($T728, J$1&amp;""[\w &amp;]*, (\d+\.\d+)""),"""")
"),"")</f>
        <v/>
      </c>
      <c r="K728" s="3"/>
      <c r="L728" s="3" t="str">
        <f aca="false">IFERROR(__xludf.dummyfunction("if($T728&lt;&gt;"""",REGEXEXTRACT(SUBSTITUTE ($T728,L$1&amp;"" CE"",""""), L$1&amp;""[\w &amp;]*, (\d+\.\d+)""),"""")
"),"")</f>
        <v/>
      </c>
      <c r="M728" s="3" t="str">
        <f aca="false">IFERROR(__xludf.dummyfunction("if($T728&lt;&gt;"""",REGEXEXTRACT($T728, M$1&amp;""[\w &amp;]*, (\d+\.\d+)""),"""")
"),"")</f>
        <v/>
      </c>
      <c r="N728" s="3" t="str">
        <f aca="false">IFERROR(__xludf.dummyfunction("if($T728&lt;&gt;"""",REGEXEXTRACT(SUBSTITUTE ($T728,N$1&amp;"" CE"",""""), N$1&amp;""[\w &amp;]*, (\d+\.\d+)""),"""")
"),"")</f>
        <v/>
      </c>
      <c r="O728" s="3" t="str">
        <f aca="false">IFERROR(__xludf.dummyfunction("if($T728&lt;&gt;"""",REGEXEXTRACT($T728, O$1&amp;""[\w &amp;]*, (\d+\.\d+)""),"""")
"),"")</f>
        <v/>
      </c>
      <c r="P728" s="2"/>
      <c r="Q728" s="2"/>
      <c r="R728" s="2"/>
      <c r="S728" s="2"/>
      <c r="T728" s="5"/>
    </row>
    <row r="729" customFormat="false" ht="15.75" hidden="false" customHeight="false" outlineLevel="0" collapsed="false">
      <c r="A729" s="4"/>
      <c r="B729" s="2"/>
      <c r="C729" s="2"/>
      <c r="D729" s="2"/>
      <c r="E729" s="2"/>
      <c r="F729" s="3" t="str">
        <f aca="false">IFERROR(__xludf.dummyfunction("if($T729&lt;&gt;"""",REGEXEXTRACT(SUBSTITUTE ($T729,F$1&amp;"" CE"",""""), F$1&amp;""[\w &amp;]*, (\d+\.\d+)""),"""")
"),"")</f>
        <v/>
      </c>
      <c r="G729" s="3" t="str">
        <f aca="false">IFERROR(__xludf.dummyfunction("if($T729&lt;&gt;"""",REGEXEXTRACT($T729, G$1&amp;""[\w &amp;]*, (\d+\.\d+)""),"""")
"),"")</f>
        <v/>
      </c>
      <c r="H729" s="3"/>
      <c r="I729" s="3" t="str">
        <f aca="false">IFERROR(__xludf.dummyfunction("if($T729&lt;&gt;"""",REGEXEXTRACT(SUBSTITUTE ($T729,I$1&amp;"" CE"",""""), I$1&amp;""[\w &amp;]*, (\d+\.\d+)""),"""")
"),"")</f>
        <v/>
      </c>
      <c r="J729" s="3" t="str">
        <f aca="false">IFERROR(__xludf.dummyfunction("if($T729&lt;&gt;"""",REGEXEXTRACT($T729, J$1&amp;""[\w &amp;]*, (\d+\.\d+)""),"""")
"),"")</f>
        <v/>
      </c>
      <c r="K729" s="3"/>
      <c r="L729" s="3" t="str">
        <f aca="false">IFERROR(__xludf.dummyfunction("if($T729&lt;&gt;"""",REGEXEXTRACT(SUBSTITUTE ($T729,L$1&amp;"" CE"",""""), L$1&amp;""[\w &amp;]*, (\d+\.\d+)""),"""")
"),"")</f>
        <v/>
      </c>
      <c r="M729" s="3" t="str">
        <f aca="false">IFERROR(__xludf.dummyfunction("if($T729&lt;&gt;"""",REGEXEXTRACT($T729, M$1&amp;""[\w &amp;]*, (\d+\.\d+)""),"""")
"),"")</f>
        <v/>
      </c>
      <c r="N729" s="3" t="str">
        <f aca="false">IFERROR(__xludf.dummyfunction("if($T729&lt;&gt;"""",REGEXEXTRACT(SUBSTITUTE ($T729,N$1&amp;"" CE"",""""), N$1&amp;""[\w &amp;]*, (\d+\.\d+)""),"""")
"),"")</f>
        <v/>
      </c>
      <c r="O729" s="3" t="str">
        <f aca="false">IFERROR(__xludf.dummyfunction("if($T729&lt;&gt;"""",REGEXEXTRACT($T729, O$1&amp;""[\w &amp;]*, (\d+\.\d+)""),"""")
"),"")</f>
        <v/>
      </c>
      <c r="P729" s="2"/>
      <c r="Q729" s="2"/>
      <c r="R729" s="2"/>
      <c r="S729" s="2"/>
      <c r="T729" s="5"/>
    </row>
    <row r="730" customFormat="false" ht="15.75" hidden="false" customHeight="false" outlineLevel="0" collapsed="false">
      <c r="A730" s="4"/>
      <c r="B730" s="2"/>
      <c r="C730" s="2"/>
      <c r="D730" s="2"/>
      <c r="E730" s="2"/>
      <c r="F730" s="3" t="str">
        <f aca="false">IFERROR(__xludf.dummyfunction("if($T730&lt;&gt;"""",REGEXEXTRACT(SUBSTITUTE ($T730,F$1&amp;"" CE"",""""), F$1&amp;""[\w &amp;]*, (\d+\.\d+)""),"""")
"),"")</f>
        <v/>
      </c>
      <c r="G730" s="3" t="str">
        <f aca="false">IFERROR(__xludf.dummyfunction("if($T730&lt;&gt;"""",REGEXEXTRACT($T730, G$1&amp;""[\w &amp;]*, (\d+\.\d+)""),"""")
"),"")</f>
        <v/>
      </c>
      <c r="H730" s="3"/>
      <c r="I730" s="3" t="str">
        <f aca="false">IFERROR(__xludf.dummyfunction("if($T730&lt;&gt;"""",REGEXEXTRACT(SUBSTITUTE ($T730,I$1&amp;"" CE"",""""), I$1&amp;""[\w &amp;]*, (\d+\.\d+)""),"""")
"),"")</f>
        <v/>
      </c>
      <c r="J730" s="3" t="str">
        <f aca="false">IFERROR(__xludf.dummyfunction("if($T730&lt;&gt;"""",REGEXEXTRACT($T730, J$1&amp;""[\w &amp;]*, (\d+\.\d+)""),"""")
"),"")</f>
        <v/>
      </c>
      <c r="K730" s="3"/>
      <c r="L730" s="3" t="str">
        <f aca="false">IFERROR(__xludf.dummyfunction("if($T730&lt;&gt;"""",REGEXEXTRACT(SUBSTITUTE ($T730,L$1&amp;"" CE"",""""), L$1&amp;""[\w &amp;]*, (\d+\.\d+)""),"""")
"),"")</f>
        <v/>
      </c>
      <c r="M730" s="3" t="str">
        <f aca="false">IFERROR(__xludf.dummyfunction("if($T730&lt;&gt;"""",REGEXEXTRACT($T730, M$1&amp;""[\w &amp;]*, (\d+\.\d+)""),"""")
"),"")</f>
        <v/>
      </c>
      <c r="N730" s="3" t="str">
        <f aca="false">IFERROR(__xludf.dummyfunction("if($T730&lt;&gt;"""",REGEXEXTRACT(SUBSTITUTE ($T730,N$1&amp;"" CE"",""""), N$1&amp;""[\w &amp;]*, (\d+\.\d+)""),"""")
"),"")</f>
        <v/>
      </c>
      <c r="O730" s="3" t="str">
        <f aca="false">IFERROR(__xludf.dummyfunction("if($T730&lt;&gt;"""",REGEXEXTRACT($T730, O$1&amp;""[\w &amp;]*, (\d+\.\d+)""),"""")
"),"")</f>
        <v/>
      </c>
      <c r="P730" s="2"/>
      <c r="Q730" s="2"/>
      <c r="R730" s="2"/>
      <c r="S730" s="2"/>
      <c r="T730" s="5"/>
    </row>
    <row r="731" customFormat="false" ht="15.75" hidden="false" customHeight="false" outlineLevel="0" collapsed="false">
      <c r="A731" s="4"/>
      <c r="B731" s="2"/>
      <c r="C731" s="2"/>
      <c r="D731" s="2"/>
      <c r="E731" s="2"/>
      <c r="F731" s="3" t="str">
        <f aca="false">IFERROR(__xludf.dummyfunction("if($T731&lt;&gt;"""",REGEXEXTRACT(SUBSTITUTE ($T731,F$1&amp;"" CE"",""""), F$1&amp;""[\w &amp;]*, (\d+\.\d+)""),"""")
"),"")</f>
        <v/>
      </c>
      <c r="G731" s="3" t="str">
        <f aca="false">IFERROR(__xludf.dummyfunction("if($T731&lt;&gt;"""",REGEXEXTRACT($T731, G$1&amp;""[\w &amp;]*, (\d+\.\d+)""),"""")
"),"")</f>
        <v/>
      </c>
      <c r="H731" s="3"/>
      <c r="I731" s="3" t="str">
        <f aca="false">IFERROR(__xludf.dummyfunction("if($T731&lt;&gt;"""",REGEXEXTRACT(SUBSTITUTE ($T731,I$1&amp;"" CE"",""""), I$1&amp;""[\w &amp;]*, (\d+\.\d+)""),"""")
"),"")</f>
        <v/>
      </c>
      <c r="J731" s="3" t="str">
        <f aca="false">IFERROR(__xludf.dummyfunction("if($T731&lt;&gt;"""",REGEXEXTRACT($T731, J$1&amp;""[\w &amp;]*, (\d+\.\d+)""),"""")
"),"")</f>
        <v/>
      </c>
      <c r="K731" s="3"/>
      <c r="L731" s="3" t="str">
        <f aca="false">IFERROR(__xludf.dummyfunction("if($T731&lt;&gt;"""",REGEXEXTRACT(SUBSTITUTE ($T731,L$1&amp;"" CE"",""""), L$1&amp;""[\w &amp;]*, (\d+\.\d+)""),"""")
"),"")</f>
        <v/>
      </c>
      <c r="M731" s="3" t="str">
        <f aca="false">IFERROR(__xludf.dummyfunction("if($T731&lt;&gt;"""",REGEXEXTRACT($T731, M$1&amp;""[\w &amp;]*, (\d+\.\d+)""),"""")
"),"")</f>
        <v/>
      </c>
      <c r="N731" s="3" t="str">
        <f aca="false">IFERROR(__xludf.dummyfunction("if($T731&lt;&gt;"""",REGEXEXTRACT(SUBSTITUTE ($T731,N$1&amp;"" CE"",""""), N$1&amp;""[\w &amp;]*, (\d+\.\d+)""),"""")
"),"")</f>
        <v/>
      </c>
      <c r="O731" s="3" t="str">
        <f aca="false">IFERROR(__xludf.dummyfunction("if($T731&lt;&gt;"""",REGEXEXTRACT($T731, O$1&amp;""[\w &amp;]*, (\d+\.\d+)""),"""")
"),"")</f>
        <v/>
      </c>
      <c r="P731" s="2"/>
      <c r="Q731" s="2"/>
      <c r="R731" s="2"/>
      <c r="S731" s="2"/>
      <c r="T731" s="5"/>
    </row>
    <row r="732" customFormat="false" ht="15.75" hidden="false" customHeight="false" outlineLevel="0" collapsed="false">
      <c r="A732" s="4"/>
      <c r="B732" s="2"/>
      <c r="C732" s="2"/>
      <c r="D732" s="2"/>
      <c r="E732" s="2"/>
      <c r="F732" s="3" t="str">
        <f aca="false">IFERROR(__xludf.dummyfunction("if($T732&lt;&gt;"""",REGEXEXTRACT(SUBSTITUTE ($T732,F$1&amp;"" CE"",""""), F$1&amp;""[\w &amp;]*, (\d+\.\d+)""),"""")
"),"")</f>
        <v/>
      </c>
      <c r="G732" s="3" t="str">
        <f aca="false">IFERROR(__xludf.dummyfunction("if($T732&lt;&gt;"""",REGEXEXTRACT($T732, G$1&amp;""[\w &amp;]*, (\d+\.\d+)""),"""")
"),"")</f>
        <v/>
      </c>
      <c r="H732" s="3"/>
      <c r="I732" s="3" t="str">
        <f aca="false">IFERROR(__xludf.dummyfunction("if($T732&lt;&gt;"""",REGEXEXTRACT(SUBSTITUTE ($T732,I$1&amp;"" CE"",""""), I$1&amp;""[\w &amp;]*, (\d+\.\d+)""),"""")
"),"")</f>
        <v/>
      </c>
      <c r="J732" s="3" t="str">
        <f aca="false">IFERROR(__xludf.dummyfunction("if($T732&lt;&gt;"""",REGEXEXTRACT($T732, J$1&amp;""[\w &amp;]*, (\d+\.\d+)""),"""")
"),"")</f>
        <v/>
      </c>
      <c r="K732" s="3"/>
      <c r="L732" s="3" t="str">
        <f aca="false">IFERROR(__xludf.dummyfunction("if($T732&lt;&gt;"""",REGEXEXTRACT(SUBSTITUTE ($T732,L$1&amp;"" CE"",""""), L$1&amp;""[\w &amp;]*, (\d+\.\d+)""),"""")
"),"")</f>
        <v/>
      </c>
      <c r="M732" s="3" t="str">
        <f aca="false">IFERROR(__xludf.dummyfunction("if($T732&lt;&gt;"""",REGEXEXTRACT($T732, M$1&amp;""[\w &amp;]*, (\d+\.\d+)""),"""")
"),"")</f>
        <v/>
      </c>
      <c r="N732" s="3" t="str">
        <f aca="false">IFERROR(__xludf.dummyfunction("if($T732&lt;&gt;"""",REGEXEXTRACT(SUBSTITUTE ($T732,N$1&amp;"" CE"",""""), N$1&amp;""[\w &amp;]*, (\d+\.\d+)""),"""")
"),"")</f>
        <v/>
      </c>
      <c r="O732" s="3" t="str">
        <f aca="false">IFERROR(__xludf.dummyfunction("if($T732&lt;&gt;"""",REGEXEXTRACT($T732, O$1&amp;""[\w &amp;]*, (\d+\.\d+)""),"""")
"),"")</f>
        <v/>
      </c>
      <c r="P732" s="2"/>
      <c r="Q732" s="2"/>
      <c r="R732" s="2"/>
      <c r="S732" s="2"/>
      <c r="T732" s="5"/>
    </row>
    <row r="733" customFormat="false" ht="15.75" hidden="false" customHeight="false" outlineLevel="0" collapsed="false">
      <c r="A733" s="4"/>
      <c r="B733" s="2"/>
      <c r="C733" s="2"/>
      <c r="D733" s="2"/>
      <c r="E733" s="2"/>
      <c r="F733" s="3" t="str">
        <f aca="false">IFERROR(__xludf.dummyfunction("if($T733&lt;&gt;"""",REGEXEXTRACT(SUBSTITUTE ($T733,F$1&amp;"" CE"",""""), F$1&amp;""[\w &amp;]*, (\d+\.\d+)""),"""")
"),"")</f>
        <v/>
      </c>
      <c r="G733" s="3" t="str">
        <f aca="false">IFERROR(__xludf.dummyfunction("if($T733&lt;&gt;"""",REGEXEXTRACT($T733, G$1&amp;""[\w &amp;]*, (\d+\.\d+)""),"""")
"),"")</f>
        <v/>
      </c>
      <c r="H733" s="3"/>
      <c r="I733" s="3" t="str">
        <f aca="false">IFERROR(__xludf.dummyfunction("if($T733&lt;&gt;"""",REGEXEXTRACT(SUBSTITUTE ($T733,I$1&amp;"" CE"",""""), I$1&amp;""[\w &amp;]*, (\d+\.\d+)""),"""")
"),"")</f>
        <v/>
      </c>
      <c r="J733" s="3" t="str">
        <f aca="false">IFERROR(__xludf.dummyfunction("if($T733&lt;&gt;"""",REGEXEXTRACT($T733, J$1&amp;""[\w &amp;]*, (\d+\.\d+)""),"""")
"),"")</f>
        <v/>
      </c>
      <c r="K733" s="3"/>
      <c r="L733" s="3" t="str">
        <f aca="false">IFERROR(__xludf.dummyfunction("if($T733&lt;&gt;"""",REGEXEXTRACT(SUBSTITUTE ($T733,L$1&amp;"" CE"",""""), L$1&amp;""[\w &amp;]*, (\d+\.\d+)""),"""")
"),"")</f>
        <v/>
      </c>
      <c r="M733" s="3" t="str">
        <f aca="false">IFERROR(__xludf.dummyfunction("if($T733&lt;&gt;"""",REGEXEXTRACT($T733, M$1&amp;""[\w &amp;]*, (\d+\.\d+)""),"""")
"),"")</f>
        <v/>
      </c>
      <c r="N733" s="3" t="str">
        <f aca="false">IFERROR(__xludf.dummyfunction("if($T733&lt;&gt;"""",REGEXEXTRACT(SUBSTITUTE ($T733,N$1&amp;"" CE"",""""), N$1&amp;""[\w &amp;]*, (\d+\.\d+)""),"""")
"),"")</f>
        <v/>
      </c>
      <c r="O733" s="3" t="str">
        <f aca="false">IFERROR(__xludf.dummyfunction("if($T733&lt;&gt;"""",REGEXEXTRACT($T733, O$1&amp;""[\w &amp;]*, (\d+\.\d+)""),"""")
"),"")</f>
        <v/>
      </c>
      <c r="P733" s="2"/>
      <c r="Q733" s="2"/>
      <c r="R733" s="2"/>
      <c r="S733" s="2"/>
      <c r="T733" s="5"/>
    </row>
    <row r="734" customFormat="false" ht="15.75" hidden="false" customHeight="false" outlineLevel="0" collapsed="false">
      <c r="A734" s="4"/>
      <c r="B734" s="2"/>
      <c r="C734" s="2"/>
      <c r="D734" s="2"/>
      <c r="E734" s="2"/>
      <c r="F734" s="3" t="str">
        <f aca="false">IFERROR(__xludf.dummyfunction("if($T734&lt;&gt;"""",REGEXEXTRACT(SUBSTITUTE ($T734,F$1&amp;"" CE"",""""), F$1&amp;""[\w &amp;]*, (\d+\.\d+)""),"""")
"),"")</f>
        <v/>
      </c>
      <c r="G734" s="3" t="str">
        <f aca="false">IFERROR(__xludf.dummyfunction("if($T734&lt;&gt;"""",REGEXEXTRACT($T734, G$1&amp;""[\w &amp;]*, (\d+\.\d+)""),"""")
"),"")</f>
        <v/>
      </c>
      <c r="H734" s="3"/>
      <c r="I734" s="3" t="str">
        <f aca="false">IFERROR(__xludf.dummyfunction("if($T734&lt;&gt;"""",REGEXEXTRACT(SUBSTITUTE ($T734,I$1&amp;"" CE"",""""), I$1&amp;""[\w &amp;]*, (\d+\.\d+)""),"""")
"),"")</f>
        <v/>
      </c>
      <c r="J734" s="3" t="str">
        <f aca="false">IFERROR(__xludf.dummyfunction("if($T734&lt;&gt;"""",REGEXEXTRACT($T734, J$1&amp;""[\w &amp;]*, (\d+\.\d+)""),"""")
"),"")</f>
        <v/>
      </c>
      <c r="K734" s="3"/>
      <c r="L734" s="3" t="str">
        <f aca="false">IFERROR(__xludf.dummyfunction("if($T734&lt;&gt;"""",REGEXEXTRACT(SUBSTITUTE ($T734,L$1&amp;"" CE"",""""), L$1&amp;""[\w &amp;]*, (\d+\.\d+)""),"""")
"),"")</f>
        <v/>
      </c>
      <c r="M734" s="3" t="str">
        <f aca="false">IFERROR(__xludf.dummyfunction("if($T734&lt;&gt;"""",REGEXEXTRACT($T734, M$1&amp;""[\w &amp;]*, (\d+\.\d+)""),"""")
"),"")</f>
        <v/>
      </c>
      <c r="N734" s="3" t="str">
        <f aca="false">IFERROR(__xludf.dummyfunction("if($T734&lt;&gt;"""",REGEXEXTRACT(SUBSTITUTE ($T734,N$1&amp;"" CE"",""""), N$1&amp;""[\w &amp;]*, (\d+\.\d+)""),"""")
"),"")</f>
        <v/>
      </c>
      <c r="O734" s="3" t="str">
        <f aca="false">IFERROR(__xludf.dummyfunction("if($T734&lt;&gt;"""",REGEXEXTRACT($T734, O$1&amp;""[\w &amp;]*, (\d+\.\d+)""),"""")
"),"")</f>
        <v/>
      </c>
      <c r="P734" s="2"/>
      <c r="Q734" s="2"/>
      <c r="R734" s="2"/>
      <c r="S734" s="2"/>
      <c r="T734" s="5"/>
    </row>
    <row r="735" customFormat="false" ht="15.75" hidden="false" customHeight="false" outlineLevel="0" collapsed="false">
      <c r="A735" s="4"/>
      <c r="B735" s="2"/>
      <c r="C735" s="2"/>
      <c r="D735" s="2"/>
      <c r="E735" s="2"/>
      <c r="F735" s="3" t="str">
        <f aca="false">IFERROR(__xludf.dummyfunction("if($T735&lt;&gt;"""",REGEXEXTRACT(SUBSTITUTE ($T735,F$1&amp;"" CE"",""""), F$1&amp;""[\w &amp;]*, (\d+\.\d+)""),"""")
"),"")</f>
        <v/>
      </c>
      <c r="G735" s="3" t="str">
        <f aca="false">IFERROR(__xludf.dummyfunction("if($T735&lt;&gt;"""",REGEXEXTRACT($T735, G$1&amp;""[\w &amp;]*, (\d+\.\d+)""),"""")
"),"")</f>
        <v/>
      </c>
      <c r="H735" s="3"/>
      <c r="I735" s="3" t="str">
        <f aca="false">IFERROR(__xludf.dummyfunction("if($T735&lt;&gt;"""",REGEXEXTRACT(SUBSTITUTE ($T735,I$1&amp;"" CE"",""""), I$1&amp;""[\w &amp;]*, (\d+\.\d+)""),"""")
"),"")</f>
        <v/>
      </c>
      <c r="J735" s="3" t="str">
        <f aca="false">IFERROR(__xludf.dummyfunction("if($T735&lt;&gt;"""",REGEXEXTRACT($T735, J$1&amp;""[\w &amp;]*, (\d+\.\d+)""),"""")
"),"")</f>
        <v/>
      </c>
      <c r="K735" s="3"/>
      <c r="L735" s="3" t="str">
        <f aca="false">IFERROR(__xludf.dummyfunction("if($T735&lt;&gt;"""",REGEXEXTRACT(SUBSTITUTE ($T735,L$1&amp;"" CE"",""""), L$1&amp;""[\w &amp;]*, (\d+\.\d+)""),"""")
"),"")</f>
        <v/>
      </c>
      <c r="M735" s="3" t="str">
        <f aca="false">IFERROR(__xludf.dummyfunction("if($T735&lt;&gt;"""",REGEXEXTRACT($T735, M$1&amp;""[\w &amp;]*, (\d+\.\d+)""),"""")
"),"")</f>
        <v/>
      </c>
      <c r="N735" s="3" t="str">
        <f aca="false">IFERROR(__xludf.dummyfunction("if($T735&lt;&gt;"""",REGEXEXTRACT(SUBSTITUTE ($T735,N$1&amp;"" CE"",""""), N$1&amp;""[\w &amp;]*, (\d+\.\d+)""),"""")
"),"")</f>
        <v/>
      </c>
      <c r="O735" s="3" t="str">
        <f aca="false">IFERROR(__xludf.dummyfunction("if($T735&lt;&gt;"""",REGEXEXTRACT($T735, O$1&amp;""[\w &amp;]*, (\d+\.\d+)""),"""")
"),"")</f>
        <v/>
      </c>
      <c r="P735" s="2"/>
      <c r="Q735" s="2"/>
      <c r="R735" s="2"/>
      <c r="S735" s="2"/>
      <c r="T735" s="5"/>
    </row>
    <row r="736" customFormat="false" ht="15.75" hidden="false" customHeight="false" outlineLevel="0" collapsed="false">
      <c r="A736" s="4"/>
      <c r="B736" s="2"/>
      <c r="C736" s="2"/>
      <c r="D736" s="2"/>
      <c r="E736" s="2"/>
      <c r="F736" s="3" t="str">
        <f aca="false">IFERROR(__xludf.dummyfunction("if($T736&lt;&gt;"""",REGEXEXTRACT(SUBSTITUTE ($T736,F$1&amp;"" CE"",""""), F$1&amp;""[\w &amp;]*, (\d+\.\d+)""),"""")
"),"")</f>
        <v/>
      </c>
      <c r="G736" s="3" t="str">
        <f aca="false">IFERROR(__xludf.dummyfunction("if($T736&lt;&gt;"""",REGEXEXTRACT($T736, G$1&amp;""[\w &amp;]*, (\d+\.\d+)""),"""")
"),"")</f>
        <v/>
      </c>
      <c r="H736" s="3"/>
      <c r="I736" s="3" t="str">
        <f aca="false">IFERROR(__xludf.dummyfunction("if($T736&lt;&gt;"""",REGEXEXTRACT(SUBSTITUTE ($T736,I$1&amp;"" CE"",""""), I$1&amp;""[\w &amp;]*, (\d+\.\d+)""),"""")
"),"")</f>
        <v/>
      </c>
      <c r="J736" s="3" t="str">
        <f aca="false">IFERROR(__xludf.dummyfunction("if($T736&lt;&gt;"""",REGEXEXTRACT($T736, J$1&amp;""[\w &amp;]*, (\d+\.\d+)""),"""")
"),"")</f>
        <v/>
      </c>
      <c r="K736" s="3"/>
      <c r="L736" s="3" t="str">
        <f aca="false">IFERROR(__xludf.dummyfunction("if($T736&lt;&gt;"""",REGEXEXTRACT(SUBSTITUTE ($T736,L$1&amp;"" CE"",""""), L$1&amp;""[\w &amp;]*, (\d+\.\d+)""),"""")
"),"")</f>
        <v/>
      </c>
      <c r="M736" s="3" t="str">
        <f aca="false">IFERROR(__xludf.dummyfunction("if($T736&lt;&gt;"""",REGEXEXTRACT($T736, M$1&amp;""[\w &amp;]*, (\d+\.\d+)""),"""")
"),"")</f>
        <v/>
      </c>
      <c r="N736" s="3" t="str">
        <f aca="false">IFERROR(__xludf.dummyfunction("if($T736&lt;&gt;"""",REGEXEXTRACT(SUBSTITUTE ($T736,N$1&amp;"" CE"",""""), N$1&amp;""[\w &amp;]*, (\d+\.\d+)""),"""")
"),"")</f>
        <v/>
      </c>
      <c r="O736" s="3" t="str">
        <f aca="false">IFERROR(__xludf.dummyfunction("if($T736&lt;&gt;"""",REGEXEXTRACT($T736, O$1&amp;""[\w &amp;]*, (\d+\.\d+)""),"""")
"),"")</f>
        <v/>
      </c>
      <c r="P736" s="2"/>
      <c r="Q736" s="2"/>
      <c r="R736" s="2"/>
      <c r="S736" s="2"/>
      <c r="T736" s="5"/>
    </row>
    <row r="737" customFormat="false" ht="15.75" hidden="false" customHeight="false" outlineLevel="0" collapsed="false">
      <c r="A737" s="4"/>
      <c r="B737" s="2"/>
      <c r="C737" s="2"/>
      <c r="D737" s="2"/>
      <c r="E737" s="2"/>
      <c r="F737" s="3" t="str">
        <f aca="false">IFERROR(__xludf.dummyfunction("if($T737&lt;&gt;"""",REGEXEXTRACT(SUBSTITUTE ($T737,F$1&amp;"" CE"",""""), F$1&amp;""[\w &amp;]*, (\d+\.\d+)""),"""")
"),"")</f>
        <v/>
      </c>
      <c r="G737" s="3" t="str">
        <f aca="false">IFERROR(__xludf.dummyfunction("if($T737&lt;&gt;"""",REGEXEXTRACT($T737, G$1&amp;""[\w &amp;]*, (\d+\.\d+)""),"""")
"),"")</f>
        <v/>
      </c>
      <c r="H737" s="3"/>
      <c r="I737" s="3" t="str">
        <f aca="false">IFERROR(__xludf.dummyfunction("if($T737&lt;&gt;"""",REGEXEXTRACT(SUBSTITUTE ($T737,I$1&amp;"" CE"",""""), I$1&amp;""[\w &amp;]*, (\d+\.\d+)""),"""")
"),"")</f>
        <v/>
      </c>
      <c r="J737" s="3" t="str">
        <f aca="false">IFERROR(__xludf.dummyfunction("if($T737&lt;&gt;"""",REGEXEXTRACT($T737, J$1&amp;""[\w &amp;]*, (\d+\.\d+)""),"""")
"),"")</f>
        <v/>
      </c>
      <c r="K737" s="3"/>
      <c r="L737" s="3" t="str">
        <f aca="false">IFERROR(__xludf.dummyfunction("if($T737&lt;&gt;"""",REGEXEXTRACT(SUBSTITUTE ($T737,L$1&amp;"" CE"",""""), L$1&amp;""[\w &amp;]*, (\d+\.\d+)""),"""")
"),"")</f>
        <v/>
      </c>
      <c r="M737" s="3" t="str">
        <f aca="false">IFERROR(__xludf.dummyfunction("if($T737&lt;&gt;"""",REGEXEXTRACT($T737, M$1&amp;""[\w &amp;]*, (\d+\.\d+)""),"""")
"),"")</f>
        <v/>
      </c>
      <c r="N737" s="3" t="str">
        <f aca="false">IFERROR(__xludf.dummyfunction("if($T737&lt;&gt;"""",REGEXEXTRACT(SUBSTITUTE ($T737,N$1&amp;"" CE"",""""), N$1&amp;""[\w &amp;]*, (\d+\.\d+)""),"""")
"),"")</f>
        <v/>
      </c>
      <c r="O737" s="3" t="str">
        <f aca="false">IFERROR(__xludf.dummyfunction("if($T737&lt;&gt;"""",REGEXEXTRACT($T737, O$1&amp;""[\w &amp;]*, (\d+\.\d+)""),"""")
"),"")</f>
        <v/>
      </c>
      <c r="P737" s="2"/>
      <c r="Q737" s="2"/>
      <c r="R737" s="2"/>
      <c r="S737" s="2"/>
      <c r="T737" s="5"/>
    </row>
    <row r="738" customFormat="false" ht="15.75" hidden="false" customHeight="false" outlineLevel="0" collapsed="false">
      <c r="A738" s="4"/>
      <c r="B738" s="2"/>
      <c r="C738" s="2"/>
      <c r="D738" s="2"/>
      <c r="E738" s="2"/>
      <c r="F738" s="3" t="str">
        <f aca="false">IFERROR(__xludf.dummyfunction("if($T738&lt;&gt;"""",REGEXEXTRACT(SUBSTITUTE ($T738,F$1&amp;"" CE"",""""), F$1&amp;""[\w &amp;]*, (\d+\.\d+)""),"""")
"),"")</f>
        <v/>
      </c>
      <c r="G738" s="3" t="str">
        <f aca="false">IFERROR(__xludf.dummyfunction("if($T738&lt;&gt;"""",REGEXEXTRACT($T738, G$1&amp;""[\w &amp;]*, (\d+\.\d+)""),"""")
"),"")</f>
        <v/>
      </c>
      <c r="H738" s="3"/>
      <c r="I738" s="3" t="str">
        <f aca="false">IFERROR(__xludf.dummyfunction("if($T738&lt;&gt;"""",REGEXEXTRACT(SUBSTITUTE ($T738,I$1&amp;"" CE"",""""), I$1&amp;""[\w &amp;]*, (\d+\.\d+)""),"""")
"),"")</f>
        <v/>
      </c>
      <c r="J738" s="3" t="str">
        <f aca="false">IFERROR(__xludf.dummyfunction("if($T738&lt;&gt;"""",REGEXEXTRACT($T738, J$1&amp;""[\w &amp;]*, (\d+\.\d+)""),"""")
"),"")</f>
        <v/>
      </c>
      <c r="K738" s="3"/>
      <c r="L738" s="3" t="str">
        <f aca="false">IFERROR(__xludf.dummyfunction("if($T738&lt;&gt;"""",REGEXEXTRACT(SUBSTITUTE ($T738,L$1&amp;"" CE"",""""), L$1&amp;""[\w &amp;]*, (\d+\.\d+)""),"""")
"),"")</f>
        <v/>
      </c>
      <c r="M738" s="3" t="str">
        <f aca="false">IFERROR(__xludf.dummyfunction("if($T738&lt;&gt;"""",REGEXEXTRACT($T738, M$1&amp;""[\w &amp;]*, (\d+\.\d+)""),"""")
"),"")</f>
        <v/>
      </c>
      <c r="N738" s="3" t="str">
        <f aca="false">IFERROR(__xludf.dummyfunction("if($T738&lt;&gt;"""",REGEXEXTRACT(SUBSTITUTE ($T738,N$1&amp;"" CE"",""""), N$1&amp;""[\w &amp;]*, (\d+\.\d+)""),"""")
"),"")</f>
        <v/>
      </c>
      <c r="O738" s="3" t="str">
        <f aca="false">IFERROR(__xludf.dummyfunction("if($T738&lt;&gt;"""",REGEXEXTRACT($T738, O$1&amp;""[\w &amp;]*, (\d+\.\d+)""),"""")
"),"")</f>
        <v/>
      </c>
      <c r="P738" s="2"/>
      <c r="Q738" s="2"/>
      <c r="R738" s="2"/>
      <c r="S738" s="2"/>
      <c r="T738" s="5"/>
    </row>
    <row r="739" customFormat="false" ht="15.75" hidden="false" customHeight="false" outlineLevel="0" collapsed="false">
      <c r="A739" s="4"/>
      <c r="B739" s="2"/>
      <c r="C739" s="2"/>
      <c r="D739" s="2"/>
      <c r="E739" s="2"/>
      <c r="F739" s="3" t="str">
        <f aca="false">IFERROR(__xludf.dummyfunction("if($T739&lt;&gt;"""",REGEXEXTRACT(SUBSTITUTE ($T739,F$1&amp;"" CE"",""""), F$1&amp;""[\w &amp;]*, (\d+\.\d+)""),"""")
"),"")</f>
        <v/>
      </c>
      <c r="G739" s="3" t="str">
        <f aca="false">IFERROR(__xludf.dummyfunction("if($T739&lt;&gt;"""",REGEXEXTRACT($T739, G$1&amp;""[\w &amp;]*, (\d+\.\d+)""),"""")
"),"")</f>
        <v/>
      </c>
      <c r="H739" s="3"/>
      <c r="I739" s="3" t="str">
        <f aca="false">IFERROR(__xludf.dummyfunction("if($T739&lt;&gt;"""",REGEXEXTRACT(SUBSTITUTE ($T739,I$1&amp;"" CE"",""""), I$1&amp;""[\w &amp;]*, (\d+\.\d+)""),"""")
"),"")</f>
        <v/>
      </c>
      <c r="J739" s="3" t="str">
        <f aca="false">IFERROR(__xludf.dummyfunction("if($T739&lt;&gt;"""",REGEXEXTRACT($T739, J$1&amp;""[\w &amp;]*, (\d+\.\d+)""),"""")
"),"")</f>
        <v/>
      </c>
      <c r="K739" s="3"/>
      <c r="L739" s="3" t="str">
        <f aca="false">IFERROR(__xludf.dummyfunction("if($T739&lt;&gt;"""",REGEXEXTRACT(SUBSTITUTE ($T739,L$1&amp;"" CE"",""""), L$1&amp;""[\w &amp;]*, (\d+\.\d+)""),"""")
"),"")</f>
        <v/>
      </c>
      <c r="M739" s="3" t="str">
        <f aca="false">IFERROR(__xludf.dummyfunction("if($T739&lt;&gt;"""",REGEXEXTRACT($T739, M$1&amp;""[\w &amp;]*, (\d+\.\d+)""),"""")
"),"")</f>
        <v/>
      </c>
      <c r="N739" s="3" t="str">
        <f aca="false">IFERROR(__xludf.dummyfunction("if($T739&lt;&gt;"""",REGEXEXTRACT(SUBSTITUTE ($T739,N$1&amp;"" CE"",""""), N$1&amp;""[\w &amp;]*, (\d+\.\d+)""),"""")
"),"")</f>
        <v/>
      </c>
      <c r="O739" s="3" t="str">
        <f aca="false">IFERROR(__xludf.dummyfunction("if($T739&lt;&gt;"""",REGEXEXTRACT($T739, O$1&amp;""[\w &amp;]*, (\d+\.\d+)""),"""")
"),"")</f>
        <v/>
      </c>
      <c r="P739" s="2"/>
      <c r="Q739" s="2"/>
      <c r="R739" s="2"/>
      <c r="S739" s="2"/>
      <c r="T739" s="5"/>
    </row>
    <row r="740" customFormat="false" ht="15.75" hidden="false" customHeight="false" outlineLevel="0" collapsed="false">
      <c r="A740" s="4"/>
      <c r="B740" s="2"/>
      <c r="C740" s="2"/>
      <c r="D740" s="2"/>
      <c r="E740" s="2"/>
      <c r="F740" s="3" t="str">
        <f aca="false">IFERROR(__xludf.dummyfunction("if($T740&lt;&gt;"""",REGEXEXTRACT(SUBSTITUTE ($T740,F$1&amp;"" CE"",""""), F$1&amp;""[\w &amp;]*, (\d+\.\d+)""),"""")
"),"")</f>
        <v/>
      </c>
      <c r="G740" s="3" t="str">
        <f aca="false">IFERROR(__xludf.dummyfunction("if($T740&lt;&gt;"""",REGEXEXTRACT($T740, G$1&amp;""[\w &amp;]*, (\d+\.\d+)""),"""")
"),"")</f>
        <v/>
      </c>
      <c r="H740" s="3"/>
      <c r="I740" s="3" t="str">
        <f aca="false">IFERROR(__xludf.dummyfunction("if($T740&lt;&gt;"""",REGEXEXTRACT(SUBSTITUTE ($T740,I$1&amp;"" CE"",""""), I$1&amp;""[\w &amp;]*, (\d+\.\d+)""),"""")
"),"")</f>
        <v/>
      </c>
      <c r="J740" s="3" t="str">
        <f aca="false">IFERROR(__xludf.dummyfunction("if($T740&lt;&gt;"""",REGEXEXTRACT($T740, J$1&amp;""[\w &amp;]*, (\d+\.\d+)""),"""")
"),"")</f>
        <v/>
      </c>
      <c r="K740" s="3"/>
      <c r="L740" s="3" t="str">
        <f aca="false">IFERROR(__xludf.dummyfunction("if($T740&lt;&gt;"""",REGEXEXTRACT(SUBSTITUTE ($T740,L$1&amp;"" CE"",""""), L$1&amp;""[\w &amp;]*, (\d+\.\d+)""),"""")
"),"")</f>
        <v/>
      </c>
      <c r="M740" s="3" t="str">
        <f aca="false">IFERROR(__xludf.dummyfunction("if($T740&lt;&gt;"""",REGEXEXTRACT($T740, M$1&amp;""[\w &amp;]*, (\d+\.\d+)""),"""")
"),"")</f>
        <v/>
      </c>
      <c r="N740" s="3" t="str">
        <f aca="false">IFERROR(__xludf.dummyfunction("if($T740&lt;&gt;"""",REGEXEXTRACT(SUBSTITUTE ($T740,N$1&amp;"" CE"",""""), N$1&amp;""[\w &amp;]*, (\d+\.\d+)""),"""")
"),"")</f>
        <v/>
      </c>
      <c r="O740" s="3" t="str">
        <f aca="false">IFERROR(__xludf.dummyfunction("if($T740&lt;&gt;"""",REGEXEXTRACT($T740, O$1&amp;""[\w &amp;]*, (\d+\.\d+)""),"""")
"),"")</f>
        <v/>
      </c>
      <c r="P740" s="2"/>
      <c r="Q740" s="2"/>
      <c r="R740" s="2"/>
      <c r="S740" s="2"/>
      <c r="T740" s="5"/>
    </row>
    <row r="741" customFormat="false" ht="15.75" hidden="false" customHeight="false" outlineLevel="0" collapsed="false">
      <c r="A741" s="4"/>
      <c r="B741" s="2"/>
      <c r="C741" s="2"/>
      <c r="D741" s="2"/>
      <c r="E741" s="2"/>
      <c r="F741" s="3" t="str">
        <f aca="false">IFERROR(__xludf.dummyfunction("if($T741&lt;&gt;"""",REGEXEXTRACT(SUBSTITUTE ($T741,F$1&amp;"" CE"",""""), F$1&amp;""[\w &amp;]*, (\d+\.\d+)""),"""")
"),"")</f>
        <v/>
      </c>
      <c r="G741" s="3" t="str">
        <f aca="false">IFERROR(__xludf.dummyfunction("if($T741&lt;&gt;"""",REGEXEXTRACT($T741, G$1&amp;""[\w &amp;]*, (\d+\.\d+)""),"""")
"),"")</f>
        <v/>
      </c>
      <c r="H741" s="3"/>
      <c r="I741" s="3" t="str">
        <f aca="false">IFERROR(__xludf.dummyfunction("if($T741&lt;&gt;"""",REGEXEXTRACT(SUBSTITUTE ($T741,I$1&amp;"" CE"",""""), I$1&amp;""[\w &amp;]*, (\d+\.\d+)""),"""")
"),"")</f>
        <v/>
      </c>
      <c r="J741" s="3" t="str">
        <f aca="false">IFERROR(__xludf.dummyfunction("if($T741&lt;&gt;"""",REGEXEXTRACT($T741, J$1&amp;""[\w &amp;]*, (\d+\.\d+)""),"""")
"),"")</f>
        <v/>
      </c>
      <c r="K741" s="3"/>
      <c r="L741" s="3" t="str">
        <f aca="false">IFERROR(__xludf.dummyfunction("if($T741&lt;&gt;"""",REGEXEXTRACT(SUBSTITUTE ($T741,L$1&amp;"" CE"",""""), L$1&amp;""[\w &amp;]*, (\d+\.\d+)""),"""")
"),"")</f>
        <v/>
      </c>
      <c r="M741" s="3" t="str">
        <f aca="false">IFERROR(__xludf.dummyfunction("if($T741&lt;&gt;"""",REGEXEXTRACT($T741, M$1&amp;""[\w &amp;]*, (\d+\.\d+)""),"""")
"),"")</f>
        <v/>
      </c>
      <c r="N741" s="3" t="str">
        <f aca="false">IFERROR(__xludf.dummyfunction("if($T741&lt;&gt;"""",REGEXEXTRACT(SUBSTITUTE ($T741,N$1&amp;"" CE"",""""), N$1&amp;""[\w &amp;]*, (\d+\.\d+)""),"""")
"),"")</f>
        <v/>
      </c>
      <c r="O741" s="3" t="str">
        <f aca="false">IFERROR(__xludf.dummyfunction("if($T741&lt;&gt;"""",REGEXEXTRACT($T741, O$1&amp;""[\w &amp;]*, (\d+\.\d+)""),"""")
"),"")</f>
        <v/>
      </c>
      <c r="P741" s="2"/>
      <c r="Q741" s="2"/>
      <c r="R741" s="2"/>
      <c r="S741" s="2"/>
      <c r="T741" s="5"/>
    </row>
    <row r="742" customFormat="false" ht="15.75" hidden="false" customHeight="false" outlineLevel="0" collapsed="false">
      <c r="A742" s="4"/>
      <c r="B742" s="2"/>
      <c r="C742" s="2"/>
      <c r="D742" s="2"/>
      <c r="E742" s="2"/>
      <c r="F742" s="3" t="str">
        <f aca="false">IFERROR(__xludf.dummyfunction("if($T742&lt;&gt;"""",REGEXEXTRACT(SUBSTITUTE ($T742,F$1&amp;"" CE"",""""), F$1&amp;""[\w &amp;]*, (\d+\.\d+)""),"""")
"),"")</f>
        <v/>
      </c>
      <c r="G742" s="3" t="str">
        <f aca="false">IFERROR(__xludf.dummyfunction("if($T742&lt;&gt;"""",REGEXEXTRACT($T742, G$1&amp;""[\w &amp;]*, (\d+\.\d+)""),"""")
"),"")</f>
        <v/>
      </c>
      <c r="H742" s="3"/>
      <c r="I742" s="3" t="str">
        <f aca="false">IFERROR(__xludf.dummyfunction("if($T742&lt;&gt;"""",REGEXEXTRACT(SUBSTITUTE ($T742,I$1&amp;"" CE"",""""), I$1&amp;""[\w &amp;]*, (\d+\.\d+)""),"""")
"),"")</f>
        <v/>
      </c>
      <c r="J742" s="3" t="str">
        <f aca="false">IFERROR(__xludf.dummyfunction("if($T742&lt;&gt;"""",REGEXEXTRACT($T742, J$1&amp;""[\w &amp;]*, (\d+\.\d+)""),"""")
"),"")</f>
        <v/>
      </c>
      <c r="K742" s="3"/>
      <c r="L742" s="3" t="str">
        <f aca="false">IFERROR(__xludf.dummyfunction("if($T742&lt;&gt;"""",REGEXEXTRACT(SUBSTITUTE ($T742,L$1&amp;"" CE"",""""), L$1&amp;""[\w &amp;]*, (\d+\.\d+)""),"""")
"),"")</f>
        <v/>
      </c>
      <c r="M742" s="3" t="str">
        <f aca="false">IFERROR(__xludf.dummyfunction("if($T742&lt;&gt;"""",REGEXEXTRACT($T742, M$1&amp;""[\w &amp;]*, (\d+\.\d+)""),"""")
"),"")</f>
        <v/>
      </c>
      <c r="N742" s="3" t="str">
        <f aca="false">IFERROR(__xludf.dummyfunction("if($T742&lt;&gt;"""",REGEXEXTRACT(SUBSTITUTE ($T742,N$1&amp;"" CE"",""""), N$1&amp;""[\w &amp;]*, (\d+\.\d+)""),"""")
"),"")</f>
        <v/>
      </c>
      <c r="O742" s="3" t="str">
        <f aca="false">IFERROR(__xludf.dummyfunction("if($T742&lt;&gt;"""",REGEXEXTRACT($T742, O$1&amp;""[\w &amp;]*, (\d+\.\d+)""),"""")
"),"")</f>
        <v/>
      </c>
      <c r="P742" s="2"/>
      <c r="Q742" s="2"/>
      <c r="R742" s="2"/>
      <c r="S742" s="2"/>
      <c r="T742" s="5"/>
    </row>
    <row r="743" customFormat="false" ht="15.75" hidden="false" customHeight="false" outlineLevel="0" collapsed="false">
      <c r="A743" s="4"/>
      <c r="B743" s="2"/>
      <c r="C743" s="2"/>
      <c r="D743" s="2"/>
      <c r="E743" s="2"/>
      <c r="F743" s="3" t="str">
        <f aca="false">IFERROR(__xludf.dummyfunction("if($T743&lt;&gt;"""",REGEXEXTRACT(SUBSTITUTE ($T743,F$1&amp;"" CE"",""""), F$1&amp;""[\w &amp;]*, (\d+\.\d+)""),"""")
"),"")</f>
        <v/>
      </c>
      <c r="G743" s="3" t="str">
        <f aca="false">IFERROR(__xludf.dummyfunction("if($T743&lt;&gt;"""",REGEXEXTRACT($T743, G$1&amp;""[\w &amp;]*, (\d+\.\d+)""),"""")
"),"")</f>
        <v/>
      </c>
      <c r="H743" s="3"/>
      <c r="I743" s="3" t="str">
        <f aca="false">IFERROR(__xludf.dummyfunction("if($T743&lt;&gt;"""",REGEXEXTRACT(SUBSTITUTE ($T743,I$1&amp;"" CE"",""""), I$1&amp;""[\w &amp;]*, (\d+\.\d+)""),"""")
"),"")</f>
        <v/>
      </c>
      <c r="J743" s="3" t="str">
        <f aca="false">IFERROR(__xludf.dummyfunction("if($T743&lt;&gt;"""",REGEXEXTRACT($T743, J$1&amp;""[\w &amp;]*, (\d+\.\d+)""),"""")
"),"")</f>
        <v/>
      </c>
      <c r="K743" s="3"/>
      <c r="L743" s="3" t="str">
        <f aca="false">IFERROR(__xludf.dummyfunction("if($T743&lt;&gt;"""",REGEXEXTRACT(SUBSTITUTE ($T743,L$1&amp;"" CE"",""""), L$1&amp;""[\w &amp;]*, (\d+\.\d+)""),"""")
"),"")</f>
        <v/>
      </c>
      <c r="M743" s="3" t="str">
        <f aca="false">IFERROR(__xludf.dummyfunction("if($T743&lt;&gt;"""",REGEXEXTRACT($T743, M$1&amp;""[\w &amp;]*, (\d+\.\d+)""),"""")
"),"")</f>
        <v/>
      </c>
      <c r="N743" s="3" t="str">
        <f aca="false">IFERROR(__xludf.dummyfunction("if($T743&lt;&gt;"""",REGEXEXTRACT(SUBSTITUTE ($T743,N$1&amp;"" CE"",""""), N$1&amp;""[\w &amp;]*, (\d+\.\d+)""),"""")
"),"")</f>
        <v/>
      </c>
      <c r="O743" s="3" t="str">
        <f aca="false">IFERROR(__xludf.dummyfunction("if($T743&lt;&gt;"""",REGEXEXTRACT($T743, O$1&amp;""[\w &amp;]*, (\d+\.\d+)""),"""")
"),"")</f>
        <v/>
      </c>
      <c r="P743" s="2"/>
      <c r="Q743" s="2"/>
      <c r="R743" s="2"/>
      <c r="S743" s="2"/>
      <c r="T743" s="5"/>
    </row>
    <row r="744" customFormat="false" ht="15.75" hidden="false" customHeight="false" outlineLevel="0" collapsed="false">
      <c r="A744" s="4"/>
      <c r="B744" s="2"/>
      <c r="C744" s="2"/>
      <c r="D744" s="2"/>
      <c r="E744" s="2"/>
      <c r="F744" s="3" t="str">
        <f aca="false">IFERROR(__xludf.dummyfunction("if($T744&lt;&gt;"""",REGEXEXTRACT(SUBSTITUTE ($T744,F$1&amp;"" CE"",""""), F$1&amp;""[\w &amp;]*, (\d+\.\d+)""),"""")
"),"")</f>
        <v/>
      </c>
      <c r="G744" s="3" t="str">
        <f aca="false">IFERROR(__xludf.dummyfunction("if($T744&lt;&gt;"""",REGEXEXTRACT($T744, G$1&amp;""[\w &amp;]*, (\d+\.\d+)""),"""")
"),"")</f>
        <v/>
      </c>
      <c r="H744" s="3"/>
      <c r="I744" s="3" t="str">
        <f aca="false">IFERROR(__xludf.dummyfunction("if($T744&lt;&gt;"""",REGEXEXTRACT(SUBSTITUTE ($T744,I$1&amp;"" CE"",""""), I$1&amp;""[\w &amp;]*, (\d+\.\d+)""),"""")
"),"")</f>
        <v/>
      </c>
      <c r="J744" s="3" t="str">
        <f aca="false">IFERROR(__xludf.dummyfunction("if($T744&lt;&gt;"""",REGEXEXTRACT($T744, J$1&amp;""[\w &amp;]*, (\d+\.\d+)""),"""")
"),"")</f>
        <v/>
      </c>
      <c r="K744" s="3"/>
      <c r="L744" s="3" t="str">
        <f aca="false">IFERROR(__xludf.dummyfunction("if($T744&lt;&gt;"""",REGEXEXTRACT(SUBSTITUTE ($T744,L$1&amp;"" CE"",""""), L$1&amp;""[\w &amp;]*, (\d+\.\d+)""),"""")
"),"")</f>
        <v/>
      </c>
      <c r="M744" s="3" t="str">
        <f aca="false">IFERROR(__xludf.dummyfunction("if($T744&lt;&gt;"""",REGEXEXTRACT($T744, M$1&amp;""[\w &amp;]*, (\d+\.\d+)""),"""")
"),"")</f>
        <v/>
      </c>
      <c r="N744" s="3" t="str">
        <f aca="false">IFERROR(__xludf.dummyfunction("if($T744&lt;&gt;"""",REGEXEXTRACT(SUBSTITUTE ($T744,N$1&amp;"" CE"",""""), N$1&amp;""[\w &amp;]*, (\d+\.\d+)""),"""")
"),"")</f>
        <v/>
      </c>
      <c r="O744" s="3" t="str">
        <f aca="false">IFERROR(__xludf.dummyfunction("if($T744&lt;&gt;"""",REGEXEXTRACT($T744, O$1&amp;""[\w &amp;]*, (\d+\.\d+)""),"""")
"),"")</f>
        <v/>
      </c>
      <c r="P744" s="2"/>
      <c r="Q744" s="2"/>
      <c r="R744" s="2"/>
      <c r="S744" s="2"/>
      <c r="T744" s="5"/>
    </row>
    <row r="745" customFormat="false" ht="15.75" hidden="false" customHeight="false" outlineLevel="0" collapsed="false">
      <c r="A745" s="4"/>
      <c r="B745" s="2"/>
      <c r="C745" s="2"/>
      <c r="D745" s="2"/>
      <c r="E745" s="2"/>
      <c r="F745" s="3" t="str">
        <f aca="false">IFERROR(__xludf.dummyfunction("if($T745&lt;&gt;"""",REGEXEXTRACT(SUBSTITUTE ($T745,F$1&amp;"" CE"",""""), F$1&amp;""[\w &amp;]*, (\d+\.\d+)""),"""")
"),"")</f>
        <v/>
      </c>
      <c r="G745" s="3" t="str">
        <f aca="false">IFERROR(__xludf.dummyfunction("if($T745&lt;&gt;"""",REGEXEXTRACT($T745, G$1&amp;""[\w &amp;]*, (\d+\.\d+)""),"""")
"),"")</f>
        <v/>
      </c>
      <c r="H745" s="3"/>
      <c r="I745" s="3" t="str">
        <f aca="false">IFERROR(__xludf.dummyfunction("if($T745&lt;&gt;"""",REGEXEXTRACT(SUBSTITUTE ($T745,I$1&amp;"" CE"",""""), I$1&amp;""[\w &amp;]*, (\d+\.\d+)""),"""")
"),"")</f>
        <v/>
      </c>
      <c r="J745" s="3" t="str">
        <f aca="false">IFERROR(__xludf.dummyfunction("if($T745&lt;&gt;"""",REGEXEXTRACT($T745, J$1&amp;""[\w &amp;]*, (\d+\.\d+)""),"""")
"),"")</f>
        <v/>
      </c>
      <c r="K745" s="3"/>
      <c r="L745" s="3" t="str">
        <f aca="false">IFERROR(__xludf.dummyfunction("if($T745&lt;&gt;"""",REGEXEXTRACT(SUBSTITUTE ($T745,L$1&amp;"" CE"",""""), L$1&amp;""[\w &amp;]*, (\d+\.\d+)""),"""")
"),"")</f>
        <v/>
      </c>
      <c r="M745" s="3" t="str">
        <f aca="false">IFERROR(__xludf.dummyfunction("if($T745&lt;&gt;"""",REGEXEXTRACT($T745, M$1&amp;""[\w &amp;]*, (\d+\.\d+)""),"""")
"),"")</f>
        <v/>
      </c>
      <c r="N745" s="3" t="str">
        <f aca="false">IFERROR(__xludf.dummyfunction("if($T745&lt;&gt;"""",REGEXEXTRACT(SUBSTITUTE ($T745,N$1&amp;"" CE"",""""), N$1&amp;""[\w &amp;]*, (\d+\.\d+)""),"""")
"),"")</f>
        <v/>
      </c>
      <c r="O745" s="3" t="str">
        <f aca="false">IFERROR(__xludf.dummyfunction("if($T745&lt;&gt;"""",REGEXEXTRACT($T745, O$1&amp;""[\w &amp;]*, (\d+\.\d+)""),"""")
"),"")</f>
        <v/>
      </c>
      <c r="P745" s="2"/>
      <c r="Q745" s="2"/>
      <c r="R745" s="2"/>
      <c r="S745" s="2"/>
      <c r="T745" s="5"/>
    </row>
    <row r="746" customFormat="false" ht="15.75" hidden="false" customHeight="false" outlineLevel="0" collapsed="false">
      <c r="A746" s="4"/>
      <c r="B746" s="2"/>
      <c r="C746" s="2"/>
      <c r="D746" s="2"/>
      <c r="E746" s="2"/>
      <c r="F746" s="3" t="str">
        <f aca="false">IFERROR(__xludf.dummyfunction("if($T746&lt;&gt;"""",REGEXEXTRACT(SUBSTITUTE ($T746,F$1&amp;"" CE"",""""), F$1&amp;""[\w &amp;]*, (\d+\.\d+)""),"""")
"),"")</f>
        <v/>
      </c>
      <c r="G746" s="3" t="str">
        <f aca="false">IFERROR(__xludf.dummyfunction("if($T746&lt;&gt;"""",REGEXEXTRACT($T746, G$1&amp;""[\w &amp;]*, (\d+\.\d+)""),"""")
"),"")</f>
        <v/>
      </c>
      <c r="H746" s="3"/>
      <c r="I746" s="3" t="str">
        <f aca="false">IFERROR(__xludf.dummyfunction("if($T746&lt;&gt;"""",REGEXEXTRACT(SUBSTITUTE ($T746,I$1&amp;"" CE"",""""), I$1&amp;""[\w &amp;]*, (\d+\.\d+)""),"""")
"),"")</f>
        <v/>
      </c>
      <c r="J746" s="3" t="str">
        <f aca="false">IFERROR(__xludf.dummyfunction("if($T746&lt;&gt;"""",REGEXEXTRACT($T746, J$1&amp;""[\w &amp;]*, (\d+\.\d+)""),"""")
"),"")</f>
        <v/>
      </c>
      <c r="K746" s="3"/>
      <c r="L746" s="3" t="str">
        <f aca="false">IFERROR(__xludf.dummyfunction("if($T746&lt;&gt;"""",REGEXEXTRACT(SUBSTITUTE ($T746,L$1&amp;"" CE"",""""), L$1&amp;""[\w &amp;]*, (\d+\.\d+)""),"""")
"),"")</f>
        <v/>
      </c>
      <c r="M746" s="3" t="str">
        <f aca="false">IFERROR(__xludf.dummyfunction("if($T746&lt;&gt;"""",REGEXEXTRACT($T746, M$1&amp;""[\w &amp;]*, (\d+\.\d+)""),"""")
"),"")</f>
        <v/>
      </c>
      <c r="N746" s="3" t="str">
        <f aca="false">IFERROR(__xludf.dummyfunction("if($T746&lt;&gt;"""",REGEXEXTRACT(SUBSTITUTE ($T746,N$1&amp;"" CE"",""""), N$1&amp;""[\w &amp;]*, (\d+\.\d+)""),"""")
"),"")</f>
        <v/>
      </c>
      <c r="O746" s="3" t="str">
        <f aca="false">IFERROR(__xludf.dummyfunction("if($T746&lt;&gt;"""",REGEXEXTRACT($T746, O$1&amp;""[\w &amp;]*, (\d+\.\d+)""),"""")
"),"")</f>
        <v/>
      </c>
      <c r="P746" s="2"/>
      <c r="Q746" s="2"/>
      <c r="R746" s="2"/>
      <c r="S746" s="2"/>
      <c r="T746" s="5"/>
    </row>
    <row r="747" customFormat="false" ht="15.75" hidden="false" customHeight="false" outlineLevel="0" collapsed="false">
      <c r="A747" s="4"/>
      <c r="B747" s="2"/>
      <c r="C747" s="2"/>
      <c r="D747" s="2"/>
      <c r="E747" s="2"/>
      <c r="F747" s="3" t="str">
        <f aca="false">IFERROR(__xludf.dummyfunction("if($T747&lt;&gt;"""",REGEXEXTRACT(SUBSTITUTE ($T747,F$1&amp;"" CE"",""""), F$1&amp;""[\w &amp;]*, (\d+\.\d+)""),"""")
"),"")</f>
        <v/>
      </c>
      <c r="G747" s="3" t="str">
        <f aca="false">IFERROR(__xludf.dummyfunction("if($T747&lt;&gt;"""",REGEXEXTRACT($T747, G$1&amp;""[\w &amp;]*, (\d+\.\d+)""),"""")
"),"")</f>
        <v/>
      </c>
      <c r="H747" s="3"/>
      <c r="I747" s="3" t="str">
        <f aca="false">IFERROR(__xludf.dummyfunction("if($T747&lt;&gt;"""",REGEXEXTRACT(SUBSTITUTE ($T747,I$1&amp;"" CE"",""""), I$1&amp;""[\w &amp;]*, (\d+\.\d+)""),"""")
"),"")</f>
        <v/>
      </c>
      <c r="J747" s="3" t="str">
        <f aca="false">IFERROR(__xludf.dummyfunction("if($T747&lt;&gt;"""",REGEXEXTRACT($T747, J$1&amp;""[\w &amp;]*, (\d+\.\d+)""),"""")
"),"")</f>
        <v/>
      </c>
      <c r="K747" s="3"/>
      <c r="L747" s="3" t="str">
        <f aca="false">IFERROR(__xludf.dummyfunction("if($T747&lt;&gt;"""",REGEXEXTRACT(SUBSTITUTE ($T747,L$1&amp;"" CE"",""""), L$1&amp;""[\w &amp;]*, (\d+\.\d+)""),"""")
"),"")</f>
        <v/>
      </c>
      <c r="M747" s="3" t="str">
        <f aca="false">IFERROR(__xludf.dummyfunction("if($T747&lt;&gt;"""",REGEXEXTRACT($T747, M$1&amp;""[\w &amp;]*, (\d+\.\d+)""),"""")
"),"")</f>
        <v/>
      </c>
      <c r="N747" s="3" t="str">
        <f aca="false">IFERROR(__xludf.dummyfunction("if($T747&lt;&gt;"""",REGEXEXTRACT(SUBSTITUTE ($T747,N$1&amp;"" CE"",""""), N$1&amp;""[\w &amp;]*, (\d+\.\d+)""),"""")
"),"")</f>
        <v/>
      </c>
      <c r="O747" s="3" t="str">
        <f aca="false">IFERROR(__xludf.dummyfunction("if($T747&lt;&gt;"""",REGEXEXTRACT($T747, O$1&amp;""[\w &amp;]*, (\d+\.\d+)""),"""")
"),"")</f>
        <v/>
      </c>
      <c r="P747" s="2"/>
      <c r="Q747" s="2"/>
      <c r="R747" s="2"/>
      <c r="S747" s="2"/>
      <c r="T747" s="5"/>
    </row>
    <row r="748" customFormat="false" ht="15.75" hidden="false" customHeight="false" outlineLevel="0" collapsed="false">
      <c r="A748" s="4"/>
      <c r="B748" s="2"/>
      <c r="C748" s="2"/>
      <c r="D748" s="2"/>
      <c r="E748" s="2"/>
      <c r="F748" s="3" t="str">
        <f aca="false">IFERROR(__xludf.dummyfunction("if($T748&lt;&gt;"""",REGEXEXTRACT(SUBSTITUTE ($T748,F$1&amp;"" CE"",""""), F$1&amp;""[\w &amp;]*, (\d+\.\d+)""),"""")
"),"")</f>
        <v/>
      </c>
      <c r="G748" s="3" t="str">
        <f aca="false">IFERROR(__xludf.dummyfunction("if($T748&lt;&gt;"""",REGEXEXTRACT($T748, G$1&amp;""[\w &amp;]*, (\d+\.\d+)""),"""")
"),"")</f>
        <v/>
      </c>
      <c r="H748" s="3"/>
      <c r="I748" s="3" t="str">
        <f aca="false">IFERROR(__xludf.dummyfunction("if($T748&lt;&gt;"""",REGEXEXTRACT(SUBSTITUTE ($T748,I$1&amp;"" CE"",""""), I$1&amp;""[\w &amp;]*, (\d+\.\d+)""),"""")
"),"")</f>
        <v/>
      </c>
      <c r="J748" s="3" t="str">
        <f aca="false">IFERROR(__xludf.dummyfunction("if($T748&lt;&gt;"""",REGEXEXTRACT($T748, J$1&amp;""[\w &amp;]*, (\d+\.\d+)""),"""")
"),"")</f>
        <v/>
      </c>
      <c r="K748" s="3"/>
      <c r="L748" s="3" t="str">
        <f aca="false">IFERROR(__xludf.dummyfunction("if($T748&lt;&gt;"""",REGEXEXTRACT(SUBSTITUTE ($T748,L$1&amp;"" CE"",""""), L$1&amp;""[\w &amp;]*, (\d+\.\d+)""),"""")
"),"")</f>
        <v/>
      </c>
      <c r="M748" s="3" t="str">
        <f aca="false">IFERROR(__xludf.dummyfunction("if($T748&lt;&gt;"""",REGEXEXTRACT($T748, M$1&amp;""[\w &amp;]*, (\d+\.\d+)""),"""")
"),"")</f>
        <v/>
      </c>
      <c r="N748" s="3" t="str">
        <f aca="false">IFERROR(__xludf.dummyfunction("if($T748&lt;&gt;"""",REGEXEXTRACT(SUBSTITUTE ($T748,N$1&amp;"" CE"",""""), N$1&amp;""[\w &amp;]*, (\d+\.\d+)""),"""")
"),"")</f>
        <v/>
      </c>
      <c r="O748" s="3" t="str">
        <f aca="false">IFERROR(__xludf.dummyfunction("if($T748&lt;&gt;"""",REGEXEXTRACT($T748, O$1&amp;""[\w &amp;]*, (\d+\.\d+)""),"""")
"),"")</f>
        <v/>
      </c>
      <c r="P748" s="2"/>
      <c r="Q748" s="2"/>
      <c r="R748" s="2"/>
      <c r="S748" s="2"/>
      <c r="T748" s="5"/>
    </row>
    <row r="749" customFormat="false" ht="15.75" hidden="false" customHeight="false" outlineLevel="0" collapsed="false">
      <c r="A749" s="4"/>
      <c r="B749" s="2"/>
      <c r="C749" s="2"/>
      <c r="D749" s="2"/>
      <c r="E749" s="2"/>
      <c r="F749" s="3" t="str">
        <f aca="false">IFERROR(__xludf.dummyfunction("if($T749&lt;&gt;"""",REGEXEXTRACT(SUBSTITUTE ($T749,F$1&amp;"" CE"",""""), F$1&amp;""[\w &amp;]*, (\d+\.\d+)""),"""")
"),"")</f>
        <v/>
      </c>
      <c r="G749" s="3" t="str">
        <f aca="false">IFERROR(__xludf.dummyfunction("if($T749&lt;&gt;"""",REGEXEXTRACT($T749, G$1&amp;""[\w &amp;]*, (\d+\.\d+)""),"""")
"),"")</f>
        <v/>
      </c>
      <c r="H749" s="3"/>
      <c r="I749" s="3" t="str">
        <f aca="false">IFERROR(__xludf.dummyfunction("if($T749&lt;&gt;"""",REGEXEXTRACT(SUBSTITUTE ($T749,I$1&amp;"" CE"",""""), I$1&amp;""[\w &amp;]*, (\d+\.\d+)""),"""")
"),"")</f>
        <v/>
      </c>
      <c r="J749" s="3" t="str">
        <f aca="false">IFERROR(__xludf.dummyfunction("if($T749&lt;&gt;"""",REGEXEXTRACT($T749, J$1&amp;""[\w &amp;]*, (\d+\.\d+)""),"""")
"),"")</f>
        <v/>
      </c>
      <c r="K749" s="3"/>
      <c r="L749" s="3" t="str">
        <f aca="false">IFERROR(__xludf.dummyfunction("if($T749&lt;&gt;"""",REGEXEXTRACT(SUBSTITUTE ($T749,L$1&amp;"" CE"",""""), L$1&amp;""[\w &amp;]*, (\d+\.\d+)""),"""")
"),"")</f>
        <v/>
      </c>
      <c r="M749" s="3" t="str">
        <f aca="false">IFERROR(__xludf.dummyfunction("if($T749&lt;&gt;"""",REGEXEXTRACT($T749, M$1&amp;""[\w &amp;]*, (\d+\.\d+)""),"""")
"),"")</f>
        <v/>
      </c>
      <c r="N749" s="3" t="str">
        <f aca="false">IFERROR(__xludf.dummyfunction("if($T749&lt;&gt;"""",REGEXEXTRACT(SUBSTITUTE ($T749,N$1&amp;"" CE"",""""), N$1&amp;""[\w &amp;]*, (\d+\.\d+)""),"""")
"),"")</f>
        <v/>
      </c>
      <c r="O749" s="3" t="str">
        <f aca="false">IFERROR(__xludf.dummyfunction("if($T749&lt;&gt;"""",REGEXEXTRACT($T749, O$1&amp;""[\w &amp;]*, (\d+\.\d+)""),"""")
"),"")</f>
        <v/>
      </c>
      <c r="P749" s="2"/>
      <c r="Q749" s="2"/>
      <c r="R749" s="2"/>
      <c r="S749" s="2"/>
      <c r="T749" s="5"/>
    </row>
    <row r="750" customFormat="false" ht="15.75" hidden="false" customHeight="false" outlineLevel="0" collapsed="false">
      <c r="A750" s="4"/>
      <c r="B750" s="2"/>
      <c r="C750" s="2"/>
      <c r="D750" s="2"/>
      <c r="E750" s="2"/>
      <c r="F750" s="3" t="str">
        <f aca="false">IFERROR(__xludf.dummyfunction("if($T750&lt;&gt;"""",REGEXEXTRACT(SUBSTITUTE ($T750,F$1&amp;"" CE"",""""), F$1&amp;""[\w &amp;]*, (\d+\.\d+)""),"""")
"),"")</f>
        <v/>
      </c>
      <c r="G750" s="3" t="str">
        <f aca="false">IFERROR(__xludf.dummyfunction("if($T750&lt;&gt;"""",REGEXEXTRACT($T750, G$1&amp;""[\w &amp;]*, (\d+\.\d+)""),"""")
"),"")</f>
        <v/>
      </c>
      <c r="H750" s="3"/>
      <c r="I750" s="3" t="str">
        <f aca="false">IFERROR(__xludf.dummyfunction("if($T750&lt;&gt;"""",REGEXEXTRACT(SUBSTITUTE ($T750,I$1&amp;"" CE"",""""), I$1&amp;""[\w &amp;]*, (\d+\.\d+)""),"""")
"),"")</f>
        <v/>
      </c>
      <c r="J750" s="3" t="str">
        <f aca="false">IFERROR(__xludf.dummyfunction("if($T750&lt;&gt;"""",REGEXEXTRACT($T750, J$1&amp;""[\w &amp;]*, (\d+\.\d+)""),"""")
"),"")</f>
        <v/>
      </c>
      <c r="K750" s="3"/>
      <c r="L750" s="3" t="str">
        <f aca="false">IFERROR(__xludf.dummyfunction("if($T750&lt;&gt;"""",REGEXEXTRACT(SUBSTITUTE ($T750,L$1&amp;"" CE"",""""), L$1&amp;""[\w &amp;]*, (\d+\.\d+)""),"""")
"),"")</f>
        <v/>
      </c>
      <c r="M750" s="3" t="str">
        <f aca="false">IFERROR(__xludf.dummyfunction("if($T750&lt;&gt;"""",REGEXEXTRACT($T750, M$1&amp;""[\w &amp;]*, (\d+\.\d+)""),"""")
"),"")</f>
        <v/>
      </c>
      <c r="N750" s="3" t="str">
        <f aca="false">IFERROR(__xludf.dummyfunction("if($T750&lt;&gt;"""",REGEXEXTRACT(SUBSTITUTE ($T750,N$1&amp;"" CE"",""""), N$1&amp;""[\w &amp;]*, (\d+\.\d+)""),"""")
"),"")</f>
        <v/>
      </c>
      <c r="O750" s="3" t="str">
        <f aca="false">IFERROR(__xludf.dummyfunction("if($T750&lt;&gt;"""",REGEXEXTRACT($T750, O$1&amp;""[\w &amp;]*, (\d+\.\d+)""),"""")
"),"")</f>
        <v/>
      </c>
      <c r="P750" s="2"/>
      <c r="Q750" s="2"/>
      <c r="R750" s="2"/>
      <c r="S750" s="2"/>
      <c r="T750" s="5"/>
    </row>
    <row r="751" customFormat="false" ht="15.75" hidden="false" customHeight="false" outlineLevel="0" collapsed="false">
      <c r="A751" s="4"/>
      <c r="B751" s="2"/>
      <c r="C751" s="2"/>
      <c r="D751" s="2"/>
      <c r="E751" s="2"/>
      <c r="F751" s="3" t="str">
        <f aca="false">IFERROR(__xludf.dummyfunction("if($T751&lt;&gt;"""",REGEXEXTRACT(SUBSTITUTE ($T751,F$1&amp;"" CE"",""""), F$1&amp;""[\w &amp;]*, (\d+\.\d+)""),"""")
"),"")</f>
        <v/>
      </c>
      <c r="G751" s="3" t="str">
        <f aca="false">IFERROR(__xludf.dummyfunction("if($T751&lt;&gt;"""",REGEXEXTRACT($T751, G$1&amp;""[\w &amp;]*, (\d+\.\d+)""),"""")
"),"")</f>
        <v/>
      </c>
      <c r="H751" s="3"/>
      <c r="I751" s="3" t="str">
        <f aca="false">IFERROR(__xludf.dummyfunction("if($T751&lt;&gt;"""",REGEXEXTRACT(SUBSTITUTE ($T751,I$1&amp;"" CE"",""""), I$1&amp;""[\w &amp;]*, (\d+\.\d+)""),"""")
"),"")</f>
        <v/>
      </c>
      <c r="J751" s="3" t="str">
        <f aca="false">IFERROR(__xludf.dummyfunction("if($T751&lt;&gt;"""",REGEXEXTRACT($T751, J$1&amp;""[\w &amp;]*, (\d+\.\d+)""),"""")
"),"")</f>
        <v/>
      </c>
      <c r="K751" s="3"/>
      <c r="L751" s="3" t="str">
        <f aca="false">IFERROR(__xludf.dummyfunction("if($T751&lt;&gt;"""",REGEXEXTRACT(SUBSTITUTE ($T751,L$1&amp;"" CE"",""""), L$1&amp;""[\w &amp;]*, (\d+\.\d+)""),"""")
"),"")</f>
        <v/>
      </c>
      <c r="M751" s="3" t="str">
        <f aca="false">IFERROR(__xludf.dummyfunction("if($T751&lt;&gt;"""",REGEXEXTRACT($T751, M$1&amp;""[\w &amp;]*, (\d+\.\d+)""),"""")
"),"")</f>
        <v/>
      </c>
      <c r="N751" s="3" t="str">
        <f aca="false">IFERROR(__xludf.dummyfunction("if($T751&lt;&gt;"""",REGEXEXTRACT(SUBSTITUTE ($T751,N$1&amp;"" CE"",""""), N$1&amp;""[\w &amp;]*, (\d+\.\d+)""),"""")
"),"")</f>
        <v/>
      </c>
      <c r="O751" s="3" t="str">
        <f aca="false">IFERROR(__xludf.dummyfunction("if($T751&lt;&gt;"""",REGEXEXTRACT($T751, O$1&amp;""[\w &amp;]*, (\d+\.\d+)""),"""")
"),"")</f>
        <v/>
      </c>
      <c r="P751" s="2"/>
      <c r="Q751" s="2"/>
      <c r="R751" s="2"/>
      <c r="S751" s="2"/>
      <c r="T751" s="5"/>
    </row>
    <row r="752" customFormat="false" ht="15.75" hidden="false" customHeight="false" outlineLevel="0" collapsed="false">
      <c r="A752" s="4"/>
      <c r="B752" s="2"/>
      <c r="C752" s="2"/>
      <c r="D752" s="2"/>
      <c r="E752" s="2"/>
      <c r="F752" s="3" t="str">
        <f aca="false">IFERROR(__xludf.dummyfunction("if($T752&lt;&gt;"""",REGEXEXTRACT(SUBSTITUTE ($T752,F$1&amp;"" CE"",""""), F$1&amp;""[\w &amp;]*, (\d+\.\d+)""),"""")
"),"")</f>
        <v/>
      </c>
      <c r="G752" s="3" t="str">
        <f aca="false">IFERROR(__xludf.dummyfunction("if($T752&lt;&gt;"""",REGEXEXTRACT($T752, G$1&amp;""[\w &amp;]*, (\d+\.\d+)""),"""")
"),"")</f>
        <v/>
      </c>
      <c r="H752" s="3"/>
      <c r="I752" s="3" t="str">
        <f aca="false">IFERROR(__xludf.dummyfunction("if($T752&lt;&gt;"""",REGEXEXTRACT(SUBSTITUTE ($T752,I$1&amp;"" CE"",""""), I$1&amp;""[\w &amp;]*, (\d+\.\d+)""),"""")
"),"")</f>
        <v/>
      </c>
      <c r="J752" s="3" t="str">
        <f aca="false">IFERROR(__xludf.dummyfunction("if($T752&lt;&gt;"""",REGEXEXTRACT($T752, J$1&amp;""[\w &amp;]*, (\d+\.\d+)""),"""")
"),"")</f>
        <v/>
      </c>
      <c r="K752" s="3"/>
      <c r="L752" s="3" t="str">
        <f aca="false">IFERROR(__xludf.dummyfunction("if($T752&lt;&gt;"""",REGEXEXTRACT(SUBSTITUTE ($T752,L$1&amp;"" CE"",""""), L$1&amp;""[\w &amp;]*, (\d+\.\d+)""),"""")
"),"")</f>
        <v/>
      </c>
      <c r="M752" s="3" t="str">
        <f aca="false">IFERROR(__xludf.dummyfunction("if($T752&lt;&gt;"""",REGEXEXTRACT($T752, M$1&amp;""[\w &amp;]*, (\d+\.\d+)""),"""")
"),"")</f>
        <v/>
      </c>
      <c r="N752" s="3" t="str">
        <f aca="false">IFERROR(__xludf.dummyfunction("if($T752&lt;&gt;"""",REGEXEXTRACT(SUBSTITUTE ($T752,N$1&amp;"" CE"",""""), N$1&amp;""[\w &amp;]*, (\d+\.\d+)""),"""")
"),"")</f>
        <v/>
      </c>
      <c r="O752" s="3" t="str">
        <f aca="false">IFERROR(__xludf.dummyfunction("if($T752&lt;&gt;"""",REGEXEXTRACT($T752, O$1&amp;""[\w &amp;]*, (\d+\.\d+)""),"""")
"),"")</f>
        <v/>
      </c>
      <c r="P752" s="2"/>
      <c r="Q752" s="2"/>
      <c r="R752" s="2"/>
      <c r="S752" s="2"/>
      <c r="T752" s="5"/>
    </row>
    <row r="753" customFormat="false" ht="15.75" hidden="false" customHeight="false" outlineLevel="0" collapsed="false">
      <c r="A753" s="4"/>
      <c r="B753" s="2"/>
      <c r="C753" s="2"/>
      <c r="D753" s="2"/>
      <c r="E753" s="2"/>
      <c r="F753" s="3" t="str">
        <f aca="false">IFERROR(__xludf.dummyfunction("if($T753&lt;&gt;"""",REGEXEXTRACT(SUBSTITUTE ($T753,F$1&amp;"" CE"",""""), F$1&amp;""[\w &amp;]*, (\d+\.\d+)""),"""")
"),"")</f>
        <v/>
      </c>
      <c r="G753" s="3" t="str">
        <f aca="false">IFERROR(__xludf.dummyfunction("if($T753&lt;&gt;"""",REGEXEXTRACT($T753, G$1&amp;""[\w &amp;]*, (\d+\.\d+)""),"""")
"),"")</f>
        <v/>
      </c>
      <c r="H753" s="3"/>
      <c r="I753" s="3" t="str">
        <f aca="false">IFERROR(__xludf.dummyfunction("if($T753&lt;&gt;"""",REGEXEXTRACT(SUBSTITUTE ($T753,I$1&amp;"" CE"",""""), I$1&amp;""[\w &amp;]*, (\d+\.\d+)""),"""")
"),"")</f>
        <v/>
      </c>
      <c r="J753" s="3" t="str">
        <f aca="false">IFERROR(__xludf.dummyfunction("if($T753&lt;&gt;"""",REGEXEXTRACT($T753, J$1&amp;""[\w &amp;]*, (\d+\.\d+)""),"""")
"),"")</f>
        <v/>
      </c>
      <c r="K753" s="3"/>
      <c r="L753" s="3" t="str">
        <f aca="false">IFERROR(__xludf.dummyfunction("if($T753&lt;&gt;"""",REGEXEXTRACT(SUBSTITUTE ($T753,L$1&amp;"" CE"",""""), L$1&amp;""[\w &amp;]*, (\d+\.\d+)""),"""")
"),"")</f>
        <v/>
      </c>
      <c r="M753" s="3" t="str">
        <f aca="false">IFERROR(__xludf.dummyfunction("if($T753&lt;&gt;"""",REGEXEXTRACT($T753, M$1&amp;""[\w &amp;]*, (\d+\.\d+)""),"""")
"),"")</f>
        <v/>
      </c>
      <c r="N753" s="3" t="str">
        <f aca="false">IFERROR(__xludf.dummyfunction("if($T753&lt;&gt;"""",REGEXEXTRACT(SUBSTITUTE ($T753,N$1&amp;"" CE"",""""), N$1&amp;""[\w &amp;]*, (\d+\.\d+)""),"""")
"),"")</f>
        <v/>
      </c>
      <c r="O753" s="3" t="str">
        <f aca="false">IFERROR(__xludf.dummyfunction("if($T753&lt;&gt;"""",REGEXEXTRACT($T753, O$1&amp;""[\w &amp;]*, (\d+\.\d+)""),"""")
"),"")</f>
        <v/>
      </c>
      <c r="P753" s="2"/>
      <c r="Q753" s="2"/>
      <c r="R753" s="2"/>
      <c r="S753" s="2"/>
      <c r="T753" s="5"/>
    </row>
    <row r="754" customFormat="false" ht="15.75" hidden="false" customHeight="false" outlineLevel="0" collapsed="false">
      <c r="A754" s="4"/>
      <c r="B754" s="2"/>
      <c r="C754" s="2"/>
      <c r="D754" s="2"/>
      <c r="E754" s="2"/>
      <c r="F754" s="3" t="str">
        <f aca="false">IFERROR(__xludf.dummyfunction("if($T754&lt;&gt;"""",REGEXEXTRACT(SUBSTITUTE ($T754,F$1&amp;"" CE"",""""), F$1&amp;""[\w &amp;]*, (\d+\.\d+)""),"""")
"),"")</f>
        <v/>
      </c>
      <c r="G754" s="3" t="str">
        <f aca="false">IFERROR(__xludf.dummyfunction("if($T754&lt;&gt;"""",REGEXEXTRACT($T754, G$1&amp;""[\w &amp;]*, (\d+\.\d+)""),"""")
"),"")</f>
        <v/>
      </c>
      <c r="H754" s="3"/>
      <c r="I754" s="3" t="str">
        <f aca="false">IFERROR(__xludf.dummyfunction("if($T754&lt;&gt;"""",REGEXEXTRACT(SUBSTITUTE ($T754,I$1&amp;"" CE"",""""), I$1&amp;""[\w &amp;]*, (\d+\.\d+)""),"""")
"),"")</f>
        <v/>
      </c>
      <c r="J754" s="3" t="str">
        <f aca="false">IFERROR(__xludf.dummyfunction("if($T754&lt;&gt;"""",REGEXEXTRACT($T754, J$1&amp;""[\w &amp;]*, (\d+\.\d+)""),"""")
"),"")</f>
        <v/>
      </c>
      <c r="K754" s="3"/>
      <c r="L754" s="3" t="str">
        <f aca="false">IFERROR(__xludf.dummyfunction("if($T754&lt;&gt;"""",REGEXEXTRACT(SUBSTITUTE ($T754,L$1&amp;"" CE"",""""), L$1&amp;""[\w &amp;]*, (\d+\.\d+)""),"""")
"),"")</f>
        <v/>
      </c>
      <c r="M754" s="3" t="str">
        <f aca="false">IFERROR(__xludf.dummyfunction("if($T754&lt;&gt;"""",REGEXEXTRACT($T754, M$1&amp;""[\w &amp;]*, (\d+\.\d+)""),"""")
"),"")</f>
        <v/>
      </c>
      <c r="N754" s="3" t="str">
        <f aca="false">IFERROR(__xludf.dummyfunction("if($T754&lt;&gt;"""",REGEXEXTRACT(SUBSTITUTE ($T754,N$1&amp;"" CE"",""""), N$1&amp;""[\w &amp;]*, (\d+\.\d+)""),"""")
"),"")</f>
        <v/>
      </c>
      <c r="O754" s="3" t="str">
        <f aca="false">IFERROR(__xludf.dummyfunction("if($T754&lt;&gt;"""",REGEXEXTRACT($T754, O$1&amp;""[\w &amp;]*, (\d+\.\d+)""),"""")
"),"")</f>
        <v/>
      </c>
      <c r="P754" s="2"/>
      <c r="Q754" s="2"/>
      <c r="R754" s="2"/>
      <c r="S754" s="2"/>
      <c r="T754" s="5"/>
    </row>
    <row r="755" customFormat="false" ht="15.75" hidden="false" customHeight="false" outlineLevel="0" collapsed="false">
      <c r="A755" s="4"/>
      <c r="B755" s="2"/>
      <c r="C755" s="2"/>
      <c r="D755" s="2"/>
      <c r="E755" s="2"/>
      <c r="F755" s="3" t="str">
        <f aca="false">IFERROR(__xludf.dummyfunction("if($T755&lt;&gt;"""",REGEXEXTRACT(SUBSTITUTE ($T755,F$1&amp;"" CE"",""""), F$1&amp;""[\w &amp;]*, (\d+\.\d+)""),"""")
"),"")</f>
        <v/>
      </c>
      <c r="G755" s="3" t="str">
        <f aca="false">IFERROR(__xludf.dummyfunction("if($T755&lt;&gt;"""",REGEXEXTRACT($T755, G$1&amp;""[\w &amp;]*, (\d+\.\d+)""),"""")
"),"")</f>
        <v/>
      </c>
      <c r="H755" s="3"/>
      <c r="I755" s="3" t="str">
        <f aca="false">IFERROR(__xludf.dummyfunction("if($T755&lt;&gt;"""",REGEXEXTRACT(SUBSTITUTE ($T755,I$1&amp;"" CE"",""""), I$1&amp;""[\w &amp;]*, (\d+\.\d+)""),"""")
"),"")</f>
        <v/>
      </c>
      <c r="J755" s="3" t="str">
        <f aca="false">IFERROR(__xludf.dummyfunction("if($T755&lt;&gt;"""",REGEXEXTRACT($T755, J$1&amp;""[\w &amp;]*, (\d+\.\d+)""),"""")
"),"")</f>
        <v/>
      </c>
      <c r="K755" s="3"/>
      <c r="L755" s="3" t="str">
        <f aca="false">IFERROR(__xludf.dummyfunction("if($T755&lt;&gt;"""",REGEXEXTRACT(SUBSTITUTE ($T755,L$1&amp;"" CE"",""""), L$1&amp;""[\w &amp;]*, (\d+\.\d+)""),"""")
"),"")</f>
        <v/>
      </c>
      <c r="M755" s="3" t="str">
        <f aca="false">IFERROR(__xludf.dummyfunction("if($T755&lt;&gt;"""",REGEXEXTRACT($T755, M$1&amp;""[\w &amp;]*, (\d+\.\d+)""),"""")
"),"")</f>
        <v/>
      </c>
      <c r="N755" s="3" t="str">
        <f aca="false">IFERROR(__xludf.dummyfunction("if($T755&lt;&gt;"""",REGEXEXTRACT(SUBSTITUTE ($T755,N$1&amp;"" CE"",""""), N$1&amp;""[\w &amp;]*, (\d+\.\d+)""),"""")
"),"")</f>
        <v/>
      </c>
      <c r="O755" s="3" t="str">
        <f aca="false">IFERROR(__xludf.dummyfunction("if($T755&lt;&gt;"""",REGEXEXTRACT($T755, O$1&amp;""[\w &amp;]*, (\d+\.\d+)""),"""")
"),"")</f>
        <v/>
      </c>
      <c r="P755" s="2"/>
      <c r="Q755" s="2"/>
      <c r="R755" s="2"/>
      <c r="S755" s="2"/>
      <c r="T755" s="5"/>
    </row>
    <row r="756" customFormat="false" ht="15.75" hidden="false" customHeight="false" outlineLevel="0" collapsed="false">
      <c r="A756" s="4"/>
      <c r="B756" s="2"/>
      <c r="C756" s="2"/>
      <c r="D756" s="2"/>
      <c r="E756" s="2"/>
      <c r="F756" s="3" t="str">
        <f aca="false">IFERROR(__xludf.dummyfunction("if($T756&lt;&gt;"""",REGEXEXTRACT(SUBSTITUTE ($T756,F$1&amp;"" CE"",""""), F$1&amp;""[\w &amp;]*, (\d+\.\d+)""),"""")
"),"")</f>
        <v/>
      </c>
      <c r="G756" s="3" t="str">
        <f aca="false">IFERROR(__xludf.dummyfunction("if($T756&lt;&gt;"""",REGEXEXTRACT($T756, G$1&amp;""[\w &amp;]*, (\d+\.\d+)""),"""")
"),"")</f>
        <v/>
      </c>
      <c r="H756" s="3"/>
      <c r="I756" s="3" t="str">
        <f aca="false">IFERROR(__xludf.dummyfunction("if($T756&lt;&gt;"""",REGEXEXTRACT(SUBSTITUTE ($T756,I$1&amp;"" CE"",""""), I$1&amp;""[\w &amp;]*, (\d+\.\d+)""),"""")
"),"")</f>
        <v/>
      </c>
      <c r="J756" s="3" t="str">
        <f aca="false">IFERROR(__xludf.dummyfunction("if($T756&lt;&gt;"""",REGEXEXTRACT($T756, J$1&amp;""[\w &amp;]*, (\d+\.\d+)""),"""")
"),"")</f>
        <v/>
      </c>
      <c r="K756" s="3"/>
      <c r="L756" s="3" t="str">
        <f aca="false">IFERROR(__xludf.dummyfunction("if($T756&lt;&gt;"""",REGEXEXTRACT(SUBSTITUTE ($T756,L$1&amp;"" CE"",""""), L$1&amp;""[\w &amp;]*, (\d+\.\d+)""),"""")
"),"")</f>
        <v/>
      </c>
      <c r="M756" s="3" t="str">
        <f aca="false">IFERROR(__xludf.dummyfunction("if($T756&lt;&gt;"""",REGEXEXTRACT($T756, M$1&amp;""[\w &amp;]*, (\d+\.\d+)""),"""")
"),"")</f>
        <v/>
      </c>
      <c r="N756" s="3" t="str">
        <f aca="false">IFERROR(__xludf.dummyfunction("if($T756&lt;&gt;"""",REGEXEXTRACT(SUBSTITUTE ($T756,N$1&amp;"" CE"",""""), N$1&amp;""[\w &amp;]*, (\d+\.\d+)""),"""")
"),"")</f>
        <v/>
      </c>
      <c r="O756" s="3" t="str">
        <f aca="false">IFERROR(__xludf.dummyfunction("if($T756&lt;&gt;"""",REGEXEXTRACT($T756, O$1&amp;""[\w &amp;]*, (\d+\.\d+)""),"""")
"),"")</f>
        <v/>
      </c>
      <c r="P756" s="2"/>
      <c r="Q756" s="2"/>
      <c r="R756" s="2"/>
      <c r="S756" s="2"/>
      <c r="T756" s="5"/>
    </row>
    <row r="757" customFormat="false" ht="15.75" hidden="false" customHeight="false" outlineLevel="0" collapsed="false">
      <c r="A757" s="4"/>
      <c r="B757" s="2"/>
      <c r="C757" s="2"/>
      <c r="D757" s="2"/>
      <c r="E757" s="2"/>
      <c r="F757" s="3" t="str">
        <f aca="false">IFERROR(__xludf.dummyfunction("if($T757&lt;&gt;"""",REGEXEXTRACT(SUBSTITUTE ($T757,F$1&amp;"" CE"",""""), F$1&amp;""[\w &amp;]*, (\d+\.\d+)""),"""")
"),"")</f>
        <v/>
      </c>
      <c r="G757" s="3" t="str">
        <f aca="false">IFERROR(__xludf.dummyfunction("if($T757&lt;&gt;"""",REGEXEXTRACT($T757, G$1&amp;""[\w &amp;]*, (\d+\.\d+)""),"""")
"),"")</f>
        <v/>
      </c>
      <c r="H757" s="3"/>
      <c r="I757" s="3" t="str">
        <f aca="false">IFERROR(__xludf.dummyfunction("if($T757&lt;&gt;"""",REGEXEXTRACT(SUBSTITUTE ($T757,I$1&amp;"" CE"",""""), I$1&amp;""[\w &amp;]*, (\d+\.\d+)""),"""")
"),"")</f>
        <v/>
      </c>
      <c r="J757" s="3" t="str">
        <f aca="false">IFERROR(__xludf.dummyfunction("if($T757&lt;&gt;"""",REGEXEXTRACT($T757, J$1&amp;""[\w &amp;]*, (\d+\.\d+)""),"""")
"),"")</f>
        <v/>
      </c>
      <c r="K757" s="3"/>
      <c r="L757" s="3" t="str">
        <f aca="false">IFERROR(__xludf.dummyfunction("if($T757&lt;&gt;"""",REGEXEXTRACT(SUBSTITUTE ($T757,L$1&amp;"" CE"",""""), L$1&amp;""[\w &amp;]*, (\d+\.\d+)""),"""")
"),"")</f>
        <v/>
      </c>
      <c r="M757" s="3" t="str">
        <f aca="false">IFERROR(__xludf.dummyfunction("if($T757&lt;&gt;"""",REGEXEXTRACT($T757, M$1&amp;""[\w &amp;]*, (\d+\.\d+)""),"""")
"),"")</f>
        <v/>
      </c>
      <c r="N757" s="3" t="str">
        <f aca="false">IFERROR(__xludf.dummyfunction("if($T757&lt;&gt;"""",REGEXEXTRACT(SUBSTITUTE ($T757,N$1&amp;"" CE"",""""), N$1&amp;""[\w &amp;]*, (\d+\.\d+)""),"""")
"),"")</f>
        <v/>
      </c>
      <c r="O757" s="3" t="str">
        <f aca="false">IFERROR(__xludf.dummyfunction("if($T757&lt;&gt;"""",REGEXEXTRACT($T757, O$1&amp;""[\w &amp;]*, (\d+\.\d+)""),"""")
"),"")</f>
        <v/>
      </c>
      <c r="P757" s="2"/>
      <c r="Q757" s="2"/>
      <c r="R757" s="2"/>
      <c r="S757" s="2"/>
      <c r="T757" s="5"/>
    </row>
    <row r="758" customFormat="false" ht="15.75" hidden="false" customHeight="false" outlineLevel="0" collapsed="false">
      <c r="A758" s="4"/>
      <c r="B758" s="2"/>
      <c r="C758" s="2"/>
      <c r="D758" s="2"/>
      <c r="E758" s="2"/>
      <c r="F758" s="3" t="str">
        <f aca="false">IFERROR(__xludf.dummyfunction("if($T758&lt;&gt;"""",REGEXEXTRACT(SUBSTITUTE ($T758,F$1&amp;"" CE"",""""), F$1&amp;""[\w &amp;]*, (\d+\.\d+)""),"""")
"),"")</f>
        <v/>
      </c>
      <c r="G758" s="3" t="str">
        <f aca="false">IFERROR(__xludf.dummyfunction("if($T758&lt;&gt;"""",REGEXEXTRACT($T758, G$1&amp;""[\w &amp;]*, (\d+\.\d+)""),"""")
"),"")</f>
        <v/>
      </c>
      <c r="H758" s="3"/>
      <c r="I758" s="3" t="str">
        <f aca="false">IFERROR(__xludf.dummyfunction("if($T758&lt;&gt;"""",REGEXEXTRACT(SUBSTITUTE ($T758,I$1&amp;"" CE"",""""), I$1&amp;""[\w &amp;]*, (\d+\.\d+)""),"""")
"),"")</f>
        <v/>
      </c>
      <c r="J758" s="3" t="str">
        <f aca="false">IFERROR(__xludf.dummyfunction("if($T758&lt;&gt;"""",REGEXEXTRACT($T758, J$1&amp;""[\w &amp;]*, (\d+\.\d+)""),"""")
"),"")</f>
        <v/>
      </c>
      <c r="K758" s="3"/>
      <c r="L758" s="3" t="str">
        <f aca="false">IFERROR(__xludf.dummyfunction("if($T758&lt;&gt;"""",REGEXEXTRACT(SUBSTITUTE ($T758,L$1&amp;"" CE"",""""), L$1&amp;""[\w &amp;]*, (\d+\.\d+)""),"""")
"),"")</f>
        <v/>
      </c>
      <c r="M758" s="3" t="str">
        <f aca="false">IFERROR(__xludf.dummyfunction("if($T758&lt;&gt;"""",REGEXEXTRACT($T758, M$1&amp;""[\w &amp;]*, (\d+\.\d+)""),"""")
"),"")</f>
        <v/>
      </c>
      <c r="N758" s="3" t="str">
        <f aca="false">IFERROR(__xludf.dummyfunction("if($T758&lt;&gt;"""",REGEXEXTRACT(SUBSTITUTE ($T758,N$1&amp;"" CE"",""""), N$1&amp;""[\w &amp;]*, (\d+\.\d+)""),"""")
"),"")</f>
        <v/>
      </c>
      <c r="O758" s="3" t="str">
        <f aca="false">IFERROR(__xludf.dummyfunction("if($T758&lt;&gt;"""",REGEXEXTRACT($T758, O$1&amp;""[\w &amp;]*, (\d+\.\d+)""),"""")
"),"")</f>
        <v/>
      </c>
      <c r="P758" s="2"/>
      <c r="Q758" s="2"/>
      <c r="R758" s="2"/>
      <c r="S758" s="2"/>
      <c r="T758" s="5"/>
    </row>
    <row r="759" customFormat="false" ht="15.75" hidden="false" customHeight="false" outlineLevel="0" collapsed="false">
      <c r="A759" s="4"/>
      <c r="B759" s="2"/>
      <c r="C759" s="2"/>
      <c r="D759" s="2"/>
      <c r="E759" s="2"/>
      <c r="F759" s="3" t="str">
        <f aca="false">IFERROR(__xludf.dummyfunction("if($T759&lt;&gt;"""",REGEXEXTRACT(SUBSTITUTE ($T759,F$1&amp;"" CE"",""""), F$1&amp;""[\w &amp;]*, (\d+\.\d+)""),"""")
"),"")</f>
        <v/>
      </c>
      <c r="G759" s="3" t="str">
        <f aca="false">IFERROR(__xludf.dummyfunction("if($T759&lt;&gt;"""",REGEXEXTRACT($T759, G$1&amp;""[\w &amp;]*, (\d+\.\d+)""),"""")
"),"")</f>
        <v/>
      </c>
      <c r="H759" s="3"/>
      <c r="I759" s="3" t="str">
        <f aca="false">IFERROR(__xludf.dummyfunction("if($T759&lt;&gt;"""",REGEXEXTRACT(SUBSTITUTE ($T759,I$1&amp;"" CE"",""""), I$1&amp;""[\w &amp;]*, (\d+\.\d+)""),"""")
"),"")</f>
        <v/>
      </c>
      <c r="J759" s="3" t="str">
        <f aca="false">IFERROR(__xludf.dummyfunction("if($T759&lt;&gt;"""",REGEXEXTRACT($T759, J$1&amp;""[\w &amp;]*, (\d+\.\d+)""),"""")
"),"")</f>
        <v/>
      </c>
      <c r="K759" s="3"/>
      <c r="L759" s="3" t="str">
        <f aca="false">IFERROR(__xludf.dummyfunction("if($T759&lt;&gt;"""",REGEXEXTRACT(SUBSTITUTE ($T759,L$1&amp;"" CE"",""""), L$1&amp;""[\w &amp;]*, (\d+\.\d+)""),"""")
"),"")</f>
        <v/>
      </c>
      <c r="M759" s="3" t="str">
        <f aca="false">IFERROR(__xludf.dummyfunction("if($T759&lt;&gt;"""",REGEXEXTRACT($T759, M$1&amp;""[\w &amp;]*, (\d+\.\d+)""),"""")
"),"")</f>
        <v/>
      </c>
      <c r="N759" s="3" t="str">
        <f aca="false">IFERROR(__xludf.dummyfunction("if($T759&lt;&gt;"""",REGEXEXTRACT(SUBSTITUTE ($T759,N$1&amp;"" CE"",""""), N$1&amp;""[\w &amp;]*, (\d+\.\d+)""),"""")
"),"")</f>
        <v/>
      </c>
      <c r="O759" s="3" t="str">
        <f aca="false">IFERROR(__xludf.dummyfunction("if($T759&lt;&gt;"""",REGEXEXTRACT($T759, O$1&amp;""[\w &amp;]*, (\d+\.\d+)""),"""")
"),"")</f>
        <v/>
      </c>
      <c r="P759" s="2"/>
      <c r="Q759" s="2"/>
      <c r="R759" s="2"/>
      <c r="S759" s="2"/>
      <c r="T759" s="5"/>
    </row>
    <row r="760" customFormat="false" ht="15.75" hidden="false" customHeight="false" outlineLevel="0" collapsed="false">
      <c r="A760" s="4"/>
      <c r="B760" s="2"/>
      <c r="C760" s="2"/>
      <c r="D760" s="2"/>
      <c r="E760" s="2"/>
      <c r="F760" s="3" t="str">
        <f aca="false">IFERROR(__xludf.dummyfunction("if($T760&lt;&gt;"""",REGEXEXTRACT(SUBSTITUTE ($T760,F$1&amp;"" CE"",""""), F$1&amp;""[\w &amp;]*, (\d+\.\d+)""),"""")
"),"")</f>
        <v/>
      </c>
      <c r="G760" s="3" t="str">
        <f aca="false">IFERROR(__xludf.dummyfunction("if($T760&lt;&gt;"""",REGEXEXTRACT($T760, G$1&amp;""[\w &amp;]*, (\d+\.\d+)""),"""")
"),"")</f>
        <v/>
      </c>
      <c r="H760" s="3"/>
      <c r="I760" s="3" t="str">
        <f aca="false">IFERROR(__xludf.dummyfunction("if($T760&lt;&gt;"""",REGEXEXTRACT(SUBSTITUTE ($T760,I$1&amp;"" CE"",""""), I$1&amp;""[\w &amp;]*, (\d+\.\d+)""),"""")
"),"")</f>
        <v/>
      </c>
      <c r="J760" s="3" t="str">
        <f aca="false">IFERROR(__xludf.dummyfunction("if($T760&lt;&gt;"""",REGEXEXTRACT($T760, J$1&amp;""[\w &amp;]*, (\d+\.\d+)""),"""")
"),"")</f>
        <v/>
      </c>
      <c r="K760" s="3"/>
      <c r="L760" s="3" t="str">
        <f aca="false">IFERROR(__xludf.dummyfunction("if($T760&lt;&gt;"""",REGEXEXTRACT(SUBSTITUTE ($T760,L$1&amp;"" CE"",""""), L$1&amp;""[\w &amp;]*, (\d+\.\d+)""),"""")
"),"")</f>
        <v/>
      </c>
      <c r="M760" s="3" t="str">
        <f aca="false">IFERROR(__xludf.dummyfunction("if($T760&lt;&gt;"""",REGEXEXTRACT($T760, M$1&amp;""[\w &amp;]*, (\d+\.\d+)""),"""")
"),"")</f>
        <v/>
      </c>
      <c r="N760" s="3" t="str">
        <f aca="false">IFERROR(__xludf.dummyfunction("if($T760&lt;&gt;"""",REGEXEXTRACT(SUBSTITUTE ($T760,N$1&amp;"" CE"",""""), N$1&amp;""[\w &amp;]*, (\d+\.\d+)""),"""")
"),"")</f>
        <v/>
      </c>
      <c r="O760" s="3" t="str">
        <f aca="false">IFERROR(__xludf.dummyfunction("if($T760&lt;&gt;"""",REGEXEXTRACT($T760, O$1&amp;""[\w &amp;]*, (\d+\.\d+)""),"""")
"),"")</f>
        <v/>
      </c>
      <c r="P760" s="2"/>
      <c r="Q760" s="2"/>
      <c r="R760" s="2"/>
      <c r="S760" s="2"/>
      <c r="T760" s="5"/>
    </row>
    <row r="761" customFormat="false" ht="15.75" hidden="false" customHeight="false" outlineLevel="0" collapsed="false">
      <c r="A761" s="4"/>
      <c r="B761" s="2"/>
      <c r="C761" s="2"/>
      <c r="D761" s="2"/>
      <c r="E761" s="2"/>
      <c r="F761" s="3" t="str">
        <f aca="false">IFERROR(__xludf.dummyfunction("if($T761&lt;&gt;"""",REGEXEXTRACT(SUBSTITUTE ($T761,F$1&amp;"" CE"",""""), F$1&amp;""[\w &amp;]*, (\d+\.\d+)""),"""")
"),"")</f>
        <v/>
      </c>
      <c r="G761" s="3" t="str">
        <f aca="false">IFERROR(__xludf.dummyfunction("if($T761&lt;&gt;"""",REGEXEXTRACT($T761, G$1&amp;""[\w &amp;]*, (\d+\.\d+)""),"""")
"),"")</f>
        <v/>
      </c>
      <c r="H761" s="3"/>
      <c r="I761" s="3" t="str">
        <f aca="false">IFERROR(__xludf.dummyfunction("if($T761&lt;&gt;"""",REGEXEXTRACT(SUBSTITUTE ($T761,I$1&amp;"" CE"",""""), I$1&amp;""[\w &amp;]*, (\d+\.\d+)""),"""")
"),"")</f>
        <v/>
      </c>
      <c r="J761" s="3" t="str">
        <f aca="false">IFERROR(__xludf.dummyfunction("if($T761&lt;&gt;"""",REGEXEXTRACT($T761, J$1&amp;""[\w &amp;]*, (\d+\.\d+)""),"""")
"),"")</f>
        <v/>
      </c>
      <c r="K761" s="3"/>
      <c r="L761" s="3" t="str">
        <f aca="false">IFERROR(__xludf.dummyfunction("if($T761&lt;&gt;"""",REGEXEXTRACT(SUBSTITUTE ($T761,L$1&amp;"" CE"",""""), L$1&amp;""[\w &amp;]*, (\d+\.\d+)""),"""")
"),"")</f>
        <v/>
      </c>
      <c r="M761" s="3" t="str">
        <f aca="false">IFERROR(__xludf.dummyfunction("if($T761&lt;&gt;"""",REGEXEXTRACT($T761, M$1&amp;""[\w &amp;]*, (\d+\.\d+)""),"""")
"),"")</f>
        <v/>
      </c>
      <c r="N761" s="3" t="str">
        <f aca="false">IFERROR(__xludf.dummyfunction("if($T761&lt;&gt;"""",REGEXEXTRACT(SUBSTITUTE ($T761,N$1&amp;"" CE"",""""), N$1&amp;""[\w &amp;]*, (\d+\.\d+)""),"""")
"),"")</f>
        <v/>
      </c>
      <c r="O761" s="3" t="str">
        <f aca="false">IFERROR(__xludf.dummyfunction("if($T761&lt;&gt;"""",REGEXEXTRACT($T761, O$1&amp;""[\w &amp;]*, (\d+\.\d+)""),"""")
"),"")</f>
        <v/>
      </c>
      <c r="P761" s="2"/>
      <c r="Q761" s="2"/>
      <c r="R761" s="2"/>
      <c r="S761" s="2"/>
      <c r="T761" s="5"/>
    </row>
    <row r="762" customFormat="false" ht="15.75" hidden="false" customHeight="false" outlineLevel="0" collapsed="false">
      <c r="A762" s="4"/>
      <c r="B762" s="2"/>
      <c r="C762" s="2"/>
      <c r="D762" s="2"/>
      <c r="E762" s="2"/>
      <c r="F762" s="3" t="str">
        <f aca="false">IFERROR(__xludf.dummyfunction("if($T762&lt;&gt;"""",REGEXEXTRACT(SUBSTITUTE ($T762,F$1&amp;"" CE"",""""), F$1&amp;""[\w &amp;]*, (\d+\.\d+)""),"""")
"),"")</f>
        <v/>
      </c>
      <c r="G762" s="3" t="str">
        <f aca="false">IFERROR(__xludf.dummyfunction("if($T762&lt;&gt;"""",REGEXEXTRACT($T762, G$1&amp;""[\w &amp;]*, (\d+\.\d+)""),"""")
"),"")</f>
        <v/>
      </c>
      <c r="H762" s="3"/>
      <c r="I762" s="3" t="str">
        <f aca="false">IFERROR(__xludf.dummyfunction("if($T762&lt;&gt;"""",REGEXEXTRACT(SUBSTITUTE ($T762,I$1&amp;"" CE"",""""), I$1&amp;""[\w &amp;]*, (\d+\.\d+)""),"""")
"),"")</f>
        <v/>
      </c>
      <c r="J762" s="3" t="str">
        <f aca="false">IFERROR(__xludf.dummyfunction("if($T762&lt;&gt;"""",REGEXEXTRACT($T762, J$1&amp;""[\w &amp;]*, (\d+\.\d+)""),"""")
"),"")</f>
        <v/>
      </c>
      <c r="K762" s="3"/>
      <c r="L762" s="3" t="str">
        <f aca="false">IFERROR(__xludf.dummyfunction("if($T762&lt;&gt;"""",REGEXEXTRACT(SUBSTITUTE ($T762,L$1&amp;"" CE"",""""), L$1&amp;""[\w &amp;]*, (\d+\.\d+)""),"""")
"),"")</f>
        <v/>
      </c>
      <c r="M762" s="3" t="str">
        <f aca="false">IFERROR(__xludf.dummyfunction("if($T762&lt;&gt;"""",REGEXEXTRACT($T762, M$1&amp;""[\w &amp;]*, (\d+\.\d+)""),"""")
"),"")</f>
        <v/>
      </c>
      <c r="N762" s="3" t="str">
        <f aca="false">IFERROR(__xludf.dummyfunction("if($T762&lt;&gt;"""",REGEXEXTRACT(SUBSTITUTE ($T762,N$1&amp;"" CE"",""""), N$1&amp;""[\w &amp;]*, (\d+\.\d+)""),"""")
"),"")</f>
        <v/>
      </c>
      <c r="O762" s="3" t="str">
        <f aca="false">IFERROR(__xludf.dummyfunction("if($T762&lt;&gt;"""",REGEXEXTRACT($T762, O$1&amp;""[\w &amp;]*, (\d+\.\d+)""),"""")
"),"")</f>
        <v/>
      </c>
      <c r="P762" s="2"/>
      <c r="Q762" s="2"/>
      <c r="R762" s="2"/>
      <c r="S762" s="2"/>
      <c r="T762" s="5"/>
    </row>
    <row r="763" customFormat="false" ht="15.75" hidden="false" customHeight="false" outlineLevel="0" collapsed="false">
      <c r="A763" s="4"/>
      <c r="B763" s="2"/>
      <c r="C763" s="2"/>
      <c r="D763" s="2"/>
      <c r="E763" s="2"/>
      <c r="F763" s="3" t="str">
        <f aca="false">IFERROR(__xludf.dummyfunction("if($T763&lt;&gt;"""",REGEXEXTRACT(SUBSTITUTE ($T763,F$1&amp;"" CE"",""""), F$1&amp;""[\w &amp;]*, (\d+\.\d+)""),"""")
"),"")</f>
        <v/>
      </c>
      <c r="G763" s="3" t="str">
        <f aca="false">IFERROR(__xludf.dummyfunction("if($T763&lt;&gt;"""",REGEXEXTRACT($T763, G$1&amp;""[\w &amp;]*, (\d+\.\d+)""),"""")
"),"")</f>
        <v/>
      </c>
      <c r="H763" s="3"/>
      <c r="I763" s="3" t="str">
        <f aca="false">IFERROR(__xludf.dummyfunction("if($T763&lt;&gt;"""",REGEXEXTRACT(SUBSTITUTE ($T763,I$1&amp;"" CE"",""""), I$1&amp;""[\w &amp;]*, (\d+\.\d+)""),"""")
"),"")</f>
        <v/>
      </c>
      <c r="J763" s="3" t="str">
        <f aca="false">IFERROR(__xludf.dummyfunction("if($T763&lt;&gt;"""",REGEXEXTRACT($T763, J$1&amp;""[\w &amp;]*, (\d+\.\d+)""),"""")
"),"")</f>
        <v/>
      </c>
      <c r="K763" s="3"/>
      <c r="L763" s="3" t="str">
        <f aca="false">IFERROR(__xludf.dummyfunction("if($T763&lt;&gt;"""",REGEXEXTRACT(SUBSTITUTE ($T763,L$1&amp;"" CE"",""""), L$1&amp;""[\w &amp;]*, (\d+\.\d+)""),"""")
"),"")</f>
        <v/>
      </c>
      <c r="M763" s="3" t="str">
        <f aca="false">IFERROR(__xludf.dummyfunction("if($T763&lt;&gt;"""",REGEXEXTRACT($T763, M$1&amp;""[\w &amp;]*, (\d+\.\d+)""),"""")
"),"")</f>
        <v/>
      </c>
      <c r="N763" s="3" t="str">
        <f aca="false">IFERROR(__xludf.dummyfunction("if($T763&lt;&gt;"""",REGEXEXTRACT(SUBSTITUTE ($T763,N$1&amp;"" CE"",""""), N$1&amp;""[\w &amp;]*, (\d+\.\d+)""),"""")
"),"")</f>
        <v/>
      </c>
      <c r="O763" s="3" t="str">
        <f aca="false">IFERROR(__xludf.dummyfunction("if($T763&lt;&gt;"""",REGEXEXTRACT($T763, O$1&amp;""[\w &amp;]*, (\d+\.\d+)""),"""")
"),"")</f>
        <v/>
      </c>
      <c r="P763" s="2"/>
      <c r="Q763" s="2"/>
      <c r="R763" s="2"/>
      <c r="S763" s="2"/>
      <c r="T763" s="5"/>
    </row>
    <row r="764" customFormat="false" ht="15.75" hidden="false" customHeight="false" outlineLevel="0" collapsed="false">
      <c r="A764" s="4"/>
      <c r="B764" s="2"/>
      <c r="C764" s="2"/>
      <c r="D764" s="2"/>
      <c r="E764" s="2"/>
      <c r="F764" s="3" t="str">
        <f aca="false">IFERROR(__xludf.dummyfunction("if($T764&lt;&gt;"""",REGEXEXTRACT(SUBSTITUTE ($T764,F$1&amp;"" CE"",""""), F$1&amp;""[\w &amp;]*, (\d+\.\d+)""),"""")
"),"")</f>
        <v/>
      </c>
      <c r="G764" s="3" t="str">
        <f aca="false">IFERROR(__xludf.dummyfunction("if($T764&lt;&gt;"""",REGEXEXTRACT($T764, G$1&amp;""[\w &amp;]*, (\d+\.\d+)""),"""")
"),"")</f>
        <v/>
      </c>
      <c r="H764" s="3"/>
      <c r="I764" s="3" t="str">
        <f aca="false">IFERROR(__xludf.dummyfunction("if($T764&lt;&gt;"""",REGEXEXTRACT(SUBSTITUTE ($T764,I$1&amp;"" CE"",""""), I$1&amp;""[\w &amp;]*, (\d+\.\d+)""),"""")
"),"")</f>
        <v/>
      </c>
      <c r="J764" s="3" t="str">
        <f aca="false">IFERROR(__xludf.dummyfunction("if($T764&lt;&gt;"""",REGEXEXTRACT($T764, J$1&amp;""[\w &amp;]*, (\d+\.\d+)""),"""")
"),"")</f>
        <v/>
      </c>
      <c r="K764" s="3"/>
      <c r="L764" s="3" t="str">
        <f aca="false">IFERROR(__xludf.dummyfunction("if($T764&lt;&gt;"""",REGEXEXTRACT(SUBSTITUTE ($T764,L$1&amp;"" CE"",""""), L$1&amp;""[\w &amp;]*, (\d+\.\d+)""),"""")
"),"")</f>
        <v/>
      </c>
      <c r="M764" s="3" t="str">
        <f aca="false">IFERROR(__xludf.dummyfunction("if($T764&lt;&gt;"""",REGEXEXTRACT($T764, M$1&amp;""[\w &amp;]*, (\d+\.\d+)""),"""")
"),"")</f>
        <v/>
      </c>
      <c r="N764" s="3" t="str">
        <f aca="false">IFERROR(__xludf.dummyfunction("if($T764&lt;&gt;"""",REGEXEXTRACT(SUBSTITUTE ($T764,N$1&amp;"" CE"",""""), N$1&amp;""[\w &amp;]*, (\d+\.\d+)""),"""")
"),"")</f>
        <v/>
      </c>
      <c r="O764" s="3" t="str">
        <f aca="false">IFERROR(__xludf.dummyfunction("if($T764&lt;&gt;"""",REGEXEXTRACT($T764, O$1&amp;""[\w &amp;]*, (\d+\.\d+)""),"""")
"),"")</f>
        <v/>
      </c>
      <c r="P764" s="2"/>
      <c r="Q764" s="2"/>
      <c r="R764" s="2"/>
      <c r="S764" s="2"/>
      <c r="T764" s="5"/>
    </row>
    <row r="765" customFormat="false" ht="15.75" hidden="false" customHeight="false" outlineLevel="0" collapsed="false">
      <c r="A765" s="4"/>
      <c r="B765" s="2"/>
      <c r="C765" s="2"/>
      <c r="D765" s="2"/>
      <c r="E765" s="2"/>
      <c r="F765" s="3" t="str">
        <f aca="false">IFERROR(__xludf.dummyfunction("if($T765&lt;&gt;"""",REGEXEXTRACT(SUBSTITUTE ($T765,F$1&amp;"" CE"",""""), F$1&amp;""[\w &amp;]*, (\d+\.\d+)""),"""")
"),"")</f>
        <v/>
      </c>
      <c r="G765" s="3" t="str">
        <f aca="false">IFERROR(__xludf.dummyfunction("if($T765&lt;&gt;"""",REGEXEXTRACT($T765, G$1&amp;""[\w &amp;]*, (\d+\.\d+)""),"""")
"),"")</f>
        <v/>
      </c>
      <c r="H765" s="3"/>
      <c r="I765" s="3" t="str">
        <f aca="false">IFERROR(__xludf.dummyfunction("if($T765&lt;&gt;"""",REGEXEXTRACT(SUBSTITUTE ($T765,I$1&amp;"" CE"",""""), I$1&amp;""[\w &amp;]*, (\d+\.\d+)""),"""")
"),"")</f>
        <v/>
      </c>
      <c r="J765" s="3" t="str">
        <f aca="false">IFERROR(__xludf.dummyfunction("if($T765&lt;&gt;"""",REGEXEXTRACT($T765, J$1&amp;""[\w &amp;]*, (\d+\.\d+)""),"""")
"),"")</f>
        <v/>
      </c>
      <c r="K765" s="3"/>
      <c r="L765" s="3" t="str">
        <f aca="false">IFERROR(__xludf.dummyfunction("if($T765&lt;&gt;"""",REGEXEXTRACT(SUBSTITUTE ($T765,L$1&amp;"" CE"",""""), L$1&amp;""[\w &amp;]*, (\d+\.\d+)""),"""")
"),"")</f>
        <v/>
      </c>
      <c r="M765" s="3" t="str">
        <f aca="false">IFERROR(__xludf.dummyfunction("if($T765&lt;&gt;"""",REGEXEXTRACT($T765, M$1&amp;""[\w &amp;]*, (\d+\.\d+)""),"""")
"),"")</f>
        <v/>
      </c>
      <c r="N765" s="3" t="str">
        <f aca="false">IFERROR(__xludf.dummyfunction("if($T765&lt;&gt;"""",REGEXEXTRACT(SUBSTITUTE ($T765,N$1&amp;"" CE"",""""), N$1&amp;""[\w &amp;]*, (\d+\.\d+)""),"""")
"),"")</f>
        <v/>
      </c>
      <c r="O765" s="3" t="str">
        <f aca="false">IFERROR(__xludf.dummyfunction("if($T765&lt;&gt;"""",REGEXEXTRACT($T765, O$1&amp;""[\w &amp;]*, (\d+\.\d+)""),"""")
"),"")</f>
        <v/>
      </c>
      <c r="P765" s="2"/>
      <c r="Q765" s="2"/>
      <c r="R765" s="2"/>
      <c r="S765" s="2"/>
      <c r="T765" s="5"/>
    </row>
    <row r="766" customFormat="false" ht="15.75" hidden="false" customHeight="false" outlineLevel="0" collapsed="false">
      <c r="A766" s="4"/>
      <c r="B766" s="2"/>
      <c r="C766" s="2"/>
      <c r="D766" s="2"/>
      <c r="E766" s="2"/>
      <c r="F766" s="3" t="str">
        <f aca="false">IFERROR(__xludf.dummyfunction("if($T766&lt;&gt;"""",REGEXEXTRACT(SUBSTITUTE ($T766,F$1&amp;"" CE"",""""), F$1&amp;""[\w &amp;]*, (\d+\.\d+)""),"""")
"),"")</f>
        <v/>
      </c>
      <c r="G766" s="3" t="str">
        <f aca="false">IFERROR(__xludf.dummyfunction("if($T766&lt;&gt;"""",REGEXEXTRACT($T766, G$1&amp;""[\w &amp;]*, (\d+\.\d+)""),"""")
"),"")</f>
        <v/>
      </c>
      <c r="H766" s="3"/>
      <c r="I766" s="3" t="str">
        <f aca="false">IFERROR(__xludf.dummyfunction("if($T766&lt;&gt;"""",REGEXEXTRACT(SUBSTITUTE ($T766,I$1&amp;"" CE"",""""), I$1&amp;""[\w &amp;]*, (\d+\.\d+)""),"""")
"),"")</f>
        <v/>
      </c>
      <c r="J766" s="3" t="str">
        <f aca="false">IFERROR(__xludf.dummyfunction("if($T766&lt;&gt;"""",REGEXEXTRACT($T766, J$1&amp;""[\w &amp;]*, (\d+\.\d+)""),"""")
"),"")</f>
        <v/>
      </c>
      <c r="K766" s="3"/>
      <c r="L766" s="3" t="str">
        <f aca="false">IFERROR(__xludf.dummyfunction("if($T766&lt;&gt;"""",REGEXEXTRACT(SUBSTITUTE ($T766,L$1&amp;"" CE"",""""), L$1&amp;""[\w &amp;]*, (\d+\.\d+)""),"""")
"),"")</f>
        <v/>
      </c>
      <c r="M766" s="3" t="str">
        <f aca="false">IFERROR(__xludf.dummyfunction("if($T766&lt;&gt;"""",REGEXEXTRACT($T766, M$1&amp;""[\w &amp;]*, (\d+\.\d+)""),"""")
"),"")</f>
        <v/>
      </c>
      <c r="N766" s="3" t="str">
        <f aca="false">IFERROR(__xludf.dummyfunction("if($T766&lt;&gt;"""",REGEXEXTRACT(SUBSTITUTE ($T766,N$1&amp;"" CE"",""""), N$1&amp;""[\w &amp;]*, (\d+\.\d+)""),"""")
"),"")</f>
        <v/>
      </c>
      <c r="O766" s="3" t="str">
        <f aca="false">IFERROR(__xludf.dummyfunction("if($T766&lt;&gt;"""",REGEXEXTRACT($T766, O$1&amp;""[\w &amp;]*, (\d+\.\d+)""),"""")
"),"")</f>
        <v/>
      </c>
      <c r="P766" s="2"/>
      <c r="Q766" s="2"/>
      <c r="R766" s="2"/>
      <c r="S766" s="2"/>
      <c r="T766" s="5"/>
    </row>
    <row r="767" customFormat="false" ht="15.75" hidden="false" customHeight="false" outlineLevel="0" collapsed="false">
      <c r="A767" s="4"/>
      <c r="B767" s="2"/>
      <c r="C767" s="2"/>
      <c r="D767" s="2"/>
      <c r="E767" s="2"/>
      <c r="F767" s="3" t="str">
        <f aca="false">IFERROR(__xludf.dummyfunction("if($T767&lt;&gt;"""",REGEXEXTRACT(SUBSTITUTE ($T767,F$1&amp;"" CE"",""""), F$1&amp;""[\w &amp;]*, (\d+\.\d+)""),"""")
"),"")</f>
        <v/>
      </c>
      <c r="G767" s="3" t="str">
        <f aca="false">IFERROR(__xludf.dummyfunction("if($T767&lt;&gt;"""",REGEXEXTRACT($T767, G$1&amp;""[\w &amp;]*, (\d+\.\d+)""),"""")
"),"")</f>
        <v/>
      </c>
      <c r="H767" s="3"/>
      <c r="I767" s="3" t="str">
        <f aca="false">IFERROR(__xludf.dummyfunction("if($T767&lt;&gt;"""",REGEXEXTRACT(SUBSTITUTE ($T767,I$1&amp;"" CE"",""""), I$1&amp;""[\w &amp;]*, (\d+\.\d+)""),"""")
"),"")</f>
        <v/>
      </c>
      <c r="J767" s="3" t="str">
        <f aca="false">IFERROR(__xludf.dummyfunction("if($T767&lt;&gt;"""",REGEXEXTRACT($T767, J$1&amp;""[\w &amp;]*, (\d+\.\d+)""),"""")
"),"")</f>
        <v/>
      </c>
      <c r="K767" s="3"/>
      <c r="L767" s="3" t="str">
        <f aca="false">IFERROR(__xludf.dummyfunction("if($T767&lt;&gt;"""",REGEXEXTRACT(SUBSTITUTE ($T767,L$1&amp;"" CE"",""""), L$1&amp;""[\w &amp;]*, (\d+\.\d+)""),"""")
"),"")</f>
        <v/>
      </c>
      <c r="M767" s="3" t="str">
        <f aca="false">IFERROR(__xludf.dummyfunction("if($T767&lt;&gt;"""",REGEXEXTRACT($T767, M$1&amp;""[\w &amp;]*, (\d+\.\d+)""),"""")
"),"")</f>
        <v/>
      </c>
      <c r="N767" s="3" t="str">
        <f aca="false">IFERROR(__xludf.dummyfunction("if($T767&lt;&gt;"""",REGEXEXTRACT(SUBSTITUTE ($T767,N$1&amp;"" CE"",""""), N$1&amp;""[\w &amp;]*, (\d+\.\d+)""),"""")
"),"")</f>
        <v/>
      </c>
      <c r="O767" s="3" t="str">
        <f aca="false">IFERROR(__xludf.dummyfunction("if($T767&lt;&gt;"""",REGEXEXTRACT($T767, O$1&amp;""[\w &amp;]*, (\d+\.\d+)""),"""")
"),"")</f>
        <v/>
      </c>
      <c r="P767" s="2"/>
      <c r="Q767" s="2"/>
      <c r="R767" s="2"/>
      <c r="S767" s="2"/>
      <c r="T767" s="5"/>
    </row>
    <row r="768" customFormat="false" ht="15.75" hidden="false" customHeight="false" outlineLevel="0" collapsed="false">
      <c r="A768" s="4"/>
      <c r="B768" s="2"/>
      <c r="C768" s="2"/>
      <c r="D768" s="2"/>
      <c r="E768" s="2"/>
      <c r="F768" s="3" t="str">
        <f aca="false">IFERROR(__xludf.dummyfunction("if($T768&lt;&gt;"""",REGEXEXTRACT(SUBSTITUTE ($T768,F$1&amp;"" CE"",""""), F$1&amp;""[\w &amp;]*, (\d+\.\d+)""),"""")
"),"")</f>
        <v/>
      </c>
      <c r="G768" s="3" t="str">
        <f aca="false">IFERROR(__xludf.dummyfunction("if($T768&lt;&gt;"""",REGEXEXTRACT($T768, G$1&amp;""[\w &amp;]*, (\d+\.\d+)""),"""")
"),"")</f>
        <v/>
      </c>
      <c r="H768" s="3"/>
      <c r="I768" s="3" t="str">
        <f aca="false">IFERROR(__xludf.dummyfunction("if($T768&lt;&gt;"""",REGEXEXTRACT(SUBSTITUTE ($T768,I$1&amp;"" CE"",""""), I$1&amp;""[\w &amp;]*, (\d+\.\d+)""),"""")
"),"")</f>
        <v/>
      </c>
      <c r="J768" s="3" t="str">
        <f aca="false">IFERROR(__xludf.dummyfunction("if($T768&lt;&gt;"""",REGEXEXTRACT($T768, J$1&amp;""[\w &amp;]*, (\d+\.\d+)""),"""")
"),"")</f>
        <v/>
      </c>
      <c r="K768" s="3"/>
      <c r="L768" s="3" t="str">
        <f aca="false">IFERROR(__xludf.dummyfunction("if($T768&lt;&gt;"""",REGEXEXTRACT(SUBSTITUTE ($T768,L$1&amp;"" CE"",""""), L$1&amp;""[\w &amp;]*, (\d+\.\d+)""),"""")
"),"")</f>
        <v/>
      </c>
      <c r="M768" s="3" t="str">
        <f aca="false">IFERROR(__xludf.dummyfunction("if($T768&lt;&gt;"""",REGEXEXTRACT($T768, M$1&amp;""[\w &amp;]*, (\d+\.\d+)""),"""")
"),"")</f>
        <v/>
      </c>
      <c r="N768" s="3" t="str">
        <f aca="false">IFERROR(__xludf.dummyfunction("if($T768&lt;&gt;"""",REGEXEXTRACT(SUBSTITUTE ($T768,N$1&amp;"" CE"",""""), N$1&amp;""[\w &amp;]*, (\d+\.\d+)""),"""")
"),"")</f>
        <v/>
      </c>
      <c r="O768" s="3" t="str">
        <f aca="false">IFERROR(__xludf.dummyfunction("if($T768&lt;&gt;"""",REGEXEXTRACT($T768, O$1&amp;""[\w &amp;]*, (\d+\.\d+)""),"""")
"),"")</f>
        <v/>
      </c>
      <c r="P768" s="2"/>
      <c r="Q768" s="2"/>
      <c r="R768" s="2"/>
      <c r="S768" s="2"/>
      <c r="T768" s="5"/>
    </row>
    <row r="769" customFormat="false" ht="15.75" hidden="false" customHeight="false" outlineLevel="0" collapsed="false">
      <c r="A769" s="4"/>
      <c r="B769" s="2"/>
      <c r="C769" s="2"/>
      <c r="D769" s="2"/>
      <c r="E769" s="2"/>
      <c r="F769" s="3" t="str">
        <f aca="false">IFERROR(__xludf.dummyfunction("if($T769&lt;&gt;"""",REGEXEXTRACT(SUBSTITUTE ($T769,F$1&amp;"" CE"",""""), F$1&amp;""[\w &amp;]*, (\d+\.\d+)""),"""")
"),"")</f>
        <v/>
      </c>
      <c r="G769" s="3" t="str">
        <f aca="false">IFERROR(__xludf.dummyfunction("if($T769&lt;&gt;"""",REGEXEXTRACT($T769, G$1&amp;""[\w &amp;]*, (\d+\.\d+)""),"""")
"),"")</f>
        <v/>
      </c>
      <c r="H769" s="3"/>
      <c r="I769" s="3" t="str">
        <f aca="false">IFERROR(__xludf.dummyfunction("if($T769&lt;&gt;"""",REGEXEXTRACT(SUBSTITUTE ($T769,I$1&amp;"" CE"",""""), I$1&amp;""[\w &amp;]*, (\d+\.\d+)""),"""")
"),"")</f>
        <v/>
      </c>
      <c r="J769" s="3" t="str">
        <f aca="false">IFERROR(__xludf.dummyfunction("if($T769&lt;&gt;"""",REGEXEXTRACT($T769, J$1&amp;""[\w &amp;]*, (\d+\.\d+)""),"""")
"),"")</f>
        <v/>
      </c>
      <c r="K769" s="3"/>
      <c r="L769" s="3" t="str">
        <f aca="false">IFERROR(__xludf.dummyfunction("if($T769&lt;&gt;"""",REGEXEXTRACT(SUBSTITUTE ($T769,L$1&amp;"" CE"",""""), L$1&amp;""[\w &amp;]*, (\d+\.\d+)""),"""")
"),"")</f>
        <v/>
      </c>
      <c r="M769" s="3" t="str">
        <f aca="false">IFERROR(__xludf.dummyfunction("if($T769&lt;&gt;"""",REGEXEXTRACT($T769, M$1&amp;""[\w &amp;]*, (\d+\.\d+)""),"""")
"),"")</f>
        <v/>
      </c>
      <c r="N769" s="3" t="str">
        <f aca="false">IFERROR(__xludf.dummyfunction("if($T769&lt;&gt;"""",REGEXEXTRACT(SUBSTITUTE ($T769,N$1&amp;"" CE"",""""), N$1&amp;""[\w &amp;]*, (\d+\.\d+)""),"""")
"),"")</f>
        <v/>
      </c>
      <c r="O769" s="3" t="str">
        <f aca="false">IFERROR(__xludf.dummyfunction("if($T769&lt;&gt;"""",REGEXEXTRACT($T769, O$1&amp;""[\w &amp;]*, (\d+\.\d+)""),"""")
"),"")</f>
        <v/>
      </c>
      <c r="P769" s="2"/>
      <c r="Q769" s="2"/>
      <c r="R769" s="2"/>
      <c r="S769" s="2"/>
      <c r="T769" s="5"/>
    </row>
    <row r="770" customFormat="false" ht="15.75" hidden="false" customHeight="false" outlineLevel="0" collapsed="false">
      <c r="A770" s="4"/>
      <c r="B770" s="2"/>
      <c r="C770" s="2"/>
      <c r="D770" s="2"/>
      <c r="E770" s="2"/>
      <c r="F770" s="3" t="str">
        <f aca="false">IFERROR(__xludf.dummyfunction("if($T770&lt;&gt;"""",REGEXEXTRACT(SUBSTITUTE ($T770,F$1&amp;"" CE"",""""), F$1&amp;""[\w &amp;]*, (\d+\.\d+)""),"""")
"),"")</f>
        <v/>
      </c>
      <c r="G770" s="3" t="str">
        <f aca="false">IFERROR(__xludf.dummyfunction("if($T770&lt;&gt;"""",REGEXEXTRACT($T770, G$1&amp;""[\w &amp;]*, (\d+\.\d+)""),"""")
"),"")</f>
        <v/>
      </c>
      <c r="H770" s="3"/>
      <c r="I770" s="3" t="str">
        <f aca="false">IFERROR(__xludf.dummyfunction("if($T770&lt;&gt;"""",REGEXEXTRACT(SUBSTITUTE ($T770,I$1&amp;"" CE"",""""), I$1&amp;""[\w &amp;]*, (\d+\.\d+)""),"""")
"),"")</f>
        <v/>
      </c>
      <c r="J770" s="3" t="str">
        <f aca="false">IFERROR(__xludf.dummyfunction("if($T770&lt;&gt;"""",REGEXEXTRACT($T770, J$1&amp;""[\w &amp;]*, (\d+\.\d+)""),"""")
"),"")</f>
        <v/>
      </c>
      <c r="K770" s="3"/>
      <c r="L770" s="3" t="str">
        <f aca="false">IFERROR(__xludf.dummyfunction("if($T770&lt;&gt;"""",REGEXEXTRACT(SUBSTITUTE ($T770,L$1&amp;"" CE"",""""), L$1&amp;""[\w &amp;]*, (\d+\.\d+)""),"""")
"),"")</f>
        <v/>
      </c>
      <c r="M770" s="3" t="str">
        <f aca="false">IFERROR(__xludf.dummyfunction("if($T770&lt;&gt;"""",REGEXEXTRACT($T770, M$1&amp;""[\w &amp;]*, (\d+\.\d+)""),"""")
"),"")</f>
        <v/>
      </c>
      <c r="N770" s="3" t="str">
        <f aca="false">IFERROR(__xludf.dummyfunction("if($T770&lt;&gt;"""",REGEXEXTRACT(SUBSTITUTE ($T770,N$1&amp;"" CE"",""""), N$1&amp;""[\w &amp;]*, (\d+\.\d+)""),"""")
"),"")</f>
        <v/>
      </c>
      <c r="O770" s="3" t="str">
        <f aca="false">IFERROR(__xludf.dummyfunction("if($T770&lt;&gt;"""",REGEXEXTRACT($T770, O$1&amp;""[\w &amp;]*, (\d+\.\d+)""),"""")
"),"")</f>
        <v/>
      </c>
      <c r="P770" s="2"/>
      <c r="Q770" s="2"/>
      <c r="R770" s="2"/>
      <c r="S770" s="2"/>
      <c r="T770" s="5"/>
    </row>
    <row r="771" customFormat="false" ht="15.75" hidden="false" customHeight="false" outlineLevel="0" collapsed="false">
      <c r="A771" s="4"/>
      <c r="B771" s="2"/>
      <c r="C771" s="2"/>
      <c r="D771" s="2"/>
      <c r="E771" s="2"/>
      <c r="F771" s="3" t="str">
        <f aca="false">IFERROR(__xludf.dummyfunction("if($T771&lt;&gt;"""",REGEXEXTRACT(SUBSTITUTE ($T771,F$1&amp;"" CE"",""""), F$1&amp;""[\w &amp;]*, (\d+\.\d+)""),"""")
"),"")</f>
        <v/>
      </c>
      <c r="G771" s="3" t="str">
        <f aca="false">IFERROR(__xludf.dummyfunction("if($T771&lt;&gt;"""",REGEXEXTRACT($T771, G$1&amp;""[\w &amp;]*, (\d+\.\d+)""),"""")
"),"")</f>
        <v/>
      </c>
      <c r="H771" s="3"/>
      <c r="I771" s="3" t="str">
        <f aca="false">IFERROR(__xludf.dummyfunction("if($T771&lt;&gt;"""",REGEXEXTRACT(SUBSTITUTE ($T771,I$1&amp;"" CE"",""""), I$1&amp;""[\w &amp;]*, (\d+\.\d+)""),"""")
"),"")</f>
        <v/>
      </c>
      <c r="J771" s="3" t="str">
        <f aca="false">IFERROR(__xludf.dummyfunction("if($T771&lt;&gt;"""",REGEXEXTRACT($T771, J$1&amp;""[\w &amp;]*, (\d+\.\d+)""),"""")
"),"")</f>
        <v/>
      </c>
      <c r="K771" s="3"/>
      <c r="L771" s="3" t="str">
        <f aca="false">IFERROR(__xludf.dummyfunction("if($T771&lt;&gt;"""",REGEXEXTRACT(SUBSTITUTE ($T771,L$1&amp;"" CE"",""""), L$1&amp;""[\w &amp;]*, (\d+\.\d+)""),"""")
"),"")</f>
        <v/>
      </c>
      <c r="M771" s="3" t="str">
        <f aca="false">IFERROR(__xludf.dummyfunction("if($T771&lt;&gt;"""",REGEXEXTRACT($T771, M$1&amp;""[\w &amp;]*, (\d+\.\d+)""),"""")
"),"")</f>
        <v/>
      </c>
      <c r="N771" s="3" t="str">
        <f aca="false">IFERROR(__xludf.dummyfunction("if($T771&lt;&gt;"""",REGEXEXTRACT(SUBSTITUTE ($T771,N$1&amp;"" CE"",""""), N$1&amp;""[\w &amp;]*, (\d+\.\d+)""),"""")
"),"")</f>
        <v/>
      </c>
      <c r="O771" s="3" t="str">
        <f aca="false">IFERROR(__xludf.dummyfunction("if($T771&lt;&gt;"""",REGEXEXTRACT($T771, O$1&amp;""[\w &amp;]*, (\d+\.\d+)""),"""")
"),"")</f>
        <v/>
      </c>
      <c r="P771" s="2"/>
      <c r="Q771" s="2"/>
      <c r="R771" s="2"/>
      <c r="S771" s="2"/>
      <c r="T771" s="5"/>
    </row>
    <row r="772" customFormat="false" ht="15.75" hidden="false" customHeight="false" outlineLevel="0" collapsed="false">
      <c r="A772" s="4"/>
      <c r="B772" s="2"/>
      <c r="C772" s="2"/>
      <c r="D772" s="2"/>
      <c r="E772" s="2"/>
      <c r="F772" s="3" t="str">
        <f aca="false">IFERROR(__xludf.dummyfunction("if($T772&lt;&gt;"""",REGEXEXTRACT(SUBSTITUTE ($T772,F$1&amp;"" CE"",""""), F$1&amp;""[\w &amp;]*, (\d+\.\d+)""),"""")
"),"")</f>
        <v/>
      </c>
      <c r="G772" s="3" t="str">
        <f aca="false">IFERROR(__xludf.dummyfunction("if($T772&lt;&gt;"""",REGEXEXTRACT($T772, G$1&amp;""[\w &amp;]*, (\d+\.\d+)""),"""")
"),"")</f>
        <v/>
      </c>
      <c r="H772" s="3"/>
      <c r="I772" s="3" t="str">
        <f aca="false">IFERROR(__xludf.dummyfunction("if($T772&lt;&gt;"""",REGEXEXTRACT(SUBSTITUTE ($T772,I$1&amp;"" CE"",""""), I$1&amp;""[\w &amp;]*, (\d+\.\d+)""),"""")
"),"")</f>
        <v/>
      </c>
      <c r="J772" s="3" t="str">
        <f aca="false">IFERROR(__xludf.dummyfunction("if($T772&lt;&gt;"""",REGEXEXTRACT($T772, J$1&amp;""[\w &amp;]*, (\d+\.\d+)""),"""")
"),"")</f>
        <v/>
      </c>
      <c r="K772" s="3"/>
      <c r="L772" s="3" t="str">
        <f aca="false">IFERROR(__xludf.dummyfunction("if($T772&lt;&gt;"""",REGEXEXTRACT(SUBSTITUTE ($T772,L$1&amp;"" CE"",""""), L$1&amp;""[\w &amp;]*, (\d+\.\d+)""),"""")
"),"")</f>
        <v/>
      </c>
      <c r="M772" s="3" t="str">
        <f aca="false">IFERROR(__xludf.dummyfunction("if($T772&lt;&gt;"""",REGEXEXTRACT($T772, M$1&amp;""[\w &amp;]*, (\d+\.\d+)""),"""")
"),"")</f>
        <v/>
      </c>
      <c r="N772" s="3" t="str">
        <f aca="false">IFERROR(__xludf.dummyfunction("if($T772&lt;&gt;"""",REGEXEXTRACT(SUBSTITUTE ($T772,N$1&amp;"" CE"",""""), N$1&amp;""[\w &amp;]*, (\d+\.\d+)""),"""")
"),"")</f>
        <v/>
      </c>
      <c r="O772" s="3" t="str">
        <f aca="false">IFERROR(__xludf.dummyfunction("if($T772&lt;&gt;"""",REGEXEXTRACT($T772, O$1&amp;""[\w &amp;]*, (\d+\.\d+)""),"""")
"),"")</f>
        <v/>
      </c>
      <c r="P772" s="2"/>
      <c r="Q772" s="2"/>
      <c r="R772" s="2"/>
      <c r="S772" s="2"/>
      <c r="T772" s="5"/>
    </row>
    <row r="773" customFormat="false" ht="15.75" hidden="false" customHeight="false" outlineLevel="0" collapsed="false">
      <c r="A773" s="4"/>
      <c r="B773" s="2"/>
      <c r="C773" s="2"/>
      <c r="D773" s="2"/>
      <c r="E773" s="2"/>
      <c r="F773" s="3" t="str">
        <f aca="false">IFERROR(__xludf.dummyfunction("if($T773&lt;&gt;"""",REGEXEXTRACT(SUBSTITUTE ($T773,F$1&amp;"" CE"",""""), F$1&amp;""[\w &amp;]*, (\d+\.\d+)""),"""")
"),"")</f>
        <v/>
      </c>
      <c r="G773" s="3" t="str">
        <f aca="false">IFERROR(__xludf.dummyfunction("if($T773&lt;&gt;"""",REGEXEXTRACT($T773, G$1&amp;""[\w &amp;]*, (\d+\.\d+)""),"""")
"),"")</f>
        <v/>
      </c>
      <c r="H773" s="3"/>
      <c r="I773" s="3" t="str">
        <f aca="false">IFERROR(__xludf.dummyfunction("if($T773&lt;&gt;"""",REGEXEXTRACT(SUBSTITUTE ($T773,I$1&amp;"" CE"",""""), I$1&amp;""[\w &amp;]*, (\d+\.\d+)""),"""")
"),"")</f>
        <v/>
      </c>
      <c r="J773" s="3" t="str">
        <f aca="false">IFERROR(__xludf.dummyfunction("if($T773&lt;&gt;"""",REGEXEXTRACT($T773, J$1&amp;""[\w &amp;]*, (\d+\.\d+)""),"""")
"),"")</f>
        <v/>
      </c>
      <c r="K773" s="3"/>
      <c r="L773" s="3" t="str">
        <f aca="false">IFERROR(__xludf.dummyfunction("if($T773&lt;&gt;"""",REGEXEXTRACT(SUBSTITUTE ($T773,L$1&amp;"" CE"",""""), L$1&amp;""[\w &amp;]*, (\d+\.\d+)""),"""")
"),"")</f>
        <v/>
      </c>
      <c r="M773" s="3" t="str">
        <f aca="false">IFERROR(__xludf.dummyfunction("if($T773&lt;&gt;"""",REGEXEXTRACT($T773, M$1&amp;""[\w &amp;]*, (\d+\.\d+)""),"""")
"),"")</f>
        <v/>
      </c>
      <c r="N773" s="3" t="str">
        <f aca="false">IFERROR(__xludf.dummyfunction("if($T773&lt;&gt;"""",REGEXEXTRACT(SUBSTITUTE ($T773,N$1&amp;"" CE"",""""), N$1&amp;""[\w &amp;]*, (\d+\.\d+)""),"""")
"),"")</f>
        <v/>
      </c>
      <c r="O773" s="3" t="str">
        <f aca="false">IFERROR(__xludf.dummyfunction("if($T773&lt;&gt;"""",REGEXEXTRACT($T773, O$1&amp;""[\w &amp;]*, (\d+\.\d+)""),"""")
"),"")</f>
        <v/>
      </c>
      <c r="P773" s="2"/>
      <c r="Q773" s="2"/>
      <c r="R773" s="2"/>
      <c r="S773" s="2"/>
      <c r="T773" s="5"/>
    </row>
    <row r="774" customFormat="false" ht="15.75" hidden="false" customHeight="false" outlineLevel="0" collapsed="false">
      <c r="A774" s="4"/>
      <c r="B774" s="2"/>
      <c r="C774" s="2"/>
      <c r="D774" s="2"/>
      <c r="E774" s="2"/>
      <c r="F774" s="3" t="str">
        <f aca="false">IFERROR(__xludf.dummyfunction("if($T774&lt;&gt;"""",REGEXEXTRACT(SUBSTITUTE ($T774,F$1&amp;"" CE"",""""), F$1&amp;""[\w &amp;]*, (\d+\.\d+)""),"""")
"),"")</f>
        <v/>
      </c>
      <c r="G774" s="3" t="str">
        <f aca="false">IFERROR(__xludf.dummyfunction("if($T774&lt;&gt;"""",REGEXEXTRACT($T774, G$1&amp;""[\w &amp;]*, (\d+\.\d+)""),"""")
"),"")</f>
        <v/>
      </c>
      <c r="H774" s="3"/>
      <c r="I774" s="3" t="str">
        <f aca="false">IFERROR(__xludf.dummyfunction("if($T774&lt;&gt;"""",REGEXEXTRACT(SUBSTITUTE ($T774,I$1&amp;"" CE"",""""), I$1&amp;""[\w &amp;]*, (\d+\.\d+)""),"""")
"),"")</f>
        <v/>
      </c>
      <c r="J774" s="3" t="str">
        <f aca="false">IFERROR(__xludf.dummyfunction("if($T774&lt;&gt;"""",REGEXEXTRACT($T774, J$1&amp;""[\w &amp;]*, (\d+\.\d+)""),"""")
"),"")</f>
        <v/>
      </c>
      <c r="K774" s="3"/>
      <c r="L774" s="3" t="str">
        <f aca="false">IFERROR(__xludf.dummyfunction("if($T774&lt;&gt;"""",REGEXEXTRACT(SUBSTITUTE ($T774,L$1&amp;"" CE"",""""), L$1&amp;""[\w &amp;]*, (\d+\.\d+)""),"""")
"),"")</f>
        <v/>
      </c>
      <c r="M774" s="3" t="str">
        <f aca="false">IFERROR(__xludf.dummyfunction("if($T774&lt;&gt;"""",REGEXEXTRACT($T774, M$1&amp;""[\w &amp;]*, (\d+\.\d+)""),"""")
"),"")</f>
        <v/>
      </c>
      <c r="N774" s="3" t="str">
        <f aca="false">IFERROR(__xludf.dummyfunction("if($T774&lt;&gt;"""",REGEXEXTRACT(SUBSTITUTE ($T774,N$1&amp;"" CE"",""""), N$1&amp;""[\w &amp;]*, (\d+\.\d+)""),"""")
"),"")</f>
        <v/>
      </c>
      <c r="O774" s="3" t="str">
        <f aca="false">IFERROR(__xludf.dummyfunction("if($T774&lt;&gt;"""",REGEXEXTRACT($T774, O$1&amp;""[\w &amp;]*, (\d+\.\d+)""),"""")
"),"")</f>
        <v/>
      </c>
      <c r="P774" s="2"/>
      <c r="Q774" s="2"/>
      <c r="R774" s="2"/>
      <c r="S774" s="2"/>
      <c r="T774" s="5"/>
    </row>
    <row r="775" customFormat="false" ht="15.75" hidden="false" customHeight="false" outlineLevel="0" collapsed="false">
      <c r="A775" s="4"/>
      <c r="B775" s="2"/>
      <c r="C775" s="2"/>
      <c r="D775" s="2"/>
      <c r="E775" s="2"/>
      <c r="F775" s="3" t="str">
        <f aca="false">IFERROR(__xludf.dummyfunction("if($T775&lt;&gt;"""",REGEXEXTRACT(SUBSTITUTE ($T775,F$1&amp;"" CE"",""""), F$1&amp;""[\w &amp;]*, (\d+\.\d+)""),"""")
"),"")</f>
        <v/>
      </c>
      <c r="G775" s="3" t="str">
        <f aca="false">IFERROR(__xludf.dummyfunction("if($T775&lt;&gt;"""",REGEXEXTRACT($T775, G$1&amp;""[\w &amp;]*, (\d+\.\d+)""),"""")
"),"")</f>
        <v/>
      </c>
      <c r="H775" s="3"/>
      <c r="I775" s="3" t="str">
        <f aca="false">IFERROR(__xludf.dummyfunction("if($T775&lt;&gt;"""",REGEXEXTRACT(SUBSTITUTE ($T775,I$1&amp;"" CE"",""""), I$1&amp;""[\w &amp;]*, (\d+\.\d+)""),"""")
"),"")</f>
        <v/>
      </c>
      <c r="J775" s="3" t="str">
        <f aca="false">IFERROR(__xludf.dummyfunction("if($T775&lt;&gt;"""",REGEXEXTRACT($T775, J$1&amp;""[\w &amp;]*, (\d+\.\d+)""),"""")
"),"")</f>
        <v/>
      </c>
      <c r="K775" s="3"/>
      <c r="L775" s="3" t="str">
        <f aca="false">IFERROR(__xludf.dummyfunction("if($T775&lt;&gt;"""",REGEXEXTRACT(SUBSTITUTE ($T775,L$1&amp;"" CE"",""""), L$1&amp;""[\w &amp;]*, (\d+\.\d+)""),"""")
"),"")</f>
        <v/>
      </c>
      <c r="M775" s="3" t="str">
        <f aca="false">IFERROR(__xludf.dummyfunction("if($T775&lt;&gt;"""",REGEXEXTRACT($T775, M$1&amp;""[\w &amp;]*, (\d+\.\d+)""),"""")
"),"")</f>
        <v/>
      </c>
      <c r="N775" s="3" t="str">
        <f aca="false">IFERROR(__xludf.dummyfunction("if($T775&lt;&gt;"""",REGEXEXTRACT(SUBSTITUTE ($T775,N$1&amp;"" CE"",""""), N$1&amp;""[\w &amp;]*, (\d+\.\d+)""),"""")
"),"")</f>
        <v/>
      </c>
      <c r="O775" s="3" t="str">
        <f aca="false">IFERROR(__xludf.dummyfunction("if($T775&lt;&gt;"""",REGEXEXTRACT($T775, O$1&amp;""[\w &amp;]*, (\d+\.\d+)""),"""")
"),"")</f>
        <v/>
      </c>
      <c r="P775" s="2"/>
      <c r="Q775" s="2"/>
      <c r="R775" s="2"/>
      <c r="S775" s="2"/>
      <c r="T775" s="5"/>
    </row>
    <row r="776" customFormat="false" ht="15.75" hidden="false" customHeight="false" outlineLevel="0" collapsed="false">
      <c r="A776" s="4"/>
      <c r="B776" s="2"/>
      <c r="C776" s="2"/>
      <c r="D776" s="2"/>
      <c r="E776" s="2"/>
      <c r="F776" s="3" t="str">
        <f aca="false">IFERROR(__xludf.dummyfunction("if($T776&lt;&gt;"""",REGEXEXTRACT(SUBSTITUTE ($T776,F$1&amp;"" CE"",""""), F$1&amp;""[\w &amp;]*, (\d+\.\d+)""),"""")
"),"")</f>
        <v/>
      </c>
      <c r="G776" s="3" t="str">
        <f aca="false">IFERROR(__xludf.dummyfunction("if($T776&lt;&gt;"""",REGEXEXTRACT($T776, G$1&amp;""[\w &amp;]*, (\d+\.\d+)""),"""")
"),"")</f>
        <v/>
      </c>
      <c r="H776" s="3"/>
      <c r="I776" s="3" t="str">
        <f aca="false">IFERROR(__xludf.dummyfunction("if($T776&lt;&gt;"""",REGEXEXTRACT(SUBSTITUTE ($T776,I$1&amp;"" CE"",""""), I$1&amp;""[\w &amp;]*, (\d+\.\d+)""),"""")
"),"")</f>
        <v/>
      </c>
      <c r="J776" s="3" t="str">
        <f aca="false">IFERROR(__xludf.dummyfunction("if($T776&lt;&gt;"""",REGEXEXTRACT($T776, J$1&amp;""[\w &amp;]*, (\d+\.\d+)""),"""")
"),"")</f>
        <v/>
      </c>
      <c r="K776" s="3"/>
      <c r="L776" s="3" t="str">
        <f aca="false">IFERROR(__xludf.dummyfunction("if($T776&lt;&gt;"""",REGEXEXTRACT(SUBSTITUTE ($T776,L$1&amp;"" CE"",""""), L$1&amp;""[\w &amp;]*, (\d+\.\d+)""),"""")
"),"")</f>
        <v/>
      </c>
      <c r="M776" s="3" t="str">
        <f aca="false">IFERROR(__xludf.dummyfunction("if($T776&lt;&gt;"""",REGEXEXTRACT($T776, M$1&amp;""[\w &amp;]*, (\d+\.\d+)""),"""")
"),"")</f>
        <v/>
      </c>
      <c r="N776" s="3" t="str">
        <f aca="false">IFERROR(__xludf.dummyfunction("if($T776&lt;&gt;"""",REGEXEXTRACT(SUBSTITUTE ($T776,N$1&amp;"" CE"",""""), N$1&amp;""[\w &amp;]*, (\d+\.\d+)""),"""")
"),"")</f>
        <v/>
      </c>
      <c r="O776" s="3" t="str">
        <f aca="false">IFERROR(__xludf.dummyfunction("if($T776&lt;&gt;"""",REGEXEXTRACT($T776, O$1&amp;""[\w &amp;]*, (\d+\.\d+)""),"""")
"),"")</f>
        <v/>
      </c>
      <c r="P776" s="2"/>
      <c r="Q776" s="2"/>
      <c r="R776" s="2"/>
      <c r="S776" s="2"/>
      <c r="T776" s="5"/>
    </row>
    <row r="777" customFormat="false" ht="15.75" hidden="false" customHeight="false" outlineLevel="0" collapsed="false">
      <c r="A777" s="4"/>
      <c r="B777" s="2"/>
      <c r="C777" s="2"/>
      <c r="D777" s="2"/>
      <c r="E777" s="2"/>
      <c r="F777" s="3" t="str">
        <f aca="false">IFERROR(__xludf.dummyfunction("if($T777&lt;&gt;"""",REGEXEXTRACT(SUBSTITUTE ($T777,F$1&amp;"" CE"",""""), F$1&amp;""[\w &amp;]*, (\d+\.\d+)""),"""")
"),"")</f>
        <v/>
      </c>
      <c r="G777" s="3" t="str">
        <f aca="false">IFERROR(__xludf.dummyfunction("if($T777&lt;&gt;"""",REGEXEXTRACT($T777, G$1&amp;""[\w &amp;]*, (\d+\.\d+)""),"""")
"),"")</f>
        <v/>
      </c>
      <c r="H777" s="3"/>
      <c r="I777" s="3" t="str">
        <f aca="false">IFERROR(__xludf.dummyfunction("if($T777&lt;&gt;"""",REGEXEXTRACT(SUBSTITUTE ($T777,I$1&amp;"" CE"",""""), I$1&amp;""[\w &amp;]*, (\d+\.\d+)""),"""")
"),"")</f>
        <v/>
      </c>
      <c r="J777" s="3" t="str">
        <f aca="false">IFERROR(__xludf.dummyfunction("if($T777&lt;&gt;"""",REGEXEXTRACT($T777, J$1&amp;""[\w &amp;]*, (\d+\.\d+)""),"""")
"),"")</f>
        <v/>
      </c>
      <c r="K777" s="3"/>
      <c r="L777" s="3" t="str">
        <f aca="false">IFERROR(__xludf.dummyfunction("if($T777&lt;&gt;"""",REGEXEXTRACT(SUBSTITUTE ($T777,L$1&amp;"" CE"",""""), L$1&amp;""[\w &amp;]*, (\d+\.\d+)""),"""")
"),"")</f>
        <v/>
      </c>
      <c r="M777" s="3" t="str">
        <f aca="false">IFERROR(__xludf.dummyfunction("if($T777&lt;&gt;"""",REGEXEXTRACT($T777, M$1&amp;""[\w &amp;]*, (\d+\.\d+)""),"""")
"),"")</f>
        <v/>
      </c>
      <c r="N777" s="3" t="str">
        <f aca="false">IFERROR(__xludf.dummyfunction("if($T777&lt;&gt;"""",REGEXEXTRACT(SUBSTITUTE ($T777,N$1&amp;"" CE"",""""), N$1&amp;""[\w &amp;]*, (\d+\.\d+)""),"""")
"),"")</f>
        <v/>
      </c>
      <c r="O777" s="3" t="str">
        <f aca="false">IFERROR(__xludf.dummyfunction("if($T777&lt;&gt;"""",REGEXEXTRACT($T777, O$1&amp;""[\w &amp;]*, (\d+\.\d+)""),"""")
"),"")</f>
        <v/>
      </c>
      <c r="P777" s="2"/>
      <c r="Q777" s="2"/>
      <c r="R777" s="2"/>
      <c r="S777" s="2"/>
      <c r="T777" s="5"/>
    </row>
    <row r="778" customFormat="false" ht="15.75" hidden="false" customHeight="false" outlineLevel="0" collapsed="false">
      <c r="A778" s="4"/>
      <c r="B778" s="2"/>
      <c r="C778" s="2"/>
      <c r="D778" s="2"/>
      <c r="E778" s="2"/>
      <c r="F778" s="3" t="str">
        <f aca="false">IFERROR(__xludf.dummyfunction("if($T778&lt;&gt;"""",REGEXEXTRACT(SUBSTITUTE ($T778,F$1&amp;"" CE"",""""), F$1&amp;""[\w &amp;]*, (\d+\.\d+)""),"""")
"),"")</f>
        <v/>
      </c>
      <c r="G778" s="3" t="str">
        <f aca="false">IFERROR(__xludf.dummyfunction("if($T778&lt;&gt;"""",REGEXEXTRACT($T778, G$1&amp;""[\w &amp;]*, (\d+\.\d+)""),"""")
"),"")</f>
        <v/>
      </c>
      <c r="H778" s="3"/>
      <c r="I778" s="3" t="str">
        <f aca="false">IFERROR(__xludf.dummyfunction("if($T778&lt;&gt;"""",REGEXEXTRACT(SUBSTITUTE ($T778,I$1&amp;"" CE"",""""), I$1&amp;""[\w &amp;]*, (\d+\.\d+)""),"""")
"),"")</f>
        <v/>
      </c>
      <c r="J778" s="3" t="str">
        <f aca="false">IFERROR(__xludf.dummyfunction("if($T778&lt;&gt;"""",REGEXEXTRACT($T778, J$1&amp;""[\w &amp;]*, (\d+\.\d+)""),"""")
"),"")</f>
        <v/>
      </c>
      <c r="K778" s="3"/>
      <c r="L778" s="3" t="str">
        <f aca="false">IFERROR(__xludf.dummyfunction("if($T778&lt;&gt;"""",REGEXEXTRACT(SUBSTITUTE ($T778,L$1&amp;"" CE"",""""), L$1&amp;""[\w &amp;]*, (\d+\.\d+)""),"""")
"),"")</f>
        <v/>
      </c>
      <c r="M778" s="3" t="str">
        <f aca="false">IFERROR(__xludf.dummyfunction("if($T778&lt;&gt;"""",REGEXEXTRACT($T778, M$1&amp;""[\w &amp;]*, (\d+\.\d+)""),"""")
"),"")</f>
        <v/>
      </c>
      <c r="N778" s="3" t="str">
        <f aca="false">IFERROR(__xludf.dummyfunction("if($T778&lt;&gt;"""",REGEXEXTRACT(SUBSTITUTE ($T778,N$1&amp;"" CE"",""""), N$1&amp;""[\w &amp;]*, (\d+\.\d+)""),"""")
"),"")</f>
        <v/>
      </c>
      <c r="O778" s="3" t="str">
        <f aca="false">IFERROR(__xludf.dummyfunction("if($T778&lt;&gt;"""",REGEXEXTRACT($T778, O$1&amp;""[\w &amp;]*, (\d+\.\d+)""),"""")
"),"")</f>
        <v/>
      </c>
      <c r="P778" s="2"/>
      <c r="Q778" s="2"/>
      <c r="R778" s="2"/>
      <c r="S778" s="2"/>
      <c r="T778" s="5"/>
    </row>
    <row r="779" customFormat="false" ht="15.75" hidden="false" customHeight="false" outlineLevel="0" collapsed="false">
      <c r="A779" s="4"/>
      <c r="B779" s="2"/>
      <c r="C779" s="2"/>
      <c r="D779" s="2"/>
      <c r="E779" s="2"/>
      <c r="F779" s="3" t="str">
        <f aca="false">IFERROR(__xludf.dummyfunction("if($T779&lt;&gt;"""",REGEXEXTRACT(SUBSTITUTE ($T779,F$1&amp;"" CE"",""""), F$1&amp;""[\w &amp;]*, (\d+\.\d+)""),"""")
"),"")</f>
        <v/>
      </c>
      <c r="G779" s="3" t="str">
        <f aca="false">IFERROR(__xludf.dummyfunction("if($T779&lt;&gt;"""",REGEXEXTRACT($T779, G$1&amp;""[\w &amp;]*, (\d+\.\d+)""),"""")
"),"")</f>
        <v/>
      </c>
      <c r="H779" s="3"/>
      <c r="I779" s="3" t="str">
        <f aca="false">IFERROR(__xludf.dummyfunction("if($T779&lt;&gt;"""",REGEXEXTRACT(SUBSTITUTE ($T779,I$1&amp;"" CE"",""""), I$1&amp;""[\w &amp;]*, (\d+\.\d+)""),"""")
"),"")</f>
        <v/>
      </c>
      <c r="J779" s="3" t="str">
        <f aca="false">IFERROR(__xludf.dummyfunction("if($T779&lt;&gt;"""",REGEXEXTRACT($T779, J$1&amp;""[\w &amp;]*, (\d+\.\d+)""),"""")
"),"")</f>
        <v/>
      </c>
      <c r="K779" s="3"/>
      <c r="L779" s="3" t="str">
        <f aca="false">IFERROR(__xludf.dummyfunction("if($T779&lt;&gt;"""",REGEXEXTRACT(SUBSTITUTE ($T779,L$1&amp;"" CE"",""""), L$1&amp;""[\w &amp;]*, (\d+\.\d+)""),"""")
"),"")</f>
        <v/>
      </c>
      <c r="M779" s="3" t="str">
        <f aca="false">IFERROR(__xludf.dummyfunction("if($T779&lt;&gt;"""",REGEXEXTRACT($T779, M$1&amp;""[\w &amp;]*, (\d+\.\d+)""),"""")
"),"")</f>
        <v/>
      </c>
      <c r="N779" s="3" t="str">
        <f aca="false">IFERROR(__xludf.dummyfunction("if($T779&lt;&gt;"""",REGEXEXTRACT(SUBSTITUTE ($T779,N$1&amp;"" CE"",""""), N$1&amp;""[\w &amp;]*, (\d+\.\d+)""),"""")
"),"")</f>
        <v/>
      </c>
      <c r="O779" s="3" t="str">
        <f aca="false">IFERROR(__xludf.dummyfunction("if($T779&lt;&gt;"""",REGEXEXTRACT($T779, O$1&amp;""[\w &amp;]*, (\d+\.\d+)""),"""")
"),"")</f>
        <v/>
      </c>
      <c r="P779" s="2"/>
      <c r="Q779" s="2"/>
      <c r="R779" s="2"/>
      <c r="S779" s="2"/>
      <c r="T779" s="5"/>
    </row>
    <row r="780" customFormat="false" ht="15.75" hidden="false" customHeight="false" outlineLevel="0" collapsed="false">
      <c r="A780" s="4"/>
      <c r="B780" s="2"/>
      <c r="C780" s="2"/>
      <c r="D780" s="2"/>
      <c r="E780" s="2"/>
      <c r="F780" s="3" t="str">
        <f aca="false">IFERROR(__xludf.dummyfunction("if($T780&lt;&gt;"""",REGEXEXTRACT(SUBSTITUTE ($T780,F$1&amp;"" CE"",""""), F$1&amp;""[\w &amp;]*, (\d+\.\d+)""),"""")
"),"")</f>
        <v/>
      </c>
      <c r="G780" s="3" t="str">
        <f aca="false">IFERROR(__xludf.dummyfunction("if($T780&lt;&gt;"""",REGEXEXTRACT($T780, G$1&amp;""[\w &amp;]*, (\d+\.\d+)""),"""")
"),"")</f>
        <v/>
      </c>
      <c r="H780" s="3"/>
      <c r="I780" s="3" t="str">
        <f aca="false">IFERROR(__xludf.dummyfunction("if($T780&lt;&gt;"""",REGEXEXTRACT(SUBSTITUTE ($T780,I$1&amp;"" CE"",""""), I$1&amp;""[\w &amp;]*, (\d+\.\d+)""),"""")
"),"")</f>
        <v/>
      </c>
      <c r="J780" s="3" t="str">
        <f aca="false">IFERROR(__xludf.dummyfunction("if($T780&lt;&gt;"""",REGEXEXTRACT($T780, J$1&amp;""[\w &amp;]*, (\d+\.\d+)""),"""")
"),"")</f>
        <v/>
      </c>
      <c r="K780" s="3"/>
      <c r="L780" s="3" t="str">
        <f aca="false">IFERROR(__xludf.dummyfunction("if($T780&lt;&gt;"""",REGEXEXTRACT(SUBSTITUTE ($T780,L$1&amp;"" CE"",""""), L$1&amp;""[\w &amp;]*, (\d+\.\d+)""),"""")
"),"")</f>
        <v/>
      </c>
      <c r="M780" s="3" t="str">
        <f aca="false">IFERROR(__xludf.dummyfunction("if($T780&lt;&gt;"""",REGEXEXTRACT($T780, M$1&amp;""[\w &amp;]*, (\d+\.\d+)""),"""")
"),"")</f>
        <v/>
      </c>
      <c r="N780" s="3" t="str">
        <f aca="false">IFERROR(__xludf.dummyfunction("if($T780&lt;&gt;"""",REGEXEXTRACT(SUBSTITUTE ($T780,N$1&amp;"" CE"",""""), N$1&amp;""[\w &amp;]*, (\d+\.\d+)""),"""")
"),"")</f>
        <v/>
      </c>
      <c r="O780" s="3" t="str">
        <f aca="false">IFERROR(__xludf.dummyfunction("if($T780&lt;&gt;"""",REGEXEXTRACT($T780, O$1&amp;""[\w &amp;]*, (\d+\.\d+)""),"""")
"),"")</f>
        <v/>
      </c>
      <c r="P780" s="2"/>
      <c r="Q780" s="2"/>
      <c r="R780" s="2"/>
      <c r="S780" s="2"/>
      <c r="T780" s="5"/>
    </row>
    <row r="781" customFormat="false" ht="15.75" hidden="false" customHeight="false" outlineLevel="0" collapsed="false">
      <c r="A781" s="4"/>
      <c r="B781" s="2"/>
      <c r="C781" s="2"/>
      <c r="D781" s="2"/>
      <c r="E781" s="2"/>
      <c r="F781" s="3" t="str">
        <f aca="false">IFERROR(__xludf.dummyfunction("if($T781&lt;&gt;"""",REGEXEXTRACT(SUBSTITUTE ($T781,F$1&amp;"" CE"",""""), F$1&amp;""[\w &amp;]*, (\d+\.\d+)""),"""")
"),"")</f>
        <v/>
      </c>
      <c r="G781" s="3" t="str">
        <f aca="false">IFERROR(__xludf.dummyfunction("if($T781&lt;&gt;"""",REGEXEXTRACT($T781, G$1&amp;""[\w &amp;]*, (\d+\.\d+)""),"""")
"),"")</f>
        <v/>
      </c>
      <c r="H781" s="3"/>
      <c r="I781" s="3" t="str">
        <f aca="false">IFERROR(__xludf.dummyfunction("if($T781&lt;&gt;"""",REGEXEXTRACT(SUBSTITUTE ($T781,I$1&amp;"" CE"",""""), I$1&amp;""[\w &amp;]*, (\d+\.\d+)""),"""")
"),"")</f>
        <v/>
      </c>
      <c r="J781" s="3" t="str">
        <f aca="false">IFERROR(__xludf.dummyfunction("if($T781&lt;&gt;"""",REGEXEXTRACT($T781, J$1&amp;""[\w &amp;]*, (\d+\.\d+)""),"""")
"),"")</f>
        <v/>
      </c>
      <c r="K781" s="3"/>
      <c r="L781" s="3" t="str">
        <f aca="false">IFERROR(__xludf.dummyfunction("if($T781&lt;&gt;"""",REGEXEXTRACT(SUBSTITUTE ($T781,L$1&amp;"" CE"",""""), L$1&amp;""[\w &amp;]*, (\d+\.\d+)""),"""")
"),"")</f>
        <v/>
      </c>
      <c r="M781" s="3" t="str">
        <f aca="false">IFERROR(__xludf.dummyfunction("if($T781&lt;&gt;"""",REGEXEXTRACT($T781, M$1&amp;""[\w &amp;]*, (\d+\.\d+)""),"""")
"),"")</f>
        <v/>
      </c>
      <c r="N781" s="3" t="str">
        <f aca="false">IFERROR(__xludf.dummyfunction("if($T781&lt;&gt;"""",REGEXEXTRACT(SUBSTITUTE ($T781,N$1&amp;"" CE"",""""), N$1&amp;""[\w &amp;]*, (\d+\.\d+)""),"""")
"),"")</f>
        <v/>
      </c>
      <c r="O781" s="3" t="str">
        <f aca="false">IFERROR(__xludf.dummyfunction("if($T781&lt;&gt;"""",REGEXEXTRACT($T781, O$1&amp;""[\w &amp;]*, (\d+\.\d+)""),"""")
"),"")</f>
        <v/>
      </c>
      <c r="P781" s="2"/>
      <c r="Q781" s="2"/>
      <c r="R781" s="2"/>
      <c r="S781" s="2"/>
      <c r="T781" s="5"/>
    </row>
    <row r="782" customFormat="false" ht="15.75" hidden="false" customHeight="false" outlineLevel="0" collapsed="false">
      <c r="A782" s="4"/>
      <c r="B782" s="2"/>
      <c r="C782" s="2"/>
      <c r="D782" s="2"/>
      <c r="E782" s="2"/>
      <c r="F782" s="3" t="str">
        <f aca="false">IFERROR(__xludf.dummyfunction("if($T782&lt;&gt;"""",REGEXEXTRACT(SUBSTITUTE ($T782,F$1&amp;"" CE"",""""), F$1&amp;""[\w &amp;]*, (\d+\.\d+)""),"""")
"),"")</f>
        <v/>
      </c>
      <c r="G782" s="3" t="str">
        <f aca="false">IFERROR(__xludf.dummyfunction("if($T782&lt;&gt;"""",REGEXEXTRACT($T782, G$1&amp;""[\w &amp;]*, (\d+\.\d+)""),"""")
"),"")</f>
        <v/>
      </c>
      <c r="H782" s="3"/>
      <c r="I782" s="3" t="str">
        <f aca="false">IFERROR(__xludf.dummyfunction("if($T782&lt;&gt;"""",REGEXEXTRACT(SUBSTITUTE ($T782,I$1&amp;"" CE"",""""), I$1&amp;""[\w &amp;]*, (\d+\.\d+)""),"""")
"),"")</f>
        <v/>
      </c>
      <c r="J782" s="3" t="str">
        <f aca="false">IFERROR(__xludf.dummyfunction("if($T782&lt;&gt;"""",REGEXEXTRACT($T782, J$1&amp;""[\w &amp;]*, (\d+\.\d+)""),"""")
"),"")</f>
        <v/>
      </c>
      <c r="K782" s="3"/>
      <c r="L782" s="3" t="str">
        <f aca="false">IFERROR(__xludf.dummyfunction("if($T782&lt;&gt;"""",REGEXEXTRACT(SUBSTITUTE ($T782,L$1&amp;"" CE"",""""), L$1&amp;""[\w &amp;]*, (\d+\.\d+)""),"""")
"),"")</f>
        <v/>
      </c>
      <c r="M782" s="3" t="str">
        <f aca="false">IFERROR(__xludf.dummyfunction("if($T782&lt;&gt;"""",REGEXEXTRACT($T782, M$1&amp;""[\w &amp;]*, (\d+\.\d+)""),"""")
"),"")</f>
        <v/>
      </c>
      <c r="N782" s="3" t="str">
        <f aca="false">IFERROR(__xludf.dummyfunction("if($T782&lt;&gt;"""",REGEXEXTRACT(SUBSTITUTE ($T782,N$1&amp;"" CE"",""""), N$1&amp;""[\w &amp;]*, (\d+\.\d+)""),"""")
"),"")</f>
        <v/>
      </c>
      <c r="O782" s="3" t="str">
        <f aca="false">IFERROR(__xludf.dummyfunction("if($T782&lt;&gt;"""",REGEXEXTRACT($T782, O$1&amp;""[\w &amp;]*, (\d+\.\d+)""),"""")
"),"")</f>
        <v/>
      </c>
      <c r="P782" s="2"/>
      <c r="Q782" s="2"/>
      <c r="R782" s="2"/>
      <c r="S782" s="2"/>
      <c r="T782" s="5"/>
    </row>
    <row r="783" customFormat="false" ht="15.75" hidden="false" customHeight="false" outlineLevel="0" collapsed="false">
      <c r="A783" s="4"/>
      <c r="B783" s="2"/>
      <c r="C783" s="2"/>
      <c r="D783" s="2"/>
      <c r="E783" s="2"/>
      <c r="F783" s="3" t="str">
        <f aca="false">IFERROR(__xludf.dummyfunction("if($T783&lt;&gt;"""",REGEXEXTRACT(SUBSTITUTE ($T783,F$1&amp;"" CE"",""""), F$1&amp;""[\w &amp;]*, (\d+\.\d+)""),"""")
"),"")</f>
        <v/>
      </c>
      <c r="G783" s="3" t="str">
        <f aca="false">IFERROR(__xludf.dummyfunction("if($T783&lt;&gt;"""",REGEXEXTRACT($T783, G$1&amp;""[\w &amp;]*, (\d+\.\d+)""),"""")
"),"")</f>
        <v/>
      </c>
      <c r="H783" s="3"/>
      <c r="I783" s="3" t="str">
        <f aca="false">IFERROR(__xludf.dummyfunction("if($T783&lt;&gt;"""",REGEXEXTRACT(SUBSTITUTE ($T783,I$1&amp;"" CE"",""""), I$1&amp;""[\w &amp;]*, (\d+\.\d+)""),"""")
"),"")</f>
        <v/>
      </c>
      <c r="J783" s="3" t="str">
        <f aca="false">IFERROR(__xludf.dummyfunction("if($T783&lt;&gt;"""",REGEXEXTRACT($T783, J$1&amp;""[\w &amp;]*, (\d+\.\d+)""),"""")
"),"")</f>
        <v/>
      </c>
      <c r="K783" s="3"/>
      <c r="L783" s="3" t="str">
        <f aca="false">IFERROR(__xludf.dummyfunction("if($T783&lt;&gt;"""",REGEXEXTRACT(SUBSTITUTE ($T783,L$1&amp;"" CE"",""""), L$1&amp;""[\w &amp;]*, (\d+\.\d+)""),"""")
"),"")</f>
        <v/>
      </c>
      <c r="M783" s="3" t="str">
        <f aca="false">IFERROR(__xludf.dummyfunction("if($T783&lt;&gt;"""",REGEXEXTRACT($T783, M$1&amp;""[\w &amp;]*, (\d+\.\d+)""),"""")
"),"")</f>
        <v/>
      </c>
      <c r="N783" s="3" t="str">
        <f aca="false">IFERROR(__xludf.dummyfunction("if($T783&lt;&gt;"""",REGEXEXTRACT(SUBSTITUTE ($T783,N$1&amp;"" CE"",""""), N$1&amp;""[\w &amp;]*, (\d+\.\d+)""),"""")
"),"")</f>
        <v/>
      </c>
      <c r="O783" s="3" t="str">
        <f aca="false">IFERROR(__xludf.dummyfunction("if($T783&lt;&gt;"""",REGEXEXTRACT($T783, O$1&amp;""[\w &amp;]*, (\d+\.\d+)""),"""")
"),"")</f>
        <v/>
      </c>
      <c r="P783" s="2"/>
      <c r="Q783" s="2"/>
      <c r="R783" s="2"/>
      <c r="S783" s="2"/>
      <c r="T783" s="5"/>
    </row>
    <row r="784" customFormat="false" ht="15.75" hidden="false" customHeight="false" outlineLevel="0" collapsed="false">
      <c r="A784" s="4"/>
      <c r="B784" s="2"/>
      <c r="C784" s="2"/>
      <c r="D784" s="2"/>
      <c r="E784" s="2"/>
      <c r="F784" s="3" t="str">
        <f aca="false">IFERROR(__xludf.dummyfunction("if($T784&lt;&gt;"""",REGEXEXTRACT(SUBSTITUTE ($T784,F$1&amp;"" CE"",""""), F$1&amp;""[\w &amp;]*, (\d+\.\d+)""),"""")
"),"")</f>
        <v/>
      </c>
      <c r="G784" s="3" t="str">
        <f aca="false">IFERROR(__xludf.dummyfunction("if($T784&lt;&gt;"""",REGEXEXTRACT($T784, G$1&amp;""[\w &amp;]*, (\d+\.\d+)""),"""")
"),"")</f>
        <v/>
      </c>
      <c r="H784" s="3"/>
      <c r="I784" s="3" t="str">
        <f aca="false">IFERROR(__xludf.dummyfunction("if($T784&lt;&gt;"""",REGEXEXTRACT(SUBSTITUTE ($T784,I$1&amp;"" CE"",""""), I$1&amp;""[\w &amp;]*, (\d+\.\d+)""),"""")
"),"")</f>
        <v/>
      </c>
      <c r="J784" s="3" t="str">
        <f aca="false">IFERROR(__xludf.dummyfunction("if($T784&lt;&gt;"""",REGEXEXTRACT($T784, J$1&amp;""[\w &amp;]*, (\d+\.\d+)""),"""")
"),"")</f>
        <v/>
      </c>
      <c r="K784" s="3"/>
      <c r="L784" s="3" t="str">
        <f aca="false">IFERROR(__xludf.dummyfunction("if($T784&lt;&gt;"""",REGEXEXTRACT(SUBSTITUTE ($T784,L$1&amp;"" CE"",""""), L$1&amp;""[\w &amp;]*, (\d+\.\d+)""),"""")
"),"")</f>
        <v/>
      </c>
      <c r="M784" s="3" t="str">
        <f aca="false">IFERROR(__xludf.dummyfunction("if($T784&lt;&gt;"""",REGEXEXTRACT($T784, M$1&amp;""[\w &amp;]*, (\d+\.\d+)""),"""")
"),"")</f>
        <v/>
      </c>
      <c r="N784" s="3" t="str">
        <f aca="false">IFERROR(__xludf.dummyfunction("if($T784&lt;&gt;"""",REGEXEXTRACT(SUBSTITUTE ($T784,N$1&amp;"" CE"",""""), N$1&amp;""[\w &amp;]*, (\d+\.\d+)""),"""")
"),"")</f>
        <v/>
      </c>
      <c r="O784" s="3" t="str">
        <f aca="false">IFERROR(__xludf.dummyfunction("if($T784&lt;&gt;"""",REGEXEXTRACT($T784, O$1&amp;""[\w &amp;]*, (\d+\.\d+)""),"""")
"),"")</f>
        <v/>
      </c>
      <c r="P784" s="2"/>
      <c r="Q784" s="2"/>
      <c r="R784" s="2"/>
      <c r="S784" s="2"/>
      <c r="T784" s="5"/>
    </row>
    <row r="785" customFormat="false" ht="15.75" hidden="false" customHeight="false" outlineLevel="0" collapsed="false">
      <c r="A785" s="4"/>
      <c r="B785" s="2"/>
      <c r="C785" s="2"/>
      <c r="D785" s="2"/>
      <c r="E785" s="2"/>
      <c r="F785" s="3" t="str">
        <f aca="false">IFERROR(__xludf.dummyfunction("if($T785&lt;&gt;"""",REGEXEXTRACT(SUBSTITUTE ($T785,F$1&amp;"" CE"",""""), F$1&amp;""[\w &amp;]*, (\d+\.\d+)""),"""")
"),"")</f>
        <v/>
      </c>
      <c r="G785" s="3" t="str">
        <f aca="false">IFERROR(__xludf.dummyfunction("if($T785&lt;&gt;"""",REGEXEXTRACT($T785, G$1&amp;""[\w &amp;]*, (\d+\.\d+)""),"""")
"),"")</f>
        <v/>
      </c>
      <c r="H785" s="3"/>
      <c r="I785" s="3" t="str">
        <f aca="false">IFERROR(__xludf.dummyfunction("if($T785&lt;&gt;"""",REGEXEXTRACT(SUBSTITUTE ($T785,I$1&amp;"" CE"",""""), I$1&amp;""[\w &amp;]*, (\d+\.\d+)""),"""")
"),"")</f>
        <v/>
      </c>
      <c r="J785" s="3" t="str">
        <f aca="false">IFERROR(__xludf.dummyfunction("if($T785&lt;&gt;"""",REGEXEXTRACT($T785, J$1&amp;""[\w &amp;]*, (\d+\.\d+)""),"""")
"),"")</f>
        <v/>
      </c>
      <c r="K785" s="3"/>
      <c r="L785" s="3" t="str">
        <f aca="false">IFERROR(__xludf.dummyfunction("if($T785&lt;&gt;"""",REGEXEXTRACT(SUBSTITUTE ($T785,L$1&amp;"" CE"",""""), L$1&amp;""[\w &amp;]*, (\d+\.\d+)""),"""")
"),"")</f>
        <v/>
      </c>
      <c r="M785" s="3" t="str">
        <f aca="false">IFERROR(__xludf.dummyfunction("if($T785&lt;&gt;"""",REGEXEXTRACT($T785, M$1&amp;""[\w &amp;]*, (\d+\.\d+)""),"""")
"),"")</f>
        <v/>
      </c>
      <c r="N785" s="3" t="str">
        <f aca="false">IFERROR(__xludf.dummyfunction("if($T785&lt;&gt;"""",REGEXEXTRACT(SUBSTITUTE ($T785,N$1&amp;"" CE"",""""), N$1&amp;""[\w &amp;]*, (\d+\.\d+)""),"""")
"),"")</f>
        <v/>
      </c>
      <c r="O785" s="3" t="str">
        <f aca="false">IFERROR(__xludf.dummyfunction("if($T785&lt;&gt;"""",REGEXEXTRACT($T785, O$1&amp;""[\w &amp;]*, (\d+\.\d+)""),"""")
"),"")</f>
        <v/>
      </c>
      <c r="P785" s="2"/>
      <c r="Q785" s="2"/>
      <c r="R785" s="2"/>
      <c r="S785" s="2"/>
      <c r="T785" s="5"/>
    </row>
    <row r="786" customFormat="false" ht="15.75" hidden="false" customHeight="false" outlineLevel="0" collapsed="false">
      <c r="A786" s="4"/>
      <c r="B786" s="2"/>
      <c r="C786" s="2"/>
      <c r="D786" s="2"/>
      <c r="E786" s="2"/>
      <c r="F786" s="3" t="str">
        <f aca="false">IFERROR(__xludf.dummyfunction("if($T786&lt;&gt;"""",REGEXEXTRACT(SUBSTITUTE ($T786,F$1&amp;"" CE"",""""), F$1&amp;""[\w &amp;]*, (\d+\.\d+)""),"""")
"),"")</f>
        <v/>
      </c>
      <c r="G786" s="3" t="str">
        <f aca="false">IFERROR(__xludf.dummyfunction("if($T786&lt;&gt;"""",REGEXEXTRACT($T786, G$1&amp;""[\w &amp;]*, (\d+\.\d+)""),"""")
"),"")</f>
        <v/>
      </c>
      <c r="H786" s="3"/>
      <c r="I786" s="3" t="str">
        <f aca="false">IFERROR(__xludf.dummyfunction("if($T786&lt;&gt;"""",REGEXEXTRACT(SUBSTITUTE ($T786,I$1&amp;"" CE"",""""), I$1&amp;""[\w &amp;]*, (\d+\.\d+)""),"""")
"),"")</f>
        <v/>
      </c>
      <c r="J786" s="3" t="str">
        <f aca="false">IFERROR(__xludf.dummyfunction("if($T786&lt;&gt;"""",REGEXEXTRACT($T786, J$1&amp;""[\w &amp;]*, (\d+\.\d+)""),"""")
"),"")</f>
        <v/>
      </c>
      <c r="K786" s="3"/>
      <c r="L786" s="3" t="str">
        <f aca="false">IFERROR(__xludf.dummyfunction("if($T786&lt;&gt;"""",REGEXEXTRACT(SUBSTITUTE ($T786,L$1&amp;"" CE"",""""), L$1&amp;""[\w &amp;]*, (\d+\.\d+)""),"""")
"),"")</f>
        <v/>
      </c>
      <c r="M786" s="3" t="str">
        <f aca="false">IFERROR(__xludf.dummyfunction("if($T786&lt;&gt;"""",REGEXEXTRACT($T786, M$1&amp;""[\w &amp;]*, (\d+\.\d+)""),"""")
"),"")</f>
        <v/>
      </c>
      <c r="N786" s="3" t="str">
        <f aca="false">IFERROR(__xludf.dummyfunction("if($T786&lt;&gt;"""",REGEXEXTRACT(SUBSTITUTE ($T786,N$1&amp;"" CE"",""""), N$1&amp;""[\w &amp;]*, (\d+\.\d+)""),"""")
"),"")</f>
        <v/>
      </c>
      <c r="O786" s="3" t="str">
        <f aca="false">IFERROR(__xludf.dummyfunction("if($T786&lt;&gt;"""",REGEXEXTRACT($T786, O$1&amp;""[\w &amp;]*, (\d+\.\d+)""),"""")
"),"")</f>
        <v/>
      </c>
      <c r="P786" s="2"/>
      <c r="Q786" s="2"/>
      <c r="R786" s="2"/>
      <c r="S786" s="2"/>
      <c r="T786" s="5"/>
    </row>
    <row r="787" customFormat="false" ht="15.75" hidden="false" customHeight="false" outlineLevel="0" collapsed="false">
      <c r="A787" s="4"/>
      <c r="B787" s="2"/>
      <c r="C787" s="2"/>
      <c r="D787" s="2"/>
      <c r="E787" s="2"/>
      <c r="F787" s="3" t="str">
        <f aca="false">IFERROR(__xludf.dummyfunction("if($T787&lt;&gt;"""",REGEXEXTRACT(SUBSTITUTE ($T787,F$1&amp;"" CE"",""""), F$1&amp;""[\w &amp;]*, (\d+\.\d+)""),"""")
"),"")</f>
        <v/>
      </c>
      <c r="G787" s="3" t="str">
        <f aca="false">IFERROR(__xludf.dummyfunction("if($T787&lt;&gt;"""",REGEXEXTRACT($T787, G$1&amp;""[\w &amp;]*, (\d+\.\d+)""),"""")
"),"")</f>
        <v/>
      </c>
      <c r="H787" s="3"/>
      <c r="I787" s="3" t="str">
        <f aca="false">IFERROR(__xludf.dummyfunction("if($T787&lt;&gt;"""",REGEXEXTRACT(SUBSTITUTE ($T787,I$1&amp;"" CE"",""""), I$1&amp;""[\w &amp;]*, (\d+\.\d+)""),"""")
"),"")</f>
        <v/>
      </c>
      <c r="J787" s="3" t="str">
        <f aca="false">IFERROR(__xludf.dummyfunction("if($T787&lt;&gt;"""",REGEXEXTRACT($T787, J$1&amp;""[\w &amp;]*, (\d+\.\d+)""),"""")
"),"")</f>
        <v/>
      </c>
      <c r="K787" s="3"/>
      <c r="L787" s="3" t="str">
        <f aca="false">IFERROR(__xludf.dummyfunction("if($T787&lt;&gt;"""",REGEXEXTRACT(SUBSTITUTE ($T787,L$1&amp;"" CE"",""""), L$1&amp;""[\w &amp;]*, (\d+\.\d+)""),"""")
"),"")</f>
        <v/>
      </c>
      <c r="M787" s="3" t="str">
        <f aca="false">IFERROR(__xludf.dummyfunction("if($T787&lt;&gt;"""",REGEXEXTRACT($T787, M$1&amp;""[\w &amp;]*, (\d+\.\d+)""),"""")
"),"")</f>
        <v/>
      </c>
      <c r="N787" s="3" t="str">
        <f aca="false">IFERROR(__xludf.dummyfunction("if($T787&lt;&gt;"""",REGEXEXTRACT(SUBSTITUTE ($T787,N$1&amp;"" CE"",""""), N$1&amp;""[\w &amp;]*, (\d+\.\d+)""),"""")
"),"")</f>
        <v/>
      </c>
      <c r="O787" s="3" t="str">
        <f aca="false">IFERROR(__xludf.dummyfunction("if($T787&lt;&gt;"""",REGEXEXTRACT($T787, O$1&amp;""[\w &amp;]*, (\d+\.\d+)""),"""")
"),"")</f>
        <v/>
      </c>
      <c r="P787" s="2"/>
      <c r="Q787" s="2"/>
      <c r="R787" s="2"/>
      <c r="S787" s="2"/>
      <c r="T787" s="5"/>
    </row>
    <row r="788" customFormat="false" ht="15.75" hidden="false" customHeight="false" outlineLevel="0" collapsed="false">
      <c r="A788" s="4"/>
      <c r="B788" s="2"/>
      <c r="C788" s="2"/>
      <c r="D788" s="2"/>
      <c r="E788" s="2"/>
      <c r="F788" s="3" t="str">
        <f aca="false">IFERROR(__xludf.dummyfunction("if($T788&lt;&gt;"""",REGEXEXTRACT(SUBSTITUTE ($T788,F$1&amp;"" CE"",""""), F$1&amp;""[\w &amp;]*, (\d+\.\d+)""),"""")
"),"")</f>
        <v/>
      </c>
      <c r="G788" s="3" t="str">
        <f aca="false">IFERROR(__xludf.dummyfunction("if($T788&lt;&gt;"""",REGEXEXTRACT($T788, G$1&amp;""[\w &amp;]*, (\d+\.\d+)""),"""")
"),"")</f>
        <v/>
      </c>
      <c r="H788" s="3"/>
      <c r="I788" s="3" t="str">
        <f aca="false">IFERROR(__xludf.dummyfunction("if($T788&lt;&gt;"""",REGEXEXTRACT(SUBSTITUTE ($T788,I$1&amp;"" CE"",""""), I$1&amp;""[\w &amp;]*, (\d+\.\d+)""),"""")
"),"")</f>
        <v/>
      </c>
      <c r="J788" s="3" t="str">
        <f aca="false">IFERROR(__xludf.dummyfunction("if($T788&lt;&gt;"""",REGEXEXTRACT($T788, J$1&amp;""[\w &amp;]*, (\d+\.\d+)""),"""")
"),"")</f>
        <v/>
      </c>
      <c r="K788" s="3"/>
      <c r="L788" s="3" t="str">
        <f aca="false">IFERROR(__xludf.dummyfunction("if($T788&lt;&gt;"""",REGEXEXTRACT(SUBSTITUTE ($T788,L$1&amp;"" CE"",""""), L$1&amp;""[\w &amp;]*, (\d+\.\d+)""),"""")
"),"")</f>
        <v/>
      </c>
      <c r="M788" s="3" t="str">
        <f aca="false">IFERROR(__xludf.dummyfunction("if($T788&lt;&gt;"""",REGEXEXTRACT($T788, M$1&amp;""[\w &amp;]*, (\d+\.\d+)""),"""")
"),"")</f>
        <v/>
      </c>
      <c r="N788" s="3" t="str">
        <f aca="false">IFERROR(__xludf.dummyfunction("if($T788&lt;&gt;"""",REGEXEXTRACT(SUBSTITUTE ($T788,N$1&amp;"" CE"",""""), N$1&amp;""[\w &amp;]*, (\d+\.\d+)""),"""")
"),"")</f>
        <v/>
      </c>
      <c r="O788" s="3" t="str">
        <f aca="false">IFERROR(__xludf.dummyfunction("if($T788&lt;&gt;"""",REGEXEXTRACT($T788, O$1&amp;""[\w &amp;]*, (\d+\.\d+)""),"""")
"),"")</f>
        <v/>
      </c>
      <c r="P788" s="2"/>
      <c r="Q788" s="2"/>
      <c r="R788" s="2"/>
      <c r="S788" s="2"/>
      <c r="T788" s="5"/>
    </row>
    <row r="789" customFormat="false" ht="15.75" hidden="false" customHeight="false" outlineLevel="0" collapsed="false">
      <c r="A789" s="4"/>
      <c r="B789" s="2"/>
      <c r="C789" s="2"/>
      <c r="D789" s="2"/>
      <c r="E789" s="2"/>
      <c r="F789" s="3" t="str">
        <f aca="false">IFERROR(__xludf.dummyfunction("if($T789&lt;&gt;"""",REGEXEXTRACT(SUBSTITUTE ($T789,F$1&amp;"" CE"",""""), F$1&amp;""[\w &amp;]*, (\d+\.\d+)""),"""")
"),"")</f>
        <v/>
      </c>
      <c r="G789" s="3" t="str">
        <f aca="false">IFERROR(__xludf.dummyfunction("if($T789&lt;&gt;"""",REGEXEXTRACT($T789, G$1&amp;""[\w &amp;]*, (\d+\.\d+)""),"""")
"),"")</f>
        <v/>
      </c>
      <c r="H789" s="3"/>
      <c r="I789" s="3" t="str">
        <f aca="false">IFERROR(__xludf.dummyfunction("if($T789&lt;&gt;"""",REGEXEXTRACT(SUBSTITUTE ($T789,I$1&amp;"" CE"",""""), I$1&amp;""[\w &amp;]*, (\d+\.\d+)""),"""")
"),"")</f>
        <v/>
      </c>
      <c r="J789" s="3" t="str">
        <f aca="false">IFERROR(__xludf.dummyfunction("if($T789&lt;&gt;"""",REGEXEXTRACT($T789, J$1&amp;""[\w &amp;]*, (\d+\.\d+)""),"""")
"),"")</f>
        <v/>
      </c>
      <c r="K789" s="3"/>
      <c r="L789" s="3" t="str">
        <f aca="false">IFERROR(__xludf.dummyfunction("if($T789&lt;&gt;"""",REGEXEXTRACT(SUBSTITUTE ($T789,L$1&amp;"" CE"",""""), L$1&amp;""[\w &amp;]*, (\d+\.\d+)""),"""")
"),"")</f>
        <v/>
      </c>
      <c r="M789" s="3" t="str">
        <f aca="false">IFERROR(__xludf.dummyfunction("if($T789&lt;&gt;"""",REGEXEXTRACT($T789, M$1&amp;""[\w &amp;]*, (\d+\.\d+)""),"""")
"),"")</f>
        <v/>
      </c>
      <c r="N789" s="3" t="str">
        <f aca="false">IFERROR(__xludf.dummyfunction("if($T789&lt;&gt;"""",REGEXEXTRACT(SUBSTITUTE ($T789,N$1&amp;"" CE"",""""), N$1&amp;""[\w &amp;]*, (\d+\.\d+)""),"""")
"),"")</f>
        <v/>
      </c>
      <c r="O789" s="3" t="str">
        <f aca="false">IFERROR(__xludf.dummyfunction("if($T789&lt;&gt;"""",REGEXEXTRACT($T789, O$1&amp;""[\w &amp;]*, (\d+\.\d+)""),"""")
"),"")</f>
        <v/>
      </c>
      <c r="P789" s="2"/>
      <c r="Q789" s="2"/>
      <c r="R789" s="2"/>
      <c r="S789" s="2"/>
      <c r="T789" s="5"/>
    </row>
    <row r="790" customFormat="false" ht="15.75" hidden="false" customHeight="false" outlineLevel="0" collapsed="false">
      <c r="A790" s="4"/>
      <c r="B790" s="2"/>
      <c r="C790" s="2"/>
      <c r="D790" s="2"/>
      <c r="E790" s="2"/>
      <c r="F790" s="3" t="str">
        <f aca="false">IFERROR(__xludf.dummyfunction("if($T790&lt;&gt;"""",REGEXEXTRACT(SUBSTITUTE ($T790,F$1&amp;"" CE"",""""), F$1&amp;""[\w &amp;]*, (\d+\.\d+)""),"""")
"),"")</f>
        <v/>
      </c>
      <c r="G790" s="3" t="str">
        <f aca="false">IFERROR(__xludf.dummyfunction("if($T790&lt;&gt;"""",REGEXEXTRACT($T790, G$1&amp;""[\w &amp;]*, (\d+\.\d+)""),"""")
"),"")</f>
        <v/>
      </c>
      <c r="H790" s="3"/>
      <c r="I790" s="3" t="str">
        <f aca="false">IFERROR(__xludf.dummyfunction("if($T790&lt;&gt;"""",REGEXEXTRACT(SUBSTITUTE ($T790,I$1&amp;"" CE"",""""), I$1&amp;""[\w &amp;]*, (\d+\.\d+)""),"""")
"),"")</f>
        <v/>
      </c>
      <c r="J790" s="3" t="str">
        <f aca="false">IFERROR(__xludf.dummyfunction("if($T790&lt;&gt;"""",REGEXEXTRACT($T790, J$1&amp;""[\w &amp;]*, (\d+\.\d+)""),"""")
"),"")</f>
        <v/>
      </c>
      <c r="K790" s="3"/>
      <c r="L790" s="3" t="str">
        <f aca="false">IFERROR(__xludf.dummyfunction("if($T790&lt;&gt;"""",REGEXEXTRACT(SUBSTITUTE ($T790,L$1&amp;"" CE"",""""), L$1&amp;""[\w &amp;]*, (\d+\.\d+)""),"""")
"),"")</f>
        <v/>
      </c>
      <c r="M790" s="3" t="str">
        <f aca="false">IFERROR(__xludf.dummyfunction("if($T790&lt;&gt;"""",REGEXEXTRACT($T790, M$1&amp;""[\w &amp;]*, (\d+\.\d+)""),"""")
"),"")</f>
        <v/>
      </c>
      <c r="N790" s="3" t="str">
        <f aca="false">IFERROR(__xludf.dummyfunction("if($T790&lt;&gt;"""",REGEXEXTRACT(SUBSTITUTE ($T790,N$1&amp;"" CE"",""""), N$1&amp;""[\w &amp;]*, (\d+\.\d+)""),"""")
"),"")</f>
        <v/>
      </c>
      <c r="O790" s="3" t="str">
        <f aca="false">IFERROR(__xludf.dummyfunction("if($T790&lt;&gt;"""",REGEXEXTRACT($T790, O$1&amp;""[\w &amp;]*, (\d+\.\d+)""),"""")
"),"")</f>
        <v/>
      </c>
      <c r="P790" s="2"/>
      <c r="Q790" s="2"/>
      <c r="R790" s="2"/>
      <c r="S790" s="2"/>
      <c r="T790" s="5"/>
    </row>
    <row r="791" customFormat="false" ht="15.75" hidden="false" customHeight="false" outlineLevel="0" collapsed="false">
      <c r="A791" s="4"/>
      <c r="B791" s="2"/>
      <c r="C791" s="2"/>
      <c r="D791" s="2"/>
      <c r="E791" s="2"/>
      <c r="F791" s="3" t="str">
        <f aca="false">IFERROR(__xludf.dummyfunction("if($T791&lt;&gt;"""",REGEXEXTRACT(SUBSTITUTE ($T791,F$1&amp;"" CE"",""""), F$1&amp;""[\w &amp;]*, (\d+\.\d+)""),"""")
"),"")</f>
        <v/>
      </c>
      <c r="G791" s="3" t="str">
        <f aca="false">IFERROR(__xludf.dummyfunction("if($T791&lt;&gt;"""",REGEXEXTRACT($T791, G$1&amp;""[\w &amp;]*, (\d+\.\d+)""),"""")
"),"")</f>
        <v/>
      </c>
      <c r="H791" s="3"/>
      <c r="I791" s="3" t="str">
        <f aca="false">IFERROR(__xludf.dummyfunction("if($T791&lt;&gt;"""",REGEXEXTRACT(SUBSTITUTE ($T791,I$1&amp;"" CE"",""""), I$1&amp;""[\w &amp;]*, (\d+\.\d+)""),"""")
"),"")</f>
        <v/>
      </c>
      <c r="J791" s="3" t="str">
        <f aca="false">IFERROR(__xludf.dummyfunction("if($T791&lt;&gt;"""",REGEXEXTRACT($T791, J$1&amp;""[\w &amp;]*, (\d+\.\d+)""),"""")
"),"")</f>
        <v/>
      </c>
      <c r="K791" s="3"/>
      <c r="L791" s="3" t="str">
        <f aca="false">IFERROR(__xludf.dummyfunction("if($T791&lt;&gt;"""",REGEXEXTRACT(SUBSTITUTE ($T791,L$1&amp;"" CE"",""""), L$1&amp;""[\w &amp;]*, (\d+\.\d+)""),"""")
"),"")</f>
        <v/>
      </c>
      <c r="M791" s="3" t="str">
        <f aca="false">IFERROR(__xludf.dummyfunction("if($T791&lt;&gt;"""",REGEXEXTRACT($T791, M$1&amp;""[\w &amp;]*, (\d+\.\d+)""),"""")
"),"")</f>
        <v/>
      </c>
      <c r="N791" s="3" t="str">
        <f aca="false">IFERROR(__xludf.dummyfunction("if($T791&lt;&gt;"""",REGEXEXTRACT(SUBSTITUTE ($T791,N$1&amp;"" CE"",""""), N$1&amp;""[\w &amp;]*, (\d+\.\d+)""),"""")
"),"")</f>
        <v/>
      </c>
      <c r="O791" s="3" t="str">
        <f aca="false">IFERROR(__xludf.dummyfunction("if($T791&lt;&gt;"""",REGEXEXTRACT($T791, O$1&amp;""[\w &amp;]*, (\d+\.\d+)""),"""")
"),"")</f>
        <v/>
      </c>
      <c r="P791" s="2"/>
      <c r="Q791" s="2"/>
      <c r="R791" s="2"/>
      <c r="S791" s="2"/>
      <c r="T791" s="5"/>
    </row>
    <row r="792" customFormat="false" ht="15.75" hidden="false" customHeight="false" outlineLevel="0" collapsed="false">
      <c r="A792" s="4"/>
      <c r="B792" s="2"/>
      <c r="C792" s="2"/>
      <c r="D792" s="2"/>
      <c r="E792" s="2"/>
      <c r="F792" s="3" t="str">
        <f aca="false">IFERROR(__xludf.dummyfunction("if($T792&lt;&gt;"""",REGEXEXTRACT(SUBSTITUTE ($T792,F$1&amp;"" CE"",""""), F$1&amp;""[\w &amp;]*, (\d+\.\d+)""),"""")
"),"")</f>
        <v/>
      </c>
      <c r="G792" s="3" t="str">
        <f aca="false">IFERROR(__xludf.dummyfunction("if($T792&lt;&gt;"""",REGEXEXTRACT($T792, G$1&amp;""[\w &amp;]*, (\d+\.\d+)""),"""")
"),"")</f>
        <v/>
      </c>
      <c r="H792" s="3"/>
      <c r="I792" s="3" t="str">
        <f aca="false">IFERROR(__xludf.dummyfunction("if($T792&lt;&gt;"""",REGEXEXTRACT(SUBSTITUTE ($T792,I$1&amp;"" CE"",""""), I$1&amp;""[\w &amp;]*, (\d+\.\d+)""),"""")
"),"")</f>
        <v/>
      </c>
      <c r="J792" s="3" t="str">
        <f aca="false">IFERROR(__xludf.dummyfunction("if($T792&lt;&gt;"""",REGEXEXTRACT($T792, J$1&amp;""[\w &amp;]*, (\d+\.\d+)""),"""")
"),"")</f>
        <v/>
      </c>
      <c r="K792" s="3"/>
      <c r="L792" s="3" t="str">
        <f aca="false">IFERROR(__xludf.dummyfunction("if($T792&lt;&gt;"""",REGEXEXTRACT(SUBSTITUTE ($T792,L$1&amp;"" CE"",""""), L$1&amp;""[\w &amp;]*, (\d+\.\d+)""),"""")
"),"")</f>
        <v/>
      </c>
      <c r="M792" s="3" t="str">
        <f aca="false">IFERROR(__xludf.dummyfunction("if($T792&lt;&gt;"""",REGEXEXTRACT($T792, M$1&amp;""[\w &amp;]*, (\d+\.\d+)""),"""")
"),"")</f>
        <v/>
      </c>
      <c r="N792" s="3" t="str">
        <f aca="false">IFERROR(__xludf.dummyfunction("if($T792&lt;&gt;"""",REGEXEXTRACT(SUBSTITUTE ($T792,N$1&amp;"" CE"",""""), N$1&amp;""[\w &amp;]*, (\d+\.\d+)""),"""")
"),"")</f>
        <v/>
      </c>
      <c r="O792" s="3" t="str">
        <f aca="false">IFERROR(__xludf.dummyfunction("if($T792&lt;&gt;"""",REGEXEXTRACT($T792, O$1&amp;""[\w &amp;]*, (\d+\.\d+)""),"""")
"),"")</f>
        <v/>
      </c>
      <c r="P792" s="2"/>
      <c r="Q792" s="2"/>
      <c r="R792" s="2"/>
      <c r="S792" s="2"/>
      <c r="T792" s="5"/>
    </row>
    <row r="793" customFormat="false" ht="15.75" hidden="false" customHeight="false" outlineLevel="0" collapsed="false">
      <c r="A793" s="4"/>
      <c r="B793" s="2"/>
      <c r="C793" s="2"/>
      <c r="D793" s="2"/>
      <c r="E793" s="2"/>
      <c r="F793" s="3" t="str">
        <f aca="false">IFERROR(__xludf.dummyfunction("if($T793&lt;&gt;"""",REGEXEXTRACT(SUBSTITUTE ($T793,F$1&amp;"" CE"",""""), F$1&amp;""[\w &amp;]*, (\d+\.\d+)""),"""")
"),"")</f>
        <v/>
      </c>
      <c r="G793" s="3" t="str">
        <f aca="false">IFERROR(__xludf.dummyfunction("if($T793&lt;&gt;"""",REGEXEXTRACT($T793, G$1&amp;""[\w &amp;]*, (\d+\.\d+)""),"""")
"),"")</f>
        <v/>
      </c>
      <c r="H793" s="3"/>
      <c r="I793" s="3" t="str">
        <f aca="false">IFERROR(__xludf.dummyfunction("if($T793&lt;&gt;"""",REGEXEXTRACT(SUBSTITUTE ($T793,I$1&amp;"" CE"",""""), I$1&amp;""[\w &amp;]*, (\d+\.\d+)""),"""")
"),"")</f>
        <v/>
      </c>
      <c r="J793" s="3" t="str">
        <f aca="false">IFERROR(__xludf.dummyfunction("if($T793&lt;&gt;"""",REGEXEXTRACT($T793, J$1&amp;""[\w &amp;]*, (\d+\.\d+)""),"""")
"),"")</f>
        <v/>
      </c>
      <c r="K793" s="3"/>
      <c r="L793" s="3" t="str">
        <f aca="false">IFERROR(__xludf.dummyfunction("if($T793&lt;&gt;"""",REGEXEXTRACT(SUBSTITUTE ($T793,L$1&amp;"" CE"",""""), L$1&amp;""[\w &amp;]*, (\d+\.\d+)""),"""")
"),"")</f>
        <v/>
      </c>
      <c r="M793" s="3" t="str">
        <f aca="false">IFERROR(__xludf.dummyfunction("if($T793&lt;&gt;"""",REGEXEXTRACT($T793, M$1&amp;""[\w &amp;]*, (\d+\.\d+)""),"""")
"),"")</f>
        <v/>
      </c>
      <c r="N793" s="3" t="str">
        <f aca="false">IFERROR(__xludf.dummyfunction("if($T793&lt;&gt;"""",REGEXEXTRACT(SUBSTITUTE ($T793,N$1&amp;"" CE"",""""), N$1&amp;""[\w &amp;]*, (\d+\.\d+)""),"""")
"),"")</f>
        <v/>
      </c>
      <c r="O793" s="3" t="str">
        <f aca="false">IFERROR(__xludf.dummyfunction("if($T793&lt;&gt;"""",REGEXEXTRACT($T793, O$1&amp;""[\w &amp;]*, (\d+\.\d+)""),"""")
"),"")</f>
        <v/>
      </c>
      <c r="P793" s="2"/>
      <c r="Q793" s="2"/>
      <c r="R793" s="2"/>
      <c r="S793" s="2"/>
      <c r="T793" s="5"/>
    </row>
    <row r="794" customFormat="false" ht="15.75" hidden="false" customHeight="false" outlineLevel="0" collapsed="false">
      <c r="A794" s="4"/>
      <c r="B794" s="2"/>
      <c r="C794" s="2"/>
      <c r="D794" s="2"/>
      <c r="E794" s="2"/>
      <c r="F794" s="3" t="str">
        <f aca="false">IFERROR(__xludf.dummyfunction("if($T794&lt;&gt;"""",REGEXEXTRACT(SUBSTITUTE ($T794,F$1&amp;"" CE"",""""), F$1&amp;""[\w &amp;]*, (\d+\.\d+)""),"""")
"),"")</f>
        <v/>
      </c>
      <c r="G794" s="3" t="str">
        <f aca="false">IFERROR(__xludf.dummyfunction("if($T794&lt;&gt;"""",REGEXEXTRACT($T794, G$1&amp;""[\w &amp;]*, (\d+\.\d+)""),"""")
"),"")</f>
        <v/>
      </c>
      <c r="H794" s="3"/>
      <c r="I794" s="3" t="str">
        <f aca="false">IFERROR(__xludf.dummyfunction("if($T794&lt;&gt;"""",REGEXEXTRACT(SUBSTITUTE ($T794,I$1&amp;"" CE"",""""), I$1&amp;""[\w &amp;]*, (\d+\.\d+)""),"""")
"),"")</f>
        <v/>
      </c>
      <c r="J794" s="3" t="str">
        <f aca="false">IFERROR(__xludf.dummyfunction("if($T794&lt;&gt;"""",REGEXEXTRACT($T794, J$1&amp;""[\w &amp;]*, (\d+\.\d+)""),"""")
"),"")</f>
        <v/>
      </c>
      <c r="K794" s="3"/>
      <c r="L794" s="3" t="str">
        <f aca="false">IFERROR(__xludf.dummyfunction("if($T794&lt;&gt;"""",REGEXEXTRACT(SUBSTITUTE ($T794,L$1&amp;"" CE"",""""), L$1&amp;""[\w &amp;]*, (\d+\.\d+)""),"""")
"),"")</f>
        <v/>
      </c>
      <c r="M794" s="3" t="str">
        <f aca="false">IFERROR(__xludf.dummyfunction("if($T794&lt;&gt;"""",REGEXEXTRACT($T794, M$1&amp;""[\w &amp;]*, (\d+\.\d+)""),"""")
"),"")</f>
        <v/>
      </c>
      <c r="N794" s="3" t="str">
        <f aca="false">IFERROR(__xludf.dummyfunction("if($T794&lt;&gt;"""",REGEXEXTRACT(SUBSTITUTE ($T794,N$1&amp;"" CE"",""""), N$1&amp;""[\w &amp;]*, (\d+\.\d+)""),"""")
"),"")</f>
        <v/>
      </c>
      <c r="O794" s="3" t="str">
        <f aca="false">IFERROR(__xludf.dummyfunction("if($T794&lt;&gt;"""",REGEXEXTRACT($T794, O$1&amp;""[\w &amp;]*, (\d+\.\d+)""),"""")
"),"")</f>
        <v/>
      </c>
      <c r="P794" s="2"/>
      <c r="Q794" s="2"/>
      <c r="R794" s="2"/>
      <c r="S794" s="2"/>
      <c r="T794" s="5"/>
    </row>
    <row r="795" customFormat="false" ht="15.75" hidden="false" customHeight="false" outlineLevel="0" collapsed="false">
      <c r="A795" s="4"/>
      <c r="B795" s="2"/>
      <c r="C795" s="2"/>
      <c r="D795" s="2"/>
      <c r="E795" s="2"/>
      <c r="F795" s="3" t="str">
        <f aca="false">IFERROR(__xludf.dummyfunction("if($T795&lt;&gt;"""",REGEXEXTRACT(SUBSTITUTE ($T795,F$1&amp;"" CE"",""""), F$1&amp;""[\w &amp;]*, (\d+\.\d+)""),"""")
"),"")</f>
        <v/>
      </c>
      <c r="G795" s="3" t="str">
        <f aca="false">IFERROR(__xludf.dummyfunction("if($T795&lt;&gt;"""",REGEXEXTRACT($T795, G$1&amp;""[\w &amp;]*, (\d+\.\d+)""),"""")
"),"")</f>
        <v/>
      </c>
      <c r="H795" s="3"/>
      <c r="I795" s="3" t="str">
        <f aca="false">IFERROR(__xludf.dummyfunction("if($T795&lt;&gt;"""",REGEXEXTRACT(SUBSTITUTE ($T795,I$1&amp;"" CE"",""""), I$1&amp;""[\w &amp;]*, (\d+\.\d+)""),"""")
"),"")</f>
        <v/>
      </c>
      <c r="J795" s="3" t="str">
        <f aca="false">IFERROR(__xludf.dummyfunction("if($T795&lt;&gt;"""",REGEXEXTRACT($T795, J$1&amp;""[\w &amp;]*, (\d+\.\d+)""),"""")
"),"")</f>
        <v/>
      </c>
      <c r="K795" s="3"/>
      <c r="L795" s="3" t="str">
        <f aca="false">IFERROR(__xludf.dummyfunction("if($T795&lt;&gt;"""",REGEXEXTRACT(SUBSTITUTE ($T795,L$1&amp;"" CE"",""""), L$1&amp;""[\w &amp;]*, (\d+\.\d+)""),"""")
"),"")</f>
        <v/>
      </c>
      <c r="M795" s="3" t="str">
        <f aca="false">IFERROR(__xludf.dummyfunction("if($T795&lt;&gt;"""",REGEXEXTRACT($T795, M$1&amp;""[\w &amp;]*, (\d+\.\d+)""),"""")
"),"")</f>
        <v/>
      </c>
      <c r="N795" s="3" t="str">
        <f aca="false">IFERROR(__xludf.dummyfunction("if($T795&lt;&gt;"""",REGEXEXTRACT(SUBSTITUTE ($T795,N$1&amp;"" CE"",""""), N$1&amp;""[\w &amp;]*, (\d+\.\d+)""),"""")
"),"")</f>
        <v/>
      </c>
      <c r="O795" s="3" t="str">
        <f aca="false">IFERROR(__xludf.dummyfunction("if($T795&lt;&gt;"""",REGEXEXTRACT($T795, O$1&amp;""[\w &amp;]*, (\d+\.\d+)""),"""")
"),"")</f>
        <v/>
      </c>
      <c r="P795" s="2"/>
      <c r="Q795" s="2"/>
      <c r="R795" s="2"/>
      <c r="S795" s="2"/>
      <c r="T795" s="5"/>
    </row>
    <row r="796" customFormat="false" ht="15.75" hidden="false" customHeight="false" outlineLevel="0" collapsed="false">
      <c r="A796" s="4"/>
      <c r="B796" s="2"/>
      <c r="C796" s="2"/>
      <c r="D796" s="2"/>
      <c r="E796" s="2"/>
      <c r="F796" s="3" t="str">
        <f aca="false">IFERROR(__xludf.dummyfunction("if($T796&lt;&gt;"""",REGEXEXTRACT(SUBSTITUTE ($T796,F$1&amp;"" CE"",""""), F$1&amp;""[\w &amp;]*, (\d+\.\d+)""),"""")
"),"")</f>
        <v/>
      </c>
      <c r="G796" s="3" t="str">
        <f aca="false">IFERROR(__xludf.dummyfunction("if($T796&lt;&gt;"""",REGEXEXTRACT($T796, G$1&amp;""[\w &amp;]*, (\d+\.\d+)""),"""")
"),"")</f>
        <v/>
      </c>
      <c r="H796" s="3"/>
      <c r="I796" s="3" t="str">
        <f aca="false">IFERROR(__xludf.dummyfunction("if($T796&lt;&gt;"""",REGEXEXTRACT(SUBSTITUTE ($T796,I$1&amp;"" CE"",""""), I$1&amp;""[\w &amp;]*, (\d+\.\d+)""),"""")
"),"")</f>
        <v/>
      </c>
      <c r="J796" s="3" t="str">
        <f aca="false">IFERROR(__xludf.dummyfunction("if($T796&lt;&gt;"""",REGEXEXTRACT($T796, J$1&amp;""[\w &amp;]*, (\d+\.\d+)""),"""")
"),"")</f>
        <v/>
      </c>
      <c r="K796" s="3"/>
      <c r="L796" s="3" t="str">
        <f aca="false">IFERROR(__xludf.dummyfunction("if($T796&lt;&gt;"""",REGEXEXTRACT(SUBSTITUTE ($T796,L$1&amp;"" CE"",""""), L$1&amp;""[\w &amp;]*, (\d+\.\d+)""),"""")
"),"")</f>
        <v/>
      </c>
      <c r="M796" s="3" t="str">
        <f aca="false">IFERROR(__xludf.dummyfunction("if($T796&lt;&gt;"""",REGEXEXTRACT($T796, M$1&amp;""[\w &amp;]*, (\d+\.\d+)""),"""")
"),"")</f>
        <v/>
      </c>
      <c r="N796" s="3" t="str">
        <f aca="false">IFERROR(__xludf.dummyfunction("if($T796&lt;&gt;"""",REGEXEXTRACT(SUBSTITUTE ($T796,N$1&amp;"" CE"",""""), N$1&amp;""[\w &amp;]*, (\d+\.\d+)""),"""")
"),"")</f>
        <v/>
      </c>
      <c r="O796" s="3" t="str">
        <f aca="false">IFERROR(__xludf.dummyfunction("if($T796&lt;&gt;"""",REGEXEXTRACT($T796, O$1&amp;""[\w &amp;]*, (\d+\.\d+)""),"""")
"),"")</f>
        <v/>
      </c>
      <c r="P796" s="2"/>
      <c r="Q796" s="2"/>
      <c r="R796" s="2"/>
      <c r="S796" s="2"/>
      <c r="T796" s="5"/>
    </row>
    <row r="797" customFormat="false" ht="15.75" hidden="false" customHeight="false" outlineLevel="0" collapsed="false">
      <c r="A797" s="4"/>
      <c r="B797" s="2"/>
      <c r="C797" s="2"/>
      <c r="D797" s="2"/>
      <c r="E797" s="2"/>
      <c r="F797" s="3" t="str">
        <f aca="false">IFERROR(__xludf.dummyfunction("if($T797&lt;&gt;"""",REGEXEXTRACT(SUBSTITUTE ($T797,F$1&amp;"" CE"",""""), F$1&amp;""[\w &amp;]*, (\d+\.\d+)""),"""")
"),"")</f>
        <v/>
      </c>
      <c r="G797" s="3" t="str">
        <f aca="false">IFERROR(__xludf.dummyfunction("if($T797&lt;&gt;"""",REGEXEXTRACT($T797, G$1&amp;""[\w &amp;]*, (\d+\.\d+)""),"""")
"),"")</f>
        <v/>
      </c>
      <c r="H797" s="3"/>
      <c r="I797" s="3" t="str">
        <f aca="false">IFERROR(__xludf.dummyfunction("if($T797&lt;&gt;"""",REGEXEXTRACT(SUBSTITUTE ($T797,I$1&amp;"" CE"",""""), I$1&amp;""[\w &amp;]*, (\d+\.\d+)""),"""")
"),"")</f>
        <v/>
      </c>
      <c r="J797" s="3" t="str">
        <f aca="false">IFERROR(__xludf.dummyfunction("if($T797&lt;&gt;"""",REGEXEXTRACT($T797, J$1&amp;""[\w &amp;]*, (\d+\.\d+)""),"""")
"),"")</f>
        <v/>
      </c>
      <c r="K797" s="3"/>
      <c r="L797" s="3" t="str">
        <f aca="false">IFERROR(__xludf.dummyfunction("if($T797&lt;&gt;"""",REGEXEXTRACT(SUBSTITUTE ($T797,L$1&amp;"" CE"",""""), L$1&amp;""[\w &amp;]*, (\d+\.\d+)""),"""")
"),"")</f>
        <v/>
      </c>
      <c r="M797" s="3" t="str">
        <f aca="false">IFERROR(__xludf.dummyfunction("if($T797&lt;&gt;"""",REGEXEXTRACT($T797, M$1&amp;""[\w &amp;]*, (\d+\.\d+)""),"""")
"),"")</f>
        <v/>
      </c>
      <c r="N797" s="3" t="str">
        <f aca="false">IFERROR(__xludf.dummyfunction("if($T797&lt;&gt;"""",REGEXEXTRACT(SUBSTITUTE ($T797,N$1&amp;"" CE"",""""), N$1&amp;""[\w &amp;]*, (\d+\.\d+)""),"""")
"),"")</f>
        <v/>
      </c>
      <c r="O797" s="3" t="str">
        <f aca="false">IFERROR(__xludf.dummyfunction("if($T797&lt;&gt;"""",REGEXEXTRACT($T797, O$1&amp;""[\w &amp;]*, (\d+\.\d+)""),"""")
"),"")</f>
        <v/>
      </c>
      <c r="P797" s="2"/>
      <c r="Q797" s="2"/>
      <c r="R797" s="2"/>
      <c r="S797" s="2"/>
      <c r="T797" s="5"/>
    </row>
    <row r="798" customFormat="false" ht="15.75" hidden="false" customHeight="false" outlineLevel="0" collapsed="false">
      <c r="A798" s="4"/>
      <c r="B798" s="2"/>
      <c r="C798" s="2"/>
      <c r="D798" s="2"/>
      <c r="E798" s="2"/>
      <c r="F798" s="3" t="str">
        <f aca="false">IFERROR(__xludf.dummyfunction("if($T798&lt;&gt;"""",REGEXEXTRACT(SUBSTITUTE ($T798,F$1&amp;"" CE"",""""), F$1&amp;""[\w &amp;]*, (\d+\.\d+)""),"""")
"),"")</f>
        <v/>
      </c>
      <c r="G798" s="3" t="str">
        <f aca="false">IFERROR(__xludf.dummyfunction("if($T798&lt;&gt;"""",REGEXEXTRACT($T798, G$1&amp;""[\w &amp;]*, (\d+\.\d+)""),"""")
"),"")</f>
        <v/>
      </c>
      <c r="H798" s="3"/>
      <c r="I798" s="3" t="str">
        <f aca="false">IFERROR(__xludf.dummyfunction("if($T798&lt;&gt;"""",REGEXEXTRACT(SUBSTITUTE ($T798,I$1&amp;"" CE"",""""), I$1&amp;""[\w &amp;]*, (\d+\.\d+)""),"""")
"),"")</f>
        <v/>
      </c>
      <c r="J798" s="3" t="str">
        <f aca="false">IFERROR(__xludf.dummyfunction("if($T798&lt;&gt;"""",REGEXEXTRACT($T798, J$1&amp;""[\w &amp;]*, (\d+\.\d+)""),"""")
"),"")</f>
        <v/>
      </c>
      <c r="K798" s="3"/>
      <c r="L798" s="3" t="str">
        <f aca="false">IFERROR(__xludf.dummyfunction("if($T798&lt;&gt;"""",REGEXEXTRACT(SUBSTITUTE ($T798,L$1&amp;"" CE"",""""), L$1&amp;""[\w &amp;]*, (\d+\.\d+)""),"""")
"),"")</f>
        <v/>
      </c>
      <c r="M798" s="3" t="str">
        <f aca="false">IFERROR(__xludf.dummyfunction("if($T798&lt;&gt;"""",REGEXEXTRACT($T798, M$1&amp;""[\w &amp;]*, (\d+\.\d+)""),"""")
"),"")</f>
        <v/>
      </c>
      <c r="N798" s="3" t="str">
        <f aca="false">IFERROR(__xludf.dummyfunction("if($T798&lt;&gt;"""",REGEXEXTRACT(SUBSTITUTE ($T798,N$1&amp;"" CE"",""""), N$1&amp;""[\w &amp;]*, (\d+\.\d+)""),"""")
"),"")</f>
        <v/>
      </c>
      <c r="O798" s="3" t="str">
        <f aca="false">IFERROR(__xludf.dummyfunction("if($T798&lt;&gt;"""",REGEXEXTRACT($T798, O$1&amp;""[\w &amp;]*, (\d+\.\d+)""),"""")
"),"")</f>
        <v/>
      </c>
      <c r="P798" s="2"/>
      <c r="Q798" s="2"/>
      <c r="R798" s="2"/>
      <c r="S798" s="2"/>
      <c r="T798" s="5"/>
    </row>
    <row r="799" customFormat="false" ht="15.75" hidden="false" customHeight="false" outlineLevel="0" collapsed="false">
      <c r="A799" s="4"/>
      <c r="B799" s="2"/>
      <c r="C799" s="2"/>
      <c r="D799" s="2"/>
      <c r="E799" s="2"/>
      <c r="F799" s="3" t="str">
        <f aca="false">IFERROR(__xludf.dummyfunction("if($T799&lt;&gt;"""",REGEXEXTRACT(SUBSTITUTE ($T799,F$1&amp;"" CE"",""""), F$1&amp;""[\w &amp;]*, (\d+\.\d+)""),"""")
"),"")</f>
        <v/>
      </c>
      <c r="G799" s="3" t="str">
        <f aca="false">IFERROR(__xludf.dummyfunction("if($T799&lt;&gt;"""",REGEXEXTRACT($T799, G$1&amp;""[\w &amp;]*, (\d+\.\d+)""),"""")
"),"")</f>
        <v/>
      </c>
      <c r="H799" s="3"/>
      <c r="I799" s="3" t="str">
        <f aca="false">IFERROR(__xludf.dummyfunction("if($T799&lt;&gt;"""",REGEXEXTRACT(SUBSTITUTE ($T799,I$1&amp;"" CE"",""""), I$1&amp;""[\w &amp;]*, (\d+\.\d+)""),"""")
"),"")</f>
        <v/>
      </c>
      <c r="J799" s="3" t="str">
        <f aca="false">IFERROR(__xludf.dummyfunction("if($T799&lt;&gt;"""",REGEXEXTRACT($T799, J$1&amp;""[\w &amp;]*, (\d+\.\d+)""),"""")
"),"")</f>
        <v/>
      </c>
      <c r="K799" s="3"/>
      <c r="L799" s="3" t="str">
        <f aca="false">IFERROR(__xludf.dummyfunction("if($T799&lt;&gt;"""",REGEXEXTRACT(SUBSTITUTE ($T799,L$1&amp;"" CE"",""""), L$1&amp;""[\w &amp;]*, (\d+\.\d+)""),"""")
"),"")</f>
        <v/>
      </c>
      <c r="M799" s="3" t="str">
        <f aca="false">IFERROR(__xludf.dummyfunction("if($T799&lt;&gt;"""",REGEXEXTRACT($T799, M$1&amp;""[\w &amp;]*, (\d+\.\d+)""),"""")
"),"")</f>
        <v/>
      </c>
      <c r="N799" s="3" t="str">
        <f aca="false">IFERROR(__xludf.dummyfunction("if($T799&lt;&gt;"""",REGEXEXTRACT(SUBSTITUTE ($T799,N$1&amp;"" CE"",""""), N$1&amp;""[\w &amp;]*, (\d+\.\d+)""),"""")
"),"")</f>
        <v/>
      </c>
      <c r="O799" s="3" t="str">
        <f aca="false">IFERROR(__xludf.dummyfunction("if($T799&lt;&gt;"""",REGEXEXTRACT($T799, O$1&amp;""[\w &amp;]*, (\d+\.\d+)""),"""")
"),"")</f>
        <v/>
      </c>
      <c r="P799" s="2"/>
      <c r="Q799" s="2"/>
      <c r="R799" s="2"/>
      <c r="S799" s="2"/>
      <c r="T799" s="5"/>
    </row>
    <row r="800" customFormat="false" ht="15.75" hidden="false" customHeight="false" outlineLevel="0" collapsed="false">
      <c r="A800" s="4"/>
      <c r="B800" s="2"/>
      <c r="C800" s="2"/>
      <c r="D800" s="2"/>
      <c r="E800" s="2"/>
      <c r="F800" s="3" t="str">
        <f aca="false">IFERROR(__xludf.dummyfunction("if($T800&lt;&gt;"""",REGEXEXTRACT(SUBSTITUTE ($T800,F$1&amp;"" CE"",""""), F$1&amp;""[\w &amp;]*, (\d+\.\d+)""),"""")
"),"")</f>
        <v/>
      </c>
      <c r="G800" s="3" t="str">
        <f aca="false">IFERROR(__xludf.dummyfunction("if($T800&lt;&gt;"""",REGEXEXTRACT($T800, G$1&amp;""[\w &amp;]*, (\d+\.\d+)""),"""")
"),"")</f>
        <v/>
      </c>
      <c r="H800" s="3"/>
      <c r="I800" s="3" t="str">
        <f aca="false">IFERROR(__xludf.dummyfunction("if($T800&lt;&gt;"""",REGEXEXTRACT(SUBSTITUTE ($T800,I$1&amp;"" CE"",""""), I$1&amp;""[\w &amp;]*, (\d+\.\d+)""),"""")
"),"")</f>
        <v/>
      </c>
      <c r="J800" s="3" t="str">
        <f aca="false">IFERROR(__xludf.dummyfunction("if($T800&lt;&gt;"""",REGEXEXTRACT($T800, J$1&amp;""[\w &amp;]*, (\d+\.\d+)""),"""")
"),"")</f>
        <v/>
      </c>
      <c r="K800" s="3"/>
      <c r="L800" s="3" t="str">
        <f aca="false">IFERROR(__xludf.dummyfunction("if($T800&lt;&gt;"""",REGEXEXTRACT(SUBSTITUTE ($T800,L$1&amp;"" CE"",""""), L$1&amp;""[\w &amp;]*, (\d+\.\d+)""),"""")
"),"")</f>
        <v/>
      </c>
      <c r="M800" s="3" t="str">
        <f aca="false">IFERROR(__xludf.dummyfunction("if($T800&lt;&gt;"""",REGEXEXTRACT($T800, M$1&amp;""[\w &amp;]*, (\d+\.\d+)""),"""")
"),"")</f>
        <v/>
      </c>
      <c r="N800" s="3" t="str">
        <f aca="false">IFERROR(__xludf.dummyfunction("if($T800&lt;&gt;"""",REGEXEXTRACT(SUBSTITUTE ($T800,N$1&amp;"" CE"",""""), N$1&amp;""[\w &amp;]*, (\d+\.\d+)""),"""")
"),"")</f>
        <v/>
      </c>
      <c r="O800" s="3" t="str">
        <f aca="false">IFERROR(__xludf.dummyfunction("if($T800&lt;&gt;"""",REGEXEXTRACT($T800, O$1&amp;""[\w &amp;]*, (\d+\.\d+)""),"""")
"),"")</f>
        <v/>
      </c>
      <c r="P800" s="2"/>
      <c r="Q800" s="2"/>
      <c r="R800" s="2"/>
      <c r="S800" s="2"/>
      <c r="T800" s="5"/>
    </row>
    <row r="801" customFormat="false" ht="15.75" hidden="false" customHeight="false" outlineLevel="0" collapsed="false">
      <c r="A801" s="4"/>
      <c r="B801" s="2"/>
      <c r="C801" s="2"/>
      <c r="D801" s="2"/>
      <c r="E801" s="2"/>
      <c r="F801" s="3" t="str">
        <f aca="false">IFERROR(__xludf.dummyfunction("if($T801&lt;&gt;"""",REGEXEXTRACT(SUBSTITUTE ($T801,F$1&amp;"" CE"",""""), F$1&amp;""[\w &amp;]*, (\d+\.\d+)""),"""")
"),"")</f>
        <v/>
      </c>
      <c r="G801" s="3" t="str">
        <f aca="false">IFERROR(__xludf.dummyfunction("if($T801&lt;&gt;"""",REGEXEXTRACT($T801, G$1&amp;""[\w &amp;]*, (\d+\.\d+)""),"""")
"),"")</f>
        <v/>
      </c>
      <c r="H801" s="3"/>
      <c r="I801" s="3" t="str">
        <f aca="false">IFERROR(__xludf.dummyfunction("if($T801&lt;&gt;"""",REGEXEXTRACT(SUBSTITUTE ($T801,I$1&amp;"" CE"",""""), I$1&amp;""[\w &amp;]*, (\d+\.\d+)""),"""")
"),"")</f>
        <v/>
      </c>
      <c r="J801" s="3" t="str">
        <f aca="false">IFERROR(__xludf.dummyfunction("if($T801&lt;&gt;"""",REGEXEXTRACT($T801, J$1&amp;""[\w &amp;]*, (\d+\.\d+)""),"""")
"),"")</f>
        <v/>
      </c>
      <c r="K801" s="3"/>
      <c r="L801" s="3" t="str">
        <f aca="false">IFERROR(__xludf.dummyfunction("if($T801&lt;&gt;"""",REGEXEXTRACT(SUBSTITUTE ($T801,L$1&amp;"" CE"",""""), L$1&amp;""[\w &amp;]*, (\d+\.\d+)""),"""")
"),"")</f>
        <v/>
      </c>
      <c r="M801" s="3" t="str">
        <f aca="false">IFERROR(__xludf.dummyfunction("if($T801&lt;&gt;"""",REGEXEXTRACT($T801, M$1&amp;""[\w &amp;]*, (\d+\.\d+)""),"""")
"),"")</f>
        <v/>
      </c>
      <c r="N801" s="3" t="str">
        <f aca="false">IFERROR(__xludf.dummyfunction("if($T801&lt;&gt;"""",REGEXEXTRACT(SUBSTITUTE ($T801,N$1&amp;"" CE"",""""), N$1&amp;""[\w &amp;]*, (\d+\.\d+)""),"""")
"),"")</f>
        <v/>
      </c>
      <c r="O801" s="3" t="str">
        <f aca="false">IFERROR(__xludf.dummyfunction("if($T801&lt;&gt;"""",REGEXEXTRACT($T801, O$1&amp;""[\w &amp;]*, (\d+\.\d+)""),"""")
"),"")</f>
        <v/>
      </c>
      <c r="P801" s="2"/>
      <c r="Q801" s="2"/>
      <c r="R801" s="2"/>
      <c r="S801" s="2"/>
      <c r="T801" s="5"/>
    </row>
    <row r="802" customFormat="false" ht="15.75" hidden="false" customHeight="false" outlineLevel="0" collapsed="false">
      <c r="A802" s="4"/>
      <c r="B802" s="2"/>
      <c r="C802" s="2"/>
      <c r="D802" s="2"/>
      <c r="E802" s="2"/>
      <c r="F802" s="3" t="str">
        <f aca="false">IFERROR(__xludf.dummyfunction("if($T802&lt;&gt;"""",REGEXEXTRACT(SUBSTITUTE ($T802,F$1&amp;"" CE"",""""), F$1&amp;""[\w &amp;]*, (\d+\.\d+)""),"""")
"),"")</f>
        <v/>
      </c>
      <c r="G802" s="3" t="str">
        <f aca="false">IFERROR(__xludf.dummyfunction("if($T802&lt;&gt;"""",REGEXEXTRACT($T802, G$1&amp;""[\w &amp;]*, (\d+\.\d+)""),"""")
"),"")</f>
        <v/>
      </c>
      <c r="H802" s="3"/>
      <c r="I802" s="3" t="str">
        <f aca="false">IFERROR(__xludf.dummyfunction("if($T802&lt;&gt;"""",REGEXEXTRACT(SUBSTITUTE ($T802,I$1&amp;"" CE"",""""), I$1&amp;""[\w &amp;]*, (\d+\.\d+)""),"""")
"),"")</f>
        <v/>
      </c>
      <c r="J802" s="3" t="str">
        <f aca="false">IFERROR(__xludf.dummyfunction("if($T802&lt;&gt;"""",REGEXEXTRACT($T802, J$1&amp;""[\w &amp;]*, (\d+\.\d+)""),"""")
"),"")</f>
        <v/>
      </c>
      <c r="K802" s="3"/>
      <c r="L802" s="3" t="str">
        <f aca="false">IFERROR(__xludf.dummyfunction("if($T802&lt;&gt;"""",REGEXEXTRACT(SUBSTITUTE ($T802,L$1&amp;"" CE"",""""), L$1&amp;""[\w &amp;]*, (\d+\.\d+)""),"""")
"),"")</f>
        <v/>
      </c>
      <c r="M802" s="3" t="str">
        <f aca="false">IFERROR(__xludf.dummyfunction("if($T802&lt;&gt;"""",REGEXEXTRACT($T802, M$1&amp;""[\w &amp;]*, (\d+\.\d+)""),"""")
"),"")</f>
        <v/>
      </c>
      <c r="N802" s="3" t="str">
        <f aca="false">IFERROR(__xludf.dummyfunction("if($T802&lt;&gt;"""",REGEXEXTRACT(SUBSTITUTE ($T802,N$1&amp;"" CE"",""""), N$1&amp;""[\w &amp;]*, (\d+\.\d+)""),"""")
"),"")</f>
        <v/>
      </c>
      <c r="O802" s="3" t="str">
        <f aca="false">IFERROR(__xludf.dummyfunction("if($T802&lt;&gt;"""",REGEXEXTRACT($T802, O$1&amp;""[\w &amp;]*, (\d+\.\d+)""),"""")
"),"")</f>
        <v/>
      </c>
      <c r="P802" s="2"/>
      <c r="Q802" s="2"/>
      <c r="R802" s="2"/>
      <c r="S802" s="2"/>
      <c r="T802" s="5"/>
    </row>
    <row r="803" customFormat="false" ht="15.75" hidden="false" customHeight="false" outlineLevel="0" collapsed="false">
      <c r="A803" s="4"/>
      <c r="B803" s="2"/>
      <c r="C803" s="2"/>
      <c r="D803" s="2"/>
      <c r="E803" s="2"/>
      <c r="F803" s="3" t="str">
        <f aca="false">IFERROR(__xludf.dummyfunction("if($T803&lt;&gt;"""",REGEXEXTRACT(SUBSTITUTE ($T803,F$1&amp;"" CE"",""""), F$1&amp;""[\w &amp;]*, (\d+\.\d+)""),"""")
"),"")</f>
        <v/>
      </c>
      <c r="G803" s="3" t="str">
        <f aca="false">IFERROR(__xludf.dummyfunction("if($T803&lt;&gt;"""",REGEXEXTRACT($T803, G$1&amp;""[\w &amp;]*, (\d+\.\d+)""),"""")
"),"")</f>
        <v/>
      </c>
      <c r="H803" s="3"/>
      <c r="I803" s="3" t="str">
        <f aca="false">IFERROR(__xludf.dummyfunction("if($T803&lt;&gt;"""",REGEXEXTRACT(SUBSTITUTE ($T803,I$1&amp;"" CE"",""""), I$1&amp;""[\w &amp;]*, (\d+\.\d+)""),"""")
"),"")</f>
        <v/>
      </c>
      <c r="J803" s="3" t="str">
        <f aca="false">IFERROR(__xludf.dummyfunction("if($T803&lt;&gt;"""",REGEXEXTRACT($T803, J$1&amp;""[\w &amp;]*, (\d+\.\d+)""),"""")
"),"")</f>
        <v/>
      </c>
      <c r="K803" s="3"/>
      <c r="L803" s="3" t="str">
        <f aca="false">IFERROR(__xludf.dummyfunction("if($T803&lt;&gt;"""",REGEXEXTRACT(SUBSTITUTE ($T803,L$1&amp;"" CE"",""""), L$1&amp;""[\w &amp;]*, (\d+\.\d+)""),"""")
"),"")</f>
        <v/>
      </c>
      <c r="M803" s="3" t="str">
        <f aca="false">IFERROR(__xludf.dummyfunction("if($T803&lt;&gt;"""",REGEXEXTRACT($T803, M$1&amp;""[\w &amp;]*, (\d+\.\d+)""),"""")
"),"")</f>
        <v/>
      </c>
      <c r="N803" s="3" t="str">
        <f aca="false">IFERROR(__xludf.dummyfunction("if($T803&lt;&gt;"""",REGEXEXTRACT(SUBSTITUTE ($T803,N$1&amp;"" CE"",""""), N$1&amp;""[\w &amp;]*, (\d+\.\d+)""),"""")
"),"")</f>
        <v/>
      </c>
      <c r="O803" s="3" t="str">
        <f aca="false">IFERROR(__xludf.dummyfunction("if($T803&lt;&gt;"""",REGEXEXTRACT($T803, O$1&amp;""[\w &amp;]*, (\d+\.\d+)""),"""")
"),"")</f>
        <v/>
      </c>
      <c r="P803" s="2"/>
      <c r="Q803" s="2"/>
      <c r="R803" s="2"/>
      <c r="S803" s="2"/>
      <c r="T803" s="5"/>
    </row>
    <row r="804" customFormat="false" ht="15.75" hidden="false" customHeight="false" outlineLevel="0" collapsed="false">
      <c r="A804" s="4"/>
      <c r="B804" s="2"/>
      <c r="C804" s="2"/>
      <c r="D804" s="2"/>
      <c r="E804" s="2"/>
      <c r="F804" s="3" t="str">
        <f aca="false">IFERROR(__xludf.dummyfunction("if($T804&lt;&gt;"""",REGEXEXTRACT(SUBSTITUTE ($T804,F$1&amp;"" CE"",""""), F$1&amp;""[\w &amp;]*, (\d+\.\d+)""),"""")
"),"")</f>
        <v/>
      </c>
      <c r="G804" s="3" t="str">
        <f aca="false">IFERROR(__xludf.dummyfunction("if($T804&lt;&gt;"""",REGEXEXTRACT($T804, G$1&amp;""[\w &amp;]*, (\d+\.\d+)""),"""")
"),"")</f>
        <v/>
      </c>
      <c r="H804" s="3"/>
      <c r="I804" s="3" t="str">
        <f aca="false">IFERROR(__xludf.dummyfunction("if($T804&lt;&gt;"""",REGEXEXTRACT(SUBSTITUTE ($T804,I$1&amp;"" CE"",""""), I$1&amp;""[\w &amp;]*, (\d+\.\d+)""),"""")
"),"")</f>
        <v/>
      </c>
      <c r="J804" s="3" t="str">
        <f aca="false">IFERROR(__xludf.dummyfunction("if($T804&lt;&gt;"""",REGEXEXTRACT($T804, J$1&amp;""[\w &amp;]*, (\d+\.\d+)""),"""")
"),"")</f>
        <v/>
      </c>
      <c r="K804" s="3"/>
      <c r="L804" s="3" t="str">
        <f aca="false">IFERROR(__xludf.dummyfunction("if($T804&lt;&gt;"""",REGEXEXTRACT(SUBSTITUTE ($T804,L$1&amp;"" CE"",""""), L$1&amp;""[\w &amp;]*, (\d+\.\d+)""),"""")
"),"")</f>
        <v/>
      </c>
      <c r="M804" s="3" t="str">
        <f aca="false">IFERROR(__xludf.dummyfunction("if($T804&lt;&gt;"""",REGEXEXTRACT($T804, M$1&amp;""[\w &amp;]*, (\d+\.\d+)""),"""")
"),"")</f>
        <v/>
      </c>
      <c r="N804" s="3" t="str">
        <f aca="false">IFERROR(__xludf.dummyfunction("if($T804&lt;&gt;"""",REGEXEXTRACT(SUBSTITUTE ($T804,N$1&amp;"" CE"",""""), N$1&amp;""[\w &amp;]*, (\d+\.\d+)""),"""")
"),"")</f>
        <v/>
      </c>
      <c r="O804" s="3" t="str">
        <f aca="false">IFERROR(__xludf.dummyfunction("if($T804&lt;&gt;"""",REGEXEXTRACT($T804, O$1&amp;""[\w &amp;]*, (\d+\.\d+)""),"""")
"),"")</f>
        <v/>
      </c>
      <c r="P804" s="2"/>
      <c r="Q804" s="2"/>
      <c r="R804" s="2"/>
      <c r="S804" s="2"/>
      <c r="T804" s="5"/>
    </row>
    <row r="805" customFormat="false" ht="15.75" hidden="false" customHeight="false" outlineLevel="0" collapsed="false">
      <c r="A805" s="4"/>
      <c r="B805" s="2"/>
      <c r="C805" s="2"/>
      <c r="D805" s="2"/>
      <c r="E805" s="2"/>
      <c r="F805" s="3" t="str">
        <f aca="false">IFERROR(__xludf.dummyfunction("if($T805&lt;&gt;"""",REGEXEXTRACT(SUBSTITUTE ($T805,F$1&amp;"" CE"",""""), F$1&amp;""[\w &amp;]*, (\d+\.\d+)""),"""")
"),"")</f>
        <v/>
      </c>
      <c r="G805" s="3" t="str">
        <f aca="false">IFERROR(__xludf.dummyfunction("if($T805&lt;&gt;"""",REGEXEXTRACT($T805, G$1&amp;""[\w &amp;]*, (\d+\.\d+)""),"""")
"),"")</f>
        <v/>
      </c>
      <c r="H805" s="3"/>
      <c r="I805" s="3" t="str">
        <f aca="false">IFERROR(__xludf.dummyfunction("if($T805&lt;&gt;"""",REGEXEXTRACT(SUBSTITUTE ($T805,I$1&amp;"" CE"",""""), I$1&amp;""[\w &amp;]*, (\d+\.\d+)""),"""")
"),"")</f>
        <v/>
      </c>
      <c r="J805" s="3" t="str">
        <f aca="false">IFERROR(__xludf.dummyfunction("if($T805&lt;&gt;"""",REGEXEXTRACT($T805, J$1&amp;""[\w &amp;]*, (\d+\.\d+)""),"""")
"),"")</f>
        <v/>
      </c>
      <c r="K805" s="3"/>
      <c r="L805" s="3" t="str">
        <f aca="false">IFERROR(__xludf.dummyfunction("if($T805&lt;&gt;"""",REGEXEXTRACT(SUBSTITUTE ($T805,L$1&amp;"" CE"",""""), L$1&amp;""[\w &amp;]*, (\d+\.\d+)""),"""")
"),"")</f>
        <v/>
      </c>
      <c r="M805" s="3" t="str">
        <f aca="false">IFERROR(__xludf.dummyfunction("if($T805&lt;&gt;"""",REGEXEXTRACT($T805, M$1&amp;""[\w &amp;]*, (\d+\.\d+)""),"""")
"),"")</f>
        <v/>
      </c>
      <c r="N805" s="3" t="str">
        <f aca="false">IFERROR(__xludf.dummyfunction("if($T805&lt;&gt;"""",REGEXEXTRACT(SUBSTITUTE ($T805,N$1&amp;"" CE"",""""), N$1&amp;""[\w &amp;]*, (\d+\.\d+)""),"""")
"),"")</f>
        <v/>
      </c>
      <c r="O805" s="3" t="str">
        <f aca="false">IFERROR(__xludf.dummyfunction("if($T805&lt;&gt;"""",REGEXEXTRACT($T805, O$1&amp;""[\w &amp;]*, (\d+\.\d+)""),"""")
"),"")</f>
        <v/>
      </c>
      <c r="P805" s="2"/>
      <c r="Q805" s="2"/>
      <c r="R805" s="2"/>
      <c r="S805" s="2"/>
      <c r="T805" s="5"/>
    </row>
    <row r="806" customFormat="false" ht="15.75" hidden="false" customHeight="false" outlineLevel="0" collapsed="false">
      <c r="A806" s="4"/>
      <c r="B806" s="2"/>
      <c r="C806" s="2"/>
      <c r="D806" s="2"/>
      <c r="E806" s="2"/>
      <c r="F806" s="3" t="str">
        <f aca="false">IFERROR(__xludf.dummyfunction("if($T806&lt;&gt;"""",REGEXEXTRACT(SUBSTITUTE ($T806,F$1&amp;"" CE"",""""), F$1&amp;""[\w &amp;]*, (\d+\.\d+)""),"""")
"),"")</f>
        <v/>
      </c>
      <c r="G806" s="3" t="str">
        <f aca="false">IFERROR(__xludf.dummyfunction("if($T806&lt;&gt;"""",REGEXEXTRACT($T806, G$1&amp;""[\w &amp;]*, (\d+\.\d+)""),"""")
"),"")</f>
        <v/>
      </c>
      <c r="H806" s="3"/>
      <c r="I806" s="3" t="str">
        <f aca="false">IFERROR(__xludf.dummyfunction("if($T806&lt;&gt;"""",REGEXEXTRACT(SUBSTITUTE ($T806,I$1&amp;"" CE"",""""), I$1&amp;""[\w &amp;]*, (\d+\.\d+)""),"""")
"),"")</f>
        <v/>
      </c>
      <c r="J806" s="3" t="str">
        <f aca="false">IFERROR(__xludf.dummyfunction("if($T806&lt;&gt;"""",REGEXEXTRACT($T806, J$1&amp;""[\w &amp;]*, (\d+\.\d+)""),"""")
"),"")</f>
        <v/>
      </c>
      <c r="K806" s="3"/>
      <c r="L806" s="3" t="str">
        <f aca="false">IFERROR(__xludf.dummyfunction("if($T806&lt;&gt;"""",REGEXEXTRACT(SUBSTITUTE ($T806,L$1&amp;"" CE"",""""), L$1&amp;""[\w &amp;]*, (\d+\.\d+)""),"""")
"),"")</f>
        <v/>
      </c>
      <c r="M806" s="3" t="str">
        <f aca="false">IFERROR(__xludf.dummyfunction("if($T806&lt;&gt;"""",REGEXEXTRACT($T806, M$1&amp;""[\w &amp;]*, (\d+\.\d+)""),"""")
"),"")</f>
        <v/>
      </c>
      <c r="N806" s="3" t="str">
        <f aca="false">IFERROR(__xludf.dummyfunction("if($T806&lt;&gt;"""",REGEXEXTRACT(SUBSTITUTE ($T806,N$1&amp;"" CE"",""""), N$1&amp;""[\w &amp;]*, (\d+\.\d+)""),"""")
"),"")</f>
        <v/>
      </c>
      <c r="O806" s="3" t="str">
        <f aca="false">IFERROR(__xludf.dummyfunction("if($T806&lt;&gt;"""",REGEXEXTRACT($T806, O$1&amp;""[\w &amp;]*, (\d+\.\d+)""),"""")
"),"")</f>
        <v/>
      </c>
      <c r="P806" s="2"/>
      <c r="Q806" s="2"/>
      <c r="R806" s="2"/>
      <c r="S806" s="2"/>
      <c r="T806" s="5"/>
    </row>
    <row r="807" customFormat="false" ht="15.75" hidden="false" customHeight="false" outlineLevel="0" collapsed="false">
      <c r="A807" s="4"/>
      <c r="B807" s="2"/>
      <c r="C807" s="2"/>
      <c r="D807" s="2"/>
      <c r="E807" s="2"/>
      <c r="F807" s="3" t="str">
        <f aca="false">IFERROR(__xludf.dummyfunction("if($T807&lt;&gt;"""",REGEXEXTRACT(SUBSTITUTE ($T807,F$1&amp;"" CE"",""""), F$1&amp;""[\w &amp;]*, (\d+\.\d+)""),"""")
"),"")</f>
        <v/>
      </c>
      <c r="G807" s="3" t="str">
        <f aca="false">IFERROR(__xludf.dummyfunction("if($T807&lt;&gt;"""",REGEXEXTRACT($T807, G$1&amp;""[\w &amp;]*, (\d+\.\d+)""),"""")
"),"")</f>
        <v/>
      </c>
      <c r="H807" s="3"/>
      <c r="I807" s="3" t="str">
        <f aca="false">IFERROR(__xludf.dummyfunction("if($T807&lt;&gt;"""",REGEXEXTRACT(SUBSTITUTE ($T807,I$1&amp;"" CE"",""""), I$1&amp;""[\w &amp;]*, (\d+\.\d+)""),"""")
"),"")</f>
        <v/>
      </c>
      <c r="J807" s="3" t="str">
        <f aca="false">IFERROR(__xludf.dummyfunction("if($T807&lt;&gt;"""",REGEXEXTRACT($T807, J$1&amp;""[\w &amp;]*, (\d+\.\d+)""),"""")
"),"")</f>
        <v/>
      </c>
      <c r="K807" s="3"/>
      <c r="L807" s="3" t="str">
        <f aca="false">IFERROR(__xludf.dummyfunction("if($T807&lt;&gt;"""",REGEXEXTRACT(SUBSTITUTE ($T807,L$1&amp;"" CE"",""""), L$1&amp;""[\w &amp;]*, (\d+\.\d+)""),"""")
"),"")</f>
        <v/>
      </c>
      <c r="M807" s="3" t="str">
        <f aca="false">IFERROR(__xludf.dummyfunction("if($T807&lt;&gt;"""",REGEXEXTRACT($T807, M$1&amp;""[\w &amp;]*, (\d+\.\d+)""),"""")
"),"")</f>
        <v/>
      </c>
      <c r="N807" s="3" t="str">
        <f aca="false">IFERROR(__xludf.dummyfunction("if($T807&lt;&gt;"""",REGEXEXTRACT(SUBSTITUTE ($T807,N$1&amp;"" CE"",""""), N$1&amp;""[\w &amp;]*, (\d+\.\d+)""),"""")
"),"")</f>
        <v/>
      </c>
      <c r="O807" s="3" t="str">
        <f aca="false">IFERROR(__xludf.dummyfunction("if($T807&lt;&gt;"""",REGEXEXTRACT($T807, O$1&amp;""[\w &amp;]*, (\d+\.\d+)""),"""")
"),"")</f>
        <v/>
      </c>
      <c r="P807" s="2"/>
      <c r="Q807" s="2"/>
      <c r="R807" s="2"/>
      <c r="S807" s="2"/>
      <c r="T807" s="5"/>
    </row>
    <row r="808" customFormat="false" ht="15.75" hidden="false" customHeight="false" outlineLevel="0" collapsed="false">
      <c r="A808" s="4"/>
      <c r="B808" s="2"/>
      <c r="C808" s="2"/>
      <c r="D808" s="2"/>
      <c r="E808" s="2"/>
      <c r="F808" s="3" t="str">
        <f aca="false">IFERROR(__xludf.dummyfunction("if($T808&lt;&gt;"""",REGEXEXTRACT(SUBSTITUTE ($T808,F$1&amp;"" CE"",""""), F$1&amp;""[\w &amp;]*, (\d+\.\d+)""),"""")
"),"")</f>
        <v/>
      </c>
      <c r="G808" s="3" t="str">
        <f aca="false">IFERROR(__xludf.dummyfunction("if($T808&lt;&gt;"""",REGEXEXTRACT($T808, G$1&amp;""[\w &amp;]*, (\d+\.\d+)""),"""")
"),"")</f>
        <v/>
      </c>
      <c r="H808" s="3"/>
      <c r="I808" s="3" t="str">
        <f aca="false">IFERROR(__xludf.dummyfunction("if($T808&lt;&gt;"""",REGEXEXTRACT(SUBSTITUTE ($T808,I$1&amp;"" CE"",""""), I$1&amp;""[\w &amp;]*, (\d+\.\d+)""),"""")
"),"")</f>
        <v/>
      </c>
      <c r="J808" s="3" t="str">
        <f aca="false">IFERROR(__xludf.dummyfunction("if($T808&lt;&gt;"""",REGEXEXTRACT($T808, J$1&amp;""[\w &amp;]*, (\d+\.\d+)""),"""")
"),"")</f>
        <v/>
      </c>
      <c r="K808" s="3"/>
      <c r="L808" s="3" t="str">
        <f aca="false">IFERROR(__xludf.dummyfunction("if($T808&lt;&gt;"""",REGEXEXTRACT(SUBSTITUTE ($T808,L$1&amp;"" CE"",""""), L$1&amp;""[\w &amp;]*, (\d+\.\d+)""),"""")
"),"")</f>
        <v/>
      </c>
      <c r="M808" s="3" t="str">
        <f aca="false">IFERROR(__xludf.dummyfunction("if($T808&lt;&gt;"""",REGEXEXTRACT($T808, M$1&amp;""[\w &amp;]*, (\d+\.\d+)""),"""")
"),"")</f>
        <v/>
      </c>
      <c r="N808" s="3" t="str">
        <f aca="false">IFERROR(__xludf.dummyfunction("if($T808&lt;&gt;"""",REGEXEXTRACT(SUBSTITUTE ($T808,N$1&amp;"" CE"",""""), N$1&amp;""[\w &amp;]*, (\d+\.\d+)""),"""")
"),"")</f>
        <v/>
      </c>
      <c r="O808" s="3" t="str">
        <f aca="false">IFERROR(__xludf.dummyfunction("if($T808&lt;&gt;"""",REGEXEXTRACT($T808, O$1&amp;""[\w &amp;]*, (\d+\.\d+)""),"""")
"),"")</f>
        <v/>
      </c>
      <c r="P808" s="2"/>
      <c r="Q808" s="2"/>
      <c r="R808" s="2"/>
      <c r="S808" s="2"/>
      <c r="T808" s="5"/>
    </row>
    <row r="809" customFormat="false" ht="15.75" hidden="false" customHeight="false" outlineLevel="0" collapsed="false">
      <c r="A809" s="4"/>
      <c r="B809" s="2"/>
      <c r="C809" s="2"/>
      <c r="D809" s="2"/>
      <c r="E809" s="2"/>
      <c r="F809" s="3" t="str">
        <f aca="false">IFERROR(__xludf.dummyfunction("if($T809&lt;&gt;"""",REGEXEXTRACT(SUBSTITUTE ($T809,F$1&amp;"" CE"",""""), F$1&amp;""[\w &amp;]*, (\d+\.\d+)""),"""")
"),"")</f>
        <v/>
      </c>
      <c r="G809" s="3" t="str">
        <f aca="false">IFERROR(__xludf.dummyfunction("if($T809&lt;&gt;"""",REGEXEXTRACT($T809, G$1&amp;""[\w &amp;]*, (\d+\.\d+)""),"""")
"),"")</f>
        <v/>
      </c>
      <c r="H809" s="3"/>
      <c r="I809" s="3" t="str">
        <f aca="false">IFERROR(__xludf.dummyfunction("if($T809&lt;&gt;"""",REGEXEXTRACT(SUBSTITUTE ($T809,I$1&amp;"" CE"",""""), I$1&amp;""[\w &amp;]*, (\d+\.\d+)""),"""")
"),"")</f>
        <v/>
      </c>
      <c r="J809" s="3" t="str">
        <f aca="false">IFERROR(__xludf.dummyfunction("if($T809&lt;&gt;"""",REGEXEXTRACT($T809, J$1&amp;""[\w &amp;]*, (\d+\.\d+)""),"""")
"),"")</f>
        <v/>
      </c>
      <c r="K809" s="3"/>
      <c r="L809" s="3" t="str">
        <f aca="false">IFERROR(__xludf.dummyfunction("if($T809&lt;&gt;"""",REGEXEXTRACT(SUBSTITUTE ($T809,L$1&amp;"" CE"",""""), L$1&amp;""[\w &amp;]*, (\d+\.\d+)""),"""")
"),"")</f>
        <v/>
      </c>
      <c r="M809" s="3" t="str">
        <f aca="false">IFERROR(__xludf.dummyfunction("if($T809&lt;&gt;"""",REGEXEXTRACT($T809, M$1&amp;""[\w &amp;]*, (\d+\.\d+)""),"""")
"),"")</f>
        <v/>
      </c>
      <c r="N809" s="3" t="str">
        <f aca="false">IFERROR(__xludf.dummyfunction("if($T809&lt;&gt;"""",REGEXEXTRACT(SUBSTITUTE ($T809,N$1&amp;"" CE"",""""), N$1&amp;""[\w &amp;]*, (\d+\.\d+)""),"""")
"),"")</f>
        <v/>
      </c>
      <c r="O809" s="3" t="str">
        <f aca="false">IFERROR(__xludf.dummyfunction("if($T809&lt;&gt;"""",REGEXEXTRACT($T809, O$1&amp;""[\w &amp;]*, (\d+\.\d+)""),"""")
"),"")</f>
        <v/>
      </c>
      <c r="P809" s="2"/>
      <c r="Q809" s="2"/>
      <c r="R809" s="2"/>
      <c r="S809" s="2"/>
      <c r="T809" s="5"/>
    </row>
    <row r="810" customFormat="false" ht="15.75" hidden="false" customHeight="false" outlineLevel="0" collapsed="false">
      <c r="A810" s="4"/>
      <c r="B810" s="2"/>
      <c r="C810" s="2"/>
      <c r="D810" s="2"/>
      <c r="E810" s="2"/>
      <c r="F810" s="3" t="str">
        <f aca="false">IFERROR(__xludf.dummyfunction("if($T810&lt;&gt;"""",REGEXEXTRACT(SUBSTITUTE ($T810,F$1&amp;"" CE"",""""), F$1&amp;""[\w &amp;]*, (\d+\.\d+)""),"""")
"),"")</f>
        <v/>
      </c>
      <c r="G810" s="3" t="str">
        <f aca="false">IFERROR(__xludf.dummyfunction("if($T810&lt;&gt;"""",REGEXEXTRACT($T810, G$1&amp;""[\w &amp;]*, (\d+\.\d+)""),"""")
"),"")</f>
        <v/>
      </c>
      <c r="H810" s="3"/>
      <c r="I810" s="3" t="str">
        <f aca="false">IFERROR(__xludf.dummyfunction("if($T810&lt;&gt;"""",REGEXEXTRACT(SUBSTITUTE ($T810,I$1&amp;"" CE"",""""), I$1&amp;""[\w &amp;]*, (\d+\.\d+)""),"""")
"),"")</f>
        <v/>
      </c>
      <c r="J810" s="3" t="str">
        <f aca="false">IFERROR(__xludf.dummyfunction("if($T810&lt;&gt;"""",REGEXEXTRACT($T810, J$1&amp;""[\w &amp;]*, (\d+\.\d+)""),"""")
"),"")</f>
        <v/>
      </c>
      <c r="K810" s="3"/>
      <c r="L810" s="3" t="str">
        <f aca="false">IFERROR(__xludf.dummyfunction("if($T810&lt;&gt;"""",REGEXEXTRACT(SUBSTITUTE ($T810,L$1&amp;"" CE"",""""), L$1&amp;""[\w &amp;]*, (\d+\.\d+)""),"""")
"),"")</f>
        <v/>
      </c>
      <c r="M810" s="3" t="str">
        <f aca="false">IFERROR(__xludf.dummyfunction("if($T810&lt;&gt;"""",REGEXEXTRACT($T810, M$1&amp;""[\w &amp;]*, (\d+\.\d+)""),"""")
"),"")</f>
        <v/>
      </c>
      <c r="N810" s="3" t="str">
        <f aca="false">IFERROR(__xludf.dummyfunction("if($T810&lt;&gt;"""",REGEXEXTRACT(SUBSTITUTE ($T810,N$1&amp;"" CE"",""""), N$1&amp;""[\w &amp;]*, (\d+\.\d+)""),"""")
"),"")</f>
        <v/>
      </c>
      <c r="O810" s="3" t="str">
        <f aca="false">IFERROR(__xludf.dummyfunction("if($T810&lt;&gt;"""",REGEXEXTRACT($T810, O$1&amp;""[\w &amp;]*, (\d+\.\d+)""),"""")
"),"")</f>
        <v/>
      </c>
      <c r="P810" s="2"/>
      <c r="Q810" s="2"/>
      <c r="R810" s="2"/>
      <c r="S810" s="2"/>
      <c r="T810" s="5"/>
    </row>
    <row r="811" customFormat="false" ht="15.75" hidden="false" customHeight="false" outlineLevel="0" collapsed="false">
      <c r="A811" s="4"/>
      <c r="B811" s="2"/>
      <c r="C811" s="2"/>
      <c r="D811" s="2"/>
      <c r="E811" s="2"/>
      <c r="F811" s="3" t="str">
        <f aca="false">IFERROR(__xludf.dummyfunction("if($T811&lt;&gt;"""",REGEXEXTRACT(SUBSTITUTE ($T811,F$1&amp;"" CE"",""""), F$1&amp;""[\w &amp;]*, (\d+\.\d+)""),"""")
"),"")</f>
        <v/>
      </c>
      <c r="G811" s="3" t="str">
        <f aca="false">IFERROR(__xludf.dummyfunction("if($T811&lt;&gt;"""",REGEXEXTRACT($T811, G$1&amp;""[\w &amp;]*, (\d+\.\d+)""),"""")
"),"")</f>
        <v/>
      </c>
      <c r="H811" s="3"/>
      <c r="I811" s="3" t="str">
        <f aca="false">IFERROR(__xludf.dummyfunction("if($T811&lt;&gt;"""",REGEXEXTRACT(SUBSTITUTE ($T811,I$1&amp;"" CE"",""""), I$1&amp;""[\w &amp;]*, (\d+\.\d+)""),"""")
"),"")</f>
        <v/>
      </c>
      <c r="J811" s="3" t="str">
        <f aca="false">IFERROR(__xludf.dummyfunction("if($T811&lt;&gt;"""",REGEXEXTRACT($T811, J$1&amp;""[\w &amp;]*, (\d+\.\d+)""),"""")
"),"")</f>
        <v/>
      </c>
      <c r="K811" s="3"/>
      <c r="L811" s="3" t="str">
        <f aca="false">IFERROR(__xludf.dummyfunction("if($T811&lt;&gt;"""",REGEXEXTRACT(SUBSTITUTE ($T811,L$1&amp;"" CE"",""""), L$1&amp;""[\w &amp;]*, (\d+\.\d+)""),"""")
"),"")</f>
        <v/>
      </c>
      <c r="M811" s="3" t="str">
        <f aca="false">IFERROR(__xludf.dummyfunction("if($T811&lt;&gt;"""",REGEXEXTRACT($T811, M$1&amp;""[\w &amp;]*, (\d+\.\d+)""),"""")
"),"")</f>
        <v/>
      </c>
      <c r="N811" s="3" t="str">
        <f aca="false">IFERROR(__xludf.dummyfunction("if($T811&lt;&gt;"""",REGEXEXTRACT(SUBSTITUTE ($T811,N$1&amp;"" CE"",""""), N$1&amp;""[\w &amp;]*, (\d+\.\d+)""),"""")
"),"")</f>
        <v/>
      </c>
      <c r="O811" s="3" t="str">
        <f aca="false">IFERROR(__xludf.dummyfunction("if($T811&lt;&gt;"""",REGEXEXTRACT($T811, O$1&amp;""[\w &amp;]*, (\d+\.\d+)""),"""")
"),"")</f>
        <v/>
      </c>
      <c r="P811" s="2"/>
      <c r="Q811" s="2"/>
      <c r="R811" s="2"/>
      <c r="S811" s="2"/>
      <c r="T811" s="5"/>
    </row>
    <row r="812" customFormat="false" ht="15.75" hidden="false" customHeight="false" outlineLevel="0" collapsed="false">
      <c r="A812" s="4"/>
      <c r="B812" s="2"/>
      <c r="C812" s="2"/>
      <c r="D812" s="2"/>
      <c r="E812" s="2"/>
      <c r="F812" s="3" t="str">
        <f aca="false">IFERROR(__xludf.dummyfunction("if($T812&lt;&gt;"""",REGEXEXTRACT(SUBSTITUTE ($T812,F$1&amp;"" CE"",""""), F$1&amp;""[\w &amp;]*, (\d+\.\d+)""),"""")
"),"")</f>
        <v/>
      </c>
      <c r="G812" s="3" t="str">
        <f aca="false">IFERROR(__xludf.dummyfunction("if($T812&lt;&gt;"""",REGEXEXTRACT($T812, G$1&amp;""[\w &amp;]*, (\d+\.\d+)""),"""")
"),"")</f>
        <v/>
      </c>
      <c r="H812" s="3"/>
      <c r="I812" s="3" t="str">
        <f aca="false">IFERROR(__xludf.dummyfunction("if($T812&lt;&gt;"""",REGEXEXTRACT(SUBSTITUTE ($T812,I$1&amp;"" CE"",""""), I$1&amp;""[\w &amp;]*, (\d+\.\d+)""),"""")
"),"")</f>
        <v/>
      </c>
      <c r="J812" s="3" t="str">
        <f aca="false">IFERROR(__xludf.dummyfunction("if($T812&lt;&gt;"""",REGEXEXTRACT($T812, J$1&amp;""[\w &amp;]*, (\d+\.\d+)""),"""")
"),"")</f>
        <v/>
      </c>
      <c r="K812" s="3"/>
      <c r="L812" s="3" t="str">
        <f aca="false">IFERROR(__xludf.dummyfunction("if($T812&lt;&gt;"""",REGEXEXTRACT(SUBSTITUTE ($T812,L$1&amp;"" CE"",""""), L$1&amp;""[\w &amp;]*, (\d+\.\d+)""),"""")
"),"")</f>
        <v/>
      </c>
      <c r="M812" s="3" t="str">
        <f aca="false">IFERROR(__xludf.dummyfunction("if($T812&lt;&gt;"""",REGEXEXTRACT($T812, M$1&amp;""[\w &amp;]*, (\d+\.\d+)""),"""")
"),"")</f>
        <v/>
      </c>
      <c r="N812" s="3" t="str">
        <f aca="false">IFERROR(__xludf.dummyfunction("if($T812&lt;&gt;"""",REGEXEXTRACT(SUBSTITUTE ($T812,N$1&amp;"" CE"",""""), N$1&amp;""[\w &amp;]*, (\d+\.\d+)""),"""")
"),"")</f>
        <v/>
      </c>
      <c r="O812" s="3" t="str">
        <f aca="false">IFERROR(__xludf.dummyfunction("if($T812&lt;&gt;"""",REGEXEXTRACT($T812, O$1&amp;""[\w &amp;]*, (\d+\.\d+)""),"""")
"),"")</f>
        <v/>
      </c>
      <c r="P812" s="2"/>
      <c r="Q812" s="2"/>
      <c r="R812" s="2"/>
      <c r="S812" s="2"/>
      <c r="T812" s="5"/>
    </row>
    <row r="813" customFormat="false" ht="15.75" hidden="false" customHeight="false" outlineLevel="0" collapsed="false">
      <c r="A813" s="4"/>
      <c r="B813" s="2"/>
      <c r="C813" s="2"/>
      <c r="D813" s="2"/>
      <c r="E813" s="2"/>
      <c r="F813" s="3" t="str">
        <f aca="false">IFERROR(__xludf.dummyfunction("if($T813&lt;&gt;"""",REGEXEXTRACT(SUBSTITUTE ($T813,F$1&amp;"" CE"",""""), F$1&amp;""[\w &amp;]*, (\d+\.\d+)""),"""")
"),"")</f>
        <v/>
      </c>
      <c r="G813" s="3" t="str">
        <f aca="false">IFERROR(__xludf.dummyfunction("if($T813&lt;&gt;"""",REGEXEXTRACT($T813, G$1&amp;""[\w &amp;]*, (\d+\.\d+)""),"""")
"),"")</f>
        <v/>
      </c>
      <c r="H813" s="3"/>
      <c r="I813" s="3" t="str">
        <f aca="false">IFERROR(__xludf.dummyfunction("if($T813&lt;&gt;"""",REGEXEXTRACT(SUBSTITUTE ($T813,I$1&amp;"" CE"",""""), I$1&amp;""[\w &amp;]*, (\d+\.\d+)""),"""")
"),"")</f>
        <v/>
      </c>
      <c r="J813" s="3" t="str">
        <f aca="false">IFERROR(__xludf.dummyfunction("if($T813&lt;&gt;"""",REGEXEXTRACT($T813, J$1&amp;""[\w &amp;]*, (\d+\.\d+)""),"""")
"),"")</f>
        <v/>
      </c>
      <c r="K813" s="3"/>
      <c r="L813" s="3" t="str">
        <f aca="false">IFERROR(__xludf.dummyfunction("if($T813&lt;&gt;"""",REGEXEXTRACT(SUBSTITUTE ($T813,L$1&amp;"" CE"",""""), L$1&amp;""[\w &amp;]*, (\d+\.\d+)""),"""")
"),"")</f>
        <v/>
      </c>
      <c r="M813" s="3" t="str">
        <f aca="false">IFERROR(__xludf.dummyfunction("if($T813&lt;&gt;"""",REGEXEXTRACT($T813, M$1&amp;""[\w &amp;]*, (\d+\.\d+)""),"""")
"),"")</f>
        <v/>
      </c>
      <c r="N813" s="3" t="str">
        <f aca="false">IFERROR(__xludf.dummyfunction("if($T813&lt;&gt;"""",REGEXEXTRACT(SUBSTITUTE ($T813,N$1&amp;"" CE"",""""), N$1&amp;""[\w &amp;]*, (\d+\.\d+)""),"""")
"),"")</f>
        <v/>
      </c>
      <c r="O813" s="3" t="str">
        <f aca="false">IFERROR(__xludf.dummyfunction("if($T813&lt;&gt;"""",REGEXEXTRACT($T813, O$1&amp;""[\w &amp;]*, (\d+\.\d+)""),"""")
"),"")</f>
        <v/>
      </c>
      <c r="P813" s="2"/>
      <c r="Q813" s="2"/>
      <c r="R813" s="2"/>
      <c r="S813" s="2"/>
      <c r="T813" s="5"/>
    </row>
    <row r="814" customFormat="false" ht="15.75" hidden="false" customHeight="false" outlineLevel="0" collapsed="false">
      <c r="A814" s="4"/>
      <c r="B814" s="2"/>
      <c r="C814" s="2"/>
      <c r="D814" s="2"/>
      <c r="E814" s="2"/>
      <c r="F814" s="3" t="str">
        <f aca="false">IFERROR(__xludf.dummyfunction("if($T814&lt;&gt;"""",REGEXEXTRACT(SUBSTITUTE ($T814,F$1&amp;"" CE"",""""), F$1&amp;""[\w &amp;]*, (\d+\.\d+)""),"""")
"),"")</f>
        <v/>
      </c>
      <c r="G814" s="3" t="str">
        <f aca="false">IFERROR(__xludf.dummyfunction("if($T814&lt;&gt;"""",REGEXEXTRACT($T814, G$1&amp;""[\w &amp;]*, (\d+\.\d+)""),"""")
"),"")</f>
        <v/>
      </c>
      <c r="H814" s="3"/>
      <c r="I814" s="3" t="str">
        <f aca="false">IFERROR(__xludf.dummyfunction("if($T814&lt;&gt;"""",REGEXEXTRACT(SUBSTITUTE ($T814,I$1&amp;"" CE"",""""), I$1&amp;""[\w &amp;]*, (\d+\.\d+)""),"""")
"),"")</f>
        <v/>
      </c>
      <c r="J814" s="3" t="str">
        <f aca="false">IFERROR(__xludf.dummyfunction("if($T814&lt;&gt;"""",REGEXEXTRACT($T814, J$1&amp;""[\w &amp;]*, (\d+\.\d+)""),"""")
"),"")</f>
        <v/>
      </c>
      <c r="K814" s="3"/>
      <c r="L814" s="3" t="str">
        <f aca="false">IFERROR(__xludf.dummyfunction("if($T814&lt;&gt;"""",REGEXEXTRACT(SUBSTITUTE ($T814,L$1&amp;"" CE"",""""), L$1&amp;""[\w &amp;]*, (\d+\.\d+)""),"""")
"),"")</f>
        <v/>
      </c>
      <c r="M814" s="3" t="str">
        <f aca="false">IFERROR(__xludf.dummyfunction("if($T814&lt;&gt;"""",REGEXEXTRACT($T814, M$1&amp;""[\w &amp;]*, (\d+\.\d+)""),"""")
"),"")</f>
        <v/>
      </c>
      <c r="N814" s="3" t="str">
        <f aca="false">IFERROR(__xludf.dummyfunction("if($T814&lt;&gt;"""",REGEXEXTRACT(SUBSTITUTE ($T814,N$1&amp;"" CE"",""""), N$1&amp;""[\w &amp;]*, (\d+\.\d+)""),"""")
"),"")</f>
        <v/>
      </c>
      <c r="O814" s="3" t="str">
        <f aca="false">IFERROR(__xludf.dummyfunction("if($T814&lt;&gt;"""",REGEXEXTRACT($T814, O$1&amp;""[\w &amp;]*, (\d+\.\d+)""),"""")
"),"")</f>
        <v/>
      </c>
      <c r="P814" s="2"/>
      <c r="Q814" s="2"/>
      <c r="R814" s="2"/>
      <c r="S814" s="2"/>
      <c r="T814" s="5"/>
    </row>
    <row r="815" customFormat="false" ht="15.75" hidden="false" customHeight="false" outlineLevel="0" collapsed="false">
      <c r="A815" s="4"/>
      <c r="B815" s="2"/>
      <c r="C815" s="2"/>
      <c r="D815" s="2"/>
      <c r="E815" s="2"/>
      <c r="F815" s="3" t="str">
        <f aca="false">IFERROR(__xludf.dummyfunction("if($T815&lt;&gt;"""",REGEXEXTRACT(SUBSTITUTE ($T815,F$1&amp;"" CE"",""""), F$1&amp;""[\w &amp;]*, (\d+\.\d+)""),"""")
"),"")</f>
        <v/>
      </c>
      <c r="G815" s="3" t="str">
        <f aca="false">IFERROR(__xludf.dummyfunction("if($T815&lt;&gt;"""",REGEXEXTRACT($T815, G$1&amp;""[\w &amp;]*, (\d+\.\d+)""),"""")
"),"")</f>
        <v/>
      </c>
      <c r="H815" s="3"/>
      <c r="I815" s="3" t="str">
        <f aca="false">IFERROR(__xludf.dummyfunction("if($T815&lt;&gt;"""",REGEXEXTRACT(SUBSTITUTE ($T815,I$1&amp;"" CE"",""""), I$1&amp;""[\w &amp;]*, (\d+\.\d+)""),"""")
"),"")</f>
        <v/>
      </c>
      <c r="J815" s="3" t="str">
        <f aca="false">IFERROR(__xludf.dummyfunction("if($T815&lt;&gt;"""",REGEXEXTRACT($T815, J$1&amp;""[\w &amp;]*, (\d+\.\d+)""),"""")
"),"")</f>
        <v/>
      </c>
      <c r="K815" s="3"/>
      <c r="L815" s="3" t="str">
        <f aca="false">IFERROR(__xludf.dummyfunction("if($T815&lt;&gt;"""",REGEXEXTRACT(SUBSTITUTE ($T815,L$1&amp;"" CE"",""""), L$1&amp;""[\w &amp;]*, (\d+\.\d+)""),"""")
"),"")</f>
        <v/>
      </c>
      <c r="M815" s="3" t="str">
        <f aca="false">IFERROR(__xludf.dummyfunction("if($T815&lt;&gt;"""",REGEXEXTRACT($T815, M$1&amp;""[\w &amp;]*, (\d+\.\d+)""),"""")
"),"")</f>
        <v/>
      </c>
      <c r="N815" s="3" t="str">
        <f aca="false">IFERROR(__xludf.dummyfunction("if($T815&lt;&gt;"""",REGEXEXTRACT(SUBSTITUTE ($T815,N$1&amp;"" CE"",""""), N$1&amp;""[\w &amp;]*, (\d+\.\d+)""),"""")
"),"")</f>
        <v/>
      </c>
      <c r="O815" s="3" t="str">
        <f aca="false">IFERROR(__xludf.dummyfunction("if($T815&lt;&gt;"""",REGEXEXTRACT($T815, O$1&amp;""[\w &amp;]*, (\d+\.\d+)""),"""")
"),"")</f>
        <v/>
      </c>
      <c r="P815" s="2"/>
      <c r="Q815" s="2"/>
      <c r="R815" s="2"/>
      <c r="S815" s="2"/>
      <c r="T815" s="5"/>
    </row>
    <row r="816" customFormat="false" ht="15.75" hidden="false" customHeight="false" outlineLevel="0" collapsed="false">
      <c r="A816" s="4"/>
      <c r="B816" s="2"/>
      <c r="C816" s="2"/>
      <c r="D816" s="2"/>
      <c r="E816" s="2"/>
      <c r="F816" s="3" t="str">
        <f aca="false">IFERROR(__xludf.dummyfunction("if($T816&lt;&gt;"""",REGEXEXTRACT(SUBSTITUTE ($T816,F$1&amp;"" CE"",""""), F$1&amp;""[\w &amp;]*, (\d+\.\d+)""),"""")
"),"")</f>
        <v/>
      </c>
      <c r="G816" s="3" t="str">
        <f aca="false">IFERROR(__xludf.dummyfunction("if($T816&lt;&gt;"""",REGEXEXTRACT($T816, G$1&amp;""[\w &amp;]*, (\d+\.\d+)""),"""")
"),"")</f>
        <v/>
      </c>
      <c r="H816" s="3"/>
      <c r="I816" s="3" t="str">
        <f aca="false">IFERROR(__xludf.dummyfunction("if($T816&lt;&gt;"""",REGEXEXTRACT(SUBSTITUTE ($T816,I$1&amp;"" CE"",""""), I$1&amp;""[\w &amp;]*, (\d+\.\d+)""),"""")
"),"")</f>
        <v/>
      </c>
      <c r="J816" s="3" t="str">
        <f aca="false">IFERROR(__xludf.dummyfunction("if($T816&lt;&gt;"""",REGEXEXTRACT($T816, J$1&amp;""[\w &amp;]*, (\d+\.\d+)""),"""")
"),"")</f>
        <v/>
      </c>
      <c r="K816" s="3"/>
      <c r="L816" s="3" t="str">
        <f aca="false">IFERROR(__xludf.dummyfunction("if($T816&lt;&gt;"""",REGEXEXTRACT(SUBSTITUTE ($T816,L$1&amp;"" CE"",""""), L$1&amp;""[\w &amp;]*, (\d+\.\d+)""),"""")
"),"")</f>
        <v/>
      </c>
      <c r="M816" s="3" t="str">
        <f aca="false">IFERROR(__xludf.dummyfunction("if($T816&lt;&gt;"""",REGEXEXTRACT($T816, M$1&amp;""[\w &amp;]*, (\d+\.\d+)""),"""")
"),"")</f>
        <v/>
      </c>
      <c r="N816" s="3" t="str">
        <f aca="false">IFERROR(__xludf.dummyfunction("if($T816&lt;&gt;"""",REGEXEXTRACT(SUBSTITUTE ($T816,N$1&amp;"" CE"",""""), N$1&amp;""[\w &amp;]*, (\d+\.\d+)""),"""")
"),"")</f>
        <v/>
      </c>
      <c r="O816" s="3" t="str">
        <f aca="false">IFERROR(__xludf.dummyfunction("if($T816&lt;&gt;"""",REGEXEXTRACT($T816, O$1&amp;""[\w &amp;]*, (\d+\.\d+)""),"""")
"),"")</f>
        <v/>
      </c>
      <c r="P816" s="2"/>
      <c r="Q816" s="2"/>
      <c r="R816" s="2"/>
      <c r="S816" s="2"/>
      <c r="T816" s="5"/>
    </row>
    <row r="817" customFormat="false" ht="15.75" hidden="false" customHeight="false" outlineLevel="0" collapsed="false">
      <c r="A817" s="4"/>
      <c r="B817" s="2"/>
      <c r="C817" s="2"/>
      <c r="D817" s="2"/>
      <c r="E817" s="2"/>
      <c r="F817" s="3" t="str">
        <f aca="false">IFERROR(__xludf.dummyfunction("if($T817&lt;&gt;"""",REGEXEXTRACT(SUBSTITUTE ($T817,F$1&amp;"" CE"",""""), F$1&amp;""[\w &amp;]*, (\d+\.\d+)""),"""")
"),"")</f>
        <v/>
      </c>
      <c r="G817" s="3" t="str">
        <f aca="false">IFERROR(__xludf.dummyfunction("if($T817&lt;&gt;"""",REGEXEXTRACT($T817, G$1&amp;""[\w &amp;]*, (\d+\.\d+)""),"""")
"),"")</f>
        <v/>
      </c>
      <c r="H817" s="3"/>
      <c r="I817" s="3" t="str">
        <f aca="false">IFERROR(__xludf.dummyfunction("if($T817&lt;&gt;"""",REGEXEXTRACT(SUBSTITUTE ($T817,I$1&amp;"" CE"",""""), I$1&amp;""[\w &amp;]*, (\d+\.\d+)""),"""")
"),"")</f>
        <v/>
      </c>
      <c r="J817" s="3" t="str">
        <f aca="false">IFERROR(__xludf.dummyfunction("if($T817&lt;&gt;"""",REGEXEXTRACT($T817, J$1&amp;""[\w &amp;]*, (\d+\.\d+)""),"""")
"),"")</f>
        <v/>
      </c>
      <c r="K817" s="3"/>
      <c r="L817" s="3" t="str">
        <f aca="false">IFERROR(__xludf.dummyfunction("if($T817&lt;&gt;"""",REGEXEXTRACT(SUBSTITUTE ($T817,L$1&amp;"" CE"",""""), L$1&amp;""[\w &amp;]*, (\d+\.\d+)""),"""")
"),"")</f>
        <v/>
      </c>
      <c r="M817" s="3" t="str">
        <f aca="false">IFERROR(__xludf.dummyfunction("if($T817&lt;&gt;"""",REGEXEXTRACT($T817, M$1&amp;""[\w &amp;]*, (\d+\.\d+)""),"""")
"),"")</f>
        <v/>
      </c>
      <c r="N817" s="3" t="str">
        <f aca="false">IFERROR(__xludf.dummyfunction("if($T817&lt;&gt;"""",REGEXEXTRACT(SUBSTITUTE ($T817,N$1&amp;"" CE"",""""), N$1&amp;""[\w &amp;]*, (\d+\.\d+)""),"""")
"),"")</f>
        <v/>
      </c>
      <c r="O817" s="3" t="str">
        <f aca="false">IFERROR(__xludf.dummyfunction("if($T817&lt;&gt;"""",REGEXEXTRACT($T817, O$1&amp;""[\w &amp;]*, (\d+\.\d+)""),"""")
"),"")</f>
        <v/>
      </c>
      <c r="P817" s="2"/>
      <c r="Q817" s="2"/>
      <c r="R817" s="2"/>
      <c r="S817" s="2"/>
      <c r="T817" s="5"/>
    </row>
    <row r="818" customFormat="false" ht="15.75" hidden="false" customHeight="false" outlineLevel="0" collapsed="false">
      <c r="A818" s="4"/>
      <c r="B818" s="2"/>
      <c r="C818" s="2"/>
      <c r="D818" s="2"/>
      <c r="E818" s="2"/>
      <c r="F818" s="3" t="str">
        <f aca="false">IFERROR(__xludf.dummyfunction("if($T818&lt;&gt;"""",REGEXEXTRACT(SUBSTITUTE ($T818,F$1&amp;"" CE"",""""), F$1&amp;""[\w &amp;]*, (\d+\.\d+)""),"""")
"),"")</f>
        <v/>
      </c>
      <c r="G818" s="3" t="str">
        <f aca="false">IFERROR(__xludf.dummyfunction("if($T818&lt;&gt;"""",REGEXEXTRACT($T818, G$1&amp;""[\w &amp;]*, (\d+\.\d+)""),"""")
"),"")</f>
        <v/>
      </c>
      <c r="H818" s="3"/>
      <c r="I818" s="3" t="str">
        <f aca="false">IFERROR(__xludf.dummyfunction("if($T818&lt;&gt;"""",REGEXEXTRACT(SUBSTITUTE ($T818,I$1&amp;"" CE"",""""), I$1&amp;""[\w &amp;]*, (\d+\.\d+)""),"""")
"),"")</f>
        <v/>
      </c>
      <c r="J818" s="3" t="str">
        <f aca="false">IFERROR(__xludf.dummyfunction("if($T818&lt;&gt;"""",REGEXEXTRACT($T818, J$1&amp;""[\w &amp;]*, (\d+\.\d+)""),"""")
"),"")</f>
        <v/>
      </c>
      <c r="K818" s="3"/>
      <c r="L818" s="3" t="str">
        <f aca="false">IFERROR(__xludf.dummyfunction("if($T818&lt;&gt;"""",REGEXEXTRACT(SUBSTITUTE ($T818,L$1&amp;"" CE"",""""), L$1&amp;""[\w &amp;]*, (\d+\.\d+)""),"""")
"),"")</f>
        <v/>
      </c>
      <c r="M818" s="3" t="str">
        <f aca="false">IFERROR(__xludf.dummyfunction("if($T818&lt;&gt;"""",REGEXEXTRACT($T818, M$1&amp;""[\w &amp;]*, (\d+\.\d+)""),"""")
"),"")</f>
        <v/>
      </c>
      <c r="N818" s="3" t="str">
        <f aca="false">IFERROR(__xludf.dummyfunction("if($T818&lt;&gt;"""",REGEXEXTRACT(SUBSTITUTE ($T818,N$1&amp;"" CE"",""""), N$1&amp;""[\w &amp;]*, (\d+\.\d+)""),"""")
"),"")</f>
        <v/>
      </c>
      <c r="O818" s="3" t="str">
        <f aca="false">IFERROR(__xludf.dummyfunction("if($T818&lt;&gt;"""",REGEXEXTRACT($T818, O$1&amp;""[\w &amp;]*, (\d+\.\d+)""),"""")
"),"")</f>
        <v/>
      </c>
      <c r="P818" s="2"/>
      <c r="Q818" s="2"/>
      <c r="R818" s="2"/>
      <c r="S818" s="2"/>
      <c r="T818" s="5"/>
    </row>
    <row r="819" customFormat="false" ht="15.75" hidden="false" customHeight="false" outlineLevel="0" collapsed="false">
      <c r="A819" s="4"/>
      <c r="B819" s="2"/>
      <c r="C819" s="2"/>
      <c r="D819" s="2"/>
      <c r="E819" s="2"/>
      <c r="F819" s="3" t="str">
        <f aca="false">IFERROR(__xludf.dummyfunction("if($T819&lt;&gt;"""",REGEXEXTRACT(SUBSTITUTE ($T819,F$1&amp;"" CE"",""""), F$1&amp;""[\w &amp;]*, (\d+\.\d+)""),"""")
"),"")</f>
        <v/>
      </c>
      <c r="G819" s="3" t="str">
        <f aca="false">IFERROR(__xludf.dummyfunction("if($T819&lt;&gt;"""",REGEXEXTRACT($T819, G$1&amp;""[\w &amp;]*, (\d+\.\d+)""),"""")
"),"")</f>
        <v/>
      </c>
      <c r="H819" s="3"/>
      <c r="I819" s="3" t="str">
        <f aca="false">IFERROR(__xludf.dummyfunction("if($T819&lt;&gt;"""",REGEXEXTRACT(SUBSTITUTE ($T819,I$1&amp;"" CE"",""""), I$1&amp;""[\w &amp;]*, (\d+\.\d+)""),"""")
"),"")</f>
        <v/>
      </c>
      <c r="J819" s="3" t="str">
        <f aca="false">IFERROR(__xludf.dummyfunction("if($T819&lt;&gt;"""",REGEXEXTRACT($T819, J$1&amp;""[\w &amp;]*, (\d+\.\d+)""),"""")
"),"")</f>
        <v/>
      </c>
      <c r="K819" s="3"/>
      <c r="L819" s="3" t="str">
        <f aca="false">IFERROR(__xludf.dummyfunction("if($T819&lt;&gt;"""",REGEXEXTRACT(SUBSTITUTE ($T819,L$1&amp;"" CE"",""""), L$1&amp;""[\w &amp;]*, (\d+\.\d+)""),"""")
"),"")</f>
        <v/>
      </c>
      <c r="M819" s="3" t="str">
        <f aca="false">IFERROR(__xludf.dummyfunction("if($T819&lt;&gt;"""",REGEXEXTRACT($T819, M$1&amp;""[\w &amp;]*, (\d+\.\d+)""),"""")
"),"")</f>
        <v/>
      </c>
      <c r="N819" s="3" t="str">
        <f aca="false">IFERROR(__xludf.dummyfunction("if($T819&lt;&gt;"""",REGEXEXTRACT(SUBSTITUTE ($T819,N$1&amp;"" CE"",""""), N$1&amp;""[\w &amp;]*, (\d+\.\d+)""),"""")
"),"")</f>
        <v/>
      </c>
      <c r="O819" s="3" t="str">
        <f aca="false">IFERROR(__xludf.dummyfunction("if($T819&lt;&gt;"""",REGEXEXTRACT($T819, O$1&amp;""[\w &amp;]*, (\d+\.\d+)""),"""")
"),"")</f>
        <v/>
      </c>
      <c r="P819" s="2"/>
      <c r="Q819" s="2"/>
      <c r="R819" s="2"/>
      <c r="S819" s="2"/>
      <c r="T819" s="5"/>
    </row>
    <row r="820" customFormat="false" ht="15.75" hidden="false" customHeight="false" outlineLevel="0" collapsed="false">
      <c r="A820" s="4"/>
      <c r="B820" s="2"/>
      <c r="C820" s="2"/>
      <c r="D820" s="2"/>
      <c r="E820" s="2"/>
      <c r="F820" s="3" t="str">
        <f aca="false">IFERROR(__xludf.dummyfunction("if($T820&lt;&gt;"""",REGEXEXTRACT(SUBSTITUTE ($T820,F$1&amp;"" CE"",""""), F$1&amp;""[\w &amp;]*, (\d+\.\d+)""),"""")
"),"")</f>
        <v/>
      </c>
      <c r="G820" s="3" t="str">
        <f aca="false">IFERROR(__xludf.dummyfunction("if($T820&lt;&gt;"""",REGEXEXTRACT($T820, G$1&amp;""[\w &amp;]*, (\d+\.\d+)""),"""")
"),"")</f>
        <v/>
      </c>
      <c r="H820" s="3"/>
      <c r="I820" s="3" t="str">
        <f aca="false">IFERROR(__xludf.dummyfunction("if($T820&lt;&gt;"""",REGEXEXTRACT(SUBSTITUTE ($T820,I$1&amp;"" CE"",""""), I$1&amp;""[\w &amp;]*, (\d+\.\d+)""),"""")
"),"")</f>
        <v/>
      </c>
      <c r="J820" s="3" t="str">
        <f aca="false">IFERROR(__xludf.dummyfunction("if($T820&lt;&gt;"""",REGEXEXTRACT($T820, J$1&amp;""[\w &amp;]*, (\d+\.\d+)""),"""")
"),"")</f>
        <v/>
      </c>
      <c r="K820" s="3"/>
      <c r="L820" s="3" t="str">
        <f aca="false">IFERROR(__xludf.dummyfunction("if($T820&lt;&gt;"""",REGEXEXTRACT(SUBSTITUTE ($T820,L$1&amp;"" CE"",""""), L$1&amp;""[\w &amp;]*, (\d+\.\d+)""),"""")
"),"")</f>
        <v/>
      </c>
      <c r="M820" s="3" t="str">
        <f aca="false">IFERROR(__xludf.dummyfunction("if($T820&lt;&gt;"""",REGEXEXTRACT($T820, M$1&amp;""[\w &amp;]*, (\d+\.\d+)""),"""")
"),"")</f>
        <v/>
      </c>
      <c r="N820" s="3" t="str">
        <f aca="false">IFERROR(__xludf.dummyfunction("if($T820&lt;&gt;"""",REGEXEXTRACT(SUBSTITUTE ($T820,N$1&amp;"" CE"",""""), N$1&amp;""[\w &amp;]*, (\d+\.\d+)""),"""")
"),"")</f>
        <v/>
      </c>
      <c r="O820" s="3" t="str">
        <f aca="false">IFERROR(__xludf.dummyfunction("if($T820&lt;&gt;"""",REGEXEXTRACT($T820, O$1&amp;""[\w &amp;]*, (\d+\.\d+)""),"""")
"),"")</f>
        <v/>
      </c>
      <c r="P820" s="2"/>
      <c r="Q820" s="2"/>
      <c r="R820" s="2"/>
      <c r="S820" s="2"/>
      <c r="T820" s="5"/>
    </row>
    <row r="821" customFormat="false" ht="15.75" hidden="false" customHeight="false" outlineLevel="0" collapsed="false">
      <c r="A821" s="4"/>
      <c r="B821" s="2"/>
      <c r="C821" s="2"/>
      <c r="D821" s="2"/>
      <c r="E821" s="2"/>
      <c r="F821" s="3" t="str">
        <f aca="false">IFERROR(__xludf.dummyfunction("if($T821&lt;&gt;"""",REGEXEXTRACT(SUBSTITUTE ($T821,F$1&amp;"" CE"",""""), F$1&amp;""[\w &amp;]*, (\d+\.\d+)""),"""")
"),"")</f>
        <v/>
      </c>
      <c r="G821" s="3" t="str">
        <f aca="false">IFERROR(__xludf.dummyfunction("if($T821&lt;&gt;"""",REGEXEXTRACT($T821, G$1&amp;""[\w &amp;]*, (\d+\.\d+)""),"""")
"),"")</f>
        <v/>
      </c>
      <c r="H821" s="3"/>
      <c r="I821" s="3" t="str">
        <f aca="false">IFERROR(__xludf.dummyfunction("if($T821&lt;&gt;"""",REGEXEXTRACT(SUBSTITUTE ($T821,I$1&amp;"" CE"",""""), I$1&amp;""[\w &amp;]*, (\d+\.\d+)""),"""")
"),"")</f>
        <v/>
      </c>
      <c r="J821" s="3" t="str">
        <f aca="false">IFERROR(__xludf.dummyfunction("if($T821&lt;&gt;"""",REGEXEXTRACT($T821, J$1&amp;""[\w &amp;]*, (\d+\.\d+)""),"""")
"),"")</f>
        <v/>
      </c>
      <c r="K821" s="3"/>
      <c r="L821" s="3" t="str">
        <f aca="false">IFERROR(__xludf.dummyfunction("if($T821&lt;&gt;"""",REGEXEXTRACT(SUBSTITUTE ($T821,L$1&amp;"" CE"",""""), L$1&amp;""[\w &amp;]*, (\d+\.\d+)""),"""")
"),"")</f>
        <v/>
      </c>
      <c r="M821" s="3" t="str">
        <f aca="false">IFERROR(__xludf.dummyfunction("if($T821&lt;&gt;"""",REGEXEXTRACT($T821, M$1&amp;""[\w &amp;]*, (\d+\.\d+)""),"""")
"),"")</f>
        <v/>
      </c>
      <c r="N821" s="3" t="str">
        <f aca="false">IFERROR(__xludf.dummyfunction("if($T821&lt;&gt;"""",REGEXEXTRACT(SUBSTITUTE ($T821,N$1&amp;"" CE"",""""), N$1&amp;""[\w &amp;]*, (\d+\.\d+)""),"""")
"),"")</f>
        <v/>
      </c>
      <c r="O821" s="3" t="str">
        <f aca="false">IFERROR(__xludf.dummyfunction("if($T821&lt;&gt;"""",REGEXEXTRACT($T821, O$1&amp;""[\w &amp;]*, (\d+\.\d+)""),"""")
"),"")</f>
        <v/>
      </c>
      <c r="P821" s="2"/>
      <c r="Q821" s="2"/>
      <c r="R821" s="2"/>
      <c r="S821" s="2"/>
      <c r="T821" s="5"/>
    </row>
    <row r="822" customFormat="false" ht="15.75" hidden="false" customHeight="false" outlineLevel="0" collapsed="false">
      <c r="A822" s="4"/>
      <c r="B822" s="2"/>
      <c r="C822" s="2"/>
      <c r="D822" s="2"/>
      <c r="E822" s="2"/>
      <c r="F822" s="3" t="str">
        <f aca="false">IFERROR(__xludf.dummyfunction("if($T822&lt;&gt;"""",REGEXEXTRACT(SUBSTITUTE ($T822,F$1&amp;"" CE"",""""), F$1&amp;""[\w &amp;]*, (\d+\.\d+)""),"""")
"),"")</f>
        <v/>
      </c>
      <c r="G822" s="3" t="str">
        <f aca="false">IFERROR(__xludf.dummyfunction("if($T822&lt;&gt;"""",REGEXEXTRACT($T822, G$1&amp;""[\w &amp;]*, (\d+\.\d+)""),"""")
"),"")</f>
        <v/>
      </c>
      <c r="H822" s="3"/>
      <c r="I822" s="3" t="str">
        <f aca="false">IFERROR(__xludf.dummyfunction("if($T822&lt;&gt;"""",REGEXEXTRACT(SUBSTITUTE ($T822,I$1&amp;"" CE"",""""), I$1&amp;""[\w &amp;]*, (\d+\.\d+)""),"""")
"),"")</f>
        <v/>
      </c>
      <c r="J822" s="3" t="str">
        <f aca="false">IFERROR(__xludf.dummyfunction("if($T822&lt;&gt;"""",REGEXEXTRACT($T822, J$1&amp;""[\w &amp;]*, (\d+\.\d+)""),"""")
"),"")</f>
        <v/>
      </c>
      <c r="K822" s="3"/>
      <c r="L822" s="3" t="str">
        <f aca="false">IFERROR(__xludf.dummyfunction("if($T822&lt;&gt;"""",REGEXEXTRACT(SUBSTITUTE ($T822,L$1&amp;"" CE"",""""), L$1&amp;""[\w &amp;]*, (\d+\.\d+)""),"""")
"),"")</f>
        <v/>
      </c>
      <c r="M822" s="3" t="str">
        <f aca="false">IFERROR(__xludf.dummyfunction("if($T822&lt;&gt;"""",REGEXEXTRACT($T822, M$1&amp;""[\w &amp;]*, (\d+\.\d+)""),"""")
"),"")</f>
        <v/>
      </c>
      <c r="N822" s="3" t="str">
        <f aca="false">IFERROR(__xludf.dummyfunction("if($T822&lt;&gt;"""",REGEXEXTRACT(SUBSTITUTE ($T822,N$1&amp;"" CE"",""""), N$1&amp;""[\w &amp;]*, (\d+\.\d+)""),"""")
"),"")</f>
        <v/>
      </c>
      <c r="O822" s="3" t="str">
        <f aca="false">IFERROR(__xludf.dummyfunction("if($T822&lt;&gt;"""",REGEXEXTRACT($T822, O$1&amp;""[\w &amp;]*, (\d+\.\d+)""),"""")
"),"")</f>
        <v/>
      </c>
      <c r="P822" s="2"/>
      <c r="Q822" s="2"/>
      <c r="R822" s="2"/>
      <c r="S822" s="2"/>
      <c r="T822" s="5"/>
    </row>
    <row r="823" customFormat="false" ht="15.75" hidden="false" customHeight="false" outlineLevel="0" collapsed="false">
      <c r="A823" s="4"/>
      <c r="B823" s="2"/>
      <c r="C823" s="2"/>
      <c r="D823" s="2"/>
      <c r="E823" s="2"/>
      <c r="F823" s="3" t="str">
        <f aca="false">IFERROR(__xludf.dummyfunction("if($T823&lt;&gt;"""",REGEXEXTRACT(SUBSTITUTE ($T823,F$1&amp;"" CE"",""""), F$1&amp;""[\w &amp;]*, (\d+\.\d+)""),"""")
"),"")</f>
        <v/>
      </c>
      <c r="G823" s="3" t="str">
        <f aca="false">IFERROR(__xludf.dummyfunction("if($T823&lt;&gt;"""",REGEXEXTRACT($T823, G$1&amp;""[\w &amp;]*, (\d+\.\d+)""),"""")
"),"")</f>
        <v/>
      </c>
      <c r="H823" s="3"/>
      <c r="I823" s="3" t="str">
        <f aca="false">IFERROR(__xludf.dummyfunction("if($T823&lt;&gt;"""",REGEXEXTRACT(SUBSTITUTE ($T823,I$1&amp;"" CE"",""""), I$1&amp;""[\w &amp;]*, (\d+\.\d+)""),"""")
"),"")</f>
        <v/>
      </c>
      <c r="J823" s="3" t="str">
        <f aca="false">IFERROR(__xludf.dummyfunction("if($T823&lt;&gt;"""",REGEXEXTRACT($T823, J$1&amp;""[\w &amp;]*, (\d+\.\d+)""),"""")
"),"")</f>
        <v/>
      </c>
      <c r="K823" s="3"/>
      <c r="L823" s="3" t="str">
        <f aca="false">IFERROR(__xludf.dummyfunction("if($T823&lt;&gt;"""",REGEXEXTRACT(SUBSTITUTE ($T823,L$1&amp;"" CE"",""""), L$1&amp;""[\w &amp;]*, (\d+\.\d+)""),"""")
"),"")</f>
        <v/>
      </c>
      <c r="M823" s="3" t="str">
        <f aca="false">IFERROR(__xludf.dummyfunction("if($T823&lt;&gt;"""",REGEXEXTRACT($T823, M$1&amp;""[\w &amp;]*, (\d+\.\d+)""),"""")
"),"")</f>
        <v/>
      </c>
      <c r="N823" s="3" t="str">
        <f aca="false">IFERROR(__xludf.dummyfunction("if($T823&lt;&gt;"""",REGEXEXTRACT(SUBSTITUTE ($T823,N$1&amp;"" CE"",""""), N$1&amp;""[\w &amp;]*, (\d+\.\d+)""),"""")
"),"")</f>
        <v/>
      </c>
      <c r="O823" s="3" t="str">
        <f aca="false">IFERROR(__xludf.dummyfunction("if($T823&lt;&gt;"""",REGEXEXTRACT($T823, O$1&amp;""[\w &amp;]*, (\d+\.\d+)""),"""")
"),"")</f>
        <v/>
      </c>
      <c r="P823" s="2"/>
      <c r="Q823" s="2"/>
      <c r="R823" s="2"/>
      <c r="S823" s="2"/>
      <c r="T823" s="5"/>
    </row>
    <row r="824" customFormat="false" ht="15.75" hidden="false" customHeight="false" outlineLevel="0" collapsed="false">
      <c r="A824" s="4"/>
      <c r="B824" s="2"/>
      <c r="C824" s="2"/>
      <c r="D824" s="2"/>
      <c r="E824" s="2"/>
      <c r="F824" s="3" t="str">
        <f aca="false">IFERROR(__xludf.dummyfunction("if($T824&lt;&gt;"""",REGEXEXTRACT(SUBSTITUTE ($T824,F$1&amp;"" CE"",""""), F$1&amp;""[\w &amp;]*, (\d+\.\d+)""),"""")
"),"")</f>
        <v/>
      </c>
      <c r="G824" s="3" t="str">
        <f aca="false">IFERROR(__xludf.dummyfunction("if($T824&lt;&gt;"""",REGEXEXTRACT($T824, G$1&amp;""[\w &amp;]*, (\d+\.\d+)""),"""")
"),"")</f>
        <v/>
      </c>
      <c r="H824" s="3"/>
      <c r="I824" s="3" t="str">
        <f aca="false">IFERROR(__xludf.dummyfunction("if($T824&lt;&gt;"""",REGEXEXTRACT(SUBSTITUTE ($T824,I$1&amp;"" CE"",""""), I$1&amp;""[\w &amp;]*, (\d+\.\d+)""),"""")
"),"")</f>
        <v/>
      </c>
      <c r="J824" s="3" t="str">
        <f aca="false">IFERROR(__xludf.dummyfunction("if($T824&lt;&gt;"""",REGEXEXTRACT($T824, J$1&amp;""[\w &amp;]*, (\d+\.\d+)""),"""")
"),"")</f>
        <v/>
      </c>
      <c r="K824" s="3"/>
      <c r="L824" s="3" t="str">
        <f aca="false">IFERROR(__xludf.dummyfunction("if($T824&lt;&gt;"""",REGEXEXTRACT(SUBSTITUTE ($T824,L$1&amp;"" CE"",""""), L$1&amp;""[\w &amp;]*, (\d+\.\d+)""),"""")
"),"")</f>
        <v/>
      </c>
      <c r="M824" s="3" t="str">
        <f aca="false">IFERROR(__xludf.dummyfunction("if($T824&lt;&gt;"""",REGEXEXTRACT($T824, M$1&amp;""[\w &amp;]*, (\d+\.\d+)""),"""")
"),"")</f>
        <v/>
      </c>
      <c r="N824" s="3" t="str">
        <f aca="false">IFERROR(__xludf.dummyfunction("if($T824&lt;&gt;"""",REGEXEXTRACT(SUBSTITUTE ($T824,N$1&amp;"" CE"",""""), N$1&amp;""[\w &amp;]*, (\d+\.\d+)""),"""")
"),"")</f>
        <v/>
      </c>
      <c r="O824" s="3" t="str">
        <f aca="false">IFERROR(__xludf.dummyfunction("if($T824&lt;&gt;"""",REGEXEXTRACT($T824, O$1&amp;""[\w &amp;]*, (\d+\.\d+)""),"""")
"),"")</f>
        <v/>
      </c>
      <c r="P824" s="2"/>
      <c r="Q824" s="2"/>
      <c r="R824" s="2"/>
      <c r="S824" s="2"/>
      <c r="T824" s="5"/>
    </row>
    <row r="825" customFormat="false" ht="15.75" hidden="false" customHeight="false" outlineLevel="0" collapsed="false">
      <c r="A825" s="4"/>
      <c r="B825" s="2"/>
      <c r="C825" s="2"/>
      <c r="D825" s="2"/>
      <c r="E825" s="2"/>
      <c r="F825" s="3" t="str">
        <f aca="false">IFERROR(__xludf.dummyfunction("if($T825&lt;&gt;"""",REGEXEXTRACT(SUBSTITUTE ($T825,F$1&amp;"" CE"",""""), F$1&amp;""[\w &amp;]*, (\d+\.\d+)""),"""")
"),"")</f>
        <v/>
      </c>
      <c r="G825" s="3" t="str">
        <f aca="false">IFERROR(__xludf.dummyfunction("if($T825&lt;&gt;"""",REGEXEXTRACT($T825, G$1&amp;""[\w &amp;]*, (\d+\.\d+)""),"""")
"),"")</f>
        <v/>
      </c>
      <c r="H825" s="3"/>
      <c r="I825" s="3" t="str">
        <f aca="false">IFERROR(__xludf.dummyfunction("if($T825&lt;&gt;"""",REGEXEXTRACT(SUBSTITUTE ($T825,I$1&amp;"" CE"",""""), I$1&amp;""[\w &amp;]*, (\d+\.\d+)""),"""")
"),"")</f>
        <v/>
      </c>
      <c r="J825" s="3" t="str">
        <f aca="false">IFERROR(__xludf.dummyfunction("if($T825&lt;&gt;"""",REGEXEXTRACT($T825, J$1&amp;""[\w &amp;]*, (\d+\.\d+)""),"""")
"),"")</f>
        <v/>
      </c>
      <c r="K825" s="3"/>
      <c r="L825" s="3" t="str">
        <f aca="false">IFERROR(__xludf.dummyfunction("if($T825&lt;&gt;"""",REGEXEXTRACT(SUBSTITUTE ($T825,L$1&amp;"" CE"",""""), L$1&amp;""[\w &amp;]*, (\d+\.\d+)""),"""")
"),"")</f>
        <v/>
      </c>
      <c r="M825" s="3" t="str">
        <f aca="false">IFERROR(__xludf.dummyfunction("if($T825&lt;&gt;"""",REGEXEXTRACT($T825, M$1&amp;""[\w &amp;]*, (\d+\.\d+)""),"""")
"),"")</f>
        <v/>
      </c>
      <c r="N825" s="3" t="str">
        <f aca="false">IFERROR(__xludf.dummyfunction("if($T825&lt;&gt;"""",REGEXEXTRACT(SUBSTITUTE ($T825,N$1&amp;"" CE"",""""), N$1&amp;""[\w &amp;]*, (\d+\.\d+)""),"""")
"),"")</f>
        <v/>
      </c>
      <c r="O825" s="3" t="str">
        <f aca="false">IFERROR(__xludf.dummyfunction("if($T825&lt;&gt;"""",REGEXEXTRACT($T825, O$1&amp;""[\w &amp;]*, (\d+\.\d+)""),"""")
"),"")</f>
        <v/>
      </c>
      <c r="P825" s="2"/>
      <c r="Q825" s="2"/>
      <c r="R825" s="2"/>
      <c r="S825" s="2"/>
      <c r="T825" s="5"/>
    </row>
    <row r="826" customFormat="false" ht="15.75" hidden="false" customHeight="false" outlineLevel="0" collapsed="false">
      <c r="A826" s="4"/>
      <c r="B826" s="2"/>
      <c r="C826" s="2"/>
      <c r="D826" s="2"/>
      <c r="E826" s="2"/>
      <c r="F826" s="3" t="str">
        <f aca="false">IFERROR(__xludf.dummyfunction("if($T826&lt;&gt;"""",REGEXEXTRACT(SUBSTITUTE ($T826,F$1&amp;"" CE"",""""), F$1&amp;""[\w &amp;]*, (\d+\.\d+)""),"""")
"),"")</f>
        <v/>
      </c>
      <c r="G826" s="3" t="str">
        <f aca="false">IFERROR(__xludf.dummyfunction("if($T826&lt;&gt;"""",REGEXEXTRACT($T826, G$1&amp;""[\w &amp;]*, (\d+\.\d+)""),"""")
"),"")</f>
        <v/>
      </c>
      <c r="H826" s="3"/>
      <c r="I826" s="3" t="str">
        <f aca="false">IFERROR(__xludf.dummyfunction("if($T826&lt;&gt;"""",REGEXEXTRACT(SUBSTITUTE ($T826,I$1&amp;"" CE"",""""), I$1&amp;""[\w &amp;]*, (\d+\.\d+)""),"""")
"),"")</f>
        <v/>
      </c>
      <c r="J826" s="3" t="str">
        <f aca="false">IFERROR(__xludf.dummyfunction("if($T826&lt;&gt;"""",REGEXEXTRACT($T826, J$1&amp;""[\w &amp;]*, (\d+\.\d+)""),"""")
"),"")</f>
        <v/>
      </c>
      <c r="K826" s="3"/>
      <c r="L826" s="3" t="str">
        <f aca="false">IFERROR(__xludf.dummyfunction("if($T826&lt;&gt;"""",REGEXEXTRACT(SUBSTITUTE ($T826,L$1&amp;"" CE"",""""), L$1&amp;""[\w &amp;]*, (\d+\.\d+)""),"""")
"),"")</f>
        <v/>
      </c>
      <c r="M826" s="3" t="str">
        <f aca="false">IFERROR(__xludf.dummyfunction("if($T826&lt;&gt;"""",REGEXEXTRACT($T826, M$1&amp;""[\w &amp;]*, (\d+\.\d+)""),"""")
"),"")</f>
        <v/>
      </c>
      <c r="N826" s="3" t="str">
        <f aca="false">IFERROR(__xludf.dummyfunction("if($T826&lt;&gt;"""",REGEXEXTRACT(SUBSTITUTE ($T826,N$1&amp;"" CE"",""""), N$1&amp;""[\w &amp;]*, (\d+\.\d+)""),"""")
"),"")</f>
        <v/>
      </c>
      <c r="O826" s="3" t="str">
        <f aca="false">IFERROR(__xludf.dummyfunction("if($T826&lt;&gt;"""",REGEXEXTRACT($T826, O$1&amp;""[\w &amp;]*, (\d+\.\d+)""),"""")
"),"")</f>
        <v/>
      </c>
      <c r="P826" s="2"/>
      <c r="Q826" s="2"/>
      <c r="R826" s="2"/>
      <c r="S826" s="2"/>
      <c r="T826" s="5"/>
    </row>
    <row r="827" customFormat="false" ht="15.75" hidden="false" customHeight="false" outlineLevel="0" collapsed="false">
      <c r="A827" s="4"/>
      <c r="B827" s="2"/>
      <c r="C827" s="2"/>
      <c r="D827" s="2"/>
      <c r="E827" s="2"/>
      <c r="F827" s="3" t="str">
        <f aca="false">IFERROR(__xludf.dummyfunction("if($T827&lt;&gt;"""",REGEXEXTRACT(SUBSTITUTE ($T827,F$1&amp;"" CE"",""""), F$1&amp;""[\w &amp;]*, (\d+\.\d+)""),"""")
"),"")</f>
        <v/>
      </c>
      <c r="G827" s="3" t="str">
        <f aca="false">IFERROR(__xludf.dummyfunction("if($T827&lt;&gt;"""",REGEXEXTRACT($T827, G$1&amp;""[\w &amp;]*, (\d+\.\d+)""),"""")
"),"")</f>
        <v/>
      </c>
      <c r="H827" s="3"/>
      <c r="I827" s="3" t="str">
        <f aca="false">IFERROR(__xludf.dummyfunction("if($T827&lt;&gt;"""",REGEXEXTRACT(SUBSTITUTE ($T827,I$1&amp;"" CE"",""""), I$1&amp;""[\w &amp;]*, (\d+\.\d+)""),"""")
"),"")</f>
        <v/>
      </c>
      <c r="J827" s="3" t="str">
        <f aca="false">IFERROR(__xludf.dummyfunction("if($T827&lt;&gt;"""",REGEXEXTRACT($T827, J$1&amp;""[\w &amp;]*, (\d+\.\d+)""),"""")
"),"")</f>
        <v/>
      </c>
      <c r="K827" s="3"/>
      <c r="L827" s="3" t="str">
        <f aca="false">IFERROR(__xludf.dummyfunction("if($T827&lt;&gt;"""",REGEXEXTRACT(SUBSTITUTE ($T827,L$1&amp;"" CE"",""""), L$1&amp;""[\w &amp;]*, (\d+\.\d+)""),"""")
"),"")</f>
        <v/>
      </c>
      <c r="M827" s="3" t="str">
        <f aca="false">IFERROR(__xludf.dummyfunction("if($T827&lt;&gt;"""",REGEXEXTRACT($T827, M$1&amp;""[\w &amp;]*, (\d+\.\d+)""),"""")
"),"")</f>
        <v/>
      </c>
      <c r="N827" s="3" t="str">
        <f aca="false">IFERROR(__xludf.dummyfunction("if($T827&lt;&gt;"""",REGEXEXTRACT(SUBSTITUTE ($T827,N$1&amp;"" CE"",""""), N$1&amp;""[\w &amp;]*, (\d+\.\d+)""),"""")
"),"")</f>
        <v/>
      </c>
      <c r="O827" s="3" t="str">
        <f aca="false">IFERROR(__xludf.dummyfunction("if($T827&lt;&gt;"""",REGEXEXTRACT($T827, O$1&amp;""[\w &amp;]*, (\d+\.\d+)""),"""")
"),"")</f>
        <v/>
      </c>
      <c r="P827" s="2"/>
      <c r="Q827" s="2"/>
      <c r="R827" s="2"/>
      <c r="S827" s="2"/>
      <c r="T827" s="5"/>
    </row>
    <row r="828" customFormat="false" ht="15.75" hidden="false" customHeight="false" outlineLevel="0" collapsed="false">
      <c r="A828" s="4"/>
      <c r="B828" s="2"/>
      <c r="C828" s="2"/>
      <c r="D828" s="2"/>
      <c r="E828" s="2"/>
      <c r="F828" s="3" t="str">
        <f aca="false">IFERROR(__xludf.dummyfunction("if($T828&lt;&gt;"""",REGEXEXTRACT(SUBSTITUTE ($T828,F$1&amp;"" CE"",""""), F$1&amp;""[\w &amp;]*, (\d+\.\d+)""),"""")
"),"")</f>
        <v/>
      </c>
      <c r="G828" s="3" t="str">
        <f aca="false">IFERROR(__xludf.dummyfunction("if($T828&lt;&gt;"""",REGEXEXTRACT($T828, G$1&amp;""[\w &amp;]*, (\d+\.\d+)""),"""")
"),"")</f>
        <v/>
      </c>
      <c r="H828" s="3"/>
      <c r="I828" s="3" t="str">
        <f aca="false">IFERROR(__xludf.dummyfunction("if($T828&lt;&gt;"""",REGEXEXTRACT(SUBSTITUTE ($T828,I$1&amp;"" CE"",""""), I$1&amp;""[\w &amp;]*, (\d+\.\d+)""),"""")
"),"")</f>
        <v/>
      </c>
      <c r="J828" s="3" t="str">
        <f aca="false">IFERROR(__xludf.dummyfunction("if($T828&lt;&gt;"""",REGEXEXTRACT($T828, J$1&amp;""[\w &amp;]*, (\d+\.\d+)""),"""")
"),"")</f>
        <v/>
      </c>
      <c r="K828" s="3"/>
      <c r="L828" s="3" t="str">
        <f aca="false">IFERROR(__xludf.dummyfunction("if($T828&lt;&gt;"""",REGEXEXTRACT(SUBSTITUTE ($T828,L$1&amp;"" CE"",""""), L$1&amp;""[\w &amp;]*, (\d+\.\d+)""),"""")
"),"")</f>
        <v/>
      </c>
      <c r="M828" s="3" t="str">
        <f aca="false">IFERROR(__xludf.dummyfunction("if($T828&lt;&gt;"""",REGEXEXTRACT($T828, M$1&amp;""[\w &amp;]*, (\d+\.\d+)""),"""")
"),"")</f>
        <v/>
      </c>
      <c r="N828" s="3" t="str">
        <f aca="false">IFERROR(__xludf.dummyfunction("if($T828&lt;&gt;"""",REGEXEXTRACT(SUBSTITUTE ($T828,N$1&amp;"" CE"",""""), N$1&amp;""[\w &amp;]*, (\d+\.\d+)""),"""")
"),"")</f>
        <v/>
      </c>
      <c r="O828" s="3" t="str">
        <f aca="false">IFERROR(__xludf.dummyfunction("if($T828&lt;&gt;"""",REGEXEXTRACT($T828, O$1&amp;""[\w &amp;]*, (\d+\.\d+)""),"""")
"),"")</f>
        <v/>
      </c>
      <c r="P828" s="2"/>
      <c r="Q828" s="2"/>
      <c r="R828" s="2"/>
      <c r="S828" s="2"/>
      <c r="T828" s="5"/>
    </row>
    <row r="829" customFormat="false" ht="15.75" hidden="false" customHeight="false" outlineLevel="0" collapsed="false">
      <c r="A829" s="4"/>
      <c r="B829" s="2"/>
      <c r="C829" s="2"/>
      <c r="D829" s="2"/>
      <c r="E829" s="2"/>
      <c r="F829" s="3" t="str">
        <f aca="false">IFERROR(__xludf.dummyfunction("if($T829&lt;&gt;"""",REGEXEXTRACT(SUBSTITUTE ($T829,F$1&amp;"" CE"",""""), F$1&amp;""[\w &amp;]*, (\d+\.\d+)""),"""")
"),"")</f>
        <v/>
      </c>
      <c r="G829" s="3" t="str">
        <f aca="false">IFERROR(__xludf.dummyfunction("if($T829&lt;&gt;"""",REGEXEXTRACT($T829, G$1&amp;""[\w &amp;]*, (\d+\.\d+)""),"""")
"),"")</f>
        <v/>
      </c>
      <c r="H829" s="3"/>
      <c r="I829" s="3" t="str">
        <f aca="false">IFERROR(__xludf.dummyfunction("if($T829&lt;&gt;"""",REGEXEXTRACT(SUBSTITUTE ($T829,I$1&amp;"" CE"",""""), I$1&amp;""[\w &amp;]*, (\d+\.\d+)""),"""")
"),"")</f>
        <v/>
      </c>
      <c r="J829" s="3" t="str">
        <f aca="false">IFERROR(__xludf.dummyfunction("if($T829&lt;&gt;"""",REGEXEXTRACT($T829, J$1&amp;""[\w &amp;]*, (\d+\.\d+)""),"""")
"),"")</f>
        <v/>
      </c>
      <c r="K829" s="3"/>
      <c r="L829" s="3" t="str">
        <f aca="false">IFERROR(__xludf.dummyfunction("if($T829&lt;&gt;"""",REGEXEXTRACT(SUBSTITUTE ($T829,L$1&amp;"" CE"",""""), L$1&amp;""[\w &amp;]*, (\d+\.\d+)""),"""")
"),"")</f>
        <v/>
      </c>
      <c r="M829" s="3" t="str">
        <f aca="false">IFERROR(__xludf.dummyfunction("if($T829&lt;&gt;"""",REGEXEXTRACT($T829, M$1&amp;""[\w &amp;]*, (\d+\.\d+)""),"""")
"),"")</f>
        <v/>
      </c>
      <c r="N829" s="3" t="str">
        <f aca="false">IFERROR(__xludf.dummyfunction("if($T829&lt;&gt;"""",REGEXEXTRACT(SUBSTITUTE ($T829,N$1&amp;"" CE"",""""), N$1&amp;""[\w &amp;]*, (\d+\.\d+)""),"""")
"),"")</f>
        <v/>
      </c>
      <c r="O829" s="3" t="str">
        <f aca="false">IFERROR(__xludf.dummyfunction("if($T829&lt;&gt;"""",REGEXEXTRACT($T829, O$1&amp;""[\w &amp;]*, (\d+\.\d+)""),"""")
"),"")</f>
        <v/>
      </c>
      <c r="P829" s="2"/>
      <c r="Q829" s="2"/>
      <c r="R829" s="2"/>
      <c r="S829" s="2"/>
      <c r="T829" s="5"/>
    </row>
    <row r="830" customFormat="false" ht="15.75" hidden="false" customHeight="false" outlineLevel="0" collapsed="false">
      <c r="A830" s="4"/>
      <c r="B830" s="2"/>
      <c r="C830" s="2"/>
      <c r="D830" s="2"/>
      <c r="E830" s="2"/>
      <c r="F830" s="3" t="str">
        <f aca="false">IFERROR(__xludf.dummyfunction("if($T830&lt;&gt;"""",REGEXEXTRACT(SUBSTITUTE ($T830,F$1&amp;"" CE"",""""), F$1&amp;""[\w &amp;]*, (\d+\.\d+)""),"""")
"),"")</f>
        <v/>
      </c>
      <c r="G830" s="3" t="str">
        <f aca="false">IFERROR(__xludf.dummyfunction("if($T830&lt;&gt;"""",REGEXEXTRACT($T830, G$1&amp;""[\w &amp;]*, (\d+\.\d+)""),"""")
"),"")</f>
        <v/>
      </c>
      <c r="H830" s="3"/>
      <c r="I830" s="3" t="str">
        <f aca="false">IFERROR(__xludf.dummyfunction("if($T830&lt;&gt;"""",REGEXEXTRACT(SUBSTITUTE ($T830,I$1&amp;"" CE"",""""), I$1&amp;""[\w &amp;]*, (\d+\.\d+)""),"""")
"),"")</f>
        <v/>
      </c>
      <c r="J830" s="3" t="str">
        <f aca="false">IFERROR(__xludf.dummyfunction("if($T830&lt;&gt;"""",REGEXEXTRACT($T830, J$1&amp;""[\w &amp;]*, (\d+\.\d+)""),"""")
"),"")</f>
        <v/>
      </c>
      <c r="K830" s="3"/>
      <c r="L830" s="3" t="str">
        <f aca="false">IFERROR(__xludf.dummyfunction("if($T830&lt;&gt;"""",REGEXEXTRACT(SUBSTITUTE ($T830,L$1&amp;"" CE"",""""), L$1&amp;""[\w &amp;]*, (\d+\.\d+)""),"""")
"),"")</f>
        <v/>
      </c>
      <c r="M830" s="3" t="str">
        <f aca="false">IFERROR(__xludf.dummyfunction("if($T830&lt;&gt;"""",REGEXEXTRACT($T830, M$1&amp;""[\w &amp;]*, (\d+\.\d+)""),"""")
"),"")</f>
        <v/>
      </c>
      <c r="N830" s="3" t="str">
        <f aca="false">IFERROR(__xludf.dummyfunction("if($T830&lt;&gt;"""",REGEXEXTRACT(SUBSTITUTE ($T830,N$1&amp;"" CE"",""""), N$1&amp;""[\w &amp;]*, (\d+\.\d+)""),"""")
"),"")</f>
        <v/>
      </c>
      <c r="O830" s="3" t="str">
        <f aca="false">IFERROR(__xludf.dummyfunction("if($T830&lt;&gt;"""",REGEXEXTRACT($T830, O$1&amp;""[\w &amp;]*, (\d+\.\d+)""),"""")
"),"")</f>
        <v/>
      </c>
      <c r="P830" s="2"/>
      <c r="Q830" s="2"/>
      <c r="R830" s="2"/>
      <c r="S830" s="2"/>
      <c r="T830" s="5"/>
    </row>
    <row r="831" customFormat="false" ht="15.75" hidden="false" customHeight="false" outlineLevel="0" collapsed="false">
      <c r="A831" s="4"/>
      <c r="B831" s="2"/>
      <c r="C831" s="2"/>
      <c r="D831" s="2"/>
      <c r="E831" s="2"/>
      <c r="F831" s="3" t="str">
        <f aca="false">IFERROR(__xludf.dummyfunction("if($T831&lt;&gt;"""",REGEXEXTRACT(SUBSTITUTE ($T831,F$1&amp;"" CE"",""""), F$1&amp;""[\w &amp;]*, (\d+\.\d+)""),"""")
"),"")</f>
        <v/>
      </c>
      <c r="G831" s="3" t="str">
        <f aca="false">IFERROR(__xludf.dummyfunction("if($T831&lt;&gt;"""",REGEXEXTRACT($T831, G$1&amp;""[\w &amp;]*, (\d+\.\d+)""),"""")
"),"")</f>
        <v/>
      </c>
      <c r="H831" s="3"/>
      <c r="I831" s="3" t="str">
        <f aca="false">IFERROR(__xludf.dummyfunction("if($T831&lt;&gt;"""",REGEXEXTRACT(SUBSTITUTE ($T831,I$1&amp;"" CE"",""""), I$1&amp;""[\w &amp;]*, (\d+\.\d+)""),"""")
"),"")</f>
        <v/>
      </c>
      <c r="J831" s="3" t="str">
        <f aca="false">IFERROR(__xludf.dummyfunction("if($T831&lt;&gt;"""",REGEXEXTRACT($T831, J$1&amp;""[\w &amp;]*, (\d+\.\d+)""),"""")
"),"")</f>
        <v/>
      </c>
      <c r="K831" s="3"/>
      <c r="L831" s="3" t="str">
        <f aca="false">IFERROR(__xludf.dummyfunction("if($T831&lt;&gt;"""",REGEXEXTRACT(SUBSTITUTE ($T831,L$1&amp;"" CE"",""""), L$1&amp;""[\w &amp;]*, (\d+\.\d+)""),"""")
"),"")</f>
        <v/>
      </c>
      <c r="M831" s="3" t="str">
        <f aca="false">IFERROR(__xludf.dummyfunction("if($T831&lt;&gt;"""",REGEXEXTRACT($T831, M$1&amp;""[\w &amp;]*, (\d+\.\d+)""),"""")
"),"")</f>
        <v/>
      </c>
      <c r="N831" s="3" t="str">
        <f aca="false">IFERROR(__xludf.dummyfunction("if($T831&lt;&gt;"""",REGEXEXTRACT(SUBSTITUTE ($T831,N$1&amp;"" CE"",""""), N$1&amp;""[\w &amp;]*, (\d+\.\d+)""),"""")
"),"")</f>
        <v/>
      </c>
      <c r="O831" s="3" t="str">
        <f aca="false">IFERROR(__xludf.dummyfunction("if($T831&lt;&gt;"""",REGEXEXTRACT($T831, O$1&amp;""[\w &amp;]*, (\d+\.\d+)""),"""")
"),"")</f>
        <v/>
      </c>
      <c r="P831" s="2"/>
      <c r="Q831" s="2"/>
      <c r="R831" s="2"/>
      <c r="S831" s="2"/>
      <c r="T831" s="5"/>
    </row>
    <row r="832" customFormat="false" ht="15.75" hidden="false" customHeight="false" outlineLevel="0" collapsed="false">
      <c r="A832" s="4"/>
      <c r="B832" s="2"/>
      <c r="C832" s="2"/>
      <c r="D832" s="2"/>
      <c r="E832" s="2"/>
      <c r="F832" s="3" t="str">
        <f aca="false">IFERROR(__xludf.dummyfunction("if($T832&lt;&gt;"""",REGEXEXTRACT(SUBSTITUTE ($T832,F$1&amp;"" CE"",""""), F$1&amp;""[\w &amp;]*, (\d+\.\d+)""),"""")
"),"")</f>
        <v/>
      </c>
      <c r="G832" s="3" t="str">
        <f aca="false">IFERROR(__xludf.dummyfunction("if($T832&lt;&gt;"""",REGEXEXTRACT($T832, G$1&amp;""[\w &amp;]*, (\d+\.\d+)""),"""")
"),"")</f>
        <v/>
      </c>
      <c r="H832" s="3"/>
      <c r="I832" s="3" t="str">
        <f aca="false">IFERROR(__xludf.dummyfunction("if($T832&lt;&gt;"""",REGEXEXTRACT(SUBSTITUTE ($T832,I$1&amp;"" CE"",""""), I$1&amp;""[\w &amp;]*, (\d+\.\d+)""),"""")
"),"")</f>
        <v/>
      </c>
      <c r="J832" s="3" t="str">
        <f aca="false">IFERROR(__xludf.dummyfunction("if($T832&lt;&gt;"""",REGEXEXTRACT($T832, J$1&amp;""[\w &amp;]*, (\d+\.\d+)""),"""")
"),"")</f>
        <v/>
      </c>
      <c r="K832" s="3"/>
      <c r="L832" s="3" t="str">
        <f aca="false">IFERROR(__xludf.dummyfunction("if($T832&lt;&gt;"""",REGEXEXTRACT(SUBSTITUTE ($T832,L$1&amp;"" CE"",""""), L$1&amp;""[\w &amp;]*, (\d+\.\d+)""),"""")
"),"")</f>
        <v/>
      </c>
      <c r="M832" s="3" t="str">
        <f aca="false">IFERROR(__xludf.dummyfunction("if($T832&lt;&gt;"""",REGEXEXTRACT($T832, M$1&amp;""[\w &amp;]*, (\d+\.\d+)""),"""")
"),"")</f>
        <v/>
      </c>
      <c r="N832" s="3" t="str">
        <f aca="false">IFERROR(__xludf.dummyfunction("if($T832&lt;&gt;"""",REGEXEXTRACT(SUBSTITUTE ($T832,N$1&amp;"" CE"",""""), N$1&amp;""[\w &amp;]*, (\d+\.\d+)""),"""")
"),"")</f>
        <v/>
      </c>
      <c r="O832" s="3" t="str">
        <f aca="false">IFERROR(__xludf.dummyfunction("if($T832&lt;&gt;"""",REGEXEXTRACT($T832, O$1&amp;""[\w &amp;]*, (\d+\.\d+)""),"""")
"),"")</f>
        <v/>
      </c>
      <c r="P832" s="2"/>
      <c r="Q832" s="2"/>
      <c r="R832" s="2"/>
      <c r="S832" s="2"/>
      <c r="T832" s="5"/>
    </row>
    <row r="833" customFormat="false" ht="15.75" hidden="false" customHeight="false" outlineLevel="0" collapsed="false">
      <c r="A833" s="4"/>
      <c r="B833" s="2"/>
      <c r="C833" s="2"/>
      <c r="D833" s="2"/>
      <c r="E833" s="2"/>
      <c r="F833" s="3" t="str">
        <f aca="false">IFERROR(__xludf.dummyfunction("if($T833&lt;&gt;"""",REGEXEXTRACT(SUBSTITUTE ($T833,F$1&amp;"" CE"",""""), F$1&amp;""[\w &amp;]*, (\d+\.\d+)""),"""")
"),"")</f>
        <v/>
      </c>
      <c r="G833" s="3" t="str">
        <f aca="false">IFERROR(__xludf.dummyfunction("if($T833&lt;&gt;"""",REGEXEXTRACT($T833, G$1&amp;""[\w &amp;]*, (\d+\.\d+)""),"""")
"),"")</f>
        <v/>
      </c>
      <c r="H833" s="3"/>
      <c r="I833" s="3" t="str">
        <f aca="false">IFERROR(__xludf.dummyfunction("if($T833&lt;&gt;"""",REGEXEXTRACT(SUBSTITUTE ($T833,I$1&amp;"" CE"",""""), I$1&amp;""[\w &amp;]*, (\d+\.\d+)""),"""")
"),"")</f>
        <v/>
      </c>
      <c r="J833" s="3" t="str">
        <f aca="false">IFERROR(__xludf.dummyfunction("if($T833&lt;&gt;"""",REGEXEXTRACT($T833, J$1&amp;""[\w &amp;]*, (\d+\.\d+)""),"""")
"),"")</f>
        <v/>
      </c>
      <c r="K833" s="3"/>
      <c r="L833" s="3" t="str">
        <f aca="false">IFERROR(__xludf.dummyfunction("if($T833&lt;&gt;"""",REGEXEXTRACT(SUBSTITUTE ($T833,L$1&amp;"" CE"",""""), L$1&amp;""[\w &amp;]*, (\d+\.\d+)""),"""")
"),"")</f>
        <v/>
      </c>
      <c r="M833" s="3" t="str">
        <f aca="false">IFERROR(__xludf.dummyfunction("if($T833&lt;&gt;"""",REGEXEXTRACT($T833, M$1&amp;""[\w &amp;]*, (\d+\.\d+)""),"""")
"),"")</f>
        <v/>
      </c>
      <c r="N833" s="3" t="str">
        <f aca="false">IFERROR(__xludf.dummyfunction("if($T833&lt;&gt;"""",REGEXEXTRACT(SUBSTITUTE ($T833,N$1&amp;"" CE"",""""), N$1&amp;""[\w &amp;]*, (\d+\.\d+)""),"""")
"),"")</f>
        <v/>
      </c>
      <c r="O833" s="3" t="str">
        <f aca="false">IFERROR(__xludf.dummyfunction("if($T833&lt;&gt;"""",REGEXEXTRACT($T833, O$1&amp;""[\w &amp;]*, (\d+\.\d+)""),"""")
"),"")</f>
        <v/>
      </c>
      <c r="P833" s="2"/>
      <c r="Q833" s="2"/>
      <c r="R833" s="2"/>
      <c r="S833" s="2"/>
      <c r="T833" s="5"/>
    </row>
    <row r="834" customFormat="false" ht="15.75" hidden="false" customHeight="false" outlineLevel="0" collapsed="false">
      <c r="A834" s="4"/>
      <c r="B834" s="2"/>
      <c r="C834" s="2"/>
      <c r="D834" s="2"/>
      <c r="E834" s="2"/>
      <c r="F834" s="3" t="str">
        <f aca="false">IFERROR(__xludf.dummyfunction("if($T834&lt;&gt;"""",REGEXEXTRACT(SUBSTITUTE ($T834,F$1&amp;"" CE"",""""), F$1&amp;""[\w &amp;]*, (\d+\.\d+)""),"""")
"),"")</f>
        <v/>
      </c>
      <c r="G834" s="3" t="str">
        <f aca="false">IFERROR(__xludf.dummyfunction("if($T834&lt;&gt;"""",REGEXEXTRACT($T834, G$1&amp;""[\w &amp;]*, (\d+\.\d+)""),"""")
"),"")</f>
        <v/>
      </c>
      <c r="H834" s="3"/>
      <c r="I834" s="3" t="str">
        <f aca="false">IFERROR(__xludf.dummyfunction("if($T834&lt;&gt;"""",REGEXEXTRACT(SUBSTITUTE ($T834,I$1&amp;"" CE"",""""), I$1&amp;""[\w &amp;]*, (\d+\.\d+)""),"""")
"),"")</f>
        <v/>
      </c>
      <c r="J834" s="3" t="str">
        <f aca="false">IFERROR(__xludf.dummyfunction("if($T834&lt;&gt;"""",REGEXEXTRACT($T834, J$1&amp;""[\w &amp;]*, (\d+\.\d+)""),"""")
"),"")</f>
        <v/>
      </c>
      <c r="K834" s="3"/>
      <c r="L834" s="3" t="str">
        <f aca="false">IFERROR(__xludf.dummyfunction("if($T834&lt;&gt;"""",REGEXEXTRACT(SUBSTITUTE ($T834,L$1&amp;"" CE"",""""), L$1&amp;""[\w &amp;]*, (\d+\.\d+)""),"""")
"),"")</f>
        <v/>
      </c>
      <c r="M834" s="3" t="str">
        <f aca="false">IFERROR(__xludf.dummyfunction("if($T834&lt;&gt;"""",REGEXEXTRACT($T834, M$1&amp;""[\w &amp;]*, (\d+\.\d+)""),"""")
"),"")</f>
        <v/>
      </c>
      <c r="N834" s="3" t="str">
        <f aca="false">IFERROR(__xludf.dummyfunction("if($T834&lt;&gt;"""",REGEXEXTRACT(SUBSTITUTE ($T834,N$1&amp;"" CE"",""""), N$1&amp;""[\w &amp;]*, (\d+\.\d+)""),"""")
"),"")</f>
        <v/>
      </c>
      <c r="O834" s="3" t="str">
        <f aca="false">IFERROR(__xludf.dummyfunction("if($T834&lt;&gt;"""",REGEXEXTRACT($T834, O$1&amp;""[\w &amp;]*, (\d+\.\d+)""),"""")
"),"")</f>
        <v/>
      </c>
      <c r="P834" s="2"/>
      <c r="Q834" s="2"/>
      <c r="R834" s="2"/>
      <c r="S834" s="2"/>
      <c r="T834" s="5"/>
    </row>
    <row r="835" customFormat="false" ht="15.75" hidden="false" customHeight="false" outlineLevel="0" collapsed="false">
      <c r="A835" s="4"/>
      <c r="B835" s="2"/>
      <c r="C835" s="2"/>
      <c r="D835" s="2"/>
      <c r="E835" s="2"/>
      <c r="F835" s="3" t="str">
        <f aca="false">IFERROR(__xludf.dummyfunction("if($T835&lt;&gt;"""",REGEXEXTRACT(SUBSTITUTE ($T835,F$1&amp;"" CE"",""""), F$1&amp;""[\w &amp;]*, (\d+\.\d+)""),"""")
"),"")</f>
        <v/>
      </c>
      <c r="G835" s="3" t="str">
        <f aca="false">IFERROR(__xludf.dummyfunction("if($T835&lt;&gt;"""",REGEXEXTRACT($T835, G$1&amp;""[\w &amp;]*, (\d+\.\d+)""),"""")
"),"")</f>
        <v/>
      </c>
      <c r="H835" s="3"/>
      <c r="I835" s="3" t="str">
        <f aca="false">IFERROR(__xludf.dummyfunction("if($T835&lt;&gt;"""",REGEXEXTRACT(SUBSTITUTE ($T835,I$1&amp;"" CE"",""""), I$1&amp;""[\w &amp;]*, (\d+\.\d+)""),"""")
"),"")</f>
        <v/>
      </c>
      <c r="J835" s="3" t="str">
        <f aca="false">IFERROR(__xludf.dummyfunction("if($T835&lt;&gt;"""",REGEXEXTRACT($T835, J$1&amp;""[\w &amp;]*, (\d+\.\d+)""),"""")
"),"")</f>
        <v/>
      </c>
      <c r="K835" s="3"/>
      <c r="L835" s="3" t="str">
        <f aca="false">IFERROR(__xludf.dummyfunction("if($T835&lt;&gt;"""",REGEXEXTRACT(SUBSTITUTE ($T835,L$1&amp;"" CE"",""""), L$1&amp;""[\w &amp;]*, (\d+\.\d+)""),"""")
"),"")</f>
        <v/>
      </c>
      <c r="M835" s="3" t="str">
        <f aca="false">IFERROR(__xludf.dummyfunction("if($T835&lt;&gt;"""",REGEXEXTRACT($T835, M$1&amp;""[\w &amp;]*, (\d+\.\d+)""),"""")
"),"")</f>
        <v/>
      </c>
      <c r="N835" s="3" t="str">
        <f aca="false">IFERROR(__xludf.dummyfunction("if($T835&lt;&gt;"""",REGEXEXTRACT(SUBSTITUTE ($T835,N$1&amp;"" CE"",""""), N$1&amp;""[\w &amp;]*, (\d+\.\d+)""),"""")
"),"")</f>
        <v/>
      </c>
      <c r="O835" s="3" t="str">
        <f aca="false">IFERROR(__xludf.dummyfunction("if($T835&lt;&gt;"""",REGEXEXTRACT($T835, O$1&amp;""[\w &amp;]*, (\d+\.\d+)""),"""")
"),"")</f>
        <v/>
      </c>
      <c r="P835" s="2"/>
      <c r="Q835" s="2"/>
      <c r="R835" s="2"/>
      <c r="S835" s="2"/>
      <c r="T835" s="5"/>
    </row>
    <row r="836" customFormat="false" ht="15.75" hidden="false" customHeight="false" outlineLevel="0" collapsed="false">
      <c r="A836" s="4"/>
      <c r="B836" s="2"/>
      <c r="C836" s="2"/>
      <c r="D836" s="2"/>
      <c r="E836" s="2"/>
      <c r="F836" s="3" t="str">
        <f aca="false">IFERROR(__xludf.dummyfunction("if($T836&lt;&gt;"""",REGEXEXTRACT(SUBSTITUTE ($T836,F$1&amp;"" CE"",""""), F$1&amp;""[\w &amp;]*, (\d+\.\d+)""),"""")
"),"")</f>
        <v/>
      </c>
      <c r="G836" s="3" t="str">
        <f aca="false">IFERROR(__xludf.dummyfunction("if($T836&lt;&gt;"""",REGEXEXTRACT($T836, G$1&amp;""[\w &amp;]*, (\d+\.\d+)""),"""")
"),"")</f>
        <v/>
      </c>
      <c r="H836" s="3"/>
      <c r="I836" s="3" t="str">
        <f aca="false">IFERROR(__xludf.dummyfunction("if($T836&lt;&gt;"""",REGEXEXTRACT(SUBSTITUTE ($T836,I$1&amp;"" CE"",""""), I$1&amp;""[\w &amp;]*, (\d+\.\d+)""),"""")
"),"")</f>
        <v/>
      </c>
      <c r="J836" s="3" t="str">
        <f aca="false">IFERROR(__xludf.dummyfunction("if($T836&lt;&gt;"""",REGEXEXTRACT($T836, J$1&amp;""[\w &amp;]*, (\d+\.\d+)""),"""")
"),"")</f>
        <v/>
      </c>
      <c r="K836" s="3"/>
      <c r="L836" s="3" t="str">
        <f aca="false">IFERROR(__xludf.dummyfunction("if($T836&lt;&gt;"""",REGEXEXTRACT(SUBSTITUTE ($T836,L$1&amp;"" CE"",""""), L$1&amp;""[\w &amp;]*, (\d+\.\d+)""),"""")
"),"")</f>
        <v/>
      </c>
      <c r="M836" s="3" t="str">
        <f aca="false">IFERROR(__xludf.dummyfunction("if($T836&lt;&gt;"""",REGEXEXTRACT($T836, M$1&amp;""[\w &amp;]*, (\d+\.\d+)""),"""")
"),"")</f>
        <v/>
      </c>
      <c r="N836" s="3" t="str">
        <f aca="false">IFERROR(__xludf.dummyfunction("if($T836&lt;&gt;"""",REGEXEXTRACT(SUBSTITUTE ($T836,N$1&amp;"" CE"",""""), N$1&amp;""[\w &amp;]*, (\d+\.\d+)""),"""")
"),"")</f>
        <v/>
      </c>
      <c r="O836" s="3" t="str">
        <f aca="false">IFERROR(__xludf.dummyfunction("if($T836&lt;&gt;"""",REGEXEXTRACT($T836, O$1&amp;""[\w &amp;]*, (\d+\.\d+)""),"""")
"),"")</f>
        <v/>
      </c>
      <c r="P836" s="2"/>
      <c r="Q836" s="2"/>
      <c r="R836" s="2"/>
      <c r="S836" s="2"/>
      <c r="T836" s="5"/>
    </row>
    <row r="837" customFormat="false" ht="15.75" hidden="false" customHeight="false" outlineLevel="0" collapsed="false">
      <c r="A837" s="4"/>
      <c r="B837" s="2"/>
      <c r="C837" s="2"/>
      <c r="D837" s="2"/>
      <c r="E837" s="2"/>
      <c r="F837" s="3" t="str">
        <f aca="false">IFERROR(__xludf.dummyfunction("if($T837&lt;&gt;"""",REGEXEXTRACT(SUBSTITUTE ($T837,F$1&amp;"" CE"",""""), F$1&amp;""[\w &amp;]*, (\d+\.\d+)""),"""")
"),"")</f>
        <v/>
      </c>
      <c r="G837" s="3" t="str">
        <f aca="false">IFERROR(__xludf.dummyfunction("if($T837&lt;&gt;"""",REGEXEXTRACT($T837, G$1&amp;""[\w &amp;]*, (\d+\.\d+)""),"""")
"),"")</f>
        <v/>
      </c>
      <c r="H837" s="3"/>
      <c r="I837" s="3" t="str">
        <f aca="false">IFERROR(__xludf.dummyfunction("if($T837&lt;&gt;"""",REGEXEXTRACT(SUBSTITUTE ($T837,I$1&amp;"" CE"",""""), I$1&amp;""[\w &amp;]*, (\d+\.\d+)""),"""")
"),"")</f>
        <v/>
      </c>
      <c r="J837" s="3" t="str">
        <f aca="false">IFERROR(__xludf.dummyfunction("if($T837&lt;&gt;"""",REGEXEXTRACT($T837, J$1&amp;""[\w &amp;]*, (\d+\.\d+)""),"""")
"),"")</f>
        <v/>
      </c>
      <c r="K837" s="3"/>
      <c r="L837" s="3" t="str">
        <f aca="false">IFERROR(__xludf.dummyfunction("if($T837&lt;&gt;"""",REGEXEXTRACT(SUBSTITUTE ($T837,L$1&amp;"" CE"",""""), L$1&amp;""[\w &amp;]*, (\d+\.\d+)""),"""")
"),"")</f>
        <v/>
      </c>
      <c r="M837" s="3" t="str">
        <f aca="false">IFERROR(__xludf.dummyfunction("if($T837&lt;&gt;"""",REGEXEXTRACT($T837, M$1&amp;""[\w &amp;]*, (\d+\.\d+)""),"""")
"),"")</f>
        <v/>
      </c>
      <c r="N837" s="3" t="str">
        <f aca="false">IFERROR(__xludf.dummyfunction("if($T837&lt;&gt;"""",REGEXEXTRACT(SUBSTITUTE ($T837,N$1&amp;"" CE"",""""), N$1&amp;""[\w &amp;]*, (\d+\.\d+)""),"""")
"),"")</f>
        <v/>
      </c>
      <c r="O837" s="3" t="str">
        <f aca="false">IFERROR(__xludf.dummyfunction("if($T837&lt;&gt;"""",REGEXEXTRACT($T837, O$1&amp;""[\w &amp;]*, (\d+\.\d+)""),"""")
"),"")</f>
        <v/>
      </c>
      <c r="P837" s="2"/>
      <c r="Q837" s="2"/>
      <c r="R837" s="2"/>
      <c r="S837" s="2"/>
      <c r="T837" s="5"/>
    </row>
    <row r="838" customFormat="false" ht="15.75" hidden="false" customHeight="false" outlineLevel="0" collapsed="false">
      <c r="A838" s="4"/>
      <c r="B838" s="2"/>
      <c r="C838" s="2"/>
      <c r="D838" s="2"/>
      <c r="E838" s="2"/>
      <c r="F838" s="3" t="str">
        <f aca="false">IFERROR(__xludf.dummyfunction("if($T838&lt;&gt;"""",REGEXEXTRACT(SUBSTITUTE ($T838,F$1&amp;"" CE"",""""), F$1&amp;""[\w &amp;]*, (\d+\.\d+)""),"""")
"),"")</f>
        <v/>
      </c>
      <c r="G838" s="3" t="str">
        <f aca="false">IFERROR(__xludf.dummyfunction("if($T838&lt;&gt;"""",REGEXEXTRACT($T838, G$1&amp;""[\w &amp;]*, (\d+\.\d+)""),"""")
"),"")</f>
        <v/>
      </c>
      <c r="H838" s="3"/>
      <c r="I838" s="3" t="str">
        <f aca="false">IFERROR(__xludf.dummyfunction("if($T838&lt;&gt;"""",REGEXEXTRACT(SUBSTITUTE ($T838,I$1&amp;"" CE"",""""), I$1&amp;""[\w &amp;]*, (\d+\.\d+)""),"""")
"),"")</f>
        <v/>
      </c>
      <c r="J838" s="3" t="str">
        <f aca="false">IFERROR(__xludf.dummyfunction("if($T838&lt;&gt;"""",REGEXEXTRACT($T838, J$1&amp;""[\w &amp;]*, (\d+\.\d+)""),"""")
"),"")</f>
        <v/>
      </c>
      <c r="K838" s="3"/>
      <c r="L838" s="3" t="str">
        <f aca="false">IFERROR(__xludf.dummyfunction("if($T838&lt;&gt;"""",REGEXEXTRACT(SUBSTITUTE ($T838,L$1&amp;"" CE"",""""), L$1&amp;""[\w &amp;]*, (\d+\.\d+)""),"""")
"),"")</f>
        <v/>
      </c>
      <c r="M838" s="3" t="str">
        <f aca="false">IFERROR(__xludf.dummyfunction("if($T838&lt;&gt;"""",REGEXEXTRACT($T838, M$1&amp;""[\w &amp;]*, (\d+\.\d+)""),"""")
"),"")</f>
        <v/>
      </c>
      <c r="N838" s="3" t="str">
        <f aca="false">IFERROR(__xludf.dummyfunction("if($T838&lt;&gt;"""",REGEXEXTRACT(SUBSTITUTE ($T838,N$1&amp;"" CE"",""""), N$1&amp;""[\w &amp;]*, (\d+\.\d+)""),"""")
"),"")</f>
        <v/>
      </c>
      <c r="O838" s="3" t="str">
        <f aca="false">IFERROR(__xludf.dummyfunction("if($T838&lt;&gt;"""",REGEXEXTRACT($T838, O$1&amp;""[\w &amp;]*, (\d+\.\d+)""),"""")
"),"")</f>
        <v/>
      </c>
      <c r="P838" s="2"/>
      <c r="Q838" s="2"/>
      <c r="R838" s="2"/>
      <c r="S838" s="2"/>
      <c r="T838" s="5"/>
    </row>
    <row r="839" customFormat="false" ht="15.75" hidden="false" customHeight="false" outlineLevel="0" collapsed="false">
      <c r="A839" s="4"/>
      <c r="B839" s="2"/>
      <c r="C839" s="2"/>
      <c r="D839" s="2"/>
      <c r="E839" s="2"/>
      <c r="F839" s="3" t="str">
        <f aca="false">IFERROR(__xludf.dummyfunction("if($T839&lt;&gt;"""",REGEXEXTRACT(SUBSTITUTE ($T839,F$1&amp;"" CE"",""""), F$1&amp;""[\w &amp;]*, (\d+\.\d+)""),"""")
"),"")</f>
        <v/>
      </c>
      <c r="G839" s="3" t="str">
        <f aca="false">IFERROR(__xludf.dummyfunction("if($T839&lt;&gt;"""",REGEXEXTRACT($T839, G$1&amp;""[\w &amp;]*, (\d+\.\d+)""),"""")
"),"")</f>
        <v/>
      </c>
      <c r="H839" s="3"/>
      <c r="I839" s="3" t="str">
        <f aca="false">IFERROR(__xludf.dummyfunction("if($T839&lt;&gt;"""",REGEXEXTRACT(SUBSTITUTE ($T839,I$1&amp;"" CE"",""""), I$1&amp;""[\w &amp;]*, (\d+\.\d+)""),"""")
"),"")</f>
        <v/>
      </c>
      <c r="J839" s="3" t="str">
        <f aca="false">IFERROR(__xludf.dummyfunction("if($T839&lt;&gt;"""",REGEXEXTRACT($T839, J$1&amp;""[\w &amp;]*, (\d+\.\d+)""),"""")
"),"")</f>
        <v/>
      </c>
      <c r="K839" s="3"/>
      <c r="L839" s="3" t="str">
        <f aca="false">IFERROR(__xludf.dummyfunction("if($T839&lt;&gt;"""",REGEXEXTRACT(SUBSTITUTE ($T839,L$1&amp;"" CE"",""""), L$1&amp;""[\w &amp;]*, (\d+\.\d+)""),"""")
"),"")</f>
        <v/>
      </c>
      <c r="M839" s="3" t="str">
        <f aca="false">IFERROR(__xludf.dummyfunction("if($T839&lt;&gt;"""",REGEXEXTRACT($T839, M$1&amp;""[\w &amp;]*, (\d+\.\d+)""),"""")
"),"")</f>
        <v/>
      </c>
      <c r="N839" s="3" t="str">
        <f aca="false">IFERROR(__xludf.dummyfunction("if($T839&lt;&gt;"""",REGEXEXTRACT(SUBSTITUTE ($T839,N$1&amp;"" CE"",""""), N$1&amp;""[\w &amp;]*, (\d+\.\d+)""),"""")
"),"")</f>
        <v/>
      </c>
      <c r="O839" s="3" t="str">
        <f aca="false">IFERROR(__xludf.dummyfunction("if($T839&lt;&gt;"""",REGEXEXTRACT($T839, O$1&amp;""[\w &amp;]*, (\d+\.\d+)""),"""")
"),"")</f>
        <v/>
      </c>
      <c r="P839" s="2"/>
      <c r="Q839" s="2"/>
      <c r="R839" s="2"/>
      <c r="S839" s="2"/>
      <c r="T839" s="5"/>
    </row>
    <row r="840" customFormat="false" ht="15.75" hidden="false" customHeight="false" outlineLevel="0" collapsed="false">
      <c r="A840" s="4"/>
      <c r="B840" s="2"/>
      <c r="C840" s="2"/>
      <c r="D840" s="2"/>
      <c r="E840" s="2"/>
      <c r="F840" s="3" t="str">
        <f aca="false">IFERROR(__xludf.dummyfunction("if($T840&lt;&gt;"""",REGEXEXTRACT(SUBSTITUTE ($T840,F$1&amp;"" CE"",""""), F$1&amp;""[\w &amp;]*, (\d+\.\d+)""),"""")
"),"")</f>
        <v/>
      </c>
      <c r="G840" s="3" t="str">
        <f aca="false">IFERROR(__xludf.dummyfunction("if($T840&lt;&gt;"""",REGEXEXTRACT($T840, G$1&amp;""[\w &amp;]*, (\d+\.\d+)""),"""")
"),"")</f>
        <v/>
      </c>
      <c r="H840" s="3"/>
      <c r="I840" s="3" t="str">
        <f aca="false">IFERROR(__xludf.dummyfunction("if($T840&lt;&gt;"""",REGEXEXTRACT(SUBSTITUTE ($T840,I$1&amp;"" CE"",""""), I$1&amp;""[\w &amp;]*, (\d+\.\d+)""),"""")
"),"")</f>
        <v/>
      </c>
      <c r="J840" s="3" t="str">
        <f aca="false">IFERROR(__xludf.dummyfunction("if($T840&lt;&gt;"""",REGEXEXTRACT($T840, J$1&amp;""[\w &amp;]*, (\d+\.\d+)""),"""")
"),"")</f>
        <v/>
      </c>
      <c r="K840" s="3"/>
      <c r="L840" s="3" t="str">
        <f aca="false">IFERROR(__xludf.dummyfunction("if($T840&lt;&gt;"""",REGEXEXTRACT(SUBSTITUTE ($T840,L$1&amp;"" CE"",""""), L$1&amp;""[\w &amp;]*, (\d+\.\d+)""),"""")
"),"")</f>
        <v/>
      </c>
      <c r="M840" s="3" t="str">
        <f aca="false">IFERROR(__xludf.dummyfunction("if($T840&lt;&gt;"""",REGEXEXTRACT($T840, M$1&amp;""[\w &amp;]*, (\d+\.\d+)""),"""")
"),"")</f>
        <v/>
      </c>
      <c r="N840" s="3" t="str">
        <f aca="false">IFERROR(__xludf.dummyfunction("if($T840&lt;&gt;"""",REGEXEXTRACT(SUBSTITUTE ($T840,N$1&amp;"" CE"",""""), N$1&amp;""[\w &amp;]*, (\d+\.\d+)""),"""")
"),"")</f>
        <v/>
      </c>
      <c r="O840" s="3" t="str">
        <f aca="false">IFERROR(__xludf.dummyfunction("if($T840&lt;&gt;"""",REGEXEXTRACT($T840, O$1&amp;""[\w &amp;]*, (\d+\.\d+)""),"""")
"),"")</f>
        <v/>
      </c>
      <c r="P840" s="2"/>
      <c r="Q840" s="2"/>
      <c r="R840" s="2"/>
      <c r="S840" s="2"/>
      <c r="T840" s="5"/>
    </row>
    <row r="841" customFormat="false" ht="15.75" hidden="false" customHeight="false" outlineLevel="0" collapsed="false">
      <c r="A841" s="4"/>
      <c r="B841" s="2"/>
      <c r="C841" s="2"/>
      <c r="D841" s="2"/>
      <c r="E841" s="2"/>
      <c r="F841" s="3" t="str">
        <f aca="false">IFERROR(__xludf.dummyfunction("if($T841&lt;&gt;"""",REGEXEXTRACT(SUBSTITUTE ($T841,F$1&amp;"" CE"",""""), F$1&amp;""[\w &amp;]*, (\d+\.\d+)""),"""")
"),"")</f>
        <v/>
      </c>
      <c r="G841" s="3" t="str">
        <f aca="false">IFERROR(__xludf.dummyfunction("if($T841&lt;&gt;"""",REGEXEXTRACT($T841, G$1&amp;""[\w &amp;]*, (\d+\.\d+)""),"""")
"),"")</f>
        <v/>
      </c>
      <c r="H841" s="3"/>
      <c r="I841" s="3" t="str">
        <f aca="false">IFERROR(__xludf.dummyfunction("if($T841&lt;&gt;"""",REGEXEXTRACT(SUBSTITUTE ($T841,I$1&amp;"" CE"",""""), I$1&amp;""[\w &amp;]*, (\d+\.\d+)""),"""")
"),"")</f>
        <v/>
      </c>
      <c r="J841" s="3" t="str">
        <f aca="false">IFERROR(__xludf.dummyfunction("if($T841&lt;&gt;"""",REGEXEXTRACT($T841, J$1&amp;""[\w &amp;]*, (\d+\.\d+)""),"""")
"),"")</f>
        <v/>
      </c>
      <c r="K841" s="3"/>
      <c r="L841" s="3" t="str">
        <f aca="false">IFERROR(__xludf.dummyfunction("if($T841&lt;&gt;"""",REGEXEXTRACT(SUBSTITUTE ($T841,L$1&amp;"" CE"",""""), L$1&amp;""[\w &amp;]*, (\d+\.\d+)""),"""")
"),"")</f>
        <v/>
      </c>
      <c r="M841" s="3" t="str">
        <f aca="false">IFERROR(__xludf.dummyfunction("if($T841&lt;&gt;"""",REGEXEXTRACT($T841, M$1&amp;""[\w &amp;]*, (\d+\.\d+)""),"""")
"),"")</f>
        <v/>
      </c>
      <c r="N841" s="3" t="str">
        <f aca="false">IFERROR(__xludf.dummyfunction("if($T841&lt;&gt;"""",REGEXEXTRACT(SUBSTITUTE ($T841,N$1&amp;"" CE"",""""), N$1&amp;""[\w &amp;]*, (\d+\.\d+)""),"""")
"),"")</f>
        <v/>
      </c>
      <c r="O841" s="3" t="str">
        <f aca="false">IFERROR(__xludf.dummyfunction("if($T841&lt;&gt;"""",REGEXEXTRACT($T841, O$1&amp;""[\w &amp;]*, (\d+\.\d+)""),"""")
"),"")</f>
        <v/>
      </c>
      <c r="P841" s="2"/>
      <c r="Q841" s="2"/>
      <c r="R841" s="2"/>
      <c r="S841" s="2"/>
      <c r="T841" s="5"/>
    </row>
    <row r="842" customFormat="false" ht="15.75" hidden="false" customHeight="false" outlineLevel="0" collapsed="false">
      <c r="A842" s="4"/>
      <c r="B842" s="2"/>
      <c r="C842" s="2"/>
      <c r="D842" s="2"/>
      <c r="E842" s="2"/>
      <c r="F842" s="3" t="str">
        <f aca="false">IFERROR(__xludf.dummyfunction("if($T842&lt;&gt;"""",REGEXEXTRACT(SUBSTITUTE ($T842,F$1&amp;"" CE"",""""), F$1&amp;""[\w &amp;]*, (\d+\.\d+)""),"""")
"),"")</f>
        <v/>
      </c>
      <c r="G842" s="3" t="str">
        <f aca="false">IFERROR(__xludf.dummyfunction("if($T842&lt;&gt;"""",REGEXEXTRACT($T842, G$1&amp;""[\w &amp;]*, (\d+\.\d+)""),"""")
"),"")</f>
        <v/>
      </c>
      <c r="H842" s="3"/>
      <c r="I842" s="3" t="str">
        <f aca="false">IFERROR(__xludf.dummyfunction("if($T842&lt;&gt;"""",REGEXEXTRACT(SUBSTITUTE ($T842,I$1&amp;"" CE"",""""), I$1&amp;""[\w &amp;]*, (\d+\.\d+)""),"""")
"),"")</f>
        <v/>
      </c>
      <c r="J842" s="3" t="str">
        <f aca="false">IFERROR(__xludf.dummyfunction("if($T842&lt;&gt;"""",REGEXEXTRACT($T842, J$1&amp;""[\w &amp;]*, (\d+\.\d+)""),"""")
"),"")</f>
        <v/>
      </c>
      <c r="K842" s="3"/>
      <c r="L842" s="3" t="str">
        <f aca="false">IFERROR(__xludf.dummyfunction("if($T842&lt;&gt;"""",REGEXEXTRACT(SUBSTITUTE ($T842,L$1&amp;"" CE"",""""), L$1&amp;""[\w &amp;]*, (\d+\.\d+)""),"""")
"),"")</f>
        <v/>
      </c>
      <c r="M842" s="3" t="str">
        <f aca="false">IFERROR(__xludf.dummyfunction("if($T842&lt;&gt;"""",REGEXEXTRACT($T842, M$1&amp;""[\w &amp;]*, (\d+\.\d+)""),"""")
"),"")</f>
        <v/>
      </c>
      <c r="N842" s="3" t="str">
        <f aca="false">IFERROR(__xludf.dummyfunction("if($T842&lt;&gt;"""",REGEXEXTRACT(SUBSTITUTE ($T842,N$1&amp;"" CE"",""""), N$1&amp;""[\w &amp;]*, (\d+\.\d+)""),"""")
"),"")</f>
        <v/>
      </c>
      <c r="O842" s="3" t="str">
        <f aca="false">IFERROR(__xludf.dummyfunction("if($T842&lt;&gt;"""",REGEXEXTRACT($T842, O$1&amp;""[\w &amp;]*, (\d+\.\d+)""),"""")
"),"")</f>
        <v/>
      </c>
      <c r="P842" s="2"/>
      <c r="Q842" s="2"/>
      <c r="R842" s="2"/>
      <c r="S842" s="2"/>
      <c r="T842" s="5"/>
    </row>
    <row r="843" customFormat="false" ht="15.75" hidden="false" customHeight="false" outlineLevel="0" collapsed="false">
      <c r="A843" s="4"/>
      <c r="B843" s="2"/>
      <c r="C843" s="2"/>
      <c r="D843" s="2"/>
      <c r="E843" s="2"/>
      <c r="F843" s="3" t="str">
        <f aca="false">IFERROR(__xludf.dummyfunction("if($T843&lt;&gt;"""",REGEXEXTRACT(SUBSTITUTE ($T843,F$1&amp;"" CE"",""""), F$1&amp;""[\w &amp;]*, (\d+\.\d+)""),"""")
"),"")</f>
        <v/>
      </c>
      <c r="G843" s="3" t="str">
        <f aca="false">IFERROR(__xludf.dummyfunction("if($T843&lt;&gt;"""",REGEXEXTRACT($T843, G$1&amp;""[\w &amp;]*, (\d+\.\d+)""),"""")
"),"")</f>
        <v/>
      </c>
      <c r="H843" s="3"/>
      <c r="I843" s="3" t="str">
        <f aca="false">IFERROR(__xludf.dummyfunction("if($T843&lt;&gt;"""",REGEXEXTRACT(SUBSTITUTE ($T843,I$1&amp;"" CE"",""""), I$1&amp;""[\w &amp;]*, (\d+\.\d+)""),"""")
"),"")</f>
        <v/>
      </c>
      <c r="J843" s="3" t="str">
        <f aca="false">IFERROR(__xludf.dummyfunction("if($T843&lt;&gt;"""",REGEXEXTRACT($T843, J$1&amp;""[\w &amp;]*, (\d+\.\d+)""),"""")
"),"")</f>
        <v/>
      </c>
      <c r="K843" s="3"/>
      <c r="L843" s="3" t="str">
        <f aca="false">IFERROR(__xludf.dummyfunction("if($T843&lt;&gt;"""",REGEXEXTRACT(SUBSTITUTE ($T843,L$1&amp;"" CE"",""""), L$1&amp;""[\w &amp;]*, (\d+\.\d+)""),"""")
"),"")</f>
        <v/>
      </c>
      <c r="M843" s="3" t="str">
        <f aca="false">IFERROR(__xludf.dummyfunction("if($T843&lt;&gt;"""",REGEXEXTRACT($T843, M$1&amp;""[\w &amp;]*, (\d+\.\d+)""),"""")
"),"")</f>
        <v/>
      </c>
      <c r="N843" s="3" t="str">
        <f aca="false">IFERROR(__xludf.dummyfunction("if($T843&lt;&gt;"""",REGEXEXTRACT(SUBSTITUTE ($T843,N$1&amp;"" CE"",""""), N$1&amp;""[\w &amp;]*, (\d+\.\d+)""),"""")
"),"")</f>
        <v/>
      </c>
      <c r="O843" s="3" t="str">
        <f aca="false">IFERROR(__xludf.dummyfunction("if($T843&lt;&gt;"""",REGEXEXTRACT($T843, O$1&amp;""[\w &amp;]*, (\d+\.\d+)""),"""")
"),"")</f>
        <v/>
      </c>
      <c r="P843" s="2"/>
      <c r="Q843" s="2"/>
      <c r="R843" s="2"/>
      <c r="S843" s="2"/>
      <c r="T843" s="5"/>
    </row>
    <row r="844" customFormat="false" ht="15.75" hidden="false" customHeight="false" outlineLevel="0" collapsed="false">
      <c r="A844" s="4"/>
      <c r="B844" s="2"/>
      <c r="C844" s="2"/>
      <c r="D844" s="2"/>
      <c r="E844" s="2"/>
      <c r="F844" s="3" t="str">
        <f aca="false">IFERROR(__xludf.dummyfunction("if($T844&lt;&gt;"""",REGEXEXTRACT(SUBSTITUTE ($T844,F$1&amp;"" CE"",""""), F$1&amp;""[\w &amp;]*, (\d+\.\d+)""),"""")
"),"")</f>
        <v/>
      </c>
      <c r="G844" s="3" t="str">
        <f aca="false">IFERROR(__xludf.dummyfunction("if($T844&lt;&gt;"""",REGEXEXTRACT($T844, G$1&amp;""[\w &amp;]*, (\d+\.\d+)""),"""")
"),"")</f>
        <v/>
      </c>
      <c r="H844" s="3"/>
      <c r="I844" s="3" t="str">
        <f aca="false">IFERROR(__xludf.dummyfunction("if($T844&lt;&gt;"""",REGEXEXTRACT(SUBSTITUTE ($T844,I$1&amp;"" CE"",""""), I$1&amp;""[\w &amp;]*, (\d+\.\d+)""),"""")
"),"")</f>
        <v/>
      </c>
      <c r="J844" s="3" t="str">
        <f aca="false">IFERROR(__xludf.dummyfunction("if($T844&lt;&gt;"""",REGEXEXTRACT($T844, J$1&amp;""[\w &amp;]*, (\d+\.\d+)""),"""")
"),"")</f>
        <v/>
      </c>
      <c r="K844" s="3"/>
      <c r="L844" s="3" t="str">
        <f aca="false">IFERROR(__xludf.dummyfunction("if($T844&lt;&gt;"""",REGEXEXTRACT(SUBSTITUTE ($T844,L$1&amp;"" CE"",""""), L$1&amp;""[\w &amp;]*, (\d+\.\d+)""),"""")
"),"")</f>
        <v/>
      </c>
      <c r="M844" s="3" t="str">
        <f aca="false">IFERROR(__xludf.dummyfunction("if($T844&lt;&gt;"""",REGEXEXTRACT($T844, M$1&amp;""[\w &amp;]*, (\d+\.\d+)""),"""")
"),"")</f>
        <v/>
      </c>
      <c r="N844" s="3" t="str">
        <f aca="false">IFERROR(__xludf.dummyfunction("if($T844&lt;&gt;"""",REGEXEXTRACT(SUBSTITUTE ($T844,N$1&amp;"" CE"",""""), N$1&amp;""[\w &amp;]*, (\d+\.\d+)""),"""")
"),"")</f>
        <v/>
      </c>
      <c r="O844" s="3" t="str">
        <f aca="false">IFERROR(__xludf.dummyfunction("if($T844&lt;&gt;"""",REGEXEXTRACT($T844, O$1&amp;""[\w &amp;]*, (\d+\.\d+)""),"""")
"),"")</f>
        <v/>
      </c>
      <c r="P844" s="2"/>
      <c r="Q844" s="2"/>
      <c r="R844" s="2"/>
      <c r="S844" s="2"/>
      <c r="T844" s="5"/>
    </row>
    <row r="845" customFormat="false" ht="15.75" hidden="false" customHeight="false" outlineLevel="0" collapsed="false">
      <c r="A845" s="4"/>
      <c r="B845" s="2"/>
      <c r="C845" s="2"/>
      <c r="D845" s="2"/>
      <c r="E845" s="2"/>
      <c r="F845" s="3" t="str">
        <f aca="false">IFERROR(__xludf.dummyfunction("if($T845&lt;&gt;"""",REGEXEXTRACT(SUBSTITUTE ($T845,F$1&amp;"" CE"",""""), F$1&amp;""[\w &amp;]*, (\d+\.\d+)""),"""")
"),"")</f>
        <v/>
      </c>
      <c r="G845" s="3" t="str">
        <f aca="false">IFERROR(__xludf.dummyfunction("if($T845&lt;&gt;"""",REGEXEXTRACT($T845, G$1&amp;""[\w &amp;]*, (\d+\.\d+)""),"""")
"),"")</f>
        <v/>
      </c>
      <c r="H845" s="3"/>
      <c r="I845" s="3" t="str">
        <f aca="false">IFERROR(__xludf.dummyfunction("if($T845&lt;&gt;"""",REGEXEXTRACT(SUBSTITUTE ($T845,I$1&amp;"" CE"",""""), I$1&amp;""[\w &amp;]*, (\d+\.\d+)""),"""")
"),"")</f>
        <v/>
      </c>
      <c r="J845" s="3" t="str">
        <f aca="false">IFERROR(__xludf.dummyfunction("if($T845&lt;&gt;"""",REGEXEXTRACT($T845, J$1&amp;""[\w &amp;]*, (\d+\.\d+)""),"""")
"),"")</f>
        <v/>
      </c>
      <c r="K845" s="3"/>
      <c r="L845" s="3" t="str">
        <f aca="false">IFERROR(__xludf.dummyfunction("if($T845&lt;&gt;"""",REGEXEXTRACT(SUBSTITUTE ($T845,L$1&amp;"" CE"",""""), L$1&amp;""[\w &amp;]*, (\d+\.\d+)""),"""")
"),"")</f>
        <v/>
      </c>
      <c r="M845" s="3" t="str">
        <f aca="false">IFERROR(__xludf.dummyfunction("if($T845&lt;&gt;"""",REGEXEXTRACT($T845, M$1&amp;""[\w &amp;]*, (\d+\.\d+)""),"""")
"),"")</f>
        <v/>
      </c>
      <c r="N845" s="3" t="str">
        <f aca="false">IFERROR(__xludf.dummyfunction("if($T845&lt;&gt;"""",REGEXEXTRACT(SUBSTITUTE ($T845,N$1&amp;"" CE"",""""), N$1&amp;""[\w &amp;]*, (\d+\.\d+)""),"""")
"),"")</f>
        <v/>
      </c>
      <c r="O845" s="3" t="str">
        <f aca="false">IFERROR(__xludf.dummyfunction("if($T845&lt;&gt;"""",REGEXEXTRACT($T845, O$1&amp;""[\w &amp;]*, (\d+\.\d+)""),"""")
"),"")</f>
        <v/>
      </c>
      <c r="P845" s="2"/>
      <c r="Q845" s="2"/>
      <c r="R845" s="2"/>
      <c r="S845" s="2"/>
      <c r="T845" s="5"/>
    </row>
    <row r="846" customFormat="false" ht="15.75" hidden="false" customHeight="false" outlineLevel="0" collapsed="false">
      <c r="A846" s="4"/>
      <c r="B846" s="2"/>
      <c r="C846" s="2"/>
      <c r="D846" s="2"/>
      <c r="E846" s="2"/>
      <c r="F846" s="3" t="str">
        <f aca="false">IFERROR(__xludf.dummyfunction("if($T846&lt;&gt;"""",REGEXEXTRACT(SUBSTITUTE ($T846,F$1&amp;"" CE"",""""), F$1&amp;""[\w &amp;]*, (\d+\.\d+)""),"""")
"),"")</f>
        <v/>
      </c>
      <c r="G846" s="3" t="str">
        <f aca="false">IFERROR(__xludf.dummyfunction("if($T846&lt;&gt;"""",REGEXEXTRACT($T846, G$1&amp;""[\w &amp;]*, (\d+\.\d+)""),"""")
"),"")</f>
        <v/>
      </c>
      <c r="H846" s="3"/>
      <c r="I846" s="3" t="str">
        <f aca="false">IFERROR(__xludf.dummyfunction("if($T846&lt;&gt;"""",REGEXEXTRACT(SUBSTITUTE ($T846,I$1&amp;"" CE"",""""), I$1&amp;""[\w &amp;]*, (\d+\.\d+)""),"""")
"),"")</f>
        <v/>
      </c>
      <c r="J846" s="3" t="str">
        <f aca="false">IFERROR(__xludf.dummyfunction("if($T846&lt;&gt;"""",REGEXEXTRACT($T846, J$1&amp;""[\w &amp;]*, (\d+\.\d+)""),"""")
"),"")</f>
        <v/>
      </c>
      <c r="K846" s="3"/>
      <c r="L846" s="3" t="str">
        <f aca="false">IFERROR(__xludf.dummyfunction("if($T846&lt;&gt;"""",REGEXEXTRACT(SUBSTITUTE ($T846,L$1&amp;"" CE"",""""), L$1&amp;""[\w &amp;]*, (\d+\.\d+)""),"""")
"),"")</f>
        <v/>
      </c>
      <c r="M846" s="3" t="str">
        <f aca="false">IFERROR(__xludf.dummyfunction("if($T846&lt;&gt;"""",REGEXEXTRACT($T846, M$1&amp;""[\w &amp;]*, (\d+\.\d+)""),"""")
"),"")</f>
        <v/>
      </c>
      <c r="N846" s="3" t="str">
        <f aca="false">IFERROR(__xludf.dummyfunction("if($T846&lt;&gt;"""",REGEXEXTRACT(SUBSTITUTE ($T846,N$1&amp;"" CE"",""""), N$1&amp;""[\w &amp;]*, (\d+\.\d+)""),"""")
"),"")</f>
        <v/>
      </c>
      <c r="O846" s="3" t="str">
        <f aca="false">IFERROR(__xludf.dummyfunction("if($T846&lt;&gt;"""",REGEXEXTRACT($T846, O$1&amp;""[\w &amp;]*, (\d+\.\d+)""),"""")
"),"")</f>
        <v/>
      </c>
      <c r="P846" s="2"/>
      <c r="Q846" s="2"/>
      <c r="R846" s="2"/>
      <c r="S846" s="2"/>
      <c r="T846" s="5"/>
    </row>
    <row r="847" customFormat="false" ht="15.75" hidden="false" customHeight="false" outlineLevel="0" collapsed="false">
      <c r="A847" s="4"/>
      <c r="B847" s="2"/>
      <c r="C847" s="2"/>
      <c r="D847" s="2"/>
      <c r="E847" s="2"/>
      <c r="F847" s="3" t="str">
        <f aca="false">IFERROR(__xludf.dummyfunction("if($T847&lt;&gt;"""",REGEXEXTRACT(SUBSTITUTE ($T847,F$1&amp;"" CE"",""""), F$1&amp;""[\w &amp;]*, (\d+\.\d+)""),"""")
"),"")</f>
        <v/>
      </c>
      <c r="G847" s="3" t="str">
        <f aca="false">IFERROR(__xludf.dummyfunction("if($T847&lt;&gt;"""",REGEXEXTRACT($T847, G$1&amp;""[\w &amp;]*, (\d+\.\d+)""),"""")
"),"")</f>
        <v/>
      </c>
      <c r="H847" s="3"/>
      <c r="I847" s="3" t="str">
        <f aca="false">IFERROR(__xludf.dummyfunction("if($T847&lt;&gt;"""",REGEXEXTRACT(SUBSTITUTE ($T847,I$1&amp;"" CE"",""""), I$1&amp;""[\w &amp;]*, (\d+\.\d+)""),"""")
"),"")</f>
        <v/>
      </c>
      <c r="J847" s="3" t="str">
        <f aca="false">IFERROR(__xludf.dummyfunction("if($T847&lt;&gt;"""",REGEXEXTRACT($T847, J$1&amp;""[\w &amp;]*, (\d+\.\d+)""),"""")
"),"")</f>
        <v/>
      </c>
      <c r="K847" s="3"/>
      <c r="L847" s="3" t="str">
        <f aca="false">IFERROR(__xludf.dummyfunction("if($T847&lt;&gt;"""",REGEXEXTRACT(SUBSTITUTE ($T847,L$1&amp;"" CE"",""""), L$1&amp;""[\w &amp;]*, (\d+\.\d+)""),"""")
"),"")</f>
        <v/>
      </c>
      <c r="M847" s="3" t="str">
        <f aca="false">IFERROR(__xludf.dummyfunction("if($T847&lt;&gt;"""",REGEXEXTRACT($T847, M$1&amp;""[\w &amp;]*, (\d+\.\d+)""),"""")
"),"")</f>
        <v/>
      </c>
      <c r="N847" s="3" t="str">
        <f aca="false">IFERROR(__xludf.dummyfunction("if($T847&lt;&gt;"""",REGEXEXTRACT(SUBSTITUTE ($T847,N$1&amp;"" CE"",""""), N$1&amp;""[\w &amp;]*, (\d+\.\d+)""),"""")
"),"")</f>
        <v/>
      </c>
      <c r="O847" s="3" t="str">
        <f aca="false">IFERROR(__xludf.dummyfunction("if($T847&lt;&gt;"""",REGEXEXTRACT($T847, O$1&amp;""[\w &amp;]*, (\d+\.\d+)""),"""")
"),"")</f>
        <v/>
      </c>
      <c r="P847" s="2"/>
      <c r="Q847" s="2"/>
      <c r="R847" s="2"/>
      <c r="S847" s="2"/>
      <c r="T847" s="5"/>
    </row>
    <row r="848" customFormat="false" ht="15.75" hidden="false" customHeight="false" outlineLevel="0" collapsed="false">
      <c r="A848" s="4"/>
      <c r="B848" s="2"/>
      <c r="C848" s="2"/>
      <c r="D848" s="2"/>
      <c r="E848" s="2"/>
      <c r="F848" s="3" t="str">
        <f aca="false">IFERROR(__xludf.dummyfunction("if($T848&lt;&gt;"""",REGEXEXTRACT(SUBSTITUTE ($T848,F$1&amp;"" CE"",""""), F$1&amp;""[\w &amp;]*, (\d+\.\d+)""),"""")
"),"")</f>
        <v/>
      </c>
      <c r="G848" s="3" t="str">
        <f aca="false">IFERROR(__xludf.dummyfunction("if($T848&lt;&gt;"""",REGEXEXTRACT($T848, G$1&amp;""[\w &amp;]*, (\d+\.\d+)""),"""")
"),"")</f>
        <v/>
      </c>
      <c r="H848" s="3"/>
      <c r="I848" s="3" t="str">
        <f aca="false">IFERROR(__xludf.dummyfunction("if($T848&lt;&gt;"""",REGEXEXTRACT(SUBSTITUTE ($T848,I$1&amp;"" CE"",""""), I$1&amp;""[\w &amp;]*, (\d+\.\d+)""),"""")
"),"")</f>
        <v/>
      </c>
      <c r="J848" s="3" t="str">
        <f aca="false">IFERROR(__xludf.dummyfunction("if($T848&lt;&gt;"""",REGEXEXTRACT($T848, J$1&amp;""[\w &amp;]*, (\d+\.\d+)""),"""")
"),"")</f>
        <v/>
      </c>
      <c r="K848" s="3"/>
      <c r="L848" s="3" t="str">
        <f aca="false">IFERROR(__xludf.dummyfunction("if($T848&lt;&gt;"""",REGEXEXTRACT(SUBSTITUTE ($T848,L$1&amp;"" CE"",""""), L$1&amp;""[\w &amp;]*, (\d+\.\d+)""),"""")
"),"")</f>
        <v/>
      </c>
      <c r="M848" s="3" t="str">
        <f aca="false">IFERROR(__xludf.dummyfunction("if($T848&lt;&gt;"""",REGEXEXTRACT($T848, M$1&amp;""[\w &amp;]*, (\d+\.\d+)""),"""")
"),"")</f>
        <v/>
      </c>
      <c r="N848" s="3" t="str">
        <f aca="false">IFERROR(__xludf.dummyfunction("if($T848&lt;&gt;"""",REGEXEXTRACT(SUBSTITUTE ($T848,N$1&amp;"" CE"",""""), N$1&amp;""[\w &amp;]*, (\d+\.\d+)""),"""")
"),"")</f>
        <v/>
      </c>
      <c r="O848" s="3" t="str">
        <f aca="false">IFERROR(__xludf.dummyfunction("if($T848&lt;&gt;"""",REGEXEXTRACT($T848, O$1&amp;""[\w &amp;]*, (\d+\.\d+)""),"""")
"),"")</f>
        <v/>
      </c>
      <c r="P848" s="2"/>
      <c r="Q848" s="2"/>
      <c r="R848" s="2"/>
      <c r="S848" s="2"/>
      <c r="T848" s="5"/>
    </row>
    <row r="849" customFormat="false" ht="15.75" hidden="false" customHeight="false" outlineLevel="0" collapsed="false">
      <c r="A849" s="4"/>
      <c r="B849" s="2"/>
      <c r="C849" s="2"/>
      <c r="D849" s="2"/>
      <c r="E849" s="2"/>
      <c r="F849" s="3" t="str">
        <f aca="false">IFERROR(__xludf.dummyfunction("if($T849&lt;&gt;"""",REGEXEXTRACT(SUBSTITUTE ($T849,F$1&amp;"" CE"",""""), F$1&amp;""[\w &amp;]*, (\d+\.\d+)""),"""")
"),"")</f>
        <v/>
      </c>
      <c r="G849" s="3" t="str">
        <f aca="false">IFERROR(__xludf.dummyfunction("if($T849&lt;&gt;"""",REGEXEXTRACT($T849, G$1&amp;""[\w &amp;]*, (\d+\.\d+)""),"""")
"),"")</f>
        <v/>
      </c>
      <c r="H849" s="3"/>
      <c r="I849" s="3" t="str">
        <f aca="false">IFERROR(__xludf.dummyfunction("if($T849&lt;&gt;"""",REGEXEXTRACT(SUBSTITUTE ($T849,I$1&amp;"" CE"",""""), I$1&amp;""[\w &amp;]*, (\d+\.\d+)""),"""")
"),"")</f>
        <v/>
      </c>
      <c r="J849" s="3" t="str">
        <f aca="false">IFERROR(__xludf.dummyfunction("if($T849&lt;&gt;"""",REGEXEXTRACT($T849, J$1&amp;""[\w &amp;]*, (\d+\.\d+)""),"""")
"),"")</f>
        <v/>
      </c>
      <c r="K849" s="3"/>
      <c r="L849" s="3" t="str">
        <f aca="false">IFERROR(__xludf.dummyfunction("if($T849&lt;&gt;"""",REGEXEXTRACT(SUBSTITUTE ($T849,L$1&amp;"" CE"",""""), L$1&amp;""[\w &amp;]*, (\d+\.\d+)""),"""")
"),"")</f>
        <v/>
      </c>
      <c r="M849" s="3" t="str">
        <f aca="false">IFERROR(__xludf.dummyfunction("if($T849&lt;&gt;"""",REGEXEXTRACT($T849, M$1&amp;""[\w &amp;]*, (\d+\.\d+)""),"""")
"),"")</f>
        <v/>
      </c>
      <c r="N849" s="3" t="str">
        <f aca="false">IFERROR(__xludf.dummyfunction("if($T849&lt;&gt;"""",REGEXEXTRACT(SUBSTITUTE ($T849,N$1&amp;"" CE"",""""), N$1&amp;""[\w &amp;]*, (\d+\.\d+)""),"""")
"),"")</f>
        <v/>
      </c>
      <c r="O849" s="3" t="str">
        <f aca="false">IFERROR(__xludf.dummyfunction("if($T849&lt;&gt;"""",REGEXEXTRACT($T849, O$1&amp;""[\w &amp;]*, (\d+\.\d+)""),"""")
"),"")</f>
        <v/>
      </c>
      <c r="P849" s="2"/>
      <c r="Q849" s="2"/>
      <c r="R849" s="2"/>
      <c r="S849" s="2"/>
      <c r="T849" s="5"/>
    </row>
    <row r="850" customFormat="false" ht="15.75" hidden="false" customHeight="false" outlineLevel="0" collapsed="false">
      <c r="A850" s="4"/>
      <c r="B850" s="2"/>
      <c r="C850" s="2"/>
      <c r="D850" s="2"/>
      <c r="E850" s="2"/>
      <c r="F850" s="3" t="str">
        <f aca="false">IFERROR(__xludf.dummyfunction("if($T850&lt;&gt;"""",REGEXEXTRACT(SUBSTITUTE ($T850,F$1&amp;"" CE"",""""), F$1&amp;""[\w &amp;]*, (\d+\.\d+)""),"""")
"),"")</f>
        <v/>
      </c>
      <c r="G850" s="3" t="str">
        <f aca="false">IFERROR(__xludf.dummyfunction("if($T850&lt;&gt;"""",REGEXEXTRACT($T850, G$1&amp;""[\w &amp;]*, (\d+\.\d+)""),"""")
"),"")</f>
        <v/>
      </c>
      <c r="H850" s="3"/>
      <c r="I850" s="3" t="str">
        <f aca="false">IFERROR(__xludf.dummyfunction("if($T850&lt;&gt;"""",REGEXEXTRACT(SUBSTITUTE ($T850,I$1&amp;"" CE"",""""), I$1&amp;""[\w &amp;]*, (\d+\.\d+)""),"""")
"),"")</f>
        <v/>
      </c>
      <c r="J850" s="3" t="str">
        <f aca="false">IFERROR(__xludf.dummyfunction("if($T850&lt;&gt;"""",REGEXEXTRACT($T850, J$1&amp;""[\w &amp;]*, (\d+\.\d+)""),"""")
"),"")</f>
        <v/>
      </c>
      <c r="K850" s="3"/>
      <c r="L850" s="3" t="str">
        <f aca="false">IFERROR(__xludf.dummyfunction("if($T850&lt;&gt;"""",REGEXEXTRACT(SUBSTITUTE ($T850,L$1&amp;"" CE"",""""), L$1&amp;""[\w &amp;]*, (\d+\.\d+)""),"""")
"),"")</f>
        <v/>
      </c>
      <c r="M850" s="3" t="str">
        <f aca="false">IFERROR(__xludf.dummyfunction("if($T850&lt;&gt;"""",REGEXEXTRACT($T850, M$1&amp;""[\w &amp;]*, (\d+\.\d+)""),"""")
"),"")</f>
        <v/>
      </c>
      <c r="N850" s="3" t="str">
        <f aca="false">IFERROR(__xludf.dummyfunction("if($T850&lt;&gt;"""",REGEXEXTRACT(SUBSTITUTE ($T850,N$1&amp;"" CE"",""""), N$1&amp;""[\w &amp;]*, (\d+\.\d+)""),"""")
"),"")</f>
        <v/>
      </c>
      <c r="O850" s="3" t="str">
        <f aca="false">IFERROR(__xludf.dummyfunction("if($T850&lt;&gt;"""",REGEXEXTRACT($T850, O$1&amp;""[\w &amp;]*, (\d+\.\d+)""),"""")
"),"")</f>
        <v/>
      </c>
      <c r="P850" s="2"/>
      <c r="Q850" s="2"/>
      <c r="R850" s="2"/>
      <c r="S850" s="2"/>
      <c r="T850" s="5"/>
    </row>
    <row r="851" customFormat="false" ht="15.75" hidden="false" customHeight="false" outlineLevel="0" collapsed="false">
      <c r="A851" s="4"/>
      <c r="B851" s="2"/>
      <c r="C851" s="2"/>
      <c r="D851" s="2"/>
      <c r="E851" s="2"/>
      <c r="F851" s="3" t="str">
        <f aca="false">IFERROR(__xludf.dummyfunction("if($T851&lt;&gt;"""",REGEXEXTRACT(SUBSTITUTE ($T851,F$1&amp;"" CE"",""""), F$1&amp;""[\w &amp;]*, (\d+\.\d+)""),"""")
"),"")</f>
        <v/>
      </c>
      <c r="G851" s="3" t="str">
        <f aca="false">IFERROR(__xludf.dummyfunction("if($T851&lt;&gt;"""",REGEXEXTRACT($T851, G$1&amp;""[\w &amp;]*, (\d+\.\d+)""),"""")
"),"")</f>
        <v/>
      </c>
      <c r="H851" s="3"/>
      <c r="I851" s="3" t="str">
        <f aca="false">IFERROR(__xludf.dummyfunction("if($T851&lt;&gt;"""",REGEXEXTRACT(SUBSTITUTE ($T851,I$1&amp;"" CE"",""""), I$1&amp;""[\w &amp;]*, (\d+\.\d+)""),"""")
"),"")</f>
        <v/>
      </c>
      <c r="J851" s="3" t="str">
        <f aca="false">IFERROR(__xludf.dummyfunction("if($T851&lt;&gt;"""",REGEXEXTRACT($T851, J$1&amp;""[\w &amp;]*, (\d+\.\d+)""),"""")
"),"")</f>
        <v/>
      </c>
      <c r="K851" s="3"/>
      <c r="L851" s="3" t="str">
        <f aca="false">IFERROR(__xludf.dummyfunction("if($T851&lt;&gt;"""",REGEXEXTRACT(SUBSTITUTE ($T851,L$1&amp;"" CE"",""""), L$1&amp;""[\w &amp;]*, (\d+\.\d+)""),"""")
"),"")</f>
        <v/>
      </c>
      <c r="M851" s="3" t="str">
        <f aca="false">IFERROR(__xludf.dummyfunction("if($T851&lt;&gt;"""",REGEXEXTRACT($T851, M$1&amp;""[\w &amp;]*, (\d+\.\d+)""),"""")
"),"")</f>
        <v/>
      </c>
      <c r="N851" s="3" t="str">
        <f aca="false">IFERROR(__xludf.dummyfunction("if($T851&lt;&gt;"""",REGEXEXTRACT(SUBSTITUTE ($T851,N$1&amp;"" CE"",""""), N$1&amp;""[\w &amp;]*, (\d+\.\d+)""),"""")
"),"")</f>
        <v/>
      </c>
      <c r="O851" s="3" t="str">
        <f aca="false">IFERROR(__xludf.dummyfunction("if($T851&lt;&gt;"""",REGEXEXTRACT($T851, O$1&amp;""[\w &amp;]*, (\d+\.\d+)""),"""")
"),"")</f>
        <v/>
      </c>
      <c r="P851" s="2"/>
      <c r="Q851" s="2"/>
      <c r="R851" s="2"/>
      <c r="S851" s="2"/>
      <c r="T851" s="5"/>
    </row>
    <row r="852" customFormat="false" ht="15.75" hidden="false" customHeight="false" outlineLevel="0" collapsed="false">
      <c r="A852" s="4"/>
      <c r="B852" s="2"/>
      <c r="C852" s="2"/>
      <c r="D852" s="2"/>
      <c r="E852" s="2"/>
      <c r="F852" s="3" t="str">
        <f aca="false">IFERROR(__xludf.dummyfunction("if($T852&lt;&gt;"""",REGEXEXTRACT(SUBSTITUTE ($T852,F$1&amp;"" CE"",""""), F$1&amp;""[\w &amp;]*, (\d+\.\d+)""),"""")
"),"")</f>
        <v/>
      </c>
      <c r="G852" s="3" t="str">
        <f aca="false">IFERROR(__xludf.dummyfunction("if($T852&lt;&gt;"""",REGEXEXTRACT($T852, G$1&amp;""[\w &amp;]*, (\d+\.\d+)""),"""")
"),"")</f>
        <v/>
      </c>
      <c r="H852" s="3"/>
      <c r="I852" s="3" t="str">
        <f aca="false">IFERROR(__xludf.dummyfunction("if($T852&lt;&gt;"""",REGEXEXTRACT(SUBSTITUTE ($T852,I$1&amp;"" CE"",""""), I$1&amp;""[\w &amp;]*, (\d+\.\d+)""),"""")
"),"")</f>
        <v/>
      </c>
      <c r="J852" s="3" t="str">
        <f aca="false">IFERROR(__xludf.dummyfunction("if($T852&lt;&gt;"""",REGEXEXTRACT($T852, J$1&amp;""[\w &amp;]*, (\d+\.\d+)""),"""")
"),"")</f>
        <v/>
      </c>
      <c r="K852" s="3"/>
      <c r="L852" s="3" t="str">
        <f aca="false">IFERROR(__xludf.dummyfunction("if($T852&lt;&gt;"""",REGEXEXTRACT(SUBSTITUTE ($T852,L$1&amp;"" CE"",""""), L$1&amp;""[\w &amp;]*, (\d+\.\d+)""),"""")
"),"")</f>
        <v/>
      </c>
      <c r="M852" s="3" t="str">
        <f aca="false">IFERROR(__xludf.dummyfunction("if($T852&lt;&gt;"""",REGEXEXTRACT($T852, M$1&amp;""[\w &amp;]*, (\d+\.\d+)""),"""")
"),"")</f>
        <v/>
      </c>
      <c r="N852" s="3" t="str">
        <f aca="false">IFERROR(__xludf.dummyfunction("if($T852&lt;&gt;"""",REGEXEXTRACT(SUBSTITUTE ($T852,N$1&amp;"" CE"",""""), N$1&amp;""[\w &amp;]*, (\d+\.\d+)""),"""")
"),"")</f>
        <v/>
      </c>
      <c r="O852" s="3" t="str">
        <f aca="false">IFERROR(__xludf.dummyfunction("if($T852&lt;&gt;"""",REGEXEXTRACT($T852, O$1&amp;""[\w &amp;]*, (\d+\.\d+)""),"""")
"),"")</f>
        <v/>
      </c>
      <c r="P852" s="2"/>
      <c r="Q852" s="2"/>
      <c r="R852" s="2"/>
      <c r="S852" s="2"/>
      <c r="T852" s="5"/>
    </row>
    <row r="853" customFormat="false" ht="15.75" hidden="false" customHeight="false" outlineLevel="0" collapsed="false">
      <c r="A853" s="4"/>
      <c r="B853" s="2"/>
      <c r="C853" s="2"/>
      <c r="D853" s="2"/>
      <c r="E853" s="2"/>
      <c r="F853" s="3" t="str">
        <f aca="false">IFERROR(__xludf.dummyfunction("if($T853&lt;&gt;"""",REGEXEXTRACT(SUBSTITUTE ($T853,F$1&amp;"" CE"",""""), F$1&amp;""[\w &amp;]*, (\d+\.\d+)""),"""")
"),"")</f>
        <v/>
      </c>
      <c r="G853" s="3" t="str">
        <f aca="false">IFERROR(__xludf.dummyfunction("if($T853&lt;&gt;"""",REGEXEXTRACT($T853, G$1&amp;""[\w &amp;]*, (\d+\.\d+)""),"""")
"),"")</f>
        <v/>
      </c>
      <c r="H853" s="3"/>
      <c r="I853" s="3" t="str">
        <f aca="false">IFERROR(__xludf.dummyfunction("if($T853&lt;&gt;"""",REGEXEXTRACT(SUBSTITUTE ($T853,I$1&amp;"" CE"",""""), I$1&amp;""[\w &amp;]*, (\d+\.\d+)""),"""")
"),"")</f>
        <v/>
      </c>
      <c r="J853" s="3" t="str">
        <f aca="false">IFERROR(__xludf.dummyfunction("if($T853&lt;&gt;"""",REGEXEXTRACT($T853, J$1&amp;""[\w &amp;]*, (\d+\.\d+)""),"""")
"),"")</f>
        <v/>
      </c>
      <c r="K853" s="3"/>
      <c r="L853" s="3" t="str">
        <f aca="false">IFERROR(__xludf.dummyfunction("if($T853&lt;&gt;"""",REGEXEXTRACT(SUBSTITUTE ($T853,L$1&amp;"" CE"",""""), L$1&amp;""[\w &amp;]*, (\d+\.\d+)""),"""")
"),"")</f>
        <v/>
      </c>
      <c r="M853" s="3" t="str">
        <f aca="false">IFERROR(__xludf.dummyfunction("if($T853&lt;&gt;"""",REGEXEXTRACT($T853, M$1&amp;""[\w &amp;]*, (\d+\.\d+)""),"""")
"),"")</f>
        <v/>
      </c>
      <c r="N853" s="3" t="str">
        <f aca="false">IFERROR(__xludf.dummyfunction("if($T853&lt;&gt;"""",REGEXEXTRACT(SUBSTITUTE ($T853,N$1&amp;"" CE"",""""), N$1&amp;""[\w &amp;]*, (\d+\.\d+)""),"""")
"),"")</f>
        <v/>
      </c>
      <c r="O853" s="3" t="str">
        <f aca="false">IFERROR(__xludf.dummyfunction("if($T853&lt;&gt;"""",REGEXEXTRACT($T853, O$1&amp;""[\w &amp;]*, (\d+\.\d+)""),"""")
"),"")</f>
        <v/>
      </c>
      <c r="P853" s="2"/>
      <c r="Q853" s="2"/>
      <c r="R853" s="2"/>
      <c r="S853" s="2"/>
      <c r="T853" s="5"/>
    </row>
    <row r="854" customFormat="false" ht="15.75" hidden="false" customHeight="false" outlineLevel="0" collapsed="false">
      <c r="A854" s="4"/>
      <c r="B854" s="2"/>
      <c r="C854" s="2"/>
      <c r="D854" s="2"/>
      <c r="E854" s="2"/>
      <c r="F854" s="3" t="str">
        <f aca="false">IFERROR(__xludf.dummyfunction("if($T854&lt;&gt;"""",REGEXEXTRACT(SUBSTITUTE ($T854,F$1&amp;"" CE"",""""), F$1&amp;""[\w &amp;]*, (\d+\.\d+)""),"""")
"),"")</f>
        <v/>
      </c>
      <c r="G854" s="3" t="str">
        <f aca="false">IFERROR(__xludf.dummyfunction("if($T854&lt;&gt;"""",REGEXEXTRACT($T854, G$1&amp;""[\w &amp;]*, (\d+\.\d+)""),"""")
"),"")</f>
        <v/>
      </c>
      <c r="H854" s="3"/>
      <c r="I854" s="3" t="str">
        <f aca="false">IFERROR(__xludf.dummyfunction("if($T854&lt;&gt;"""",REGEXEXTRACT(SUBSTITUTE ($T854,I$1&amp;"" CE"",""""), I$1&amp;""[\w &amp;]*, (\d+\.\d+)""),"""")
"),"")</f>
        <v/>
      </c>
      <c r="J854" s="3" t="str">
        <f aca="false">IFERROR(__xludf.dummyfunction("if($T854&lt;&gt;"""",REGEXEXTRACT($T854, J$1&amp;""[\w &amp;]*, (\d+\.\d+)""),"""")
"),"")</f>
        <v/>
      </c>
      <c r="K854" s="3"/>
      <c r="L854" s="3" t="str">
        <f aca="false">IFERROR(__xludf.dummyfunction("if($T854&lt;&gt;"""",REGEXEXTRACT(SUBSTITUTE ($T854,L$1&amp;"" CE"",""""), L$1&amp;""[\w &amp;]*, (\d+\.\d+)""),"""")
"),"")</f>
        <v/>
      </c>
      <c r="M854" s="3" t="str">
        <f aca="false">IFERROR(__xludf.dummyfunction("if($T854&lt;&gt;"""",REGEXEXTRACT($T854, M$1&amp;""[\w &amp;]*, (\d+\.\d+)""),"""")
"),"")</f>
        <v/>
      </c>
      <c r="N854" s="3" t="str">
        <f aca="false">IFERROR(__xludf.dummyfunction("if($T854&lt;&gt;"""",REGEXEXTRACT(SUBSTITUTE ($T854,N$1&amp;"" CE"",""""), N$1&amp;""[\w &amp;]*, (\d+\.\d+)""),"""")
"),"")</f>
        <v/>
      </c>
      <c r="O854" s="3" t="str">
        <f aca="false">IFERROR(__xludf.dummyfunction("if($T854&lt;&gt;"""",REGEXEXTRACT($T854, O$1&amp;""[\w &amp;]*, (\d+\.\d+)""),"""")
"),"")</f>
        <v/>
      </c>
      <c r="P854" s="2"/>
      <c r="Q854" s="2"/>
      <c r="R854" s="2"/>
      <c r="S854" s="2"/>
      <c r="T854" s="5"/>
    </row>
    <row r="855" customFormat="false" ht="15.75" hidden="false" customHeight="false" outlineLevel="0" collapsed="false">
      <c r="A855" s="4"/>
      <c r="B855" s="2"/>
      <c r="C855" s="2"/>
      <c r="D855" s="2"/>
      <c r="E855" s="2"/>
      <c r="F855" s="3" t="str">
        <f aca="false">IFERROR(__xludf.dummyfunction("if($T855&lt;&gt;"""",REGEXEXTRACT(SUBSTITUTE ($T855,F$1&amp;"" CE"",""""), F$1&amp;""[\w &amp;]*, (\d+\.\d+)""),"""")
"),"")</f>
        <v/>
      </c>
      <c r="G855" s="3" t="str">
        <f aca="false">IFERROR(__xludf.dummyfunction("if($T855&lt;&gt;"""",REGEXEXTRACT($T855, G$1&amp;""[\w &amp;]*, (\d+\.\d+)""),"""")
"),"")</f>
        <v/>
      </c>
      <c r="H855" s="3"/>
      <c r="I855" s="3" t="str">
        <f aca="false">IFERROR(__xludf.dummyfunction("if($T855&lt;&gt;"""",REGEXEXTRACT(SUBSTITUTE ($T855,I$1&amp;"" CE"",""""), I$1&amp;""[\w &amp;]*, (\d+\.\d+)""),"""")
"),"")</f>
        <v/>
      </c>
      <c r="J855" s="3" t="str">
        <f aca="false">IFERROR(__xludf.dummyfunction("if($T855&lt;&gt;"""",REGEXEXTRACT($T855, J$1&amp;""[\w &amp;]*, (\d+\.\d+)""),"""")
"),"")</f>
        <v/>
      </c>
      <c r="K855" s="3"/>
      <c r="L855" s="3" t="str">
        <f aca="false">IFERROR(__xludf.dummyfunction("if($T855&lt;&gt;"""",REGEXEXTRACT(SUBSTITUTE ($T855,L$1&amp;"" CE"",""""), L$1&amp;""[\w &amp;]*, (\d+\.\d+)""),"""")
"),"")</f>
        <v/>
      </c>
      <c r="M855" s="3" t="str">
        <f aca="false">IFERROR(__xludf.dummyfunction("if($T855&lt;&gt;"""",REGEXEXTRACT($T855, M$1&amp;""[\w &amp;]*, (\d+\.\d+)""),"""")
"),"")</f>
        <v/>
      </c>
      <c r="N855" s="3" t="str">
        <f aca="false">IFERROR(__xludf.dummyfunction("if($T855&lt;&gt;"""",REGEXEXTRACT(SUBSTITUTE ($T855,N$1&amp;"" CE"",""""), N$1&amp;""[\w &amp;]*, (\d+\.\d+)""),"""")
"),"")</f>
        <v/>
      </c>
      <c r="O855" s="3" t="str">
        <f aca="false">IFERROR(__xludf.dummyfunction("if($T855&lt;&gt;"""",REGEXEXTRACT($T855, O$1&amp;""[\w &amp;]*, (\d+\.\d+)""),"""")
"),"")</f>
        <v/>
      </c>
      <c r="P855" s="2"/>
      <c r="Q855" s="2"/>
      <c r="R855" s="2"/>
      <c r="S855" s="2"/>
      <c r="T855" s="5"/>
    </row>
    <row r="856" customFormat="false" ht="15.75" hidden="false" customHeight="false" outlineLevel="0" collapsed="false">
      <c r="A856" s="4"/>
      <c r="B856" s="2"/>
      <c r="C856" s="2"/>
      <c r="D856" s="2"/>
      <c r="E856" s="2"/>
      <c r="F856" s="3" t="str">
        <f aca="false">IFERROR(__xludf.dummyfunction("if($T856&lt;&gt;"""",REGEXEXTRACT(SUBSTITUTE ($T856,F$1&amp;"" CE"",""""), F$1&amp;""[\w &amp;]*, (\d+\.\d+)""),"""")
"),"")</f>
        <v/>
      </c>
      <c r="G856" s="3" t="str">
        <f aca="false">IFERROR(__xludf.dummyfunction("if($T856&lt;&gt;"""",REGEXEXTRACT($T856, G$1&amp;""[\w &amp;]*, (\d+\.\d+)""),"""")
"),"")</f>
        <v/>
      </c>
      <c r="H856" s="3"/>
      <c r="I856" s="3" t="str">
        <f aca="false">IFERROR(__xludf.dummyfunction("if($T856&lt;&gt;"""",REGEXEXTRACT(SUBSTITUTE ($T856,I$1&amp;"" CE"",""""), I$1&amp;""[\w &amp;]*, (\d+\.\d+)""),"""")
"),"")</f>
        <v/>
      </c>
      <c r="J856" s="3" t="str">
        <f aca="false">IFERROR(__xludf.dummyfunction("if($T856&lt;&gt;"""",REGEXEXTRACT($T856, J$1&amp;""[\w &amp;]*, (\d+\.\d+)""),"""")
"),"")</f>
        <v/>
      </c>
      <c r="K856" s="3"/>
      <c r="L856" s="3" t="str">
        <f aca="false">IFERROR(__xludf.dummyfunction("if($T856&lt;&gt;"""",REGEXEXTRACT(SUBSTITUTE ($T856,L$1&amp;"" CE"",""""), L$1&amp;""[\w &amp;]*, (\d+\.\d+)""),"""")
"),"")</f>
        <v/>
      </c>
      <c r="M856" s="3" t="str">
        <f aca="false">IFERROR(__xludf.dummyfunction("if($T856&lt;&gt;"""",REGEXEXTRACT($T856, M$1&amp;""[\w &amp;]*, (\d+\.\d+)""),"""")
"),"")</f>
        <v/>
      </c>
      <c r="N856" s="3" t="str">
        <f aca="false">IFERROR(__xludf.dummyfunction("if($T856&lt;&gt;"""",REGEXEXTRACT(SUBSTITUTE ($T856,N$1&amp;"" CE"",""""), N$1&amp;""[\w &amp;]*, (\d+\.\d+)""),"""")
"),"")</f>
        <v/>
      </c>
      <c r="O856" s="3" t="str">
        <f aca="false">IFERROR(__xludf.dummyfunction("if($T856&lt;&gt;"""",REGEXEXTRACT($T856, O$1&amp;""[\w &amp;]*, (\d+\.\d+)""),"""")
"),"")</f>
        <v/>
      </c>
      <c r="P856" s="2"/>
      <c r="Q856" s="2"/>
      <c r="R856" s="2"/>
      <c r="S856" s="2"/>
      <c r="T856" s="5"/>
    </row>
    <row r="857" customFormat="false" ht="15.75" hidden="false" customHeight="false" outlineLevel="0" collapsed="false">
      <c r="A857" s="4"/>
      <c r="B857" s="2"/>
      <c r="C857" s="2"/>
      <c r="D857" s="2"/>
      <c r="E857" s="2"/>
      <c r="F857" s="3" t="str">
        <f aca="false">IFERROR(__xludf.dummyfunction("if($T857&lt;&gt;"""",REGEXEXTRACT(SUBSTITUTE ($T857,F$1&amp;"" CE"",""""), F$1&amp;""[\w &amp;]*, (\d+\.\d+)""),"""")
"),"")</f>
        <v/>
      </c>
      <c r="G857" s="3" t="str">
        <f aca="false">IFERROR(__xludf.dummyfunction("if($T857&lt;&gt;"""",REGEXEXTRACT($T857, G$1&amp;""[\w &amp;]*, (\d+\.\d+)""),"""")
"),"")</f>
        <v/>
      </c>
      <c r="H857" s="3"/>
      <c r="I857" s="3" t="str">
        <f aca="false">IFERROR(__xludf.dummyfunction("if($T857&lt;&gt;"""",REGEXEXTRACT(SUBSTITUTE ($T857,I$1&amp;"" CE"",""""), I$1&amp;""[\w &amp;]*, (\d+\.\d+)""),"""")
"),"")</f>
        <v/>
      </c>
      <c r="J857" s="3" t="str">
        <f aca="false">IFERROR(__xludf.dummyfunction("if($T857&lt;&gt;"""",REGEXEXTRACT($T857, J$1&amp;""[\w &amp;]*, (\d+\.\d+)""),"""")
"),"")</f>
        <v/>
      </c>
      <c r="K857" s="3"/>
      <c r="L857" s="3" t="str">
        <f aca="false">IFERROR(__xludf.dummyfunction("if($T857&lt;&gt;"""",REGEXEXTRACT(SUBSTITUTE ($T857,L$1&amp;"" CE"",""""), L$1&amp;""[\w &amp;]*, (\d+\.\d+)""),"""")
"),"")</f>
        <v/>
      </c>
      <c r="M857" s="3" t="str">
        <f aca="false">IFERROR(__xludf.dummyfunction("if($T857&lt;&gt;"""",REGEXEXTRACT($T857, M$1&amp;""[\w &amp;]*, (\d+\.\d+)""),"""")
"),"")</f>
        <v/>
      </c>
      <c r="N857" s="3" t="str">
        <f aca="false">IFERROR(__xludf.dummyfunction("if($T857&lt;&gt;"""",REGEXEXTRACT(SUBSTITUTE ($T857,N$1&amp;"" CE"",""""), N$1&amp;""[\w &amp;]*, (\d+\.\d+)""),"""")
"),"")</f>
        <v/>
      </c>
      <c r="O857" s="3" t="str">
        <f aca="false">IFERROR(__xludf.dummyfunction("if($T857&lt;&gt;"""",REGEXEXTRACT($T857, O$1&amp;""[\w &amp;]*, (\d+\.\d+)""),"""")
"),"")</f>
        <v/>
      </c>
      <c r="P857" s="2"/>
      <c r="Q857" s="2"/>
      <c r="R857" s="2"/>
      <c r="S857" s="2"/>
      <c r="T857" s="5"/>
    </row>
    <row r="858" customFormat="false" ht="15.75" hidden="false" customHeight="false" outlineLevel="0" collapsed="false">
      <c r="A858" s="4"/>
      <c r="B858" s="2"/>
      <c r="C858" s="2"/>
      <c r="D858" s="2"/>
      <c r="E858" s="2"/>
      <c r="F858" s="3" t="str">
        <f aca="false">IFERROR(__xludf.dummyfunction("if($T858&lt;&gt;"""",REGEXEXTRACT(SUBSTITUTE ($T858,F$1&amp;"" CE"",""""), F$1&amp;""[\w &amp;]*, (\d+\.\d+)""),"""")
"),"")</f>
        <v/>
      </c>
      <c r="G858" s="3" t="str">
        <f aca="false">IFERROR(__xludf.dummyfunction("if($T858&lt;&gt;"""",REGEXEXTRACT($T858, G$1&amp;""[\w &amp;]*, (\d+\.\d+)""),"""")
"),"")</f>
        <v/>
      </c>
      <c r="H858" s="3"/>
      <c r="I858" s="3" t="str">
        <f aca="false">IFERROR(__xludf.dummyfunction("if($T858&lt;&gt;"""",REGEXEXTRACT(SUBSTITUTE ($T858,I$1&amp;"" CE"",""""), I$1&amp;""[\w &amp;]*, (\d+\.\d+)""),"""")
"),"")</f>
        <v/>
      </c>
      <c r="J858" s="3" t="str">
        <f aca="false">IFERROR(__xludf.dummyfunction("if($T858&lt;&gt;"""",REGEXEXTRACT($T858, J$1&amp;""[\w &amp;]*, (\d+\.\d+)""),"""")
"),"")</f>
        <v/>
      </c>
      <c r="K858" s="3"/>
      <c r="L858" s="3" t="str">
        <f aca="false">IFERROR(__xludf.dummyfunction("if($T858&lt;&gt;"""",REGEXEXTRACT(SUBSTITUTE ($T858,L$1&amp;"" CE"",""""), L$1&amp;""[\w &amp;]*, (\d+\.\d+)""),"""")
"),"")</f>
        <v/>
      </c>
      <c r="M858" s="3" t="str">
        <f aca="false">IFERROR(__xludf.dummyfunction("if($T858&lt;&gt;"""",REGEXEXTRACT($T858, M$1&amp;""[\w &amp;]*, (\d+\.\d+)""),"""")
"),"")</f>
        <v/>
      </c>
      <c r="N858" s="3" t="str">
        <f aca="false">IFERROR(__xludf.dummyfunction("if($T858&lt;&gt;"""",REGEXEXTRACT(SUBSTITUTE ($T858,N$1&amp;"" CE"",""""), N$1&amp;""[\w &amp;]*, (\d+\.\d+)""),"""")
"),"")</f>
        <v/>
      </c>
      <c r="O858" s="3" t="str">
        <f aca="false">IFERROR(__xludf.dummyfunction("if($T858&lt;&gt;"""",REGEXEXTRACT($T858, O$1&amp;""[\w &amp;]*, (\d+\.\d+)""),"""")
"),"")</f>
        <v/>
      </c>
      <c r="P858" s="2"/>
      <c r="Q858" s="2"/>
      <c r="R858" s="2"/>
      <c r="S858" s="2"/>
      <c r="T858" s="5"/>
    </row>
    <row r="859" customFormat="false" ht="15.75" hidden="false" customHeight="false" outlineLevel="0" collapsed="false">
      <c r="A859" s="4"/>
      <c r="B859" s="2"/>
      <c r="C859" s="2"/>
      <c r="D859" s="2"/>
      <c r="E859" s="2"/>
      <c r="F859" s="3" t="str">
        <f aca="false">IFERROR(__xludf.dummyfunction("if($T859&lt;&gt;"""",REGEXEXTRACT(SUBSTITUTE ($T859,F$1&amp;"" CE"",""""), F$1&amp;""[\w &amp;]*, (\d+\.\d+)""),"""")
"),"")</f>
        <v/>
      </c>
      <c r="G859" s="3" t="str">
        <f aca="false">IFERROR(__xludf.dummyfunction("if($T859&lt;&gt;"""",REGEXEXTRACT($T859, G$1&amp;""[\w &amp;]*, (\d+\.\d+)""),"""")
"),"")</f>
        <v/>
      </c>
      <c r="H859" s="3"/>
      <c r="I859" s="3" t="str">
        <f aca="false">IFERROR(__xludf.dummyfunction("if($T859&lt;&gt;"""",REGEXEXTRACT(SUBSTITUTE ($T859,I$1&amp;"" CE"",""""), I$1&amp;""[\w &amp;]*, (\d+\.\d+)""),"""")
"),"")</f>
        <v/>
      </c>
      <c r="J859" s="3" t="str">
        <f aca="false">IFERROR(__xludf.dummyfunction("if($T859&lt;&gt;"""",REGEXEXTRACT($T859, J$1&amp;""[\w &amp;]*, (\d+\.\d+)""),"""")
"),"")</f>
        <v/>
      </c>
      <c r="K859" s="3"/>
      <c r="L859" s="3" t="str">
        <f aca="false">IFERROR(__xludf.dummyfunction("if($T859&lt;&gt;"""",REGEXEXTRACT(SUBSTITUTE ($T859,L$1&amp;"" CE"",""""), L$1&amp;""[\w &amp;]*, (\d+\.\d+)""),"""")
"),"")</f>
        <v/>
      </c>
      <c r="M859" s="3" t="str">
        <f aca="false">IFERROR(__xludf.dummyfunction("if($T859&lt;&gt;"""",REGEXEXTRACT($T859, M$1&amp;""[\w &amp;]*, (\d+\.\d+)""),"""")
"),"")</f>
        <v/>
      </c>
      <c r="N859" s="3" t="str">
        <f aca="false">IFERROR(__xludf.dummyfunction("if($T859&lt;&gt;"""",REGEXEXTRACT(SUBSTITUTE ($T859,N$1&amp;"" CE"",""""), N$1&amp;""[\w &amp;]*, (\d+\.\d+)""),"""")
"),"")</f>
        <v/>
      </c>
      <c r="O859" s="3" t="str">
        <f aca="false">IFERROR(__xludf.dummyfunction("if($T859&lt;&gt;"""",REGEXEXTRACT($T859, O$1&amp;""[\w &amp;]*, (\d+\.\d+)""),"""")
"),"")</f>
        <v/>
      </c>
      <c r="P859" s="2"/>
      <c r="Q859" s="2"/>
      <c r="R859" s="2"/>
      <c r="S859" s="2"/>
      <c r="T859" s="5"/>
    </row>
    <row r="860" customFormat="false" ht="15.75" hidden="false" customHeight="false" outlineLevel="0" collapsed="false">
      <c r="A860" s="4"/>
      <c r="B860" s="2"/>
      <c r="C860" s="2"/>
      <c r="D860" s="2"/>
      <c r="E860" s="2"/>
      <c r="F860" s="3" t="str">
        <f aca="false">IFERROR(__xludf.dummyfunction("if($T860&lt;&gt;"""",REGEXEXTRACT(SUBSTITUTE ($T860,F$1&amp;"" CE"",""""), F$1&amp;""[\w &amp;]*, (\d+\.\d+)""),"""")
"),"")</f>
        <v/>
      </c>
      <c r="G860" s="3" t="str">
        <f aca="false">IFERROR(__xludf.dummyfunction("if($T860&lt;&gt;"""",REGEXEXTRACT($T860, G$1&amp;""[\w &amp;]*, (\d+\.\d+)""),"""")
"),"")</f>
        <v/>
      </c>
      <c r="H860" s="3"/>
      <c r="I860" s="3" t="str">
        <f aca="false">IFERROR(__xludf.dummyfunction("if($T860&lt;&gt;"""",REGEXEXTRACT(SUBSTITUTE ($T860,I$1&amp;"" CE"",""""), I$1&amp;""[\w &amp;]*, (\d+\.\d+)""),"""")
"),"")</f>
        <v/>
      </c>
      <c r="J860" s="3" t="str">
        <f aca="false">IFERROR(__xludf.dummyfunction("if($T860&lt;&gt;"""",REGEXEXTRACT($T860, J$1&amp;""[\w &amp;]*, (\d+\.\d+)""),"""")
"),"")</f>
        <v/>
      </c>
      <c r="K860" s="3"/>
      <c r="L860" s="3" t="str">
        <f aca="false">IFERROR(__xludf.dummyfunction("if($T860&lt;&gt;"""",REGEXEXTRACT(SUBSTITUTE ($T860,L$1&amp;"" CE"",""""), L$1&amp;""[\w &amp;]*, (\d+\.\d+)""),"""")
"),"")</f>
        <v/>
      </c>
      <c r="M860" s="3" t="str">
        <f aca="false">IFERROR(__xludf.dummyfunction("if($T860&lt;&gt;"""",REGEXEXTRACT($T860, M$1&amp;""[\w &amp;]*, (\d+\.\d+)""),"""")
"),"")</f>
        <v/>
      </c>
      <c r="N860" s="3" t="str">
        <f aca="false">IFERROR(__xludf.dummyfunction("if($T860&lt;&gt;"""",REGEXEXTRACT(SUBSTITUTE ($T860,N$1&amp;"" CE"",""""), N$1&amp;""[\w &amp;]*, (\d+\.\d+)""),"""")
"),"")</f>
        <v/>
      </c>
      <c r="O860" s="3" t="str">
        <f aca="false">IFERROR(__xludf.dummyfunction("if($T860&lt;&gt;"""",REGEXEXTRACT($T860, O$1&amp;""[\w &amp;]*, (\d+\.\d+)""),"""")
"),"")</f>
        <v/>
      </c>
      <c r="P860" s="2"/>
      <c r="Q860" s="2"/>
      <c r="R860" s="2"/>
      <c r="S860" s="2"/>
      <c r="T860" s="5"/>
    </row>
    <row r="861" customFormat="false" ht="15.75" hidden="false" customHeight="false" outlineLevel="0" collapsed="false">
      <c r="A861" s="4"/>
      <c r="B861" s="2"/>
      <c r="C861" s="2"/>
      <c r="D861" s="2"/>
      <c r="E861" s="2"/>
      <c r="F861" s="3" t="str">
        <f aca="false">IFERROR(__xludf.dummyfunction("if($T861&lt;&gt;"""",REGEXEXTRACT(SUBSTITUTE ($T861,F$1&amp;"" CE"",""""), F$1&amp;""[\w &amp;]*, (\d+\.\d+)""),"""")
"),"")</f>
        <v/>
      </c>
      <c r="G861" s="3" t="str">
        <f aca="false">IFERROR(__xludf.dummyfunction("if($T861&lt;&gt;"""",REGEXEXTRACT($T861, G$1&amp;""[\w &amp;]*, (\d+\.\d+)""),"""")
"),"")</f>
        <v/>
      </c>
      <c r="H861" s="3"/>
      <c r="I861" s="3" t="str">
        <f aca="false">IFERROR(__xludf.dummyfunction("if($T861&lt;&gt;"""",REGEXEXTRACT(SUBSTITUTE ($T861,I$1&amp;"" CE"",""""), I$1&amp;""[\w &amp;]*, (\d+\.\d+)""),"""")
"),"")</f>
        <v/>
      </c>
      <c r="J861" s="3" t="str">
        <f aca="false">IFERROR(__xludf.dummyfunction("if($T861&lt;&gt;"""",REGEXEXTRACT($T861, J$1&amp;""[\w &amp;]*, (\d+\.\d+)""),"""")
"),"")</f>
        <v/>
      </c>
      <c r="K861" s="3"/>
      <c r="L861" s="3" t="str">
        <f aca="false">IFERROR(__xludf.dummyfunction("if($T861&lt;&gt;"""",REGEXEXTRACT(SUBSTITUTE ($T861,L$1&amp;"" CE"",""""), L$1&amp;""[\w &amp;]*, (\d+\.\d+)""),"""")
"),"")</f>
        <v/>
      </c>
      <c r="M861" s="3" t="str">
        <f aca="false">IFERROR(__xludf.dummyfunction("if($T861&lt;&gt;"""",REGEXEXTRACT($T861, M$1&amp;""[\w &amp;]*, (\d+\.\d+)""),"""")
"),"")</f>
        <v/>
      </c>
      <c r="N861" s="3" t="str">
        <f aca="false">IFERROR(__xludf.dummyfunction("if($T861&lt;&gt;"""",REGEXEXTRACT(SUBSTITUTE ($T861,N$1&amp;"" CE"",""""), N$1&amp;""[\w &amp;]*, (\d+\.\d+)""),"""")
"),"")</f>
        <v/>
      </c>
      <c r="O861" s="3" t="str">
        <f aca="false">IFERROR(__xludf.dummyfunction("if($T861&lt;&gt;"""",REGEXEXTRACT($T861, O$1&amp;""[\w &amp;]*, (\d+\.\d+)""),"""")
"),"")</f>
        <v/>
      </c>
      <c r="P861" s="2"/>
      <c r="Q861" s="2"/>
      <c r="R861" s="2"/>
      <c r="S861" s="2"/>
      <c r="T861" s="5"/>
    </row>
    <row r="862" customFormat="false" ht="15.75" hidden="false" customHeight="false" outlineLevel="0" collapsed="false">
      <c r="A862" s="4"/>
      <c r="B862" s="2"/>
      <c r="C862" s="2"/>
      <c r="D862" s="2"/>
      <c r="E862" s="2"/>
      <c r="F862" s="3" t="str">
        <f aca="false">IFERROR(__xludf.dummyfunction("if($T862&lt;&gt;"""",REGEXEXTRACT(SUBSTITUTE ($T862,F$1&amp;"" CE"",""""), F$1&amp;""[\w &amp;]*, (\d+\.\d+)""),"""")
"),"")</f>
        <v/>
      </c>
      <c r="G862" s="3" t="str">
        <f aca="false">IFERROR(__xludf.dummyfunction("if($T862&lt;&gt;"""",REGEXEXTRACT($T862, G$1&amp;""[\w &amp;]*, (\d+\.\d+)""),"""")
"),"")</f>
        <v/>
      </c>
      <c r="H862" s="3"/>
      <c r="I862" s="3" t="str">
        <f aca="false">IFERROR(__xludf.dummyfunction("if($T862&lt;&gt;"""",REGEXEXTRACT(SUBSTITUTE ($T862,I$1&amp;"" CE"",""""), I$1&amp;""[\w &amp;]*, (\d+\.\d+)""),"""")
"),"")</f>
        <v/>
      </c>
      <c r="J862" s="3" t="str">
        <f aca="false">IFERROR(__xludf.dummyfunction("if($T862&lt;&gt;"""",REGEXEXTRACT($T862, J$1&amp;""[\w &amp;]*, (\d+\.\d+)""),"""")
"),"")</f>
        <v/>
      </c>
      <c r="K862" s="3"/>
      <c r="L862" s="3" t="str">
        <f aca="false">IFERROR(__xludf.dummyfunction("if($T862&lt;&gt;"""",REGEXEXTRACT(SUBSTITUTE ($T862,L$1&amp;"" CE"",""""), L$1&amp;""[\w &amp;]*, (\d+\.\d+)""),"""")
"),"")</f>
        <v/>
      </c>
      <c r="M862" s="3" t="str">
        <f aca="false">IFERROR(__xludf.dummyfunction("if($T862&lt;&gt;"""",REGEXEXTRACT($T862, M$1&amp;""[\w &amp;]*, (\d+\.\d+)""),"""")
"),"")</f>
        <v/>
      </c>
      <c r="N862" s="3" t="str">
        <f aca="false">IFERROR(__xludf.dummyfunction("if($T862&lt;&gt;"""",REGEXEXTRACT(SUBSTITUTE ($T862,N$1&amp;"" CE"",""""), N$1&amp;""[\w &amp;]*, (\d+\.\d+)""),"""")
"),"")</f>
        <v/>
      </c>
      <c r="O862" s="3" t="str">
        <f aca="false">IFERROR(__xludf.dummyfunction("if($T862&lt;&gt;"""",REGEXEXTRACT($T862, O$1&amp;""[\w &amp;]*, (\d+\.\d+)""),"""")
"),"")</f>
        <v/>
      </c>
      <c r="P862" s="2"/>
      <c r="Q862" s="2"/>
      <c r="R862" s="2"/>
      <c r="S862" s="2"/>
      <c r="T862" s="5"/>
    </row>
    <row r="863" customFormat="false" ht="15.75" hidden="false" customHeight="false" outlineLevel="0" collapsed="false">
      <c r="A863" s="4"/>
      <c r="B863" s="2"/>
      <c r="C863" s="2"/>
      <c r="D863" s="2"/>
      <c r="E863" s="2"/>
      <c r="F863" s="3" t="str">
        <f aca="false">IFERROR(__xludf.dummyfunction("if($T863&lt;&gt;"""",REGEXEXTRACT(SUBSTITUTE ($T863,F$1&amp;"" CE"",""""), F$1&amp;""[\w &amp;]*, (\d+\.\d+)""),"""")
"),"")</f>
        <v/>
      </c>
      <c r="G863" s="3" t="str">
        <f aca="false">IFERROR(__xludf.dummyfunction("if($T863&lt;&gt;"""",REGEXEXTRACT($T863, G$1&amp;""[\w &amp;]*, (\d+\.\d+)""),"""")
"),"")</f>
        <v/>
      </c>
      <c r="H863" s="3"/>
      <c r="I863" s="3" t="str">
        <f aca="false">IFERROR(__xludf.dummyfunction("if($T863&lt;&gt;"""",REGEXEXTRACT(SUBSTITUTE ($T863,I$1&amp;"" CE"",""""), I$1&amp;""[\w &amp;]*, (\d+\.\d+)""),"""")
"),"")</f>
        <v/>
      </c>
      <c r="J863" s="3" t="str">
        <f aca="false">IFERROR(__xludf.dummyfunction("if($T863&lt;&gt;"""",REGEXEXTRACT($T863, J$1&amp;""[\w &amp;]*, (\d+\.\d+)""),"""")
"),"")</f>
        <v/>
      </c>
      <c r="K863" s="3"/>
      <c r="L863" s="3" t="str">
        <f aca="false">IFERROR(__xludf.dummyfunction("if($T863&lt;&gt;"""",REGEXEXTRACT(SUBSTITUTE ($T863,L$1&amp;"" CE"",""""), L$1&amp;""[\w &amp;]*, (\d+\.\d+)""),"""")
"),"")</f>
        <v/>
      </c>
      <c r="M863" s="3" t="str">
        <f aca="false">IFERROR(__xludf.dummyfunction("if($T863&lt;&gt;"""",REGEXEXTRACT($T863, M$1&amp;""[\w &amp;]*, (\d+\.\d+)""),"""")
"),"")</f>
        <v/>
      </c>
      <c r="N863" s="3" t="str">
        <f aca="false">IFERROR(__xludf.dummyfunction("if($T863&lt;&gt;"""",REGEXEXTRACT(SUBSTITUTE ($T863,N$1&amp;"" CE"",""""), N$1&amp;""[\w &amp;]*, (\d+\.\d+)""),"""")
"),"")</f>
        <v/>
      </c>
      <c r="O863" s="3" t="str">
        <f aca="false">IFERROR(__xludf.dummyfunction("if($T863&lt;&gt;"""",REGEXEXTRACT($T863, O$1&amp;""[\w &amp;]*, (\d+\.\d+)""),"""")
"),"")</f>
        <v/>
      </c>
      <c r="P863" s="2"/>
      <c r="Q863" s="2"/>
      <c r="R863" s="2"/>
      <c r="S863" s="2"/>
      <c r="T863" s="5"/>
    </row>
    <row r="864" customFormat="false" ht="15.75" hidden="false" customHeight="false" outlineLevel="0" collapsed="false">
      <c r="A864" s="4"/>
      <c r="B864" s="2"/>
      <c r="C864" s="2"/>
      <c r="D864" s="2"/>
      <c r="E864" s="2"/>
      <c r="F864" s="3" t="str">
        <f aca="false">IFERROR(__xludf.dummyfunction("if($T864&lt;&gt;"""",REGEXEXTRACT(SUBSTITUTE ($T864,F$1&amp;"" CE"",""""), F$1&amp;""[\w &amp;]*, (\d+\.\d+)""),"""")
"),"")</f>
        <v/>
      </c>
      <c r="G864" s="3" t="str">
        <f aca="false">IFERROR(__xludf.dummyfunction("if($T864&lt;&gt;"""",REGEXEXTRACT($T864, G$1&amp;""[\w &amp;]*, (\d+\.\d+)""),"""")
"),"")</f>
        <v/>
      </c>
      <c r="H864" s="3"/>
      <c r="I864" s="3" t="str">
        <f aca="false">IFERROR(__xludf.dummyfunction("if($T864&lt;&gt;"""",REGEXEXTRACT(SUBSTITUTE ($T864,I$1&amp;"" CE"",""""), I$1&amp;""[\w &amp;]*, (\d+\.\d+)""),"""")
"),"")</f>
        <v/>
      </c>
      <c r="J864" s="3" t="str">
        <f aca="false">IFERROR(__xludf.dummyfunction("if($T864&lt;&gt;"""",REGEXEXTRACT($T864, J$1&amp;""[\w &amp;]*, (\d+\.\d+)""),"""")
"),"")</f>
        <v/>
      </c>
      <c r="K864" s="3"/>
      <c r="L864" s="3" t="str">
        <f aca="false">IFERROR(__xludf.dummyfunction("if($T864&lt;&gt;"""",REGEXEXTRACT(SUBSTITUTE ($T864,L$1&amp;"" CE"",""""), L$1&amp;""[\w &amp;]*, (\d+\.\d+)""),"""")
"),"")</f>
        <v/>
      </c>
      <c r="M864" s="3" t="str">
        <f aca="false">IFERROR(__xludf.dummyfunction("if($T864&lt;&gt;"""",REGEXEXTRACT($T864, M$1&amp;""[\w &amp;]*, (\d+\.\d+)""),"""")
"),"")</f>
        <v/>
      </c>
      <c r="N864" s="3" t="str">
        <f aca="false">IFERROR(__xludf.dummyfunction("if($T864&lt;&gt;"""",REGEXEXTRACT(SUBSTITUTE ($T864,N$1&amp;"" CE"",""""), N$1&amp;""[\w &amp;]*, (\d+\.\d+)""),"""")
"),"")</f>
        <v/>
      </c>
      <c r="O864" s="3" t="str">
        <f aca="false">IFERROR(__xludf.dummyfunction("if($T864&lt;&gt;"""",REGEXEXTRACT($T864, O$1&amp;""[\w &amp;]*, (\d+\.\d+)""),"""")
"),"")</f>
        <v/>
      </c>
      <c r="P864" s="2"/>
      <c r="Q864" s="2"/>
      <c r="R864" s="2"/>
      <c r="S864" s="2"/>
      <c r="T864" s="5"/>
    </row>
    <row r="865" customFormat="false" ht="15.75" hidden="false" customHeight="false" outlineLevel="0" collapsed="false">
      <c r="A865" s="4"/>
      <c r="B865" s="2"/>
      <c r="C865" s="2"/>
      <c r="D865" s="2"/>
      <c r="E865" s="2"/>
      <c r="F865" s="3" t="str">
        <f aca="false">IFERROR(__xludf.dummyfunction("if($T865&lt;&gt;"""",REGEXEXTRACT(SUBSTITUTE ($T865,F$1&amp;"" CE"",""""), F$1&amp;""[\w &amp;]*, (\d+\.\d+)""),"""")
"),"")</f>
        <v/>
      </c>
      <c r="G865" s="3" t="str">
        <f aca="false">IFERROR(__xludf.dummyfunction("if($T865&lt;&gt;"""",REGEXEXTRACT($T865, G$1&amp;""[\w &amp;]*, (\d+\.\d+)""),"""")
"),"")</f>
        <v/>
      </c>
      <c r="H865" s="3"/>
      <c r="I865" s="3" t="str">
        <f aca="false">IFERROR(__xludf.dummyfunction("if($T865&lt;&gt;"""",REGEXEXTRACT(SUBSTITUTE ($T865,I$1&amp;"" CE"",""""), I$1&amp;""[\w &amp;]*, (\d+\.\d+)""),"""")
"),"")</f>
        <v/>
      </c>
      <c r="J865" s="3" t="str">
        <f aca="false">IFERROR(__xludf.dummyfunction("if($T865&lt;&gt;"""",REGEXEXTRACT($T865, J$1&amp;""[\w &amp;]*, (\d+\.\d+)""),"""")
"),"")</f>
        <v/>
      </c>
      <c r="K865" s="3"/>
      <c r="L865" s="3" t="str">
        <f aca="false">IFERROR(__xludf.dummyfunction("if($T865&lt;&gt;"""",REGEXEXTRACT(SUBSTITUTE ($T865,L$1&amp;"" CE"",""""), L$1&amp;""[\w &amp;]*, (\d+\.\d+)""),"""")
"),"")</f>
        <v/>
      </c>
      <c r="M865" s="3" t="str">
        <f aca="false">IFERROR(__xludf.dummyfunction("if($T865&lt;&gt;"""",REGEXEXTRACT($T865, M$1&amp;""[\w &amp;]*, (\d+\.\d+)""),"""")
"),"")</f>
        <v/>
      </c>
      <c r="N865" s="3" t="str">
        <f aca="false">IFERROR(__xludf.dummyfunction("if($T865&lt;&gt;"""",REGEXEXTRACT(SUBSTITUTE ($T865,N$1&amp;"" CE"",""""), N$1&amp;""[\w &amp;]*, (\d+\.\d+)""),"""")
"),"")</f>
        <v/>
      </c>
      <c r="O865" s="3" t="str">
        <f aca="false">IFERROR(__xludf.dummyfunction("if($T865&lt;&gt;"""",REGEXEXTRACT($T865, O$1&amp;""[\w &amp;]*, (\d+\.\d+)""),"""")
"),"")</f>
        <v/>
      </c>
      <c r="P865" s="2"/>
      <c r="Q865" s="2"/>
      <c r="R865" s="2"/>
      <c r="S865" s="2"/>
      <c r="T865" s="5"/>
    </row>
    <row r="866" customFormat="false" ht="15.75" hidden="false" customHeight="false" outlineLevel="0" collapsed="false">
      <c r="A866" s="4"/>
      <c r="B866" s="2"/>
      <c r="C866" s="2"/>
      <c r="D866" s="2"/>
      <c r="E866" s="2"/>
      <c r="F866" s="3" t="str">
        <f aca="false">IFERROR(__xludf.dummyfunction("if($T866&lt;&gt;"""",REGEXEXTRACT(SUBSTITUTE ($T866,F$1&amp;"" CE"",""""), F$1&amp;""[\w &amp;]*, (\d+\.\d+)""),"""")
"),"")</f>
        <v/>
      </c>
      <c r="G866" s="3" t="str">
        <f aca="false">IFERROR(__xludf.dummyfunction("if($T866&lt;&gt;"""",REGEXEXTRACT($T866, G$1&amp;""[\w &amp;]*, (\d+\.\d+)""),"""")
"),"")</f>
        <v/>
      </c>
      <c r="H866" s="3"/>
      <c r="I866" s="3" t="str">
        <f aca="false">IFERROR(__xludf.dummyfunction("if($T866&lt;&gt;"""",REGEXEXTRACT(SUBSTITUTE ($T866,I$1&amp;"" CE"",""""), I$1&amp;""[\w &amp;]*, (\d+\.\d+)""),"""")
"),"")</f>
        <v/>
      </c>
      <c r="J866" s="3" t="str">
        <f aca="false">IFERROR(__xludf.dummyfunction("if($T866&lt;&gt;"""",REGEXEXTRACT($T866, J$1&amp;""[\w &amp;]*, (\d+\.\d+)""),"""")
"),"")</f>
        <v/>
      </c>
      <c r="K866" s="3"/>
      <c r="L866" s="3" t="str">
        <f aca="false">IFERROR(__xludf.dummyfunction("if($T866&lt;&gt;"""",REGEXEXTRACT(SUBSTITUTE ($T866,L$1&amp;"" CE"",""""), L$1&amp;""[\w &amp;]*, (\d+\.\d+)""),"""")
"),"")</f>
        <v/>
      </c>
      <c r="M866" s="3" t="str">
        <f aca="false">IFERROR(__xludf.dummyfunction("if($T866&lt;&gt;"""",REGEXEXTRACT($T866, M$1&amp;""[\w &amp;]*, (\d+\.\d+)""),"""")
"),"")</f>
        <v/>
      </c>
      <c r="N866" s="3" t="str">
        <f aca="false">IFERROR(__xludf.dummyfunction("if($T866&lt;&gt;"""",REGEXEXTRACT(SUBSTITUTE ($T866,N$1&amp;"" CE"",""""), N$1&amp;""[\w &amp;]*, (\d+\.\d+)""),"""")
"),"")</f>
        <v/>
      </c>
      <c r="O866" s="3" t="str">
        <f aca="false">IFERROR(__xludf.dummyfunction("if($T866&lt;&gt;"""",REGEXEXTRACT($T866, O$1&amp;""[\w &amp;]*, (\d+\.\d+)""),"""")
"),"")</f>
        <v/>
      </c>
      <c r="P866" s="2"/>
      <c r="Q866" s="2"/>
      <c r="R866" s="2"/>
      <c r="S866" s="2"/>
      <c r="T866" s="5"/>
    </row>
    <row r="867" customFormat="false" ht="15.75" hidden="false" customHeight="false" outlineLevel="0" collapsed="false">
      <c r="A867" s="4"/>
      <c r="B867" s="2"/>
      <c r="C867" s="2"/>
      <c r="D867" s="2"/>
      <c r="E867" s="2"/>
      <c r="F867" s="3" t="str">
        <f aca="false">IFERROR(__xludf.dummyfunction("if($T867&lt;&gt;"""",REGEXEXTRACT(SUBSTITUTE ($T867,F$1&amp;"" CE"",""""), F$1&amp;""[\w &amp;]*, (\d+\.\d+)""),"""")
"),"")</f>
        <v/>
      </c>
      <c r="G867" s="3" t="str">
        <f aca="false">IFERROR(__xludf.dummyfunction("if($T867&lt;&gt;"""",REGEXEXTRACT($T867, G$1&amp;""[\w &amp;]*, (\d+\.\d+)""),"""")
"),"")</f>
        <v/>
      </c>
      <c r="H867" s="3"/>
      <c r="I867" s="3" t="str">
        <f aca="false">IFERROR(__xludf.dummyfunction("if($T867&lt;&gt;"""",REGEXEXTRACT(SUBSTITUTE ($T867,I$1&amp;"" CE"",""""), I$1&amp;""[\w &amp;]*, (\d+\.\d+)""),"""")
"),"")</f>
        <v/>
      </c>
      <c r="J867" s="3" t="str">
        <f aca="false">IFERROR(__xludf.dummyfunction("if($T867&lt;&gt;"""",REGEXEXTRACT($T867, J$1&amp;""[\w &amp;]*, (\d+\.\d+)""),"""")
"),"")</f>
        <v/>
      </c>
      <c r="K867" s="3"/>
      <c r="L867" s="3" t="str">
        <f aca="false">IFERROR(__xludf.dummyfunction("if($T867&lt;&gt;"""",REGEXEXTRACT(SUBSTITUTE ($T867,L$1&amp;"" CE"",""""), L$1&amp;""[\w &amp;]*, (\d+\.\d+)""),"""")
"),"")</f>
        <v/>
      </c>
      <c r="M867" s="3" t="str">
        <f aca="false">IFERROR(__xludf.dummyfunction("if($T867&lt;&gt;"""",REGEXEXTRACT($T867, M$1&amp;""[\w &amp;]*, (\d+\.\d+)""),"""")
"),"")</f>
        <v/>
      </c>
      <c r="N867" s="3" t="str">
        <f aca="false">IFERROR(__xludf.dummyfunction("if($T867&lt;&gt;"""",REGEXEXTRACT(SUBSTITUTE ($T867,N$1&amp;"" CE"",""""), N$1&amp;""[\w &amp;]*, (\d+\.\d+)""),"""")
"),"")</f>
        <v/>
      </c>
      <c r="O867" s="3" t="str">
        <f aca="false">IFERROR(__xludf.dummyfunction("if($T867&lt;&gt;"""",REGEXEXTRACT($T867, O$1&amp;""[\w &amp;]*, (\d+\.\d+)""),"""")
"),"")</f>
        <v/>
      </c>
      <c r="P867" s="2"/>
      <c r="Q867" s="2"/>
      <c r="R867" s="2"/>
      <c r="S867" s="2"/>
      <c r="T867" s="5"/>
    </row>
    <row r="868" customFormat="false" ht="15.75" hidden="false" customHeight="false" outlineLevel="0" collapsed="false">
      <c r="A868" s="4"/>
      <c r="B868" s="2"/>
      <c r="C868" s="2"/>
      <c r="D868" s="2"/>
      <c r="E868" s="2"/>
      <c r="F868" s="3" t="str">
        <f aca="false">IFERROR(__xludf.dummyfunction("if($T868&lt;&gt;"""",REGEXEXTRACT(SUBSTITUTE ($T868,F$1&amp;"" CE"",""""), F$1&amp;""[\w &amp;]*, (\d+\.\d+)""),"""")
"),"")</f>
        <v/>
      </c>
      <c r="G868" s="3" t="str">
        <f aca="false">IFERROR(__xludf.dummyfunction("if($T868&lt;&gt;"""",REGEXEXTRACT($T868, G$1&amp;""[\w &amp;]*, (\d+\.\d+)""),"""")
"),"")</f>
        <v/>
      </c>
      <c r="H868" s="3"/>
      <c r="I868" s="3" t="str">
        <f aca="false">IFERROR(__xludf.dummyfunction("if($T868&lt;&gt;"""",REGEXEXTRACT(SUBSTITUTE ($T868,I$1&amp;"" CE"",""""), I$1&amp;""[\w &amp;]*, (\d+\.\d+)""),"""")
"),"")</f>
        <v/>
      </c>
      <c r="J868" s="3" t="str">
        <f aca="false">IFERROR(__xludf.dummyfunction("if($T868&lt;&gt;"""",REGEXEXTRACT($T868, J$1&amp;""[\w &amp;]*, (\d+\.\d+)""),"""")
"),"")</f>
        <v/>
      </c>
      <c r="K868" s="3"/>
      <c r="L868" s="3" t="str">
        <f aca="false">IFERROR(__xludf.dummyfunction("if($T868&lt;&gt;"""",REGEXEXTRACT(SUBSTITUTE ($T868,L$1&amp;"" CE"",""""), L$1&amp;""[\w &amp;]*, (\d+\.\d+)""),"""")
"),"")</f>
        <v/>
      </c>
      <c r="M868" s="3" t="str">
        <f aca="false">IFERROR(__xludf.dummyfunction("if($T868&lt;&gt;"""",REGEXEXTRACT($T868, M$1&amp;""[\w &amp;]*, (\d+\.\d+)""),"""")
"),"")</f>
        <v/>
      </c>
      <c r="N868" s="3" t="str">
        <f aca="false">IFERROR(__xludf.dummyfunction("if($T868&lt;&gt;"""",REGEXEXTRACT(SUBSTITUTE ($T868,N$1&amp;"" CE"",""""), N$1&amp;""[\w &amp;]*, (\d+\.\d+)""),"""")
"),"")</f>
        <v/>
      </c>
      <c r="O868" s="3" t="str">
        <f aca="false">IFERROR(__xludf.dummyfunction("if($T868&lt;&gt;"""",REGEXEXTRACT($T868, O$1&amp;""[\w &amp;]*, (\d+\.\d+)""),"""")
"),"")</f>
        <v/>
      </c>
      <c r="P868" s="2"/>
      <c r="Q868" s="2"/>
      <c r="R868" s="2"/>
      <c r="S868" s="2"/>
      <c r="T868" s="5"/>
    </row>
    <row r="869" customFormat="false" ht="15.75" hidden="false" customHeight="false" outlineLevel="0" collapsed="false">
      <c r="A869" s="4"/>
      <c r="B869" s="2"/>
      <c r="C869" s="2"/>
      <c r="D869" s="2"/>
      <c r="E869" s="2"/>
      <c r="F869" s="3" t="str">
        <f aca="false">IFERROR(__xludf.dummyfunction("if($T869&lt;&gt;"""",REGEXEXTRACT(SUBSTITUTE ($T869,F$1&amp;"" CE"",""""), F$1&amp;""[\w &amp;]*, (\d+\.\d+)""),"""")
"),"")</f>
        <v/>
      </c>
      <c r="G869" s="3" t="str">
        <f aca="false">IFERROR(__xludf.dummyfunction("if($T869&lt;&gt;"""",REGEXEXTRACT($T869, G$1&amp;""[\w &amp;]*, (\d+\.\d+)""),"""")
"),"")</f>
        <v/>
      </c>
      <c r="H869" s="3"/>
      <c r="I869" s="3" t="str">
        <f aca="false">IFERROR(__xludf.dummyfunction("if($T869&lt;&gt;"""",REGEXEXTRACT(SUBSTITUTE ($T869,I$1&amp;"" CE"",""""), I$1&amp;""[\w &amp;]*, (\d+\.\d+)""),"""")
"),"")</f>
        <v/>
      </c>
      <c r="J869" s="3" t="str">
        <f aca="false">IFERROR(__xludf.dummyfunction("if($T869&lt;&gt;"""",REGEXEXTRACT($T869, J$1&amp;""[\w &amp;]*, (\d+\.\d+)""),"""")
"),"")</f>
        <v/>
      </c>
      <c r="K869" s="3"/>
      <c r="L869" s="3" t="str">
        <f aca="false">IFERROR(__xludf.dummyfunction("if($T869&lt;&gt;"""",REGEXEXTRACT(SUBSTITUTE ($T869,L$1&amp;"" CE"",""""), L$1&amp;""[\w &amp;]*, (\d+\.\d+)""),"""")
"),"")</f>
        <v/>
      </c>
      <c r="M869" s="3" t="str">
        <f aca="false">IFERROR(__xludf.dummyfunction("if($T869&lt;&gt;"""",REGEXEXTRACT($T869, M$1&amp;""[\w &amp;]*, (\d+\.\d+)""),"""")
"),"")</f>
        <v/>
      </c>
      <c r="N869" s="3" t="str">
        <f aca="false">IFERROR(__xludf.dummyfunction("if($T869&lt;&gt;"""",REGEXEXTRACT(SUBSTITUTE ($T869,N$1&amp;"" CE"",""""), N$1&amp;""[\w &amp;]*, (\d+\.\d+)""),"""")
"),"")</f>
        <v/>
      </c>
      <c r="O869" s="3" t="str">
        <f aca="false">IFERROR(__xludf.dummyfunction("if($T869&lt;&gt;"""",REGEXEXTRACT($T869, O$1&amp;""[\w &amp;]*, (\d+\.\d+)""),"""")
"),"")</f>
        <v/>
      </c>
      <c r="P869" s="2"/>
      <c r="Q869" s="2"/>
      <c r="R869" s="2"/>
      <c r="S869" s="2"/>
      <c r="T869" s="5"/>
    </row>
    <row r="870" customFormat="false" ht="15.75" hidden="false" customHeight="false" outlineLevel="0" collapsed="false">
      <c r="A870" s="4"/>
      <c r="B870" s="2"/>
      <c r="C870" s="2"/>
      <c r="D870" s="2"/>
      <c r="E870" s="2"/>
      <c r="F870" s="3" t="str">
        <f aca="false">IFERROR(__xludf.dummyfunction("if($T870&lt;&gt;"""",REGEXEXTRACT(SUBSTITUTE ($T870,F$1&amp;"" CE"",""""), F$1&amp;""[\w &amp;]*, (\d+\.\d+)""),"""")
"),"")</f>
        <v/>
      </c>
      <c r="G870" s="3" t="str">
        <f aca="false">IFERROR(__xludf.dummyfunction("if($T870&lt;&gt;"""",REGEXEXTRACT($T870, G$1&amp;""[\w &amp;]*, (\d+\.\d+)""),"""")
"),"")</f>
        <v/>
      </c>
      <c r="H870" s="3"/>
      <c r="I870" s="3" t="str">
        <f aca="false">IFERROR(__xludf.dummyfunction("if($T870&lt;&gt;"""",REGEXEXTRACT(SUBSTITUTE ($T870,I$1&amp;"" CE"",""""), I$1&amp;""[\w &amp;]*, (\d+\.\d+)""),"""")
"),"")</f>
        <v/>
      </c>
      <c r="J870" s="3" t="str">
        <f aca="false">IFERROR(__xludf.dummyfunction("if($T870&lt;&gt;"""",REGEXEXTRACT($T870, J$1&amp;""[\w &amp;]*, (\d+\.\d+)""),"""")
"),"")</f>
        <v/>
      </c>
      <c r="K870" s="3"/>
      <c r="L870" s="3" t="str">
        <f aca="false">IFERROR(__xludf.dummyfunction("if($T870&lt;&gt;"""",REGEXEXTRACT(SUBSTITUTE ($T870,L$1&amp;"" CE"",""""), L$1&amp;""[\w &amp;]*, (\d+\.\d+)""),"""")
"),"")</f>
        <v/>
      </c>
      <c r="M870" s="3" t="str">
        <f aca="false">IFERROR(__xludf.dummyfunction("if($T870&lt;&gt;"""",REGEXEXTRACT($T870, M$1&amp;""[\w &amp;]*, (\d+\.\d+)""),"""")
"),"")</f>
        <v/>
      </c>
      <c r="N870" s="3" t="str">
        <f aca="false">IFERROR(__xludf.dummyfunction("if($T870&lt;&gt;"""",REGEXEXTRACT(SUBSTITUTE ($T870,N$1&amp;"" CE"",""""), N$1&amp;""[\w &amp;]*, (\d+\.\d+)""),"""")
"),"")</f>
        <v/>
      </c>
      <c r="O870" s="3" t="str">
        <f aca="false">IFERROR(__xludf.dummyfunction("if($T870&lt;&gt;"""",REGEXEXTRACT($T870, O$1&amp;""[\w &amp;]*, (\d+\.\d+)""),"""")
"),"")</f>
        <v/>
      </c>
      <c r="P870" s="2"/>
      <c r="Q870" s="2"/>
      <c r="R870" s="2"/>
      <c r="S870" s="2"/>
      <c r="T870" s="5"/>
    </row>
    <row r="871" customFormat="false" ht="15.75" hidden="false" customHeight="false" outlineLevel="0" collapsed="false">
      <c r="A871" s="4"/>
      <c r="B871" s="2"/>
      <c r="C871" s="2"/>
      <c r="D871" s="2"/>
      <c r="E871" s="2"/>
      <c r="F871" s="3" t="str">
        <f aca="false">IFERROR(__xludf.dummyfunction("if($T871&lt;&gt;"""",REGEXEXTRACT(SUBSTITUTE ($T871,F$1&amp;"" CE"",""""), F$1&amp;""[\w &amp;]*, (\d+\.\d+)""),"""")
"),"")</f>
        <v/>
      </c>
      <c r="G871" s="3" t="str">
        <f aca="false">IFERROR(__xludf.dummyfunction("if($T871&lt;&gt;"""",REGEXEXTRACT($T871, G$1&amp;""[\w &amp;]*, (\d+\.\d+)""),"""")
"),"")</f>
        <v/>
      </c>
      <c r="H871" s="3"/>
      <c r="I871" s="3" t="str">
        <f aca="false">IFERROR(__xludf.dummyfunction("if($T871&lt;&gt;"""",REGEXEXTRACT(SUBSTITUTE ($T871,I$1&amp;"" CE"",""""), I$1&amp;""[\w &amp;]*, (\d+\.\d+)""),"""")
"),"")</f>
        <v/>
      </c>
      <c r="J871" s="3" t="str">
        <f aca="false">IFERROR(__xludf.dummyfunction("if($T871&lt;&gt;"""",REGEXEXTRACT($T871, J$1&amp;""[\w &amp;]*, (\d+\.\d+)""),"""")
"),"")</f>
        <v/>
      </c>
      <c r="K871" s="3"/>
      <c r="L871" s="3" t="str">
        <f aca="false">IFERROR(__xludf.dummyfunction("if($T871&lt;&gt;"""",REGEXEXTRACT(SUBSTITUTE ($T871,L$1&amp;"" CE"",""""), L$1&amp;""[\w &amp;]*, (\d+\.\d+)""),"""")
"),"")</f>
        <v/>
      </c>
      <c r="M871" s="3" t="str">
        <f aca="false">IFERROR(__xludf.dummyfunction("if($T871&lt;&gt;"""",REGEXEXTRACT($T871, M$1&amp;""[\w &amp;]*, (\d+\.\d+)""),"""")
"),"")</f>
        <v/>
      </c>
      <c r="N871" s="3" t="str">
        <f aca="false">IFERROR(__xludf.dummyfunction("if($T871&lt;&gt;"""",REGEXEXTRACT(SUBSTITUTE ($T871,N$1&amp;"" CE"",""""), N$1&amp;""[\w &amp;]*, (\d+\.\d+)""),"""")
"),"")</f>
        <v/>
      </c>
      <c r="O871" s="3" t="str">
        <f aca="false">IFERROR(__xludf.dummyfunction("if($T871&lt;&gt;"""",REGEXEXTRACT($T871, O$1&amp;""[\w &amp;]*, (\d+\.\d+)""),"""")
"),"")</f>
        <v/>
      </c>
      <c r="P871" s="2"/>
      <c r="Q871" s="2"/>
      <c r="R871" s="2"/>
      <c r="S871" s="2"/>
      <c r="T871" s="5"/>
    </row>
    <row r="872" customFormat="false" ht="15.75" hidden="false" customHeight="false" outlineLevel="0" collapsed="false">
      <c r="A872" s="4"/>
      <c r="B872" s="2"/>
      <c r="C872" s="2"/>
      <c r="D872" s="2"/>
      <c r="E872" s="2"/>
      <c r="F872" s="3" t="str">
        <f aca="false">IFERROR(__xludf.dummyfunction("if($T872&lt;&gt;"""",REGEXEXTRACT(SUBSTITUTE ($T872,F$1&amp;"" CE"",""""), F$1&amp;""[\w &amp;]*, (\d+\.\d+)""),"""")
"),"")</f>
        <v/>
      </c>
      <c r="G872" s="3" t="str">
        <f aca="false">IFERROR(__xludf.dummyfunction("if($T872&lt;&gt;"""",REGEXEXTRACT($T872, G$1&amp;""[\w &amp;]*, (\d+\.\d+)""),"""")
"),"")</f>
        <v/>
      </c>
      <c r="H872" s="3"/>
      <c r="I872" s="3" t="str">
        <f aca="false">IFERROR(__xludf.dummyfunction("if($T872&lt;&gt;"""",REGEXEXTRACT(SUBSTITUTE ($T872,I$1&amp;"" CE"",""""), I$1&amp;""[\w &amp;]*, (\d+\.\d+)""),"""")
"),"")</f>
        <v/>
      </c>
      <c r="J872" s="3" t="str">
        <f aca="false">IFERROR(__xludf.dummyfunction("if($T872&lt;&gt;"""",REGEXEXTRACT($T872, J$1&amp;""[\w &amp;]*, (\d+\.\d+)""),"""")
"),"")</f>
        <v/>
      </c>
      <c r="K872" s="3"/>
      <c r="L872" s="3" t="str">
        <f aca="false">IFERROR(__xludf.dummyfunction("if($T872&lt;&gt;"""",REGEXEXTRACT(SUBSTITUTE ($T872,L$1&amp;"" CE"",""""), L$1&amp;""[\w &amp;]*, (\d+\.\d+)""),"""")
"),"")</f>
        <v/>
      </c>
      <c r="M872" s="3" t="str">
        <f aca="false">IFERROR(__xludf.dummyfunction("if($T872&lt;&gt;"""",REGEXEXTRACT($T872, M$1&amp;""[\w &amp;]*, (\d+\.\d+)""),"""")
"),"")</f>
        <v/>
      </c>
      <c r="N872" s="3" t="str">
        <f aca="false">IFERROR(__xludf.dummyfunction("if($T872&lt;&gt;"""",REGEXEXTRACT(SUBSTITUTE ($T872,N$1&amp;"" CE"",""""), N$1&amp;""[\w &amp;]*, (\d+\.\d+)""),"""")
"),"")</f>
        <v/>
      </c>
      <c r="O872" s="3" t="str">
        <f aca="false">IFERROR(__xludf.dummyfunction("if($T872&lt;&gt;"""",REGEXEXTRACT($T872, O$1&amp;""[\w &amp;]*, (\d+\.\d+)""),"""")
"),"")</f>
        <v/>
      </c>
      <c r="P872" s="2"/>
      <c r="Q872" s="2"/>
      <c r="R872" s="2"/>
      <c r="S872" s="2"/>
      <c r="T872" s="5"/>
    </row>
    <row r="873" customFormat="false" ht="15.75" hidden="false" customHeight="false" outlineLevel="0" collapsed="false">
      <c r="A873" s="4"/>
      <c r="B873" s="2"/>
      <c r="C873" s="2"/>
      <c r="D873" s="2"/>
      <c r="E873" s="2"/>
      <c r="F873" s="3" t="str">
        <f aca="false">IFERROR(__xludf.dummyfunction("if($T873&lt;&gt;"""",REGEXEXTRACT(SUBSTITUTE ($T873,F$1&amp;"" CE"",""""), F$1&amp;""[\w &amp;]*, (\d+\.\d+)""),"""")
"),"")</f>
        <v/>
      </c>
      <c r="G873" s="3" t="str">
        <f aca="false">IFERROR(__xludf.dummyfunction("if($T873&lt;&gt;"""",REGEXEXTRACT($T873, G$1&amp;""[\w &amp;]*, (\d+\.\d+)""),"""")
"),"")</f>
        <v/>
      </c>
      <c r="H873" s="3"/>
      <c r="I873" s="3" t="str">
        <f aca="false">IFERROR(__xludf.dummyfunction("if($T873&lt;&gt;"""",REGEXEXTRACT(SUBSTITUTE ($T873,I$1&amp;"" CE"",""""), I$1&amp;""[\w &amp;]*, (\d+\.\d+)""),"""")
"),"")</f>
        <v/>
      </c>
      <c r="J873" s="3" t="str">
        <f aca="false">IFERROR(__xludf.dummyfunction("if($T873&lt;&gt;"""",REGEXEXTRACT($T873, J$1&amp;""[\w &amp;]*, (\d+\.\d+)""),"""")
"),"")</f>
        <v/>
      </c>
      <c r="K873" s="3"/>
      <c r="L873" s="3" t="str">
        <f aca="false">IFERROR(__xludf.dummyfunction("if($T873&lt;&gt;"""",REGEXEXTRACT(SUBSTITUTE ($T873,L$1&amp;"" CE"",""""), L$1&amp;""[\w &amp;]*, (\d+\.\d+)""),"""")
"),"")</f>
        <v/>
      </c>
      <c r="M873" s="3" t="str">
        <f aca="false">IFERROR(__xludf.dummyfunction("if($T873&lt;&gt;"""",REGEXEXTRACT($T873, M$1&amp;""[\w &amp;]*, (\d+\.\d+)""),"""")
"),"")</f>
        <v/>
      </c>
      <c r="N873" s="3" t="str">
        <f aca="false">IFERROR(__xludf.dummyfunction("if($T873&lt;&gt;"""",REGEXEXTRACT(SUBSTITUTE ($T873,N$1&amp;"" CE"",""""), N$1&amp;""[\w &amp;]*, (\d+\.\d+)""),"""")
"),"")</f>
        <v/>
      </c>
      <c r="O873" s="3" t="str">
        <f aca="false">IFERROR(__xludf.dummyfunction("if($T873&lt;&gt;"""",REGEXEXTRACT($T873, O$1&amp;""[\w &amp;]*, (\d+\.\d+)""),"""")
"),"")</f>
        <v/>
      </c>
      <c r="P873" s="2"/>
      <c r="Q873" s="2"/>
      <c r="R873" s="2"/>
      <c r="S873" s="2"/>
      <c r="T873" s="5"/>
    </row>
    <row r="874" customFormat="false" ht="15.75" hidden="false" customHeight="false" outlineLevel="0" collapsed="false">
      <c r="A874" s="4"/>
      <c r="B874" s="2"/>
      <c r="C874" s="2"/>
      <c r="D874" s="2"/>
      <c r="E874" s="2"/>
      <c r="F874" s="3" t="str">
        <f aca="false">IFERROR(__xludf.dummyfunction("if($T874&lt;&gt;"""",REGEXEXTRACT(SUBSTITUTE ($T874,F$1&amp;"" CE"",""""), F$1&amp;""[\w &amp;]*, (\d+\.\d+)""),"""")
"),"")</f>
        <v/>
      </c>
      <c r="G874" s="3" t="str">
        <f aca="false">IFERROR(__xludf.dummyfunction("if($T874&lt;&gt;"""",REGEXEXTRACT($T874, G$1&amp;""[\w &amp;]*, (\d+\.\d+)""),"""")
"),"")</f>
        <v/>
      </c>
      <c r="H874" s="3"/>
      <c r="I874" s="3" t="str">
        <f aca="false">IFERROR(__xludf.dummyfunction("if($T874&lt;&gt;"""",REGEXEXTRACT(SUBSTITUTE ($T874,I$1&amp;"" CE"",""""), I$1&amp;""[\w &amp;]*, (\d+\.\d+)""),"""")
"),"")</f>
        <v/>
      </c>
      <c r="J874" s="3" t="str">
        <f aca="false">IFERROR(__xludf.dummyfunction("if($T874&lt;&gt;"""",REGEXEXTRACT($T874, J$1&amp;""[\w &amp;]*, (\d+\.\d+)""),"""")
"),"")</f>
        <v/>
      </c>
      <c r="K874" s="3"/>
      <c r="L874" s="3" t="str">
        <f aca="false">IFERROR(__xludf.dummyfunction("if($T874&lt;&gt;"""",REGEXEXTRACT(SUBSTITUTE ($T874,L$1&amp;"" CE"",""""), L$1&amp;""[\w &amp;]*, (\d+\.\d+)""),"""")
"),"")</f>
        <v/>
      </c>
      <c r="M874" s="3" t="str">
        <f aca="false">IFERROR(__xludf.dummyfunction("if($T874&lt;&gt;"""",REGEXEXTRACT($T874, M$1&amp;""[\w &amp;]*, (\d+\.\d+)""),"""")
"),"")</f>
        <v/>
      </c>
      <c r="N874" s="3" t="str">
        <f aca="false">IFERROR(__xludf.dummyfunction("if($T874&lt;&gt;"""",REGEXEXTRACT(SUBSTITUTE ($T874,N$1&amp;"" CE"",""""), N$1&amp;""[\w &amp;]*, (\d+\.\d+)""),"""")
"),"")</f>
        <v/>
      </c>
      <c r="O874" s="3" t="str">
        <f aca="false">IFERROR(__xludf.dummyfunction("if($T874&lt;&gt;"""",REGEXEXTRACT($T874, O$1&amp;""[\w &amp;]*, (\d+\.\d+)""),"""")
"),"")</f>
        <v/>
      </c>
      <c r="P874" s="2"/>
      <c r="Q874" s="2"/>
      <c r="R874" s="2"/>
      <c r="S874" s="2"/>
      <c r="T874" s="5"/>
    </row>
    <row r="875" customFormat="false" ht="15.75" hidden="false" customHeight="false" outlineLevel="0" collapsed="false">
      <c r="A875" s="4"/>
      <c r="B875" s="2"/>
      <c r="C875" s="2"/>
      <c r="D875" s="2"/>
      <c r="E875" s="2"/>
      <c r="F875" s="3" t="str">
        <f aca="false">IFERROR(__xludf.dummyfunction("if($T875&lt;&gt;"""",REGEXEXTRACT(SUBSTITUTE ($T875,F$1&amp;"" CE"",""""), F$1&amp;""[\w &amp;]*, (\d+\.\d+)""),"""")
"),"")</f>
        <v/>
      </c>
      <c r="G875" s="3" t="str">
        <f aca="false">IFERROR(__xludf.dummyfunction("if($T875&lt;&gt;"""",REGEXEXTRACT($T875, G$1&amp;""[\w &amp;]*, (\d+\.\d+)""),"""")
"),"")</f>
        <v/>
      </c>
      <c r="H875" s="3"/>
      <c r="I875" s="3" t="str">
        <f aca="false">IFERROR(__xludf.dummyfunction("if($T875&lt;&gt;"""",REGEXEXTRACT(SUBSTITUTE ($T875,I$1&amp;"" CE"",""""), I$1&amp;""[\w &amp;]*, (\d+\.\d+)""),"""")
"),"")</f>
        <v/>
      </c>
      <c r="J875" s="3" t="str">
        <f aca="false">IFERROR(__xludf.dummyfunction("if($T875&lt;&gt;"""",REGEXEXTRACT($T875, J$1&amp;""[\w &amp;]*, (\d+\.\d+)""),"""")
"),"")</f>
        <v/>
      </c>
      <c r="K875" s="3"/>
      <c r="L875" s="3" t="str">
        <f aca="false">IFERROR(__xludf.dummyfunction("if($T875&lt;&gt;"""",REGEXEXTRACT(SUBSTITUTE ($T875,L$1&amp;"" CE"",""""), L$1&amp;""[\w &amp;]*, (\d+\.\d+)""),"""")
"),"")</f>
        <v/>
      </c>
      <c r="M875" s="3" t="str">
        <f aca="false">IFERROR(__xludf.dummyfunction("if($T875&lt;&gt;"""",REGEXEXTRACT($T875, M$1&amp;""[\w &amp;]*, (\d+\.\d+)""),"""")
"),"")</f>
        <v/>
      </c>
      <c r="N875" s="3" t="str">
        <f aca="false">IFERROR(__xludf.dummyfunction("if($T875&lt;&gt;"""",REGEXEXTRACT(SUBSTITUTE ($T875,N$1&amp;"" CE"",""""), N$1&amp;""[\w &amp;]*, (\d+\.\d+)""),"""")
"),"")</f>
        <v/>
      </c>
      <c r="O875" s="3" t="str">
        <f aca="false">IFERROR(__xludf.dummyfunction("if($T875&lt;&gt;"""",REGEXEXTRACT($T875, O$1&amp;""[\w &amp;]*, (\d+\.\d+)""),"""")
"),"")</f>
        <v/>
      </c>
      <c r="P875" s="2"/>
      <c r="Q875" s="2"/>
      <c r="R875" s="2"/>
      <c r="S875" s="2"/>
      <c r="T875" s="5"/>
    </row>
    <row r="876" customFormat="false" ht="15.75" hidden="false" customHeight="false" outlineLevel="0" collapsed="false">
      <c r="A876" s="4"/>
      <c r="B876" s="2"/>
      <c r="C876" s="2"/>
      <c r="D876" s="2"/>
      <c r="E876" s="2"/>
      <c r="F876" s="3" t="str">
        <f aca="false">IFERROR(__xludf.dummyfunction("if($T876&lt;&gt;"""",REGEXEXTRACT(SUBSTITUTE ($T876,F$1&amp;"" CE"",""""), F$1&amp;""[\w &amp;]*, (\d+\.\d+)""),"""")
"),"")</f>
        <v/>
      </c>
      <c r="G876" s="3" t="str">
        <f aca="false">IFERROR(__xludf.dummyfunction("if($T876&lt;&gt;"""",REGEXEXTRACT($T876, G$1&amp;""[\w &amp;]*, (\d+\.\d+)""),"""")
"),"")</f>
        <v/>
      </c>
      <c r="H876" s="3"/>
      <c r="I876" s="3" t="str">
        <f aca="false">IFERROR(__xludf.dummyfunction("if($T876&lt;&gt;"""",REGEXEXTRACT(SUBSTITUTE ($T876,I$1&amp;"" CE"",""""), I$1&amp;""[\w &amp;]*, (\d+\.\d+)""),"""")
"),"")</f>
        <v/>
      </c>
      <c r="J876" s="3" t="str">
        <f aca="false">IFERROR(__xludf.dummyfunction("if($T876&lt;&gt;"""",REGEXEXTRACT($T876, J$1&amp;""[\w &amp;]*, (\d+\.\d+)""),"""")
"),"")</f>
        <v/>
      </c>
      <c r="K876" s="3"/>
      <c r="L876" s="3" t="str">
        <f aca="false">IFERROR(__xludf.dummyfunction("if($T876&lt;&gt;"""",REGEXEXTRACT(SUBSTITUTE ($T876,L$1&amp;"" CE"",""""), L$1&amp;""[\w &amp;]*, (\d+\.\d+)""),"""")
"),"")</f>
        <v/>
      </c>
      <c r="M876" s="3" t="str">
        <f aca="false">IFERROR(__xludf.dummyfunction("if($T876&lt;&gt;"""",REGEXEXTRACT($T876, M$1&amp;""[\w &amp;]*, (\d+\.\d+)""),"""")
"),"")</f>
        <v/>
      </c>
      <c r="N876" s="3" t="str">
        <f aca="false">IFERROR(__xludf.dummyfunction("if($T876&lt;&gt;"""",REGEXEXTRACT(SUBSTITUTE ($T876,N$1&amp;"" CE"",""""), N$1&amp;""[\w &amp;]*, (\d+\.\d+)""),"""")
"),"")</f>
        <v/>
      </c>
      <c r="O876" s="3" t="str">
        <f aca="false">IFERROR(__xludf.dummyfunction("if($T876&lt;&gt;"""",REGEXEXTRACT($T876, O$1&amp;""[\w &amp;]*, (\d+\.\d+)""),"""")
"),"")</f>
        <v/>
      </c>
      <c r="P876" s="2"/>
      <c r="Q876" s="2"/>
      <c r="R876" s="2"/>
      <c r="S876" s="2"/>
      <c r="T876" s="5"/>
    </row>
    <row r="877" customFormat="false" ht="15.75" hidden="false" customHeight="false" outlineLevel="0" collapsed="false">
      <c r="A877" s="4"/>
      <c r="B877" s="2"/>
      <c r="C877" s="2"/>
      <c r="D877" s="2"/>
      <c r="E877" s="2"/>
      <c r="F877" s="3" t="str">
        <f aca="false">IFERROR(__xludf.dummyfunction("if($T877&lt;&gt;"""",REGEXEXTRACT(SUBSTITUTE ($T877,F$1&amp;"" CE"",""""), F$1&amp;""[\w &amp;]*, (\d+\.\d+)""),"""")
"),"")</f>
        <v/>
      </c>
      <c r="G877" s="3" t="str">
        <f aca="false">IFERROR(__xludf.dummyfunction("if($T877&lt;&gt;"""",REGEXEXTRACT($T877, G$1&amp;""[\w &amp;]*, (\d+\.\d+)""),"""")
"),"")</f>
        <v/>
      </c>
      <c r="H877" s="3"/>
      <c r="I877" s="3" t="str">
        <f aca="false">IFERROR(__xludf.dummyfunction("if($T877&lt;&gt;"""",REGEXEXTRACT(SUBSTITUTE ($T877,I$1&amp;"" CE"",""""), I$1&amp;""[\w &amp;]*, (\d+\.\d+)""),"""")
"),"")</f>
        <v/>
      </c>
      <c r="J877" s="3" t="str">
        <f aca="false">IFERROR(__xludf.dummyfunction("if($T877&lt;&gt;"""",REGEXEXTRACT($T877, J$1&amp;""[\w &amp;]*, (\d+\.\d+)""),"""")
"),"")</f>
        <v/>
      </c>
      <c r="K877" s="3"/>
      <c r="L877" s="3" t="str">
        <f aca="false">IFERROR(__xludf.dummyfunction("if($T877&lt;&gt;"""",REGEXEXTRACT(SUBSTITUTE ($T877,L$1&amp;"" CE"",""""), L$1&amp;""[\w &amp;]*, (\d+\.\d+)""),"""")
"),"")</f>
        <v/>
      </c>
      <c r="M877" s="3" t="str">
        <f aca="false">IFERROR(__xludf.dummyfunction("if($T877&lt;&gt;"""",REGEXEXTRACT($T877, M$1&amp;""[\w &amp;]*, (\d+\.\d+)""),"""")
"),"")</f>
        <v/>
      </c>
      <c r="N877" s="3" t="str">
        <f aca="false">IFERROR(__xludf.dummyfunction("if($T877&lt;&gt;"""",REGEXEXTRACT(SUBSTITUTE ($T877,N$1&amp;"" CE"",""""), N$1&amp;""[\w &amp;]*, (\d+\.\d+)""),"""")
"),"")</f>
        <v/>
      </c>
      <c r="O877" s="3" t="str">
        <f aca="false">IFERROR(__xludf.dummyfunction("if($T877&lt;&gt;"""",REGEXEXTRACT($T877, O$1&amp;""[\w &amp;]*, (\d+\.\d+)""),"""")
"),"")</f>
        <v/>
      </c>
      <c r="P877" s="2"/>
      <c r="Q877" s="2"/>
      <c r="R877" s="2"/>
      <c r="S877" s="2"/>
      <c r="T877" s="5"/>
    </row>
    <row r="878" customFormat="false" ht="15.75" hidden="false" customHeight="false" outlineLevel="0" collapsed="false">
      <c r="A878" s="4"/>
      <c r="B878" s="2"/>
      <c r="C878" s="2"/>
      <c r="D878" s="2"/>
      <c r="E878" s="2"/>
      <c r="F878" s="3" t="str">
        <f aca="false">IFERROR(__xludf.dummyfunction("if($T878&lt;&gt;"""",REGEXEXTRACT(SUBSTITUTE ($T878,F$1&amp;"" CE"",""""), F$1&amp;""[\w &amp;]*, (\d+\.\d+)""),"""")
"),"")</f>
        <v/>
      </c>
      <c r="G878" s="3" t="str">
        <f aca="false">IFERROR(__xludf.dummyfunction("if($T878&lt;&gt;"""",REGEXEXTRACT($T878, G$1&amp;""[\w &amp;]*, (\d+\.\d+)""),"""")
"),"")</f>
        <v/>
      </c>
      <c r="H878" s="3"/>
      <c r="I878" s="3" t="str">
        <f aca="false">IFERROR(__xludf.dummyfunction("if($T878&lt;&gt;"""",REGEXEXTRACT(SUBSTITUTE ($T878,I$1&amp;"" CE"",""""), I$1&amp;""[\w &amp;]*, (\d+\.\d+)""),"""")
"),"")</f>
        <v/>
      </c>
      <c r="J878" s="3" t="str">
        <f aca="false">IFERROR(__xludf.dummyfunction("if($T878&lt;&gt;"""",REGEXEXTRACT($T878, J$1&amp;""[\w &amp;]*, (\d+\.\d+)""),"""")
"),"")</f>
        <v/>
      </c>
      <c r="K878" s="3"/>
      <c r="L878" s="3" t="str">
        <f aca="false">IFERROR(__xludf.dummyfunction("if($T878&lt;&gt;"""",REGEXEXTRACT(SUBSTITUTE ($T878,L$1&amp;"" CE"",""""), L$1&amp;""[\w &amp;]*, (\d+\.\d+)""),"""")
"),"")</f>
        <v/>
      </c>
      <c r="M878" s="3" t="str">
        <f aca="false">IFERROR(__xludf.dummyfunction("if($T878&lt;&gt;"""",REGEXEXTRACT($T878, M$1&amp;""[\w &amp;]*, (\d+\.\d+)""),"""")
"),"")</f>
        <v/>
      </c>
      <c r="N878" s="3" t="str">
        <f aca="false">IFERROR(__xludf.dummyfunction("if($T878&lt;&gt;"""",REGEXEXTRACT(SUBSTITUTE ($T878,N$1&amp;"" CE"",""""), N$1&amp;""[\w &amp;]*, (\d+\.\d+)""),"""")
"),"")</f>
        <v/>
      </c>
      <c r="O878" s="3" t="str">
        <f aca="false">IFERROR(__xludf.dummyfunction("if($T878&lt;&gt;"""",REGEXEXTRACT($T878, O$1&amp;""[\w &amp;]*, (\d+\.\d+)""),"""")
"),"")</f>
        <v/>
      </c>
      <c r="P878" s="2"/>
      <c r="Q878" s="2"/>
      <c r="R878" s="2"/>
      <c r="S878" s="2"/>
      <c r="T878" s="5"/>
    </row>
    <row r="879" customFormat="false" ht="15.75" hidden="false" customHeight="false" outlineLevel="0" collapsed="false">
      <c r="A879" s="4"/>
      <c r="B879" s="2"/>
      <c r="C879" s="2"/>
      <c r="D879" s="2"/>
      <c r="E879" s="2"/>
      <c r="F879" s="3" t="str">
        <f aca="false">IFERROR(__xludf.dummyfunction("if($T879&lt;&gt;"""",REGEXEXTRACT(SUBSTITUTE ($T879,F$1&amp;"" CE"",""""), F$1&amp;""[\w &amp;]*, (\d+\.\d+)""),"""")
"),"")</f>
        <v/>
      </c>
      <c r="G879" s="3" t="str">
        <f aca="false">IFERROR(__xludf.dummyfunction("if($T879&lt;&gt;"""",REGEXEXTRACT($T879, G$1&amp;""[\w &amp;]*, (\d+\.\d+)""),"""")
"),"")</f>
        <v/>
      </c>
      <c r="H879" s="3"/>
      <c r="I879" s="3" t="str">
        <f aca="false">IFERROR(__xludf.dummyfunction("if($T879&lt;&gt;"""",REGEXEXTRACT(SUBSTITUTE ($T879,I$1&amp;"" CE"",""""), I$1&amp;""[\w &amp;]*, (\d+\.\d+)""),"""")
"),"")</f>
        <v/>
      </c>
      <c r="J879" s="3" t="str">
        <f aca="false">IFERROR(__xludf.dummyfunction("if($T879&lt;&gt;"""",REGEXEXTRACT($T879, J$1&amp;""[\w &amp;]*, (\d+\.\d+)""),"""")
"),"")</f>
        <v/>
      </c>
      <c r="K879" s="3"/>
      <c r="L879" s="3" t="str">
        <f aca="false">IFERROR(__xludf.dummyfunction("if($T879&lt;&gt;"""",REGEXEXTRACT(SUBSTITUTE ($T879,L$1&amp;"" CE"",""""), L$1&amp;""[\w &amp;]*, (\d+\.\d+)""),"""")
"),"")</f>
        <v/>
      </c>
      <c r="M879" s="3" t="str">
        <f aca="false">IFERROR(__xludf.dummyfunction("if($T879&lt;&gt;"""",REGEXEXTRACT($T879, M$1&amp;""[\w &amp;]*, (\d+\.\d+)""),"""")
"),"")</f>
        <v/>
      </c>
      <c r="N879" s="3" t="str">
        <f aca="false">IFERROR(__xludf.dummyfunction("if($T879&lt;&gt;"""",REGEXEXTRACT(SUBSTITUTE ($T879,N$1&amp;"" CE"",""""), N$1&amp;""[\w &amp;]*, (\d+\.\d+)""),"""")
"),"")</f>
        <v/>
      </c>
      <c r="O879" s="3" t="str">
        <f aca="false">IFERROR(__xludf.dummyfunction("if($T879&lt;&gt;"""",REGEXEXTRACT($T879, O$1&amp;""[\w &amp;]*, (\d+\.\d+)""),"""")
"),"")</f>
        <v/>
      </c>
      <c r="P879" s="2"/>
      <c r="Q879" s="2"/>
      <c r="R879" s="2"/>
      <c r="S879" s="2"/>
      <c r="T879" s="5"/>
    </row>
    <row r="880" customFormat="false" ht="15.75" hidden="false" customHeight="false" outlineLevel="0" collapsed="false">
      <c r="A880" s="4"/>
      <c r="B880" s="2"/>
      <c r="C880" s="2"/>
      <c r="D880" s="2"/>
      <c r="E880" s="2"/>
      <c r="F880" s="3" t="str">
        <f aca="false">IFERROR(__xludf.dummyfunction("if($T880&lt;&gt;"""",REGEXEXTRACT(SUBSTITUTE ($T880,F$1&amp;"" CE"",""""), F$1&amp;""[\w &amp;]*, (\d+\.\d+)""),"""")
"),"")</f>
        <v/>
      </c>
      <c r="G880" s="3" t="str">
        <f aca="false">IFERROR(__xludf.dummyfunction("if($T880&lt;&gt;"""",REGEXEXTRACT($T880, G$1&amp;""[\w &amp;]*, (\d+\.\d+)""),"""")
"),"")</f>
        <v/>
      </c>
      <c r="H880" s="3"/>
      <c r="I880" s="3" t="str">
        <f aca="false">IFERROR(__xludf.dummyfunction("if($T880&lt;&gt;"""",REGEXEXTRACT(SUBSTITUTE ($T880,I$1&amp;"" CE"",""""), I$1&amp;""[\w &amp;]*, (\d+\.\d+)""),"""")
"),"")</f>
        <v/>
      </c>
      <c r="J880" s="3" t="str">
        <f aca="false">IFERROR(__xludf.dummyfunction("if($T880&lt;&gt;"""",REGEXEXTRACT($T880, J$1&amp;""[\w &amp;]*, (\d+\.\d+)""),"""")
"),"")</f>
        <v/>
      </c>
      <c r="K880" s="3"/>
      <c r="L880" s="3" t="str">
        <f aca="false">IFERROR(__xludf.dummyfunction("if($T880&lt;&gt;"""",REGEXEXTRACT(SUBSTITUTE ($T880,L$1&amp;"" CE"",""""), L$1&amp;""[\w &amp;]*, (\d+\.\d+)""),"""")
"),"")</f>
        <v/>
      </c>
      <c r="M880" s="3" t="str">
        <f aca="false">IFERROR(__xludf.dummyfunction("if($T880&lt;&gt;"""",REGEXEXTRACT($T880, M$1&amp;""[\w &amp;]*, (\d+\.\d+)""),"""")
"),"")</f>
        <v/>
      </c>
      <c r="N880" s="3" t="str">
        <f aca="false">IFERROR(__xludf.dummyfunction("if($T880&lt;&gt;"""",REGEXEXTRACT(SUBSTITUTE ($T880,N$1&amp;"" CE"",""""), N$1&amp;""[\w &amp;]*, (\d+\.\d+)""),"""")
"),"")</f>
        <v/>
      </c>
      <c r="O880" s="3" t="str">
        <f aca="false">IFERROR(__xludf.dummyfunction("if($T880&lt;&gt;"""",REGEXEXTRACT($T880, O$1&amp;""[\w &amp;]*, (\d+\.\d+)""),"""")
"),"")</f>
        <v/>
      </c>
      <c r="P880" s="2"/>
      <c r="Q880" s="2"/>
      <c r="R880" s="2"/>
      <c r="S880" s="2"/>
      <c r="T880" s="5"/>
    </row>
    <row r="881" customFormat="false" ht="15.75" hidden="false" customHeight="false" outlineLevel="0" collapsed="false">
      <c r="A881" s="4"/>
      <c r="B881" s="2"/>
      <c r="C881" s="2"/>
      <c r="D881" s="2"/>
      <c r="E881" s="2"/>
      <c r="F881" s="3" t="str">
        <f aca="false">IFERROR(__xludf.dummyfunction("if($T881&lt;&gt;"""",REGEXEXTRACT(SUBSTITUTE ($T881,F$1&amp;"" CE"",""""), F$1&amp;""[\w &amp;]*, (\d+\.\d+)""),"""")
"),"")</f>
        <v/>
      </c>
      <c r="G881" s="3" t="str">
        <f aca="false">IFERROR(__xludf.dummyfunction("if($T881&lt;&gt;"""",REGEXEXTRACT($T881, G$1&amp;""[\w &amp;]*, (\d+\.\d+)""),"""")
"),"")</f>
        <v/>
      </c>
      <c r="H881" s="3"/>
      <c r="I881" s="3" t="str">
        <f aca="false">IFERROR(__xludf.dummyfunction("if($T881&lt;&gt;"""",REGEXEXTRACT(SUBSTITUTE ($T881,I$1&amp;"" CE"",""""), I$1&amp;""[\w &amp;]*, (\d+\.\d+)""),"""")
"),"")</f>
        <v/>
      </c>
      <c r="J881" s="3" t="str">
        <f aca="false">IFERROR(__xludf.dummyfunction("if($T881&lt;&gt;"""",REGEXEXTRACT($T881, J$1&amp;""[\w &amp;]*, (\d+\.\d+)""),"""")
"),"")</f>
        <v/>
      </c>
      <c r="K881" s="3"/>
      <c r="L881" s="3" t="str">
        <f aca="false">IFERROR(__xludf.dummyfunction("if($T881&lt;&gt;"""",REGEXEXTRACT(SUBSTITUTE ($T881,L$1&amp;"" CE"",""""), L$1&amp;""[\w &amp;]*, (\d+\.\d+)""),"""")
"),"")</f>
        <v/>
      </c>
      <c r="M881" s="3" t="str">
        <f aca="false">IFERROR(__xludf.dummyfunction("if($T881&lt;&gt;"""",REGEXEXTRACT($T881, M$1&amp;""[\w &amp;]*, (\d+\.\d+)""),"""")
"),"")</f>
        <v/>
      </c>
      <c r="N881" s="3" t="str">
        <f aca="false">IFERROR(__xludf.dummyfunction("if($T881&lt;&gt;"""",REGEXEXTRACT(SUBSTITUTE ($T881,N$1&amp;"" CE"",""""), N$1&amp;""[\w &amp;]*, (\d+\.\d+)""),"""")
"),"")</f>
        <v/>
      </c>
      <c r="O881" s="3" t="str">
        <f aca="false">IFERROR(__xludf.dummyfunction("if($T881&lt;&gt;"""",REGEXEXTRACT($T881, O$1&amp;""[\w &amp;]*, (\d+\.\d+)""),"""")
"),"")</f>
        <v/>
      </c>
      <c r="P881" s="2"/>
      <c r="Q881" s="2"/>
      <c r="R881" s="2"/>
      <c r="S881" s="2"/>
      <c r="T881" s="5"/>
    </row>
    <row r="882" customFormat="false" ht="15.75" hidden="false" customHeight="false" outlineLevel="0" collapsed="false">
      <c r="A882" s="4"/>
      <c r="B882" s="2"/>
      <c r="C882" s="2"/>
      <c r="D882" s="2"/>
      <c r="E882" s="2"/>
      <c r="F882" s="3" t="str">
        <f aca="false">IFERROR(__xludf.dummyfunction("if($T882&lt;&gt;"""",REGEXEXTRACT(SUBSTITUTE ($T882,F$1&amp;"" CE"",""""), F$1&amp;""[\w &amp;]*, (\d+\.\d+)""),"""")
"),"")</f>
        <v/>
      </c>
      <c r="G882" s="3" t="str">
        <f aca="false">IFERROR(__xludf.dummyfunction("if($T882&lt;&gt;"""",REGEXEXTRACT($T882, G$1&amp;""[\w &amp;]*, (\d+\.\d+)""),"""")
"),"")</f>
        <v/>
      </c>
      <c r="H882" s="3"/>
      <c r="I882" s="3" t="str">
        <f aca="false">IFERROR(__xludf.dummyfunction("if($T882&lt;&gt;"""",REGEXEXTRACT(SUBSTITUTE ($T882,I$1&amp;"" CE"",""""), I$1&amp;""[\w &amp;]*, (\d+\.\d+)""),"""")
"),"")</f>
        <v/>
      </c>
      <c r="J882" s="3" t="str">
        <f aca="false">IFERROR(__xludf.dummyfunction("if($T882&lt;&gt;"""",REGEXEXTRACT($T882, J$1&amp;""[\w &amp;]*, (\d+\.\d+)""),"""")
"),"")</f>
        <v/>
      </c>
      <c r="K882" s="3"/>
      <c r="L882" s="3" t="str">
        <f aca="false">IFERROR(__xludf.dummyfunction("if($T882&lt;&gt;"""",REGEXEXTRACT(SUBSTITUTE ($T882,L$1&amp;"" CE"",""""), L$1&amp;""[\w &amp;]*, (\d+\.\d+)""),"""")
"),"")</f>
        <v/>
      </c>
      <c r="M882" s="3" t="str">
        <f aca="false">IFERROR(__xludf.dummyfunction("if($T882&lt;&gt;"""",REGEXEXTRACT($T882, M$1&amp;""[\w &amp;]*, (\d+\.\d+)""),"""")
"),"")</f>
        <v/>
      </c>
      <c r="N882" s="3" t="str">
        <f aca="false">IFERROR(__xludf.dummyfunction("if($T882&lt;&gt;"""",REGEXEXTRACT(SUBSTITUTE ($T882,N$1&amp;"" CE"",""""), N$1&amp;""[\w &amp;]*, (\d+\.\d+)""),"""")
"),"")</f>
        <v/>
      </c>
      <c r="O882" s="3" t="str">
        <f aca="false">IFERROR(__xludf.dummyfunction("if($T882&lt;&gt;"""",REGEXEXTRACT($T882, O$1&amp;""[\w &amp;]*, (\d+\.\d+)""),"""")
"),"")</f>
        <v/>
      </c>
      <c r="P882" s="2"/>
      <c r="Q882" s="2"/>
      <c r="R882" s="2"/>
      <c r="S882" s="2"/>
      <c r="T882" s="5"/>
    </row>
    <row r="883" customFormat="false" ht="15.75" hidden="false" customHeight="false" outlineLevel="0" collapsed="false">
      <c r="A883" s="4"/>
      <c r="B883" s="2"/>
      <c r="C883" s="2"/>
      <c r="D883" s="2"/>
      <c r="E883" s="2"/>
      <c r="F883" s="3" t="str">
        <f aca="false">IFERROR(__xludf.dummyfunction("if($T883&lt;&gt;"""",REGEXEXTRACT(SUBSTITUTE ($T883,F$1&amp;"" CE"",""""), F$1&amp;""[\w &amp;]*, (\d+\.\d+)""),"""")
"),"")</f>
        <v/>
      </c>
      <c r="G883" s="3" t="str">
        <f aca="false">IFERROR(__xludf.dummyfunction("if($T883&lt;&gt;"""",REGEXEXTRACT($T883, G$1&amp;""[\w &amp;]*, (\d+\.\d+)""),"""")
"),"")</f>
        <v/>
      </c>
      <c r="H883" s="3"/>
      <c r="I883" s="3" t="str">
        <f aca="false">IFERROR(__xludf.dummyfunction("if($T883&lt;&gt;"""",REGEXEXTRACT(SUBSTITUTE ($T883,I$1&amp;"" CE"",""""), I$1&amp;""[\w &amp;]*, (\d+\.\d+)""),"""")
"),"")</f>
        <v/>
      </c>
      <c r="J883" s="3" t="str">
        <f aca="false">IFERROR(__xludf.dummyfunction("if($T883&lt;&gt;"""",REGEXEXTRACT($T883, J$1&amp;""[\w &amp;]*, (\d+\.\d+)""),"""")
"),"")</f>
        <v/>
      </c>
      <c r="K883" s="3"/>
      <c r="L883" s="3" t="str">
        <f aca="false">IFERROR(__xludf.dummyfunction("if($T883&lt;&gt;"""",REGEXEXTRACT(SUBSTITUTE ($T883,L$1&amp;"" CE"",""""), L$1&amp;""[\w &amp;]*, (\d+\.\d+)""),"""")
"),"")</f>
        <v/>
      </c>
      <c r="M883" s="3" t="str">
        <f aca="false">IFERROR(__xludf.dummyfunction("if($T883&lt;&gt;"""",REGEXEXTRACT($T883, M$1&amp;""[\w &amp;]*, (\d+\.\d+)""),"""")
"),"")</f>
        <v/>
      </c>
      <c r="N883" s="3" t="str">
        <f aca="false">IFERROR(__xludf.dummyfunction("if($T883&lt;&gt;"""",REGEXEXTRACT(SUBSTITUTE ($T883,N$1&amp;"" CE"",""""), N$1&amp;""[\w &amp;]*, (\d+\.\d+)""),"""")
"),"")</f>
        <v/>
      </c>
      <c r="O883" s="3" t="str">
        <f aca="false">IFERROR(__xludf.dummyfunction("if($T883&lt;&gt;"""",REGEXEXTRACT($T883, O$1&amp;""[\w &amp;]*, (\d+\.\d+)""),"""")
"),"")</f>
        <v/>
      </c>
      <c r="P883" s="2"/>
      <c r="Q883" s="2"/>
      <c r="R883" s="2"/>
      <c r="S883" s="2"/>
      <c r="T883" s="5"/>
    </row>
    <row r="884" customFormat="false" ht="15.75" hidden="false" customHeight="false" outlineLevel="0" collapsed="false">
      <c r="A884" s="4"/>
      <c r="B884" s="2"/>
      <c r="C884" s="2"/>
      <c r="D884" s="2"/>
      <c r="E884" s="2"/>
      <c r="F884" s="3" t="str">
        <f aca="false">IFERROR(__xludf.dummyfunction("if($T884&lt;&gt;"""",REGEXEXTRACT(SUBSTITUTE ($T884,F$1&amp;"" CE"",""""), F$1&amp;""[\w &amp;]*, (\d+\.\d+)""),"""")
"),"")</f>
        <v/>
      </c>
      <c r="G884" s="3" t="str">
        <f aca="false">IFERROR(__xludf.dummyfunction("if($T884&lt;&gt;"""",REGEXEXTRACT($T884, G$1&amp;""[\w &amp;]*, (\d+\.\d+)""),"""")
"),"")</f>
        <v/>
      </c>
      <c r="H884" s="3"/>
      <c r="I884" s="3" t="str">
        <f aca="false">IFERROR(__xludf.dummyfunction("if($T884&lt;&gt;"""",REGEXEXTRACT(SUBSTITUTE ($T884,I$1&amp;"" CE"",""""), I$1&amp;""[\w &amp;]*, (\d+\.\d+)""),"""")
"),"")</f>
        <v/>
      </c>
      <c r="J884" s="3" t="str">
        <f aca="false">IFERROR(__xludf.dummyfunction("if($T884&lt;&gt;"""",REGEXEXTRACT($T884, J$1&amp;""[\w &amp;]*, (\d+\.\d+)""),"""")
"),"")</f>
        <v/>
      </c>
      <c r="K884" s="3"/>
      <c r="L884" s="3" t="str">
        <f aca="false">IFERROR(__xludf.dummyfunction("if($T884&lt;&gt;"""",REGEXEXTRACT(SUBSTITUTE ($T884,L$1&amp;"" CE"",""""), L$1&amp;""[\w &amp;]*, (\d+\.\d+)""),"""")
"),"")</f>
        <v/>
      </c>
      <c r="M884" s="3" t="str">
        <f aca="false">IFERROR(__xludf.dummyfunction("if($T884&lt;&gt;"""",REGEXEXTRACT($T884, M$1&amp;""[\w &amp;]*, (\d+\.\d+)""),"""")
"),"")</f>
        <v/>
      </c>
      <c r="N884" s="3" t="str">
        <f aca="false">IFERROR(__xludf.dummyfunction("if($T884&lt;&gt;"""",REGEXEXTRACT(SUBSTITUTE ($T884,N$1&amp;"" CE"",""""), N$1&amp;""[\w &amp;]*, (\d+\.\d+)""),"""")
"),"")</f>
        <v/>
      </c>
      <c r="O884" s="3" t="str">
        <f aca="false">IFERROR(__xludf.dummyfunction("if($T884&lt;&gt;"""",REGEXEXTRACT($T884, O$1&amp;""[\w &amp;]*, (\d+\.\d+)""),"""")
"),"")</f>
        <v/>
      </c>
      <c r="P884" s="2"/>
      <c r="Q884" s="2"/>
      <c r="R884" s="2"/>
      <c r="S884" s="2"/>
      <c r="T884" s="5"/>
    </row>
    <row r="885" customFormat="false" ht="15.75" hidden="false" customHeight="false" outlineLevel="0" collapsed="false">
      <c r="A885" s="4"/>
      <c r="B885" s="2"/>
      <c r="C885" s="2"/>
      <c r="D885" s="2"/>
      <c r="E885" s="2"/>
      <c r="F885" s="3" t="str">
        <f aca="false">IFERROR(__xludf.dummyfunction("if($T885&lt;&gt;"""",REGEXEXTRACT(SUBSTITUTE ($T885,F$1&amp;"" CE"",""""), F$1&amp;""[\w &amp;]*, (\d+\.\d+)""),"""")
"),"")</f>
        <v/>
      </c>
      <c r="G885" s="3" t="str">
        <f aca="false">IFERROR(__xludf.dummyfunction("if($T885&lt;&gt;"""",REGEXEXTRACT($T885, G$1&amp;""[\w &amp;]*, (\d+\.\d+)""),"""")
"),"")</f>
        <v/>
      </c>
      <c r="H885" s="3"/>
      <c r="I885" s="3" t="str">
        <f aca="false">IFERROR(__xludf.dummyfunction("if($T885&lt;&gt;"""",REGEXEXTRACT(SUBSTITUTE ($T885,I$1&amp;"" CE"",""""), I$1&amp;""[\w &amp;]*, (\d+\.\d+)""),"""")
"),"")</f>
        <v/>
      </c>
      <c r="J885" s="3" t="str">
        <f aca="false">IFERROR(__xludf.dummyfunction("if($T885&lt;&gt;"""",REGEXEXTRACT($T885, J$1&amp;""[\w &amp;]*, (\d+\.\d+)""),"""")
"),"")</f>
        <v/>
      </c>
      <c r="K885" s="3"/>
      <c r="L885" s="3" t="str">
        <f aca="false">IFERROR(__xludf.dummyfunction("if($T885&lt;&gt;"""",REGEXEXTRACT(SUBSTITUTE ($T885,L$1&amp;"" CE"",""""), L$1&amp;""[\w &amp;]*, (\d+\.\d+)""),"""")
"),"")</f>
        <v/>
      </c>
      <c r="M885" s="3" t="str">
        <f aca="false">IFERROR(__xludf.dummyfunction("if($T885&lt;&gt;"""",REGEXEXTRACT($T885, M$1&amp;""[\w &amp;]*, (\d+\.\d+)""),"""")
"),"")</f>
        <v/>
      </c>
      <c r="N885" s="3" t="str">
        <f aca="false">IFERROR(__xludf.dummyfunction("if($T885&lt;&gt;"""",REGEXEXTRACT(SUBSTITUTE ($T885,N$1&amp;"" CE"",""""), N$1&amp;""[\w &amp;]*, (\d+\.\d+)""),"""")
"),"")</f>
        <v/>
      </c>
      <c r="O885" s="3" t="str">
        <f aca="false">IFERROR(__xludf.dummyfunction("if($T885&lt;&gt;"""",REGEXEXTRACT($T885, O$1&amp;""[\w &amp;]*, (\d+\.\d+)""),"""")
"),"")</f>
        <v/>
      </c>
      <c r="P885" s="2"/>
      <c r="Q885" s="2"/>
      <c r="R885" s="2"/>
      <c r="S885" s="2"/>
      <c r="T885" s="5"/>
    </row>
    <row r="886" customFormat="false" ht="15.75" hidden="false" customHeight="false" outlineLevel="0" collapsed="false">
      <c r="A886" s="4"/>
      <c r="B886" s="2"/>
      <c r="C886" s="2"/>
      <c r="D886" s="2"/>
      <c r="E886" s="2"/>
      <c r="F886" s="3" t="str">
        <f aca="false">IFERROR(__xludf.dummyfunction("if($T886&lt;&gt;"""",REGEXEXTRACT(SUBSTITUTE ($T886,F$1&amp;"" CE"",""""), F$1&amp;""[\w &amp;]*, (\d+\.\d+)""),"""")
"),"")</f>
        <v/>
      </c>
      <c r="G886" s="3" t="str">
        <f aca="false">IFERROR(__xludf.dummyfunction("if($T886&lt;&gt;"""",REGEXEXTRACT($T886, G$1&amp;""[\w &amp;]*, (\d+\.\d+)""),"""")
"),"")</f>
        <v/>
      </c>
      <c r="H886" s="3"/>
      <c r="I886" s="3" t="str">
        <f aca="false">IFERROR(__xludf.dummyfunction("if($T886&lt;&gt;"""",REGEXEXTRACT(SUBSTITUTE ($T886,I$1&amp;"" CE"",""""), I$1&amp;""[\w &amp;]*, (\d+\.\d+)""),"""")
"),"")</f>
        <v/>
      </c>
      <c r="J886" s="3" t="str">
        <f aca="false">IFERROR(__xludf.dummyfunction("if($T886&lt;&gt;"""",REGEXEXTRACT($T886, J$1&amp;""[\w &amp;]*, (\d+\.\d+)""),"""")
"),"")</f>
        <v/>
      </c>
      <c r="K886" s="3"/>
      <c r="L886" s="3" t="str">
        <f aca="false">IFERROR(__xludf.dummyfunction("if($T886&lt;&gt;"""",REGEXEXTRACT(SUBSTITUTE ($T886,L$1&amp;"" CE"",""""), L$1&amp;""[\w &amp;]*, (\d+\.\d+)""),"""")
"),"")</f>
        <v/>
      </c>
      <c r="M886" s="3" t="str">
        <f aca="false">IFERROR(__xludf.dummyfunction("if($T886&lt;&gt;"""",REGEXEXTRACT($T886, M$1&amp;""[\w &amp;]*, (\d+\.\d+)""),"""")
"),"")</f>
        <v/>
      </c>
      <c r="N886" s="3" t="str">
        <f aca="false">IFERROR(__xludf.dummyfunction("if($T886&lt;&gt;"""",REGEXEXTRACT(SUBSTITUTE ($T886,N$1&amp;"" CE"",""""), N$1&amp;""[\w &amp;]*, (\d+\.\d+)""),"""")
"),"")</f>
        <v/>
      </c>
      <c r="O886" s="3" t="str">
        <f aca="false">IFERROR(__xludf.dummyfunction("if($T886&lt;&gt;"""",REGEXEXTRACT($T886, O$1&amp;""[\w &amp;]*, (\d+\.\d+)""),"""")
"),"")</f>
        <v/>
      </c>
      <c r="P886" s="2"/>
      <c r="Q886" s="2"/>
      <c r="R886" s="2"/>
      <c r="S886" s="2"/>
      <c r="T886" s="5"/>
    </row>
    <row r="887" customFormat="false" ht="15.75" hidden="false" customHeight="false" outlineLevel="0" collapsed="false">
      <c r="A887" s="4"/>
      <c r="B887" s="2"/>
      <c r="C887" s="2"/>
      <c r="D887" s="2"/>
      <c r="E887" s="2"/>
      <c r="F887" s="3" t="str">
        <f aca="false">IFERROR(__xludf.dummyfunction("if($T887&lt;&gt;"""",REGEXEXTRACT(SUBSTITUTE ($T887,F$1&amp;"" CE"",""""), F$1&amp;""[\w &amp;]*, (\d+\.\d+)""),"""")
"),"")</f>
        <v/>
      </c>
      <c r="G887" s="3" t="str">
        <f aca="false">IFERROR(__xludf.dummyfunction("if($T887&lt;&gt;"""",REGEXEXTRACT($T887, G$1&amp;""[\w &amp;]*, (\d+\.\d+)""),"""")
"),"")</f>
        <v/>
      </c>
      <c r="H887" s="3"/>
      <c r="I887" s="3" t="str">
        <f aca="false">IFERROR(__xludf.dummyfunction("if($T887&lt;&gt;"""",REGEXEXTRACT(SUBSTITUTE ($T887,I$1&amp;"" CE"",""""), I$1&amp;""[\w &amp;]*, (\d+\.\d+)""),"""")
"),"")</f>
        <v/>
      </c>
      <c r="J887" s="3" t="str">
        <f aca="false">IFERROR(__xludf.dummyfunction("if($T887&lt;&gt;"""",REGEXEXTRACT($T887, J$1&amp;""[\w &amp;]*, (\d+\.\d+)""),"""")
"),"")</f>
        <v/>
      </c>
      <c r="K887" s="3"/>
      <c r="L887" s="3" t="str">
        <f aca="false">IFERROR(__xludf.dummyfunction("if($T887&lt;&gt;"""",REGEXEXTRACT(SUBSTITUTE ($T887,L$1&amp;"" CE"",""""), L$1&amp;""[\w &amp;]*, (\d+\.\d+)""),"""")
"),"")</f>
        <v/>
      </c>
      <c r="M887" s="3" t="str">
        <f aca="false">IFERROR(__xludf.dummyfunction("if($T887&lt;&gt;"""",REGEXEXTRACT($T887, M$1&amp;""[\w &amp;]*, (\d+\.\d+)""),"""")
"),"")</f>
        <v/>
      </c>
      <c r="N887" s="3" t="str">
        <f aca="false">IFERROR(__xludf.dummyfunction("if($T887&lt;&gt;"""",REGEXEXTRACT(SUBSTITUTE ($T887,N$1&amp;"" CE"",""""), N$1&amp;""[\w &amp;]*, (\d+\.\d+)""),"""")
"),"")</f>
        <v/>
      </c>
      <c r="O887" s="3" t="str">
        <f aca="false">IFERROR(__xludf.dummyfunction("if($T887&lt;&gt;"""",REGEXEXTRACT($T887, O$1&amp;""[\w &amp;]*, (\d+\.\d+)""),"""")
"),"")</f>
        <v/>
      </c>
      <c r="P887" s="2"/>
      <c r="Q887" s="2"/>
      <c r="R887" s="2"/>
      <c r="S887" s="2"/>
      <c r="T887" s="5"/>
    </row>
    <row r="888" customFormat="false" ht="15.75" hidden="false" customHeight="false" outlineLevel="0" collapsed="false">
      <c r="A888" s="4"/>
      <c r="B888" s="2"/>
      <c r="C888" s="2"/>
      <c r="D888" s="2"/>
      <c r="E888" s="2"/>
      <c r="F888" s="3" t="str">
        <f aca="false">IFERROR(__xludf.dummyfunction("if($T888&lt;&gt;"""",REGEXEXTRACT(SUBSTITUTE ($T888,F$1&amp;"" CE"",""""), F$1&amp;""[\w &amp;]*, (\d+\.\d+)""),"""")
"),"")</f>
        <v/>
      </c>
      <c r="G888" s="3" t="str">
        <f aca="false">IFERROR(__xludf.dummyfunction("if($T888&lt;&gt;"""",REGEXEXTRACT($T888, G$1&amp;""[\w &amp;]*, (\d+\.\d+)""),"""")
"),"")</f>
        <v/>
      </c>
      <c r="H888" s="3"/>
      <c r="I888" s="3" t="str">
        <f aca="false">IFERROR(__xludf.dummyfunction("if($T888&lt;&gt;"""",REGEXEXTRACT(SUBSTITUTE ($T888,I$1&amp;"" CE"",""""), I$1&amp;""[\w &amp;]*, (\d+\.\d+)""),"""")
"),"")</f>
        <v/>
      </c>
      <c r="J888" s="3" t="str">
        <f aca="false">IFERROR(__xludf.dummyfunction("if($T888&lt;&gt;"""",REGEXEXTRACT($T888, J$1&amp;""[\w &amp;]*, (\d+\.\d+)""),"""")
"),"")</f>
        <v/>
      </c>
      <c r="K888" s="3"/>
      <c r="L888" s="3" t="str">
        <f aca="false">IFERROR(__xludf.dummyfunction("if($T888&lt;&gt;"""",REGEXEXTRACT(SUBSTITUTE ($T888,L$1&amp;"" CE"",""""), L$1&amp;""[\w &amp;]*, (\d+\.\d+)""),"""")
"),"")</f>
        <v/>
      </c>
      <c r="M888" s="3" t="str">
        <f aca="false">IFERROR(__xludf.dummyfunction("if($T888&lt;&gt;"""",REGEXEXTRACT($T888, M$1&amp;""[\w &amp;]*, (\d+\.\d+)""),"""")
"),"")</f>
        <v/>
      </c>
      <c r="N888" s="3" t="str">
        <f aca="false">IFERROR(__xludf.dummyfunction("if($T888&lt;&gt;"""",REGEXEXTRACT(SUBSTITUTE ($T888,N$1&amp;"" CE"",""""), N$1&amp;""[\w &amp;]*, (\d+\.\d+)""),"""")
"),"")</f>
        <v/>
      </c>
      <c r="O888" s="3" t="str">
        <f aca="false">IFERROR(__xludf.dummyfunction("if($T888&lt;&gt;"""",REGEXEXTRACT($T888, O$1&amp;""[\w &amp;]*, (\d+\.\d+)""),"""")
"),"")</f>
        <v/>
      </c>
      <c r="P888" s="2"/>
      <c r="Q888" s="2"/>
      <c r="R888" s="2"/>
      <c r="S888" s="2"/>
      <c r="T888" s="5"/>
    </row>
    <row r="889" customFormat="false" ht="15.75" hidden="false" customHeight="false" outlineLevel="0" collapsed="false">
      <c r="A889" s="4"/>
      <c r="B889" s="2"/>
      <c r="C889" s="2"/>
      <c r="D889" s="2"/>
      <c r="E889" s="2"/>
      <c r="F889" s="3" t="str">
        <f aca="false">IFERROR(__xludf.dummyfunction("if($T889&lt;&gt;"""",REGEXEXTRACT(SUBSTITUTE ($T889,F$1&amp;"" CE"",""""), F$1&amp;""[\w &amp;]*, (\d+\.\d+)""),"""")
"),"")</f>
        <v/>
      </c>
      <c r="G889" s="3" t="str">
        <f aca="false">IFERROR(__xludf.dummyfunction("if($T889&lt;&gt;"""",REGEXEXTRACT($T889, G$1&amp;""[\w &amp;]*, (\d+\.\d+)""),"""")
"),"")</f>
        <v/>
      </c>
      <c r="H889" s="3"/>
      <c r="I889" s="3" t="str">
        <f aca="false">IFERROR(__xludf.dummyfunction("if($T889&lt;&gt;"""",REGEXEXTRACT(SUBSTITUTE ($T889,I$1&amp;"" CE"",""""), I$1&amp;""[\w &amp;]*, (\d+\.\d+)""),"""")
"),"")</f>
        <v/>
      </c>
      <c r="J889" s="3" t="str">
        <f aca="false">IFERROR(__xludf.dummyfunction("if($T889&lt;&gt;"""",REGEXEXTRACT($T889, J$1&amp;""[\w &amp;]*, (\d+\.\d+)""),"""")
"),"")</f>
        <v/>
      </c>
      <c r="K889" s="3"/>
      <c r="L889" s="3" t="str">
        <f aca="false">IFERROR(__xludf.dummyfunction("if($T889&lt;&gt;"""",REGEXEXTRACT(SUBSTITUTE ($T889,L$1&amp;"" CE"",""""), L$1&amp;""[\w &amp;]*, (\d+\.\d+)""),"""")
"),"")</f>
        <v/>
      </c>
      <c r="M889" s="3" t="str">
        <f aca="false">IFERROR(__xludf.dummyfunction("if($T889&lt;&gt;"""",REGEXEXTRACT($T889, M$1&amp;""[\w &amp;]*, (\d+\.\d+)""),"""")
"),"")</f>
        <v/>
      </c>
      <c r="N889" s="3" t="str">
        <f aca="false">IFERROR(__xludf.dummyfunction("if($T889&lt;&gt;"""",REGEXEXTRACT(SUBSTITUTE ($T889,N$1&amp;"" CE"",""""), N$1&amp;""[\w &amp;]*, (\d+\.\d+)""),"""")
"),"")</f>
        <v/>
      </c>
      <c r="O889" s="3" t="str">
        <f aca="false">IFERROR(__xludf.dummyfunction("if($T889&lt;&gt;"""",REGEXEXTRACT($T889, O$1&amp;""[\w &amp;]*, (\d+\.\d+)""),"""")
"),"")</f>
        <v/>
      </c>
      <c r="P889" s="2"/>
      <c r="Q889" s="2"/>
      <c r="R889" s="2"/>
      <c r="S889" s="2"/>
      <c r="T889" s="5"/>
    </row>
    <row r="890" customFormat="false" ht="15.75" hidden="false" customHeight="false" outlineLevel="0" collapsed="false">
      <c r="A890" s="4"/>
      <c r="B890" s="2"/>
      <c r="C890" s="2"/>
      <c r="D890" s="2"/>
      <c r="E890" s="2"/>
      <c r="F890" s="3" t="str">
        <f aca="false">IFERROR(__xludf.dummyfunction("if($T890&lt;&gt;"""",REGEXEXTRACT(SUBSTITUTE ($T890,F$1&amp;"" CE"",""""), F$1&amp;""[\w &amp;]*, (\d+\.\d+)""),"""")
"),"")</f>
        <v/>
      </c>
      <c r="G890" s="3" t="str">
        <f aca="false">IFERROR(__xludf.dummyfunction("if($T890&lt;&gt;"""",REGEXEXTRACT($T890, G$1&amp;""[\w &amp;]*, (\d+\.\d+)""),"""")
"),"")</f>
        <v/>
      </c>
      <c r="H890" s="3"/>
      <c r="I890" s="3" t="str">
        <f aca="false">IFERROR(__xludf.dummyfunction("if($T890&lt;&gt;"""",REGEXEXTRACT(SUBSTITUTE ($T890,I$1&amp;"" CE"",""""), I$1&amp;""[\w &amp;]*, (\d+\.\d+)""),"""")
"),"")</f>
        <v/>
      </c>
      <c r="J890" s="3" t="str">
        <f aca="false">IFERROR(__xludf.dummyfunction("if($T890&lt;&gt;"""",REGEXEXTRACT($T890, J$1&amp;""[\w &amp;]*, (\d+\.\d+)""),"""")
"),"")</f>
        <v/>
      </c>
      <c r="K890" s="3"/>
      <c r="L890" s="3" t="str">
        <f aca="false">IFERROR(__xludf.dummyfunction("if($T890&lt;&gt;"""",REGEXEXTRACT(SUBSTITUTE ($T890,L$1&amp;"" CE"",""""), L$1&amp;""[\w &amp;]*, (\d+\.\d+)""),"""")
"),"")</f>
        <v/>
      </c>
      <c r="M890" s="3" t="str">
        <f aca="false">IFERROR(__xludf.dummyfunction("if($T890&lt;&gt;"""",REGEXEXTRACT($T890, M$1&amp;""[\w &amp;]*, (\d+\.\d+)""),"""")
"),"")</f>
        <v/>
      </c>
      <c r="N890" s="3" t="str">
        <f aca="false">IFERROR(__xludf.dummyfunction("if($T890&lt;&gt;"""",REGEXEXTRACT(SUBSTITUTE ($T890,N$1&amp;"" CE"",""""), N$1&amp;""[\w &amp;]*, (\d+\.\d+)""),"""")
"),"")</f>
        <v/>
      </c>
      <c r="O890" s="3" t="str">
        <f aca="false">IFERROR(__xludf.dummyfunction("if($T890&lt;&gt;"""",REGEXEXTRACT($T890, O$1&amp;""[\w &amp;]*, (\d+\.\d+)""),"""")
"),"")</f>
        <v/>
      </c>
      <c r="P890" s="2"/>
      <c r="Q890" s="2"/>
      <c r="R890" s="2"/>
      <c r="S890" s="2"/>
      <c r="T890" s="5"/>
    </row>
    <row r="891" customFormat="false" ht="15.75" hidden="false" customHeight="false" outlineLevel="0" collapsed="false">
      <c r="A891" s="4"/>
      <c r="B891" s="2"/>
      <c r="C891" s="2"/>
      <c r="D891" s="2"/>
      <c r="E891" s="2"/>
      <c r="F891" s="3" t="str">
        <f aca="false">IFERROR(__xludf.dummyfunction("if($T891&lt;&gt;"""",REGEXEXTRACT(SUBSTITUTE ($T891,F$1&amp;"" CE"",""""), F$1&amp;""[\w &amp;]*, (\d+\.\d+)""),"""")
"),"")</f>
        <v/>
      </c>
      <c r="G891" s="3" t="str">
        <f aca="false">IFERROR(__xludf.dummyfunction("if($T891&lt;&gt;"""",REGEXEXTRACT($T891, G$1&amp;""[\w &amp;]*, (\d+\.\d+)""),"""")
"),"")</f>
        <v/>
      </c>
      <c r="H891" s="3"/>
      <c r="I891" s="3" t="str">
        <f aca="false">IFERROR(__xludf.dummyfunction("if($T891&lt;&gt;"""",REGEXEXTRACT(SUBSTITUTE ($T891,I$1&amp;"" CE"",""""), I$1&amp;""[\w &amp;]*, (\d+\.\d+)""),"""")
"),"")</f>
        <v/>
      </c>
      <c r="J891" s="3" t="str">
        <f aca="false">IFERROR(__xludf.dummyfunction("if($T891&lt;&gt;"""",REGEXEXTRACT($T891, J$1&amp;""[\w &amp;]*, (\d+\.\d+)""),"""")
"),"")</f>
        <v/>
      </c>
      <c r="K891" s="3"/>
      <c r="L891" s="3" t="str">
        <f aca="false">IFERROR(__xludf.dummyfunction("if($T891&lt;&gt;"""",REGEXEXTRACT(SUBSTITUTE ($T891,L$1&amp;"" CE"",""""), L$1&amp;""[\w &amp;]*, (\d+\.\d+)""),"""")
"),"")</f>
        <v/>
      </c>
      <c r="M891" s="3" t="str">
        <f aca="false">IFERROR(__xludf.dummyfunction("if($T891&lt;&gt;"""",REGEXEXTRACT($T891, M$1&amp;""[\w &amp;]*, (\d+\.\d+)""),"""")
"),"")</f>
        <v/>
      </c>
      <c r="N891" s="3" t="str">
        <f aca="false">IFERROR(__xludf.dummyfunction("if($T891&lt;&gt;"""",REGEXEXTRACT(SUBSTITUTE ($T891,N$1&amp;"" CE"",""""), N$1&amp;""[\w &amp;]*, (\d+\.\d+)""),"""")
"),"")</f>
        <v/>
      </c>
      <c r="O891" s="3" t="str">
        <f aca="false">IFERROR(__xludf.dummyfunction("if($T891&lt;&gt;"""",REGEXEXTRACT($T891, O$1&amp;""[\w &amp;]*, (\d+\.\d+)""),"""")
"),"")</f>
        <v/>
      </c>
      <c r="P891" s="2"/>
      <c r="Q891" s="2"/>
      <c r="R891" s="2"/>
      <c r="S891" s="2"/>
      <c r="T891" s="5"/>
    </row>
    <row r="892" customFormat="false" ht="15.75" hidden="false" customHeight="false" outlineLevel="0" collapsed="false">
      <c r="A892" s="4"/>
      <c r="B892" s="2"/>
      <c r="C892" s="2"/>
      <c r="D892" s="2"/>
      <c r="E892" s="2"/>
      <c r="F892" s="3" t="str">
        <f aca="false">IFERROR(__xludf.dummyfunction("if($T892&lt;&gt;"""",REGEXEXTRACT(SUBSTITUTE ($T892,F$1&amp;"" CE"",""""), F$1&amp;""[\w &amp;]*, (\d+\.\d+)""),"""")
"),"")</f>
        <v/>
      </c>
      <c r="G892" s="3" t="str">
        <f aca="false">IFERROR(__xludf.dummyfunction("if($T892&lt;&gt;"""",REGEXEXTRACT($T892, G$1&amp;""[\w &amp;]*, (\d+\.\d+)""),"""")
"),"")</f>
        <v/>
      </c>
      <c r="H892" s="3"/>
      <c r="I892" s="3" t="str">
        <f aca="false">IFERROR(__xludf.dummyfunction("if($T892&lt;&gt;"""",REGEXEXTRACT(SUBSTITUTE ($T892,I$1&amp;"" CE"",""""), I$1&amp;""[\w &amp;]*, (\d+\.\d+)""),"""")
"),"")</f>
        <v/>
      </c>
      <c r="J892" s="3" t="str">
        <f aca="false">IFERROR(__xludf.dummyfunction("if($T892&lt;&gt;"""",REGEXEXTRACT($T892, J$1&amp;""[\w &amp;]*, (\d+\.\d+)""),"""")
"),"")</f>
        <v/>
      </c>
      <c r="K892" s="3"/>
      <c r="L892" s="3" t="str">
        <f aca="false">IFERROR(__xludf.dummyfunction("if($T892&lt;&gt;"""",REGEXEXTRACT(SUBSTITUTE ($T892,L$1&amp;"" CE"",""""), L$1&amp;""[\w &amp;]*, (\d+\.\d+)""),"""")
"),"")</f>
        <v/>
      </c>
      <c r="M892" s="3" t="str">
        <f aca="false">IFERROR(__xludf.dummyfunction("if($T892&lt;&gt;"""",REGEXEXTRACT($T892, M$1&amp;""[\w &amp;]*, (\d+\.\d+)""),"""")
"),"")</f>
        <v/>
      </c>
      <c r="N892" s="3" t="str">
        <f aca="false">IFERROR(__xludf.dummyfunction("if($T892&lt;&gt;"""",REGEXEXTRACT(SUBSTITUTE ($T892,N$1&amp;"" CE"",""""), N$1&amp;""[\w &amp;]*, (\d+\.\d+)""),"""")
"),"")</f>
        <v/>
      </c>
      <c r="O892" s="3" t="str">
        <f aca="false">IFERROR(__xludf.dummyfunction("if($T892&lt;&gt;"""",REGEXEXTRACT($T892, O$1&amp;""[\w &amp;]*, (\d+\.\d+)""),"""")
"),"")</f>
        <v/>
      </c>
      <c r="P892" s="2"/>
      <c r="Q892" s="2"/>
      <c r="R892" s="2"/>
      <c r="S892" s="2"/>
      <c r="T892" s="5"/>
    </row>
    <row r="893" customFormat="false" ht="15.75" hidden="false" customHeight="false" outlineLevel="0" collapsed="false">
      <c r="A893" s="4"/>
      <c r="B893" s="2"/>
      <c r="C893" s="2"/>
      <c r="D893" s="2"/>
      <c r="E893" s="2"/>
      <c r="F893" s="3" t="str">
        <f aca="false">IFERROR(__xludf.dummyfunction("if($T893&lt;&gt;"""",REGEXEXTRACT(SUBSTITUTE ($T893,F$1&amp;"" CE"",""""), F$1&amp;""[\w &amp;]*, (\d+\.\d+)""),"""")
"),"")</f>
        <v/>
      </c>
      <c r="G893" s="3" t="str">
        <f aca="false">IFERROR(__xludf.dummyfunction("if($T893&lt;&gt;"""",REGEXEXTRACT($T893, G$1&amp;""[\w &amp;]*, (\d+\.\d+)""),"""")
"),"")</f>
        <v/>
      </c>
      <c r="H893" s="3"/>
      <c r="I893" s="3" t="str">
        <f aca="false">IFERROR(__xludf.dummyfunction("if($T893&lt;&gt;"""",REGEXEXTRACT(SUBSTITUTE ($T893,I$1&amp;"" CE"",""""), I$1&amp;""[\w &amp;]*, (\d+\.\d+)""),"""")
"),"")</f>
        <v/>
      </c>
      <c r="J893" s="3" t="str">
        <f aca="false">IFERROR(__xludf.dummyfunction("if($T893&lt;&gt;"""",REGEXEXTRACT($T893, J$1&amp;""[\w &amp;]*, (\d+\.\d+)""),"""")
"),"")</f>
        <v/>
      </c>
      <c r="K893" s="3"/>
      <c r="L893" s="3" t="str">
        <f aca="false">IFERROR(__xludf.dummyfunction("if($T893&lt;&gt;"""",REGEXEXTRACT(SUBSTITUTE ($T893,L$1&amp;"" CE"",""""), L$1&amp;""[\w &amp;]*, (\d+\.\d+)""),"""")
"),"")</f>
        <v/>
      </c>
      <c r="M893" s="3" t="str">
        <f aca="false">IFERROR(__xludf.dummyfunction("if($T893&lt;&gt;"""",REGEXEXTRACT($T893, M$1&amp;""[\w &amp;]*, (\d+\.\d+)""),"""")
"),"")</f>
        <v/>
      </c>
      <c r="N893" s="3" t="str">
        <f aca="false">IFERROR(__xludf.dummyfunction("if($T893&lt;&gt;"""",REGEXEXTRACT(SUBSTITUTE ($T893,N$1&amp;"" CE"",""""), N$1&amp;""[\w &amp;]*, (\d+\.\d+)""),"""")
"),"")</f>
        <v/>
      </c>
      <c r="O893" s="3" t="str">
        <f aca="false">IFERROR(__xludf.dummyfunction("if($T893&lt;&gt;"""",REGEXEXTRACT($T893, O$1&amp;""[\w &amp;]*, (\d+\.\d+)""),"""")
"),"")</f>
        <v/>
      </c>
      <c r="P893" s="2"/>
      <c r="Q893" s="2"/>
      <c r="R893" s="2"/>
      <c r="S893" s="2"/>
      <c r="T893" s="5"/>
    </row>
    <row r="894" customFormat="false" ht="15.75" hidden="false" customHeight="false" outlineLevel="0" collapsed="false">
      <c r="A894" s="4"/>
      <c r="B894" s="2"/>
      <c r="C894" s="2"/>
      <c r="D894" s="2"/>
      <c r="E894" s="2"/>
      <c r="F894" s="3" t="str">
        <f aca="false">IFERROR(__xludf.dummyfunction("if($T894&lt;&gt;"""",REGEXEXTRACT(SUBSTITUTE ($T894,F$1&amp;"" CE"",""""), F$1&amp;""[\w &amp;]*, (\d+\.\d+)""),"""")
"),"")</f>
        <v/>
      </c>
      <c r="G894" s="3" t="str">
        <f aca="false">IFERROR(__xludf.dummyfunction("if($T894&lt;&gt;"""",REGEXEXTRACT($T894, G$1&amp;""[\w &amp;]*, (\d+\.\d+)""),"""")
"),"")</f>
        <v/>
      </c>
      <c r="H894" s="3"/>
      <c r="I894" s="3" t="str">
        <f aca="false">IFERROR(__xludf.dummyfunction("if($T894&lt;&gt;"""",REGEXEXTRACT(SUBSTITUTE ($T894,I$1&amp;"" CE"",""""), I$1&amp;""[\w &amp;]*, (\d+\.\d+)""),"""")
"),"")</f>
        <v/>
      </c>
      <c r="J894" s="3" t="str">
        <f aca="false">IFERROR(__xludf.dummyfunction("if($T894&lt;&gt;"""",REGEXEXTRACT($T894, J$1&amp;""[\w &amp;]*, (\d+\.\d+)""),"""")
"),"")</f>
        <v/>
      </c>
      <c r="K894" s="3"/>
      <c r="L894" s="3" t="str">
        <f aca="false">IFERROR(__xludf.dummyfunction("if($T894&lt;&gt;"""",REGEXEXTRACT(SUBSTITUTE ($T894,L$1&amp;"" CE"",""""), L$1&amp;""[\w &amp;]*, (\d+\.\d+)""),"""")
"),"")</f>
        <v/>
      </c>
      <c r="M894" s="3" t="str">
        <f aca="false">IFERROR(__xludf.dummyfunction("if($T894&lt;&gt;"""",REGEXEXTRACT($T894, M$1&amp;""[\w &amp;]*, (\d+\.\d+)""),"""")
"),"")</f>
        <v/>
      </c>
      <c r="N894" s="3" t="str">
        <f aca="false">IFERROR(__xludf.dummyfunction("if($T894&lt;&gt;"""",REGEXEXTRACT(SUBSTITUTE ($T894,N$1&amp;"" CE"",""""), N$1&amp;""[\w &amp;]*, (\d+\.\d+)""),"""")
"),"")</f>
        <v/>
      </c>
      <c r="O894" s="3" t="str">
        <f aca="false">IFERROR(__xludf.dummyfunction("if($T894&lt;&gt;"""",REGEXEXTRACT($T894, O$1&amp;""[\w &amp;]*, (\d+\.\d+)""),"""")
"),"")</f>
        <v/>
      </c>
      <c r="P894" s="2"/>
      <c r="Q894" s="2"/>
      <c r="R894" s="2"/>
      <c r="S894" s="2"/>
      <c r="T894" s="5"/>
    </row>
    <row r="895" customFormat="false" ht="15.75" hidden="false" customHeight="false" outlineLevel="0" collapsed="false">
      <c r="A895" s="4"/>
      <c r="B895" s="2"/>
      <c r="C895" s="2"/>
      <c r="D895" s="2"/>
      <c r="E895" s="2"/>
      <c r="F895" s="3" t="str">
        <f aca="false">IFERROR(__xludf.dummyfunction("if($T895&lt;&gt;"""",REGEXEXTRACT(SUBSTITUTE ($T895,F$1&amp;"" CE"",""""), F$1&amp;""[\w &amp;]*, (\d+\.\d+)""),"""")
"),"")</f>
        <v/>
      </c>
      <c r="G895" s="3" t="str">
        <f aca="false">IFERROR(__xludf.dummyfunction("if($T895&lt;&gt;"""",REGEXEXTRACT($T895, G$1&amp;""[\w &amp;]*, (\d+\.\d+)""),"""")
"),"")</f>
        <v/>
      </c>
      <c r="H895" s="3"/>
      <c r="I895" s="3" t="str">
        <f aca="false">IFERROR(__xludf.dummyfunction("if($T895&lt;&gt;"""",REGEXEXTRACT(SUBSTITUTE ($T895,I$1&amp;"" CE"",""""), I$1&amp;""[\w &amp;]*, (\d+\.\d+)""),"""")
"),"")</f>
        <v/>
      </c>
      <c r="J895" s="3" t="str">
        <f aca="false">IFERROR(__xludf.dummyfunction("if($T895&lt;&gt;"""",REGEXEXTRACT($T895, J$1&amp;""[\w &amp;]*, (\d+\.\d+)""),"""")
"),"")</f>
        <v/>
      </c>
      <c r="K895" s="3"/>
      <c r="L895" s="3" t="str">
        <f aca="false">IFERROR(__xludf.dummyfunction("if($T895&lt;&gt;"""",REGEXEXTRACT(SUBSTITUTE ($T895,L$1&amp;"" CE"",""""), L$1&amp;""[\w &amp;]*, (\d+\.\d+)""),"""")
"),"")</f>
        <v/>
      </c>
      <c r="M895" s="3" t="str">
        <f aca="false">IFERROR(__xludf.dummyfunction("if($T895&lt;&gt;"""",REGEXEXTRACT($T895, M$1&amp;""[\w &amp;]*, (\d+\.\d+)""),"""")
"),"")</f>
        <v/>
      </c>
      <c r="N895" s="3" t="str">
        <f aca="false">IFERROR(__xludf.dummyfunction("if($T895&lt;&gt;"""",REGEXEXTRACT(SUBSTITUTE ($T895,N$1&amp;"" CE"",""""), N$1&amp;""[\w &amp;]*, (\d+\.\d+)""),"""")
"),"")</f>
        <v/>
      </c>
      <c r="O895" s="3" t="str">
        <f aca="false">IFERROR(__xludf.dummyfunction("if($T895&lt;&gt;"""",REGEXEXTRACT($T895, O$1&amp;""[\w &amp;]*, (\d+\.\d+)""),"""")
"),"")</f>
        <v/>
      </c>
      <c r="P895" s="2"/>
      <c r="Q895" s="2"/>
      <c r="R895" s="2"/>
      <c r="S895" s="2"/>
      <c r="T895" s="5"/>
    </row>
    <row r="896" customFormat="false" ht="15.75" hidden="false" customHeight="false" outlineLevel="0" collapsed="false">
      <c r="A896" s="4"/>
      <c r="B896" s="2"/>
      <c r="C896" s="2"/>
      <c r="D896" s="2"/>
      <c r="E896" s="2"/>
      <c r="F896" s="3" t="str">
        <f aca="false">IFERROR(__xludf.dummyfunction("if($T896&lt;&gt;"""",REGEXEXTRACT(SUBSTITUTE ($T896,F$1&amp;"" CE"",""""), F$1&amp;""[\w &amp;]*, (\d+\.\d+)""),"""")
"),"")</f>
        <v/>
      </c>
      <c r="G896" s="3" t="str">
        <f aca="false">IFERROR(__xludf.dummyfunction("if($T896&lt;&gt;"""",REGEXEXTRACT($T896, G$1&amp;""[\w &amp;]*, (\d+\.\d+)""),"""")
"),"")</f>
        <v/>
      </c>
      <c r="H896" s="3"/>
      <c r="I896" s="3" t="str">
        <f aca="false">IFERROR(__xludf.dummyfunction("if($T896&lt;&gt;"""",REGEXEXTRACT(SUBSTITUTE ($T896,I$1&amp;"" CE"",""""), I$1&amp;""[\w &amp;]*, (\d+\.\d+)""),"""")
"),"")</f>
        <v/>
      </c>
      <c r="J896" s="3" t="str">
        <f aca="false">IFERROR(__xludf.dummyfunction("if($T896&lt;&gt;"""",REGEXEXTRACT($T896, J$1&amp;""[\w &amp;]*, (\d+\.\d+)""),"""")
"),"")</f>
        <v/>
      </c>
      <c r="K896" s="3"/>
      <c r="L896" s="3" t="str">
        <f aca="false">IFERROR(__xludf.dummyfunction("if($T896&lt;&gt;"""",REGEXEXTRACT(SUBSTITUTE ($T896,L$1&amp;"" CE"",""""), L$1&amp;""[\w &amp;]*, (\d+\.\d+)""),"""")
"),"")</f>
        <v/>
      </c>
      <c r="M896" s="3" t="str">
        <f aca="false">IFERROR(__xludf.dummyfunction("if($T896&lt;&gt;"""",REGEXEXTRACT($T896, M$1&amp;""[\w &amp;]*, (\d+\.\d+)""),"""")
"),"")</f>
        <v/>
      </c>
      <c r="N896" s="3" t="str">
        <f aca="false">IFERROR(__xludf.dummyfunction("if($T896&lt;&gt;"""",REGEXEXTRACT(SUBSTITUTE ($T896,N$1&amp;"" CE"",""""), N$1&amp;""[\w &amp;]*, (\d+\.\d+)""),"""")
"),"")</f>
        <v/>
      </c>
      <c r="O896" s="3" t="str">
        <f aca="false">IFERROR(__xludf.dummyfunction("if($T896&lt;&gt;"""",REGEXEXTRACT($T896, O$1&amp;""[\w &amp;]*, (\d+\.\d+)""),"""")
"),"")</f>
        <v/>
      </c>
      <c r="P896" s="2"/>
      <c r="Q896" s="2"/>
      <c r="R896" s="2"/>
      <c r="S896" s="2"/>
      <c r="T896" s="5"/>
    </row>
    <row r="897" customFormat="false" ht="15.75" hidden="false" customHeight="false" outlineLevel="0" collapsed="false">
      <c r="A897" s="4"/>
      <c r="B897" s="2"/>
      <c r="C897" s="2"/>
      <c r="D897" s="2"/>
      <c r="E897" s="2"/>
      <c r="F897" s="3" t="str">
        <f aca="false">IFERROR(__xludf.dummyfunction("if($T897&lt;&gt;"""",REGEXEXTRACT(SUBSTITUTE ($T897,F$1&amp;"" CE"",""""), F$1&amp;""[\w &amp;]*, (\d+\.\d+)""),"""")
"),"")</f>
        <v/>
      </c>
      <c r="G897" s="3" t="str">
        <f aca="false">IFERROR(__xludf.dummyfunction("if($T897&lt;&gt;"""",REGEXEXTRACT($T897, G$1&amp;""[\w &amp;]*, (\d+\.\d+)""),"""")
"),"")</f>
        <v/>
      </c>
      <c r="H897" s="3"/>
      <c r="I897" s="3" t="str">
        <f aca="false">IFERROR(__xludf.dummyfunction("if($T897&lt;&gt;"""",REGEXEXTRACT(SUBSTITUTE ($T897,I$1&amp;"" CE"",""""), I$1&amp;""[\w &amp;]*, (\d+\.\d+)""),"""")
"),"")</f>
        <v/>
      </c>
      <c r="J897" s="3" t="str">
        <f aca="false">IFERROR(__xludf.dummyfunction("if($T897&lt;&gt;"""",REGEXEXTRACT($T897, J$1&amp;""[\w &amp;]*, (\d+\.\d+)""),"""")
"),"")</f>
        <v/>
      </c>
      <c r="K897" s="3"/>
      <c r="L897" s="3" t="str">
        <f aca="false">IFERROR(__xludf.dummyfunction("if($T897&lt;&gt;"""",REGEXEXTRACT(SUBSTITUTE ($T897,L$1&amp;"" CE"",""""), L$1&amp;""[\w &amp;]*, (\d+\.\d+)""),"""")
"),"")</f>
        <v/>
      </c>
      <c r="M897" s="3" t="str">
        <f aca="false">IFERROR(__xludf.dummyfunction("if($T897&lt;&gt;"""",REGEXEXTRACT($T897, M$1&amp;""[\w &amp;]*, (\d+\.\d+)""),"""")
"),"")</f>
        <v/>
      </c>
      <c r="N897" s="3" t="str">
        <f aca="false">IFERROR(__xludf.dummyfunction("if($T897&lt;&gt;"""",REGEXEXTRACT(SUBSTITUTE ($T897,N$1&amp;"" CE"",""""), N$1&amp;""[\w &amp;]*, (\d+\.\d+)""),"""")
"),"")</f>
        <v/>
      </c>
      <c r="O897" s="3" t="str">
        <f aca="false">IFERROR(__xludf.dummyfunction("if($T897&lt;&gt;"""",REGEXEXTRACT($T897, O$1&amp;""[\w &amp;]*, (\d+\.\d+)""),"""")
"),"")</f>
        <v/>
      </c>
      <c r="P897" s="2"/>
      <c r="Q897" s="2"/>
      <c r="R897" s="2"/>
      <c r="S897" s="2"/>
      <c r="T897" s="5"/>
    </row>
    <row r="898" customFormat="false" ht="15.75" hidden="false" customHeight="false" outlineLevel="0" collapsed="false">
      <c r="A898" s="4"/>
      <c r="B898" s="2"/>
      <c r="C898" s="2"/>
      <c r="D898" s="2"/>
      <c r="E898" s="2"/>
      <c r="F898" s="3" t="str">
        <f aca="false">IFERROR(__xludf.dummyfunction("if($T898&lt;&gt;"""",REGEXEXTRACT(SUBSTITUTE ($T898,F$1&amp;"" CE"",""""), F$1&amp;""[\w &amp;]*, (\d+\.\d+)""),"""")
"),"")</f>
        <v/>
      </c>
      <c r="G898" s="3" t="str">
        <f aca="false">IFERROR(__xludf.dummyfunction("if($T898&lt;&gt;"""",REGEXEXTRACT($T898, G$1&amp;""[\w &amp;]*, (\d+\.\d+)""),"""")
"),"")</f>
        <v/>
      </c>
      <c r="H898" s="3"/>
      <c r="I898" s="3" t="str">
        <f aca="false">IFERROR(__xludf.dummyfunction("if($T898&lt;&gt;"""",REGEXEXTRACT(SUBSTITUTE ($T898,I$1&amp;"" CE"",""""), I$1&amp;""[\w &amp;]*, (\d+\.\d+)""),"""")
"),"")</f>
        <v/>
      </c>
      <c r="J898" s="3" t="str">
        <f aca="false">IFERROR(__xludf.dummyfunction("if($T898&lt;&gt;"""",REGEXEXTRACT($T898, J$1&amp;""[\w &amp;]*, (\d+\.\d+)""),"""")
"),"")</f>
        <v/>
      </c>
      <c r="K898" s="3"/>
      <c r="L898" s="3" t="str">
        <f aca="false">IFERROR(__xludf.dummyfunction("if($T898&lt;&gt;"""",REGEXEXTRACT(SUBSTITUTE ($T898,L$1&amp;"" CE"",""""), L$1&amp;""[\w &amp;]*, (\d+\.\d+)""),"""")
"),"")</f>
        <v/>
      </c>
      <c r="M898" s="3" t="str">
        <f aca="false">IFERROR(__xludf.dummyfunction("if($T898&lt;&gt;"""",REGEXEXTRACT($T898, M$1&amp;""[\w &amp;]*, (\d+\.\d+)""),"""")
"),"")</f>
        <v/>
      </c>
      <c r="N898" s="3" t="str">
        <f aca="false">IFERROR(__xludf.dummyfunction("if($T898&lt;&gt;"""",REGEXEXTRACT(SUBSTITUTE ($T898,N$1&amp;"" CE"",""""), N$1&amp;""[\w &amp;]*, (\d+\.\d+)""),"""")
"),"")</f>
        <v/>
      </c>
      <c r="O898" s="3" t="str">
        <f aca="false">IFERROR(__xludf.dummyfunction("if($T898&lt;&gt;"""",REGEXEXTRACT($T898, O$1&amp;""[\w &amp;]*, (\d+\.\d+)""),"""")
"),"")</f>
        <v/>
      </c>
      <c r="P898" s="2"/>
      <c r="Q898" s="2"/>
      <c r="R898" s="2"/>
      <c r="S898" s="2"/>
      <c r="T898" s="5"/>
    </row>
    <row r="899" customFormat="false" ht="15.75" hidden="false" customHeight="false" outlineLevel="0" collapsed="false">
      <c r="A899" s="4"/>
      <c r="B899" s="2"/>
      <c r="C899" s="2"/>
      <c r="D899" s="2"/>
      <c r="E899" s="2"/>
      <c r="F899" s="3" t="str">
        <f aca="false">IFERROR(__xludf.dummyfunction("if($T899&lt;&gt;"""",REGEXEXTRACT(SUBSTITUTE ($T899,F$1&amp;"" CE"",""""), F$1&amp;""[\w &amp;]*, (\d+\.\d+)""),"""")
"),"")</f>
        <v/>
      </c>
      <c r="G899" s="3" t="str">
        <f aca="false">IFERROR(__xludf.dummyfunction("if($T899&lt;&gt;"""",REGEXEXTRACT($T899, G$1&amp;""[\w &amp;]*, (\d+\.\d+)""),"""")
"),"")</f>
        <v/>
      </c>
      <c r="H899" s="3"/>
      <c r="I899" s="3" t="str">
        <f aca="false">IFERROR(__xludf.dummyfunction("if($T899&lt;&gt;"""",REGEXEXTRACT(SUBSTITUTE ($T899,I$1&amp;"" CE"",""""), I$1&amp;""[\w &amp;]*, (\d+\.\d+)""),"""")
"),"")</f>
        <v/>
      </c>
      <c r="J899" s="3" t="str">
        <f aca="false">IFERROR(__xludf.dummyfunction("if($T899&lt;&gt;"""",REGEXEXTRACT($T899, J$1&amp;""[\w &amp;]*, (\d+\.\d+)""),"""")
"),"")</f>
        <v/>
      </c>
      <c r="K899" s="3"/>
      <c r="L899" s="3" t="str">
        <f aca="false">IFERROR(__xludf.dummyfunction("if($T899&lt;&gt;"""",REGEXEXTRACT(SUBSTITUTE ($T899,L$1&amp;"" CE"",""""), L$1&amp;""[\w &amp;]*, (\d+\.\d+)""),"""")
"),"")</f>
        <v/>
      </c>
      <c r="M899" s="3" t="str">
        <f aca="false">IFERROR(__xludf.dummyfunction("if($T899&lt;&gt;"""",REGEXEXTRACT($T899, M$1&amp;""[\w &amp;]*, (\d+\.\d+)""),"""")
"),"")</f>
        <v/>
      </c>
      <c r="N899" s="3" t="str">
        <f aca="false">IFERROR(__xludf.dummyfunction("if($T899&lt;&gt;"""",REGEXEXTRACT(SUBSTITUTE ($T899,N$1&amp;"" CE"",""""), N$1&amp;""[\w &amp;]*, (\d+\.\d+)""),"""")
"),"")</f>
        <v/>
      </c>
      <c r="O899" s="3" t="str">
        <f aca="false">IFERROR(__xludf.dummyfunction("if($T899&lt;&gt;"""",REGEXEXTRACT($T899, O$1&amp;""[\w &amp;]*, (\d+\.\d+)""),"""")
"),"")</f>
        <v/>
      </c>
      <c r="P899" s="2"/>
      <c r="Q899" s="2"/>
      <c r="R899" s="2"/>
      <c r="S899" s="2"/>
      <c r="T899" s="5"/>
    </row>
    <row r="900" customFormat="false" ht="15.75" hidden="false" customHeight="false" outlineLevel="0" collapsed="false">
      <c r="A900" s="4"/>
      <c r="B900" s="2"/>
      <c r="C900" s="2"/>
      <c r="D900" s="2"/>
      <c r="E900" s="2"/>
      <c r="F900" s="3" t="str">
        <f aca="false">IFERROR(__xludf.dummyfunction("if($T900&lt;&gt;"""",REGEXEXTRACT(SUBSTITUTE ($T900,F$1&amp;"" CE"",""""), F$1&amp;""[\w &amp;]*, (\d+\.\d+)""),"""")
"),"")</f>
        <v/>
      </c>
      <c r="G900" s="3" t="str">
        <f aca="false">IFERROR(__xludf.dummyfunction("if($T900&lt;&gt;"""",REGEXEXTRACT($T900, G$1&amp;""[\w &amp;]*, (\d+\.\d+)""),"""")
"),"")</f>
        <v/>
      </c>
      <c r="H900" s="3"/>
      <c r="I900" s="3" t="str">
        <f aca="false">IFERROR(__xludf.dummyfunction("if($T900&lt;&gt;"""",REGEXEXTRACT(SUBSTITUTE ($T900,I$1&amp;"" CE"",""""), I$1&amp;""[\w &amp;]*, (\d+\.\d+)""),"""")
"),"")</f>
        <v/>
      </c>
      <c r="J900" s="3" t="str">
        <f aca="false">IFERROR(__xludf.dummyfunction("if($T900&lt;&gt;"""",REGEXEXTRACT($T900, J$1&amp;""[\w &amp;]*, (\d+\.\d+)""),"""")
"),"")</f>
        <v/>
      </c>
      <c r="K900" s="3"/>
      <c r="L900" s="3" t="str">
        <f aca="false">IFERROR(__xludf.dummyfunction("if($T900&lt;&gt;"""",REGEXEXTRACT(SUBSTITUTE ($T900,L$1&amp;"" CE"",""""), L$1&amp;""[\w &amp;]*, (\d+\.\d+)""),"""")
"),"")</f>
        <v/>
      </c>
      <c r="M900" s="3" t="str">
        <f aca="false">IFERROR(__xludf.dummyfunction("if($T900&lt;&gt;"""",REGEXEXTRACT($T900, M$1&amp;""[\w &amp;]*, (\d+\.\d+)""),"""")
"),"")</f>
        <v/>
      </c>
      <c r="N900" s="3" t="str">
        <f aca="false">IFERROR(__xludf.dummyfunction("if($T900&lt;&gt;"""",REGEXEXTRACT(SUBSTITUTE ($T900,N$1&amp;"" CE"",""""), N$1&amp;""[\w &amp;]*, (\d+\.\d+)""),"""")
"),"")</f>
        <v/>
      </c>
      <c r="O900" s="3" t="str">
        <f aca="false">IFERROR(__xludf.dummyfunction("if($T900&lt;&gt;"""",REGEXEXTRACT($T900, O$1&amp;""[\w &amp;]*, (\d+\.\d+)""),"""")
"),"")</f>
        <v/>
      </c>
      <c r="P900" s="2"/>
      <c r="Q900" s="2"/>
      <c r="R900" s="2"/>
      <c r="S900" s="2"/>
      <c r="T900" s="5"/>
    </row>
    <row r="901" customFormat="false" ht="15.75" hidden="false" customHeight="false" outlineLevel="0" collapsed="false">
      <c r="A901" s="4"/>
      <c r="B901" s="2"/>
      <c r="C901" s="2"/>
      <c r="D901" s="2"/>
      <c r="E901" s="2"/>
      <c r="F901" s="3" t="str">
        <f aca="false">IFERROR(__xludf.dummyfunction("if($T901&lt;&gt;"""",REGEXEXTRACT(SUBSTITUTE ($T901,F$1&amp;"" CE"",""""), F$1&amp;""[\w &amp;]*, (\d+\.\d+)""),"""")
"),"")</f>
        <v/>
      </c>
      <c r="G901" s="3" t="str">
        <f aca="false">IFERROR(__xludf.dummyfunction("if($T901&lt;&gt;"""",REGEXEXTRACT($T901, G$1&amp;""[\w &amp;]*, (\d+\.\d+)""),"""")
"),"")</f>
        <v/>
      </c>
      <c r="H901" s="3"/>
      <c r="I901" s="3" t="str">
        <f aca="false">IFERROR(__xludf.dummyfunction("if($T901&lt;&gt;"""",REGEXEXTRACT(SUBSTITUTE ($T901,I$1&amp;"" CE"",""""), I$1&amp;""[\w &amp;]*, (\d+\.\d+)""),"""")
"),"")</f>
        <v/>
      </c>
      <c r="J901" s="3" t="str">
        <f aca="false">IFERROR(__xludf.dummyfunction("if($T901&lt;&gt;"""",REGEXEXTRACT($T901, J$1&amp;""[\w &amp;]*, (\d+\.\d+)""),"""")
"),"")</f>
        <v/>
      </c>
      <c r="K901" s="3"/>
      <c r="L901" s="3" t="str">
        <f aca="false">IFERROR(__xludf.dummyfunction("if($T901&lt;&gt;"""",REGEXEXTRACT(SUBSTITUTE ($T901,L$1&amp;"" CE"",""""), L$1&amp;""[\w &amp;]*, (\d+\.\d+)""),"""")
"),"")</f>
        <v/>
      </c>
      <c r="M901" s="3" t="str">
        <f aca="false">IFERROR(__xludf.dummyfunction("if($T901&lt;&gt;"""",REGEXEXTRACT($T901, M$1&amp;""[\w &amp;]*, (\d+\.\d+)""),"""")
"),"")</f>
        <v/>
      </c>
      <c r="N901" s="3" t="str">
        <f aca="false">IFERROR(__xludf.dummyfunction("if($T901&lt;&gt;"""",REGEXEXTRACT(SUBSTITUTE ($T901,N$1&amp;"" CE"",""""), N$1&amp;""[\w &amp;]*, (\d+\.\d+)""),"""")
"),"")</f>
        <v/>
      </c>
      <c r="O901" s="3" t="str">
        <f aca="false">IFERROR(__xludf.dummyfunction("if($T901&lt;&gt;"""",REGEXEXTRACT($T901, O$1&amp;""[\w &amp;]*, (\d+\.\d+)""),"""")
"),"")</f>
        <v/>
      </c>
      <c r="P901" s="2"/>
      <c r="Q901" s="2"/>
      <c r="R901" s="2"/>
      <c r="S901" s="2"/>
      <c r="T901" s="5"/>
    </row>
    <row r="902" customFormat="false" ht="15.75" hidden="false" customHeight="false" outlineLevel="0" collapsed="false">
      <c r="A902" s="4"/>
      <c r="B902" s="2"/>
      <c r="C902" s="2"/>
      <c r="D902" s="2"/>
      <c r="E902" s="2"/>
      <c r="F902" s="3" t="str">
        <f aca="false">IFERROR(__xludf.dummyfunction("if($T902&lt;&gt;"""",REGEXEXTRACT(SUBSTITUTE ($T902,F$1&amp;"" CE"",""""), F$1&amp;""[\w &amp;]*, (\d+\.\d+)""),"""")
"),"")</f>
        <v/>
      </c>
      <c r="G902" s="3" t="str">
        <f aca="false">IFERROR(__xludf.dummyfunction("if($T902&lt;&gt;"""",REGEXEXTRACT($T902, G$1&amp;""[\w &amp;]*, (\d+\.\d+)""),"""")
"),"")</f>
        <v/>
      </c>
      <c r="H902" s="3"/>
      <c r="I902" s="3" t="str">
        <f aca="false">IFERROR(__xludf.dummyfunction("if($T902&lt;&gt;"""",REGEXEXTRACT(SUBSTITUTE ($T902,I$1&amp;"" CE"",""""), I$1&amp;""[\w &amp;]*, (\d+\.\d+)""),"""")
"),"")</f>
        <v/>
      </c>
      <c r="J902" s="3" t="str">
        <f aca="false">IFERROR(__xludf.dummyfunction("if($T902&lt;&gt;"""",REGEXEXTRACT($T902, J$1&amp;""[\w &amp;]*, (\d+\.\d+)""),"""")
"),"")</f>
        <v/>
      </c>
      <c r="K902" s="3"/>
      <c r="L902" s="3" t="str">
        <f aca="false">IFERROR(__xludf.dummyfunction("if($T902&lt;&gt;"""",REGEXEXTRACT(SUBSTITUTE ($T902,L$1&amp;"" CE"",""""), L$1&amp;""[\w &amp;]*, (\d+\.\d+)""),"""")
"),"")</f>
        <v/>
      </c>
      <c r="M902" s="3" t="str">
        <f aca="false">IFERROR(__xludf.dummyfunction("if($T902&lt;&gt;"""",REGEXEXTRACT($T902, M$1&amp;""[\w &amp;]*, (\d+\.\d+)""),"""")
"),"")</f>
        <v/>
      </c>
      <c r="N902" s="3" t="str">
        <f aca="false">IFERROR(__xludf.dummyfunction("if($T902&lt;&gt;"""",REGEXEXTRACT(SUBSTITUTE ($T902,N$1&amp;"" CE"",""""), N$1&amp;""[\w &amp;]*, (\d+\.\d+)""),"""")
"),"")</f>
        <v/>
      </c>
      <c r="O902" s="3" t="str">
        <f aca="false">IFERROR(__xludf.dummyfunction("if($T902&lt;&gt;"""",REGEXEXTRACT($T902, O$1&amp;""[\w &amp;]*, (\d+\.\d+)""),"""")
"),"")</f>
        <v/>
      </c>
      <c r="P902" s="2"/>
      <c r="Q902" s="2"/>
      <c r="R902" s="2"/>
      <c r="S902" s="2"/>
      <c r="T902" s="5"/>
    </row>
    <row r="903" customFormat="false" ht="15.75" hidden="false" customHeight="false" outlineLevel="0" collapsed="false">
      <c r="A903" s="4"/>
      <c r="B903" s="2"/>
      <c r="C903" s="2"/>
      <c r="D903" s="2"/>
      <c r="E903" s="2"/>
      <c r="F903" s="3" t="str">
        <f aca="false">IFERROR(__xludf.dummyfunction("if($T903&lt;&gt;"""",REGEXEXTRACT(SUBSTITUTE ($T903,F$1&amp;"" CE"",""""), F$1&amp;""[\w &amp;]*, (\d+\.\d+)""),"""")
"),"")</f>
        <v/>
      </c>
      <c r="G903" s="3" t="str">
        <f aca="false">IFERROR(__xludf.dummyfunction("if($T903&lt;&gt;"""",REGEXEXTRACT($T903, G$1&amp;""[\w &amp;]*, (\d+\.\d+)""),"""")
"),"")</f>
        <v/>
      </c>
      <c r="H903" s="3"/>
      <c r="I903" s="3" t="str">
        <f aca="false">IFERROR(__xludf.dummyfunction("if($T903&lt;&gt;"""",REGEXEXTRACT(SUBSTITUTE ($T903,I$1&amp;"" CE"",""""), I$1&amp;""[\w &amp;]*, (\d+\.\d+)""),"""")
"),"")</f>
        <v/>
      </c>
      <c r="J903" s="3" t="str">
        <f aca="false">IFERROR(__xludf.dummyfunction("if($T903&lt;&gt;"""",REGEXEXTRACT($T903, J$1&amp;""[\w &amp;]*, (\d+\.\d+)""),"""")
"),"")</f>
        <v/>
      </c>
      <c r="K903" s="3"/>
      <c r="L903" s="3" t="str">
        <f aca="false">IFERROR(__xludf.dummyfunction("if($T903&lt;&gt;"""",REGEXEXTRACT(SUBSTITUTE ($T903,L$1&amp;"" CE"",""""), L$1&amp;""[\w &amp;]*, (\d+\.\d+)""),"""")
"),"")</f>
        <v/>
      </c>
      <c r="M903" s="3" t="str">
        <f aca="false">IFERROR(__xludf.dummyfunction("if($T903&lt;&gt;"""",REGEXEXTRACT($T903, M$1&amp;""[\w &amp;]*, (\d+\.\d+)""),"""")
"),"")</f>
        <v/>
      </c>
      <c r="N903" s="3" t="str">
        <f aca="false">IFERROR(__xludf.dummyfunction("if($T903&lt;&gt;"""",REGEXEXTRACT(SUBSTITUTE ($T903,N$1&amp;"" CE"",""""), N$1&amp;""[\w &amp;]*, (\d+\.\d+)""),"""")
"),"")</f>
        <v/>
      </c>
      <c r="O903" s="3" t="str">
        <f aca="false">IFERROR(__xludf.dummyfunction("if($T903&lt;&gt;"""",REGEXEXTRACT($T903, O$1&amp;""[\w &amp;]*, (\d+\.\d+)""),"""")
"),"")</f>
        <v/>
      </c>
      <c r="P903" s="2"/>
      <c r="Q903" s="2"/>
      <c r="R903" s="2"/>
      <c r="S903" s="2"/>
      <c r="T903" s="5"/>
    </row>
    <row r="904" customFormat="false" ht="15.75" hidden="false" customHeight="false" outlineLevel="0" collapsed="false">
      <c r="A904" s="4"/>
      <c r="B904" s="2"/>
      <c r="C904" s="2"/>
      <c r="D904" s="2"/>
      <c r="E904" s="2"/>
      <c r="F904" s="3" t="str">
        <f aca="false">IFERROR(__xludf.dummyfunction("if($T904&lt;&gt;"""",REGEXEXTRACT(SUBSTITUTE ($T904,F$1&amp;"" CE"",""""), F$1&amp;""[\w &amp;]*, (\d+\.\d+)""),"""")
"),"")</f>
        <v/>
      </c>
      <c r="G904" s="3" t="str">
        <f aca="false">IFERROR(__xludf.dummyfunction("if($T904&lt;&gt;"""",REGEXEXTRACT($T904, G$1&amp;""[\w &amp;]*, (\d+\.\d+)""),"""")
"),"")</f>
        <v/>
      </c>
      <c r="H904" s="3"/>
      <c r="I904" s="3" t="str">
        <f aca="false">IFERROR(__xludf.dummyfunction("if($T904&lt;&gt;"""",REGEXEXTRACT(SUBSTITUTE ($T904,I$1&amp;"" CE"",""""), I$1&amp;""[\w &amp;]*, (\d+\.\d+)""),"""")
"),"")</f>
        <v/>
      </c>
      <c r="J904" s="3" t="str">
        <f aca="false">IFERROR(__xludf.dummyfunction("if($T904&lt;&gt;"""",REGEXEXTRACT($T904, J$1&amp;""[\w &amp;]*, (\d+\.\d+)""),"""")
"),"")</f>
        <v/>
      </c>
      <c r="K904" s="3"/>
      <c r="L904" s="3" t="str">
        <f aca="false">IFERROR(__xludf.dummyfunction("if($T904&lt;&gt;"""",REGEXEXTRACT(SUBSTITUTE ($T904,L$1&amp;"" CE"",""""), L$1&amp;""[\w &amp;]*, (\d+\.\d+)""),"""")
"),"")</f>
        <v/>
      </c>
      <c r="M904" s="3" t="str">
        <f aca="false">IFERROR(__xludf.dummyfunction("if($T904&lt;&gt;"""",REGEXEXTRACT($T904, M$1&amp;""[\w &amp;]*, (\d+\.\d+)""),"""")
"),"")</f>
        <v/>
      </c>
      <c r="N904" s="3" t="str">
        <f aca="false">IFERROR(__xludf.dummyfunction("if($T904&lt;&gt;"""",REGEXEXTRACT(SUBSTITUTE ($T904,N$1&amp;"" CE"",""""), N$1&amp;""[\w &amp;]*, (\d+\.\d+)""),"""")
"),"")</f>
        <v/>
      </c>
      <c r="O904" s="3" t="str">
        <f aca="false">IFERROR(__xludf.dummyfunction("if($T904&lt;&gt;"""",REGEXEXTRACT($T904, O$1&amp;""[\w &amp;]*, (\d+\.\d+)""),"""")
"),"")</f>
        <v/>
      </c>
      <c r="P904" s="2"/>
      <c r="Q904" s="2"/>
      <c r="R904" s="2"/>
      <c r="S904" s="2"/>
      <c r="T904" s="5"/>
    </row>
    <row r="905" customFormat="false" ht="15.75" hidden="false" customHeight="false" outlineLevel="0" collapsed="false">
      <c r="A905" s="4"/>
      <c r="B905" s="2"/>
      <c r="C905" s="2"/>
      <c r="D905" s="2"/>
      <c r="E905" s="2"/>
      <c r="F905" s="3" t="str">
        <f aca="false">IFERROR(__xludf.dummyfunction("if($T905&lt;&gt;"""",REGEXEXTRACT(SUBSTITUTE ($T905,F$1&amp;"" CE"",""""), F$1&amp;""[\w &amp;]*, (\d+\.\d+)""),"""")
"),"")</f>
        <v/>
      </c>
      <c r="G905" s="3" t="str">
        <f aca="false">IFERROR(__xludf.dummyfunction("if($T905&lt;&gt;"""",REGEXEXTRACT($T905, G$1&amp;""[\w &amp;]*, (\d+\.\d+)""),"""")
"),"")</f>
        <v/>
      </c>
      <c r="H905" s="3"/>
      <c r="I905" s="3" t="str">
        <f aca="false">IFERROR(__xludf.dummyfunction("if($T905&lt;&gt;"""",REGEXEXTRACT(SUBSTITUTE ($T905,I$1&amp;"" CE"",""""), I$1&amp;""[\w &amp;]*, (\d+\.\d+)""),"""")
"),"")</f>
        <v/>
      </c>
      <c r="J905" s="3" t="str">
        <f aca="false">IFERROR(__xludf.dummyfunction("if($T905&lt;&gt;"""",REGEXEXTRACT($T905, J$1&amp;""[\w &amp;]*, (\d+\.\d+)""),"""")
"),"")</f>
        <v/>
      </c>
      <c r="K905" s="3"/>
      <c r="L905" s="3" t="str">
        <f aca="false">IFERROR(__xludf.dummyfunction("if($T905&lt;&gt;"""",REGEXEXTRACT(SUBSTITUTE ($T905,L$1&amp;"" CE"",""""), L$1&amp;""[\w &amp;]*, (\d+\.\d+)""),"""")
"),"")</f>
        <v/>
      </c>
      <c r="M905" s="3" t="str">
        <f aca="false">IFERROR(__xludf.dummyfunction("if($T905&lt;&gt;"""",REGEXEXTRACT($T905, M$1&amp;""[\w &amp;]*, (\d+\.\d+)""),"""")
"),"")</f>
        <v/>
      </c>
      <c r="N905" s="3" t="str">
        <f aca="false">IFERROR(__xludf.dummyfunction("if($T905&lt;&gt;"""",REGEXEXTRACT(SUBSTITUTE ($T905,N$1&amp;"" CE"",""""), N$1&amp;""[\w &amp;]*, (\d+\.\d+)""),"""")
"),"")</f>
        <v/>
      </c>
      <c r="O905" s="3" t="str">
        <f aca="false">IFERROR(__xludf.dummyfunction("if($T905&lt;&gt;"""",REGEXEXTRACT($T905, O$1&amp;""[\w &amp;]*, (\d+\.\d+)""),"""")
"),"")</f>
        <v/>
      </c>
      <c r="P905" s="2"/>
      <c r="Q905" s="2"/>
      <c r="R905" s="2"/>
      <c r="S905" s="2"/>
      <c r="T905" s="5"/>
    </row>
    <row r="906" customFormat="false" ht="15.75" hidden="false" customHeight="false" outlineLevel="0" collapsed="false">
      <c r="A906" s="4"/>
      <c r="B906" s="2"/>
      <c r="C906" s="2"/>
      <c r="D906" s="2"/>
      <c r="E906" s="2"/>
      <c r="F906" s="3" t="str">
        <f aca="false">IFERROR(__xludf.dummyfunction("if($T906&lt;&gt;"""",REGEXEXTRACT(SUBSTITUTE ($T906,F$1&amp;"" CE"",""""), F$1&amp;""[\w &amp;]*, (\d+\.\d+)""),"""")
"),"")</f>
        <v/>
      </c>
      <c r="G906" s="3" t="str">
        <f aca="false">IFERROR(__xludf.dummyfunction("if($T906&lt;&gt;"""",REGEXEXTRACT($T906, G$1&amp;""[\w &amp;]*, (\d+\.\d+)""),"""")
"),"")</f>
        <v/>
      </c>
      <c r="H906" s="3"/>
      <c r="I906" s="3" t="str">
        <f aca="false">IFERROR(__xludf.dummyfunction("if($T906&lt;&gt;"""",REGEXEXTRACT(SUBSTITUTE ($T906,I$1&amp;"" CE"",""""), I$1&amp;""[\w &amp;]*, (\d+\.\d+)""),"""")
"),"")</f>
        <v/>
      </c>
      <c r="J906" s="3" t="str">
        <f aca="false">IFERROR(__xludf.dummyfunction("if($T906&lt;&gt;"""",REGEXEXTRACT($T906, J$1&amp;""[\w &amp;]*, (\d+\.\d+)""),"""")
"),"")</f>
        <v/>
      </c>
      <c r="K906" s="3"/>
      <c r="L906" s="3" t="str">
        <f aca="false">IFERROR(__xludf.dummyfunction("if($T906&lt;&gt;"""",REGEXEXTRACT(SUBSTITUTE ($T906,L$1&amp;"" CE"",""""), L$1&amp;""[\w &amp;]*, (\d+\.\d+)""),"""")
"),"")</f>
        <v/>
      </c>
      <c r="M906" s="3" t="str">
        <f aca="false">IFERROR(__xludf.dummyfunction("if($T906&lt;&gt;"""",REGEXEXTRACT($T906, M$1&amp;""[\w &amp;]*, (\d+\.\d+)""),"""")
"),"")</f>
        <v/>
      </c>
      <c r="N906" s="3" t="str">
        <f aca="false">IFERROR(__xludf.dummyfunction("if($T906&lt;&gt;"""",REGEXEXTRACT(SUBSTITUTE ($T906,N$1&amp;"" CE"",""""), N$1&amp;""[\w &amp;]*, (\d+\.\d+)""),"""")
"),"")</f>
        <v/>
      </c>
      <c r="O906" s="3" t="str">
        <f aca="false">IFERROR(__xludf.dummyfunction("if($T906&lt;&gt;"""",REGEXEXTRACT($T906, O$1&amp;""[\w &amp;]*, (\d+\.\d+)""),"""")
"),"")</f>
        <v/>
      </c>
      <c r="P906" s="2"/>
      <c r="Q906" s="2"/>
      <c r="R906" s="2"/>
      <c r="S906" s="2"/>
      <c r="T906" s="5"/>
    </row>
    <row r="907" customFormat="false" ht="15.75" hidden="false" customHeight="false" outlineLevel="0" collapsed="false">
      <c r="A907" s="4"/>
      <c r="B907" s="2"/>
      <c r="C907" s="2"/>
      <c r="D907" s="2"/>
      <c r="E907" s="2"/>
      <c r="F907" s="3" t="str">
        <f aca="false">IFERROR(__xludf.dummyfunction("if($T907&lt;&gt;"""",REGEXEXTRACT(SUBSTITUTE ($T907,F$1&amp;"" CE"",""""), F$1&amp;""[\w &amp;]*, (\d+\.\d+)""),"""")
"),"")</f>
        <v/>
      </c>
      <c r="G907" s="3" t="str">
        <f aca="false">IFERROR(__xludf.dummyfunction("if($T907&lt;&gt;"""",REGEXEXTRACT($T907, G$1&amp;""[\w &amp;]*, (\d+\.\d+)""),"""")
"),"")</f>
        <v/>
      </c>
      <c r="H907" s="3"/>
      <c r="I907" s="3" t="str">
        <f aca="false">IFERROR(__xludf.dummyfunction("if($T907&lt;&gt;"""",REGEXEXTRACT(SUBSTITUTE ($T907,I$1&amp;"" CE"",""""), I$1&amp;""[\w &amp;]*, (\d+\.\d+)""),"""")
"),"")</f>
        <v/>
      </c>
      <c r="J907" s="3" t="str">
        <f aca="false">IFERROR(__xludf.dummyfunction("if($T907&lt;&gt;"""",REGEXEXTRACT($T907, J$1&amp;""[\w &amp;]*, (\d+\.\d+)""),"""")
"),"")</f>
        <v/>
      </c>
      <c r="K907" s="3"/>
      <c r="L907" s="3" t="str">
        <f aca="false">IFERROR(__xludf.dummyfunction("if($T907&lt;&gt;"""",REGEXEXTRACT(SUBSTITUTE ($T907,L$1&amp;"" CE"",""""), L$1&amp;""[\w &amp;]*, (\d+\.\d+)""),"""")
"),"")</f>
        <v/>
      </c>
      <c r="M907" s="3" t="str">
        <f aca="false">IFERROR(__xludf.dummyfunction("if($T907&lt;&gt;"""",REGEXEXTRACT($T907, M$1&amp;""[\w &amp;]*, (\d+\.\d+)""),"""")
"),"")</f>
        <v/>
      </c>
      <c r="N907" s="3" t="str">
        <f aca="false">IFERROR(__xludf.dummyfunction("if($T907&lt;&gt;"""",REGEXEXTRACT(SUBSTITUTE ($T907,N$1&amp;"" CE"",""""), N$1&amp;""[\w &amp;]*, (\d+\.\d+)""),"""")
"),"")</f>
        <v/>
      </c>
      <c r="O907" s="3" t="str">
        <f aca="false">IFERROR(__xludf.dummyfunction("if($T907&lt;&gt;"""",REGEXEXTRACT($T907, O$1&amp;""[\w &amp;]*, (\d+\.\d+)""),"""")
"),"")</f>
        <v/>
      </c>
      <c r="P907" s="2"/>
      <c r="Q907" s="2"/>
      <c r="R907" s="2"/>
      <c r="S907" s="2"/>
      <c r="T907" s="5"/>
    </row>
    <row r="908" customFormat="false" ht="15.75" hidden="false" customHeight="false" outlineLevel="0" collapsed="false">
      <c r="A908" s="4"/>
      <c r="B908" s="2"/>
      <c r="C908" s="2"/>
      <c r="D908" s="2"/>
      <c r="E908" s="2"/>
      <c r="F908" s="3" t="str">
        <f aca="false">IFERROR(__xludf.dummyfunction("if($T908&lt;&gt;"""",REGEXEXTRACT(SUBSTITUTE ($T908,F$1&amp;"" CE"",""""), F$1&amp;""[\w &amp;]*, (\d+\.\d+)""),"""")
"),"")</f>
        <v/>
      </c>
      <c r="G908" s="3" t="str">
        <f aca="false">IFERROR(__xludf.dummyfunction("if($T908&lt;&gt;"""",REGEXEXTRACT($T908, G$1&amp;""[\w &amp;]*, (\d+\.\d+)""),"""")
"),"")</f>
        <v/>
      </c>
      <c r="H908" s="3"/>
      <c r="I908" s="3" t="str">
        <f aca="false">IFERROR(__xludf.dummyfunction("if($T908&lt;&gt;"""",REGEXEXTRACT(SUBSTITUTE ($T908,I$1&amp;"" CE"",""""), I$1&amp;""[\w &amp;]*, (\d+\.\d+)""),"""")
"),"")</f>
        <v/>
      </c>
      <c r="J908" s="3" t="str">
        <f aca="false">IFERROR(__xludf.dummyfunction("if($T908&lt;&gt;"""",REGEXEXTRACT($T908, J$1&amp;""[\w &amp;]*, (\d+\.\d+)""),"""")
"),"")</f>
        <v/>
      </c>
      <c r="K908" s="3"/>
      <c r="L908" s="3" t="str">
        <f aca="false">IFERROR(__xludf.dummyfunction("if($T908&lt;&gt;"""",REGEXEXTRACT(SUBSTITUTE ($T908,L$1&amp;"" CE"",""""), L$1&amp;""[\w &amp;]*, (\d+\.\d+)""),"""")
"),"")</f>
        <v/>
      </c>
      <c r="M908" s="3" t="str">
        <f aca="false">IFERROR(__xludf.dummyfunction("if($T908&lt;&gt;"""",REGEXEXTRACT($T908, M$1&amp;""[\w &amp;]*, (\d+\.\d+)""),"""")
"),"")</f>
        <v/>
      </c>
      <c r="N908" s="3" t="str">
        <f aca="false">IFERROR(__xludf.dummyfunction("if($T908&lt;&gt;"""",REGEXEXTRACT(SUBSTITUTE ($T908,N$1&amp;"" CE"",""""), N$1&amp;""[\w &amp;]*, (\d+\.\d+)""),"""")
"),"")</f>
        <v/>
      </c>
      <c r="O908" s="3" t="str">
        <f aca="false">IFERROR(__xludf.dummyfunction("if($T908&lt;&gt;"""",REGEXEXTRACT($T908, O$1&amp;""[\w &amp;]*, (\d+\.\d+)""),"""")
"),"")</f>
        <v/>
      </c>
      <c r="P908" s="2"/>
      <c r="Q908" s="2"/>
      <c r="R908" s="2"/>
      <c r="S908" s="2"/>
      <c r="T908" s="5"/>
    </row>
    <row r="909" customFormat="false" ht="15.75" hidden="false" customHeight="false" outlineLevel="0" collapsed="false">
      <c r="A909" s="4"/>
      <c r="B909" s="2"/>
      <c r="C909" s="2"/>
      <c r="D909" s="2"/>
      <c r="E909" s="2"/>
      <c r="F909" s="3" t="str">
        <f aca="false">IFERROR(__xludf.dummyfunction("if($T909&lt;&gt;"""",REGEXEXTRACT(SUBSTITUTE ($T909,F$1&amp;"" CE"",""""), F$1&amp;""[\w &amp;]*, (\d+\.\d+)""),"""")
"),"")</f>
        <v/>
      </c>
      <c r="G909" s="3" t="str">
        <f aca="false">IFERROR(__xludf.dummyfunction("if($T909&lt;&gt;"""",REGEXEXTRACT($T909, G$1&amp;""[\w &amp;]*, (\d+\.\d+)""),"""")
"),"")</f>
        <v/>
      </c>
      <c r="H909" s="3"/>
      <c r="I909" s="3" t="str">
        <f aca="false">IFERROR(__xludf.dummyfunction("if($T909&lt;&gt;"""",REGEXEXTRACT(SUBSTITUTE ($T909,I$1&amp;"" CE"",""""), I$1&amp;""[\w &amp;]*, (\d+\.\d+)""),"""")
"),"")</f>
        <v/>
      </c>
      <c r="J909" s="3" t="str">
        <f aca="false">IFERROR(__xludf.dummyfunction("if($T909&lt;&gt;"""",REGEXEXTRACT($T909, J$1&amp;""[\w &amp;]*, (\d+\.\d+)""),"""")
"),"")</f>
        <v/>
      </c>
      <c r="K909" s="3"/>
      <c r="L909" s="3" t="str">
        <f aca="false">IFERROR(__xludf.dummyfunction("if($T909&lt;&gt;"""",REGEXEXTRACT(SUBSTITUTE ($T909,L$1&amp;"" CE"",""""), L$1&amp;""[\w &amp;]*, (\d+\.\d+)""),"""")
"),"")</f>
        <v/>
      </c>
      <c r="M909" s="3" t="str">
        <f aca="false">IFERROR(__xludf.dummyfunction("if($T909&lt;&gt;"""",REGEXEXTRACT($T909, M$1&amp;""[\w &amp;]*, (\d+\.\d+)""),"""")
"),"")</f>
        <v/>
      </c>
      <c r="N909" s="3" t="str">
        <f aca="false">IFERROR(__xludf.dummyfunction("if($T909&lt;&gt;"""",REGEXEXTRACT(SUBSTITUTE ($T909,N$1&amp;"" CE"",""""), N$1&amp;""[\w &amp;]*, (\d+\.\d+)""),"""")
"),"")</f>
        <v/>
      </c>
      <c r="O909" s="3" t="str">
        <f aca="false">IFERROR(__xludf.dummyfunction("if($T909&lt;&gt;"""",REGEXEXTRACT($T909, O$1&amp;""[\w &amp;]*, (\d+\.\d+)""),"""")
"),"")</f>
        <v/>
      </c>
      <c r="P909" s="2"/>
      <c r="Q909" s="2"/>
      <c r="R909" s="2"/>
      <c r="S909" s="2"/>
      <c r="T909" s="5"/>
    </row>
    <row r="910" customFormat="false" ht="15.75" hidden="false" customHeight="false" outlineLevel="0" collapsed="false">
      <c r="A910" s="4"/>
      <c r="B910" s="2"/>
      <c r="C910" s="2"/>
      <c r="D910" s="2"/>
      <c r="E910" s="2"/>
      <c r="F910" s="3" t="str">
        <f aca="false">IFERROR(__xludf.dummyfunction("if($T910&lt;&gt;"""",REGEXEXTRACT(SUBSTITUTE ($T910,F$1&amp;"" CE"",""""), F$1&amp;""[\w &amp;]*, (\d+\.\d+)""),"""")
"),"")</f>
        <v/>
      </c>
      <c r="G910" s="3" t="str">
        <f aca="false">IFERROR(__xludf.dummyfunction("if($T910&lt;&gt;"""",REGEXEXTRACT($T910, G$1&amp;""[\w &amp;]*, (\d+\.\d+)""),"""")
"),"")</f>
        <v/>
      </c>
      <c r="H910" s="3"/>
      <c r="I910" s="3" t="str">
        <f aca="false">IFERROR(__xludf.dummyfunction("if($T910&lt;&gt;"""",REGEXEXTRACT(SUBSTITUTE ($T910,I$1&amp;"" CE"",""""), I$1&amp;""[\w &amp;]*, (\d+\.\d+)""),"""")
"),"")</f>
        <v/>
      </c>
      <c r="J910" s="3" t="str">
        <f aca="false">IFERROR(__xludf.dummyfunction("if($T910&lt;&gt;"""",REGEXEXTRACT($T910, J$1&amp;""[\w &amp;]*, (\d+\.\d+)""),"""")
"),"")</f>
        <v/>
      </c>
      <c r="K910" s="3"/>
      <c r="L910" s="3" t="str">
        <f aca="false">IFERROR(__xludf.dummyfunction("if($T910&lt;&gt;"""",REGEXEXTRACT(SUBSTITUTE ($T910,L$1&amp;"" CE"",""""), L$1&amp;""[\w &amp;]*, (\d+\.\d+)""),"""")
"),"")</f>
        <v/>
      </c>
      <c r="M910" s="3" t="str">
        <f aca="false">IFERROR(__xludf.dummyfunction("if($T910&lt;&gt;"""",REGEXEXTRACT($T910, M$1&amp;""[\w &amp;]*, (\d+\.\d+)""),"""")
"),"")</f>
        <v/>
      </c>
      <c r="N910" s="3" t="str">
        <f aca="false">IFERROR(__xludf.dummyfunction("if($T910&lt;&gt;"""",REGEXEXTRACT(SUBSTITUTE ($T910,N$1&amp;"" CE"",""""), N$1&amp;""[\w &amp;]*, (\d+\.\d+)""),"""")
"),"")</f>
        <v/>
      </c>
      <c r="O910" s="3" t="str">
        <f aca="false">IFERROR(__xludf.dummyfunction("if($T910&lt;&gt;"""",REGEXEXTRACT($T910, O$1&amp;""[\w &amp;]*, (\d+\.\d+)""),"""")
"),"")</f>
        <v/>
      </c>
      <c r="P910" s="2"/>
      <c r="Q910" s="2"/>
      <c r="R910" s="2"/>
      <c r="S910" s="2"/>
      <c r="T910" s="5"/>
    </row>
    <row r="911" customFormat="false" ht="15.75" hidden="false" customHeight="false" outlineLevel="0" collapsed="false">
      <c r="A911" s="4"/>
      <c r="B911" s="2"/>
      <c r="C911" s="2"/>
      <c r="D911" s="2"/>
      <c r="E911" s="2"/>
      <c r="F911" s="3" t="str">
        <f aca="false">IFERROR(__xludf.dummyfunction("if($T911&lt;&gt;"""",REGEXEXTRACT(SUBSTITUTE ($T911,F$1&amp;"" CE"",""""), F$1&amp;""[\w &amp;]*, (\d+\.\d+)""),"""")
"),"")</f>
        <v/>
      </c>
      <c r="G911" s="3" t="str">
        <f aca="false">IFERROR(__xludf.dummyfunction("if($T911&lt;&gt;"""",REGEXEXTRACT($T911, G$1&amp;""[\w &amp;]*, (\d+\.\d+)""),"""")
"),"")</f>
        <v/>
      </c>
      <c r="H911" s="3"/>
      <c r="I911" s="3" t="str">
        <f aca="false">IFERROR(__xludf.dummyfunction("if($T911&lt;&gt;"""",REGEXEXTRACT(SUBSTITUTE ($T911,I$1&amp;"" CE"",""""), I$1&amp;""[\w &amp;]*, (\d+\.\d+)""),"""")
"),"")</f>
        <v/>
      </c>
      <c r="J911" s="3" t="str">
        <f aca="false">IFERROR(__xludf.dummyfunction("if($T911&lt;&gt;"""",REGEXEXTRACT($T911, J$1&amp;""[\w &amp;]*, (\d+\.\d+)""),"""")
"),"")</f>
        <v/>
      </c>
      <c r="K911" s="3"/>
      <c r="L911" s="3" t="str">
        <f aca="false">IFERROR(__xludf.dummyfunction("if($T911&lt;&gt;"""",REGEXEXTRACT(SUBSTITUTE ($T911,L$1&amp;"" CE"",""""), L$1&amp;""[\w &amp;]*, (\d+\.\d+)""),"""")
"),"")</f>
        <v/>
      </c>
      <c r="M911" s="3" t="str">
        <f aca="false">IFERROR(__xludf.dummyfunction("if($T911&lt;&gt;"""",REGEXEXTRACT($T911, M$1&amp;""[\w &amp;]*, (\d+\.\d+)""),"""")
"),"")</f>
        <v/>
      </c>
      <c r="N911" s="3" t="str">
        <f aca="false">IFERROR(__xludf.dummyfunction("if($T911&lt;&gt;"""",REGEXEXTRACT(SUBSTITUTE ($T911,N$1&amp;"" CE"",""""), N$1&amp;""[\w &amp;]*, (\d+\.\d+)""),"""")
"),"")</f>
        <v/>
      </c>
      <c r="O911" s="3" t="str">
        <f aca="false">IFERROR(__xludf.dummyfunction("if($T911&lt;&gt;"""",REGEXEXTRACT($T911, O$1&amp;""[\w &amp;]*, (\d+\.\d+)""),"""")
"),"")</f>
        <v/>
      </c>
      <c r="P911" s="2"/>
      <c r="Q911" s="2"/>
      <c r="R911" s="2"/>
      <c r="S911" s="2"/>
      <c r="T911" s="5"/>
    </row>
    <row r="912" customFormat="false" ht="15.75" hidden="false" customHeight="false" outlineLevel="0" collapsed="false">
      <c r="A912" s="4"/>
      <c r="B912" s="2"/>
      <c r="C912" s="2"/>
      <c r="D912" s="2"/>
      <c r="E912" s="2"/>
      <c r="F912" s="3" t="str">
        <f aca="false">IFERROR(__xludf.dummyfunction("if($T912&lt;&gt;"""",REGEXEXTRACT(SUBSTITUTE ($T912,F$1&amp;"" CE"",""""), F$1&amp;""[\w &amp;]*, (\d+\.\d+)""),"""")
"),"")</f>
        <v/>
      </c>
      <c r="G912" s="3" t="str">
        <f aca="false">IFERROR(__xludf.dummyfunction("if($T912&lt;&gt;"""",REGEXEXTRACT($T912, G$1&amp;""[\w &amp;]*, (\d+\.\d+)""),"""")
"),"")</f>
        <v/>
      </c>
      <c r="H912" s="3"/>
      <c r="I912" s="3" t="str">
        <f aca="false">IFERROR(__xludf.dummyfunction("if($T912&lt;&gt;"""",REGEXEXTRACT(SUBSTITUTE ($T912,I$1&amp;"" CE"",""""), I$1&amp;""[\w &amp;]*, (\d+\.\d+)""),"""")
"),"")</f>
        <v/>
      </c>
      <c r="J912" s="3" t="str">
        <f aca="false">IFERROR(__xludf.dummyfunction("if($T912&lt;&gt;"""",REGEXEXTRACT($T912, J$1&amp;""[\w &amp;]*, (\d+\.\d+)""),"""")
"),"")</f>
        <v/>
      </c>
      <c r="K912" s="3"/>
      <c r="L912" s="3" t="str">
        <f aca="false">IFERROR(__xludf.dummyfunction("if($T912&lt;&gt;"""",REGEXEXTRACT(SUBSTITUTE ($T912,L$1&amp;"" CE"",""""), L$1&amp;""[\w &amp;]*, (\d+\.\d+)""),"""")
"),"")</f>
        <v/>
      </c>
      <c r="M912" s="3" t="str">
        <f aca="false">IFERROR(__xludf.dummyfunction("if($T912&lt;&gt;"""",REGEXEXTRACT($T912, M$1&amp;""[\w &amp;]*, (\d+\.\d+)""),"""")
"),"")</f>
        <v/>
      </c>
      <c r="N912" s="3" t="str">
        <f aca="false">IFERROR(__xludf.dummyfunction("if($T912&lt;&gt;"""",REGEXEXTRACT(SUBSTITUTE ($T912,N$1&amp;"" CE"",""""), N$1&amp;""[\w &amp;]*, (\d+\.\d+)""),"""")
"),"")</f>
        <v/>
      </c>
      <c r="O912" s="3" t="str">
        <f aca="false">IFERROR(__xludf.dummyfunction("if($T912&lt;&gt;"""",REGEXEXTRACT($T912, O$1&amp;""[\w &amp;]*, (\d+\.\d+)""),"""")
"),"")</f>
        <v/>
      </c>
      <c r="P912" s="2"/>
      <c r="Q912" s="2"/>
      <c r="R912" s="2"/>
      <c r="S912" s="2"/>
      <c r="T912" s="5"/>
    </row>
    <row r="913" customFormat="false" ht="15.75" hidden="false" customHeight="false" outlineLevel="0" collapsed="false">
      <c r="A913" s="4"/>
      <c r="B913" s="2"/>
      <c r="C913" s="2"/>
      <c r="D913" s="2"/>
      <c r="E913" s="2"/>
      <c r="F913" s="3" t="str">
        <f aca="false">IFERROR(__xludf.dummyfunction("if($T913&lt;&gt;"""",REGEXEXTRACT(SUBSTITUTE ($T913,F$1&amp;"" CE"",""""), F$1&amp;""[\w &amp;]*, (\d+\.\d+)""),"""")
"),"")</f>
        <v/>
      </c>
      <c r="G913" s="3" t="str">
        <f aca="false">IFERROR(__xludf.dummyfunction("if($T913&lt;&gt;"""",REGEXEXTRACT($T913, G$1&amp;""[\w &amp;]*, (\d+\.\d+)""),"""")
"),"")</f>
        <v/>
      </c>
      <c r="H913" s="3"/>
      <c r="I913" s="3" t="str">
        <f aca="false">IFERROR(__xludf.dummyfunction("if($T913&lt;&gt;"""",REGEXEXTRACT(SUBSTITUTE ($T913,I$1&amp;"" CE"",""""), I$1&amp;""[\w &amp;]*, (\d+\.\d+)""),"""")
"),"")</f>
        <v/>
      </c>
      <c r="J913" s="3" t="str">
        <f aca="false">IFERROR(__xludf.dummyfunction("if($T913&lt;&gt;"""",REGEXEXTRACT($T913, J$1&amp;""[\w &amp;]*, (\d+\.\d+)""),"""")
"),"")</f>
        <v/>
      </c>
      <c r="K913" s="3"/>
      <c r="L913" s="3" t="str">
        <f aca="false">IFERROR(__xludf.dummyfunction("if($T913&lt;&gt;"""",REGEXEXTRACT(SUBSTITUTE ($T913,L$1&amp;"" CE"",""""), L$1&amp;""[\w &amp;]*, (\d+\.\d+)""),"""")
"),"")</f>
        <v/>
      </c>
      <c r="M913" s="3" t="str">
        <f aca="false">IFERROR(__xludf.dummyfunction("if($T913&lt;&gt;"""",REGEXEXTRACT($T913, M$1&amp;""[\w &amp;]*, (\d+\.\d+)""),"""")
"),"")</f>
        <v/>
      </c>
      <c r="N913" s="3" t="str">
        <f aca="false">IFERROR(__xludf.dummyfunction("if($T913&lt;&gt;"""",REGEXEXTRACT(SUBSTITUTE ($T913,N$1&amp;"" CE"",""""), N$1&amp;""[\w &amp;]*, (\d+\.\d+)""),"""")
"),"")</f>
        <v/>
      </c>
      <c r="O913" s="3" t="str">
        <f aca="false">IFERROR(__xludf.dummyfunction("if($T913&lt;&gt;"""",REGEXEXTRACT($T913, O$1&amp;""[\w &amp;]*, (\d+\.\d+)""),"""")
"),"")</f>
        <v/>
      </c>
      <c r="P913" s="2"/>
      <c r="Q913" s="2"/>
      <c r="R913" s="2"/>
      <c r="S913" s="2"/>
      <c r="T913" s="5"/>
    </row>
    <row r="914" customFormat="false" ht="15.75" hidden="false" customHeight="false" outlineLevel="0" collapsed="false">
      <c r="A914" s="4"/>
      <c r="B914" s="2"/>
      <c r="C914" s="2"/>
      <c r="D914" s="2"/>
      <c r="E914" s="2"/>
      <c r="F914" s="3" t="str">
        <f aca="false">IFERROR(__xludf.dummyfunction("if($T914&lt;&gt;"""",REGEXEXTRACT(SUBSTITUTE ($T914,F$1&amp;"" CE"",""""), F$1&amp;""[\w &amp;]*, (\d+\.\d+)""),"""")
"),"")</f>
        <v/>
      </c>
      <c r="G914" s="3" t="str">
        <f aca="false">IFERROR(__xludf.dummyfunction("if($T914&lt;&gt;"""",REGEXEXTRACT($T914, G$1&amp;""[\w &amp;]*, (\d+\.\d+)""),"""")
"),"")</f>
        <v/>
      </c>
      <c r="H914" s="3"/>
      <c r="I914" s="3" t="str">
        <f aca="false">IFERROR(__xludf.dummyfunction("if($T914&lt;&gt;"""",REGEXEXTRACT(SUBSTITUTE ($T914,I$1&amp;"" CE"",""""), I$1&amp;""[\w &amp;]*, (\d+\.\d+)""),"""")
"),"")</f>
        <v/>
      </c>
      <c r="J914" s="3" t="str">
        <f aca="false">IFERROR(__xludf.dummyfunction("if($T914&lt;&gt;"""",REGEXEXTRACT($T914, J$1&amp;""[\w &amp;]*, (\d+\.\d+)""),"""")
"),"")</f>
        <v/>
      </c>
      <c r="K914" s="3"/>
      <c r="L914" s="3" t="str">
        <f aca="false">IFERROR(__xludf.dummyfunction("if($T914&lt;&gt;"""",REGEXEXTRACT(SUBSTITUTE ($T914,L$1&amp;"" CE"",""""), L$1&amp;""[\w &amp;]*, (\d+\.\d+)""),"""")
"),"")</f>
        <v/>
      </c>
      <c r="M914" s="3" t="str">
        <f aca="false">IFERROR(__xludf.dummyfunction("if($T914&lt;&gt;"""",REGEXEXTRACT($T914, M$1&amp;""[\w &amp;]*, (\d+\.\d+)""),"""")
"),"")</f>
        <v/>
      </c>
      <c r="N914" s="3" t="str">
        <f aca="false">IFERROR(__xludf.dummyfunction("if($T914&lt;&gt;"""",REGEXEXTRACT(SUBSTITUTE ($T914,N$1&amp;"" CE"",""""), N$1&amp;""[\w &amp;]*, (\d+\.\d+)""),"""")
"),"")</f>
        <v/>
      </c>
      <c r="O914" s="3" t="str">
        <f aca="false">IFERROR(__xludf.dummyfunction("if($T914&lt;&gt;"""",REGEXEXTRACT($T914, O$1&amp;""[\w &amp;]*, (\d+\.\d+)""),"""")
"),"")</f>
        <v/>
      </c>
      <c r="P914" s="2"/>
      <c r="Q914" s="2"/>
      <c r="R914" s="2"/>
      <c r="S914" s="2"/>
      <c r="T914" s="5"/>
    </row>
    <row r="915" customFormat="false" ht="15.75" hidden="false" customHeight="false" outlineLevel="0" collapsed="false">
      <c r="A915" s="4"/>
      <c r="B915" s="2"/>
      <c r="C915" s="2"/>
      <c r="D915" s="2"/>
      <c r="E915" s="2"/>
      <c r="F915" s="3" t="str">
        <f aca="false">IFERROR(__xludf.dummyfunction("if($T915&lt;&gt;"""",REGEXEXTRACT(SUBSTITUTE ($T915,F$1&amp;"" CE"",""""), F$1&amp;""[\w &amp;]*, (\d+\.\d+)""),"""")
"),"")</f>
        <v/>
      </c>
      <c r="G915" s="3" t="str">
        <f aca="false">IFERROR(__xludf.dummyfunction("if($T915&lt;&gt;"""",REGEXEXTRACT($T915, G$1&amp;""[\w &amp;]*, (\d+\.\d+)""),"""")
"),"")</f>
        <v/>
      </c>
      <c r="H915" s="3"/>
      <c r="I915" s="3" t="str">
        <f aca="false">IFERROR(__xludf.dummyfunction("if($T915&lt;&gt;"""",REGEXEXTRACT(SUBSTITUTE ($T915,I$1&amp;"" CE"",""""), I$1&amp;""[\w &amp;]*, (\d+\.\d+)""),"""")
"),"")</f>
        <v/>
      </c>
      <c r="J915" s="3" t="str">
        <f aca="false">IFERROR(__xludf.dummyfunction("if($T915&lt;&gt;"""",REGEXEXTRACT($T915, J$1&amp;""[\w &amp;]*, (\d+\.\d+)""),"""")
"),"")</f>
        <v/>
      </c>
      <c r="K915" s="3"/>
      <c r="L915" s="3" t="str">
        <f aca="false">IFERROR(__xludf.dummyfunction("if($T915&lt;&gt;"""",REGEXEXTRACT(SUBSTITUTE ($T915,L$1&amp;"" CE"",""""), L$1&amp;""[\w &amp;]*, (\d+\.\d+)""),"""")
"),"")</f>
        <v/>
      </c>
      <c r="M915" s="3" t="str">
        <f aca="false">IFERROR(__xludf.dummyfunction("if($T915&lt;&gt;"""",REGEXEXTRACT($T915, M$1&amp;""[\w &amp;]*, (\d+\.\d+)""),"""")
"),"")</f>
        <v/>
      </c>
      <c r="N915" s="3" t="str">
        <f aca="false">IFERROR(__xludf.dummyfunction("if($T915&lt;&gt;"""",REGEXEXTRACT(SUBSTITUTE ($T915,N$1&amp;"" CE"",""""), N$1&amp;""[\w &amp;]*, (\d+\.\d+)""),"""")
"),"")</f>
        <v/>
      </c>
      <c r="O915" s="3" t="str">
        <f aca="false">IFERROR(__xludf.dummyfunction("if($T915&lt;&gt;"""",REGEXEXTRACT($T915, O$1&amp;""[\w &amp;]*, (\d+\.\d+)""),"""")
"),"")</f>
        <v/>
      </c>
      <c r="P915" s="2"/>
      <c r="Q915" s="2"/>
      <c r="R915" s="2"/>
      <c r="S915" s="2"/>
      <c r="T915" s="5"/>
    </row>
    <row r="916" customFormat="false" ht="15.75" hidden="false" customHeight="false" outlineLevel="0" collapsed="false">
      <c r="A916" s="4"/>
      <c r="B916" s="2"/>
      <c r="C916" s="2"/>
      <c r="D916" s="2"/>
      <c r="E916" s="2"/>
      <c r="F916" s="3" t="str">
        <f aca="false">IFERROR(__xludf.dummyfunction("if($T916&lt;&gt;"""",REGEXEXTRACT(SUBSTITUTE ($T916,F$1&amp;"" CE"",""""), F$1&amp;""[\w &amp;]*, (\d+\.\d+)""),"""")
"),"")</f>
        <v/>
      </c>
      <c r="G916" s="3" t="str">
        <f aca="false">IFERROR(__xludf.dummyfunction("if($T916&lt;&gt;"""",REGEXEXTRACT($T916, G$1&amp;""[\w &amp;]*, (\d+\.\d+)""),"""")
"),"")</f>
        <v/>
      </c>
      <c r="H916" s="3"/>
      <c r="I916" s="3" t="str">
        <f aca="false">IFERROR(__xludf.dummyfunction("if($T916&lt;&gt;"""",REGEXEXTRACT(SUBSTITUTE ($T916,I$1&amp;"" CE"",""""), I$1&amp;""[\w &amp;]*, (\d+\.\d+)""),"""")
"),"")</f>
        <v/>
      </c>
      <c r="J916" s="3" t="str">
        <f aca="false">IFERROR(__xludf.dummyfunction("if($T916&lt;&gt;"""",REGEXEXTRACT($T916, J$1&amp;""[\w &amp;]*, (\d+\.\d+)""),"""")
"),"")</f>
        <v/>
      </c>
      <c r="K916" s="3"/>
      <c r="L916" s="3" t="str">
        <f aca="false">IFERROR(__xludf.dummyfunction("if($T916&lt;&gt;"""",REGEXEXTRACT(SUBSTITUTE ($T916,L$1&amp;"" CE"",""""), L$1&amp;""[\w &amp;]*, (\d+\.\d+)""),"""")
"),"")</f>
        <v/>
      </c>
      <c r="M916" s="3" t="str">
        <f aca="false">IFERROR(__xludf.dummyfunction("if($T916&lt;&gt;"""",REGEXEXTRACT($T916, M$1&amp;""[\w &amp;]*, (\d+\.\d+)""),"""")
"),"")</f>
        <v/>
      </c>
      <c r="N916" s="3" t="str">
        <f aca="false">IFERROR(__xludf.dummyfunction("if($T916&lt;&gt;"""",REGEXEXTRACT(SUBSTITUTE ($T916,N$1&amp;"" CE"",""""), N$1&amp;""[\w &amp;]*, (\d+\.\d+)""),"""")
"),"")</f>
        <v/>
      </c>
      <c r="O916" s="3" t="str">
        <f aca="false">IFERROR(__xludf.dummyfunction("if($T916&lt;&gt;"""",REGEXEXTRACT($T916, O$1&amp;""[\w &amp;]*, (\d+\.\d+)""),"""")
"),"")</f>
        <v/>
      </c>
      <c r="P916" s="2"/>
      <c r="Q916" s="2"/>
      <c r="R916" s="2"/>
      <c r="S916" s="2"/>
      <c r="T916" s="5"/>
    </row>
    <row r="917" customFormat="false" ht="15.75" hidden="false" customHeight="false" outlineLevel="0" collapsed="false">
      <c r="A917" s="4"/>
      <c r="B917" s="2"/>
      <c r="C917" s="2"/>
      <c r="D917" s="2"/>
      <c r="E917" s="2"/>
      <c r="F917" s="3" t="str">
        <f aca="false">IFERROR(__xludf.dummyfunction("if($T917&lt;&gt;"""",REGEXEXTRACT(SUBSTITUTE ($T917,F$1&amp;"" CE"",""""), F$1&amp;""[\w &amp;]*, (\d+\.\d+)""),"""")
"),"")</f>
        <v/>
      </c>
      <c r="G917" s="3" t="str">
        <f aca="false">IFERROR(__xludf.dummyfunction("if($T917&lt;&gt;"""",REGEXEXTRACT($T917, G$1&amp;""[\w &amp;]*, (\d+\.\d+)""),"""")
"),"")</f>
        <v/>
      </c>
      <c r="H917" s="3"/>
      <c r="I917" s="3" t="str">
        <f aca="false">IFERROR(__xludf.dummyfunction("if($T917&lt;&gt;"""",REGEXEXTRACT(SUBSTITUTE ($T917,I$1&amp;"" CE"",""""), I$1&amp;""[\w &amp;]*, (\d+\.\d+)""),"""")
"),"")</f>
        <v/>
      </c>
      <c r="J917" s="3" t="str">
        <f aca="false">IFERROR(__xludf.dummyfunction("if($T917&lt;&gt;"""",REGEXEXTRACT($T917, J$1&amp;""[\w &amp;]*, (\d+\.\d+)""),"""")
"),"")</f>
        <v/>
      </c>
      <c r="K917" s="3"/>
      <c r="L917" s="3" t="str">
        <f aca="false">IFERROR(__xludf.dummyfunction("if($T917&lt;&gt;"""",REGEXEXTRACT(SUBSTITUTE ($T917,L$1&amp;"" CE"",""""), L$1&amp;""[\w &amp;]*, (\d+\.\d+)""),"""")
"),"")</f>
        <v/>
      </c>
      <c r="M917" s="3" t="str">
        <f aca="false">IFERROR(__xludf.dummyfunction("if($T917&lt;&gt;"""",REGEXEXTRACT($T917, M$1&amp;""[\w &amp;]*, (\d+\.\d+)""),"""")
"),"")</f>
        <v/>
      </c>
      <c r="N917" s="3" t="str">
        <f aca="false">IFERROR(__xludf.dummyfunction("if($T917&lt;&gt;"""",REGEXEXTRACT(SUBSTITUTE ($T917,N$1&amp;"" CE"",""""), N$1&amp;""[\w &amp;]*, (\d+\.\d+)""),"""")
"),"")</f>
        <v/>
      </c>
      <c r="O917" s="3" t="str">
        <f aca="false">IFERROR(__xludf.dummyfunction("if($T917&lt;&gt;"""",REGEXEXTRACT($T917, O$1&amp;""[\w &amp;]*, (\d+\.\d+)""),"""")
"),"")</f>
        <v/>
      </c>
      <c r="P917" s="2"/>
      <c r="Q917" s="2"/>
      <c r="R917" s="2"/>
      <c r="S917" s="2"/>
      <c r="T917" s="5"/>
    </row>
    <row r="918" customFormat="false" ht="15.75" hidden="false" customHeight="false" outlineLevel="0" collapsed="false">
      <c r="A918" s="4"/>
      <c r="B918" s="2"/>
      <c r="C918" s="2"/>
      <c r="D918" s="2"/>
      <c r="E918" s="2"/>
      <c r="F918" s="3" t="str">
        <f aca="false">IFERROR(__xludf.dummyfunction("if($T918&lt;&gt;"""",REGEXEXTRACT(SUBSTITUTE ($T918,F$1&amp;"" CE"",""""), F$1&amp;""[\w &amp;]*, (\d+\.\d+)""),"""")
"),"")</f>
        <v/>
      </c>
      <c r="G918" s="3" t="str">
        <f aca="false">IFERROR(__xludf.dummyfunction("if($T918&lt;&gt;"""",REGEXEXTRACT($T918, G$1&amp;""[\w &amp;]*, (\d+\.\d+)""),"""")
"),"")</f>
        <v/>
      </c>
      <c r="H918" s="3"/>
      <c r="I918" s="3" t="str">
        <f aca="false">IFERROR(__xludf.dummyfunction("if($T918&lt;&gt;"""",REGEXEXTRACT(SUBSTITUTE ($T918,I$1&amp;"" CE"",""""), I$1&amp;""[\w &amp;]*, (\d+\.\d+)""),"""")
"),"")</f>
        <v/>
      </c>
      <c r="J918" s="3" t="str">
        <f aca="false">IFERROR(__xludf.dummyfunction("if($T918&lt;&gt;"""",REGEXEXTRACT($T918, J$1&amp;""[\w &amp;]*, (\d+\.\d+)""),"""")
"),"")</f>
        <v/>
      </c>
      <c r="K918" s="3"/>
      <c r="L918" s="3" t="str">
        <f aca="false">IFERROR(__xludf.dummyfunction("if($T918&lt;&gt;"""",REGEXEXTRACT(SUBSTITUTE ($T918,L$1&amp;"" CE"",""""), L$1&amp;""[\w &amp;]*, (\d+\.\d+)""),"""")
"),"")</f>
        <v/>
      </c>
      <c r="M918" s="3" t="str">
        <f aca="false">IFERROR(__xludf.dummyfunction("if($T918&lt;&gt;"""",REGEXEXTRACT($T918, M$1&amp;""[\w &amp;]*, (\d+\.\d+)""),"""")
"),"")</f>
        <v/>
      </c>
      <c r="N918" s="3" t="str">
        <f aca="false">IFERROR(__xludf.dummyfunction("if($T918&lt;&gt;"""",REGEXEXTRACT(SUBSTITUTE ($T918,N$1&amp;"" CE"",""""), N$1&amp;""[\w &amp;]*, (\d+\.\d+)""),"""")
"),"")</f>
        <v/>
      </c>
      <c r="O918" s="3" t="str">
        <f aca="false">IFERROR(__xludf.dummyfunction("if($T918&lt;&gt;"""",REGEXEXTRACT($T918, O$1&amp;""[\w &amp;]*, (\d+\.\d+)""),"""")
"),"")</f>
        <v/>
      </c>
      <c r="P918" s="2"/>
      <c r="Q918" s="2"/>
      <c r="R918" s="2"/>
      <c r="S918" s="2"/>
      <c r="T918" s="5"/>
    </row>
    <row r="919" customFormat="false" ht="15.75" hidden="false" customHeight="false" outlineLevel="0" collapsed="false">
      <c r="A919" s="4"/>
      <c r="B919" s="2"/>
      <c r="C919" s="2"/>
      <c r="D919" s="2"/>
      <c r="E919" s="2"/>
      <c r="F919" s="3" t="str">
        <f aca="false">IFERROR(__xludf.dummyfunction("if($T919&lt;&gt;"""",REGEXEXTRACT(SUBSTITUTE ($T919,F$1&amp;"" CE"",""""), F$1&amp;""[\w &amp;]*, (\d+\.\d+)""),"""")
"),"")</f>
        <v/>
      </c>
      <c r="G919" s="3" t="str">
        <f aca="false">IFERROR(__xludf.dummyfunction("if($T919&lt;&gt;"""",REGEXEXTRACT($T919, G$1&amp;""[\w &amp;]*, (\d+\.\d+)""),"""")
"),"")</f>
        <v/>
      </c>
      <c r="H919" s="3"/>
      <c r="I919" s="3" t="str">
        <f aca="false">IFERROR(__xludf.dummyfunction("if($T919&lt;&gt;"""",REGEXEXTRACT(SUBSTITUTE ($T919,I$1&amp;"" CE"",""""), I$1&amp;""[\w &amp;]*, (\d+\.\d+)""),"""")
"),"")</f>
        <v/>
      </c>
      <c r="J919" s="3" t="str">
        <f aca="false">IFERROR(__xludf.dummyfunction("if($T919&lt;&gt;"""",REGEXEXTRACT($T919, J$1&amp;""[\w &amp;]*, (\d+\.\d+)""),"""")
"),"")</f>
        <v/>
      </c>
      <c r="K919" s="3"/>
      <c r="L919" s="3" t="str">
        <f aca="false">IFERROR(__xludf.dummyfunction("if($T919&lt;&gt;"""",REGEXEXTRACT(SUBSTITUTE ($T919,L$1&amp;"" CE"",""""), L$1&amp;""[\w &amp;]*, (\d+\.\d+)""),"""")
"),"")</f>
        <v/>
      </c>
      <c r="M919" s="3" t="str">
        <f aca="false">IFERROR(__xludf.dummyfunction("if($T919&lt;&gt;"""",REGEXEXTRACT($T919, M$1&amp;""[\w &amp;]*, (\d+\.\d+)""),"""")
"),"")</f>
        <v/>
      </c>
      <c r="N919" s="3" t="str">
        <f aca="false">IFERROR(__xludf.dummyfunction("if($T919&lt;&gt;"""",REGEXEXTRACT(SUBSTITUTE ($T919,N$1&amp;"" CE"",""""), N$1&amp;""[\w &amp;]*, (\d+\.\d+)""),"""")
"),"")</f>
        <v/>
      </c>
      <c r="O919" s="3" t="str">
        <f aca="false">IFERROR(__xludf.dummyfunction("if($T919&lt;&gt;"""",REGEXEXTRACT($T919, O$1&amp;""[\w &amp;]*, (\d+\.\d+)""),"""")
"),"")</f>
        <v/>
      </c>
      <c r="P919" s="2"/>
      <c r="Q919" s="2"/>
      <c r="R919" s="2"/>
      <c r="S919" s="2"/>
      <c r="T919" s="5"/>
    </row>
    <row r="920" customFormat="false" ht="15.75" hidden="false" customHeight="false" outlineLevel="0" collapsed="false">
      <c r="A920" s="4"/>
      <c r="B920" s="2"/>
      <c r="C920" s="2"/>
      <c r="D920" s="2"/>
      <c r="E920" s="2"/>
      <c r="F920" s="3" t="str">
        <f aca="false">IFERROR(__xludf.dummyfunction("if($T920&lt;&gt;"""",REGEXEXTRACT(SUBSTITUTE ($T920,F$1&amp;"" CE"",""""), F$1&amp;""[\w &amp;]*, (\d+\.\d+)""),"""")
"),"")</f>
        <v/>
      </c>
      <c r="G920" s="3" t="str">
        <f aca="false">IFERROR(__xludf.dummyfunction("if($T920&lt;&gt;"""",REGEXEXTRACT($T920, G$1&amp;""[\w &amp;]*, (\d+\.\d+)""),"""")
"),"")</f>
        <v/>
      </c>
      <c r="H920" s="3"/>
      <c r="I920" s="3" t="str">
        <f aca="false">IFERROR(__xludf.dummyfunction("if($T920&lt;&gt;"""",REGEXEXTRACT(SUBSTITUTE ($T920,I$1&amp;"" CE"",""""), I$1&amp;""[\w &amp;]*, (\d+\.\d+)""),"""")
"),"")</f>
        <v/>
      </c>
      <c r="J920" s="3" t="str">
        <f aca="false">IFERROR(__xludf.dummyfunction("if($T920&lt;&gt;"""",REGEXEXTRACT($T920, J$1&amp;""[\w &amp;]*, (\d+\.\d+)""),"""")
"),"")</f>
        <v/>
      </c>
      <c r="K920" s="3"/>
      <c r="L920" s="3" t="str">
        <f aca="false">IFERROR(__xludf.dummyfunction("if($T920&lt;&gt;"""",REGEXEXTRACT(SUBSTITUTE ($T920,L$1&amp;"" CE"",""""), L$1&amp;""[\w &amp;]*, (\d+\.\d+)""),"""")
"),"")</f>
        <v/>
      </c>
      <c r="M920" s="3" t="str">
        <f aca="false">IFERROR(__xludf.dummyfunction("if($T920&lt;&gt;"""",REGEXEXTRACT($T920, M$1&amp;""[\w &amp;]*, (\d+\.\d+)""),"""")
"),"")</f>
        <v/>
      </c>
      <c r="N920" s="3" t="str">
        <f aca="false">IFERROR(__xludf.dummyfunction("if($T920&lt;&gt;"""",REGEXEXTRACT(SUBSTITUTE ($T920,N$1&amp;"" CE"",""""), N$1&amp;""[\w &amp;]*, (\d+\.\d+)""),"""")
"),"")</f>
        <v/>
      </c>
      <c r="O920" s="3" t="str">
        <f aca="false">IFERROR(__xludf.dummyfunction("if($T920&lt;&gt;"""",REGEXEXTRACT($T920, O$1&amp;""[\w &amp;]*, (\d+\.\d+)""),"""")
"),"")</f>
        <v/>
      </c>
      <c r="P920" s="2"/>
      <c r="Q920" s="2"/>
      <c r="R920" s="2"/>
      <c r="S920" s="2"/>
      <c r="T920" s="5"/>
    </row>
    <row r="921" customFormat="false" ht="15.75" hidden="false" customHeight="false" outlineLevel="0" collapsed="false">
      <c r="A921" s="4"/>
      <c r="B921" s="2"/>
      <c r="C921" s="2"/>
      <c r="D921" s="2"/>
      <c r="E921" s="2"/>
      <c r="F921" s="3" t="str">
        <f aca="false">IFERROR(__xludf.dummyfunction("if($T921&lt;&gt;"""",REGEXEXTRACT(SUBSTITUTE ($T921,F$1&amp;"" CE"",""""), F$1&amp;""[\w &amp;]*, (\d+\.\d+)""),"""")
"),"")</f>
        <v/>
      </c>
      <c r="G921" s="3" t="str">
        <f aca="false">IFERROR(__xludf.dummyfunction("if($T921&lt;&gt;"""",REGEXEXTRACT($T921, G$1&amp;""[\w &amp;]*, (\d+\.\d+)""),"""")
"),"")</f>
        <v/>
      </c>
      <c r="H921" s="3"/>
      <c r="I921" s="3" t="str">
        <f aca="false">IFERROR(__xludf.dummyfunction("if($T921&lt;&gt;"""",REGEXEXTRACT(SUBSTITUTE ($T921,I$1&amp;"" CE"",""""), I$1&amp;""[\w &amp;]*, (\d+\.\d+)""),"""")
"),"")</f>
        <v/>
      </c>
      <c r="J921" s="3" t="str">
        <f aca="false">IFERROR(__xludf.dummyfunction("if($T921&lt;&gt;"""",REGEXEXTRACT($T921, J$1&amp;""[\w &amp;]*, (\d+\.\d+)""),"""")
"),"")</f>
        <v/>
      </c>
      <c r="K921" s="3"/>
      <c r="L921" s="3" t="str">
        <f aca="false">IFERROR(__xludf.dummyfunction("if($T921&lt;&gt;"""",REGEXEXTRACT(SUBSTITUTE ($T921,L$1&amp;"" CE"",""""), L$1&amp;""[\w &amp;]*, (\d+\.\d+)""),"""")
"),"")</f>
        <v/>
      </c>
      <c r="M921" s="3" t="str">
        <f aca="false">IFERROR(__xludf.dummyfunction("if($T921&lt;&gt;"""",REGEXEXTRACT($T921, M$1&amp;""[\w &amp;]*, (\d+\.\d+)""),"""")
"),"")</f>
        <v/>
      </c>
      <c r="N921" s="3" t="str">
        <f aca="false">IFERROR(__xludf.dummyfunction("if($T921&lt;&gt;"""",REGEXEXTRACT(SUBSTITUTE ($T921,N$1&amp;"" CE"",""""), N$1&amp;""[\w &amp;]*, (\d+\.\d+)""),"""")
"),"")</f>
        <v/>
      </c>
      <c r="O921" s="3" t="str">
        <f aca="false">IFERROR(__xludf.dummyfunction("if($T921&lt;&gt;"""",REGEXEXTRACT($T921, O$1&amp;""[\w &amp;]*, (\d+\.\d+)""),"""")
"),"")</f>
        <v/>
      </c>
      <c r="P921" s="2"/>
      <c r="Q921" s="2"/>
      <c r="R921" s="2"/>
      <c r="S921" s="2"/>
      <c r="T921" s="5"/>
    </row>
    <row r="922" customFormat="false" ht="15.75" hidden="false" customHeight="false" outlineLevel="0" collapsed="false">
      <c r="A922" s="4"/>
      <c r="B922" s="2"/>
      <c r="C922" s="2"/>
      <c r="D922" s="2"/>
      <c r="E922" s="2"/>
      <c r="F922" s="3" t="str">
        <f aca="false">IFERROR(__xludf.dummyfunction("if($T922&lt;&gt;"""",REGEXEXTRACT(SUBSTITUTE ($T922,F$1&amp;"" CE"",""""), F$1&amp;""[\w &amp;]*, (\d+\.\d+)""),"""")
"),"")</f>
        <v/>
      </c>
      <c r="G922" s="3" t="str">
        <f aca="false">IFERROR(__xludf.dummyfunction("if($T922&lt;&gt;"""",REGEXEXTRACT($T922, G$1&amp;""[\w &amp;]*, (\d+\.\d+)""),"""")
"),"")</f>
        <v/>
      </c>
      <c r="H922" s="3"/>
      <c r="I922" s="3" t="str">
        <f aca="false">IFERROR(__xludf.dummyfunction("if($T922&lt;&gt;"""",REGEXEXTRACT(SUBSTITUTE ($T922,I$1&amp;"" CE"",""""), I$1&amp;""[\w &amp;]*, (\d+\.\d+)""),"""")
"),"")</f>
        <v/>
      </c>
      <c r="J922" s="3" t="str">
        <f aca="false">IFERROR(__xludf.dummyfunction("if($T922&lt;&gt;"""",REGEXEXTRACT($T922, J$1&amp;""[\w &amp;]*, (\d+\.\d+)""),"""")
"),"")</f>
        <v/>
      </c>
      <c r="K922" s="3"/>
      <c r="L922" s="3" t="str">
        <f aca="false">IFERROR(__xludf.dummyfunction("if($T922&lt;&gt;"""",REGEXEXTRACT(SUBSTITUTE ($T922,L$1&amp;"" CE"",""""), L$1&amp;""[\w &amp;]*, (\d+\.\d+)""),"""")
"),"")</f>
        <v/>
      </c>
      <c r="M922" s="3" t="str">
        <f aca="false">IFERROR(__xludf.dummyfunction("if($T922&lt;&gt;"""",REGEXEXTRACT($T922, M$1&amp;""[\w &amp;]*, (\d+\.\d+)""),"""")
"),"")</f>
        <v/>
      </c>
      <c r="N922" s="3" t="str">
        <f aca="false">IFERROR(__xludf.dummyfunction("if($T922&lt;&gt;"""",REGEXEXTRACT(SUBSTITUTE ($T922,N$1&amp;"" CE"",""""), N$1&amp;""[\w &amp;]*, (\d+\.\d+)""),"""")
"),"")</f>
        <v/>
      </c>
      <c r="O922" s="3" t="str">
        <f aca="false">IFERROR(__xludf.dummyfunction("if($T922&lt;&gt;"""",REGEXEXTRACT($T922, O$1&amp;""[\w &amp;]*, (\d+\.\d+)""),"""")
"),"")</f>
        <v/>
      </c>
      <c r="P922" s="2"/>
      <c r="Q922" s="2"/>
      <c r="R922" s="2"/>
      <c r="S922" s="2"/>
      <c r="T922" s="5"/>
    </row>
    <row r="923" customFormat="false" ht="15.75" hidden="false" customHeight="false" outlineLevel="0" collapsed="false">
      <c r="A923" s="4"/>
      <c r="B923" s="2"/>
      <c r="C923" s="2"/>
      <c r="D923" s="2"/>
      <c r="E923" s="2"/>
      <c r="F923" s="3" t="str">
        <f aca="false">IFERROR(__xludf.dummyfunction("if($T923&lt;&gt;"""",REGEXEXTRACT(SUBSTITUTE ($T923,F$1&amp;"" CE"",""""), F$1&amp;""[\w &amp;]*, (\d+\.\d+)""),"""")
"),"")</f>
        <v/>
      </c>
      <c r="G923" s="3" t="str">
        <f aca="false">IFERROR(__xludf.dummyfunction("if($T923&lt;&gt;"""",REGEXEXTRACT($T923, G$1&amp;""[\w &amp;]*, (\d+\.\d+)""),"""")
"),"")</f>
        <v/>
      </c>
      <c r="H923" s="3"/>
      <c r="I923" s="3" t="str">
        <f aca="false">IFERROR(__xludf.dummyfunction("if($T923&lt;&gt;"""",REGEXEXTRACT(SUBSTITUTE ($T923,I$1&amp;"" CE"",""""), I$1&amp;""[\w &amp;]*, (\d+\.\d+)""),"""")
"),"")</f>
        <v/>
      </c>
      <c r="J923" s="3" t="str">
        <f aca="false">IFERROR(__xludf.dummyfunction("if($T923&lt;&gt;"""",REGEXEXTRACT($T923, J$1&amp;""[\w &amp;]*, (\d+\.\d+)""),"""")
"),"")</f>
        <v/>
      </c>
      <c r="K923" s="3"/>
      <c r="L923" s="3" t="str">
        <f aca="false">IFERROR(__xludf.dummyfunction("if($T923&lt;&gt;"""",REGEXEXTRACT(SUBSTITUTE ($T923,L$1&amp;"" CE"",""""), L$1&amp;""[\w &amp;]*, (\d+\.\d+)""),"""")
"),"")</f>
        <v/>
      </c>
      <c r="M923" s="3" t="str">
        <f aca="false">IFERROR(__xludf.dummyfunction("if($T923&lt;&gt;"""",REGEXEXTRACT($T923, M$1&amp;""[\w &amp;]*, (\d+\.\d+)""),"""")
"),"")</f>
        <v/>
      </c>
      <c r="N923" s="3" t="str">
        <f aca="false">IFERROR(__xludf.dummyfunction("if($T923&lt;&gt;"""",REGEXEXTRACT(SUBSTITUTE ($T923,N$1&amp;"" CE"",""""), N$1&amp;""[\w &amp;]*, (\d+\.\d+)""),"""")
"),"")</f>
        <v/>
      </c>
      <c r="O923" s="3" t="str">
        <f aca="false">IFERROR(__xludf.dummyfunction("if($T923&lt;&gt;"""",REGEXEXTRACT($T923, O$1&amp;""[\w &amp;]*, (\d+\.\d+)""),"""")
"),"")</f>
        <v/>
      </c>
      <c r="P923" s="2"/>
      <c r="Q923" s="2"/>
      <c r="R923" s="2"/>
      <c r="S923" s="2"/>
      <c r="T923" s="5"/>
    </row>
    <row r="924" customFormat="false" ht="15.75" hidden="false" customHeight="false" outlineLevel="0" collapsed="false">
      <c r="A924" s="4"/>
      <c r="B924" s="2"/>
      <c r="C924" s="2"/>
      <c r="D924" s="2"/>
      <c r="E924" s="2"/>
      <c r="F924" s="3" t="str">
        <f aca="false">IFERROR(__xludf.dummyfunction("if($T924&lt;&gt;"""",REGEXEXTRACT(SUBSTITUTE ($T924,F$1&amp;"" CE"",""""), F$1&amp;""[\w &amp;]*, (\d+\.\d+)""),"""")
"),"")</f>
        <v/>
      </c>
      <c r="G924" s="3" t="str">
        <f aca="false">IFERROR(__xludf.dummyfunction("if($T924&lt;&gt;"""",REGEXEXTRACT($T924, G$1&amp;""[\w &amp;]*, (\d+\.\d+)""),"""")
"),"")</f>
        <v/>
      </c>
      <c r="H924" s="3"/>
      <c r="I924" s="3" t="str">
        <f aca="false">IFERROR(__xludf.dummyfunction("if($T924&lt;&gt;"""",REGEXEXTRACT(SUBSTITUTE ($T924,I$1&amp;"" CE"",""""), I$1&amp;""[\w &amp;]*, (\d+\.\d+)""),"""")
"),"")</f>
        <v/>
      </c>
      <c r="J924" s="3" t="str">
        <f aca="false">IFERROR(__xludf.dummyfunction("if($T924&lt;&gt;"""",REGEXEXTRACT($T924, J$1&amp;""[\w &amp;]*, (\d+\.\d+)""),"""")
"),"")</f>
        <v/>
      </c>
      <c r="K924" s="3"/>
      <c r="L924" s="3" t="str">
        <f aca="false">IFERROR(__xludf.dummyfunction("if($T924&lt;&gt;"""",REGEXEXTRACT(SUBSTITUTE ($T924,L$1&amp;"" CE"",""""), L$1&amp;""[\w &amp;]*, (\d+\.\d+)""),"""")
"),"")</f>
        <v/>
      </c>
      <c r="M924" s="3" t="str">
        <f aca="false">IFERROR(__xludf.dummyfunction("if($T924&lt;&gt;"""",REGEXEXTRACT($T924, M$1&amp;""[\w &amp;]*, (\d+\.\d+)""),"""")
"),"")</f>
        <v/>
      </c>
      <c r="N924" s="3" t="str">
        <f aca="false">IFERROR(__xludf.dummyfunction("if($T924&lt;&gt;"""",REGEXEXTRACT(SUBSTITUTE ($T924,N$1&amp;"" CE"",""""), N$1&amp;""[\w &amp;]*, (\d+\.\d+)""),"""")
"),"")</f>
        <v/>
      </c>
      <c r="O924" s="3" t="str">
        <f aca="false">IFERROR(__xludf.dummyfunction("if($T924&lt;&gt;"""",REGEXEXTRACT($T924, O$1&amp;""[\w &amp;]*, (\d+\.\d+)""),"""")
"),"")</f>
        <v/>
      </c>
      <c r="P924" s="2"/>
      <c r="Q924" s="2"/>
      <c r="R924" s="2"/>
      <c r="S924" s="2"/>
      <c r="T924" s="5"/>
    </row>
    <row r="925" customFormat="false" ht="15.75" hidden="false" customHeight="false" outlineLevel="0" collapsed="false">
      <c r="A925" s="4"/>
      <c r="B925" s="2"/>
      <c r="C925" s="2"/>
      <c r="D925" s="2"/>
      <c r="E925" s="2"/>
      <c r="F925" s="3" t="str">
        <f aca="false">IFERROR(__xludf.dummyfunction("if($T925&lt;&gt;"""",REGEXEXTRACT(SUBSTITUTE ($T925,F$1&amp;"" CE"",""""), F$1&amp;""[\w &amp;]*, (\d+\.\d+)""),"""")
"),"")</f>
        <v/>
      </c>
      <c r="G925" s="3" t="str">
        <f aca="false">IFERROR(__xludf.dummyfunction("if($T925&lt;&gt;"""",REGEXEXTRACT($T925, G$1&amp;""[\w &amp;]*, (\d+\.\d+)""),"""")
"),"")</f>
        <v/>
      </c>
      <c r="H925" s="3"/>
      <c r="I925" s="3" t="str">
        <f aca="false">IFERROR(__xludf.dummyfunction("if($T925&lt;&gt;"""",REGEXEXTRACT(SUBSTITUTE ($T925,I$1&amp;"" CE"",""""), I$1&amp;""[\w &amp;]*, (\d+\.\d+)""),"""")
"),"")</f>
        <v/>
      </c>
      <c r="J925" s="3" t="str">
        <f aca="false">IFERROR(__xludf.dummyfunction("if($T925&lt;&gt;"""",REGEXEXTRACT($T925, J$1&amp;""[\w &amp;]*, (\d+\.\d+)""),"""")
"),"")</f>
        <v/>
      </c>
      <c r="K925" s="3"/>
      <c r="L925" s="3" t="str">
        <f aca="false">IFERROR(__xludf.dummyfunction("if($T925&lt;&gt;"""",REGEXEXTRACT(SUBSTITUTE ($T925,L$1&amp;"" CE"",""""), L$1&amp;""[\w &amp;]*, (\d+\.\d+)""),"""")
"),"")</f>
        <v/>
      </c>
      <c r="M925" s="3" t="str">
        <f aca="false">IFERROR(__xludf.dummyfunction("if($T925&lt;&gt;"""",REGEXEXTRACT($T925, M$1&amp;""[\w &amp;]*, (\d+\.\d+)""),"""")
"),"")</f>
        <v/>
      </c>
      <c r="N925" s="3" t="str">
        <f aca="false">IFERROR(__xludf.dummyfunction("if($T925&lt;&gt;"""",REGEXEXTRACT(SUBSTITUTE ($T925,N$1&amp;"" CE"",""""), N$1&amp;""[\w &amp;]*, (\d+\.\d+)""),"""")
"),"")</f>
        <v/>
      </c>
      <c r="O925" s="3" t="str">
        <f aca="false">IFERROR(__xludf.dummyfunction("if($T925&lt;&gt;"""",REGEXEXTRACT($T925, O$1&amp;""[\w &amp;]*, (\d+\.\d+)""),"""")
"),"")</f>
        <v/>
      </c>
      <c r="P925" s="2"/>
      <c r="Q925" s="2"/>
      <c r="R925" s="2"/>
      <c r="S925" s="2"/>
      <c r="T925" s="5"/>
    </row>
    <row r="926" customFormat="false" ht="15.75" hidden="false" customHeight="false" outlineLevel="0" collapsed="false">
      <c r="A926" s="4"/>
      <c r="B926" s="2"/>
      <c r="C926" s="2"/>
      <c r="D926" s="2"/>
      <c r="E926" s="2"/>
      <c r="F926" s="3" t="str">
        <f aca="false">IFERROR(__xludf.dummyfunction("if($T926&lt;&gt;"""",REGEXEXTRACT(SUBSTITUTE ($T926,F$1&amp;"" CE"",""""), F$1&amp;""[\w &amp;]*, (\d+\.\d+)""),"""")
"),"")</f>
        <v/>
      </c>
      <c r="G926" s="3" t="str">
        <f aca="false">IFERROR(__xludf.dummyfunction("if($T926&lt;&gt;"""",REGEXEXTRACT($T926, G$1&amp;""[\w &amp;]*, (\d+\.\d+)""),"""")
"),"")</f>
        <v/>
      </c>
      <c r="H926" s="3"/>
      <c r="I926" s="3" t="str">
        <f aca="false">IFERROR(__xludf.dummyfunction("if($T926&lt;&gt;"""",REGEXEXTRACT(SUBSTITUTE ($T926,I$1&amp;"" CE"",""""), I$1&amp;""[\w &amp;]*, (\d+\.\d+)""),"""")
"),"")</f>
        <v/>
      </c>
      <c r="J926" s="3" t="str">
        <f aca="false">IFERROR(__xludf.dummyfunction("if($T926&lt;&gt;"""",REGEXEXTRACT($T926, J$1&amp;""[\w &amp;]*, (\d+\.\d+)""),"""")
"),"")</f>
        <v/>
      </c>
      <c r="K926" s="3"/>
      <c r="L926" s="3" t="str">
        <f aca="false">IFERROR(__xludf.dummyfunction("if($T926&lt;&gt;"""",REGEXEXTRACT(SUBSTITUTE ($T926,L$1&amp;"" CE"",""""), L$1&amp;""[\w &amp;]*, (\d+\.\d+)""),"""")
"),"")</f>
        <v/>
      </c>
      <c r="M926" s="3" t="str">
        <f aca="false">IFERROR(__xludf.dummyfunction("if($T926&lt;&gt;"""",REGEXEXTRACT($T926, M$1&amp;""[\w &amp;]*, (\d+\.\d+)""),"""")
"),"")</f>
        <v/>
      </c>
      <c r="N926" s="3" t="str">
        <f aca="false">IFERROR(__xludf.dummyfunction("if($T926&lt;&gt;"""",REGEXEXTRACT(SUBSTITUTE ($T926,N$1&amp;"" CE"",""""), N$1&amp;""[\w &amp;]*, (\d+\.\d+)""),"""")
"),"")</f>
        <v/>
      </c>
      <c r="O926" s="3" t="str">
        <f aca="false">IFERROR(__xludf.dummyfunction("if($T926&lt;&gt;"""",REGEXEXTRACT($T926, O$1&amp;""[\w &amp;]*, (\d+\.\d+)""),"""")
"),"")</f>
        <v/>
      </c>
      <c r="P926" s="2"/>
      <c r="Q926" s="2"/>
      <c r="R926" s="2"/>
      <c r="S926" s="2"/>
      <c r="T926" s="5"/>
    </row>
    <row r="927" customFormat="false" ht="15.75" hidden="false" customHeight="false" outlineLevel="0" collapsed="false">
      <c r="A927" s="4"/>
      <c r="B927" s="2"/>
      <c r="C927" s="2"/>
      <c r="D927" s="2"/>
      <c r="E927" s="2"/>
      <c r="F927" s="3" t="str">
        <f aca="false">IFERROR(__xludf.dummyfunction("if($T927&lt;&gt;"""",REGEXEXTRACT(SUBSTITUTE ($T927,F$1&amp;"" CE"",""""), F$1&amp;""[\w &amp;]*, (\d+\.\d+)""),"""")
"),"")</f>
        <v/>
      </c>
      <c r="G927" s="3" t="str">
        <f aca="false">IFERROR(__xludf.dummyfunction("if($T927&lt;&gt;"""",REGEXEXTRACT($T927, G$1&amp;""[\w &amp;]*, (\d+\.\d+)""),"""")
"),"")</f>
        <v/>
      </c>
      <c r="H927" s="3"/>
      <c r="I927" s="3" t="str">
        <f aca="false">IFERROR(__xludf.dummyfunction("if($T927&lt;&gt;"""",REGEXEXTRACT(SUBSTITUTE ($T927,I$1&amp;"" CE"",""""), I$1&amp;""[\w &amp;]*, (\d+\.\d+)""),"""")
"),"")</f>
        <v/>
      </c>
      <c r="J927" s="3" t="str">
        <f aca="false">IFERROR(__xludf.dummyfunction("if($T927&lt;&gt;"""",REGEXEXTRACT($T927, J$1&amp;""[\w &amp;]*, (\d+\.\d+)""),"""")
"),"")</f>
        <v/>
      </c>
      <c r="K927" s="3"/>
      <c r="L927" s="3" t="str">
        <f aca="false">IFERROR(__xludf.dummyfunction("if($T927&lt;&gt;"""",REGEXEXTRACT(SUBSTITUTE ($T927,L$1&amp;"" CE"",""""), L$1&amp;""[\w &amp;]*, (\d+\.\d+)""),"""")
"),"")</f>
        <v/>
      </c>
      <c r="M927" s="3" t="str">
        <f aca="false">IFERROR(__xludf.dummyfunction("if($T927&lt;&gt;"""",REGEXEXTRACT($T927, M$1&amp;""[\w &amp;]*, (\d+\.\d+)""),"""")
"),"")</f>
        <v/>
      </c>
      <c r="N927" s="3" t="str">
        <f aca="false">IFERROR(__xludf.dummyfunction("if($T927&lt;&gt;"""",REGEXEXTRACT(SUBSTITUTE ($T927,N$1&amp;"" CE"",""""), N$1&amp;""[\w &amp;]*, (\d+\.\d+)""),"""")
"),"")</f>
        <v/>
      </c>
      <c r="O927" s="3" t="str">
        <f aca="false">IFERROR(__xludf.dummyfunction("if($T927&lt;&gt;"""",REGEXEXTRACT($T927, O$1&amp;""[\w &amp;]*, (\d+\.\d+)""),"""")
"),"")</f>
        <v/>
      </c>
      <c r="P927" s="2"/>
      <c r="Q927" s="2"/>
      <c r="R927" s="2"/>
      <c r="S927" s="2"/>
      <c r="T927" s="5"/>
    </row>
    <row r="928" customFormat="false" ht="15.75" hidden="false" customHeight="false" outlineLevel="0" collapsed="false">
      <c r="A928" s="4"/>
      <c r="B928" s="2"/>
      <c r="C928" s="2"/>
      <c r="D928" s="2"/>
      <c r="E928" s="2"/>
      <c r="F928" s="3" t="str">
        <f aca="false">IFERROR(__xludf.dummyfunction("if($T928&lt;&gt;"""",REGEXEXTRACT(SUBSTITUTE ($T928,F$1&amp;"" CE"",""""), F$1&amp;""[\w &amp;]*, (\d+\.\d+)""),"""")
"),"")</f>
        <v/>
      </c>
      <c r="G928" s="3" t="str">
        <f aca="false">IFERROR(__xludf.dummyfunction("if($T928&lt;&gt;"""",REGEXEXTRACT($T928, G$1&amp;""[\w &amp;]*, (\d+\.\d+)""),"""")
"),"")</f>
        <v/>
      </c>
      <c r="H928" s="3"/>
      <c r="I928" s="3" t="str">
        <f aca="false">IFERROR(__xludf.dummyfunction("if($T928&lt;&gt;"""",REGEXEXTRACT(SUBSTITUTE ($T928,I$1&amp;"" CE"",""""), I$1&amp;""[\w &amp;]*, (\d+\.\d+)""),"""")
"),"")</f>
        <v/>
      </c>
      <c r="J928" s="3" t="str">
        <f aca="false">IFERROR(__xludf.dummyfunction("if($T928&lt;&gt;"""",REGEXEXTRACT($T928, J$1&amp;""[\w &amp;]*, (\d+\.\d+)""),"""")
"),"")</f>
        <v/>
      </c>
      <c r="K928" s="3"/>
      <c r="L928" s="3" t="str">
        <f aca="false">IFERROR(__xludf.dummyfunction("if($T928&lt;&gt;"""",REGEXEXTRACT(SUBSTITUTE ($T928,L$1&amp;"" CE"",""""), L$1&amp;""[\w &amp;]*, (\d+\.\d+)""),"""")
"),"")</f>
        <v/>
      </c>
      <c r="M928" s="3" t="str">
        <f aca="false">IFERROR(__xludf.dummyfunction("if($T928&lt;&gt;"""",REGEXEXTRACT($T928, M$1&amp;""[\w &amp;]*, (\d+\.\d+)""),"""")
"),"")</f>
        <v/>
      </c>
      <c r="N928" s="3" t="str">
        <f aca="false">IFERROR(__xludf.dummyfunction("if($T928&lt;&gt;"""",REGEXEXTRACT(SUBSTITUTE ($T928,N$1&amp;"" CE"",""""), N$1&amp;""[\w &amp;]*, (\d+\.\d+)""),"""")
"),"")</f>
        <v/>
      </c>
      <c r="O928" s="3" t="str">
        <f aca="false">IFERROR(__xludf.dummyfunction("if($T928&lt;&gt;"""",REGEXEXTRACT($T928, O$1&amp;""[\w &amp;]*, (\d+\.\d+)""),"""")
"),"")</f>
        <v/>
      </c>
      <c r="P928" s="2"/>
      <c r="Q928" s="2"/>
      <c r="R928" s="2"/>
      <c r="S928" s="2"/>
      <c r="T928" s="5"/>
    </row>
    <row r="929" customFormat="false" ht="15.75" hidden="false" customHeight="false" outlineLevel="0" collapsed="false">
      <c r="A929" s="4"/>
      <c r="B929" s="2"/>
      <c r="C929" s="2"/>
      <c r="D929" s="2"/>
      <c r="E929" s="2"/>
      <c r="F929" s="3" t="str">
        <f aca="false">IFERROR(__xludf.dummyfunction("if($T929&lt;&gt;"""",REGEXEXTRACT(SUBSTITUTE ($T929,F$1&amp;"" CE"",""""), F$1&amp;""[\w &amp;]*, (\d+\.\d+)""),"""")
"),"")</f>
        <v/>
      </c>
      <c r="G929" s="3" t="str">
        <f aca="false">IFERROR(__xludf.dummyfunction("if($T929&lt;&gt;"""",REGEXEXTRACT($T929, G$1&amp;""[\w &amp;]*, (\d+\.\d+)""),"""")
"),"")</f>
        <v/>
      </c>
      <c r="H929" s="3"/>
      <c r="I929" s="3" t="str">
        <f aca="false">IFERROR(__xludf.dummyfunction("if($T929&lt;&gt;"""",REGEXEXTRACT(SUBSTITUTE ($T929,I$1&amp;"" CE"",""""), I$1&amp;""[\w &amp;]*, (\d+\.\d+)""),"""")
"),"")</f>
        <v/>
      </c>
      <c r="J929" s="3" t="str">
        <f aca="false">IFERROR(__xludf.dummyfunction("if($T929&lt;&gt;"""",REGEXEXTRACT($T929, J$1&amp;""[\w &amp;]*, (\d+\.\d+)""),"""")
"),"")</f>
        <v/>
      </c>
      <c r="K929" s="3"/>
      <c r="L929" s="3" t="str">
        <f aca="false">IFERROR(__xludf.dummyfunction("if($T929&lt;&gt;"""",REGEXEXTRACT(SUBSTITUTE ($T929,L$1&amp;"" CE"",""""), L$1&amp;""[\w &amp;]*, (\d+\.\d+)""),"""")
"),"")</f>
        <v/>
      </c>
      <c r="M929" s="3" t="str">
        <f aca="false">IFERROR(__xludf.dummyfunction("if($T929&lt;&gt;"""",REGEXEXTRACT($T929, M$1&amp;""[\w &amp;]*, (\d+\.\d+)""),"""")
"),"")</f>
        <v/>
      </c>
      <c r="N929" s="3" t="str">
        <f aca="false">IFERROR(__xludf.dummyfunction("if($T929&lt;&gt;"""",REGEXEXTRACT(SUBSTITUTE ($T929,N$1&amp;"" CE"",""""), N$1&amp;""[\w &amp;]*, (\d+\.\d+)""),"""")
"),"")</f>
        <v/>
      </c>
      <c r="O929" s="3" t="str">
        <f aca="false">IFERROR(__xludf.dummyfunction("if($T929&lt;&gt;"""",REGEXEXTRACT($T929, O$1&amp;""[\w &amp;]*, (\d+\.\d+)""),"""")
"),"")</f>
        <v/>
      </c>
      <c r="P929" s="2"/>
      <c r="Q929" s="2"/>
      <c r="R929" s="2"/>
      <c r="S929" s="2"/>
      <c r="T929" s="5"/>
    </row>
    <row r="930" customFormat="false" ht="15.75" hidden="false" customHeight="false" outlineLevel="0" collapsed="false">
      <c r="A930" s="4"/>
      <c r="B930" s="2"/>
      <c r="C930" s="2"/>
      <c r="D930" s="2"/>
      <c r="E930" s="2"/>
      <c r="F930" s="3" t="str">
        <f aca="false">IFERROR(__xludf.dummyfunction("if($T930&lt;&gt;"""",REGEXEXTRACT(SUBSTITUTE ($T930,F$1&amp;"" CE"",""""), F$1&amp;""[\w &amp;]*, (\d+\.\d+)""),"""")
"),"")</f>
        <v/>
      </c>
      <c r="G930" s="3" t="str">
        <f aca="false">IFERROR(__xludf.dummyfunction("if($T930&lt;&gt;"""",REGEXEXTRACT($T930, G$1&amp;""[\w &amp;]*, (\d+\.\d+)""),"""")
"),"")</f>
        <v/>
      </c>
      <c r="H930" s="3"/>
      <c r="I930" s="3" t="str">
        <f aca="false">IFERROR(__xludf.dummyfunction("if($T930&lt;&gt;"""",REGEXEXTRACT(SUBSTITUTE ($T930,I$1&amp;"" CE"",""""), I$1&amp;""[\w &amp;]*, (\d+\.\d+)""),"""")
"),"")</f>
        <v/>
      </c>
      <c r="J930" s="3" t="str">
        <f aca="false">IFERROR(__xludf.dummyfunction("if($T930&lt;&gt;"""",REGEXEXTRACT($T930, J$1&amp;""[\w &amp;]*, (\d+\.\d+)""),"""")
"),"")</f>
        <v/>
      </c>
      <c r="K930" s="3"/>
      <c r="L930" s="3" t="str">
        <f aca="false">IFERROR(__xludf.dummyfunction("if($T930&lt;&gt;"""",REGEXEXTRACT(SUBSTITUTE ($T930,L$1&amp;"" CE"",""""), L$1&amp;""[\w &amp;]*, (\d+\.\d+)""),"""")
"),"")</f>
        <v/>
      </c>
      <c r="M930" s="3" t="str">
        <f aca="false">IFERROR(__xludf.dummyfunction("if($T930&lt;&gt;"""",REGEXEXTRACT($T930, M$1&amp;""[\w &amp;]*, (\d+\.\d+)""),"""")
"),"")</f>
        <v/>
      </c>
      <c r="N930" s="3" t="str">
        <f aca="false">IFERROR(__xludf.dummyfunction("if($T930&lt;&gt;"""",REGEXEXTRACT(SUBSTITUTE ($T930,N$1&amp;"" CE"",""""), N$1&amp;""[\w &amp;]*, (\d+\.\d+)""),"""")
"),"")</f>
        <v/>
      </c>
      <c r="O930" s="3" t="str">
        <f aca="false">IFERROR(__xludf.dummyfunction("if($T930&lt;&gt;"""",REGEXEXTRACT($T930, O$1&amp;""[\w &amp;]*, (\d+\.\d+)""),"""")
"),"")</f>
        <v/>
      </c>
      <c r="P930" s="2"/>
      <c r="Q930" s="2"/>
      <c r="R930" s="2"/>
      <c r="S930" s="2"/>
      <c r="T930" s="5"/>
    </row>
    <row r="931" customFormat="false" ht="15.75" hidden="false" customHeight="false" outlineLevel="0" collapsed="false">
      <c r="A931" s="4"/>
      <c r="B931" s="2"/>
      <c r="C931" s="2"/>
      <c r="D931" s="2"/>
      <c r="E931" s="2"/>
      <c r="F931" s="3" t="str">
        <f aca="false">IFERROR(__xludf.dummyfunction("if($T931&lt;&gt;"""",REGEXEXTRACT(SUBSTITUTE ($T931,F$1&amp;"" CE"",""""), F$1&amp;""[\w &amp;]*, (\d+\.\d+)""),"""")
"),"")</f>
        <v/>
      </c>
      <c r="G931" s="3" t="str">
        <f aca="false">IFERROR(__xludf.dummyfunction("if($T931&lt;&gt;"""",REGEXEXTRACT($T931, G$1&amp;""[\w &amp;]*, (\d+\.\d+)""),"""")
"),"")</f>
        <v/>
      </c>
      <c r="H931" s="3"/>
      <c r="I931" s="3" t="str">
        <f aca="false">IFERROR(__xludf.dummyfunction("if($T931&lt;&gt;"""",REGEXEXTRACT(SUBSTITUTE ($T931,I$1&amp;"" CE"",""""), I$1&amp;""[\w &amp;]*, (\d+\.\d+)""),"""")
"),"")</f>
        <v/>
      </c>
      <c r="J931" s="3" t="str">
        <f aca="false">IFERROR(__xludf.dummyfunction("if($T931&lt;&gt;"""",REGEXEXTRACT($T931, J$1&amp;""[\w &amp;]*, (\d+\.\d+)""),"""")
"),"")</f>
        <v/>
      </c>
      <c r="K931" s="3"/>
      <c r="L931" s="3" t="str">
        <f aca="false">IFERROR(__xludf.dummyfunction("if($T931&lt;&gt;"""",REGEXEXTRACT(SUBSTITUTE ($T931,L$1&amp;"" CE"",""""), L$1&amp;""[\w &amp;]*, (\d+\.\d+)""),"""")
"),"")</f>
        <v/>
      </c>
      <c r="M931" s="3" t="str">
        <f aca="false">IFERROR(__xludf.dummyfunction("if($T931&lt;&gt;"""",REGEXEXTRACT($T931, M$1&amp;""[\w &amp;]*, (\d+\.\d+)""),"""")
"),"")</f>
        <v/>
      </c>
      <c r="N931" s="3" t="str">
        <f aca="false">IFERROR(__xludf.dummyfunction("if($T931&lt;&gt;"""",REGEXEXTRACT(SUBSTITUTE ($T931,N$1&amp;"" CE"",""""), N$1&amp;""[\w &amp;]*, (\d+\.\d+)""),"""")
"),"")</f>
        <v/>
      </c>
      <c r="O931" s="3" t="str">
        <f aca="false">IFERROR(__xludf.dummyfunction("if($T931&lt;&gt;"""",REGEXEXTRACT($T931, O$1&amp;""[\w &amp;]*, (\d+\.\d+)""),"""")
"),"")</f>
        <v/>
      </c>
      <c r="P931" s="2"/>
      <c r="Q931" s="2"/>
      <c r="R931" s="2"/>
      <c r="S931" s="2"/>
      <c r="T931" s="5"/>
    </row>
    <row r="932" customFormat="false" ht="15.75" hidden="false" customHeight="false" outlineLevel="0" collapsed="false">
      <c r="A932" s="4"/>
      <c r="B932" s="2"/>
      <c r="C932" s="2"/>
      <c r="D932" s="2"/>
      <c r="E932" s="2"/>
      <c r="F932" s="3" t="str">
        <f aca="false">IFERROR(__xludf.dummyfunction("if($T932&lt;&gt;"""",REGEXEXTRACT(SUBSTITUTE ($T932,F$1&amp;"" CE"",""""), F$1&amp;""[\w &amp;]*, (\d+\.\d+)""),"""")
"),"")</f>
        <v/>
      </c>
      <c r="G932" s="3" t="str">
        <f aca="false">IFERROR(__xludf.dummyfunction("if($T932&lt;&gt;"""",REGEXEXTRACT($T932, G$1&amp;""[\w &amp;]*, (\d+\.\d+)""),"""")
"),"")</f>
        <v/>
      </c>
      <c r="H932" s="3"/>
      <c r="I932" s="3" t="str">
        <f aca="false">IFERROR(__xludf.dummyfunction("if($T932&lt;&gt;"""",REGEXEXTRACT(SUBSTITUTE ($T932,I$1&amp;"" CE"",""""), I$1&amp;""[\w &amp;]*, (\d+\.\d+)""),"""")
"),"")</f>
        <v/>
      </c>
      <c r="J932" s="3" t="str">
        <f aca="false">IFERROR(__xludf.dummyfunction("if($T932&lt;&gt;"""",REGEXEXTRACT($T932, J$1&amp;""[\w &amp;]*, (\d+\.\d+)""),"""")
"),"")</f>
        <v/>
      </c>
      <c r="K932" s="3"/>
      <c r="L932" s="3" t="str">
        <f aca="false">IFERROR(__xludf.dummyfunction("if($T932&lt;&gt;"""",REGEXEXTRACT(SUBSTITUTE ($T932,L$1&amp;"" CE"",""""), L$1&amp;""[\w &amp;]*, (\d+\.\d+)""),"""")
"),"")</f>
        <v/>
      </c>
      <c r="M932" s="3" t="str">
        <f aca="false">IFERROR(__xludf.dummyfunction("if($T932&lt;&gt;"""",REGEXEXTRACT($T932, M$1&amp;""[\w &amp;]*, (\d+\.\d+)""),"""")
"),"")</f>
        <v/>
      </c>
      <c r="N932" s="3" t="str">
        <f aca="false">IFERROR(__xludf.dummyfunction("if($T932&lt;&gt;"""",REGEXEXTRACT(SUBSTITUTE ($T932,N$1&amp;"" CE"",""""), N$1&amp;""[\w &amp;]*, (\d+\.\d+)""),"""")
"),"")</f>
        <v/>
      </c>
      <c r="O932" s="3" t="str">
        <f aca="false">IFERROR(__xludf.dummyfunction("if($T932&lt;&gt;"""",REGEXEXTRACT($T932, O$1&amp;""[\w &amp;]*, (\d+\.\d+)""),"""")
"),"")</f>
        <v/>
      </c>
      <c r="P932" s="2"/>
      <c r="Q932" s="2"/>
      <c r="R932" s="2"/>
      <c r="S932" s="2"/>
      <c r="T932" s="5"/>
    </row>
    <row r="933" customFormat="false" ht="15.75" hidden="false" customHeight="false" outlineLevel="0" collapsed="false">
      <c r="A933" s="4"/>
      <c r="B933" s="2"/>
      <c r="C933" s="2"/>
      <c r="D933" s="2"/>
      <c r="E933" s="2"/>
      <c r="F933" s="3" t="str">
        <f aca="false">IFERROR(__xludf.dummyfunction("if($T933&lt;&gt;"""",REGEXEXTRACT(SUBSTITUTE ($T933,F$1&amp;"" CE"",""""), F$1&amp;""[\w &amp;]*, (\d+\.\d+)""),"""")
"),"")</f>
        <v/>
      </c>
      <c r="G933" s="3" t="str">
        <f aca="false">IFERROR(__xludf.dummyfunction("if($T933&lt;&gt;"""",REGEXEXTRACT($T933, G$1&amp;""[\w &amp;]*, (\d+\.\d+)""),"""")
"),"")</f>
        <v/>
      </c>
      <c r="H933" s="3"/>
      <c r="I933" s="3" t="str">
        <f aca="false">IFERROR(__xludf.dummyfunction("if($T933&lt;&gt;"""",REGEXEXTRACT(SUBSTITUTE ($T933,I$1&amp;"" CE"",""""), I$1&amp;""[\w &amp;]*, (\d+\.\d+)""),"""")
"),"")</f>
        <v/>
      </c>
      <c r="J933" s="3" t="str">
        <f aca="false">IFERROR(__xludf.dummyfunction("if($T933&lt;&gt;"""",REGEXEXTRACT($T933, J$1&amp;""[\w &amp;]*, (\d+\.\d+)""),"""")
"),"")</f>
        <v/>
      </c>
      <c r="K933" s="3"/>
      <c r="L933" s="3" t="str">
        <f aca="false">IFERROR(__xludf.dummyfunction("if($T933&lt;&gt;"""",REGEXEXTRACT(SUBSTITUTE ($T933,L$1&amp;"" CE"",""""), L$1&amp;""[\w &amp;]*, (\d+\.\d+)""),"""")
"),"")</f>
        <v/>
      </c>
      <c r="M933" s="3" t="str">
        <f aca="false">IFERROR(__xludf.dummyfunction("if($T933&lt;&gt;"""",REGEXEXTRACT($T933, M$1&amp;""[\w &amp;]*, (\d+\.\d+)""),"""")
"),"")</f>
        <v/>
      </c>
      <c r="N933" s="3" t="str">
        <f aca="false">IFERROR(__xludf.dummyfunction("if($T933&lt;&gt;"""",REGEXEXTRACT(SUBSTITUTE ($T933,N$1&amp;"" CE"",""""), N$1&amp;""[\w &amp;]*, (\d+\.\d+)""),"""")
"),"")</f>
        <v/>
      </c>
      <c r="O933" s="3" t="str">
        <f aca="false">IFERROR(__xludf.dummyfunction("if($T933&lt;&gt;"""",REGEXEXTRACT($T933, O$1&amp;""[\w &amp;]*, (\d+\.\d+)""),"""")
"),"")</f>
        <v/>
      </c>
      <c r="P933" s="2"/>
      <c r="Q933" s="2"/>
      <c r="R933" s="2"/>
      <c r="S933" s="2"/>
      <c r="T933" s="5"/>
    </row>
    <row r="934" customFormat="false" ht="15.75" hidden="false" customHeight="false" outlineLevel="0" collapsed="false">
      <c r="A934" s="4"/>
      <c r="B934" s="2"/>
      <c r="C934" s="2"/>
      <c r="D934" s="2"/>
      <c r="E934" s="2"/>
      <c r="F934" s="3" t="str">
        <f aca="false">IFERROR(__xludf.dummyfunction("if($T934&lt;&gt;"""",REGEXEXTRACT(SUBSTITUTE ($T934,F$1&amp;"" CE"",""""), F$1&amp;""[\w &amp;]*, (\d+\.\d+)""),"""")
"),"")</f>
        <v/>
      </c>
      <c r="G934" s="3" t="str">
        <f aca="false">IFERROR(__xludf.dummyfunction("if($T934&lt;&gt;"""",REGEXEXTRACT($T934, G$1&amp;""[\w &amp;]*, (\d+\.\d+)""),"""")
"),"")</f>
        <v/>
      </c>
      <c r="H934" s="3"/>
      <c r="I934" s="3" t="str">
        <f aca="false">IFERROR(__xludf.dummyfunction("if($T934&lt;&gt;"""",REGEXEXTRACT(SUBSTITUTE ($T934,I$1&amp;"" CE"",""""), I$1&amp;""[\w &amp;]*, (\d+\.\d+)""),"""")
"),"")</f>
        <v/>
      </c>
      <c r="J934" s="3" t="str">
        <f aca="false">IFERROR(__xludf.dummyfunction("if($T934&lt;&gt;"""",REGEXEXTRACT($T934, J$1&amp;""[\w &amp;]*, (\d+\.\d+)""),"""")
"),"")</f>
        <v/>
      </c>
      <c r="K934" s="3"/>
      <c r="L934" s="3" t="str">
        <f aca="false">IFERROR(__xludf.dummyfunction("if($T934&lt;&gt;"""",REGEXEXTRACT(SUBSTITUTE ($T934,L$1&amp;"" CE"",""""), L$1&amp;""[\w &amp;]*, (\d+\.\d+)""),"""")
"),"")</f>
        <v/>
      </c>
      <c r="M934" s="3" t="str">
        <f aca="false">IFERROR(__xludf.dummyfunction("if($T934&lt;&gt;"""",REGEXEXTRACT($T934, M$1&amp;""[\w &amp;]*, (\d+\.\d+)""),"""")
"),"")</f>
        <v/>
      </c>
      <c r="N934" s="3" t="str">
        <f aca="false">IFERROR(__xludf.dummyfunction("if($T934&lt;&gt;"""",REGEXEXTRACT(SUBSTITUTE ($T934,N$1&amp;"" CE"",""""), N$1&amp;""[\w &amp;]*, (\d+\.\d+)""),"""")
"),"")</f>
        <v/>
      </c>
      <c r="O934" s="3" t="str">
        <f aca="false">IFERROR(__xludf.dummyfunction("if($T934&lt;&gt;"""",REGEXEXTRACT($T934, O$1&amp;""[\w &amp;]*, (\d+\.\d+)""),"""")
"),"")</f>
        <v/>
      </c>
      <c r="P934" s="2"/>
      <c r="Q934" s="2"/>
      <c r="R934" s="2"/>
      <c r="S934" s="2"/>
      <c r="T934" s="5"/>
    </row>
    <row r="935" customFormat="false" ht="15.75" hidden="false" customHeight="false" outlineLevel="0" collapsed="false">
      <c r="A935" s="4"/>
      <c r="B935" s="2"/>
      <c r="C935" s="2"/>
      <c r="D935" s="2"/>
      <c r="E935" s="2"/>
      <c r="F935" s="3" t="str">
        <f aca="false">IFERROR(__xludf.dummyfunction("if($T935&lt;&gt;"""",REGEXEXTRACT(SUBSTITUTE ($T935,F$1&amp;"" CE"",""""), F$1&amp;""[\w &amp;]*, (\d+\.\d+)""),"""")
"),"")</f>
        <v/>
      </c>
      <c r="G935" s="3" t="str">
        <f aca="false">IFERROR(__xludf.dummyfunction("if($T935&lt;&gt;"""",REGEXEXTRACT($T935, G$1&amp;""[\w &amp;]*, (\d+\.\d+)""),"""")
"),"")</f>
        <v/>
      </c>
      <c r="H935" s="3"/>
      <c r="I935" s="3" t="str">
        <f aca="false">IFERROR(__xludf.dummyfunction("if($T935&lt;&gt;"""",REGEXEXTRACT(SUBSTITUTE ($T935,I$1&amp;"" CE"",""""), I$1&amp;""[\w &amp;]*, (\d+\.\d+)""),"""")
"),"")</f>
        <v/>
      </c>
      <c r="J935" s="3" t="str">
        <f aca="false">IFERROR(__xludf.dummyfunction("if($T935&lt;&gt;"""",REGEXEXTRACT($T935, J$1&amp;""[\w &amp;]*, (\d+\.\d+)""),"""")
"),"")</f>
        <v/>
      </c>
      <c r="K935" s="3"/>
      <c r="L935" s="3" t="str">
        <f aca="false">IFERROR(__xludf.dummyfunction("if($T935&lt;&gt;"""",REGEXEXTRACT(SUBSTITUTE ($T935,L$1&amp;"" CE"",""""), L$1&amp;""[\w &amp;]*, (\d+\.\d+)""),"""")
"),"")</f>
        <v/>
      </c>
      <c r="M935" s="3" t="str">
        <f aca="false">IFERROR(__xludf.dummyfunction("if($T935&lt;&gt;"""",REGEXEXTRACT($T935, M$1&amp;""[\w &amp;]*, (\d+\.\d+)""),"""")
"),"")</f>
        <v/>
      </c>
      <c r="N935" s="3" t="str">
        <f aca="false">IFERROR(__xludf.dummyfunction("if($T935&lt;&gt;"""",REGEXEXTRACT(SUBSTITUTE ($T935,N$1&amp;"" CE"",""""), N$1&amp;""[\w &amp;]*, (\d+\.\d+)""),"""")
"),"")</f>
        <v/>
      </c>
      <c r="O935" s="3" t="str">
        <f aca="false">IFERROR(__xludf.dummyfunction("if($T935&lt;&gt;"""",REGEXEXTRACT($T935, O$1&amp;""[\w &amp;]*, (\d+\.\d+)""),"""")
"),"")</f>
        <v/>
      </c>
      <c r="P935" s="2"/>
      <c r="Q935" s="2"/>
      <c r="R935" s="2"/>
      <c r="S935" s="2"/>
      <c r="T935" s="5"/>
    </row>
    <row r="936" customFormat="false" ht="15.75" hidden="false" customHeight="false" outlineLevel="0" collapsed="false">
      <c r="A936" s="4"/>
      <c r="B936" s="2"/>
      <c r="C936" s="2"/>
      <c r="D936" s="2"/>
      <c r="E936" s="2"/>
      <c r="F936" s="3" t="str">
        <f aca="false">IFERROR(__xludf.dummyfunction("if($T936&lt;&gt;"""",REGEXEXTRACT(SUBSTITUTE ($T936,F$1&amp;"" CE"",""""), F$1&amp;""[\w &amp;]*, (\d+\.\d+)""),"""")
"),"")</f>
        <v/>
      </c>
      <c r="G936" s="3" t="str">
        <f aca="false">IFERROR(__xludf.dummyfunction("if($T936&lt;&gt;"""",REGEXEXTRACT($T936, G$1&amp;""[\w &amp;]*, (\d+\.\d+)""),"""")
"),"")</f>
        <v/>
      </c>
      <c r="H936" s="3"/>
      <c r="I936" s="3" t="str">
        <f aca="false">IFERROR(__xludf.dummyfunction("if($T936&lt;&gt;"""",REGEXEXTRACT(SUBSTITUTE ($T936,I$1&amp;"" CE"",""""), I$1&amp;""[\w &amp;]*, (\d+\.\d+)""),"""")
"),"")</f>
        <v/>
      </c>
      <c r="J936" s="3" t="str">
        <f aca="false">IFERROR(__xludf.dummyfunction("if($T936&lt;&gt;"""",REGEXEXTRACT($T936, J$1&amp;""[\w &amp;]*, (\d+\.\d+)""),"""")
"),"")</f>
        <v/>
      </c>
      <c r="K936" s="3"/>
      <c r="L936" s="3" t="str">
        <f aca="false">IFERROR(__xludf.dummyfunction("if($T936&lt;&gt;"""",REGEXEXTRACT(SUBSTITUTE ($T936,L$1&amp;"" CE"",""""), L$1&amp;""[\w &amp;]*, (\d+\.\d+)""),"""")
"),"")</f>
        <v/>
      </c>
      <c r="M936" s="3" t="str">
        <f aca="false">IFERROR(__xludf.dummyfunction("if($T936&lt;&gt;"""",REGEXEXTRACT($T936, M$1&amp;""[\w &amp;]*, (\d+\.\d+)""),"""")
"),"")</f>
        <v/>
      </c>
      <c r="N936" s="3" t="str">
        <f aca="false">IFERROR(__xludf.dummyfunction("if($T936&lt;&gt;"""",REGEXEXTRACT(SUBSTITUTE ($T936,N$1&amp;"" CE"",""""), N$1&amp;""[\w &amp;]*, (\d+\.\d+)""),"""")
"),"")</f>
        <v/>
      </c>
      <c r="O936" s="3" t="str">
        <f aca="false">IFERROR(__xludf.dummyfunction("if($T936&lt;&gt;"""",REGEXEXTRACT($T936, O$1&amp;""[\w &amp;]*, (\d+\.\d+)""),"""")
"),"")</f>
        <v/>
      </c>
      <c r="P936" s="2"/>
      <c r="Q936" s="2"/>
      <c r="R936" s="2"/>
      <c r="S936" s="2"/>
      <c r="T936" s="5"/>
    </row>
    <row r="937" customFormat="false" ht="15.75" hidden="false" customHeight="false" outlineLevel="0" collapsed="false">
      <c r="A937" s="4"/>
      <c r="B937" s="2"/>
      <c r="C937" s="2"/>
      <c r="D937" s="2"/>
      <c r="E937" s="2"/>
      <c r="F937" s="3" t="str">
        <f aca="false">IFERROR(__xludf.dummyfunction("if($T937&lt;&gt;"""",REGEXEXTRACT(SUBSTITUTE ($T937,F$1&amp;"" CE"",""""), F$1&amp;""[\w &amp;]*, (\d+\.\d+)""),"""")
"),"")</f>
        <v/>
      </c>
      <c r="G937" s="3" t="str">
        <f aca="false">IFERROR(__xludf.dummyfunction("if($T937&lt;&gt;"""",REGEXEXTRACT($T937, G$1&amp;""[\w &amp;]*, (\d+\.\d+)""),"""")
"),"")</f>
        <v/>
      </c>
      <c r="H937" s="3"/>
      <c r="I937" s="3" t="str">
        <f aca="false">IFERROR(__xludf.dummyfunction("if($T937&lt;&gt;"""",REGEXEXTRACT(SUBSTITUTE ($T937,I$1&amp;"" CE"",""""), I$1&amp;""[\w &amp;]*, (\d+\.\d+)""),"""")
"),"")</f>
        <v/>
      </c>
      <c r="J937" s="3" t="str">
        <f aca="false">IFERROR(__xludf.dummyfunction("if($T937&lt;&gt;"""",REGEXEXTRACT($T937, J$1&amp;""[\w &amp;]*, (\d+\.\d+)""),"""")
"),"")</f>
        <v/>
      </c>
      <c r="K937" s="3"/>
      <c r="L937" s="3" t="str">
        <f aca="false">IFERROR(__xludf.dummyfunction("if($T937&lt;&gt;"""",REGEXEXTRACT(SUBSTITUTE ($T937,L$1&amp;"" CE"",""""), L$1&amp;""[\w &amp;]*, (\d+\.\d+)""),"""")
"),"")</f>
        <v/>
      </c>
      <c r="M937" s="3" t="str">
        <f aca="false">IFERROR(__xludf.dummyfunction("if($T937&lt;&gt;"""",REGEXEXTRACT($T937, M$1&amp;""[\w &amp;]*, (\d+\.\d+)""),"""")
"),"")</f>
        <v/>
      </c>
      <c r="N937" s="3" t="str">
        <f aca="false">IFERROR(__xludf.dummyfunction("if($T937&lt;&gt;"""",REGEXEXTRACT(SUBSTITUTE ($T937,N$1&amp;"" CE"",""""), N$1&amp;""[\w &amp;]*, (\d+\.\d+)""),"""")
"),"")</f>
        <v/>
      </c>
      <c r="O937" s="3" t="str">
        <f aca="false">IFERROR(__xludf.dummyfunction("if($T937&lt;&gt;"""",REGEXEXTRACT($T937, O$1&amp;""[\w &amp;]*, (\d+\.\d+)""),"""")
"),"")</f>
        <v/>
      </c>
      <c r="P937" s="2"/>
      <c r="Q937" s="2"/>
      <c r="R937" s="2"/>
      <c r="S937" s="2"/>
      <c r="T937" s="5"/>
    </row>
    <row r="938" customFormat="false" ht="15.75" hidden="false" customHeight="false" outlineLevel="0" collapsed="false">
      <c r="A938" s="4"/>
      <c r="B938" s="2"/>
      <c r="C938" s="2"/>
      <c r="D938" s="2"/>
      <c r="E938" s="2"/>
      <c r="F938" s="3" t="str">
        <f aca="false">IFERROR(__xludf.dummyfunction("if($T938&lt;&gt;"""",REGEXEXTRACT(SUBSTITUTE ($T938,F$1&amp;"" CE"",""""), F$1&amp;""[\w &amp;]*, (\d+\.\d+)""),"""")
"),"")</f>
        <v/>
      </c>
      <c r="G938" s="3" t="str">
        <f aca="false">IFERROR(__xludf.dummyfunction("if($T938&lt;&gt;"""",REGEXEXTRACT($T938, G$1&amp;""[\w &amp;]*, (\d+\.\d+)""),"""")
"),"")</f>
        <v/>
      </c>
      <c r="H938" s="3"/>
      <c r="I938" s="3" t="str">
        <f aca="false">IFERROR(__xludf.dummyfunction("if($T938&lt;&gt;"""",REGEXEXTRACT(SUBSTITUTE ($T938,I$1&amp;"" CE"",""""), I$1&amp;""[\w &amp;]*, (\d+\.\d+)""),"""")
"),"")</f>
        <v/>
      </c>
      <c r="J938" s="3" t="str">
        <f aca="false">IFERROR(__xludf.dummyfunction("if($T938&lt;&gt;"""",REGEXEXTRACT($T938, J$1&amp;""[\w &amp;]*, (\d+\.\d+)""),"""")
"),"")</f>
        <v/>
      </c>
      <c r="K938" s="3"/>
      <c r="L938" s="3" t="str">
        <f aca="false">IFERROR(__xludf.dummyfunction("if($T938&lt;&gt;"""",REGEXEXTRACT(SUBSTITUTE ($T938,L$1&amp;"" CE"",""""), L$1&amp;""[\w &amp;]*, (\d+\.\d+)""),"""")
"),"")</f>
        <v/>
      </c>
      <c r="M938" s="3" t="str">
        <f aca="false">IFERROR(__xludf.dummyfunction("if($T938&lt;&gt;"""",REGEXEXTRACT($T938, M$1&amp;""[\w &amp;]*, (\d+\.\d+)""),"""")
"),"")</f>
        <v/>
      </c>
      <c r="N938" s="3" t="str">
        <f aca="false">IFERROR(__xludf.dummyfunction("if($T938&lt;&gt;"""",REGEXEXTRACT(SUBSTITUTE ($T938,N$1&amp;"" CE"",""""), N$1&amp;""[\w &amp;]*, (\d+\.\d+)""),"""")
"),"")</f>
        <v/>
      </c>
      <c r="O938" s="3" t="str">
        <f aca="false">IFERROR(__xludf.dummyfunction("if($T938&lt;&gt;"""",REGEXEXTRACT($T938, O$1&amp;""[\w &amp;]*, (\d+\.\d+)""),"""")
"),"")</f>
        <v/>
      </c>
      <c r="P938" s="2"/>
      <c r="Q938" s="2"/>
      <c r="R938" s="2"/>
      <c r="S938" s="2"/>
      <c r="T938" s="5"/>
    </row>
    <row r="939" customFormat="false" ht="15.75" hidden="false" customHeight="false" outlineLevel="0" collapsed="false">
      <c r="A939" s="4"/>
      <c r="B939" s="2"/>
      <c r="C939" s="2"/>
      <c r="D939" s="2"/>
      <c r="E939" s="2"/>
      <c r="F939" s="3" t="str">
        <f aca="false">IFERROR(__xludf.dummyfunction("if($T939&lt;&gt;"""",REGEXEXTRACT(SUBSTITUTE ($T939,F$1&amp;"" CE"",""""), F$1&amp;""[\w &amp;]*, (\d+\.\d+)""),"""")
"),"")</f>
        <v/>
      </c>
      <c r="G939" s="3" t="str">
        <f aca="false">IFERROR(__xludf.dummyfunction("if($T939&lt;&gt;"""",REGEXEXTRACT($T939, G$1&amp;""[\w &amp;]*, (\d+\.\d+)""),"""")
"),"")</f>
        <v/>
      </c>
      <c r="H939" s="3"/>
      <c r="I939" s="3" t="str">
        <f aca="false">IFERROR(__xludf.dummyfunction("if($T939&lt;&gt;"""",REGEXEXTRACT(SUBSTITUTE ($T939,I$1&amp;"" CE"",""""), I$1&amp;""[\w &amp;]*, (\d+\.\d+)""),"""")
"),"")</f>
        <v/>
      </c>
      <c r="J939" s="3" t="str">
        <f aca="false">IFERROR(__xludf.dummyfunction("if($T939&lt;&gt;"""",REGEXEXTRACT($T939, J$1&amp;""[\w &amp;]*, (\d+\.\d+)""),"""")
"),"")</f>
        <v/>
      </c>
      <c r="K939" s="3"/>
      <c r="L939" s="3" t="str">
        <f aca="false">IFERROR(__xludf.dummyfunction("if($T939&lt;&gt;"""",REGEXEXTRACT(SUBSTITUTE ($T939,L$1&amp;"" CE"",""""), L$1&amp;""[\w &amp;]*, (\d+\.\d+)""),"""")
"),"")</f>
        <v/>
      </c>
      <c r="M939" s="3" t="str">
        <f aca="false">IFERROR(__xludf.dummyfunction("if($T939&lt;&gt;"""",REGEXEXTRACT($T939, M$1&amp;""[\w &amp;]*, (\d+\.\d+)""),"""")
"),"")</f>
        <v/>
      </c>
      <c r="N939" s="3" t="str">
        <f aca="false">IFERROR(__xludf.dummyfunction("if($T939&lt;&gt;"""",REGEXEXTRACT(SUBSTITUTE ($T939,N$1&amp;"" CE"",""""), N$1&amp;""[\w &amp;]*, (\d+\.\d+)""),"""")
"),"")</f>
        <v/>
      </c>
      <c r="O939" s="3" t="str">
        <f aca="false">IFERROR(__xludf.dummyfunction("if($T939&lt;&gt;"""",REGEXEXTRACT($T939, O$1&amp;""[\w &amp;]*, (\d+\.\d+)""),"""")
"),"")</f>
        <v/>
      </c>
      <c r="P939" s="2"/>
      <c r="Q939" s="2"/>
      <c r="R939" s="2"/>
      <c r="S939" s="2"/>
      <c r="T939" s="5"/>
    </row>
    <row r="940" customFormat="false" ht="15.75" hidden="false" customHeight="false" outlineLevel="0" collapsed="false">
      <c r="A940" s="4"/>
      <c r="B940" s="2"/>
      <c r="C940" s="2"/>
      <c r="D940" s="2"/>
      <c r="E940" s="2"/>
      <c r="F940" s="3" t="str">
        <f aca="false">IFERROR(__xludf.dummyfunction("if($T940&lt;&gt;"""",REGEXEXTRACT(SUBSTITUTE ($T940,F$1&amp;"" CE"",""""), F$1&amp;""[\w &amp;]*, (\d+\.\d+)""),"""")
"),"")</f>
        <v/>
      </c>
      <c r="G940" s="3" t="str">
        <f aca="false">IFERROR(__xludf.dummyfunction("if($T940&lt;&gt;"""",REGEXEXTRACT($T940, G$1&amp;""[\w &amp;]*, (\d+\.\d+)""),"""")
"),"")</f>
        <v/>
      </c>
      <c r="H940" s="3"/>
      <c r="I940" s="3" t="str">
        <f aca="false">IFERROR(__xludf.dummyfunction("if($T940&lt;&gt;"""",REGEXEXTRACT(SUBSTITUTE ($T940,I$1&amp;"" CE"",""""), I$1&amp;""[\w &amp;]*, (\d+\.\d+)""),"""")
"),"")</f>
        <v/>
      </c>
      <c r="J940" s="3" t="str">
        <f aca="false">IFERROR(__xludf.dummyfunction("if($T940&lt;&gt;"""",REGEXEXTRACT($T940, J$1&amp;""[\w &amp;]*, (\d+\.\d+)""),"""")
"),"")</f>
        <v/>
      </c>
      <c r="K940" s="3"/>
      <c r="L940" s="3" t="str">
        <f aca="false">IFERROR(__xludf.dummyfunction("if($T940&lt;&gt;"""",REGEXEXTRACT(SUBSTITUTE ($T940,L$1&amp;"" CE"",""""), L$1&amp;""[\w &amp;]*, (\d+\.\d+)""),"""")
"),"")</f>
        <v/>
      </c>
      <c r="M940" s="3" t="str">
        <f aca="false">IFERROR(__xludf.dummyfunction("if($T940&lt;&gt;"""",REGEXEXTRACT($T940, M$1&amp;""[\w &amp;]*, (\d+\.\d+)""),"""")
"),"")</f>
        <v/>
      </c>
      <c r="N940" s="3" t="str">
        <f aca="false">IFERROR(__xludf.dummyfunction("if($T940&lt;&gt;"""",REGEXEXTRACT(SUBSTITUTE ($T940,N$1&amp;"" CE"",""""), N$1&amp;""[\w &amp;]*, (\d+\.\d+)""),"""")
"),"")</f>
        <v/>
      </c>
      <c r="O940" s="3" t="str">
        <f aca="false">IFERROR(__xludf.dummyfunction("if($T940&lt;&gt;"""",REGEXEXTRACT($T940, O$1&amp;""[\w &amp;]*, (\d+\.\d+)""),"""")
"),"")</f>
        <v/>
      </c>
      <c r="P940" s="2"/>
      <c r="Q940" s="2"/>
      <c r="R940" s="2"/>
      <c r="S940" s="2"/>
      <c r="T940" s="5"/>
    </row>
    <row r="941" customFormat="false" ht="15.75" hidden="false" customHeight="false" outlineLevel="0" collapsed="false">
      <c r="A941" s="4"/>
      <c r="B941" s="2"/>
      <c r="C941" s="2"/>
      <c r="D941" s="2"/>
      <c r="E941" s="2"/>
      <c r="F941" s="3" t="str">
        <f aca="false">IFERROR(__xludf.dummyfunction("if($T941&lt;&gt;"""",REGEXEXTRACT(SUBSTITUTE ($T941,F$1&amp;"" CE"",""""), F$1&amp;""[\w &amp;]*, (\d+\.\d+)""),"""")
"),"")</f>
        <v/>
      </c>
      <c r="G941" s="3" t="str">
        <f aca="false">IFERROR(__xludf.dummyfunction("if($T941&lt;&gt;"""",REGEXEXTRACT($T941, G$1&amp;""[\w &amp;]*, (\d+\.\d+)""),"""")
"),"")</f>
        <v/>
      </c>
      <c r="H941" s="3"/>
      <c r="I941" s="3" t="str">
        <f aca="false">IFERROR(__xludf.dummyfunction("if($T941&lt;&gt;"""",REGEXEXTRACT(SUBSTITUTE ($T941,I$1&amp;"" CE"",""""), I$1&amp;""[\w &amp;]*, (\d+\.\d+)""),"""")
"),"")</f>
        <v/>
      </c>
      <c r="J941" s="3" t="str">
        <f aca="false">IFERROR(__xludf.dummyfunction("if($T941&lt;&gt;"""",REGEXEXTRACT($T941, J$1&amp;""[\w &amp;]*, (\d+\.\d+)""),"""")
"),"")</f>
        <v/>
      </c>
      <c r="K941" s="3"/>
      <c r="L941" s="3" t="str">
        <f aca="false">IFERROR(__xludf.dummyfunction("if($T941&lt;&gt;"""",REGEXEXTRACT(SUBSTITUTE ($T941,L$1&amp;"" CE"",""""), L$1&amp;""[\w &amp;]*, (\d+\.\d+)""),"""")
"),"")</f>
        <v/>
      </c>
      <c r="M941" s="3" t="str">
        <f aca="false">IFERROR(__xludf.dummyfunction("if($T941&lt;&gt;"""",REGEXEXTRACT($T941, M$1&amp;""[\w &amp;]*, (\d+\.\d+)""),"""")
"),"")</f>
        <v/>
      </c>
      <c r="N941" s="3" t="str">
        <f aca="false">IFERROR(__xludf.dummyfunction("if($T941&lt;&gt;"""",REGEXEXTRACT(SUBSTITUTE ($T941,N$1&amp;"" CE"",""""), N$1&amp;""[\w &amp;]*, (\d+\.\d+)""),"""")
"),"")</f>
        <v/>
      </c>
      <c r="O941" s="3" t="str">
        <f aca="false">IFERROR(__xludf.dummyfunction("if($T941&lt;&gt;"""",REGEXEXTRACT($T941, O$1&amp;""[\w &amp;]*, (\d+\.\d+)""),"""")
"),"")</f>
        <v/>
      </c>
      <c r="P941" s="2"/>
      <c r="Q941" s="2"/>
      <c r="R941" s="2"/>
      <c r="S941" s="2"/>
      <c r="T941" s="5"/>
    </row>
    <row r="942" customFormat="false" ht="15.75" hidden="false" customHeight="false" outlineLevel="0" collapsed="false">
      <c r="A942" s="4"/>
      <c r="B942" s="2"/>
      <c r="C942" s="2"/>
      <c r="D942" s="2"/>
      <c r="E942" s="2"/>
      <c r="F942" s="3" t="str">
        <f aca="false">IFERROR(__xludf.dummyfunction("if($T942&lt;&gt;"""",REGEXEXTRACT(SUBSTITUTE ($T942,F$1&amp;"" CE"",""""), F$1&amp;""[\w &amp;]*, (\d+\.\d+)""),"""")
"),"")</f>
        <v/>
      </c>
      <c r="G942" s="3" t="str">
        <f aca="false">IFERROR(__xludf.dummyfunction("if($T942&lt;&gt;"""",REGEXEXTRACT($T942, G$1&amp;""[\w &amp;]*, (\d+\.\d+)""),"""")
"),"")</f>
        <v/>
      </c>
      <c r="H942" s="3"/>
      <c r="I942" s="3" t="str">
        <f aca="false">IFERROR(__xludf.dummyfunction("if($T942&lt;&gt;"""",REGEXEXTRACT(SUBSTITUTE ($T942,I$1&amp;"" CE"",""""), I$1&amp;""[\w &amp;]*, (\d+\.\d+)""),"""")
"),"")</f>
        <v/>
      </c>
      <c r="J942" s="3" t="str">
        <f aca="false">IFERROR(__xludf.dummyfunction("if($T942&lt;&gt;"""",REGEXEXTRACT($T942, J$1&amp;""[\w &amp;]*, (\d+\.\d+)""),"""")
"),"")</f>
        <v/>
      </c>
      <c r="K942" s="3"/>
      <c r="L942" s="3" t="str">
        <f aca="false">IFERROR(__xludf.dummyfunction("if($T942&lt;&gt;"""",REGEXEXTRACT(SUBSTITUTE ($T942,L$1&amp;"" CE"",""""), L$1&amp;""[\w &amp;]*, (\d+\.\d+)""),"""")
"),"")</f>
        <v/>
      </c>
      <c r="M942" s="3" t="str">
        <f aca="false">IFERROR(__xludf.dummyfunction("if($T942&lt;&gt;"""",REGEXEXTRACT($T942, M$1&amp;""[\w &amp;]*, (\d+\.\d+)""),"""")
"),"")</f>
        <v/>
      </c>
      <c r="N942" s="3" t="str">
        <f aca="false">IFERROR(__xludf.dummyfunction("if($T942&lt;&gt;"""",REGEXEXTRACT(SUBSTITUTE ($T942,N$1&amp;"" CE"",""""), N$1&amp;""[\w &amp;]*, (\d+\.\d+)""),"""")
"),"")</f>
        <v/>
      </c>
      <c r="O942" s="3" t="str">
        <f aca="false">IFERROR(__xludf.dummyfunction("if($T942&lt;&gt;"""",REGEXEXTRACT($T942, O$1&amp;""[\w &amp;]*, (\d+\.\d+)""),"""")
"),"")</f>
        <v/>
      </c>
      <c r="P942" s="2"/>
      <c r="Q942" s="2"/>
      <c r="R942" s="2"/>
      <c r="S942" s="2"/>
      <c r="T942" s="5"/>
    </row>
    <row r="943" customFormat="false" ht="15.75" hidden="false" customHeight="false" outlineLevel="0" collapsed="false">
      <c r="A943" s="4"/>
      <c r="B943" s="2"/>
      <c r="C943" s="2"/>
      <c r="D943" s="2"/>
      <c r="E943" s="2"/>
      <c r="F943" s="3" t="str">
        <f aca="false">IFERROR(__xludf.dummyfunction("if($T943&lt;&gt;"""",REGEXEXTRACT(SUBSTITUTE ($T943,F$1&amp;"" CE"",""""), F$1&amp;""[\w &amp;]*, (\d+\.\d+)""),"""")
"),"")</f>
        <v/>
      </c>
      <c r="G943" s="3" t="str">
        <f aca="false">IFERROR(__xludf.dummyfunction("if($T943&lt;&gt;"""",REGEXEXTRACT($T943, G$1&amp;""[\w &amp;]*, (\d+\.\d+)""),"""")
"),"")</f>
        <v/>
      </c>
      <c r="H943" s="3"/>
      <c r="I943" s="3" t="str">
        <f aca="false">IFERROR(__xludf.dummyfunction("if($T943&lt;&gt;"""",REGEXEXTRACT(SUBSTITUTE ($T943,I$1&amp;"" CE"",""""), I$1&amp;""[\w &amp;]*, (\d+\.\d+)""),"""")
"),"")</f>
        <v/>
      </c>
      <c r="J943" s="3" t="str">
        <f aca="false">IFERROR(__xludf.dummyfunction("if($T943&lt;&gt;"""",REGEXEXTRACT($T943, J$1&amp;""[\w &amp;]*, (\d+\.\d+)""),"""")
"),"")</f>
        <v/>
      </c>
      <c r="K943" s="3"/>
      <c r="L943" s="3" t="str">
        <f aca="false">IFERROR(__xludf.dummyfunction("if($T943&lt;&gt;"""",REGEXEXTRACT(SUBSTITUTE ($T943,L$1&amp;"" CE"",""""), L$1&amp;""[\w &amp;]*, (\d+\.\d+)""),"""")
"),"")</f>
        <v/>
      </c>
      <c r="M943" s="3" t="str">
        <f aca="false">IFERROR(__xludf.dummyfunction("if($T943&lt;&gt;"""",REGEXEXTRACT($T943, M$1&amp;""[\w &amp;]*, (\d+\.\d+)""),"""")
"),"")</f>
        <v/>
      </c>
      <c r="N943" s="3" t="str">
        <f aca="false">IFERROR(__xludf.dummyfunction("if($T943&lt;&gt;"""",REGEXEXTRACT(SUBSTITUTE ($T943,N$1&amp;"" CE"",""""), N$1&amp;""[\w &amp;]*, (\d+\.\d+)""),"""")
"),"")</f>
        <v/>
      </c>
      <c r="O943" s="3" t="str">
        <f aca="false">IFERROR(__xludf.dummyfunction("if($T943&lt;&gt;"""",REGEXEXTRACT($T943, O$1&amp;""[\w &amp;]*, (\d+\.\d+)""),"""")
"),"")</f>
        <v/>
      </c>
      <c r="P943" s="2"/>
      <c r="Q943" s="2"/>
      <c r="R943" s="2"/>
      <c r="S943" s="2"/>
      <c r="T943" s="5"/>
    </row>
    <row r="944" customFormat="false" ht="15.75" hidden="false" customHeight="false" outlineLevel="0" collapsed="false">
      <c r="A944" s="4"/>
      <c r="B944" s="2"/>
      <c r="C944" s="2"/>
      <c r="D944" s="2"/>
      <c r="E944" s="2"/>
      <c r="F944" s="3" t="str">
        <f aca="false">IFERROR(__xludf.dummyfunction("if($T944&lt;&gt;"""",REGEXEXTRACT(SUBSTITUTE ($T944,F$1&amp;"" CE"",""""), F$1&amp;""[\w &amp;]*, (\d+\.\d+)""),"""")
"),"")</f>
        <v/>
      </c>
      <c r="G944" s="3" t="str">
        <f aca="false">IFERROR(__xludf.dummyfunction("if($T944&lt;&gt;"""",REGEXEXTRACT($T944, G$1&amp;""[\w &amp;]*, (\d+\.\d+)""),"""")
"),"")</f>
        <v/>
      </c>
      <c r="H944" s="3"/>
      <c r="I944" s="3" t="str">
        <f aca="false">IFERROR(__xludf.dummyfunction("if($T944&lt;&gt;"""",REGEXEXTRACT(SUBSTITUTE ($T944,I$1&amp;"" CE"",""""), I$1&amp;""[\w &amp;]*, (\d+\.\d+)""),"""")
"),"")</f>
        <v/>
      </c>
      <c r="J944" s="3" t="str">
        <f aca="false">IFERROR(__xludf.dummyfunction("if($T944&lt;&gt;"""",REGEXEXTRACT($T944, J$1&amp;""[\w &amp;]*, (\d+\.\d+)""),"""")
"),"")</f>
        <v/>
      </c>
      <c r="K944" s="3"/>
      <c r="L944" s="3" t="str">
        <f aca="false">IFERROR(__xludf.dummyfunction("if($T944&lt;&gt;"""",REGEXEXTRACT(SUBSTITUTE ($T944,L$1&amp;"" CE"",""""), L$1&amp;""[\w &amp;]*, (\d+\.\d+)""),"""")
"),"")</f>
        <v/>
      </c>
      <c r="M944" s="3" t="str">
        <f aca="false">IFERROR(__xludf.dummyfunction("if($T944&lt;&gt;"""",REGEXEXTRACT($T944, M$1&amp;""[\w &amp;]*, (\d+\.\d+)""),"""")
"),"")</f>
        <v/>
      </c>
      <c r="N944" s="3" t="str">
        <f aca="false">IFERROR(__xludf.dummyfunction("if($T944&lt;&gt;"""",REGEXEXTRACT(SUBSTITUTE ($T944,N$1&amp;"" CE"",""""), N$1&amp;""[\w &amp;]*, (\d+\.\d+)""),"""")
"),"")</f>
        <v/>
      </c>
      <c r="O944" s="3" t="str">
        <f aca="false">IFERROR(__xludf.dummyfunction("if($T944&lt;&gt;"""",REGEXEXTRACT($T944, O$1&amp;""[\w &amp;]*, (\d+\.\d+)""),"""")
"),"")</f>
        <v/>
      </c>
      <c r="P944" s="2"/>
      <c r="Q944" s="2"/>
      <c r="R944" s="2"/>
      <c r="S944" s="2"/>
      <c r="T944" s="5"/>
    </row>
    <row r="945" customFormat="false" ht="15.75" hidden="false" customHeight="false" outlineLevel="0" collapsed="false">
      <c r="A945" s="4"/>
      <c r="B945" s="2"/>
      <c r="C945" s="2"/>
      <c r="D945" s="2"/>
      <c r="E945" s="2"/>
      <c r="F945" s="3" t="str">
        <f aca="false">IFERROR(__xludf.dummyfunction("if($T945&lt;&gt;"""",REGEXEXTRACT(SUBSTITUTE ($T945,F$1&amp;"" CE"",""""), F$1&amp;""[\w &amp;]*, (\d+\.\d+)""),"""")
"),"")</f>
        <v/>
      </c>
      <c r="G945" s="3" t="str">
        <f aca="false">IFERROR(__xludf.dummyfunction("if($T945&lt;&gt;"""",REGEXEXTRACT($T945, G$1&amp;""[\w &amp;]*, (\d+\.\d+)""),"""")
"),"")</f>
        <v/>
      </c>
      <c r="H945" s="3"/>
      <c r="I945" s="3" t="str">
        <f aca="false">IFERROR(__xludf.dummyfunction("if($T945&lt;&gt;"""",REGEXEXTRACT(SUBSTITUTE ($T945,I$1&amp;"" CE"",""""), I$1&amp;""[\w &amp;]*, (\d+\.\d+)""),"""")
"),"")</f>
        <v/>
      </c>
      <c r="J945" s="3" t="str">
        <f aca="false">IFERROR(__xludf.dummyfunction("if($T945&lt;&gt;"""",REGEXEXTRACT($T945, J$1&amp;""[\w &amp;]*, (\d+\.\d+)""),"""")
"),"")</f>
        <v/>
      </c>
      <c r="K945" s="3"/>
      <c r="L945" s="3" t="str">
        <f aca="false">IFERROR(__xludf.dummyfunction("if($T945&lt;&gt;"""",REGEXEXTRACT(SUBSTITUTE ($T945,L$1&amp;"" CE"",""""), L$1&amp;""[\w &amp;]*, (\d+\.\d+)""),"""")
"),"")</f>
        <v/>
      </c>
      <c r="M945" s="3" t="str">
        <f aca="false">IFERROR(__xludf.dummyfunction("if($T945&lt;&gt;"""",REGEXEXTRACT($T945, M$1&amp;""[\w &amp;]*, (\d+\.\d+)""),"""")
"),"")</f>
        <v/>
      </c>
      <c r="N945" s="3" t="str">
        <f aca="false">IFERROR(__xludf.dummyfunction("if($T945&lt;&gt;"""",REGEXEXTRACT(SUBSTITUTE ($T945,N$1&amp;"" CE"",""""), N$1&amp;""[\w &amp;]*, (\d+\.\d+)""),"""")
"),"")</f>
        <v/>
      </c>
      <c r="O945" s="3" t="str">
        <f aca="false">IFERROR(__xludf.dummyfunction("if($T945&lt;&gt;"""",REGEXEXTRACT($T945, O$1&amp;""[\w &amp;]*, (\d+\.\d+)""),"""")
"),"")</f>
        <v/>
      </c>
      <c r="P945" s="2"/>
      <c r="Q945" s="2"/>
      <c r="R945" s="2"/>
      <c r="S945" s="2"/>
      <c r="T945" s="5"/>
    </row>
    <row r="946" customFormat="false" ht="15.75" hidden="false" customHeight="false" outlineLevel="0" collapsed="false">
      <c r="A946" s="4"/>
      <c r="B946" s="2"/>
      <c r="C946" s="2"/>
      <c r="D946" s="2"/>
      <c r="E946" s="2"/>
      <c r="F946" s="3" t="str">
        <f aca="false">IFERROR(__xludf.dummyfunction("if($T946&lt;&gt;"""",REGEXEXTRACT(SUBSTITUTE ($T946,F$1&amp;"" CE"",""""), F$1&amp;""[\w &amp;]*, (\d+\.\d+)""),"""")
"),"")</f>
        <v/>
      </c>
      <c r="G946" s="3" t="str">
        <f aca="false">IFERROR(__xludf.dummyfunction("if($T946&lt;&gt;"""",REGEXEXTRACT($T946, G$1&amp;""[\w &amp;]*, (\d+\.\d+)""),"""")
"),"")</f>
        <v/>
      </c>
      <c r="H946" s="3"/>
      <c r="I946" s="3" t="str">
        <f aca="false">IFERROR(__xludf.dummyfunction("if($T946&lt;&gt;"""",REGEXEXTRACT(SUBSTITUTE ($T946,I$1&amp;"" CE"",""""), I$1&amp;""[\w &amp;]*, (\d+\.\d+)""),"""")
"),"")</f>
        <v/>
      </c>
      <c r="J946" s="3" t="str">
        <f aca="false">IFERROR(__xludf.dummyfunction("if($T946&lt;&gt;"""",REGEXEXTRACT($T946, J$1&amp;""[\w &amp;]*, (\d+\.\d+)""),"""")
"),"")</f>
        <v/>
      </c>
      <c r="K946" s="3"/>
      <c r="L946" s="3" t="str">
        <f aca="false">IFERROR(__xludf.dummyfunction("if($T946&lt;&gt;"""",REGEXEXTRACT(SUBSTITUTE ($T946,L$1&amp;"" CE"",""""), L$1&amp;""[\w &amp;]*, (\d+\.\d+)""),"""")
"),"")</f>
        <v/>
      </c>
      <c r="M946" s="3" t="str">
        <f aca="false">IFERROR(__xludf.dummyfunction("if($T946&lt;&gt;"""",REGEXEXTRACT($T946, M$1&amp;""[\w &amp;]*, (\d+\.\d+)""),"""")
"),"")</f>
        <v/>
      </c>
      <c r="N946" s="3" t="str">
        <f aca="false">IFERROR(__xludf.dummyfunction("if($T946&lt;&gt;"""",REGEXEXTRACT(SUBSTITUTE ($T946,N$1&amp;"" CE"",""""), N$1&amp;""[\w &amp;]*, (\d+\.\d+)""),"""")
"),"")</f>
        <v/>
      </c>
      <c r="O946" s="3" t="str">
        <f aca="false">IFERROR(__xludf.dummyfunction("if($T946&lt;&gt;"""",REGEXEXTRACT($T946, O$1&amp;""[\w &amp;]*, (\d+\.\d+)""),"""")
"),"")</f>
        <v/>
      </c>
      <c r="P946" s="2"/>
      <c r="Q946" s="2"/>
      <c r="R946" s="2"/>
      <c r="S946" s="2"/>
      <c r="T946" s="5"/>
    </row>
    <row r="947" customFormat="false" ht="15.75" hidden="false" customHeight="false" outlineLevel="0" collapsed="false">
      <c r="A947" s="4"/>
      <c r="B947" s="2"/>
      <c r="C947" s="2"/>
      <c r="D947" s="2"/>
      <c r="E947" s="2"/>
      <c r="F947" s="3" t="str">
        <f aca="false">IFERROR(__xludf.dummyfunction("if($T947&lt;&gt;"""",REGEXEXTRACT(SUBSTITUTE ($T947,F$1&amp;"" CE"",""""), F$1&amp;""[\w &amp;]*, (\d+\.\d+)""),"""")
"),"")</f>
        <v/>
      </c>
      <c r="G947" s="3" t="str">
        <f aca="false">IFERROR(__xludf.dummyfunction("if($T947&lt;&gt;"""",REGEXEXTRACT($T947, G$1&amp;""[\w &amp;]*, (\d+\.\d+)""),"""")
"),"")</f>
        <v/>
      </c>
      <c r="H947" s="3"/>
      <c r="I947" s="3" t="str">
        <f aca="false">IFERROR(__xludf.dummyfunction("if($T947&lt;&gt;"""",REGEXEXTRACT(SUBSTITUTE ($T947,I$1&amp;"" CE"",""""), I$1&amp;""[\w &amp;]*, (\d+\.\d+)""),"""")
"),"")</f>
        <v/>
      </c>
      <c r="J947" s="3" t="str">
        <f aca="false">IFERROR(__xludf.dummyfunction("if($T947&lt;&gt;"""",REGEXEXTRACT($T947, J$1&amp;""[\w &amp;]*, (\d+\.\d+)""),"""")
"),"")</f>
        <v/>
      </c>
      <c r="K947" s="3"/>
      <c r="L947" s="3" t="str">
        <f aca="false">IFERROR(__xludf.dummyfunction("if($T947&lt;&gt;"""",REGEXEXTRACT(SUBSTITUTE ($T947,L$1&amp;"" CE"",""""), L$1&amp;""[\w &amp;]*, (\d+\.\d+)""),"""")
"),"")</f>
        <v/>
      </c>
      <c r="M947" s="3" t="str">
        <f aca="false">IFERROR(__xludf.dummyfunction("if($T947&lt;&gt;"""",REGEXEXTRACT($T947, M$1&amp;""[\w &amp;]*, (\d+\.\d+)""),"""")
"),"")</f>
        <v/>
      </c>
      <c r="N947" s="3" t="str">
        <f aca="false">IFERROR(__xludf.dummyfunction("if($T947&lt;&gt;"""",REGEXEXTRACT(SUBSTITUTE ($T947,N$1&amp;"" CE"",""""), N$1&amp;""[\w &amp;]*, (\d+\.\d+)""),"""")
"),"")</f>
        <v/>
      </c>
      <c r="O947" s="3" t="str">
        <f aca="false">IFERROR(__xludf.dummyfunction("if($T947&lt;&gt;"""",REGEXEXTRACT($T947, O$1&amp;""[\w &amp;]*, (\d+\.\d+)""),"""")
"),"")</f>
        <v/>
      </c>
      <c r="P947" s="2"/>
      <c r="Q947" s="2"/>
      <c r="R947" s="2"/>
      <c r="S947" s="2"/>
      <c r="T947" s="5"/>
    </row>
    <row r="948" customFormat="false" ht="15.75" hidden="false" customHeight="false" outlineLevel="0" collapsed="false">
      <c r="A948" s="4"/>
      <c r="B948" s="2"/>
      <c r="C948" s="2"/>
      <c r="D948" s="2"/>
      <c r="E948" s="2"/>
      <c r="F948" s="3" t="str">
        <f aca="false">IFERROR(__xludf.dummyfunction("if($T948&lt;&gt;"""",REGEXEXTRACT(SUBSTITUTE ($T948,F$1&amp;"" CE"",""""), F$1&amp;""[\w &amp;]*, (\d+\.\d+)""),"""")
"),"")</f>
        <v/>
      </c>
      <c r="G948" s="3" t="str">
        <f aca="false">IFERROR(__xludf.dummyfunction("if($T948&lt;&gt;"""",REGEXEXTRACT($T948, G$1&amp;""[\w &amp;]*, (\d+\.\d+)""),"""")
"),"")</f>
        <v/>
      </c>
      <c r="H948" s="3"/>
      <c r="I948" s="3" t="str">
        <f aca="false">IFERROR(__xludf.dummyfunction("if($T948&lt;&gt;"""",REGEXEXTRACT(SUBSTITUTE ($T948,I$1&amp;"" CE"",""""), I$1&amp;""[\w &amp;]*, (\d+\.\d+)""),"""")
"),"")</f>
        <v/>
      </c>
      <c r="J948" s="3" t="str">
        <f aca="false">IFERROR(__xludf.dummyfunction("if($T948&lt;&gt;"""",REGEXEXTRACT($T948, J$1&amp;""[\w &amp;]*, (\d+\.\d+)""),"""")
"),"")</f>
        <v/>
      </c>
      <c r="K948" s="3"/>
      <c r="L948" s="3" t="str">
        <f aca="false">IFERROR(__xludf.dummyfunction("if($T948&lt;&gt;"""",REGEXEXTRACT(SUBSTITUTE ($T948,L$1&amp;"" CE"",""""), L$1&amp;""[\w &amp;]*, (\d+\.\d+)""),"""")
"),"")</f>
        <v/>
      </c>
      <c r="M948" s="3" t="str">
        <f aca="false">IFERROR(__xludf.dummyfunction("if($T948&lt;&gt;"""",REGEXEXTRACT($T948, M$1&amp;""[\w &amp;]*, (\d+\.\d+)""),"""")
"),"")</f>
        <v/>
      </c>
      <c r="N948" s="3" t="str">
        <f aca="false">IFERROR(__xludf.dummyfunction("if($T948&lt;&gt;"""",REGEXEXTRACT(SUBSTITUTE ($T948,N$1&amp;"" CE"",""""), N$1&amp;""[\w &amp;]*, (\d+\.\d+)""),"""")
"),"")</f>
        <v/>
      </c>
      <c r="O948" s="3" t="str">
        <f aca="false">IFERROR(__xludf.dummyfunction("if($T948&lt;&gt;"""",REGEXEXTRACT($T948, O$1&amp;""[\w &amp;]*, (\d+\.\d+)""),"""")
"),"")</f>
        <v/>
      </c>
      <c r="P948" s="2"/>
      <c r="Q948" s="2"/>
      <c r="R948" s="2"/>
      <c r="S948" s="2"/>
      <c r="T948" s="5"/>
    </row>
    <row r="949" customFormat="false" ht="15.75" hidden="false" customHeight="false" outlineLevel="0" collapsed="false">
      <c r="A949" s="4"/>
      <c r="B949" s="2"/>
      <c r="C949" s="2"/>
      <c r="D949" s="2"/>
      <c r="E949" s="2"/>
      <c r="F949" s="3" t="str">
        <f aca="false">IFERROR(__xludf.dummyfunction("if($T949&lt;&gt;"""",REGEXEXTRACT(SUBSTITUTE ($T949,F$1&amp;"" CE"",""""), F$1&amp;""[\w &amp;]*, (\d+\.\d+)""),"""")
"),"")</f>
        <v/>
      </c>
      <c r="G949" s="3" t="str">
        <f aca="false">IFERROR(__xludf.dummyfunction("if($T949&lt;&gt;"""",REGEXEXTRACT($T949, G$1&amp;""[\w &amp;]*, (\d+\.\d+)""),"""")
"),"")</f>
        <v/>
      </c>
      <c r="H949" s="3"/>
      <c r="I949" s="3" t="str">
        <f aca="false">IFERROR(__xludf.dummyfunction("if($T949&lt;&gt;"""",REGEXEXTRACT(SUBSTITUTE ($T949,I$1&amp;"" CE"",""""), I$1&amp;""[\w &amp;]*, (\d+\.\d+)""),"""")
"),"")</f>
        <v/>
      </c>
      <c r="J949" s="3" t="str">
        <f aca="false">IFERROR(__xludf.dummyfunction("if($T949&lt;&gt;"""",REGEXEXTRACT($T949, J$1&amp;""[\w &amp;]*, (\d+\.\d+)""),"""")
"),"")</f>
        <v/>
      </c>
      <c r="K949" s="3"/>
      <c r="L949" s="3" t="str">
        <f aca="false">IFERROR(__xludf.dummyfunction("if($T949&lt;&gt;"""",REGEXEXTRACT(SUBSTITUTE ($T949,L$1&amp;"" CE"",""""), L$1&amp;""[\w &amp;]*, (\d+\.\d+)""),"""")
"),"")</f>
        <v/>
      </c>
      <c r="M949" s="3" t="str">
        <f aca="false">IFERROR(__xludf.dummyfunction("if($T949&lt;&gt;"""",REGEXEXTRACT($T949, M$1&amp;""[\w &amp;]*, (\d+\.\d+)""),"""")
"),"")</f>
        <v/>
      </c>
      <c r="N949" s="3" t="str">
        <f aca="false">IFERROR(__xludf.dummyfunction("if($T949&lt;&gt;"""",REGEXEXTRACT(SUBSTITUTE ($T949,N$1&amp;"" CE"",""""), N$1&amp;""[\w &amp;]*, (\d+\.\d+)""),"""")
"),"")</f>
        <v/>
      </c>
      <c r="O949" s="3" t="str">
        <f aca="false">IFERROR(__xludf.dummyfunction("if($T949&lt;&gt;"""",REGEXEXTRACT($T949, O$1&amp;""[\w &amp;]*, (\d+\.\d+)""),"""")
"),"")</f>
        <v/>
      </c>
      <c r="P949" s="2"/>
      <c r="Q949" s="2"/>
      <c r="R949" s="2"/>
      <c r="S949" s="2"/>
      <c r="T949" s="5"/>
    </row>
    <row r="950" customFormat="false" ht="15.75" hidden="false" customHeight="false" outlineLevel="0" collapsed="false">
      <c r="A950" s="4"/>
      <c r="B950" s="2"/>
      <c r="C950" s="2"/>
      <c r="D950" s="2"/>
      <c r="E950" s="2"/>
      <c r="F950" s="3" t="str">
        <f aca="false">IFERROR(__xludf.dummyfunction("if($T950&lt;&gt;"""",REGEXEXTRACT(SUBSTITUTE ($T950,F$1&amp;"" CE"",""""), F$1&amp;""[\w &amp;]*, (\d+\.\d+)""),"""")
"),"")</f>
        <v/>
      </c>
      <c r="G950" s="3" t="str">
        <f aca="false">IFERROR(__xludf.dummyfunction("if($T950&lt;&gt;"""",REGEXEXTRACT($T950, G$1&amp;""[\w &amp;]*, (\d+\.\d+)""),"""")
"),"")</f>
        <v/>
      </c>
      <c r="H950" s="3"/>
      <c r="I950" s="3" t="str">
        <f aca="false">IFERROR(__xludf.dummyfunction("if($T950&lt;&gt;"""",REGEXEXTRACT(SUBSTITUTE ($T950,I$1&amp;"" CE"",""""), I$1&amp;""[\w &amp;]*, (\d+\.\d+)""),"""")
"),"")</f>
        <v/>
      </c>
      <c r="J950" s="3" t="str">
        <f aca="false">IFERROR(__xludf.dummyfunction("if($T950&lt;&gt;"""",REGEXEXTRACT($T950, J$1&amp;""[\w &amp;]*, (\d+\.\d+)""),"""")
"),"")</f>
        <v/>
      </c>
      <c r="K950" s="3"/>
      <c r="L950" s="3" t="str">
        <f aca="false">IFERROR(__xludf.dummyfunction("if($T950&lt;&gt;"""",REGEXEXTRACT(SUBSTITUTE ($T950,L$1&amp;"" CE"",""""), L$1&amp;""[\w &amp;]*, (\d+\.\d+)""),"""")
"),"")</f>
        <v/>
      </c>
      <c r="M950" s="3" t="str">
        <f aca="false">IFERROR(__xludf.dummyfunction("if($T950&lt;&gt;"""",REGEXEXTRACT($T950, M$1&amp;""[\w &amp;]*, (\d+\.\d+)""),"""")
"),"")</f>
        <v/>
      </c>
      <c r="N950" s="3" t="str">
        <f aca="false">IFERROR(__xludf.dummyfunction("if($T950&lt;&gt;"""",REGEXEXTRACT(SUBSTITUTE ($T950,N$1&amp;"" CE"",""""), N$1&amp;""[\w &amp;]*, (\d+\.\d+)""),"""")
"),"")</f>
        <v/>
      </c>
      <c r="O950" s="3" t="str">
        <f aca="false">IFERROR(__xludf.dummyfunction("if($T950&lt;&gt;"""",REGEXEXTRACT($T950, O$1&amp;""[\w &amp;]*, (\d+\.\d+)""),"""")
"),"")</f>
        <v/>
      </c>
      <c r="P950" s="2"/>
      <c r="Q950" s="2"/>
      <c r="R950" s="2"/>
      <c r="S950" s="2"/>
      <c r="T950" s="5"/>
    </row>
    <row r="951" customFormat="false" ht="15.75" hidden="false" customHeight="false" outlineLevel="0" collapsed="false">
      <c r="A951" s="4"/>
      <c r="B951" s="2"/>
      <c r="C951" s="2"/>
      <c r="D951" s="2"/>
      <c r="E951" s="2"/>
      <c r="F951" s="3" t="str">
        <f aca="false">IFERROR(__xludf.dummyfunction("if($T951&lt;&gt;"""",REGEXEXTRACT(SUBSTITUTE ($T951,F$1&amp;"" CE"",""""), F$1&amp;""[\w &amp;]*, (\d+\.\d+)""),"""")
"),"")</f>
        <v/>
      </c>
      <c r="G951" s="3" t="str">
        <f aca="false">IFERROR(__xludf.dummyfunction("if($T951&lt;&gt;"""",REGEXEXTRACT($T951, G$1&amp;""[\w &amp;]*, (\d+\.\d+)""),"""")
"),"")</f>
        <v/>
      </c>
      <c r="H951" s="3"/>
      <c r="I951" s="3" t="str">
        <f aca="false">IFERROR(__xludf.dummyfunction("if($T951&lt;&gt;"""",REGEXEXTRACT(SUBSTITUTE ($T951,I$1&amp;"" CE"",""""), I$1&amp;""[\w &amp;]*, (\d+\.\d+)""),"""")
"),"")</f>
        <v/>
      </c>
      <c r="J951" s="3" t="str">
        <f aca="false">IFERROR(__xludf.dummyfunction("if($T951&lt;&gt;"""",REGEXEXTRACT($T951, J$1&amp;""[\w &amp;]*, (\d+\.\d+)""),"""")
"),"")</f>
        <v/>
      </c>
      <c r="K951" s="3"/>
      <c r="L951" s="3" t="str">
        <f aca="false">IFERROR(__xludf.dummyfunction("if($T951&lt;&gt;"""",REGEXEXTRACT(SUBSTITUTE ($T951,L$1&amp;"" CE"",""""), L$1&amp;""[\w &amp;]*, (\d+\.\d+)""),"""")
"),"")</f>
        <v/>
      </c>
      <c r="M951" s="3" t="str">
        <f aca="false">IFERROR(__xludf.dummyfunction("if($T951&lt;&gt;"""",REGEXEXTRACT($T951, M$1&amp;""[\w &amp;]*, (\d+\.\d+)""),"""")
"),"")</f>
        <v/>
      </c>
      <c r="N951" s="3" t="str">
        <f aca="false">IFERROR(__xludf.dummyfunction("if($T951&lt;&gt;"""",REGEXEXTRACT(SUBSTITUTE ($T951,N$1&amp;"" CE"",""""), N$1&amp;""[\w &amp;]*, (\d+\.\d+)""),"""")
"),"")</f>
        <v/>
      </c>
      <c r="O951" s="3" t="str">
        <f aca="false">IFERROR(__xludf.dummyfunction("if($T951&lt;&gt;"""",REGEXEXTRACT($T951, O$1&amp;""[\w &amp;]*, (\d+\.\d+)""),"""")
"),"")</f>
        <v/>
      </c>
      <c r="P951" s="2"/>
      <c r="Q951" s="2"/>
      <c r="R951" s="2"/>
      <c r="S951" s="2"/>
      <c r="T951" s="5"/>
    </row>
    <row r="952" customFormat="false" ht="15.75" hidden="false" customHeight="false" outlineLevel="0" collapsed="false">
      <c r="A952" s="4"/>
      <c r="B952" s="2"/>
      <c r="C952" s="2"/>
      <c r="D952" s="2"/>
      <c r="E952" s="2"/>
      <c r="F952" s="3" t="str">
        <f aca="false">IFERROR(__xludf.dummyfunction("if($T952&lt;&gt;"""",REGEXEXTRACT(SUBSTITUTE ($T952,F$1&amp;"" CE"",""""), F$1&amp;""[\w &amp;]*, (\d+\.\d+)""),"""")
"),"")</f>
        <v/>
      </c>
      <c r="G952" s="3" t="str">
        <f aca="false">IFERROR(__xludf.dummyfunction("if($T952&lt;&gt;"""",REGEXEXTRACT($T952, G$1&amp;""[\w &amp;]*, (\d+\.\d+)""),"""")
"),"")</f>
        <v/>
      </c>
      <c r="H952" s="3"/>
      <c r="I952" s="3" t="str">
        <f aca="false">IFERROR(__xludf.dummyfunction("if($T952&lt;&gt;"""",REGEXEXTRACT(SUBSTITUTE ($T952,I$1&amp;"" CE"",""""), I$1&amp;""[\w &amp;]*, (\d+\.\d+)""),"""")
"),"")</f>
        <v/>
      </c>
      <c r="J952" s="3" t="str">
        <f aca="false">IFERROR(__xludf.dummyfunction("if($T952&lt;&gt;"""",REGEXEXTRACT($T952, J$1&amp;""[\w &amp;]*, (\d+\.\d+)""),"""")
"),"")</f>
        <v/>
      </c>
      <c r="K952" s="3"/>
      <c r="L952" s="3" t="str">
        <f aca="false">IFERROR(__xludf.dummyfunction("if($T952&lt;&gt;"""",REGEXEXTRACT(SUBSTITUTE ($T952,L$1&amp;"" CE"",""""), L$1&amp;""[\w &amp;]*, (\d+\.\d+)""),"""")
"),"")</f>
        <v/>
      </c>
      <c r="M952" s="3" t="str">
        <f aca="false">IFERROR(__xludf.dummyfunction("if($T952&lt;&gt;"""",REGEXEXTRACT($T952, M$1&amp;""[\w &amp;]*, (\d+\.\d+)""),"""")
"),"")</f>
        <v/>
      </c>
      <c r="N952" s="3" t="str">
        <f aca="false">IFERROR(__xludf.dummyfunction("if($T952&lt;&gt;"""",REGEXEXTRACT(SUBSTITUTE ($T952,N$1&amp;"" CE"",""""), N$1&amp;""[\w &amp;]*, (\d+\.\d+)""),"""")
"),"")</f>
        <v/>
      </c>
      <c r="O952" s="3" t="str">
        <f aca="false">IFERROR(__xludf.dummyfunction("if($T952&lt;&gt;"""",REGEXEXTRACT($T952, O$1&amp;""[\w &amp;]*, (\d+\.\d+)""),"""")
"),"")</f>
        <v/>
      </c>
      <c r="P952" s="2"/>
      <c r="Q952" s="2"/>
      <c r="R952" s="2"/>
      <c r="S952" s="2"/>
      <c r="T952" s="5"/>
    </row>
    <row r="953" customFormat="false" ht="15.75" hidden="false" customHeight="false" outlineLevel="0" collapsed="false">
      <c r="A953" s="4"/>
      <c r="B953" s="2"/>
      <c r="C953" s="2"/>
      <c r="D953" s="2"/>
      <c r="E953" s="2"/>
      <c r="F953" s="3" t="str">
        <f aca="false">IFERROR(__xludf.dummyfunction("if($T953&lt;&gt;"""",REGEXEXTRACT(SUBSTITUTE ($T953,F$1&amp;"" CE"",""""), F$1&amp;""[\w &amp;]*, (\d+\.\d+)""),"""")
"),"")</f>
        <v/>
      </c>
      <c r="G953" s="3" t="str">
        <f aca="false">IFERROR(__xludf.dummyfunction("if($T953&lt;&gt;"""",REGEXEXTRACT($T953, G$1&amp;""[\w &amp;]*, (\d+\.\d+)""),"""")
"),"")</f>
        <v/>
      </c>
      <c r="H953" s="3"/>
      <c r="I953" s="3" t="str">
        <f aca="false">IFERROR(__xludf.dummyfunction("if($T953&lt;&gt;"""",REGEXEXTRACT(SUBSTITUTE ($T953,I$1&amp;"" CE"",""""), I$1&amp;""[\w &amp;]*, (\d+\.\d+)""),"""")
"),"")</f>
        <v/>
      </c>
      <c r="J953" s="3" t="str">
        <f aca="false">IFERROR(__xludf.dummyfunction("if($T953&lt;&gt;"""",REGEXEXTRACT($T953, J$1&amp;""[\w &amp;]*, (\d+\.\d+)""),"""")
"),"")</f>
        <v/>
      </c>
      <c r="K953" s="3"/>
      <c r="L953" s="3" t="str">
        <f aca="false">IFERROR(__xludf.dummyfunction("if($T953&lt;&gt;"""",REGEXEXTRACT(SUBSTITUTE ($T953,L$1&amp;"" CE"",""""), L$1&amp;""[\w &amp;]*, (\d+\.\d+)""),"""")
"),"")</f>
        <v/>
      </c>
      <c r="M953" s="3" t="str">
        <f aca="false">IFERROR(__xludf.dummyfunction("if($T953&lt;&gt;"""",REGEXEXTRACT($T953, M$1&amp;""[\w &amp;]*, (\d+\.\d+)""),"""")
"),"")</f>
        <v/>
      </c>
      <c r="N953" s="3" t="str">
        <f aca="false">IFERROR(__xludf.dummyfunction("if($T953&lt;&gt;"""",REGEXEXTRACT(SUBSTITUTE ($T953,N$1&amp;"" CE"",""""), N$1&amp;""[\w &amp;]*, (\d+\.\d+)""),"""")
"),"")</f>
        <v/>
      </c>
      <c r="O953" s="3" t="str">
        <f aca="false">IFERROR(__xludf.dummyfunction("if($T953&lt;&gt;"""",REGEXEXTRACT($T953, O$1&amp;""[\w &amp;]*, (\d+\.\d+)""),"""")
"),"")</f>
        <v/>
      </c>
      <c r="P953" s="2"/>
      <c r="Q953" s="2"/>
      <c r="R953" s="2"/>
      <c r="S953" s="2"/>
      <c r="T953" s="5"/>
    </row>
    <row r="954" customFormat="false" ht="15.75" hidden="false" customHeight="false" outlineLevel="0" collapsed="false">
      <c r="A954" s="4"/>
      <c r="B954" s="2"/>
      <c r="C954" s="2"/>
      <c r="D954" s="2"/>
      <c r="E954" s="2"/>
      <c r="F954" s="3" t="str">
        <f aca="false">IFERROR(__xludf.dummyfunction("if($T954&lt;&gt;"""",REGEXEXTRACT(SUBSTITUTE ($T954,F$1&amp;"" CE"",""""), F$1&amp;""[\w &amp;]*, (\d+\.\d+)""),"""")
"),"")</f>
        <v/>
      </c>
      <c r="G954" s="3" t="str">
        <f aca="false">IFERROR(__xludf.dummyfunction("if($T954&lt;&gt;"""",REGEXEXTRACT($T954, G$1&amp;""[\w &amp;]*, (\d+\.\d+)""),"""")
"),"")</f>
        <v/>
      </c>
      <c r="H954" s="3"/>
      <c r="I954" s="3" t="str">
        <f aca="false">IFERROR(__xludf.dummyfunction("if($T954&lt;&gt;"""",REGEXEXTRACT(SUBSTITUTE ($T954,I$1&amp;"" CE"",""""), I$1&amp;""[\w &amp;]*, (\d+\.\d+)""),"""")
"),"")</f>
        <v/>
      </c>
      <c r="J954" s="3" t="str">
        <f aca="false">IFERROR(__xludf.dummyfunction("if($T954&lt;&gt;"""",REGEXEXTRACT($T954, J$1&amp;""[\w &amp;]*, (\d+\.\d+)""),"""")
"),"")</f>
        <v/>
      </c>
      <c r="K954" s="3"/>
      <c r="L954" s="3" t="str">
        <f aca="false">IFERROR(__xludf.dummyfunction("if($T954&lt;&gt;"""",REGEXEXTRACT(SUBSTITUTE ($T954,L$1&amp;"" CE"",""""), L$1&amp;""[\w &amp;]*, (\d+\.\d+)""),"""")
"),"")</f>
        <v/>
      </c>
      <c r="M954" s="3" t="str">
        <f aca="false">IFERROR(__xludf.dummyfunction("if($T954&lt;&gt;"""",REGEXEXTRACT($T954, M$1&amp;""[\w &amp;]*, (\d+\.\d+)""),"""")
"),"")</f>
        <v/>
      </c>
      <c r="N954" s="3" t="str">
        <f aca="false">IFERROR(__xludf.dummyfunction("if($T954&lt;&gt;"""",REGEXEXTRACT(SUBSTITUTE ($T954,N$1&amp;"" CE"",""""), N$1&amp;""[\w &amp;]*, (\d+\.\d+)""),"""")
"),"")</f>
        <v/>
      </c>
      <c r="O954" s="3" t="str">
        <f aca="false">IFERROR(__xludf.dummyfunction("if($T954&lt;&gt;"""",REGEXEXTRACT($T954, O$1&amp;""[\w &amp;]*, (\d+\.\d+)""),"""")
"),"")</f>
        <v/>
      </c>
      <c r="P954" s="2"/>
      <c r="Q954" s="2"/>
      <c r="R954" s="2"/>
      <c r="S954" s="2"/>
      <c r="T954" s="5"/>
    </row>
    <row r="955" customFormat="false" ht="15.75" hidden="false" customHeight="false" outlineLevel="0" collapsed="false">
      <c r="A955" s="4"/>
      <c r="B955" s="2"/>
      <c r="C955" s="2"/>
      <c r="D955" s="2"/>
      <c r="E955" s="2"/>
      <c r="F955" s="3" t="str">
        <f aca="false">IFERROR(__xludf.dummyfunction("if($T955&lt;&gt;"""",REGEXEXTRACT(SUBSTITUTE ($T955,F$1&amp;"" CE"",""""), F$1&amp;""[\w &amp;]*, (\d+\.\d+)""),"""")
"),"")</f>
        <v/>
      </c>
      <c r="G955" s="3" t="str">
        <f aca="false">IFERROR(__xludf.dummyfunction("if($T955&lt;&gt;"""",REGEXEXTRACT($T955, G$1&amp;""[\w &amp;]*, (\d+\.\d+)""),"""")
"),"")</f>
        <v/>
      </c>
      <c r="H955" s="3"/>
      <c r="I955" s="3" t="str">
        <f aca="false">IFERROR(__xludf.dummyfunction("if($T955&lt;&gt;"""",REGEXEXTRACT(SUBSTITUTE ($T955,I$1&amp;"" CE"",""""), I$1&amp;""[\w &amp;]*, (\d+\.\d+)""),"""")
"),"")</f>
        <v/>
      </c>
      <c r="J955" s="3" t="str">
        <f aca="false">IFERROR(__xludf.dummyfunction("if($T955&lt;&gt;"""",REGEXEXTRACT($T955, J$1&amp;""[\w &amp;]*, (\d+\.\d+)""),"""")
"),"")</f>
        <v/>
      </c>
      <c r="K955" s="3"/>
      <c r="L955" s="3" t="str">
        <f aca="false">IFERROR(__xludf.dummyfunction("if($T955&lt;&gt;"""",REGEXEXTRACT(SUBSTITUTE ($T955,L$1&amp;"" CE"",""""), L$1&amp;""[\w &amp;]*, (\d+\.\d+)""),"""")
"),"")</f>
        <v/>
      </c>
      <c r="M955" s="3" t="str">
        <f aca="false">IFERROR(__xludf.dummyfunction("if($T955&lt;&gt;"""",REGEXEXTRACT($T955, M$1&amp;""[\w &amp;]*, (\d+\.\d+)""),"""")
"),"")</f>
        <v/>
      </c>
      <c r="N955" s="3" t="str">
        <f aca="false">IFERROR(__xludf.dummyfunction("if($T955&lt;&gt;"""",REGEXEXTRACT(SUBSTITUTE ($T955,N$1&amp;"" CE"",""""), N$1&amp;""[\w &amp;]*, (\d+\.\d+)""),"""")
"),"")</f>
        <v/>
      </c>
      <c r="O955" s="3" t="str">
        <f aca="false">IFERROR(__xludf.dummyfunction("if($T955&lt;&gt;"""",REGEXEXTRACT($T955, O$1&amp;""[\w &amp;]*, (\d+\.\d+)""),"""")
"),"")</f>
        <v/>
      </c>
      <c r="P955" s="2"/>
      <c r="Q955" s="2"/>
      <c r="R955" s="2"/>
      <c r="S955" s="2"/>
      <c r="T955" s="5"/>
    </row>
    <row r="956" customFormat="false" ht="15.75" hidden="false" customHeight="false" outlineLevel="0" collapsed="false">
      <c r="A956" s="4"/>
      <c r="B956" s="2"/>
      <c r="C956" s="2"/>
      <c r="D956" s="2"/>
      <c r="E956" s="2"/>
      <c r="F956" s="3" t="str">
        <f aca="false">IFERROR(__xludf.dummyfunction("if($T956&lt;&gt;"""",REGEXEXTRACT(SUBSTITUTE ($T956,F$1&amp;"" CE"",""""), F$1&amp;""[\w &amp;]*, (\d+\.\d+)""),"""")
"),"")</f>
        <v/>
      </c>
      <c r="G956" s="3" t="str">
        <f aca="false">IFERROR(__xludf.dummyfunction("if($T956&lt;&gt;"""",REGEXEXTRACT($T956, G$1&amp;""[\w &amp;]*, (\d+\.\d+)""),"""")
"),"")</f>
        <v/>
      </c>
      <c r="H956" s="3"/>
      <c r="I956" s="3" t="str">
        <f aca="false">IFERROR(__xludf.dummyfunction("if($T956&lt;&gt;"""",REGEXEXTRACT(SUBSTITUTE ($T956,I$1&amp;"" CE"",""""), I$1&amp;""[\w &amp;]*, (\d+\.\d+)""),"""")
"),"")</f>
        <v/>
      </c>
      <c r="J956" s="3" t="str">
        <f aca="false">IFERROR(__xludf.dummyfunction("if($T956&lt;&gt;"""",REGEXEXTRACT($T956, J$1&amp;""[\w &amp;]*, (\d+\.\d+)""),"""")
"),"")</f>
        <v/>
      </c>
      <c r="K956" s="3"/>
      <c r="L956" s="3" t="str">
        <f aca="false">IFERROR(__xludf.dummyfunction("if($T956&lt;&gt;"""",REGEXEXTRACT(SUBSTITUTE ($T956,L$1&amp;"" CE"",""""), L$1&amp;""[\w &amp;]*, (\d+\.\d+)""),"""")
"),"")</f>
        <v/>
      </c>
      <c r="M956" s="3" t="str">
        <f aca="false">IFERROR(__xludf.dummyfunction("if($T956&lt;&gt;"""",REGEXEXTRACT($T956, M$1&amp;""[\w &amp;]*, (\d+\.\d+)""),"""")
"),"")</f>
        <v/>
      </c>
      <c r="N956" s="3" t="str">
        <f aca="false">IFERROR(__xludf.dummyfunction("if($T956&lt;&gt;"""",REGEXEXTRACT(SUBSTITUTE ($T956,N$1&amp;"" CE"",""""), N$1&amp;""[\w &amp;]*, (\d+\.\d+)""),"""")
"),"")</f>
        <v/>
      </c>
      <c r="O956" s="3" t="str">
        <f aca="false">IFERROR(__xludf.dummyfunction("if($T956&lt;&gt;"""",REGEXEXTRACT($T956, O$1&amp;""[\w &amp;]*, (\d+\.\d+)""),"""")
"),"")</f>
        <v/>
      </c>
      <c r="P956" s="2"/>
      <c r="Q956" s="2"/>
      <c r="R956" s="2"/>
      <c r="S956" s="2"/>
      <c r="T956" s="5"/>
    </row>
    <row r="957" customFormat="false" ht="15.75" hidden="false" customHeight="false" outlineLevel="0" collapsed="false">
      <c r="A957" s="4"/>
      <c r="B957" s="2"/>
      <c r="C957" s="2"/>
      <c r="D957" s="2"/>
      <c r="E957" s="2"/>
      <c r="F957" s="3" t="str">
        <f aca="false">IFERROR(__xludf.dummyfunction("if($T957&lt;&gt;"""",REGEXEXTRACT(SUBSTITUTE ($T957,F$1&amp;"" CE"",""""), F$1&amp;""[\w &amp;]*, (\d+\.\d+)""),"""")
"),"")</f>
        <v/>
      </c>
      <c r="G957" s="3" t="str">
        <f aca="false">IFERROR(__xludf.dummyfunction("if($T957&lt;&gt;"""",REGEXEXTRACT($T957, G$1&amp;""[\w &amp;]*, (\d+\.\d+)""),"""")
"),"")</f>
        <v/>
      </c>
      <c r="H957" s="3"/>
      <c r="I957" s="3" t="str">
        <f aca="false">IFERROR(__xludf.dummyfunction("if($T957&lt;&gt;"""",REGEXEXTRACT(SUBSTITUTE ($T957,I$1&amp;"" CE"",""""), I$1&amp;""[\w &amp;]*, (\d+\.\d+)""),"""")
"),"")</f>
        <v/>
      </c>
      <c r="J957" s="3" t="str">
        <f aca="false">IFERROR(__xludf.dummyfunction("if($T957&lt;&gt;"""",REGEXEXTRACT($T957, J$1&amp;""[\w &amp;]*, (\d+\.\d+)""),"""")
"),"")</f>
        <v/>
      </c>
      <c r="K957" s="3"/>
      <c r="L957" s="3" t="str">
        <f aca="false">IFERROR(__xludf.dummyfunction("if($T957&lt;&gt;"""",REGEXEXTRACT(SUBSTITUTE ($T957,L$1&amp;"" CE"",""""), L$1&amp;""[\w &amp;]*, (\d+\.\d+)""),"""")
"),"")</f>
        <v/>
      </c>
      <c r="M957" s="3" t="str">
        <f aca="false">IFERROR(__xludf.dummyfunction("if($T957&lt;&gt;"""",REGEXEXTRACT($T957, M$1&amp;""[\w &amp;]*, (\d+\.\d+)""),"""")
"),"")</f>
        <v/>
      </c>
      <c r="N957" s="3" t="str">
        <f aca="false">IFERROR(__xludf.dummyfunction("if($T957&lt;&gt;"""",REGEXEXTRACT(SUBSTITUTE ($T957,N$1&amp;"" CE"",""""), N$1&amp;""[\w &amp;]*, (\d+\.\d+)""),"""")
"),"")</f>
        <v/>
      </c>
      <c r="O957" s="3" t="str">
        <f aca="false">IFERROR(__xludf.dummyfunction("if($T957&lt;&gt;"""",REGEXEXTRACT($T957, O$1&amp;""[\w &amp;]*, (\d+\.\d+)""),"""")
"),"")</f>
        <v/>
      </c>
      <c r="P957" s="2"/>
      <c r="Q957" s="2"/>
      <c r="R957" s="2"/>
      <c r="S957" s="2"/>
      <c r="T957" s="5"/>
    </row>
    <row r="958" customFormat="false" ht="15.75" hidden="false" customHeight="false" outlineLevel="0" collapsed="false">
      <c r="A958" s="4"/>
      <c r="B958" s="2"/>
      <c r="C958" s="2"/>
      <c r="D958" s="2"/>
      <c r="E958" s="2"/>
      <c r="F958" s="3" t="str">
        <f aca="false">IFERROR(__xludf.dummyfunction("if($T958&lt;&gt;"""",REGEXEXTRACT(SUBSTITUTE ($T958,F$1&amp;"" CE"",""""), F$1&amp;""[\w &amp;]*, (\d+\.\d+)""),"""")
"),"")</f>
        <v/>
      </c>
      <c r="G958" s="3" t="str">
        <f aca="false">IFERROR(__xludf.dummyfunction("if($T958&lt;&gt;"""",REGEXEXTRACT($T958, G$1&amp;""[\w &amp;]*, (\d+\.\d+)""),"""")
"),"")</f>
        <v/>
      </c>
      <c r="H958" s="3"/>
      <c r="I958" s="3" t="str">
        <f aca="false">IFERROR(__xludf.dummyfunction("if($T958&lt;&gt;"""",REGEXEXTRACT(SUBSTITUTE ($T958,I$1&amp;"" CE"",""""), I$1&amp;""[\w &amp;]*, (\d+\.\d+)""),"""")
"),"")</f>
        <v/>
      </c>
      <c r="J958" s="3" t="str">
        <f aca="false">IFERROR(__xludf.dummyfunction("if($T958&lt;&gt;"""",REGEXEXTRACT($T958, J$1&amp;""[\w &amp;]*, (\d+\.\d+)""),"""")
"),"")</f>
        <v/>
      </c>
      <c r="K958" s="3"/>
      <c r="L958" s="3" t="str">
        <f aca="false">IFERROR(__xludf.dummyfunction("if($T958&lt;&gt;"""",REGEXEXTRACT(SUBSTITUTE ($T958,L$1&amp;"" CE"",""""), L$1&amp;""[\w &amp;]*, (\d+\.\d+)""),"""")
"),"")</f>
        <v/>
      </c>
      <c r="M958" s="3" t="str">
        <f aca="false">IFERROR(__xludf.dummyfunction("if($T958&lt;&gt;"""",REGEXEXTRACT($T958, M$1&amp;""[\w &amp;]*, (\d+\.\d+)""),"""")
"),"")</f>
        <v/>
      </c>
      <c r="N958" s="3" t="str">
        <f aca="false">IFERROR(__xludf.dummyfunction("if($T958&lt;&gt;"""",REGEXEXTRACT(SUBSTITUTE ($T958,N$1&amp;"" CE"",""""), N$1&amp;""[\w &amp;]*, (\d+\.\d+)""),"""")
"),"")</f>
        <v/>
      </c>
      <c r="O958" s="3" t="str">
        <f aca="false">IFERROR(__xludf.dummyfunction("if($T958&lt;&gt;"""",REGEXEXTRACT($T958, O$1&amp;""[\w &amp;]*, (\d+\.\d+)""),"""")
"),"")</f>
        <v/>
      </c>
      <c r="P958" s="2"/>
      <c r="Q958" s="2"/>
      <c r="R958" s="2"/>
      <c r="S958" s="2"/>
      <c r="T958" s="5"/>
    </row>
    <row r="959" customFormat="false" ht="15.75" hidden="false" customHeight="false" outlineLevel="0" collapsed="false">
      <c r="A959" s="4"/>
      <c r="B959" s="2"/>
      <c r="C959" s="2"/>
      <c r="D959" s="2"/>
      <c r="E959" s="2"/>
      <c r="F959" s="3" t="str">
        <f aca="false">IFERROR(__xludf.dummyfunction("if($T959&lt;&gt;"""",REGEXEXTRACT(SUBSTITUTE ($T959,F$1&amp;"" CE"",""""), F$1&amp;""[\w &amp;]*, (\d+\.\d+)""),"""")
"),"")</f>
        <v/>
      </c>
      <c r="G959" s="3" t="str">
        <f aca="false">IFERROR(__xludf.dummyfunction("if($T959&lt;&gt;"""",REGEXEXTRACT($T959, G$1&amp;""[\w &amp;]*, (\d+\.\d+)""),"""")
"),"")</f>
        <v/>
      </c>
      <c r="H959" s="3"/>
      <c r="I959" s="3" t="str">
        <f aca="false">IFERROR(__xludf.dummyfunction("if($T959&lt;&gt;"""",REGEXEXTRACT(SUBSTITUTE ($T959,I$1&amp;"" CE"",""""), I$1&amp;""[\w &amp;]*, (\d+\.\d+)""),"""")
"),"")</f>
        <v/>
      </c>
      <c r="J959" s="3" t="str">
        <f aca="false">IFERROR(__xludf.dummyfunction("if($T959&lt;&gt;"""",REGEXEXTRACT($T959, J$1&amp;""[\w &amp;]*, (\d+\.\d+)""),"""")
"),"")</f>
        <v/>
      </c>
      <c r="K959" s="3"/>
      <c r="L959" s="3" t="str">
        <f aca="false">IFERROR(__xludf.dummyfunction("if($T959&lt;&gt;"""",REGEXEXTRACT(SUBSTITUTE ($T959,L$1&amp;"" CE"",""""), L$1&amp;""[\w &amp;]*, (\d+\.\d+)""),"""")
"),"")</f>
        <v/>
      </c>
      <c r="M959" s="3" t="str">
        <f aca="false">IFERROR(__xludf.dummyfunction("if($T959&lt;&gt;"""",REGEXEXTRACT($T959, M$1&amp;""[\w &amp;]*, (\d+\.\d+)""),"""")
"),"")</f>
        <v/>
      </c>
      <c r="N959" s="3" t="str">
        <f aca="false">IFERROR(__xludf.dummyfunction("if($T959&lt;&gt;"""",REGEXEXTRACT(SUBSTITUTE ($T959,N$1&amp;"" CE"",""""), N$1&amp;""[\w &amp;]*, (\d+\.\d+)""),"""")
"),"")</f>
        <v/>
      </c>
      <c r="O959" s="3" t="str">
        <f aca="false">IFERROR(__xludf.dummyfunction("if($T959&lt;&gt;"""",REGEXEXTRACT($T959, O$1&amp;""[\w &amp;]*, (\d+\.\d+)""),"""")
"),"")</f>
        <v/>
      </c>
      <c r="P959" s="2"/>
      <c r="Q959" s="2"/>
      <c r="R959" s="2"/>
      <c r="S959" s="2"/>
      <c r="T959" s="5"/>
    </row>
    <row r="960" customFormat="false" ht="15.75" hidden="false" customHeight="false" outlineLevel="0" collapsed="false">
      <c r="A960" s="4"/>
      <c r="B960" s="2"/>
      <c r="C960" s="2"/>
      <c r="D960" s="2"/>
      <c r="E960" s="2"/>
      <c r="F960" s="3" t="str">
        <f aca="false">IFERROR(__xludf.dummyfunction("if($T960&lt;&gt;"""",REGEXEXTRACT(SUBSTITUTE ($T960,F$1&amp;"" CE"",""""), F$1&amp;""[\w &amp;]*, (\d+\.\d+)""),"""")
"),"")</f>
        <v/>
      </c>
      <c r="G960" s="3" t="str">
        <f aca="false">IFERROR(__xludf.dummyfunction("if($T960&lt;&gt;"""",REGEXEXTRACT($T960, G$1&amp;""[\w &amp;]*, (\d+\.\d+)""),"""")
"),"")</f>
        <v/>
      </c>
      <c r="H960" s="3"/>
      <c r="I960" s="3" t="str">
        <f aca="false">IFERROR(__xludf.dummyfunction("if($T960&lt;&gt;"""",REGEXEXTRACT(SUBSTITUTE ($T960,I$1&amp;"" CE"",""""), I$1&amp;""[\w &amp;]*, (\d+\.\d+)""),"""")
"),"")</f>
        <v/>
      </c>
      <c r="J960" s="3" t="str">
        <f aca="false">IFERROR(__xludf.dummyfunction("if($T960&lt;&gt;"""",REGEXEXTRACT($T960, J$1&amp;""[\w &amp;]*, (\d+\.\d+)""),"""")
"),"")</f>
        <v/>
      </c>
      <c r="K960" s="3"/>
      <c r="L960" s="3" t="str">
        <f aca="false">IFERROR(__xludf.dummyfunction("if($T960&lt;&gt;"""",REGEXEXTRACT(SUBSTITUTE ($T960,L$1&amp;"" CE"",""""), L$1&amp;""[\w &amp;]*, (\d+\.\d+)""),"""")
"),"")</f>
        <v/>
      </c>
      <c r="M960" s="3" t="str">
        <f aca="false">IFERROR(__xludf.dummyfunction("if($T960&lt;&gt;"""",REGEXEXTRACT($T960, M$1&amp;""[\w &amp;]*, (\d+\.\d+)""),"""")
"),"")</f>
        <v/>
      </c>
      <c r="N960" s="3" t="str">
        <f aca="false">IFERROR(__xludf.dummyfunction("if($T960&lt;&gt;"""",REGEXEXTRACT(SUBSTITUTE ($T960,N$1&amp;"" CE"",""""), N$1&amp;""[\w &amp;]*, (\d+\.\d+)""),"""")
"),"")</f>
        <v/>
      </c>
      <c r="O960" s="3" t="str">
        <f aca="false">IFERROR(__xludf.dummyfunction("if($T960&lt;&gt;"""",REGEXEXTRACT($T960, O$1&amp;""[\w &amp;]*, (\d+\.\d+)""),"""")
"),"")</f>
        <v/>
      </c>
      <c r="P960" s="2"/>
      <c r="Q960" s="2"/>
      <c r="R960" s="2"/>
      <c r="S960" s="2"/>
      <c r="T960" s="5"/>
    </row>
    <row r="961" customFormat="false" ht="15.75" hidden="false" customHeight="false" outlineLevel="0" collapsed="false">
      <c r="A961" s="4"/>
      <c r="B961" s="2"/>
      <c r="C961" s="2"/>
      <c r="D961" s="2"/>
      <c r="E961" s="2"/>
      <c r="F961" s="3" t="str">
        <f aca="false">IFERROR(__xludf.dummyfunction("if($T961&lt;&gt;"""",REGEXEXTRACT(SUBSTITUTE ($T961,F$1&amp;"" CE"",""""), F$1&amp;""[\w &amp;]*, (\d+\.\d+)""),"""")
"),"")</f>
        <v/>
      </c>
      <c r="G961" s="3" t="str">
        <f aca="false">IFERROR(__xludf.dummyfunction("if($T961&lt;&gt;"""",REGEXEXTRACT($T961, G$1&amp;""[\w &amp;]*, (\d+\.\d+)""),"""")
"),"")</f>
        <v/>
      </c>
      <c r="H961" s="3"/>
      <c r="I961" s="3" t="str">
        <f aca="false">IFERROR(__xludf.dummyfunction("if($T961&lt;&gt;"""",REGEXEXTRACT(SUBSTITUTE ($T961,I$1&amp;"" CE"",""""), I$1&amp;""[\w &amp;]*, (\d+\.\d+)""),"""")
"),"")</f>
        <v/>
      </c>
      <c r="J961" s="3" t="str">
        <f aca="false">IFERROR(__xludf.dummyfunction("if($T961&lt;&gt;"""",REGEXEXTRACT($T961, J$1&amp;""[\w &amp;]*, (\d+\.\d+)""),"""")
"),"")</f>
        <v/>
      </c>
      <c r="K961" s="3"/>
      <c r="L961" s="3" t="str">
        <f aca="false">IFERROR(__xludf.dummyfunction("if($T961&lt;&gt;"""",REGEXEXTRACT(SUBSTITUTE ($T961,L$1&amp;"" CE"",""""), L$1&amp;""[\w &amp;]*, (\d+\.\d+)""),"""")
"),"")</f>
        <v/>
      </c>
      <c r="M961" s="3" t="str">
        <f aca="false">IFERROR(__xludf.dummyfunction("if($T961&lt;&gt;"""",REGEXEXTRACT($T961, M$1&amp;""[\w &amp;]*, (\d+\.\d+)""),"""")
"),"")</f>
        <v/>
      </c>
      <c r="N961" s="3" t="str">
        <f aca="false">IFERROR(__xludf.dummyfunction("if($T961&lt;&gt;"""",REGEXEXTRACT(SUBSTITUTE ($T961,N$1&amp;"" CE"",""""), N$1&amp;""[\w &amp;]*, (\d+\.\d+)""),"""")
"),"")</f>
        <v/>
      </c>
      <c r="O961" s="3" t="str">
        <f aca="false">IFERROR(__xludf.dummyfunction("if($T961&lt;&gt;"""",REGEXEXTRACT($T961, O$1&amp;""[\w &amp;]*, (\d+\.\d+)""),"""")
"),"")</f>
        <v/>
      </c>
      <c r="P961" s="2"/>
      <c r="Q961" s="2"/>
      <c r="R961" s="2"/>
      <c r="S961" s="2"/>
      <c r="T961" s="5"/>
    </row>
    <row r="962" customFormat="false" ht="15.75" hidden="false" customHeight="false" outlineLevel="0" collapsed="false">
      <c r="A962" s="4"/>
      <c r="B962" s="2"/>
      <c r="C962" s="2"/>
      <c r="D962" s="2"/>
      <c r="E962" s="2"/>
      <c r="F962" s="3" t="str">
        <f aca="false">IFERROR(__xludf.dummyfunction("if($T962&lt;&gt;"""",REGEXEXTRACT(SUBSTITUTE ($T962,F$1&amp;"" CE"",""""), F$1&amp;""[\w &amp;]*, (\d+\.\d+)""),"""")
"),"")</f>
        <v/>
      </c>
      <c r="G962" s="3" t="str">
        <f aca="false">IFERROR(__xludf.dummyfunction("if($T962&lt;&gt;"""",REGEXEXTRACT($T962, G$1&amp;""[\w &amp;]*, (\d+\.\d+)""),"""")
"),"")</f>
        <v/>
      </c>
      <c r="H962" s="3"/>
      <c r="I962" s="3" t="str">
        <f aca="false">IFERROR(__xludf.dummyfunction("if($T962&lt;&gt;"""",REGEXEXTRACT(SUBSTITUTE ($T962,I$1&amp;"" CE"",""""), I$1&amp;""[\w &amp;]*, (\d+\.\d+)""),"""")
"),"")</f>
        <v/>
      </c>
      <c r="J962" s="3" t="str">
        <f aca="false">IFERROR(__xludf.dummyfunction("if($T962&lt;&gt;"""",REGEXEXTRACT($T962, J$1&amp;""[\w &amp;]*, (\d+\.\d+)""),"""")
"),"")</f>
        <v/>
      </c>
      <c r="K962" s="3"/>
      <c r="L962" s="3" t="str">
        <f aca="false">IFERROR(__xludf.dummyfunction("if($T962&lt;&gt;"""",REGEXEXTRACT(SUBSTITUTE ($T962,L$1&amp;"" CE"",""""), L$1&amp;""[\w &amp;]*, (\d+\.\d+)""),"""")
"),"")</f>
        <v/>
      </c>
      <c r="M962" s="3" t="str">
        <f aca="false">IFERROR(__xludf.dummyfunction("if($T962&lt;&gt;"""",REGEXEXTRACT($T962, M$1&amp;""[\w &amp;]*, (\d+\.\d+)""),"""")
"),"")</f>
        <v/>
      </c>
      <c r="N962" s="3" t="str">
        <f aca="false">IFERROR(__xludf.dummyfunction("if($T962&lt;&gt;"""",REGEXEXTRACT(SUBSTITUTE ($T962,N$1&amp;"" CE"",""""), N$1&amp;""[\w &amp;]*, (\d+\.\d+)""),"""")
"),"")</f>
        <v/>
      </c>
      <c r="O962" s="3" t="str">
        <f aca="false">IFERROR(__xludf.dummyfunction("if($T962&lt;&gt;"""",REGEXEXTRACT($T962, O$1&amp;""[\w &amp;]*, (\d+\.\d+)""),"""")
"),"")</f>
        <v/>
      </c>
      <c r="P962" s="2"/>
      <c r="Q962" s="2"/>
      <c r="R962" s="2"/>
      <c r="S962" s="2"/>
      <c r="T962" s="5"/>
    </row>
    <row r="963" customFormat="false" ht="15.75" hidden="false" customHeight="false" outlineLevel="0" collapsed="false">
      <c r="A963" s="4"/>
      <c r="B963" s="2"/>
      <c r="C963" s="2"/>
      <c r="D963" s="2"/>
      <c r="E963" s="2"/>
      <c r="F963" s="3" t="str">
        <f aca="false">IFERROR(__xludf.dummyfunction("if($T963&lt;&gt;"""",REGEXEXTRACT(SUBSTITUTE ($T963,F$1&amp;"" CE"",""""), F$1&amp;""[\w &amp;]*, (\d+\.\d+)""),"""")
"),"")</f>
        <v/>
      </c>
      <c r="G963" s="3" t="str">
        <f aca="false">IFERROR(__xludf.dummyfunction("if($T963&lt;&gt;"""",REGEXEXTRACT($T963, G$1&amp;""[\w &amp;]*, (\d+\.\d+)""),"""")
"),"")</f>
        <v/>
      </c>
      <c r="H963" s="3"/>
      <c r="I963" s="3" t="str">
        <f aca="false">IFERROR(__xludf.dummyfunction("if($T963&lt;&gt;"""",REGEXEXTRACT(SUBSTITUTE ($T963,I$1&amp;"" CE"",""""), I$1&amp;""[\w &amp;]*, (\d+\.\d+)""),"""")
"),"")</f>
        <v/>
      </c>
      <c r="J963" s="3" t="str">
        <f aca="false">IFERROR(__xludf.dummyfunction("if($T963&lt;&gt;"""",REGEXEXTRACT($T963, J$1&amp;""[\w &amp;]*, (\d+\.\d+)""),"""")
"),"")</f>
        <v/>
      </c>
      <c r="K963" s="3"/>
      <c r="L963" s="3" t="str">
        <f aca="false">IFERROR(__xludf.dummyfunction("if($T963&lt;&gt;"""",REGEXEXTRACT(SUBSTITUTE ($T963,L$1&amp;"" CE"",""""), L$1&amp;""[\w &amp;]*, (\d+\.\d+)""),"""")
"),"")</f>
        <v/>
      </c>
      <c r="M963" s="3" t="str">
        <f aca="false">IFERROR(__xludf.dummyfunction("if($T963&lt;&gt;"""",REGEXEXTRACT($T963, M$1&amp;""[\w &amp;]*, (\d+\.\d+)""),"""")
"),"")</f>
        <v/>
      </c>
      <c r="N963" s="3" t="str">
        <f aca="false">IFERROR(__xludf.dummyfunction("if($T963&lt;&gt;"""",REGEXEXTRACT(SUBSTITUTE ($T963,N$1&amp;"" CE"",""""), N$1&amp;""[\w &amp;]*, (\d+\.\d+)""),"""")
"),"")</f>
        <v/>
      </c>
      <c r="O963" s="3" t="str">
        <f aca="false">IFERROR(__xludf.dummyfunction("if($T963&lt;&gt;"""",REGEXEXTRACT($T963, O$1&amp;""[\w &amp;]*, (\d+\.\d+)""),"""")
"),"")</f>
        <v/>
      </c>
      <c r="P963" s="2"/>
      <c r="Q963" s="2"/>
      <c r="R963" s="2"/>
      <c r="S963" s="2"/>
      <c r="T963" s="5"/>
    </row>
    <row r="964" customFormat="false" ht="15.75" hidden="false" customHeight="false" outlineLevel="0" collapsed="false">
      <c r="A964" s="4"/>
      <c r="B964" s="2"/>
      <c r="C964" s="2"/>
      <c r="D964" s="2"/>
      <c r="E964" s="2"/>
      <c r="F964" s="3" t="str">
        <f aca="false">IFERROR(__xludf.dummyfunction("if($T964&lt;&gt;"""",REGEXEXTRACT(SUBSTITUTE ($T964,F$1&amp;"" CE"",""""), F$1&amp;""[\w &amp;]*, (\d+\.\d+)""),"""")
"),"")</f>
        <v/>
      </c>
      <c r="G964" s="3" t="str">
        <f aca="false">IFERROR(__xludf.dummyfunction("if($T964&lt;&gt;"""",REGEXEXTRACT($T964, G$1&amp;""[\w &amp;]*, (\d+\.\d+)""),"""")
"),"")</f>
        <v/>
      </c>
      <c r="H964" s="3"/>
      <c r="I964" s="3" t="str">
        <f aca="false">IFERROR(__xludf.dummyfunction("if($T964&lt;&gt;"""",REGEXEXTRACT(SUBSTITUTE ($T964,I$1&amp;"" CE"",""""), I$1&amp;""[\w &amp;]*, (\d+\.\d+)""),"""")
"),"")</f>
        <v/>
      </c>
      <c r="J964" s="3" t="str">
        <f aca="false">IFERROR(__xludf.dummyfunction("if($T964&lt;&gt;"""",REGEXEXTRACT($T964, J$1&amp;""[\w &amp;]*, (\d+\.\d+)""),"""")
"),"")</f>
        <v/>
      </c>
      <c r="K964" s="3"/>
      <c r="L964" s="3" t="str">
        <f aca="false">IFERROR(__xludf.dummyfunction("if($T964&lt;&gt;"""",REGEXEXTRACT(SUBSTITUTE ($T964,L$1&amp;"" CE"",""""), L$1&amp;""[\w &amp;]*, (\d+\.\d+)""),"""")
"),"")</f>
        <v/>
      </c>
      <c r="M964" s="3" t="str">
        <f aca="false">IFERROR(__xludf.dummyfunction("if($T964&lt;&gt;"""",REGEXEXTRACT($T964, M$1&amp;""[\w &amp;]*, (\d+\.\d+)""),"""")
"),"")</f>
        <v/>
      </c>
      <c r="N964" s="3" t="str">
        <f aca="false">IFERROR(__xludf.dummyfunction("if($T964&lt;&gt;"""",REGEXEXTRACT(SUBSTITUTE ($T964,N$1&amp;"" CE"",""""), N$1&amp;""[\w &amp;]*, (\d+\.\d+)""),"""")
"),"")</f>
        <v/>
      </c>
      <c r="O964" s="3" t="str">
        <f aca="false">IFERROR(__xludf.dummyfunction("if($T964&lt;&gt;"""",REGEXEXTRACT($T964, O$1&amp;""[\w &amp;]*, (\d+\.\d+)""),"""")
"),"")</f>
        <v/>
      </c>
      <c r="P964" s="2"/>
      <c r="Q964" s="2"/>
      <c r="R964" s="2"/>
      <c r="S964" s="2"/>
      <c r="T964" s="5"/>
    </row>
    <row r="965" customFormat="false" ht="15.75" hidden="false" customHeight="false" outlineLevel="0" collapsed="false">
      <c r="A965" s="4"/>
      <c r="B965" s="2"/>
      <c r="C965" s="2"/>
      <c r="D965" s="2"/>
      <c r="E965" s="2"/>
      <c r="F965" s="3" t="str">
        <f aca="false">IFERROR(__xludf.dummyfunction("if($T965&lt;&gt;"""",REGEXEXTRACT(SUBSTITUTE ($T965,F$1&amp;"" CE"",""""), F$1&amp;""[\w &amp;]*, (\d+\.\d+)""),"""")
"),"")</f>
        <v/>
      </c>
      <c r="G965" s="3" t="str">
        <f aca="false">IFERROR(__xludf.dummyfunction("if($T965&lt;&gt;"""",REGEXEXTRACT($T965, G$1&amp;""[\w &amp;]*, (\d+\.\d+)""),"""")
"),"")</f>
        <v/>
      </c>
      <c r="H965" s="3"/>
      <c r="I965" s="3" t="str">
        <f aca="false">IFERROR(__xludf.dummyfunction("if($T965&lt;&gt;"""",REGEXEXTRACT(SUBSTITUTE ($T965,I$1&amp;"" CE"",""""), I$1&amp;""[\w &amp;]*, (\d+\.\d+)""),"""")
"),"")</f>
        <v/>
      </c>
      <c r="J965" s="3" t="str">
        <f aca="false">IFERROR(__xludf.dummyfunction("if($T965&lt;&gt;"""",REGEXEXTRACT($T965, J$1&amp;""[\w &amp;]*, (\d+\.\d+)""),"""")
"),"")</f>
        <v/>
      </c>
      <c r="K965" s="3"/>
      <c r="L965" s="3" t="str">
        <f aca="false">IFERROR(__xludf.dummyfunction("if($T965&lt;&gt;"""",REGEXEXTRACT(SUBSTITUTE ($T965,L$1&amp;"" CE"",""""), L$1&amp;""[\w &amp;]*, (\d+\.\d+)""),"""")
"),"")</f>
        <v/>
      </c>
      <c r="M965" s="3" t="str">
        <f aca="false">IFERROR(__xludf.dummyfunction("if($T965&lt;&gt;"""",REGEXEXTRACT($T965, M$1&amp;""[\w &amp;]*, (\d+\.\d+)""),"""")
"),"")</f>
        <v/>
      </c>
      <c r="N965" s="3" t="str">
        <f aca="false">IFERROR(__xludf.dummyfunction("if($T965&lt;&gt;"""",REGEXEXTRACT(SUBSTITUTE ($T965,N$1&amp;"" CE"",""""), N$1&amp;""[\w &amp;]*, (\d+\.\d+)""),"""")
"),"")</f>
        <v/>
      </c>
      <c r="O965" s="3" t="str">
        <f aca="false">IFERROR(__xludf.dummyfunction("if($T965&lt;&gt;"""",REGEXEXTRACT($T965, O$1&amp;""[\w &amp;]*, (\d+\.\d+)""),"""")
"),"")</f>
        <v/>
      </c>
      <c r="P965" s="2"/>
      <c r="Q965" s="2"/>
      <c r="R965" s="2"/>
      <c r="S965" s="2"/>
      <c r="T965" s="5"/>
    </row>
    <row r="966" customFormat="false" ht="15.75" hidden="false" customHeight="false" outlineLevel="0" collapsed="false">
      <c r="A966" s="4"/>
      <c r="B966" s="2"/>
      <c r="C966" s="2"/>
      <c r="D966" s="2"/>
      <c r="E966" s="2"/>
      <c r="F966" s="3" t="str">
        <f aca="false">IFERROR(__xludf.dummyfunction("if($T966&lt;&gt;"""",REGEXEXTRACT(SUBSTITUTE ($T966,F$1&amp;"" CE"",""""), F$1&amp;""[\w &amp;]*, (\d+\.\d+)""),"""")
"),"")</f>
        <v/>
      </c>
      <c r="G966" s="3" t="str">
        <f aca="false">IFERROR(__xludf.dummyfunction("if($T966&lt;&gt;"""",REGEXEXTRACT($T966, G$1&amp;""[\w &amp;]*, (\d+\.\d+)""),"""")
"),"")</f>
        <v/>
      </c>
      <c r="H966" s="3"/>
      <c r="I966" s="3" t="str">
        <f aca="false">IFERROR(__xludf.dummyfunction("if($T966&lt;&gt;"""",REGEXEXTRACT(SUBSTITUTE ($T966,I$1&amp;"" CE"",""""), I$1&amp;""[\w &amp;]*, (\d+\.\d+)""),"""")
"),"")</f>
        <v/>
      </c>
      <c r="J966" s="3" t="str">
        <f aca="false">IFERROR(__xludf.dummyfunction("if($T966&lt;&gt;"""",REGEXEXTRACT($T966, J$1&amp;""[\w &amp;]*, (\d+\.\d+)""),"""")
"),"")</f>
        <v/>
      </c>
      <c r="K966" s="3"/>
      <c r="L966" s="3" t="str">
        <f aca="false">IFERROR(__xludf.dummyfunction("if($T966&lt;&gt;"""",REGEXEXTRACT(SUBSTITUTE ($T966,L$1&amp;"" CE"",""""), L$1&amp;""[\w &amp;]*, (\d+\.\d+)""),"""")
"),"")</f>
        <v/>
      </c>
      <c r="M966" s="3" t="str">
        <f aca="false">IFERROR(__xludf.dummyfunction("if($T966&lt;&gt;"""",REGEXEXTRACT($T966, M$1&amp;""[\w &amp;]*, (\d+\.\d+)""),"""")
"),"")</f>
        <v/>
      </c>
      <c r="N966" s="3" t="str">
        <f aca="false">IFERROR(__xludf.dummyfunction("if($T966&lt;&gt;"""",REGEXEXTRACT(SUBSTITUTE ($T966,N$1&amp;"" CE"",""""), N$1&amp;""[\w &amp;]*, (\d+\.\d+)""),"""")
"),"")</f>
        <v/>
      </c>
      <c r="O966" s="3" t="str">
        <f aca="false">IFERROR(__xludf.dummyfunction("if($T966&lt;&gt;"""",REGEXEXTRACT($T966, O$1&amp;""[\w &amp;]*, (\d+\.\d+)""),"""")
"),"")</f>
        <v/>
      </c>
      <c r="P966" s="2"/>
      <c r="Q966" s="2"/>
      <c r="R966" s="2"/>
      <c r="S966" s="2"/>
      <c r="T966" s="5"/>
    </row>
    <row r="967" customFormat="false" ht="15.75" hidden="false" customHeight="false" outlineLevel="0" collapsed="false">
      <c r="A967" s="4"/>
      <c r="B967" s="2"/>
      <c r="C967" s="2"/>
      <c r="D967" s="2"/>
      <c r="E967" s="2"/>
      <c r="F967" s="3" t="str">
        <f aca="false">IFERROR(__xludf.dummyfunction("if($T967&lt;&gt;"""",REGEXEXTRACT(SUBSTITUTE ($T967,F$1&amp;"" CE"",""""), F$1&amp;""[\w &amp;]*, (\d+\.\d+)""),"""")
"),"")</f>
        <v/>
      </c>
      <c r="G967" s="3" t="str">
        <f aca="false">IFERROR(__xludf.dummyfunction("if($T967&lt;&gt;"""",REGEXEXTRACT($T967, G$1&amp;""[\w &amp;]*, (\d+\.\d+)""),"""")
"),"")</f>
        <v/>
      </c>
      <c r="H967" s="3"/>
      <c r="I967" s="3" t="str">
        <f aca="false">IFERROR(__xludf.dummyfunction("if($T967&lt;&gt;"""",REGEXEXTRACT(SUBSTITUTE ($T967,I$1&amp;"" CE"",""""), I$1&amp;""[\w &amp;]*, (\d+\.\d+)""),"""")
"),"")</f>
        <v/>
      </c>
      <c r="J967" s="3" t="str">
        <f aca="false">IFERROR(__xludf.dummyfunction("if($T967&lt;&gt;"""",REGEXEXTRACT($T967, J$1&amp;""[\w &amp;]*, (\d+\.\d+)""),"""")
"),"")</f>
        <v/>
      </c>
      <c r="K967" s="3"/>
      <c r="L967" s="3" t="str">
        <f aca="false">IFERROR(__xludf.dummyfunction("if($T967&lt;&gt;"""",REGEXEXTRACT(SUBSTITUTE ($T967,L$1&amp;"" CE"",""""), L$1&amp;""[\w &amp;]*, (\d+\.\d+)""),"""")
"),"")</f>
        <v/>
      </c>
      <c r="M967" s="3" t="str">
        <f aca="false">IFERROR(__xludf.dummyfunction("if($T967&lt;&gt;"""",REGEXEXTRACT($T967, M$1&amp;""[\w &amp;]*, (\d+\.\d+)""),"""")
"),"")</f>
        <v/>
      </c>
      <c r="N967" s="3" t="str">
        <f aca="false">IFERROR(__xludf.dummyfunction("if($T967&lt;&gt;"""",REGEXEXTRACT(SUBSTITUTE ($T967,N$1&amp;"" CE"",""""), N$1&amp;""[\w &amp;]*, (\d+\.\d+)""),"""")
"),"")</f>
        <v/>
      </c>
      <c r="O967" s="3" t="str">
        <f aca="false">IFERROR(__xludf.dummyfunction("if($T967&lt;&gt;"""",REGEXEXTRACT($T967, O$1&amp;""[\w &amp;]*, (\d+\.\d+)""),"""")
"),"")</f>
        <v/>
      </c>
      <c r="P967" s="2"/>
      <c r="Q967" s="2"/>
      <c r="R967" s="2"/>
      <c r="S967" s="2"/>
      <c r="T967" s="5"/>
    </row>
    <row r="968" customFormat="false" ht="15.75" hidden="false" customHeight="false" outlineLevel="0" collapsed="false">
      <c r="A968" s="4"/>
      <c r="B968" s="2"/>
      <c r="C968" s="2"/>
      <c r="D968" s="2"/>
      <c r="E968" s="2"/>
      <c r="F968" s="3" t="str">
        <f aca="false">IFERROR(__xludf.dummyfunction("if($T968&lt;&gt;"""",REGEXEXTRACT(SUBSTITUTE ($T968,F$1&amp;"" CE"",""""), F$1&amp;""[\w &amp;]*, (\d+\.\d+)""),"""")
"),"")</f>
        <v/>
      </c>
      <c r="G968" s="3" t="str">
        <f aca="false">IFERROR(__xludf.dummyfunction("if($T968&lt;&gt;"""",REGEXEXTRACT($T968, G$1&amp;""[\w &amp;]*, (\d+\.\d+)""),"""")
"),"")</f>
        <v/>
      </c>
      <c r="H968" s="3"/>
      <c r="I968" s="3" t="str">
        <f aca="false">IFERROR(__xludf.dummyfunction("if($T968&lt;&gt;"""",REGEXEXTRACT(SUBSTITUTE ($T968,I$1&amp;"" CE"",""""), I$1&amp;""[\w &amp;]*, (\d+\.\d+)""),"""")
"),"")</f>
        <v/>
      </c>
      <c r="J968" s="3" t="str">
        <f aca="false">IFERROR(__xludf.dummyfunction("if($T968&lt;&gt;"""",REGEXEXTRACT($T968, J$1&amp;""[\w &amp;]*, (\d+\.\d+)""),"""")
"),"")</f>
        <v/>
      </c>
      <c r="K968" s="3"/>
      <c r="L968" s="3" t="str">
        <f aca="false">IFERROR(__xludf.dummyfunction("if($T968&lt;&gt;"""",REGEXEXTRACT(SUBSTITUTE ($T968,L$1&amp;"" CE"",""""), L$1&amp;""[\w &amp;]*, (\d+\.\d+)""),"""")
"),"")</f>
        <v/>
      </c>
      <c r="M968" s="3" t="str">
        <f aca="false">IFERROR(__xludf.dummyfunction("if($T968&lt;&gt;"""",REGEXEXTRACT($T968, M$1&amp;""[\w &amp;]*, (\d+\.\d+)""),"""")
"),"")</f>
        <v/>
      </c>
      <c r="N968" s="3" t="str">
        <f aca="false">IFERROR(__xludf.dummyfunction("if($T968&lt;&gt;"""",REGEXEXTRACT(SUBSTITUTE ($T968,N$1&amp;"" CE"",""""), N$1&amp;""[\w &amp;]*, (\d+\.\d+)""),"""")
"),"")</f>
        <v/>
      </c>
      <c r="O968" s="3" t="str">
        <f aca="false">IFERROR(__xludf.dummyfunction("if($T968&lt;&gt;"""",REGEXEXTRACT($T968, O$1&amp;""[\w &amp;]*, (\d+\.\d+)""),"""")
"),"")</f>
        <v/>
      </c>
      <c r="P968" s="2"/>
      <c r="Q968" s="2"/>
      <c r="R968" s="2"/>
      <c r="S968" s="2"/>
      <c r="T968" s="5"/>
    </row>
    <row r="969" customFormat="false" ht="15.75" hidden="false" customHeight="false" outlineLevel="0" collapsed="false">
      <c r="A969" s="4"/>
      <c r="B969" s="2"/>
      <c r="C969" s="2"/>
      <c r="D969" s="2"/>
      <c r="E969" s="2"/>
      <c r="F969" s="3" t="str">
        <f aca="false">IFERROR(__xludf.dummyfunction("if($T969&lt;&gt;"""",REGEXEXTRACT(SUBSTITUTE ($T969,F$1&amp;"" CE"",""""), F$1&amp;""[\w &amp;]*, (\d+\.\d+)""),"""")
"),"")</f>
        <v/>
      </c>
      <c r="G969" s="3" t="str">
        <f aca="false">IFERROR(__xludf.dummyfunction("if($T969&lt;&gt;"""",REGEXEXTRACT($T969, G$1&amp;""[\w &amp;]*, (\d+\.\d+)""),"""")
"),"")</f>
        <v/>
      </c>
      <c r="H969" s="3"/>
      <c r="I969" s="3" t="str">
        <f aca="false">IFERROR(__xludf.dummyfunction("if($T969&lt;&gt;"""",REGEXEXTRACT(SUBSTITUTE ($T969,I$1&amp;"" CE"",""""), I$1&amp;""[\w &amp;]*, (\d+\.\d+)""),"""")
"),"")</f>
        <v/>
      </c>
      <c r="J969" s="3" t="str">
        <f aca="false">IFERROR(__xludf.dummyfunction("if($T969&lt;&gt;"""",REGEXEXTRACT($T969, J$1&amp;""[\w &amp;]*, (\d+\.\d+)""),"""")
"),"")</f>
        <v/>
      </c>
      <c r="K969" s="3"/>
      <c r="L969" s="3" t="str">
        <f aca="false">IFERROR(__xludf.dummyfunction("if($T969&lt;&gt;"""",REGEXEXTRACT(SUBSTITUTE ($T969,L$1&amp;"" CE"",""""), L$1&amp;""[\w &amp;]*, (\d+\.\d+)""),"""")
"),"")</f>
        <v/>
      </c>
      <c r="M969" s="3" t="str">
        <f aca="false">IFERROR(__xludf.dummyfunction("if($T969&lt;&gt;"""",REGEXEXTRACT($T969, M$1&amp;""[\w &amp;]*, (\d+\.\d+)""),"""")
"),"")</f>
        <v/>
      </c>
      <c r="N969" s="3" t="str">
        <f aca="false">IFERROR(__xludf.dummyfunction("if($T969&lt;&gt;"""",REGEXEXTRACT(SUBSTITUTE ($T969,N$1&amp;"" CE"",""""), N$1&amp;""[\w &amp;]*, (\d+\.\d+)""),"""")
"),"")</f>
        <v/>
      </c>
      <c r="O969" s="3" t="str">
        <f aca="false">IFERROR(__xludf.dummyfunction("if($T969&lt;&gt;"""",REGEXEXTRACT($T969, O$1&amp;""[\w &amp;]*, (\d+\.\d+)""),"""")
"),"")</f>
        <v/>
      </c>
      <c r="P969" s="2"/>
      <c r="Q969" s="2"/>
      <c r="R969" s="2"/>
      <c r="S969" s="2"/>
      <c r="T969" s="5"/>
    </row>
    <row r="970" customFormat="false" ht="15.75" hidden="false" customHeight="false" outlineLevel="0" collapsed="false">
      <c r="A970" s="4"/>
      <c r="B970" s="2"/>
      <c r="C970" s="2"/>
      <c r="D970" s="2"/>
      <c r="E970" s="2"/>
      <c r="F970" s="3" t="str">
        <f aca="false">IFERROR(__xludf.dummyfunction("if($T970&lt;&gt;"""",REGEXEXTRACT(SUBSTITUTE ($T970,F$1&amp;"" CE"",""""), F$1&amp;""[\w &amp;]*, (\d+\.\d+)""),"""")
"),"")</f>
        <v/>
      </c>
      <c r="G970" s="3" t="str">
        <f aca="false">IFERROR(__xludf.dummyfunction("if($T970&lt;&gt;"""",REGEXEXTRACT($T970, G$1&amp;""[\w &amp;]*, (\d+\.\d+)""),"""")
"),"")</f>
        <v/>
      </c>
      <c r="H970" s="3"/>
      <c r="I970" s="3" t="str">
        <f aca="false">IFERROR(__xludf.dummyfunction("if($T970&lt;&gt;"""",REGEXEXTRACT(SUBSTITUTE ($T970,I$1&amp;"" CE"",""""), I$1&amp;""[\w &amp;]*, (\d+\.\d+)""),"""")
"),"")</f>
        <v/>
      </c>
      <c r="J970" s="3" t="str">
        <f aca="false">IFERROR(__xludf.dummyfunction("if($T970&lt;&gt;"""",REGEXEXTRACT($T970, J$1&amp;""[\w &amp;]*, (\d+\.\d+)""),"""")
"),"")</f>
        <v/>
      </c>
      <c r="K970" s="3"/>
      <c r="L970" s="3" t="str">
        <f aca="false">IFERROR(__xludf.dummyfunction("if($T970&lt;&gt;"""",REGEXEXTRACT(SUBSTITUTE ($T970,L$1&amp;"" CE"",""""), L$1&amp;""[\w &amp;]*, (\d+\.\d+)""),"""")
"),"")</f>
        <v/>
      </c>
      <c r="M970" s="3" t="str">
        <f aca="false">IFERROR(__xludf.dummyfunction("if($T970&lt;&gt;"""",REGEXEXTRACT($T970, M$1&amp;""[\w &amp;]*, (\d+\.\d+)""),"""")
"),"")</f>
        <v/>
      </c>
      <c r="N970" s="3" t="str">
        <f aca="false">IFERROR(__xludf.dummyfunction("if($T970&lt;&gt;"""",REGEXEXTRACT(SUBSTITUTE ($T970,N$1&amp;"" CE"",""""), N$1&amp;""[\w &amp;]*, (\d+\.\d+)""),"""")
"),"")</f>
        <v/>
      </c>
      <c r="O970" s="3" t="str">
        <f aca="false">IFERROR(__xludf.dummyfunction("if($T970&lt;&gt;"""",REGEXEXTRACT($T970, O$1&amp;""[\w &amp;]*, (\d+\.\d+)""),"""")
"),"")</f>
        <v/>
      </c>
      <c r="P970" s="2"/>
      <c r="Q970" s="2"/>
      <c r="R970" s="2"/>
      <c r="S970" s="2"/>
      <c r="T970" s="5"/>
    </row>
    <row r="971" customFormat="false" ht="15.75" hidden="false" customHeight="false" outlineLevel="0" collapsed="false">
      <c r="A971" s="4"/>
      <c r="B971" s="2"/>
      <c r="C971" s="2"/>
      <c r="D971" s="2"/>
      <c r="E971" s="2"/>
      <c r="F971" s="3" t="str">
        <f aca="false">IFERROR(__xludf.dummyfunction("if($T971&lt;&gt;"""",REGEXEXTRACT(SUBSTITUTE ($T971,F$1&amp;"" CE"",""""), F$1&amp;""[\w &amp;]*, (\d+\.\d+)""),"""")
"),"")</f>
        <v/>
      </c>
      <c r="G971" s="3" t="str">
        <f aca="false">IFERROR(__xludf.dummyfunction("if($T971&lt;&gt;"""",REGEXEXTRACT($T971, G$1&amp;""[\w &amp;]*, (\d+\.\d+)""),"""")
"),"")</f>
        <v/>
      </c>
      <c r="H971" s="3"/>
      <c r="I971" s="3" t="str">
        <f aca="false">IFERROR(__xludf.dummyfunction("if($T971&lt;&gt;"""",REGEXEXTRACT(SUBSTITUTE ($T971,I$1&amp;"" CE"",""""), I$1&amp;""[\w &amp;]*, (\d+\.\d+)""),"""")
"),"")</f>
        <v/>
      </c>
      <c r="J971" s="3" t="str">
        <f aca="false">IFERROR(__xludf.dummyfunction("if($T971&lt;&gt;"""",REGEXEXTRACT($T971, J$1&amp;""[\w &amp;]*, (\d+\.\d+)""),"""")
"),"")</f>
        <v/>
      </c>
      <c r="K971" s="3"/>
      <c r="L971" s="3" t="str">
        <f aca="false">IFERROR(__xludf.dummyfunction("if($T971&lt;&gt;"""",REGEXEXTRACT(SUBSTITUTE ($T971,L$1&amp;"" CE"",""""), L$1&amp;""[\w &amp;]*, (\d+\.\d+)""),"""")
"),"")</f>
        <v/>
      </c>
      <c r="M971" s="3" t="str">
        <f aca="false">IFERROR(__xludf.dummyfunction("if($T971&lt;&gt;"""",REGEXEXTRACT($T971, M$1&amp;""[\w &amp;]*, (\d+\.\d+)""),"""")
"),"")</f>
        <v/>
      </c>
      <c r="N971" s="3" t="str">
        <f aca="false">IFERROR(__xludf.dummyfunction("if($T971&lt;&gt;"""",REGEXEXTRACT(SUBSTITUTE ($T971,N$1&amp;"" CE"",""""), N$1&amp;""[\w &amp;]*, (\d+\.\d+)""),"""")
"),"")</f>
        <v/>
      </c>
      <c r="O971" s="3" t="str">
        <f aca="false">IFERROR(__xludf.dummyfunction("if($T971&lt;&gt;"""",REGEXEXTRACT($T971, O$1&amp;""[\w &amp;]*, (\d+\.\d+)""),"""")
"),"")</f>
        <v/>
      </c>
      <c r="P971" s="2"/>
      <c r="Q971" s="2"/>
      <c r="R971" s="2"/>
      <c r="S971" s="2"/>
      <c r="T971" s="5"/>
    </row>
    <row r="972" customFormat="false" ht="15.75" hidden="false" customHeight="false" outlineLevel="0" collapsed="false">
      <c r="A972" s="4"/>
      <c r="B972" s="2"/>
      <c r="C972" s="2"/>
      <c r="D972" s="2"/>
      <c r="E972" s="2"/>
      <c r="F972" s="3" t="str">
        <f aca="false">IFERROR(__xludf.dummyfunction("if($T972&lt;&gt;"""",REGEXEXTRACT(SUBSTITUTE ($T972,F$1&amp;"" CE"",""""), F$1&amp;""[\w &amp;]*, (\d+\.\d+)""),"""")
"),"")</f>
        <v/>
      </c>
      <c r="G972" s="3" t="str">
        <f aca="false">IFERROR(__xludf.dummyfunction("if($T972&lt;&gt;"""",REGEXEXTRACT($T972, G$1&amp;""[\w &amp;]*, (\d+\.\d+)""),"""")
"),"")</f>
        <v/>
      </c>
      <c r="H972" s="3"/>
      <c r="I972" s="3" t="str">
        <f aca="false">IFERROR(__xludf.dummyfunction("if($T972&lt;&gt;"""",REGEXEXTRACT(SUBSTITUTE ($T972,I$1&amp;"" CE"",""""), I$1&amp;""[\w &amp;]*, (\d+\.\d+)""),"""")
"),"")</f>
        <v/>
      </c>
      <c r="J972" s="3" t="str">
        <f aca="false">IFERROR(__xludf.dummyfunction("if($T972&lt;&gt;"""",REGEXEXTRACT($T972, J$1&amp;""[\w &amp;]*, (\d+\.\d+)""),"""")
"),"")</f>
        <v/>
      </c>
      <c r="K972" s="3"/>
      <c r="L972" s="3" t="str">
        <f aca="false">IFERROR(__xludf.dummyfunction("if($T972&lt;&gt;"""",REGEXEXTRACT(SUBSTITUTE ($T972,L$1&amp;"" CE"",""""), L$1&amp;""[\w &amp;]*, (\d+\.\d+)""),"""")
"),"")</f>
        <v/>
      </c>
      <c r="M972" s="3" t="str">
        <f aca="false">IFERROR(__xludf.dummyfunction("if($T972&lt;&gt;"""",REGEXEXTRACT($T972, M$1&amp;""[\w &amp;]*, (\d+\.\d+)""),"""")
"),"")</f>
        <v/>
      </c>
      <c r="N972" s="3" t="str">
        <f aca="false">IFERROR(__xludf.dummyfunction("if($T972&lt;&gt;"""",REGEXEXTRACT(SUBSTITUTE ($T972,N$1&amp;"" CE"",""""), N$1&amp;""[\w &amp;]*, (\d+\.\d+)""),"""")
"),"")</f>
        <v/>
      </c>
      <c r="O972" s="3" t="str">
        <f aca="false">IFERROR(__xludf.dummyfunction("if($T972&lt;&gt;"""",REGEXEXTRACT($T972, O$1&amp;""[\w &amp;]*, (\d+\.\d+)""),"""")
"),"")</f>
        <v/>
      </c>
      <c r="P972" s="2"/>
      <c r="Q972" s="2"/>
      <c r="R972" s="2"/>
      <c r="S972" s="2"/>
      <c r="T972" s="5"/>
    </row>
    <row r="973" customFormat="false" ht="15.75" hidden="false" customHeight="false" outlineLevel="0" collapsed="false">
      <c r="A973" s="4"/>
      <c r="B973" s="2"/>
      <c r="C973" s="2"/>
      <c r="D973" s="2"/>
      <c r="E973" s="2"/>
      <c r="F973" s="3" t="str">
        <f aca="false">IFERROR(__xludf.dummyfunction("if($T973&lt;&gt;"""",REGEXEXTRACT(SUBSTITUTE ($T973,F$1&amp;"" CE"",""""), F$1&amp;""[\w &amp;]*, (\d+\.\d+)""),"""")
"),"")</f>
        <v/>
      </c>
      <c r="G973" s="3" t="str">
        <f aca="false">IFERROR(__xludf.dummyfunction("if($T973&lt;&gt;"""",REGEXEXTRACT($T973, G$1&amp;""[\w &amp;]*, (\d+\.\d+)""),"""")
"),"")</f>
        <v/>
      </c>
      <c r="H973" s="3"/>
      <c r="I973" s="3" t="str">
        <f aca="false">IFERROR(__xludf.dummyfunction("if($T973&lt;&gt;"""",REGEXEXTRACT(SUBSTITUTE ($T973,I$1&amp;"" CE"",""""), I$1&amp;""[\w &amp;]*, (\d+\.\d+)""),"""")
"),"")</f>
        <v/>
      </c>
      <c r="J973" s="3" t="str">
        <f aca="false">IFERROR(__xludf.dummyfunction("if($T973&lt;&gt;"""",REGEXEXTRACT($T973, J$1&amp;""[\w &amp;]*, (\d+\.\d+)""),"""")
"),"")</f>
        <v/>
      </c>
      <c r="K973" s="3"/>
      <c r="L973" s="3" t="str">
        <f aca="false">IFERROR(__xludf.dummyfunction("if($T973&lt;&gt;"""",REGEXEXTRACT(SUBSTITUTE ($T973,L$1&amp;"" CE"",""""), L$1&amp;""[\w &amp;]*, (\d+\.\d+)""),"""")
"),"")</f>
        <v/>
      </c>
      <c r="M973" s="3" t="str">
        <f aca="false">IFERROR(__xludf.dummyfunction("if($T973&lt;&gt;"""",REGEXEXTRACT($T973, M$1&amp;""[\w &amp;]*, (\d+\.\d+)""),"""")
"),"")</f>
        <v/>
      </c>
      <c r="N973" s="3" t="str">
        <f aca="false">IFERROR(__xludf.dummyfunction("if($T973&lt;&gt;"""",REGEXEXTRACT(SUBSTITUTE ($T973,N$1&amp;"" CE"",""""), N$1&amp;""[\w &amp;]*, (\d+\.\d+)""),"""")
"),"")</f>
        <v/>
      </c>
      <c r="O973" s="3" t="str">
        <f aca="false">IFERROR(__xludf.dummyfunction("if($T973&lt;&gt;"""",REGEXEXTRACT($T973, O$1&amp;""[\w &amp;]*, (\d+\.\d+)""),"""")
"),"")</f>
        <v/>
      </c>
      <c r="P973" s="2"/>
      <c r="Q973" s="2"/>
      <c r="R973" s="2"/>
      <c r="S973" s="2"/>
      <c r="T973" s="5"/>
    </row>
    <row r="974" customFormat="false" ht="15.75" hidden="false" customHeight="false" outlineLevel="0" collapsed="false">
      <c r="A974" s="4"/>
      <c r="B974" s="2"/>
      <c r="C974" s="2"/>
      <c r="D974" s="2"/>
      <c r="E974" s="2"/>
      <c r="F974" s="3" t="str">
        <f aca="false">IFERROR(__xludf.dummyfunction("if($T974&lt;&gt;"""",REGEXEXTRACT(SUBSTITUTE ($T974,F$1&amp;"" CE"",""""), F$1&amp;""[\w &amp;]*, (\d+\.\d+)""),"""")
"),"")</f>
        <v/>
      </c>
      <c r="G974" s="3" t="str">
        <f aca="false">IFERROR(__xludf.dummyfunction("if($T974&lt;&gt;"""",REGEXEXTRACT($T974, G$1&amp;""[\w &amp;]*, (\d+\.\d+)""),"""")
"),"")</f>
        <v/>
      </c>
      <c r="H974" s="3"/>
      <c r="I974" s="3" t="str">
        <f aca="false">IFERROR(__xludf.dummyfunction("if($T974&lt;&gt;"""",REGEXEXTRACT(SUBSTITUTE ($T974,I$1&amp;"" CE"",""""), I$1&amp;""[\w &amp;]*, (\d+\.\d+)""),"""")
"),"")</f>
        <v/>
      </c>
      <c r="J974" s="3" t="str">
        <f aca="false">IFERROR(__xludf.dummyfunction("if($T974&lt;&gt;"""",REGEXEXTRACT($T974, J$1&amp;""[\w &amp;]*, (\d+\.\d+)""),"""")
"),"")</f>
        <v/>
      </c>
      <c r="K974" s="3"/>
      <c r="L974" s="3" t="str">
        <f aca="false">IFERROR(__xludf.dummyfunction("if($T974&lt;&gt;"""",REGEXEXTRACT(SUBSTITUTE ($T974,L$1&amp;"" CE"",""""), L$1&amp;""[\w &amp;]*, (\d+\.\d+)""),"""")
"),"")</f>
        <v/>
      </c>
      <c r="M974" s="3" t="str">
        <f aca="false">IFERROR(__xludf.dummyfunction("if($T974&lt;&gt;"""",REGEXEXTRACT($T974, M$1&amp;""[\w &amp;]*, (\d+\.\d+)""),"""")
"),"")</f>
        <v/>
      </c>
      <c r="N974" s="3" t="str">
        <f aca="false">IFERROR(__xludf.dummyfunction("if($T974&lt;&gt;"""",REGEXEXTRACT(SUBSTITUTE ($T974,N$1&amp;"" CE"",""""), N$1&amp;""[\w &amp;]*, (\d+\.\d+)""),"""")
"),"")</f>
        <v/>
      </c>
      <c r="O974" s="3" t="str">
        <f aca="false">IFERROR(__xludf.dummyfunction("if($T974&lt;&gt;"""",REGEXEXTRACT($T974, O$1&amp;""[\w &amp;]*, (\d+\.\d+)""),"""")
"),"")</f>
        <v/>
      </c>
      <c r="P974" s="2"/>
      <c r="Q974" s="2"/>
      <c r="R974" s="2"/>
      <c r="S974" s="2"/>
      <c r="T974" s="5"/>
    </row>
    <row r="975" customFormat="false" ht="15.75" hidden="false" customHeight="false" outlineLevel="0" collapsed="false">
      <c r="A975" s="4"/>
      <c r="B975" s="2"/>
      <c r="C975" s="2"/>
      <c r="D975" s="2"/>
      <c r="E975" s="2"/>
      <c r="F975" s="3" t="str">
        <f aca="false">IFERROR(__xludf.dummyfunction("if($T975&lt;&gt;"""",REGEXEXTRACT(SUBSTITUTE ($T975,F$1&amp;"" CE"",""""), F$1&amp;""[\w &amp;]*, (\d+\.\d+)""),"""")
"),"")</f>
        <v/>
      </c>
      <c r="G975" s="3" t="str">
        <f aca="false">IFERROR(__xludf.dummyfunction("if($T975&lt;&gt;"""",REGEXEXTRACT($T975, G$1&amp;""[\w &amp;]*, (\d+\.\d+)""),"""")
"),"")</f>
        <v/>
      </c>
      <c r="H975" s="3"/>
      <c r="I975" s="3" t="str">
        <f aca="false">IFERROR(__xludf.dummyfunction("if($T975&lt;&gt;"""",REGEXEXTRACT(SUBSTITUTE ($T975,I$1&amp;"" CE"",""""), I$1&amp;""[\w &amp;]*, (\d+\.\d+)""),"""")
"),"")</f>
        <v/>
      </c>
      <c r="J975" s="3" t="str">
        <f aca="false">IFERROR(__xludf.dummyfunction("if($T975&lt;&gt;"""",REGEXEXTRACT($T975, J$1&amp;""[\w &amp;]*, (\d+\.\d+)""),"""")
"),"")</f>
        <v/>
      </c>
      <c r="K975" s="3"/>
      <c r="L975" s="3" t="str">
        <f aca="false">IFERROR(__xludf.dummyfunction("if($T975&lt;&gt;"""",REGEXEXTRACT(SUBSTITUTE ($T975,L$1&amp;"" CE"",""""), L$1&amp;""[\w &amp;]*, (\d+\.\d+)""),"""")
"),"")</f>
        <v/>
      </c>
      <c r="M975" s="3" t="str">
        <f aca="false">IFERROR(__xludf.dummyfunction("if($T975&lt;&gt;"""",REGEXEXTRACT($T975, M$1&amp;""[\w &amp;]*, (\d+\.\d+)""),"""")
"),"")</f>
        <v/>
      </c>
      <c r="N975" s="3" t="str">
        <f aca="false">IFERROR(__xludf.dummyfunction("if($T975&lt;&gt;"""",REGEXEXTRACT(SUBSTITUTE ($T975,N$1&amp;"" CE"",""""), N$1&amp;""[\w &amp;]*, (\d+\.\d+)""),"""")
"),"")</f>
        <v/>
      </c>
      <c r="O975" s="3" t="str">
        <f aca="false">IFERROR(__xludf.dummyfunction("if($T975&lt;&gt;"""",REGEXEXTRACT($T975, O$1&amp;""[\w &amp;]*, (\d+\.\d+)""),"""")
"),"")</f>
        <v/>
      </c>
      <c r="P975" s="2"/>
      <c r="Q975" s="2"/>
      <c r="R975" s="2"/>
      <c r="S975" s="2"/>
      <c r="T975" s="5"/>
    </row>
    <row r="976" customFormat="false" ht="15.75" hidden="false" customHeight="false" outlineLevel="0" collapsed="false">
      <c r="A976" s="4"/>
      <c r="B976" s="2"/>
      <c r="C976" s="2"/>
      <c r="D976" s="2"/>
      <c r="E976" s="2"/>
      <c r="F976" s="3" t="str">
        <f aca="false">IFERROR(__xludf.dummyfunction("if($T976&lt;&gt;"""",REGEXEXTRACT(SUBSTITUTE ($T976,F$1&amp;"" CE"",""""), F$1&amp;""[\w &amp;]*, (\d+\.\d+)""),"""")
"),"")</f>
        <v/>
      </c>
      <c r="G976" s="3" t="str">
        <f aca="false">IFERROR(__xludf.dummyfunction("if($T976&lt;&gt;"""",REGEXEXTRACT($T976, G$1&amp;""[\w &amp;]*, (\d+\.\d+)""),"""")
"),"")</f>
        <v/>
      </c>
      <c r="H976" s="3"/>
      <c r="I976" s="3" t="str">
        <f aca="false">IFERROR(__xludf.dummyfunction("if($T976&lt;&gt;"""",REGEXEXTRACT(SUBSTITUTE ($T976,I$1&amp;"" CE"",""""), I$1&amp;""[\w &amp;]*, (\d+\.\d+)""),"""")
"),"")</f>
        <v/>
      </c>
      <c r="J976" s="3" t="str">
        <f aca="false">IFERROR(__xludf.dummyfunction("if($T976&lt;&gt;"""",REGEXEXTRACT($T976, J$1&amp;""[\w &amp;]*, (\d+\.\d+)""),"""")
"),"")</f>
        <v/>
      </c>
      <c r="K976" s="3"/>
      <c r="L976" s="3" t="str">
        <f aca="false">IFERROR(__xludf.dummyfunction("if($T976&lt;&gt;"""",REGEXEXTRACT(SUBSTITUTE ($T976,L$1&amp;"" CE"",""""), L$1&amp;""[\w &amp;]*, (\d+\.\d+)""),"""")
"),"")</f>
        <v/>
      </c>
      <c r="M976" s="3" t="str">
        <f aca="false">IFERROR(__xludf.dummyfunction("if($T976&lt;&gt;"""",REGEXEXTRACT($T976, M$1&amp;""[\w &amp;]*, (\d+\.\d+)""),"""")
"),"")</f>
        <v/>
      </c>
      <c r="N976" s="3" t="str">
        <f aca="false">IFERROR(__xludf.dummyfunction("if($T976&lt;&gt;"""",REGEXEXTRACT(SUBSTITUTE ($T976,N$1&amp;"" CE"",""""), N$1&amp;""[\w &amp;]*, (\d+\.\d+)""),"""")
"),"")</f>
        <v/>
      </c>
      <c r="O976" s="3" t="str">
        <f aca="false">IFERROR(__xludf.dummyfunction("if($T976&lt;&gt;"""",REGEXEXTRACT($T976, O$1&amp;""[\w &amp;]*, (\d+\.\d+)""),"""")
"),"")</f>
        <v/>
      </c>
      <c r="P976" s="2"/>
      <c r="Q976" s="2"/>
      <c r="R976" s="2"/>
      <c r="S976" s="2"/>
      <c r="T976" s="5"/>
    </row>
    <row r="977" customFormat="false" ht="15.75" hidden="false" customHeight="false" outlineLevel="0" collapsed="false">
      <c r="A977" s="4"/>
      <c r="B977" s="2"/>
      <c r="C977" s="2"/>
      <c r="D977" s="2"/>
      <c r="E977" s="2"/>
      <c r="F977" s="3" t="str">
        <f aca="false">IFERROR(__xludf.dummyfunction("if($T977&lt;&gt;"""",REGEXEXTRACT(SUBSTITUTE ($T977,F$1&amp;"" CE"",""""), F$1&amp;""[\w &amp;]*, (\d+\.\d+)""),"""")
"),"")</f>
        <v/>
      </c>
      <c r="G977" s="3" t="str">
        <f aca="false">IFERROR(__xludf.dummyfunction("if($T977&lt;&gt;"""",REGEXEXTRACT($T977, G$1&amp;""[\w &amp;]*, (\d+\.\d+)""),"""")
"),"")</f>
        <v/>
      </c>
      <c r="H977" s="3"/>
      <c r="I977" s="3" t="str">
        <f aca="false">IFERROR(__xludf.dummyfunction("if($T977&lt;&gt;"""",REGEXEXTRACT(SUBSTITUTE ($T977,I$1&amp;"" CE"",""""), I$1&amp;""[\w &amp;]*, (\d+\.\d+)""),"""")
"),"")</f>
        <v/>
      </c>
      <c r="J977" s="3" t="str">
        <f aca="false">IFERROR(__xludf.dummyfunction("if($T977&lt;&gt;"""",REGEXEXTRACT($T977, J$1&amp;""[\w &amp;]*, (\d+\.\d+)""),"""")
"),"")</f>
        <v/>
      </c>
      <c r="K977" s="3"/>
      <c r="L977" s="3" t="str">
        <f aca="false">IFERROR(__xludf.dummyfunction("if($T977&lt;&gt;"""",REGEXEXTRACT(SUBSTITUTE ($T977,L$1&amp;"" CE"",""""), L$1&amp;""[\w &amp;]*, (\d+\.\d+)""),"""")
"),"")</f>
        <v/>
      </c>
      <c r="M977" s="3" t="str">
        <f aca="false">IFERROR(__xludf.dummyfunction("if($T977&lt;&gt;"""",REGEXEXTRACT($T977, M$1&amp;""[\w &amp;]*, (\d+\.\d+)""),"""")
"),"")</f>
        <v/>
      </c>
      <c r="N977" s="3" t="str">
        <f aca="false">IFERROR(__xludf.dummyfunction("if($T977&lt;&gt;"""",REGEXEXTRACT(SUBSTITUTE ($T977,N$1&amp;"" CE"",""""), N$1&amp;""[\w &amp;]*, (\d+\.\d+)""),"""")
"),"")</f>
        <v/>
      </c>
      <c r="O977" s="3" t="str">
        <f aca="false">IFERROR(__xludf.dummyfunction("if($T977&lt;&gt;"""",REGEXEXTRACT($T977, O$1&amp;""[\w &amp;]*, (\d+\.\d+)""),"""")
"),"")</f>
        <v/>
      </c>
      <c r="P977" s="2"/>
      <c r="Q977" s="2"/>
      <c r="R977" s="2"/>
      <c r="S977" s="2"/>
      <c r="T977" s="5"/>
    </row>
    <row r="978" customFormat="false" ht="15.75" hidden="false" customHeight="false" outlineLevel="0" collapsed="false">
      <c r="A978" s="4"/>
      <c r="B978" s="2"/>
      <c r="C978" s="2"/>
      <c r="D978" s="2"/>
      <c r="E978" s="2"/>
      <c r="F978" s="3" t="str">
        <f aca="false">IFERROR(__xludf.dummyfunction("if($T978&lt;&gt;"""",REGEXEXTRACT(SUBSTITUTE ($T978,F$1&amp;"" CE"",""""), F$1&amp;""[\w &amp;]*, (\d+\.\d+)""),"""")
"),"")</f>
        <v/>
      </c>
      <c r="G978" s="3" t="str">
        <f aca="false">IFERROR(__xludf.dummyfunction("if($T978&lt;&gt;"""",REGEXEXTRACT($T978, G$1&amp;""[\w &amp;]*, (\d+\.\d+)""),"""")
"),"")</f>
        <v/>
      </c>
      <c r="H978" s="3"/>
      <c r="I978" s="3" t="str">
        <f aca="false">IFERROR(__xludf.dummyfunction("if($T978&lt;&gt;"""",REGEXEXTRACT(SUBSTITUTE ($T978,I$1&amp;"" CE"",""""), I$1&amp;""[\w &amp;]*, (\d+\.\d+)""),"""")
"),"")</f>
        <v/>
      </c>
      <c r="J978" s="3" t="str">
        <f aca="false">IFERROR(__xludf.dummyfunction("if($T978&lt;&gt;"""",REGEXEXTRACT($T978, J$1&amp;""[\w &amp;]*, (\d+\.\d+)""),"""")
"),"")</f>
        <v/>
      </c>
      <c r="K978" s="3"/>
      <c r="L978" s="3" t="str">
        <f aca="false">IFERROR(__xludf.dummyfunction("if($T978&lt;&gt;"""",REGEXEXTRACT(SUBSTITUTE ($T978,L$1&amp;"" CE"",""""), L$1&amp;""[\w &amp;]*, (\d+\.\d+)""),"""")
"),"")</f>
        <v/>
      </c>
      <c r="M978" s="3" t="str">
        <f aca="false">IFERROR(__xludf.dummyfunction("if($T978&lt;&gt;"""",REGEXEXTRACT($T978, M$1&amp;""[\w &amp;]*, (\d+\.\d+)""),"""")
"),"")</f>
        <v/>
      </c>
      <c r="N978" s="3" t="str">
        <f aca="false">IFERROR(__xludf.dummyfunction("if($T978&lt;&gt;"""",REGEXEXTRACT(SUBSTITUTE ($T978,N$1&amp;"" CE"",""""), N$1&amp;""[\w &amp;]*, (\d+\.\d+)""),"""")
"),"")</f>
        <v/>
      </c>
      <c r="O978" s="3" t="str">
        <f aca="false">IFERROR(__xludf.dummyfunction("if($T978&lt;&gt;"""",REGEXEXTRACT($T978, O$1&amp;""[\w &amp;]*, (\d+\.\d+)""),"""")
"),"")</f>
        <v/>
      </c>
      <c r="P978" s="2"/>
      <c r="Q978" s="2"/>
      <c r="R978" s="2"/>
      <c r="S978" s="2"/>
      <c r="T978" s="5"/>
    </row>
    <row r="979" customFormat="false" ht="15.75" hidden="false" customHeight="false" outlineLevel="0" collapsed="false">
      <c r="A979" s="4"/>
      <c r="B979" s="2"/>
      <c r="C979" s="2"/>
      <c r="D979" s="2"/>
      <c r="E979" s="2"/>
      <c r="F979" s="3" t="str">
        <f aca="false">IFERROR(__xludf.dummyfunction("if($T979&lt;&gt;"""",REGEXEXTRACT(SUBSTITUTE ($T979,F$1&amp;"" CE"",""""), F$1&amp;""[\w &amp;]*, (\d+\.\d+)""),"""")
"),"")</f>
        <v/>
      </c>
      <c r="G979" s="3" t="str">
        <f aca="false">IFERROR(__xludf.dummyfunction("if($T979&lt;&gt;"""",REGEXEXTRACT($T979, G$1&amp;""[\w &amp;]*, (\d+\.\d+)""),"""")
"),"")</f>
        <v/>
      </c>
      <c r="H979" s="3"/>
      <c r="I979" s="3" t="str">
        <f aca="false">IFERROR(__xludf.dummyfunction("if($T979&lt;&gt;"""",REGEXEXTRACT(SUBSTITUTE ($T979,I$1&amp;"" CE"",""""), I$1&amp;""[\w &amp;]*, (\d+\.\d+)""),"""")
"),"")</f>
        <v/>
      </c>
      <c r="J979" s="3" t="str">
        <f aca="false">IFERROR(__xludf.dummyfunction("if($T979&lt;&gt;"""",REGEXEXTRACT($T979, J$1&amp;""[\w &amp;]*, (\d+\.\d+)""),"""")
"),"")</f>
        <v/>
      </c>
      <c r="K979" s="3"/>
      <c r="L979" s="3" t="str">
        <f aca="false">IFERROR(__xludf.dummyfunction("if($T979&lt;&gt;"""",REGEXEXTRACT(SUBSTITUTE ($T979,L$1&amp;"" CE"",""""), L$1&amp;""[\w &amp;]*, (\d+\.\d+)""),"""")
"),"")</f>
        <v/>
      </c>
      <c r="M979" s="3" t="str">
        <f aca="false">IFERROR(__xludf.dummyfunction("if($T979&lt;&gt;"""",REGEXEXTRACT($T979, M$1&amp;""[\w &amp;]*, (\d+\.\d+)""),"""")
"),"")</f>
        <v/>
      </c>
      <c r="N979" s="3" t="str">
        <f aca="false">IFERROR(__xludf.dummyfunction("if($T979&lt;&gt;"""",REGEXEXTRACT(SUBSTITUTE ($T979,N$1&amp;"" CE"",""""), N$1&amp;""[\w &amp;]*, (\d+\.\d+)""),"""")
"),"")</f>
        <v/>
      </c>
      <c r="O979" s="3" t="str">
        <f aca="false">IFERROR(__xludf.dummyfunction("if($T979&lt;&gt;"""",REGEXEXTRACT($T979, O$1&amp;""[\w &amp;]*, (\d+\.\d+)""),"""")
"),"")</f>
        <v/>
      </c>
      <c r="P979" s="2"/>
      <c r="Q979" s="2"/>
      <c r="R979" s="2"/>
      <c r="S979" s="2"/>
      <c r="T979" s="5"/>
    </row>
    <row r="980" customFormat="false" ht="15.75" hidden="false" customHeight="false" outlineLevel="0" collapsed="false">
      <c r="A980" s="4"/>
      <c r="B980" s="2"/>
      <c r="C980" s="2"/>
      <c r="D980" s="2"/>
      <c r="E980" s="2"/>
      <c r="F980" s="3" t="str">
        <f aca="false">IFERROR(__xludf.dummyfunction("if($T980&lt;&gt;"""",REGEXEXTRACT(SUBSTITUTE ($T980,F$1&amp;"" CE"",""""), F$1&amp;""[\w &amp;]*, (\d+\.\d+)""),"""")
"),"")</f>
        <v/>
      </c>
      <c r="G980" s="3" t="str">
        <f aca="false">IFERROR(__xludf.dummyfunction("if($T980&lt;&gt;"""",REGEXEXTRACT($T980, G$1&amp;""[\w &amp;]*, (\d+\.\d+)""),"""")
"),"")</f>
        <v/>
      </c>
      <c r="H980" s="3"/>
      <c r="I980" s="3" t="str">
        <f aca="false">IFERROR(__xludf.dummyfunction("if($T980&lt;&gt;"""",REGEXEXTRACT(SUBSTITUTE ($T980,I$1&amp;"" CE"",""""), I$1&amp;""[\w &amp;]*, (\d+\.\d+)""),"""")
"),"")</f>
        <v/>
      </c>
      <c r="J980" s="3" t="str">
        <f aca="false">IFERROR(__xludf.dummyfunction("if($T980&lt;&gt;"""",REGEXEXTRACT($T980, J$1&amp;""[\w &amp;]*, (\d+\.\d+)""),"""")
"),"")</f>
        <v/>
      </c>
      <c r="K980" s="3"/>
      <c r="L980" s="3" t="str">
        <f aca="false">IFERROR(__xludf.dummyfunction("if($T980&lt;&gt;"""",REGEXEXTRACT(SUBSTITUTE ($T980,L$1&amp;"" CE"",""""), L$1&amp;""[\w &amp;]*, (\d+\.\d+)""),"""")
"),"")</f>
        <v/>
      </c>
      <c r="M980" s="3" t="str">
        <f aca="false">IFERROR(__xludf.dummyfunction("if($T980&lt;&gt;"""",REGEXEXTRACT($T980, M$1&amp;""[\w &amp;]*, (\d+\.\d+)""),"""")
"),"")</f>
        <v/>
      </c>
      <c r="N980" s="3" t="str">
        <f aca="false">IFERROR(__xludf.dummyfunction("if($T980&lt;&gt;"""",REGEXEXTRACT(SUBSTITUTE ($T980,N$1&amp;"" CE"",""""), N$1&amp;""[\w &amp;]*, (\d+\.\d+)""),"""")
"),"")</f>
        <v/>
      </c>
      <c r="O980" s="3" t="str">
        <f aca="false">IFERROR(__xludf.dummyfunction("if($T980&lt;&gt;"""",REGEXEXTRACT($T980, O$1&amp;""[\w &amp;]*, (\d+\.\d+)""),"""")
"),"")</f>
        <v/>
      </c>
      <c r="P980" s="2"/>
      <c r="Q980" s="2"/>
      <c r="R980" s="2"/>
      <c r="S980" s="2"/>
      <c r="T980" s="5"/>
    </row>
    <row r="981" customFormat="false" ht="15.75" hidden="false" customHeight="false" outlineLevel="0" collapsed="false">
      <c r="A981" s="4"/>
      <c r="B981" s="2"/>
      <c r="C981" s="2"/>
      <c r="D981" s="2"/>
      <c r="E981" s="2"/>
      <c r="F981" s="3" t="str">
        <f aca="false">IFERROR(__xludf.dummyfunction("if($T981&lt;&gt;"""",REGEXEXTRACT(SUBSTITUTE ($T981,F$1&amp;"" CE"",""""), F$1&amp;""[\w &amp;]*, (\d+\.\d+)""),"""")
"),"")</f>
        <v/>
      </c>
      <c r="G981" s="3" t="str">
        <f aca="false">IFERROR(__xludf.dummyfunction("if($T981&lt;&gt;"""",REGEXEXTRACT($T981, G$1&amp;""[\w &amp;]*, (\d+\.\d+)""),"""")
"),"")</f>
        <v/>
      </c>
      <c r="H981" s="3"/>
      <c r="I981" s="3" t="str">
        <f aca="false">IFERROR(__xludf.dummyfunction("if($T981&lt;&gt;"""",REGEXEXTRACT(SUBSTITUTE ($T981,I$1&amp;"" CE"",""""), I$1&amp;""[\w &amp;]*, (\d+\.\d+)""),"""")
"),"")</f>
        <v/>
      </c>
      <c r="J981" s="3" t="str">
        <f aca="false">IFERROR(__xludf.dummyfunction("if($T981&lt;&gt;"""",REGEXEXTRACT($T981, J$1&amp;""[\w &amp;]*, (\d+\.\d+)""),"""")
"),"")</f>
        <v/>
      </c>
      <c r="K981" s="3"/>
      <c r="L981" s="3" t="str">
        <f aca="false">IFERROR(__xludf.dummyfunction("if($T981&lt;&gt;"""",REGEXEXTRACT(SUBSTITUTE ($T981,L$1&amp;"" CE"",""""), L$1&amp;""[\w &amp;]*, (\d+\.\d+)""),"""")
"),"")</f>
        <v/>
      </c>
      <c r="M981" s="3" t="str">
        <f aca="false">IFERROR(__xludf.dummyfunction("if($T981&lt;&gt;"""",REGEXEXTRACT($T981, M$1&amp;""[\w &amp;]*, (\d+\.\d+)""),"""")
"),"")</f>
        <v/>
      </c>
      <c r="N981" s="3" t="str">
        <f aca="false">IFERROR(__xludf.dummyfunction("if($T981&lt;&gt;"""",REGEXEXTRACT(SUBSTITUTE ($T981,N$1&amp;"" CE"",""""), N$1&amp;""[\w &amp;]*, (\d+\.\d+)""),"""")
"),"")</f>
        <v/>
      </c>
      <c r="O981" s="3" t="str">
        <f aca="false">IFERROR(__xludf.dummyfunction("if($T981&lt;&gt;"""",REGEXEXTRACT($T981, O$1&amp;""[\w &amp;]*, (\d+\.\d+)""),"""")
"),"")</f>
        <v/>
      </c>
      <c r="P981" s="2"/>
      <c r="Q981" s="2"/>
      <c r="R981" s="2"/>
      <c r="S981" s="2"/>
      <c r="T981" s="5"/>
    </row>
    <row r="982" customFormat="false" ht="15.75" hidden="false" customHeight="false" outlineLevel="0" collapsed="false">
      <c r="A982" s="4"/>
      <c r="B982" s="2"/>
      <c r="C982" s="2"/>
      <c r="D982" s="2"/>
      <c r="E982" s="2"/>
      <c r="F982" s="3" t="str">
        <f aca="false">IFERROR(__xludf.dummyfunction("if($T982&lt;&gt;"""",REGEXEXTRACT(SUBSTITUTE ($T982,F$1&amp;"" CE"",""""), F$1&amp;""[\w &amp;]*, (\d+\.\d+)""),"""")
"),"")</f>
        <v/>
      </c>
      <c r="G982" s="3" t="str">
        <f aca="false">IFERROR(__xludf.dummyfunction("if($T982&lt;&gt;"""",REGEXEXTRACT($T982, G$1&amp;""[\w &amp;]*, (\d+\.\d+)""),"""")
"),"")</f>
        <v/>
      </c>
      <c r="H982" s="3"/>
      <c r="I982" s="3" t="str">
        <f aca="false">IFERROR(__xludf.dummyfunction("if($T982&lt;&gt;"""",REGEXEXTRACT(SUBSTITUTE ($T982,I$1&amp;"" CE"",""""), I$1&amp;""[\w &amp;]*, (\d+\.\d+)""),"""")
"),"")</f>
        <v/>
      </c>
      <c r="J982" s="3" t="str">
        <f aca="false">IFERROR(__xludf.dummyfunction("if($T982&lt;&gt;"""",REGEXEXTRACT($T982, J$1&amp;""[\w &amp;]*, (\d+\.\d+)""),"""")
"),"")</f>
        <v/>
      </c>
      <c r="K982" s="3"/>
      <c r="L982" s="3" t="str">
        <f aca="false">IFERROR(__xludf.dummyfunction("if($T982&lt;&gt;"""",REGEXEXTRACT(SUBSTITUTE ($T982,L$1&amp;"" CE"",""""), L$1&amp;""[\w &amp;]*, (\d+\.\d+)""),"""")
"),"")</f>
        <v/>
      </c>
      <c r="M982" s="3" t="str">
        <f aca="false">IFERROR(__xludf.dummyfunction("if($T982&lt;&gt;"""",REGEXEXTRACT($T982, M$1&amp;""[\w &amp;]*, (\d+\.\d+)""),"""")
"),"")</f>
        <v/>
      </c>
      <c r="N982" s="3" t="str">
        <f aca="false">IFERROR(__xludf.dummyfunction("if($T982&lt;&gt;"""",REGEXEXTRACT(SUBSTITUTE ($T982,N$1&amp;"" CE"",""""), N$1&amp;""[\w &amp;]*, (\d+\.\d+)""),"""")
"),"")</f>
        <v/>
      </c>
      <c r="O982" s="3" t="str">
        <f aca="false">IFERROR(__xludf.dummyfunction("if($T982&lt;&gt;"""",REGEXEXTRACT($T982, O$1&amp;""[\w &amp;]*, (\d+\.\d+)""),"""")
"),"")</f>
        <v/>
      </c>
      <c r="P982" s="2"/>
      <c r="Q982" s="2"/>
      <c r="R982" s="2"/>
      <c r="S982" s="2"/>
      <c r="T982" s="5"/>
    </row>
    <row r="983" customFormat="false" ht="15.75" hidden="false" customHeight="false" outlineLevel="0" collapsed="false">
      <c r="A983" s="4"/>
      <c r="B983" s="2"/>
      <c r="C983" s="2"/>
      <c r="D983" s="2"/>
      <c r="E983" s="2"/>
      <c r="F983" s="3" t="str">
        <f aca="false">IFERROR(__xludf.dummyfunction("if($T983&lt;&gt;"""",REGEXEXTRACT(SUBSTITUTE ($T983,F$1&amp;"" CE"",""""), F$1&amp;""[\w &amp;]*, (\d+\.\d+)""),"""")
"),"")</f>
        <v/>
      </c>
      <c r="G983" s="3" t="str">
        <f aca="false">IFERROR(__xludf.dummyfunction("if($T983&lt;&gt;"""",REGEXEXTRACT($T983, G$1&amp;""[\w &amp;]*, (\d+\.\d+)""),"""")
"),"")</f>
        <v/>
      </c>
      <c r="H983" s="3"/>
      <c r="I983" s="3" t="str">
        <f aca="false">IFERROR(__xludf.dummyfunction("if($T983&lt;&gt;"""",REGEXEXTRACT(SUBSTITUTE ($T983,I$1&amp;"" CE"",""""), I$1&amp;""[\w &amp;]*, (\d+\.\d+)""),"""")
"),"")</f>
        <v/>
      </c>
      <c r="J983" s="3" t="str">
        <f aca="false">IFERROR(__xludf.dummyfunction("if($T983&lt;&gt;"""",REGEXEXTRACT($T983, J$1&amp;""[\w &amp;]*, (\d+\.\d+)""),"""")
"),"")</f>
        <v/>
      </c>
      <c r="K983" s="3"/>
      <c r="L983" s="3" t="str">
        <f aca="false">IFERROR(__xludf.dummyfunction("if($T983&lt;&gt;"""",REGEXEXTRACT(SUBSTITUTE ($T983,L$1&amp;"" CE"",""""), L$1&amp;""[\w &amp;]*, (\d+\.\d+)""),"""")
"),"")</f>
        <v/>
      </c>
      <c r="M983" s="3" t="str">
        <f aca="false">IFERROR(__xludf.dummyfunction("if($T983&lt;&gt;"""",REGEXEXTRACT($T983, M$1&amp;""[\w &amp;]*, (\d+\.\d+)""),"""")
"),"")</f>
        <v/>
      </c>
      <c r="N983" s="3" t="str">
        <f aca="false">IFERROR(__xludf.dummyfunction("if($T983&lt;&gt;"""",REGEXEXTRACT(SUBSTITUTE ($T983,N$1&amp;"" CE"",""""), N$1&amp;""[\w &amp;]*, (\d+\.\d+)""),"""")
"),"")</f>
        <v/>
      </c>
      <c r="O983" s="3" t="str">
        <f aca="false">IFERROR(__xludf.dummyfunction("if($T983&lt;&gt;"""",REGEXEXTRACT($T983, O$1&amp;""[\w &amp;]*, (\d+\.\d+)""),"""")
"),"")</f>
        <v/>
      </c>
      <c r="P983" s="2"/>
      <c r="Q983" s="2"/>
      <c r="R983" s="2"/>
      <c r="S983" s="2"/>
      <c r="T983" s="5"/>
    </row>
    <row r="984" customFormat="false" ht="15.75" hidden="false" customHeight="false" outlineLevel="0" collapsed="false">
      <c r="A984" s="4"/>
      <c r="B984" s="2"/>
      <c r="C984" s="2"/>
      <c r="D984" s="2"/>
      <c r="E984" s="2"/>
      <c r="F984" s="3" t="str">
        <f aca="false">IFERROR(__xludf.dummyfunction("if($T984&lt;&gt;"""",REGEXEXTRACT(SUBSTITUTE ($T984,F$1&amp;"" CE"",""""), F$1&amp;""[\w &amp;]*, (\d+\.\d+)""),"""")
"),"")</f>
        <v/>
      </c>
      <c r="G984" s="3" t="str">
        <f aca="false">IFERROR(__xludf.dummyfunction("if($T984&lt;&gt;"""",REGEXEXTRACT($T984, G$1&amp;""[\w &amp;]*, (\d+\.\d+)""),"""")
"),"")</f>
        <v/>
      </c>
      <c r="H984" s="3"/>
      <c r="I984" s="3" t="str">
        <f aca="false">IFERROR(__xludf.dummyfunction("if($T984&lt;&gt;"""",REGEXEXTRACT(SUBSTITUTE ($T984,I$1&amp;"" CE"",""""), I$1&amp;""[\w &amp;]*, (\d+\.\d+)""),"""")
"),"")</f>
        <v/>
      </c>
      <c r="J984" s="3" t="str">
        <f aca="false">IFERROR(__xludf.dummyfunction("if($T984&lt;&gt;"""",REGEXEXTRACT($T984, J$1&amp;""[\w &amp;]*, (\d+\.\d+)""),"""")
"),"")</f>
        <v/>
      </c>
      <c r="K984" s="3"/>
      <c r="L984" s="3" t="str">
        <f aca="false">IFERROR(__xludf.dummyfunction("if($T984&lt;&gt;"""",REGEXEXTRACT(SUBSTITUTE ($T984,L$1&amp;"" CE"",""""), L$1&amp;""[\w &amp;]*, (\d+\.\d+)""),"""")
"),"")</f>
        <v/>
      </c>
      <c r="M984" s="3" t="str">
        <f aca="false">IFERROR(__xludf.dummyfunction("if($T984&lt;&gt;"""",REGEXEXTRACT($T984, M$1&amp;""[\w &amp;]*, (\d+\.\d+)""),"""")
"),"")</f>
        <v/>
      </c>
      <c r="N984" s="3" t="str">
        <f aca="false">IFERROR(__xludf.dummyfunction("if($T984&lt;&gt;"""",REGEXEXTRACT(SUBSTITUTE ($T984,N$1&amp;"" CE"",""""), N$1&amp;""[\w &amp;]*, (\d+\.\d+)""),"""")
"),"")</f>
        <v/>
      </c>
      <c r="O984" s="3" t="str">
        <f aca="false">IFERROR(__xludf.dummyfunction("if($T984&lt;&gt;"""",REGEXEXTRACT($T984, O$1&amp;""[\w &amp;]*, (\d+\.\d+)""),"""")
"),"")</f>
        <v/>
      </c>
      <c r="P984" s="2"/>
      <c r="Q984" s="2"/>
      <c r="R984" s="2"/>
      <c r="S984" s="2"/>
      <c r="T984" s="5"/>
    </row>
    <row r="985" customFormat="false" ht="15.75" hidden="false" customHeight="false" outlineLevel="0" collapsed="false">
      <c r="A985" s="4"/>
      <c r="B985" s="2"/>
      <c r="C985" s="2"/>
      <c r="D985" s="2"/>
      <c r="E985" s="2"/>
      <c r="F985" s="3" t="str">
        <f aca="false">IFERROR(__xludf.dummyfunction("if($T985&lt;&gt;"""",REGEXEXTRACT(SUBSTITUTE ($T985,F$1&amp;"" CE"",""""), F$1&amp;""[\w &amp;]*, (\d+\.\d+)""),"""")
"),"")</f>
        <v/>
      </c>
      <c r="G985" s="3" t="str">
        <f aca="false">IFERROR(__xludf.dummyfunction("if($T985&lt;&gt;"""",REGEXEXTRACT($T985, G$1&amp;""[\w &amp;]*, (\d+\.\d+)""),"""")
"),"")</f>
        <v/>
      </c>
      <c r="H985" s="3"/>
      <c r="I985" s="3" t="str">
        <f aca="false">IFERROR(__xludf.dummyfunction("if($T985&lt;&gt;"""",REGEXEXTRACT(SUBSTITUTE ($T985,I$1&amp;"" CE"",""""), I$1&amp;""[\w &amp;]*, (\d+\.\d+)""),"""")
"),"")</f>
        <v/>
      </c>
      <c r="J985" s="3" t="str">
        <f aca="false">IFERROR(__xludf.dummyfunction("if($T985&lt;&gt;"""",REGEXEXTRACT($T985, J$1&amp;""[\w &amp;]*, (\d+\.\d+)""),"""")
"),"")</f>
        <v/>
      </c>
      <c r="K985" s="3"/>
      <c r="L985" s="3" t="str">
        <f aca="false">IFERROR(__xludf.dummyfunction("if($T985&lt;&gt;"""",REGEXEXTRACT(SUBSTITUTE ($T985,L$1&amp;"" CE"",""""), L$1&amp;""[\w &amp;]*, (\d+\.\d+)""),"""")
"),"")</f>
        <v/>
      </c>
      <c r="M985" s="3" t="str">
        <f aca="false">IFERROR(__xludf.dummyfunction("if($T985&lt;&gt;"""",REGEXEXTRACT($T985, M$1&amp;""[\w &amp;]*, (\d+\.\d+)""),"""")
"),"")</f>
        <v/>
      </c>
      <c r="N985" s="3" t="str">
        <f aca="false">IFERROR(__xludf.dummyfunction("if($T985&lt;&gt;"""",REGEXEXTRACT(SUBSTITUTE ($T985,N$1&amp;"" CE"",""""), N$1&amp;""[\w &amp;]*, (\d+\.\d+)""),"""")
"),"")</f>
        <v/>
      </c>
      <c r="O985" s="3" t="str">
        <f aca="false">IFERROR(__xludf.dummyfunction("if($T985&lt;&gt;"""",REGEXEXTRACT($T985, O$1&amp;""[\w &amp;]*, (\d+\.\d+)""),"""")
"),"")</f>
        <v/>
      </c>
      <c r="P985" s="2"/>
      <c r="Q985" s="2"/>
      <c r="R985" s="2"/>
      <c r="S985" s="2"/>
      <c r="T985" s="5"/>
    </row>
    <row r="986" customFormat="false" ht="15.75" hidden="false" customHeight="false" outlineLevel="0" collapsed="false">
      <c r="A986" s="4"/>
      <c r="B986" s="2"/>
      <c r="C986" s="2"/>
      <c r="D986" s="2"/>
      <c r="E986" s="2"/>
      <c r="F986" s="3" t="str">
        <f aca="false">IFERROR(__xludf.dummyfunction("if($T986&lt;&gt;"""",REGEXEXTRACT(SUBSTITUTE ($T986,F$1&amp;"" CE"",""""), F$1&amp;""[\w &amp;]*, (\d+\.\d+)""),"""")
"),"")</f>
        <v/>
      </c>
      <c r="G986" s="3" t="str">
        <f aca="false">IFERROR(__xludf.dummyfunction("if($T986&lt;&gt;"""",REGEXEXTRACT($T986, G$1&amp;""[\w &amp;]*, (\d+\.\d+)""),"""")
"),"")</f>
        <v/>
      </c>
      <c r="H986" s="3"/>
      <c r="I986" s="3" t="str">
        <f aca="false">IFERROR(__xludf.dummyfunction("if($T986&lt;&gt;"""",REGEXEXTRACT(SUBSTITUTE ($T986,I$1&amp;"" CE"",""""), I$1&amp;""[\w &amp;]*, (\d+\.\d+)""),"""")
"),"")</f>
        <v/>
      </c>
      <c r="J986" s="3" t="str">
        <f aca="false">IFERROR(__xludf.dummyfunction("if($T986&lt;&gt;"""",REGEXEXTRACT($T986, J$1&amp;""[\w &amp;]*, (\d+\.\d+)""),"""")
"),"")</f>
        <v/>
      </c>
      <c r="K986" s="3"/>
      <c r="L986" s="3" t="str">
        <f aca="false">IFERROR(__xludf.dummyfunction("if($T986&lt;&gt;"""",REGEXEXTRACT(SUBSTITUTE ($T986,L$1&amp;"" CE"",""""), L$1&amp;""[\w &amp;]*, (\d+\.\d+)""),"""")
"),"")</f>
        <v/>
      </c>
      <c r="M986" s="3" t="str">
        <f aca="false">IFERROR(__xludf.dummyfunction("if($T986&lt;&gt;"""",REGEXEXTRACT($T986, M$1&amp;""[\w &amp;]*, (\d+\.\d+)""),"""")
"),"")</f>
        <v/>
      </c>
      <c r="N986" s="3" t="str">
        <f aca="false">IFERROR(__xludf.dummyfunction("if($T986&lt;&gt;"""",REGEXEXTRACT(SUBSTITUTE ($T986,N$1&amp;"" CE"",""""), N$1&amp;""[\w &amp;]*, (\d+\.\d+)""),"""")
"),"")</f>
        <v/>
      </c>
      <c r="O986" s="3" t="str">
        <f aca="false">IFERROR(__xludf.dummyfunction("if($T986&lt;&gt;"""",REGEXEXTRACT($T986, O$1&amp;""[\w &amp;]*, (\d+\.\d+)""),"""")
"),"")</f>
        <v/>
      </c>
      <c r="P986" s="2"/>
      <c r="Q986" s="2"/>
      <c r="R986" s="2"/>
      <c r="S986" s="2"/>
      <c r="T986" s="5"/>
    </row>
    <row r="987" customFormat="false" ht="15.75" hidden="false" customHeight="false" outlineLevel="0" collapsed="false">
      <c r="A987" s="4"/>
      <c r="B987" s="2"/>
      <c r="C987" s="2"/>
      <c r="D987" s="2"/>
      <c r="E987" s="2"/>
      <c r="F987" s="3" t="str">
        <f aca="false">IFERROR(__xludf.dummyfunction("if($T987&lt;&gt;"""",REGEXEXTRACT(SUBSTITUTE ($T987,F$1&amp;"" CE"",""""), F$1&amp;""[\w &amp;]*, (\d+\.\d+)""),"""")
"),"")</f>
        <v/>
      </c>
      <c r="G987" s="3" t="str">
        <f aca="false">IFERROR(__xludf.dummyfunction("if($T987&lt;&gt;"""",REGEXEXTRACT($T987, G$1&amp;""[\w &amp;]*, (\d+\.\d+)""),"""")
"),"")</f>
        <v/>
      </c>
      <c r="H987" s="3"/>
      <c r="I987" s="3" t="str">
        <f aca="false">IFERROR(__xludf.dummyfunction("if($T987&lt;&gt;"""",REGEXEXTRACT(SUBSTITUTE ($T987,I$1&amp;"" CE"",""""), I$1&amp;""[\w &amp;]*, (\d+\.\d+)""),"""")
"),"")</f>
        <v/>
      </c>
      <c r="J987" s="3" t="str">
        <f aca="false">IFERROR(__xludf.dummyfunction("if($T987&lt;&gt;"""",REGEXEXTRACT($T987, J$1&amp;""[\w &amp;]*, (\d+\.\d+)""),"""")
"),"")</f>
        <v/>
      </c>
      <c r="K987" s="3"/>
      <c r="L987" s="3" t="str">
        <f aca="false">IFERROR(__xludf.dummyfunction("if($T987&lt;&gt;"""",REGEXEXTRACT(SUBSTITUTE ($T987,L$1&amp;"" CE"",""""), L$1&amp;""[\w &amp;]*, (\d+\.\d+)""),"""")
"),"")</f>
        <v/>
      </c>
      <c r="M987" s="3" t="str">
        <f aca="false">IFERROR(__xludf.dummyfunction("if($T987&lt;&gt;"""",REGEXEXTRACT($T987, M$1&amp;""[\w &amp;]*, (\d+\.\d+)""),"""")
"),"")</f>
        <v/>
      </c>
      <c r="N987" s="3" t="str">
        <f aca="false">IFERROR(__xludf.dummyfunction("if($T987&lt;&gt;"""",REGEXEXTRACT(SUBSTITUTE ($T987,N$1&amp;"" CE"",""""), N$1&amp;""[\w &amp;]*, (\d+\.\d+)""),"""")
"),"")</f>
        <v/>
      </c>
      <c r="O987" s="3" t="str">
        <f aca="false">IFERROR(__xludf.dummyfunction("if($T987&lt;&gt;"""",REGEXEXTRACT($T987, O$1&amp;""[\w &amp;]*, (\d+\.\d+)""),"""")
"),"")</f>
        <v/>
      </c>
      <c r="P987" s="2"/>
      <c r="Q987" s="2"/>
      <c r="R987" s="2"/>
      <c r="S987" s="2"/>
      <c r="T987" s="5"/>
    </row>
    <row r="988" customFormat="false" ht="15.75" hidden="false" customHeight="false" outlineLevel="0" collapsed="false">
      <c r="A988" s="4"/>
      <c r="B988" s="2"/>
      <c r="C988" s="2"/>
      <c r="D988" s="2"/>
      <c r="E988" s="2"/>
      <c r="F988" s="3" t="str">
        <f aca="false">IFERROR(__xludf.dummyfunction("if($T988&lt;&gt;"""",REGEXEXTRACT(SUBSTITUTE ($T988,F$1&amp;"" CE"",""""), F$1&amp;""[\w &amp;]*, (\d+\.\d+)""),"""")
"),"")</f>
        <v/>
      </c>
      <c r="G988" s="3" t="str">
        <f aca="false">IFERROR(__xludf.dummyfunction("if($T988&lt;&gt;"""",REGEXEXTRACT($T988, G$1&amp;""[\w &amp;]*, (\d+\.\d+)""),"""")
"),"")</f>
        <v/>
      </c>
      <c r="H988" s="3"/>
      <c r="I988" s="3" t="str">
        <f aca="false">IFERROR(__xludf.dummyfunction("if($T988&lt;&gt;"""",REGEXEXTRACT(SUBSTITUTE ($T988,I$1&amp;"" CE"",""""), I$1&amp;""[\w &amp;]*, (\d+\.\d+)""),"""")
"),"")</f>
        <v/>
      </c>
      <c r="J988" s="3" t="str">
        <f aca="false">IFERROR(__xludf.dummyfunction("if($T988&lt;&gt;"""",REGEXEXTRACT($T988, J$1&amp;""[\w &amp;]*, (\d+\.\d+)""),"""")
"),"")</f>
        <v/>
      </c>
      <c r="K988" s="3"/>
      <c r="L988" s="3" t="str">
        <f aca="false">IFERROR(__xludf.dummyfunction("if($T988&lt;&gt;"""",REGEXEXTRACT(SUBSTITUTE ($T988,L$1&amp;"" CE"",""""), L$1&amp;""[\w &amp;]*, (\d+\.\d+)""),"""")
"),"")</f>
        <v/>
      </c>
      <c r="M988" s="3" t="str">
        <f aca="false">IFERROR(__xludf.dummyfunction("if($T988&lt;&gt;"""",REGEXEXTRACT($T988, M$1&amp;""[\w &amp;]*, (\d+\.\d+)""),"""")
"),"")</f>
        <v/>
      </c>
      <c r="N988" s="3" t="str">
        <f aca="false">IFERROR(__xludf.dummyfunction("if($T988&lt;&gt;"""",REGEXEXTRACT(SUBSTITUTE ($T988,N$1&amp;"" CE"",""""), N$1&amp;""[\w &amp;]*, (\d+\.\d+)""),"""")
"),"")</f>
        <v/>
      </c>
      <c r="O988" s="3" t="str">
        <f aca="false">IFERROR(__xludf.dummyfunction("if($T988&lt;&gt;"""",REGEXEXTRACT($T988, O$1&amp;""[\w &amp;]*, (\d+\.\d+)""),"""")
"),"")</f>
        <v/>
      </c>
      <c r="P988" s="2"/>
      <c r="Q988" s="2"/>
      <c r="R988" s="2"/>
      <c r="S988" s="2"/>
      <c r="T988" s="5"/>
    </row>
    <row r="989" customFormat="false" ht="15.75" hidden="false" customHeight="false" outlineLevel="0" collapsed="false">
      <c r="A989" s="4"/>
      <c r="B989" s="2"/>
      <c r="C989" s="2"/>
      <c r="D989" s="2"/>
      <c r="E989" s="2"/>
      <c r="F989" s="3" t="str">
        <f aca="false">IFERROR(__xludf.dummyfunction("if($T989&lt;&gt;"""",REGEXEXTRACT(SUBSTITUTE ($T989,F$1&amp;"" CE"",""""), F$1&amp;""[\w &amp;]*, (\d+\.\d+)""),"""")
"),"")</f>
        <v/>
      </c>
      <c r="G989" s="3" t="str">
        <f aca="false">IFERROR(__xludf.dummyfunction("if($T989&lt;&gt;"""",REGEXEXTRACT($T989, G$1&amp;""[\w &amp;]*, (\d+\.\d+)""),"""")
"),"")</f>
        <v/>
      </c>
      <c r="H989" s="3"/>
      <c r="I989" s="3" t="str">
        <f aca="false">IFERROR(__xludf.dummyfunction("if($T989&lt;&gt;"""",REGEXEXTRACT(SUBSTITUTE ($T989,I$1&amp;"" CE"",""""), I$1&amp;""[\w &amp;]*, (\d+\.\d+)""),"""")
"),"")</f>
        <v/>
      </c>
      <c r="J989" s="3" t="str">
        <f aca="false">IFERROR(__xludf.dummyfunction("if($T989&lt;&gt;"""",REGEXEXTRACT($T989, J$1&amp;""[\w &amp;]*, (\d+\.\d+)""),"""")
"),"")</f>
        <v/>
      </c>
      <c r="K989" s="3"/>
      <c r="L989" s="3" t="str">
        <f aca="false">IFERROR(__xludf.dummyfunction("if($T989&lt;&gt;"""",REGEXEXTRACT(SUBSTITUTE ($T989,L$1&amp;"" CE"",""""), L$1&amp;""[\w &amp;]*, (\d+\.\d+)""),"""")
"),"")</f>
        <v/>
      </c>
      <c r="M989" s="3" t="str">
        <f aca="false">IFERROR(__xludf.dummyfunction("if($T989&lt;&gt;"""",REGEXEXTRACT($T989, M$1&amp;""[\w &amp;]*, (\d+\.\d+)""),"""")
"),"")</f>
        <v/>
      </c>
      <c r="N989" s="3" t="str">
        <f aca="false">IFERROR(__xludf.dummyfunction("if($T989&lt;&gt;"""",REGEXEXTRACT(SUBSTITUTE ($T989,N$1&amp;"" CE"",""""), N$1&amp;""[\w &amp;]*, (\d+\.\d+)""),"""")
"),"")</f>
        <v/>
      </c>
      <c r="O989" s="3" t="str">
        <f aca="false">IFERROR(__xludf.dummyfunction("if($T989&lt;&gt;"""",REGEXEXTRACT($T989, O$1&amp;""[\w &amp;]*, (\d+\.\d+)""),"""")
"),"")</f>
        <v/>
      </c>
      <c r="P989" s="2"/>
      <c r="Q989" s="2"/>
      <c r="R989" s="2"/>
      <c r="S989" s="2"/>
      <c r="T989" s="5"/>
    </row>
    <row r="990" customFormat="false" ht="15.75" hidden="false" customHeight="false" outlineLevel="0" collapsed="false">
      <c r="A990" s="4"/>
      <c r="B990" s="2"/>
      <c r="C990" s="2"/>
      <c r="D990" s="2"/>
      <c r="E990" s="2"/>
      <c r="F990" s="3" t="str">
        <f aca="false">IFERROR(__xludf.dummyfunction("if($T990&lt;&gt;"""",REGEXEXTRACT(SUBSTITUTE ($T990,F$1&amp;"" CE"",""""), F$1&amp;""[\w &amp;]*, (\d+\.\d+)""),"""")
"),"")</f>
        <v/>
      </c>
      <c r="G990" s="3" t="str">
        <f aca="false">IFERROR(__xludf.dummyfunction("if($T990&lt;&gt;"""",REGEXEXTRACT($T990, G$1&amp;""[\w &amp;]*, (\d+\.\d+)""),"""")
"),"")</f>
        <v/>
      </c>
      <c r="H990" s="3"/>
      <c r="I990" s="3" t="str">
        <f aca="false">IFERROR(__xludf.dummyfunction("if($T990&lt;&gt;"""",REGEXEXTRACT(SUBSTITUTE ($T990,I$1&amp;"" CE"",""""), I$1&amp;""[\w &amp;]*, (\d+\.\d+)""),"""")
"),"")</f>
        <v/>
      </c>
      <c r="J990" s="3" t="str">
        <f aca="false">IFERROR(__xludf.dummyfunction("if($T990&lt;&gt;"""",REGEXEXTRACT($T990, J$1&amp;""[\w &amp;]*, (\d+\.\d+)""),"""")
"),"")</f>
        <v/>
      </c>
      <c r="K990" s="3"/>
      <c r="L990" s="3" t="str">
        <f aca="false">IFERROR(__xludf.dummyfunction("if($T990&lt;&gt;"""",REGEXEXTRACT(SUBSTITUTE ($T990,L$1&amp;"" CE"",""""), L$1&amp;""[\w &amp;]*, (\d+\.\d+)""),"""")
"),"")</f>
        <v/>
      </c>
      <c r="M990" s="3" t="str">
        <f aca="false">IFERROR(__xludf.dummyfunction("if($T990&lt;&gt;"""",REGEXEXTRACT($T990, M$1&amp;""[\w &amp;]*, (\d+\.\d+)""),"""")
"),"")</f>
        <v/>
      </c>
      <c r="N990" s="3" t="str">
        <f aca="false">IFERROR(__xludf.dummyfunction("if($T990&lt;&gt;"""",REGEXEXTRACT(SUBSTITUTE ($T990,N$1&amp;"" CE"",""""), N$1&amp;""[\w &amp;]*, (\d+\.\d+)""),"""")
"),"")</f>
        <v/>
      </c>
      <c r="O990" s="3" t="str">
        <f aca="false">IFERROR(__xludf.dummyfunction("if($T990&lt;&gt;"""",REGEXEXTRACT($T990, O$1&amp;""[\w &amp;]*, (\d+\.\d+)""),"""")
"),"")</f>
        <v/>
      </c>
      <c r="P990" s="2"/>
      <c r="Q990" s="2"/>
      <c r="R990" s="2"/>
      <c r="S990" s="2"/>
      <c r="T990" s="5"/>
    </row>
    <row r="991" customFormat="false" ht="15.75" hidden="false" customHeight="false" outlineLevel="0" collapsed="false">
      <c r="A991" s="4"/>
      <c r="B991" s="2"/>
      <c r="C991" s="2"/>
      <c r="D991" s="2"/>
      <c r="E991" s="2"/>
      <c r="F991" s="3" t="str">
        <f aca="false">IFERROR(__xludf.dummyfunction("if($T991&lt;&gt;"""",REGEXEXTRACT(SUBSTITUTE ($T991,F$1&amp;"" CE"",""""), F$1&amp;""[\w &amp;]*, (\d+\.\d+)""),"""")
"),"")</f>
        <v/>
      </c>
      <c r="G991" s="3" t="str">
        <f aca="false">IFERROR(__xludf.dummyfunction("if($T991&lt;&gt;"""",REGEXEXTRACT($T991, G$1&amp;""[\w &amp;]*, (\d+\.\d+)""),"""")
"),"")</f>
        <v/>
      </c>
      <c r="H991" s="3"/>
      <c r="I991" s="3" t="str">
        <f aca="false">IFERROR(__xludf.dummyfunction("if($T991&lt;&gt;"""",REGEXEXTRACT(SUBSTITUTE ($T991,I$1&amp;"" CE"",""""), I$1&amp;""[\w &amp;]*, (\d+\.\d+)""),"""")
"),"")</f>
        <v/>
      </c>
      <c r="J991" s="3" t="str">
        <f aca="false">IFERROR(__xludf.dummyfunction("if($T991&lt;&gt;"""",REGEXEXTRACT($T991, J$1&amp;""[\w &amp;]*, (\d+\.\d+)""),"""")
"),"")</f>
        <v/>
      </c>
      <c r="K991" s="3"/>
      <c r="L991" s="3" t="str">
        <f aca="false">IFERROR(__xludf.dummyfunction("if($T991&lt;&gt;"""",REGEXEXTRACT(SUBSTITUTE ($T991,L$1&amp;"" CE"",""""), L$1&amp;""[\w &amp;]*, (\d+\.\d+)""),"""")
"),"")</f>
        <v/>
      </c>
      <c r="M991" s="3" t="str">
        <f aca="false">IFERROR(__xludf.dummyfunction("if($T991&lt;&gt;"""",REGEXEXTRACT($T991, M$1&amp;""[\w &amp;]*, (\d+\.\d+)""),"""")
"),"")</f>
        <v/>
      </c>
      <c r="N991" s="3" t="str">
        <f aca="false">IFERROR(__xludf.dummyfunction("if($T991&lt;&gt;"""",REGEXEXTRACT(SUBSTITUTE ($T991,N$1&amp;"" CE"",""""), N$1&amp;""[\w &amp;]*, (\d+\.\d+)""),"""")
"),"")</f>
        <v/>
      </c>
      <c r="O991" s="3" t="str">
        <f aca="false">IFERROR(__xludf.dummyfunction("if($T991&lt;&gt;"""",REGEXEXTRACT($T991, O$1&amp;""[\w &amp;]*, (\d+\.\d+)""),"""")
"),"")</f>
        <v/>
      </c>
      <c r="P991" s="2"/>
      <c r="Q991" s="2"/>
      <c r="R991" s="2"/>
      <c r="S991" s="2"/>
      <c r="T991" s="5"/>
    </row>
    <row r="992" customFormat="false" ht="15.75" hidden="false" customHeight="false" outlineLevel="0" collapsed="false">
      <c r="A992" s="4"/>
      <c r="B992" s="2"/>
      <c r="C992" s="2"/>
      <c r="D992" s="2"/>
      <c r="E992" s="2"/>
      <c r="F992" s="3" t="str">
        <f aca="false">IFERROR(__xludf.dummyfunction("if($T992&lt;&gt;"""",REGEXEXTRACT(SUBSTITUTE ($T992,F$1&amp;"" CE"",""""), F$1&amp;""[\w &amp;]*, (\d+\.\d+)""),"""")
"),"")</f>
        <v/>
      </c>
      <c r="G992" s="3" t="str">
        <f aca="false">IFERROR(__xludf.dummyfunction("if($T992&lt;&gt;"""",REGEXEXTRACT($T992, G$1&amp;""[\w &amp;]*, (\d+\.\d+)""),"""")
"),"")</f>
        <v/>
      </c>
      <c r="H992" s="3"/>
      <c r="I992" s="3" t="str">
        <f aca="false">IFERROR(__xludf.dummyfunction("if($T992&lt;&gt;"""",REGEXEXTRACT(SUBSTITUTE ($T992,I$1&amp;"" CE"",""""), I$1&amp;""[\w &amp;]*, (\d+\.\d+)""),"""")
"),"")</f>
        <v/>
      </c>
      <c r="J992" s="3" t="str">
        <f aca="false">IFERROR(__xludf.dummyfunction("if($T992&lt;&gt;"""",REGEXEXTRACT($T992, J$1&amp;""[\w &amp;]*, (\d+\.\d+)""),"""")
"),"")</f>
        <v/>
      </c>
      <c r="K992" s="3"/>
      <c r="L992" s="3" t="str">
        <f aca="false">IFERROR(__xludf.dummyfunction("if($T992&lt;&gt;"""",REGEXEXTRACT(SUBSTITUTE ($T992,L$1&amp;"" CE"",""""), L$1&amp;""[\w &amp;]*, (\d+\.\d+)""),"""")
"),"")</f>
        <v/>
      </c>
      <c r="M992" s="3" t="str">
        <f aca="false">IFERROR(__xludf.dummyfunction("if($T992&lt;&gt;"""",REGEXEXTRACT($T992, M$1&amp;""[\w &amp;]*, (\d+\.\d+)""),"""")
"),"")</f>
        <v/>
      </c>
      <c r="N992" s="3" t="str">
        <f aca="false">IFERROR(__xludf.dummyfunction("if($T992&lt;&gt;"""",REGEXEXTRACT(SUBSTITUTE ($T992,N$1&amp;"" CE"",""""), N$1&amp;""[\w &amp;]*, (\d+\.\d+)""),"""")
"),"")</f>
        <v/>
      </c>
      <c r="O992" s="3" t="str">
        <f aca="false">IFERROR(__xludf.dummyfunction("if($T992&lt;&gt;"""",REGEXEXTRACT($T992, O$1&amp;""[\w &amp;]*, (\d+\.\d+)""),"""")
"),"")</f>
        <v/>
      </c>
      <c r="P992" s="2"/>
      <c r="Q992" s="2"/>
      <c r="R992" s="2"/>
      <c r="S992" s="2"/>
      <c r="T992" s="5"/>
    </row>
    <row r="993" customFormat="false" ht="15.75" hidden="false" customHeight="false" outlineLevel="0" collapsed="false">
      <c r="A993" s="4"/>
      <c r="B993" s="2"/>
      <c r="C993" s="2"/>
      <c r="D993" s="2"/>
      <c r="E993" s="2"/>
      <c r="F993" s="3" t="str">
        <f aca="false">IFERROR(__xludf.dummyfunction("if($T993&lt;&gt;"""",REGEXEXTRACT(SUBSTITUTE ($T993,F$1&amp;"" CE"",""""), F$1&amp;""[\w &amp;]*, (\d+\.\d+)""),"""")
"),"")</f>
        <v/>
      </c>
      <c r="G993" s="3" t="str">
        <f aca="false">IFERROR(__xludf.dummyfunction("if($T993&lt;&gt;"""",REGEXEXTRACT($T993, G$1&amp;""[\w &amp;]*, (\d+\.\d+)""),"""")
"),"")</f>
        <v/>
      </c>
      <c r="H993" s="3"/>
      <c r="I993" s="3" t="str">
        <f aca="false">IFERROR(__xludf.dummyfunction("if($T993&lt;&gt;"""",REGEXEXTRACT(SUBSTITUTE ($T993,I$1&amp;"" CE"",""""), I$1&amp;""[\w &amp;]*, (\d+\.\d+)""),"""")
"),"")</f>
        <v/>
      </c>
      <c r="J993" s="3" t="str">
        <f aca="false">IFERROR(__xludf.dummyfunction("if($T993&lt;&gt;"""",REGEXEXTRACT($T993, J$1&amp;""[\w &amp;]*, (\d+\.\d+)""),"""")
"),"")</f>
        <v/>
      </c>
      <c r="K993" s="3"/>
      <c r="L993" s="3" t="str">
        <f aca="false">IFERROR(__xludf.dummyfunction("if($T993&lt;&gt;"""",REGEXEXTRACT(SUBSTITUTE ($T993,L$1&amp;"" CE"",""""), L$1&amp;""[\w &amp;]*, (\d+\.\d+)""),"""")
"),"")</f>
        <v/>
      </c>
      <c r="M993" s="3" t="str">
        <f aca="false">IFERROR(__xludf.dummyfunction("if($T993&lt;&gt;"""",REGEXEXTRACT($T993, M$1&amp;""[\w &amp;]*, (\d+\.\d+)""),"""")
"),"")</f>
        <v/>
      </c>
      <c r="N993" s="3" t="str">
        <f aca="false">IFERROR(__xludf.dummyfunction("if($T993&lt;&gt;"""",REGEXEXTRACT(SUBSTITUTE ($T993,N$1&amp;"" CE"",""""), N$1&amp;""[\w &amp;]*, (\d+\.\d+)""),"""")
"),"")</f>
        <v/>
      </c>
      <c r="O993" s="3" t="str">
        <f aca="false">IFERROR(__xludf.dummyfunction("if($T993&lt;&gt;"""",REGEXEXTRACT($T993, O$1&amp;""[\w &amp;]*, (\d+\.\d+)""),"""")
"),"")</f>
        <v/>
      </c>
      <c r="P993" s="2"/>
      <c r="Q993" s="2"/>
      <c r="R993" s="2"/>
      <c r="S993" s="2"/>
      <c r="T993" s="5"/>
    </row>
    <row r="994" customFormat="false" ht="15.75" hidden="false" customHeight="false" outlineLevel="0" collapsed="false">
      <c r="A994" s="4"/>
      <c r="B994" s="2"/>
      <c r="C994" s="2"/>
      <c r="D994" s="2"/>
      <c r="E994" s="2"/>
      <c r="F994" s="3" t="str">
        <f aca="false">IFERROR(__xludf.dummyfunction("if($T994&lt;&gt;"""",REGEXEXTRACT(SUBSTITUTE ($T994,F$1&amp;"" CE"",""""), F$1&amp;""[\w &amp;]*, (\d+\.\d+)""),"""")
"),"")</f>
        <v/>
      </c>
      <c r="G994" s="3" t="str">
        <f aca="false">IFERROR(__xludf.dummyfunction("if($T994&lt;&gt;"""",REGEXEXTRACT($T994, G$1&amp;""[\w &amp;]*, (\d+\.\d+)""),"""")
"),"")</f>
        <v/>
      </c>
      <c r="H994" s="3"/>
      <c r="I994" s="3" t="str">
        <f aca="false">IFERROR(__xludf.dummyfunction("if($T994&lt;&gt;"""",REGEXEXTRACT(SUBSTITUTE ($T994,I$1&amp;"" CE"",""""), I$1&amp;""[\w &amp;]*, (\d+\.\d+)""),"""")
"),"")</f>
        <v/>
      </c>
      <c r="J994" s="3" t="str">
        <f aca="false">IFERROR(__xludf.dummyfunction("if($T994&lt;&gt;"""",REGEXEXTRACT($T994, J$1&amp;""[\w &amp;]*, (\d+\.\d+)""),"""")
"),"")</f>
        <v/>
      </c>
      <c r="K994" s="3"/>
      <c r="L994" s="3" t="str">
        <f aca="false">IFERROR(__xludf.dummyfunction("if($T994&lt;&gt;"""",REGEXEXTRACT(SUBSTITUTE ($T994,L$1&amp;"" CE"",""""), L$1&amp;""[\w &amp;]*, (\d+\.\d+)""),"""")
"),"")</f>
        <v/>
      </c>
      <c r="M994" s="3" t="str">
        <f aca="false">IFERROR(__xludf.dummyfunction("if($T994&lt;&gt;"""",REGEXEXTRACT($T994, M$1&amp;""[\w &amp;]*, (\d+\.\d+)""),"""")
"),"")</f>
        <v/>
      </c>
      <c r="N994" s="3" t="str">
        <f aca="false">IFERROR(__xludf.dummyfunction("if($T994&lt;&gt;"""",REGEXEXTRACT(SUBSTITUTE ($T994,N$1&amp;"" CE"",""""), N$1&amp;""[\w &amp;]*, (\d+\.\d+)""),"""")
"),"")</f>
        <v/>
      </c>
      <c r="O994" s="3" t="str">
        <f aca="false">IFERROR(__xludf.dummyfunction("if($T994&lt;&gt;"""",REGEXEXTRACT($T994, O$1&amp;""[\w &amp;]*, (\d+\.\d+)""),"""")
"),"")</f>
        <v/>
      </c>
      <c r="P994" s="2"/>
      <c r="Q994" s="2"/>
      <c r="R994" s="2"/>
      <c r="S994" s="2"/>
      <c r="T994" s="5"/>
    </row>
    <row r="995" customFormat="false" ht="15.75" hidden="false" customHeight="false" outlineLevel="0" collapsed="false">
      <c r="A995" s="4"/>
      <c r="B995" s="2"/>
      <c r="C995" s="2"/>
      <c r="D995" s="2"/>
      <c r="E995" s="2"/>
      <c r="F995" s="3" t="str">
        <f aca="false">IFERROR(__xludf.dummyfunction("if($T995&lt;&gt;"""",REGEXEXTRACT(SUBSTITUTE ($T995,F$1&amp;"" CE"",""""), F$1&amp;""[\w &amp;]*, (\d+\.\d+)""),"""")
"),"")</f>
        <v/>
      </c>
      <c r="G995" s="3" t="str">
        <f aca="false">IFERROR(__xludf.dummyfunction("if($T995&lt;&gt;"""",REGEXEXTRACT($T995, G$1&amp;""[\w &amp;]*, (\d+\.\d+)""),"""")
"),"")</f>
        <v/>
      </c>
      <c r="H995" s="3"/>
      <c r="I995" s="3" t="str">
        <f aca="false">IFERROR(__xludf.dummyfunction("if($T995&lt;&gt;"""",REGEXEXTRACT(SUBSTITUTE ($T995,I$1&amp;"" CE"",""""), I$1&amp;""[\w &amp;]*, (\d+\.\d+)""),"""")
"),"")</f>
        <v/>
      </c>
      <c r="J995" s="3" t="str">
        <f aca="false">IFERROR(__xludf.dummyfunction("if($T995&lt;&gt;"""",REGEXEXTRACT($T995, J$1&amp;""[\w &amp;]*, (\d+\.\d+)""),"""")
"),"")</f>
        <v/>
      </c>
      <c r="K995" s="3"/>
      <c r="L995" s="3" t="str">
        <f aca="false">IFERROR(__xludf.dummyfunction("if($T995&lt;&gt;"""",REGEXEXTRACT(SUBSTITUTE ($T995,L$1&amp;"" CE"",""""), L$1&amp;""[\w &amp;]*, (\d+\.\d+)""),"""")
"),"")</f>
        <v/>
      </c>
      <c r="M995" s="3" t="str">
        <f aca="false">IFERROR(__xludf.dummyfunction("if($T995&lt;&gt;"""",REGEXEXTRACT($T995, M$1&amp;""[\w &amp;]*, (\d+\.\d+)""),"""")
"),"")</f>
        <v/>
      </c>
      <c r="N995" s="3" t="str">
        <f aca="false">IFERROR(__xludf.dummyfunction("if($T995&lt;&gt;"""",REGEXEXTRACT(SUBSTITUTE ($T995,N$1&amp;"" CE"",""""), N$1&amp;""[\w &amp;]*, (\d+\.\d+)""),"""")
"),"")</f>
        <v/>
      </c>
      <c r="O995" s="3" t="str">
        <f aca="false">IFERROR(__xludf.dummyfunction("if($T995&lt;&gt;"""",REGEXEXTRACT($T995, O$1&amp;""[\w &amp;]*, (\d+\.\d+)""),"""")
"),"")</f>
        <v/>
      </c>
      <c r="P995" s="2"/>
      <c r="Q995" s="2"/>
      <c r="R995" s="2"/>
      <c r="S995" s="2"/>
      <c r="T995" s="5"/>
    </row>
    <row r="996" customFormat="false" ht="15.75" hidden="false" customHeight="false" outlineLevel="0" collapsed="false">
      <c r="A996" s="4"/>
      <c r="B996" s="2"/>
      <c r="C996" s="2"/>
      <c r="D996" s="2"/>
      <c r="E996" s="2"/>
      <c r="F996" s="3" t="str">
        <f aca="false">IFERROR(__xludf.dummyfunction("if($T996&lt;&gt;"""",REGEXEXTRACT(SUBSTITUTE ($T996,F$1&amp;"" CE"",""""), F$1&amp;""[\w &amp;]*, (\d+\.\d+)""),"""")
"),"")</f>
        <v/>
      </c>
      <c r="G996" s="3" t="str">
        <f aca="false">IFERROR(__xludf.dummyfunction("if($T996&lt;&gt;"""",REGEXEXTRACT($T996, G$1&amp;""[\w &amp;]*, (\d+\.\d+)""),"""")
"),"")</f>
        <v/>
      </c>
      <c r="H996" s="3"/>
      <c r="I996" s="3" t="str">
        <f aca="false">IFERROR(__xludf.dummyfunction("if($T996&lt;&gt;"""",REGEXEXTRACT(SUBSTITUTE ($T996,I$1&amp;"" CE"",""""), I$1&amp;""[\w &amp;]*, (\d+\.\d+)""),"""")
"),"")</f>
        <v/>
      </c>
      <c r="J996" s="3" t="str">
        <f aca="false">IFERROR(__xludf.dummyfunction("if($T996&lt;&gt;"""",REGEXEXTRACT($T996, J$1&amp;""[\w &amp;]*, (\d+\.\d+)""),"""")
"),"")</f>
        <v/>
      </c>
      <c r="K996" s="3"/>
      <c r="L996" s="3" t="str">
        <f aca="false">IFERROR(__xludf.dummyfunction("if($T996&lt;&gt;"""",REGEXEXTRACT(SUBSTITUTE ($T996,L$1&amp;"" CE"",""""), L$1&amp;""[\w &amp;]*, (\d+\.\d+)""),"""")
"),"")</f>
        <v/>
      </c>
      <c r="M996" s="3" t="str">
        <f aca="false">IFERROR(__xludf.dummyfunction("if($T996&lt;&gt;"""",REGEXEXTRACT($T996, M$1&amp;""[\w &amp;]*, (\d+\.\d+)""),"""")
"),"")</f>
        <v/>
      </c>
      <c r="N996" s="3" t="str">
        <f aca="false">IFERROR(__xludf.dummyfunction("if($T996&lt;&gt;"""",REGEXEXTRACT(SUBSTITUTE ($T996,N$1&amp;"" CE"",""""), N$1&amp;""[\w &amp;]*, (\d+\.\d+)""),"""")
"),"")</f>
        <v/>
      </c>
      <c r="O996" s="3" t="str">
        <f aca="false">IFERROR(__xludf.dummyfunction("if($T996&lt;&gt;"""",REGEXEXTRACT($T996, O$1&amp;""[\w &amp;]*, (\d+\.\d+)""),"""")
"),"")</f>
        <v/>
      </c>
      <c r="P996" s="2"/>
      <c r="Q996" s="2"/>
      <c r="R996" s="2"/>
      <c r="S996" s="2"/>
      <c r="T996" s="5"/>
    </row>
    <row r="997" customFormat="false" ht="15.75" hidden="false" customHeight="false" outlineLevel="0" collapsed="false">
      <c r="A997" s="4"/>
      <c r="B997" s="2"/>
      <c r="C997" s="2"/>
      <c r="D997" s="2"/>
      <c r="E997" s="2"/>
      <c r="F997" s="3" t="str">
        <f aca="false">IFERROR(__xludf.dummyfunction("if($T997&lt;&gt;"""",REGEXEXTRACT(SUBSTITUTE ($T997,F$1&amp;"" CE"",""""), F$1&amp;""[\w &amp;]*, (\d+\.\d+)""),"""")
"),"")</f>
        <v/>
      </c>
      <c r="G997" s="3" t="str">
        <f aca="false">IFERROR(__xludf.dummyfunction("if($T997&lt;&gt;"""",REGEXEXTRACT($T997, G$1&amp;""[\w &amp;]*, (\d+\.\d+)""),"""")
"),"")</f>
        <v/>
      </c>
      <c r="H997" s="3"/>
      <c r="I997" s="3" t="str">
        <f aca="false">IFERROR(__xludf.dummyfunction("if($T997&lt;&gt;"""",REGEXEXTRACT(SUBSTITUTE ($T997,I$1&amp;"" CE"",""""), I$1&amp;""[\w &amp;]*, (\d+\.\d+)""),"""")
"),"")</f>
        <v/>
      </c>
      <c r="J997" s="3" t="str">
        <f aca="false">IFERROR(__xludf.dummyfunction("if($T997&lt;&gt;"""",REGEXEXTRACT($T997, J$1&amp;""[\w &amp;]*, (\d+\.\d+)""),"""")
"),"")</f>
        <v/>
      </c>
      <c r="K997" s="3"/>
      <c r="L997" s="3" t="str">
        <f aca="false">IFERROR(__xludf.dummyfunction("if($T997&lt;&gt;"""",REGEXEXTRACT(SUBSTITUTE ($T997,L$1&amp;"" CE"",""""), L$1&amp;""[\w &amp;]*, (\d+\.\d+)""),"""")
"),"")</f>
        <v/>
      </c>
      <c r="M997" s="3" t="str">
        <f aca="false">IFERROR(__xludf.dummyfunction("if($T997&lt;&gt;"""",REGEXEXTRACT($T997, M$1&amp;""[\w &amp;]*, (\d+\.\d+)""),"""")
"),"")</f>
        <v/>
      </c>
      <c r="N997" s="3" t="str">
        <f aca="false">IFERROR(__xludf.dummyfunction("if($T997&lt;&gt;"""",REGEXEXTRACT(SUBSTITUTE ($T997,N$1&amp;"" CE"",""""), N$1&amp;""[\w &amp;]*, (\d+\.\d+)""),"""")
"),"")</f>
        <v/>
      </c>
      <c r="O997" s="3" t="str">
        <f aca="false">IFERROR(__xludf.dummyfunction("if($T997&lt;&gt;"""",REGEXEXTRACT($T997, O$1&amp;""[\w &amp;]*, (\d+\.\d+)""),"""")
"),"")</f>
        <v/>
      </c>
      <c r="P997" s="2"/>
      <c r="Q997" s="2"/>
      <c r="R997" s="2"/>
      <c r="S997" s="2"/>
      <c r="T997" s="5"/>
    </row>
    <row r="998" customFormat="false" ht="15.75" hidden="false" customHeight="false" outlineLevel="0" collapsed="false">
      <c r="A998" s="4"/>
      <c r="B998" s="2"/>
      <c r="C998" s="2"/>
      <c r="D998" s="2"/>
      <c r="E998" s="2"/>
      <c r="F998" s="3" t="str">
        <f aca="false">IFERROR(__xludf.dummyfunction("if($T998&lt;&gt;"""",REGEXEXTRACT(SUBSTITUTE ($T998,F$1&amp;"" CE"",""""), F$1&amp;""[\w &amp;]*, (\d+\.\d+)""),"""")
"),"")</f>
        <v/>
      </c>
      <c r="G998" s="3" t="str">
        <f aca="false">IFERROR(__xludf.dummyfunction("if($T998&lt;&gt;"""",REGEXEXTRACT($T998, G$1&amp;""[\w &amp;]*, (\d+\.\d+)""),"""")
"),"")</f>
        <v/>
      </c>
      <c r="H998" s="3"/>
      <c r="I998" s="3" t="str">
        <f aca="false">IFERROR(__xludf.dummyfunction("if($T998&lt;&gt;"""",REGEXEXTRACT(SUBSTITUTE ($T998,I$1&amp;"" CE"",""""), I$1&amp;""[\w &amp;]*, (\d+\.\d+)""),"""")
"),"")</f>
        <v/>
      </c>
      <c r="J998" s="3" t="str">
        <f aca="false">IFERROR(__xludf.dummyfunction("if($T998&lt;&gt;"""",REGEXEXTRACT($T998, J$1&amp;""[\w &amp;]*, (\d+\.\d+)""),"""")
"),"")</f>
        <v/>
      </c>
      <c r="K998" s="3"/>
      <c r="L998" s="3" t="str">
        <f aca="false">IFERROR(__xludf.dummyfunction("if($T998&lt;&gt;"""",REGEXEXTRACT(SUBSTITUTE ($T998,L$1&amp;"" CE"",""""), L$1&amp;""[\w &amp;]*, (\d+\.\d+)""),"""")
"),"")</f>
        <v/>
      </c>
      <c r="M998" s="3" t="str">
        <f aca="false">IFERROR(__xludf.dummyfunction("if($T998&lt;&gt;"""",REGEXEXTRACT($T998, M$1&amp;""[\w &amp;]*, (\d+\.\d+)""),"""")
"),"")</f>
        <v/>
      </c>
      <c r="N998" s="3" t="str">
        <f aca="false">IFERROR(__xludf.dummyfunction("if($T998&lt;&gt;"""",REGEXEXTRACT(SUBSTITUTE ($T998,N$1&amp;"" CE"",""""), N$1&amp;""[\w &amp;]*, (\d+\.\d+)""),"""")
"),"")</f>
        <v/>
      </c>
      <c r="O998" s="3" t="str">
        <f aca="false">IFERROR(__xludf.dummyfunction("if($T998&lt;&gt;"""",REGEXEXTRACT($T998, O$1&amp;""[\w &amp;]*, (\d+\.\d+)""),"""")
"),"")</f>
        <v/>
      </c>
      <c r="P998" s="2"/>
      <c r="Q998" s="2"/>
      <c r="R998" s="2"/>
      <c r="S998" s="2"/>
      <c r="T998" s="5"/>
    </row>
    <row r="999" customFormat="false" ht="15.75" hidden="false" customHeight="false" outlineLevel="0" collapsed="false">
      <c r="A999" s="4"/>
      <c r="B999" s="2"/>
      <c r="C999" s="2"/>
      <c r="D999" s="2"/>
      <c r="E999" s="2"/>
      <c r="F999" s="3" t="str">
        <f aca="false">IFERROR(__xludf.dummyfunction("if($T999&lt;&gt;"""",REGEXEXTRACT(SUBSTITUTE ($T999,F$1&amp;"" CE"",""""), F$1&amp;""[\w &amp;]*, (\d+\.\d+)""),"""")
"),"")</f>
        <v/>
      </c>
      <c r="G999" s="3" t="str">
        <f aca="false">IFERROR(__xludf.dummyfunction("if($T999&lt;&gt;"""",REGEXEXTRACT($T999, G$1&amp;""[\w &amp;]*, (\d+\.\d+)""),"""")
"),"")</f>
        <v/>
      </c>
      <c r="H999" s="3"/>
      <c r="I999" s="3" t="str">
        <f aca="false">IFERROR(__xludf.dummyfunction("if($T999&lt;&gt;"""",REGEXEXTRACT(SUBSTITUTE ($T999,I$1&amp;"" CE"",""""), I$1&amp;""[\w &amp;]*, (\d+\.\d+)""),"""")
"),"")</f>
        <v/>
      </c>
      <c r="J999" s="3" t="str">
        <f aca="false">IFERROR(__xludf.dummyfunction("if($T999&lt;&gt;"""",REGEXEXTRACT($T999, J$1&amp;""[\w &amp;]*, (\d+\.\d+)""),"""")
"),"")</f>
        <v/>
      </c>
      <c r="K999" s="3"/>
      <c r="L999" s="3" t="str">
        <f aca="false">IFERROR(__xludf.dummyfunction("if($T999&lt;&gt;"""",REGEXEXTRACT(SUBSTITUTE ($T999,L$1&amp;"" CE"",""""), L$1&amp;""[\w &amp;]*, (\d+\.\d+)""),"""")
"),"")</f>
        <v/>
      </c>
      <c r="M999" s="3" t="str">
        <f aca="false">IFERROR(__xludf.dummyfunction("if($T999&lt;&gt;"""",REGEXEXTRACT($T999, M$1&amp;""[\w &amp;]*, (\d+\.\d+)""),"""")
"),"")</f>
        <v/>
      </c>
      <c r="N999" s="3" t="str">
        <f aca="false">IFERROR(__xludf.dummyfunction("if($T999&lt;&gt;"""",REGEXEXTRACT(SUBSTITUTE ($T999,N$1&amp;"" CE"",""""), N$1&amp;""[\w &amp;]*, (\d+\.\d+)""),"""")
"),"")</f>
        <v/>
      </c>
      <c r="O999" s="3" t="str">
        <f aca="false">IFERROR(__xludf.dummyfunction("if($T999&lt;&gt;"""",REGEXEXTRACT($T999, O$1&amp;""[\w &amp;]*, (\d+\.\d+)""),"""")
"),"")</f>
        <v/>
      </c>
      <c r="P999" s="2"/>
      <c r="Q999" s="2"/>
      <c r="R999" s="2"/>
      <c r="S999" s="2"/>
      <c r="T999" s="5"/>
    </row>
    <row r="1000" customFormat="false" ht="15.75" hidden="false" customHeight="false" outlineLevel="0" collapsed="false">
      <c r="A1000" s="4"/>
      <c r="B1000" s="2"/>
      <c r="C1000" s="2"/>
      <c r="D1000" s="2"/>
      <c r="E1000" s="2"/>
      <c r="F1000" s="3" t="str">
        <f aca="false">IFERROR(__xludf.dummyfunction("if($T1000&lt;&gt;"""",REGEXEXTRACT(SUBSTITUTE ($T1000,F$1&amp;"" CE"",""""), F$1&amp;""[\w &amp;]*, (\d+\.\d+)""),"""")
"),"")</f>
        <v/>
      </c>
      <c r="G1000" s="3" t="str">
        <f aca="false">IFERROR(__xludf.dummyfunction("if($T1000&lt;&gt;"""",REGEXEXTRACT($T1000, G$1&amp;""[\w &amp;]*, (\d+\.\d+)""),"""")
"),"")</f>
        <v/>
      </c>
      <c r="H1000" s="3"/>
      <c r="I1000" s="3" t="str">
        <f aca="false">IFERROR(__xludf.dummyfunction("if($T1000&lt;&gt;"""",REGEXEXTRACT(SUBSTITUTE ($T1000,I$1&amp;"" CE"",""""), I$1&amp;""[\w &amp;]*, (\d+\.\d+)""),"""")
"),"")</f>
        <v/>
      </c>
      <c r="J1000" s="3" t="str">
        <f aca="false">IFERROR(__xludf.dummyfunction("if($T1000&lt;&gt;"""",REGEXEXTRACT($T1000, J$1&amp;""[\w &amp;]*, (\d+\.\d+)""),"""")
"),"")</f>
        <v/>
      </c>
      <c r="K1000" s="3"/>
      <c r="L1000" s="3" t="str">
        <f aca="false">IFERROR(__xludf.dummyfunction("if($T1000&lt;&gt;"""",REGEXEXTRACT(SUBSTITUTE ($T1000,L$1&amp;"" CE"",""""), L$1&amp;""[\w &amp;]*, (\d+\.\d+)""),"""")
"),"")</f>
        <v/>
      </c>
      <c r="M1000" s="3" t="str">
        <f aca="false">IFERROR(__xludf.dummyfunction("if($T1000&lt;&gt;"""",REGEXEXTRACT($T1000, M$1&amp;""[\w &amp;]*, (\d+\.\d+)""),"""")
"),"")</f>
        <v/>
      </c>
      <c r="N1000" s="3" t="str">
        <f aca="false">IFERROR(__xludf.dummyfunction("if($T1000&lt;&gt;"""",REGEXEXTRACT(SUBSTITUTE ($T1000,N$1&amp;"" CE"",""""), N$1&amp;""[\w &amp;]*, (\d+\.\d+)""),"""")
"),"")</f>
        <v/>
      </c>
      <c r="O1000" s="3" t="str">
        <f aca="false">IFERROR(__xludf.dummyfunction("if($T1000&lt;&gt;"""",REGEXEXTRACT($T1000, O$1&amp;""[\w &amp;]*, (\d+\.\d+)""),"""")
"),"")</f>
        <v/>
      </c>
      <c r="P1000" s="2"/>
      <c r="Q1000" s="2"/>
      <c r="R1000" s="2"/>
      <c r="S1000" s="2"/>
      <c r="T1000" s="5"/>
    </row>
    <row r="1001" customFormat="false" ht="15.75" hidden="false" customHeight="false" outlineLevel="0" collapsed="false">
      <c r="A1001" s="4"/>
      <c r="B1001" s="2"/>
      <c r="C1001" s="2"/>
      <c r="D1001" s="2"/>
      <c r="E1001" s="2"/>
      <c r="F1001" s="3" t="str">
        <f aca="false">IFERROR(__xludf.dummyfunction("if($T1001&lt;&gt;"""",REGEXEXTRACT(SUBSTITUTE ($T1001,F$1&amp;"" CE"",""""), F$1&amp;""[\w &amp;]*, (\d+\.\d+)""),"""")
"),"")</f>
        <v/>
      </c>
      <c r="G1001" s="3" t="str">
        <f aca="false">IFERROR(__xludf.dummyfunction("if($T1001&lt;&gt;"""",REGEXEXTRACT($T1001, G$1&amp;""[\w &amp;]*, (\d+\.\d+)""),"""")
"),"")</f>
        <v/>
      </c>
      <c r="H1001" s="3"/>
      <c r="I1001" s="3" t="str">
        <f aca="false">IFERROR(__xludf.dummyfunction("if($T1001&lt;&gt;"""",REGEXEXTRACT(SUBSTITUTE ($T1001,I$1&amp;"" CE"",""""), I$1&amp;""[\w &amp;]*, (\d+\.\d+)""),"""")
"),"")</f>
        <v/>
      </c>
      <c r="J1001" s="3" t="str">
        <f aca="false">IFERROR(__xludf.dummyfunction("if($T1001&lt;&gt;"""",REGEXEXTRACT($T1001, J$1&amp;""[\w &amp;]*, (\d+\.\d+)""),"""")
"),"")</f>
        <v/>
      </c>
      <c r="K1001" s="3"/>
      <c r="L1001" s="3" t="str">
        <f aca="false">IFERROR(__xludf.dummyfunction("if($T1001&lt;&gt;"""",REGEXEXTRACT(SUBSTITUTE ($T1001,L$1&amp;"" CE"",""""), L$1&amp;""[\w &amp;]*, (\d+\.\d+)""),"""")
"),"")</f>
        <v/>
      </c>
      <c r="M1001" s="3" t="str">
        <f aca="false">IFERROR(__xludf.dummyfunction("if($T1001&lt;&gt;"""",REGEXEXTRACT($T1001, M$1&amp;""[\w &amp;]*, (\d+\.\d+)""),"""")
"),"")</f>
        <v/>
      </c>
      <c r="N1001" s="3" t="str">
        <f aca="false">IFERROR(__xludf.dummyfunction("if($T1001&lt;&gt;"""",REGEXEXTRACT(SUBSTITUTE ($T1001,N$1&amp;"" CE"",""""), N$1&amp;""[\w &amp;]*, (\d+\.\d+)""),"""")
"),"")</f>
        <v/>
      </c>
      <c r="O1001" s="3" t="str">
        <f aca="false">IFERROR(__xludf.dummyfunction("if($T1001&lt;&gt;"""",REGEXEXTRACT($T1001, O$1&amp;""[\w &amp;]*, (\d+\.\d+)""),"""")
"),"")</f>
        <v/>
      </c>
      <c r="P1001" s="2"/>
      <c r="Q1001" s="2"/>
      <c r="R1001" s="2"/>
      <c r="S1001" s="2"/>
      <c r="T1001" s="5"/>
    </row>
    <row r="1002" customFormat="false" ht="15.75" hidden="false" customHeight="false" outlineLevel="0" collapsed="false">
      <c r="A1002" s="4"/>
      <c r="B1002" s="2"/>
      <c r="C1002" s="2"/>
      <c r="D1002" s="2"/>
      <c r="E1002" s="2"/>
      <c r="F1002" s="3" t="str">
        <f aca="false">IFERROR(__xludf.dummyfunction("if($T1002&lt;&gt;"""",REGEXEXTRACT(SUBSTITUTE ($T1002,F$1&amp;"" CE"",""""), F$1&amp;""[\w &amp;]*, (\d+\.\d+)""),"""")
"),"")</f>
        <v/>
      </c>
      <c r="G1002" s="3" t="str">
        <f aca="false">IFERROR(__xludf.dummyfunction("if($T1002&lt;&gt;"""",REGEXEXTRACT($T1002, G$1&amp;""[\w &amp;]*, (\d+\.\d+)""),"""")
"),"")</f>
        <v/>
      </c>
      <c r="H1002" s="3"/>
      <c r="I1002" s="3" t="str">
        <f aca="false">IFERROR(__xludf.dummyfunction("if($T1002&lt;&gt;"""",REGEXEXTRACT(SUBSTITUTE ($T1002,I$1&amp;"" CE"",""""), I$1&amp;""[\w &amp;]*, (\d+\.\d+)""),"""")
"),"")</f>
        <v/>
      </c>
      <c r="J1002" s="3" t="str">
        <f aca="false">IFERROR(__xludf.dummyfunction("if($T1002&lt;&gt;"""",REGEXEXTRACT($T1002, J$1&amp;""[\w &amp;]*, (\d+\.\d+)""),"""")
"),"")</f>
        <v/>
      </c>
      <c r="K1002" s="3"/>
      <c r="L1002" s="3" t="str">
        <f aca="false">IFERROR(__xludf.dummyfunction("if($T1002&lt;&gt;"""",REGEXEXTRACT(SUBSTITUTE ($T1002,L$1&amp;"" CE"",""""), L$1&amp;""[\w &amp;]*, (\d+\.\d+)""),"""")
"),"")</f>
        <v/>
      </c>
      <c r="M1002" s="3" t="str">
        <f aca="false">IFERROR(__xludf.dummyfunction("if($T1002&lt;&gt;"""",REGEXEXTRACT($T1002, M$1&amp;""[\w &amp;]*, (\d+\.\d+)""),"""")
"),"")</f>
        <v/>
      </c>
      <c r="N1002" s="3" t="str">
        <f aca="false">IFERROR(__xludf.dummyfunction("if($T1002&lt;&gt;"""",REGEXEXTRACT(SUBSTITUTE ($T1002,N$1&amp;"" CE"",""""), N$1&amp;""[\w &amp;]*, (\d+\.\d+)""),"""")
"),"")</f>
        <v/>
      </c>
      <c r="O1002" s="3" t="str">
        <f aca="false">IFERROR(__xludf.dummyfunction("if($T1002&lt;&gt;"""",REGEXEXTRACT($T1002, O$1&amp;""[\w &amp;]*, (\d+\.\d+)""),"""")
"),"")</f>
        <v/>
      </c>
      <c r="P1002" s="2"/>
      <c r="Q1002" s="2"/>
      <c r="R1002" s="2"/>
      <c r="S1002" s="2"/>
      <c r="T1002" s="5"/>
    </row>
    <row r="1003" customFormat="false" ht="15.75" hidden="false" customHeight="false" outlineLevel="0" collapsed="false">
      <c r="A1003" s="4"/>
      <c r="B1003" s="2"/>
      <c r="C1003" s="2"/>
      <c r="D1003" s="2"/>
      <c r="E1003" s="2"/>
      <c r="F1003" s="3" t="str">
        <f aca="false">IFERROR(__xludf.dummyfunction("if($T1003&lt;&gt;"""",REGEXEXTRACT(SUBSTITUTE ($T1003,F$1&amp;"" CE"",""""), F$1&amp;""[\w &amp;]*, (\d+\.\d+)""),"""")
"),"")</f>
        <v/>
      </c>
      <c r="G1003" s="3" t="str">
        <f aca="false">IFERROR(__xludf.dummyfunction("if($T1003&lt;&gt;"""",REGEXEXTRACT($T1003, G$1&amp;""[\w &amp;]*, (\d+\.\d+)""),"""")
"),"")</f>
        <v/>
      </c>
      <c r="H1003" s="3"/>
      <c r="I1003" s="3" t="str">
        <f aca="false">IFERROR(__xludf.dummyfunction("if($T1003&lt;&gt;"""",REGEXEXTRACT(SUBSTITUTE ($T1003,I$1&amp;"" CE"",""""), I$1&amp;""[\w &amp;]*, (\d+\.\d+)""),"""")
"),"")</f>
        <v/>
      </c>
      <c r="J1003" s="3" t="str">
        <f aca="false">IFERROR(__xludf.dummyfunction("if($T1003&lt;&gt;"""",REGEXEXTRACT($T1003, J$1&amp;""[\w &amp;]*, (\d+\.\d+)""),"""")
"),"")</f>
        <v/>
      </c>
      <c r="K1003" s="3"/>
      <c r="L1003" s="3" t="str">
        <f aca="false">IFERROR(__xludf.dummyfunction("if($T1003&lt;&gt;"""",REGEXEXTRACT(SUBSTITUTE ($T1003,L$1&amp;"" CE"",""""), L$1&amp;""[\w &amp;]*, (\d+\.\d+)""),"""")
"),"")</f>
        <v/>
      </c>
      <c r="M1003" s="3" t="str">
        <f aca="false">IFERROR(__xludf.dummyfunction("if($T1003&lt;&gt;"""",REGEXEXTRACT($T1003, M$1&amp;""[\w &amp;]*, (\d+\.\d+)""),"""")
"),"")</f>
        <v/>
      </c>
      <c r="N1003" s="3" t="str">
        <f aca="false">IFERROR(__xludf.dummyfunction("if($T1003&lt;&gt;"""",REGEXEXTRACT(SUBSTITUTE ($T1003,N$1&amp;"" CE"",""""), N$1&amp;""[\w &amp;]*, (\d+\.\d+)""),"""")
"),"")</f>
        <v/>
      </c>
      <c r="O1003" s="3" t="str">
        <f aca="false">IFERROR(__xludf.dummyfunction("if($T1003&lt;&gt;"""",REGEXEXTRACT($T1003, O$1&amp;""[\w &amp;]*, (\d+\.\d+)""),"""")
"),"")</f>
        <v/>
      </c>
      <c r="P1003" s="2"/>
      <c r="Q1003" s="2"/>
      <c r="R1003" s="2"/>
      <c r="S1003" s="2"/>
      <c r="T1003" s="5"/>
    </row>
    <row r="1004" customFormat="false" ht="15.75" hidden="false" customHeight="false" outlineLevel="0" collapsed="false">
      <c r="A1004" s="4"/>
      <c r="B1004" s="2"/>
      <c r="C1004" s="2"/>
      <c r="D1004" s="2"/>
      <c r="E1004" s="2"/>
      <c r="F1004" s="3" t="str">
        <f aca="false">IFERROR(__xludf.dummyfunction("if($T1004&lt;&gt;"""",REGEXEXTRACT(SUBSTITUTE ($T1004,F$1&amp;"" CE"",""""), F$1&amp;""[\w &amp;]*, (\d+\.\d+)""),"""")
"),"")</f>
        <v/>
      </c>
      <c r="G1004" s="3" t="str">
        <f aca="false">IFERROR(__xludf.dummyfunction("if($T1004&lt;&gt;"""",REGEXEXTRACT($T1004, G$1&amp;""[\w &amp;]*, (\d+\.\d+)""),"""")
"),"")</f>
        <v/>
      </c>
      <c r="H1004" s="3"/>
      <c r="I1004" s="3" t="str">
        <f aca="false">IFERROR(__xludf.dummyfunction("if($T1004&lt;&gt;"""",REGEXEXTRACT(SUBSTITUTE ($T1004,I$1&amp;"" CE"",""""), I$1&amp;""[\w &amp;]*, (\d+\.\d+)""),"""")
"),"")</f>
        <v/>
      </c>
      <c r="J1004" s="3" t="str">
        <f aca="false">IFERROR(__xludf.dummyfunction("if($T1004&lt;&gt;"""",REGEXEXTRACT($T1004, J$1&amp;""[\w &amp;]*, (\d+\.\d+)""),"""")
"),"")</f>
        <v/>
      </c>
      <c r="K1004" s="3"/>
      <c r="L1004" s="3" t="str">
        <f aca="false">IFERROR(__xludf.dummyfunction("if($T1004&lt;&gt;"""",REGEXEXTRACT(SUBSTITUTE ($T1004,L$1&amp;"" CE"",""""), L$1&amp;""[\w &amp;]*, (\d+\.\d+)""),"""")
"),"")</f>
        <v/>
      </c>
      <c r="M1004" s="3" t="str">
        <f aca="false">IFERROR(__xludf.dummyfunction("if($T1004&lt;&gt;"""",REGEXEXTRACT($T1004, M$1&amp;""[\w &amp;]*, (\d+\.\d+)""),"""")
"),"")</f>
        <v/>
      </c>
      <c r="N1004" s="3" t="str">
        <f aca="false">IFERROR(__xludf.dummyfunction("if($T1004&lt;&gt;"""",REGEXEXTRACT(SUBSTITUTE ($T1004,N$1&amp;"" CE"",""""), N$1&amp;""[\w &amp;]*, (\d+\.\d+)""),"""")
"),"")</f>
        <v/>
      </c>
      <c r="O1004" s="3" t="str">
        <f aca="false">IFERROR(__xludf.dummyfunction("if($T1004&lt;&gt;"""",REGEXEXTRACT($T1004, O$1&amp;""[\w &amp;]*, (\d+\.\d+)""),"""")
"),"")</f>
        <v/>
      </c>
      <c r="P1004" s="2"/>
      <c r="Q1004" s="2"/>
      <c r="R1004" s="2"/>
      <c r="S1004" s="2"/>
      <c r="T1004" s="5"/>
    </row>
    <row r="1005" customFormat="false" ht="15.75" hidden="false" customHeight="false" outlineLevel="0" collapsed="false">
      <c r="A1005" s="4"/>
      <c r="B1005" s="2"/>
      <c r="C1005" s="2"/>
      <c r="D1005" s="2"/>
      <c r="E1005" s="2"/>
      <c r="F1005" s="3" t="str">
        <f aca="false">IFERROR(__xludf.dummyfunction("if($T1005&lt;&gt;"""",REGEXEXTRACT(SUBSTITUTE ($T1005,F$1&amp;"" CE"",""""), F$1&amp;""[\w &amp;]*, (\d+\.\d+)""),"""")
"),"")</f>
        <v/>
      </c>
      <c r="G1005" s="3" t="str">
        <f aca="false">IFERROR(__xludf.dummyfunction("if($T1005&lt;&gt;"""",REGEXEXTRACT($T1005, G$1&amp;""[\w &amp;]*, (\d+\.\d+)""),"""")
"),"")</f>
        <v/>
      </c>
      <c r="H1005" s="3"/>
      <c r="I1005" s="3" t="str">
        <f aca="false">IFERROR(__xludf.dummyfunction("if($T1005&lt;&gt;"""",REGEXEXTRACT(SUBSTITUTE ($T1005,I$1&amp;"" CE"",""""), I$1&amp;""[\w &amp;]*, (\d+\.\d+)""),"""")
"),"")</f>
        <v/>
      </c>
      <c r="J1005" s="3" t="str">
        <f aca="false">IFERROR(__xludf.dummyfunction("if($T1005&lt;&gt;"""",REGEXEXTRACT($T1005, J$1&amp;""[\w &amp;]*, (\d+\.\d+)""),"""")
"),"")</f>
        <v/>
      </c>
      <c r="K1005" s="3"/>
      <c r="L1005" s="3" t="str">
        <f aca="false">IFERROR(__xludf.dummyfunction("if($T1005&lt;&gt;"""",REGEXEXTRACT(SUBSTITUTE ($T1005,L$1&amp;"" CE"",""""), L$1&amp;""[\w &amp;]*, (\d+\.\d+)""),"""")
"),"")</f>
        <v/>
      </c>
      <c r="M1005" s="3" t="str">
        <f aca="false">IFERROR(__xludf.dummyfunction("if($T1005&lt;&gt;"""",REGEXEXTRACT($T1005, M$1&amp;""[\w &amp;]*, (\d+\.\d+)""),"""")
"),"")</f>
        <v/>
      </c>
      <c r="N1005" s="3" t="str">
        <f aca="false">IFERROR(__xludf.dummyfunction("if($T1005&lt;&gt;"""",REGEXEXTRACT(SUBSTITUTE ($T1005,N$1&amp;"" CE"",""""), N$1&amp;""[\w &amp;]*, (\d+\.\d+)""),"""")
"),"")</f>
        <v/>
      </c>
      <c r="O1005" s="3" t="str">
        <f aca="false">IFERROR(__xludf.dummyfunction("if($T1005&lt;&gt;"""",REGEXEXTRACT($T1005, O$1&amp;""[\w &amp;]*, (\d+\.\d+)""),"""")
"),"")</f>
        <v/>
      </c>
      <c r="P1005" s="2"/>
      <c r="Q1005" s="2"/>
      <c r="R1005" s="2"/>
      <c r="S1005" s="2"/>
      <c r="T1005" s="5"/>
    </row>
    <row r="1006" customFormat="false" ht="15.75" hidden="false" customHeight="false" outlineLevel="0" collapsed="false">
      <c r="A1006" s="4"/>
      <c r="B1006" s="2"/>
      <c r="C1006" s="2"/>
      <c r="D1006" s="2"/>
      <c r="E1006" s="2"/>
      <c r="F1006" s="3" t="str">
        <f aca="false">IFERROR(__xludf.dummyfunction("if($T1006&lt;&gt;"""",REGEXEXTRACT(SUBSTITUTE ($T1006,F$1&amp;"" CE"",""""), F$1&amp;""[\w &amp;]*, (\d+\.\d+)""),"""")
"),"")</f>
        <v/>
      </c>
      <c r="G1006" s="3" t="str">
        <f aca="false">IFERROR(__xludf.dummyfunction("if($T1006&lt;&gt;"""",REGEXEXTRACT($T1006, G$1&amp;""[\w &amp;]*, (\d+\.\d+)""),"""")
"),"")</f>
        <v/>
      </c>
      <c r="H1006" s="3"/>
      <c r="I1006" s="3" t="str">
        <f aca="false">IFERROR(__xludf.dummyfunction("if($T1006&lt;&gt;"""",REGEXEXTRACT(SUBSTITUTE ($T1006,I$1&amp;"" CE"",""""), I$1&amp;""[\w &amp;]*, (\d+\.\d+)""),"""")
"),"")</f>
        <v/>
      </c>
      <c r="J1006" s="3" t="str">
        <f aca="false">IFERROR(__xludf.dummyfunction("if($T1006&lt;&gt;"""",REGEXEXTRACT($T1006, J$1&amp;""[\w &amp;]*, (\d+\.\d+)""),"""")
"),"")</f>
        <v/>
      </c>
      <c r="K1006" s="3"/>
      <c r="L1006" s="3" t="str">
        <f aca="false">IFERROR(__xludf.dummyfunction("if($T1006&lt;&gt;"""",REGEXEXTRACT(SUBSTITUTE ($T1006,L$1&amp;"" CE"",""""), L$1&amp;""[\w &amp;]*, (\d+\.\d+)""),"""")
"),"")</f>
        <v/>
      </c>
      <c r="M1006" s="3" t="str">
        <f aca="false">IFERROR(__xludf.dummyfunction("if($T1006&lt;&gt;"""",REGEXEXTRACT($T1006, M$1&amp;""[\w &amp;]*, (\d+\.\d+)""),"""")
"),"")</f>
        <v/>
      </c>
      <c r="N1006" s="3" t="str">
        <f aca="false">IFERROR(__xludf.dummyfunction("if($T1006&lt;&gt;"""",REGEXEXTRACT(SUBSTITUTE ($T1006,N$1&amp;"" CE"",""""), N$1&amp;""[\w &amp;]*, (\d+\.\d+)""),"""")
"),"")</f>
        <v/>
      </c>
      <c r="O1006" s="3" t="str">
        <f aca="false">IFERROR(__xludf.dummyfunction("if($T1006&lt;&gt;"""",REGEXEXTRACT($T1006, O$1&amp;""[\w &amp;]*, (\d+\.\d+)""),"""")
"),"")</f>
        <v/>
      </c>
      <c r="P1006" s="2"/>
      <c r="Q1006" s="2"/>
      <c r="R1006" s="2"/>
      <c r="S1006" s="2"/>
      <c r="T1006" s="5"/>
    </row>
    <row r="1007" customFormat="false" ht="15.75" hidden="false" customHeight="false" outlineLevel="0" collapsed="false">
      <c r="A1007" s="4"/>
      <c r="B1007" s="2"/>
      <c r="C1007" s="2"/>
      <c r="D1007" s="2"/>
      <c r="E1007" s="2"/>
      <c r="F1007" s="3" t="str">
        <f aca="false">IFERROR(__xludf.dummyfunction("if($T1007&lt;&gt;"""",REGEXEXTRACT(SUBSTITUTE ($T1007,F$1&amp;"" CE"",""""), F$1&amp;""[\w &amp;]*, (\d+\.\d+)""),"""")
"),"")</f>
        <v/>
      </c>
      <c r="G1007" s="3" t="str">
        <f aca="false">IFERROR(__xludf.dummyfunction("if($T1007&lt;&gt;"""",REGEXEXTRACT($T1007, G$1&amp;""[\w &amp;]*, (\d+\.\d+)""),"""")
"),"")</f>
        <v/>
      </c>
      <c r="H1007" s="3"/>
      <c r="I1007" s="3" t="str">
        <f aca="false">IFERROR(__xludf.dummyfunction("if($T1007&lt;&gt;"""",REGEXEXTRACT(SUBSTITUTE ($T1007,I$1&amp;"" CE"",""""), I$1&amp;""[\w &amp;]*, (\d+\.\d+)""),"""")
"),"")</f>
        <v/>
      </c>
      <c r="J1007" s="3" t="str">
        <f aca="false">IFERROR(__xludf.dummyfunction("if($T1007&lt;&gt;"""",REGEXEXTRACT($T1007, J$1&amp;""[\w &amp;]*, (\d+\.\d+)""),"""")
"),"")</f>
        <v/>
      </c>
      <c r="K1007" s="3"/>
      <c r="L1007" s="3" t="str">
        <f aca="false">IFERROR(__xludf.dummyfunction("if($T1007&lt;&gt;"""",REGEXEXTRACT(SUBSTITUTE ($T1007,L$1&amp;"" CE"",""""), L$1&amp;""[\w &amp;]*, (\d+\.\d+)""),"""")
"),"")</f>
        <v/>
      </c>
      <c r="M1007" s="3" t="str">
        <f aca="false">IFERROR(__xludf.dummyfunction("if($T1007&lt;&gt;"""",REGEXEXTRACT($T1007, M$1&amp;""[\w &amp;]*, (\d+\.\d+)""),"""")
"),"")</f>
        <v/>
      </c>
      <c r="N1007" s="3" t="str">
        <f aca="false">IFERROR(__xludf.dummyfunction("if($T1007&lt;&gt;"""",REGEXEXTRACT(SUBSTITUTE ($T1007,N$1&amp;"" CE"",""""), N$1&amp;""[\w &amp;]*, (\d+\.\d+)""),"""")
"),"")</f>
        <v/>
      </c>
      <c r="O1007" s="3" t="str">
        <f aca="false">IFERROR(__xludf.dummyfunction("if($T1007&lt;&gt;"""",REGEXEXTRACT($T1007, O$1&amp;""[\w &amp;]*, (\d+\.\d+)""),"""")
"),"")</f>
        <v/>
      </c>
      <c r="P1007" s="2"/>
      <c r="Q1007" s="2"/>
      <c r="R1007" s="2"/>
      <c r="S1007" s="2"/>
      <c r="T1007" s="5"/>
    </row>
    <row r="1008" customFormat="false" ht="15.75" hidden="false" customHeight="false" outlineLevel="0" collapsed="false">
      <c r="A1008" s="4"/>
      <c r="B1008" s="2"/>
      <c r="C1008" s="2"/>
      <c r="D1008" s="2"/>
      <c r="E1008" s="2"/>
      <c r="F1008" s="3" t="str">
        <f aca="false">IFERROR(__xludf.dummyfunction("if($T1008&lt;&gt;"""",REGEXEXTRACT(SUBSTITUTE ($T1008,F$1&amp;"" CE"",""""), F$1&amp;""[\w &amp;]*, (\d+\.\d+)""),"""")
"),"")</f>
        <v/>
      </c>
      <c r="G1008" s="3" t="str">
        <f aca="false">IFERROR(__xludf.dummyfunction("if($T1008&lt;&gt;"""",REGEXEXTRACT($T1008, G$1&amp;""[\w &amp;]*, (\d+\.\d+)""),"""")
"),"")</f>
        <v/>
      </c>
      <c r="H1008" s="3"/>
      <c r="I1008" s="3" t="str">
        <f aca="false">IFERROR(__xludf.dummyfunction("if($T1008&lt;&gt;"""",REGEXEXTRACT(SUBSTITUTE ($T1008,I$1&amp;"" CE"",""""), I$1&amp;""[\w &amp;]*, (\d+\.\d+)""),"""")
"),"")</f>
        <v/>
      </c>
      <c r="J1008" s="3" t="str">
        <f aca="false">IFERROR(__xludf.dummyfunction("if($T1008&lt;&gt;"""",REGEXEXTRACT($T1008, J$1&amp;""[\w &amp;]*, (\d+\.\d+)""),"""")
"),"")</f>
        <v/>
      </c>
      <c r="K1008" s="3"/>
      <c r="L1008" s="3" t="str">
        <f aca="false">IFERROR(__xludf.dummyfunction("if($T1008&lt;&gt;"""",REGEXEXTRACT(SUBSTITUTE ($T1008,L$1&amp;"" CE"",""""), L$1&amp;""[\w &amp;]*, (\d+\.\d+)""),"""")
"),"")</f>
        <v/>
      </c>
      <c r="M1008" s="3" t="str">
        <f aca="false">IFERROR(__xludf.dummyfunction("if($T1008&lt;&gt;"""",REGEXEXTRACT($T1008, M$1&amp;""[\w &amp;]*, (\d+\.\d+)""),"""")
"),"")</f>
        <v/>
      </c>
      <c r="N1008" s="3" t="str">
        <f aca="false">IFERROR(__xludf.dummyfunction("if($T1008&lt;&gt;"""",REGEXEXTRACT(SUBSTITUTE ($T1008,N$1&amp;"" CE"",""""), N$1&amp;""[\w &amp;]*, (\d+\.\d+)""),"""")
"),"")</f>
        <v/>
      </c>
      <c r="O1008" s="3" t="str">
        <f aca="false">IFERROR(__xludf.dummyfunction("if($T1008&lt;&gt;"""",REGEXEXTRACT($T1008, O$1&amp;""[\w &amp;]*, (\d+\.\d+)""),"""")
"),"")</f>
        <v/>
      </c>
      <c r="P1008" s="2"/>
      <c r="Q1008" s="2"/>
      <c r="R1008" s="2"/>
      <c r="S1008" s="2"/>
      <c r="T1008" s="5"/>
    </row>
    <row r="1009" customFormat="false" ht="15.75" hidden="false" customHeight="false" outlineLevel="0" collapsed="false">
      <c r="A1009" s="4"/>
      <c r="B1009" s="2"/>
      <c r="C1009" s="2"/>
      <c r="D1009" s="2"/>
      <c r="E1009" s="2"/>
      <c r="F1009" s="3" t="str">
        <f aca="false">IFERROR(__xludf.dummyfunction("if($T1009&lt;&gt;"""",REGEXEXTRACT(SUBSTITUTE ($T1009,F$1&amp;"" CE"",""""), F$1&amp;""[\w &amp;]*, (\d+\.\d+)""),"""")
"),"")</f>
        <v/>
      </c>
      <c r="G1009" s="3" t="str">
        <f aca="false">IFERROR(__xludf.dummyfunction("if($T1009&lt;&gt;"""",REGEXEXTRACT($T1009, G$1&amp;""[\w &amp;]*, (\d+\.\d+)""),"""")
"),"")</f>
        <v/>
      </c>
      <c r="H1009" s="3"/>
      <c r="I1009" s="3" t="str">
        <f aca="false">IFERROR(__xludf.dummyfunction("if($T1009&lt;&gt;"""",REGEXEXTRACT(SUBSTITUTE ($T1009,I$1&amp;"" CE"",""""), I$1&amp;""[\w &amp;]*, (\d+\.\d+)""),"""")
"),"")</f>
        <v/>
      </c>
      <c r="J1009" s="3" t="str">
        <f aca="false">IFERROR(__xludf.dummyfunction("if($T1009&lt;&gt;"""",REGEXEXTRACT($T1009, J$1&amp;""[\w &amp;]*, (\d+\.\d+)""),"""")
"),"")</f>
        <v/>
      </c>
      <c r="K1009" s="3"/>
      <c r="L1009" s="3" t="str">
        <f aca="false">IFERROR(__xludf.dummyfunction("if($T1009&lt;&gt;"""",REGEXEXTRACT(SUBSTITUTE ($T1009,L$1&amp;"" CE"",""""), L$1&amp;""[\w &amp;]*, (\d+\.\d+)""),"""")
"),"")</f>
        <v/>
      </c>
      <c r="M1009" s="3" t="str">
        <f aca="false">IFERROR(__xludf.dummyfunction("if($T1009&lt;&gt;"""",REGEXEXTRACT($T1009, M$1&amp;""[\w &amp;]*, (\d+\.\d+)""),"""")
"),"")</f>
        <v/>
      </c>
      <c r="N1009" s="3" t="str">
        <f aca="false">IFERROR(__xludf.dummyfunction("if($T1009&lt;&gt;"""",REGEXEXTRACT(SUBSTITUTE ($T1009,N$1&amp;"" CE"",""""), N$1&amp;""[\w &amp;]*, (\d+\.\d+)""),"""")
"),"")</f>
        <v/>
      </c>
      <c r="O1009" s="3" t="str">
        <f aca="false">IFERROR(__xludf.dummyfunction("if($T1009&lt;&gt;"""",REGEXEXTRACT($T1009, O$1&amp;""[\w &amp;]*, (\d+\.\d+)""),"""")
"),"")</f>
        <v/>
      </c>
      <c r="P1009" s="2"/>
      <c r="Q1009" s="2"/>
      <c r="R1009" s="2"/>
      <c r="S1009" s="2"/>
      <c r="T1009" s="5"/>
    </row>
    <row r="1010" customFormat="false" ht="15.75" hidden="false" customHeight="false" outlineLevel="0" collapsed="false">
      <c r="A1010" s="4"/>
      <c r="B1010" s="2"/>
      <c r="C1010" s="2"/>
      <c r="D1010" s="2"/>
      <c r="E1010" s="2"/>
      <c r="F1010" s="3" t="str">
        <f aca="false">IFERROR(__xludf.dummyfunction("if($T1010&lt;&gt;"""",REGEXEXTRACT(SUBSTITUTE ($T1010,F$1&amp;"" CE"",""""), F$1&amp;""[\w &amp;]*, (\d+\.\d+)""),"""")
"),"")</f>
        <v/>
      </c>
      <c r="G1010" s="3" t="str">
        <f aca="false">IFERROR(__xludf.dummyfunction("if($T1010&lt;&gt;"""",REGEXEXTRACT($T1010, G$1&amp;""[\w &amp;]*, (\d+\.\d+)""),"""")
"),"")</f>
        <v/>
      </c>
      <c r="H1010" s="3"/>
      <c r="I1010" s="3" t="str">
        <f aca="false">IFERROR(__xludf.dummyfunction("if($T1010&lt;&gt;"""",REGEXEXTRACT(SUBSTITUTE ($T1010,I$1&amp;"" CE"",""""), I$1&amp;""[\w &amp;]*, (\d+\.\d+)""),"""")
"),"")</f>
        <v/>
      </c>
      <c r="J1010" s="3" t="str">
        <f aca="false">IFERROR(__xludf.dummyfunction("if($T1010&lt;&gt;"""",REGEXEXTRACT($T1010, J$1&amp;""[\w &amp;]*, (\d+\.\d+)""),"""")
"),"")</f>
        <v/>
      </c>
      <c r="K1010" s="3"/>
      <c r="L1010" s="3" t="str">
        <f aca="false">IFERROR(__xludf.dummyfunction("if($T1010&lt;&gt;"""",REGEXEXTRACT(SUBSTITUTE ($T1010,L$1&amp;"" CE"",""""), L$1&amp;""[\w &amp;]*, (\d+\.\d+)""),"""")
"),"")</f>
        <v/>
      </c>
      <c r="M1010" s="3" t="str">
        <f aca="false">IFERROR(__xludf.dummyfunction("if($T1010&lt;&gt;"""",REGEXEXTRACT($T1010, M$1&amp;""[\w &amp;]*, (\d+\.\d+)""),"""")
"),"")</f>
        <v/>
      </c>
      <c r="N1010" s="3" t="str">
        <f aca="false">IFERROR(__xludf.dummyfunction("if($T1010&lt;&gt;"""",REGEXEXTRACT(SUBSTITUTE ($T1010,N$1&amp;"" CE"",""""), N$1&amp;""[\w &amp;]*, (\d+\.\d+)""),"""")
"),"")</f>
        <v/>
      </c>
      <c r="O1010" s="3" t="str">
        <f aca="false">IFERROR(__xludf.dummyfunction("if($T1010&lt;&gt;"""",REGEXEXTRACT($T1010, O$1&amp;""[\w &amp;]*, (\d+\.\d+)""),"""")
"),"")</f>
        <v/>
      </c>
      <c r="P1010" s="2"/>
      <c r="Q1010" s="2"/>
      <c r="R1010" s="2"/>
      <c r="S1010" s="2"/>
      <c r="T1010" s="5"/>
    </row>
    <row r="1011" customFormat="false" ht="15.75" hidden="false" customHeight="false" outlineLevel="0" collapsed="false">
      <c r="A1011" s="4"/>
      <c r="B1011" s="2"/>
      <c r="C1011" s="2"/>
      <c r="D1011" s="2"/>
      <c r="E1011" s="2"/>
      <c r="F1011" s="3" t="str">
        <f aca="false">IFERROR(__xludf.dummyfunction("if($T1011&lt;&gt;"""",REGEXEXTRACT(SUBSTITUTE ($T1011,F$1&amp;"" CE"",""""), F$1&amp;""[\w &amp;]*, (\d+\.\d+)""),"""")
"),"")</f>
        <v/>
      </c>
      <c r="G1011" s="3" t="str">
        <f aca="false">IFERROR(__xludf.dummyfunction("if($T1011&lt;&gt;"""",REGEXEXTRACT($T1011, G$1&amp;""[\w &amp;]*, (\d+\.\d+)""),"""")
"),"")</f>
        <v/>
      </c>
      <c r="H1011" s="3"/>
      <c r="I1011" s="3" t="str">
        <f aca="false">IFERROR(__xludf.dummyfunction("if($T1011&lt;&gt;"""",REGEXEXTRACT(SUBSTITUTE ($T1011,I$1&amp;"" CE"",""""), I$1&amp;""[\w &amp;]*, (\d+\.\d+)""),"""")
"),"")</f>
        <v/>
      </c>
      <c r="J1011" s="3" t="str">
        <f aca="false">IFERROR(__xludf.dummyfunction("if($T1011&lt;&gt;"""",REGEXEXTRACT($T1011, J$1&amp;""[\w &amp;]*, (\d+\.\d+)""),"""")
"),"")</f>
        <v/>
      </c>
      <c r="K1011" s="3"/>
      <c r="L1011" s="3" t="str">
        <f aca="false">IFERROR(__xludf.dummyfunction("if($T1011&lt;&gt;"""",REGEXEXTRACT(SUBSTITUTE ($T1011,L$1&amp;"" CE"",""""), L$1&amp;""[\w &amp;]*, (\d+\.\d+)""),"""")
"),"")</f>
        <v/>
      </c>
      <c r="M1011" s="3" t="str">
        <f aca="false">IFERROR(__xludf.dummyfunction("if($T1011&lt;&gt;"""",REGEXEXTRACT($T1011, M$1&amp;""[\w &amp;]*, (\d+\.\d+)""),"""")
"),"")</f>
        <v/>
      </c>
      <c r="N1011" s="3" t="str">
        <f aca="false">IFERROR(__xludf.dummyfunction("if($T1011&lt;&gt;"""",REGEXEXTRACT(SUBSTITUTE ($T1011,N$1&amp;"" CE"",""""), N$1&amp;""[\w &amp;]*, (\d+\.\d+)""),"""")
"),"")</f>
        <v/>
      </c>
      <c r="O1011" s="3" t="str">
        <f aca="false">IFERROR(__xludf.dummyfunction("if($T1011&lt;&gt;"""",REGEXEXTRACT($T1011, O$1&amp;""[\w &amp;]*, (\d+\.\d+)""),"""")
"),"")</f>
        <v/>
      </c>
      <c r="P1011" s="2"/>
      <c r="Q1011" s="2"/>
      <c r="R1011" s="2"/>
      <c r="S1011" s="2"/>
      <c r="T1011" s="5"/>
    </row>
    <row r="1012" customFormat="false" ht="15.75" hidden="false" customHeight="false" outlineLevel="0" collapsed="false">
      <c r="A1012" s="4"/>
      <c r="B1012" s="2"/>
      <c r="C1012" s="2"/>
      <c r="D1012" s="2"/>
      <c r="E1012" s="2"/>
      <c r="F1012" s="3" t="str">
        <f aca="false">IFERROR(__xludf.dummyfunction("if($T1012&lt;&gt;"""",REGEXEXTRACT(SUBSTITUTE ($T1012,F$1&amp;"" CE"",""""), F$1&amp;""[\w &amp;]*, (\d+\.\d+)""),"""")
"),"")</f>
        <v/>
      </c>
      <c r="G1012" s="3" t="str">
        <f aca="false">IFERROR(__xludf.dummyfunction("if($T1012&lt;&gt;"""",REGEXEXTRACT($T1012, G$1&amp;""[\w &amp;]*, (\d+\.\d+)""),"""")
"),"")</f>
        <v/>
      </c>
      <c r="H1012" s="3"/>
      <c r="I1012" s="3" t="str">
        <f aca="false">IFERROR(__xludf.dummyfunction("if($T1012&lt;&gt;"""",REGEXEXTRACT(SUBSTITUTE ($T1012,I$1&amp;"" CE"",""""), I$1&amp;""[\w &amp;]*, (\d+\.\d+)""),"""")
"),"")</f>
        <v/>
      </c>
      <c r="J1012" s="3" t="str">
        <f aca="false">IFERROR(__xludf.dummyfunction("if($T1012&lt;&gt;"""",REGEXEXTRACT($T1012, J$1&amp;""[\w &amp;]*, (\d+\.\d+)""),"""")
"),"")</f>
        <v/>
      </c>
      <c r="K1012" s="3"/>
      <c r="L1012" s="3" t="str">
        <f aca="false">IFERROR(__xludf.dummyfunction("if($T1012&lt;&gt;"""",REGEXEXTRACT(SUBSTITUTE ($T1012,L$1&amp;"" CE"",""""), L$1&amp;""[\w &amp;]*, (\d+\.\d+)""),"""")
"),"")</f>
        <v/>
      </c>
      <c r="M1012" s="3" t="str">
        <f aca="false">IFERROR(__xludf.dummyfunction("if($T1012&lt;&gt;"""",REGEXEXTRACT($T1012, M$1&amp;""[\w &amp;]*, (\d+\.\d+)""),"""")
"),"")</f>
        <v/>
      </c>
      <c r="N1012" s="3" t="str">
        <f aca="false">IFERROR(__xludf.dummyfunction("if($T1012&lt;&gt;"""",REGEXEXTRACT(SUBSTITUTE ($T1012,N$1&amp;"" CE"",""""), N$1&amp;""[\w &amp;]*, (\d+\.\d+)""),"""")
"),"")</f>
        <v/>
      </c>
      <c r="O1012" s="3" t="str">
        <f aca="false">IFERROR(__xludf.dummyfunction("if($T1012&lt;&gt;"""",REGEXEXTRACT($T1012, O$1&amp;""[\w &amp;]*, (\d+\.\d+)""),"""")
"),"")</f>
        <v/>
      </c>
      <c r="P1012" s="2"/>
      <c r="Q1012" s="2"/>
      <c r="R1012" s="2"/>
      <c r="S1012" s="2"/>
      <c r="T1012" s="5"/>
    </row>
    <row r="1013" customFormat="false" ht="15.75" hidden="false" customHeight="false" outlineLevel="0" collapsed="false">
      <c r="A1013" s="4"/>
      <c r="B1013" s="2"/>
      <c r="C1013" s="2"/>
      <c r="D1013" s="2"/>
      <c r="E1013" s="2"/>
      <c r="F1013" s="3" t="str">
        <f aca="false">IFERROR(__xludf.dummyfunction("if($T1013&lt;&gt;"""",REGEXEXTRACT(SUBSTITUTE ($T1013,F$1&amp;"" CE"",""""), F$1&amp;""[\w &amp;]*, (\d+\.\d+)""),"""")
"),"")</f>
        <v/>
      </c>
      <c r="G1013" s="3" t="str">
        <f aca="false">IFERROR(__xludf.dummyfunction("if($T1013&lt;&gt;"""",REGEXEXTRACT($T1013, G$1&amp;""[\w &amp;]*, (\d+\.\d+)""),"""")
"),"")</f>
        <v/>
      </c>
      <c r="H1013" s="3"/>
      <c r="I1013" s="3" t="str">
        <f aca="false">IFERROR(__xludf.dummyfunction("if($T1013&lt;&gt;"""",REGEXEXTRACT(SUBSTITUTE ($T1013,I$1&amp;"" CE"",""""), I$1&amp;""[\w &amp;]*, (\d+\.\d+)""),"""")
"),"")</f>
        <v/>
      </c>
      <c r="J1013" s="3" t="str">
        <f aca="false">IFERROR(__xludf.dummyfunction("if($T1013&lt;&gt;"""",REGEXEXTRACT($T1013, J$1&amp;""[\w &amp;]*, (\d+\.\d+)""),"""")
"),"")</f>
        <v/>
      </c>
      <c r="K1013" s="3"/>
      <c r="L1013" s="3" t="str">
        <f aca="false">IFERROR(__xludf.dummyfunction("if($T1013&lt;&gt;"""",REGEXEXTRACT(SUBSTITUTE ($T1013,L$1&amp;"" CE"",""""), L$1&amp;""[\w &amp;]*, (\d+\.\d+)""),"""")
"),"")</f>
        <v/>
      </c>
      <c r="M1013" s="3" t="str">
        <f aca="false">IFERROR(__xludf.dummyfunction("if($T1013&lt;&gt;"""",REGEXEXTRACT($T1013, M$1&amp;""[\w &amp;]*, (\d+\.\d+)""),"""")
"),"")</f>
        <v/>
      </c>
      <c r="N1013" s="3" t="str">
        <f aca="false">IFERROR(__xludf.dummyfunction("if($T1013&lt;&gt;"""",REGEXEXTRACT(SUBSTITUTE ($T1013,N$1&amp;"" CE"",""""), N$1&amp;""[\w &amp;]*, (\d+\.\d+)""),"""")
"),"")</f>
        <v/>
      </c>
      <c r="O1013" s="3" t="str">
        <f aca="false">IFERROR(__xludf.dummyfunction("if($T1013&lt;&gt;"""",REGEXEXTRACT($T1013, O$1&amp;""[\w &amp;]*, (\d+\.\d+)""),"""")
"),"")</f>
        <v/>
      </c>
      <c r="P1013" s="2"/>
      <c r="Q1013" s="2"/>
      <c r="R1013" s="2"/>
      <c r="S1013" s="2"/>
      <c r="T1013" s="5"/>
    </row>
    <row r="1014" customFormat="false" ht="15.75" hidden="false" customHeight="false" outlineLevel="0" collapsed="false">
      <c r="A1014" s="4"/>
      <c r="B1014" s="2"/>
      <c r="C1014" s="2"/>
      <c r="D1014" s="2"/>
      <c r="E1014" s="2"/>
      <c r="F1014" s="3" t="str">
        <f aca="false">IFERROR(__xludf.dummyfunction("if($T1014&lt;&gt;"""",REGEXEXTRACT(SUBSTITUTE ($T1014,F$1&amp;"" CE"",""""), F$1&amp;""[\w &amp;]*, (\d+\.\d+)""),"""")
"),"")</f>
        <v/>
      </c>
      <c r="G1014" s="3" t="str">
        <f aca="false">IFERROR(__xludf.dummyfunction("if($T1014&lt;&gt;"""",REGEXEXTRACT($T1014, G$1&amp;""[\w &amp;]*, (\d+\.\d+)""),"""")
"),"")</f>
        <v/>
      </c>
      <c r="H1014" s="3"/>
      <c r="I1014" s="3" t="str">
        <f aca="false">IFERROR(__xludf.dummyfunction("if($T1014&lt;&gt;"""",REGEXEXTRACT(SUBSTITUTE ($T1014,I$1&amp;"" CE"",""""), I$1&amp;""[\w &amp;]*, (\d+\.\d+)""),"""")
"),"")</f>
        <v/>
      </c>
      <c r="J1014" s="3" t="str">
        <f aca="false">IFERROR(__xludf.dummyfunction("if($T1014&lt;&gt;"""",REGEXEXTRACT($T1014, J$1&amp;""[\w &amp;]*, (\d+\.\d+)""),"""")
"),"")</f>
        <v/>
      </c>
      <c r="K1014" s="3"/>
      <c r="L1014" s="3" t="str">
        <f aca="false">IFERROR(__xludf.dummyfunction("if($T1014&lt;&gt;"""",REGEXEXTRACT(SUBSTITUTE ($T1014,L$1&amp;"" CE"",""""), L$1&amp;""[\w &amp;]*, (\d+\.\d+)""),"""")
"),"")</f>
        <v/>
      </c>
      <c r="M1014" s="3" t="str">
        <f aca="false">IFERROR(__xludf.dummyfunction("if($T1014&lt;&gt;"""",REGEXEXTRACT($T1014, M$1&amp;""[\w &amp;]*, (\d+\.\d+)""),"""")
"),"")</f>
        <v/>
      </c>
      <c r="N1014" s="3" t="str">
        <f aca="false">IFERROR(__xludf.dummyfunction("if($T1014&lt;&gt;"""",REGEXEXTRACT(SUBSTITUTE ($T1014,N$1&amp;"" CE"",""""), N$1&amp;""[\w &amp;]*, (\d+\.\d+)""),"""")
"),"")</f>
        <v/>
      </c>
      <c r="O1014" s="3" t="str">
        <f aca="false">IFERROR(__xludf.dummyfunction("if($T1014&lt;&gt;"""",REGEXEXTRACT($T1014, O$1&amp;""[\w &amp;]*, (\d+\.\d+)""),"""")
"),"")</f>
        <v/>
      </c>
      <c r="P1014" s="2"/>
      <c r="Q1014" s="2"/>
      <c r="R1014" s="2"/>
      <c r="S1014" s="2"/>
      <c r="T1014" s="5"/>
    </row>
    <row r="1015" customFormat="false" ht="15.75" hidden="false" customHeight="false" outlineLevel="0" collapsed="false">
      <c r="A1015" s="4"/>
      <c r="B1015" s="2"/>
      <c r="C1015" s="2"/>
      <c r="D1015" s="2"/>
      <c r="E1015" s="2"/>
      <c r="F1015" s="3" t="str">
        <f aca="false">IFERROR(__xludf.dummyfunction("if($T1015&lt;&gt;"""",REGEXEXTRACT(SUBSTITUTE ($T1015,F$1&amp;"" CE"",""""), F$1&amp;""[\w &amp;]*, (\d+\.\d+)""),"""")
"),"")</f>
        <v/>
      </c>
      <c r="G1015" s="3" t="str">
        <f aca="false">IFERROR(__xludf.dummyfunction("if($T1015&lt;&gt;"""",REGEXEXTRACT($T1015, G$1&amp;""[\w &amp;]*, (\d+\.\d+)""),"""")
"),"")</f>
        <v/>
      </c>
      <c r="H1015" s="3"/>
      <c r="I1015" s="3" t="str">
        <f aca="false">IFERROR(__xludf.dummyfunction("if($T1015&lt;&gt;"""",REGEXEXTRACT(SUBSTITUTE ($T1015,I$1&amp;"" CE"",""""), I$1&amp;""[\w &amp;]*, (\d+\.\d+)""),"""")
"),"")</f>
        <v/>
      </c>
      <c r="J1015" s="3" t="str">
        <f aca="false">IFERROR(__xludf.dummyfunction("if($T1015&lt;&gt;"""",REGEXEXTRACT($T1015, J$1&amp;""[\w &amp;]*, (\d+\.\d+)""),"""")
"),"")</f>
        <v/>
      </c>
      <c r="K1015" s="3"/>
      <c r="L1015" s="3" t="str">
        <f aca="false">IFERROR(__xludf.dummyfunction("if($T1015&lt;&gt;"""",REGEXEXTRACT(SUBSTITUTE ($T1015,L$1&amp;"" CE"",""""), L$1&amp;""[\w &amp;]*, (\d+\.\d+)""),"""")
"),"")</f>
        <v/>
      </c>
      <c r="M1015" s="3" t="str">
        <f aca="false">IFERROR(__xludf.dummyfunction("if($T1015&lt;&gt;"""",REGEXEXTRACT($T1015, M$1&amp;""[\w &amp;]*, (\d+\.\d+)""),"""")
"),"")</f>
        <v/>
      </c>
      <c r="N1015" s="3" t="str">
        <f aca="false">IFERROR(__xludf.dummyfunction("if($T1015&lt;&gt;"""",REGEXEXTRACT(SUBSTITUTE ($T1015,N$1&amp;"" CE"",""""), N$1&amp;""[\w &amp;]*, (\d+\.\d+)""),"""")
"),"")</f>
        <v/>
      </c>
      <c r="O1015" s="3" t="str">
        <f aca="false">IFERROR(__xludf.dummyfunction("if($T1015&lt;&gt;"""",REGEXEXTRACT($T1015, O$1&amp;""[\w &amp;]*, (\d+\.\d+)""),"""")
"),"")</f>
        <v/>
      </c>
      <c r="P1015" s="2"/>
      <c r="Q1015" s="2"/>
      <c r="R1015" s="2"/>
      <c r="S1015" s="2"/>
      <c r="T1015" s="5"/>
    </row>
    <row r="1016" customFormat="false" ht="15.75" hidden="false" customHeight="false" outlineLevel="0" collapsed="false">
      <c r="A1016" s="4"/>
      <c r="B1016" s="2"/>
      <c r="C1016" s="2"/>
      <c r="D1016" s="2"/>
      <c r="E1016" s="2"/>
      <c r="F1016" s="3" t="str">
        <f aca="false">IFERROR(__xludf.dummyfunction("if($T1016&lt;&gt;"""",REGEXEXTRACT(SUBSTITUTE ($T1016,F$1&amp;"" CE"",""""), F$1&amp;""[\w &amp;]*, (\d+\.\d+)""),"""")
"),"")</f>
        <v/>
      </c>
      <c r="G1016" s="3" t="str">
        <f aca="false">IFERROR(__xludf.dummyfunction("if($T1016&lt;&gt;"""",REGEXEXTRACT($T1016, G$1&amp;""[\w &amp;]*, (\d+\.\d+)""),"""")
"),"")</f>
        <v/>
      </c>
      <c r="H1016" s="3"/>
      <c r="I1016" s="3" t="str">
        <f aca="false">IFERROR(__xludf.dummyfunction("if($T1016&lt;&gt;"""",REGEXEXTRACT(SUBSTITUTE ($T1016,I$1&amp;"" CE"",""""), I$1&amp;""[\w &amp;]*, (\d+\.\d+)""),"""")
"),"")</f>
        <v/>
      </c>
      <c r="J1016" s="3" t="str">
        <f aca="false">IFERROR(__xludf.dummyfunction("if($T1016&lt;&gt;"""",REGEXEXTRACT($T1016, J$1&amp;""[\w &amp;]*, (\d+\.\d+)""),"""")
"),"")</f>
        <v/>
      </c>
      <c r="K1016" s="3"/>
      <c r="L1016" s="3" t="str">
        <f aca="false">IFERROR(__xludf.dummyfunction("if($T1016&lt;&gt;"""",REGEXEXTRACT(SUBSTITUTE ($T1016,L$1&amp;"" CE"",""""), L$1&amp;""[\w &amp;]*, (\d+\.\d+)""),"""")
"),"")</f>
        <v/>
      </c>
      <c r="M1016" s="3" t="str">
        <f aca="false">IFERROR(__xludf.dummyfunction("if($T1016&lt;&gt;"""",REGEXEXTRACT($T1016, M$1&amp;""[\w &amp;]*, (\d+\.\d+)""),"""")
"),"")</f>
        <v/>
      </c>
      <c r="N1016" s="3" t="str">
        <f aca="false">IFERROR(__xludf.dummyfunction("if($T1016&lt;&gt;"""",REGEXEXTRACT(SUBSTITUTE ($T1016,N$1&amp;"" CE"",""""), N$1&amp;""[\w &amp;]*, (\d+\.\d+)""),"""")
"),"")</f>
        <v/>
      </c>
      <c r="O1016" s="3" t="str">
        <f aca="false">IFERROR(__xludf.dummyfunction("if($T1016&lt;&gt;"""",REGEXEXTRACT($T1016, O$1&amp;""[\w &amp;]*, (\d+\.\d+)""),"""")
"),"")</f>
        <v/>
      </c>
      <c r="P1016" s="2"/>
      <c r="Q1016" s="2"/>
      <c r="R1016" s="2"/>
      <c r="S1016" s="2"/>
      <c r="T1016" s="5"/>
    </row>
    <row r="1017" customFormat="false" ht="15.75" hidden="false" customHeight="false" outlineLevel="0" collapsed="false">
      <c r="A1017" s="4"/>
      <c r="B1017" s="2"/>
      <c r="C1017" s="2"/>
      <c r="D1017" s="2"/>
      <c r="E1017" s="2"/>
      <c r="F1017" s="3" t="str">
        <f aca="false">IFERROR(__xludf.dummyfunction("if($T1017&lt;&gt;"""",REGEXEXTRACT(SUBSTITUTE ($T1017,F$1&amp;"" CE"",""""), F$1&amp;""[\w &amp;]*, (\d+\.\d+)""),"""")
"),"")</f>
        <v/>
      </c>
      <c r="G1017" s="3" t="str">
        <f aca="false">IFERROR(__xludf.dummyfunction("if($T1017&lt;&gt;"""",REGEXEXTRACT($T1017, G$1&amp;""[\w &amp;]*, (\d+\.\d+)""),"""")
"),"")</f>
        <v/>
      </c>
      <c r="H1017" s="3"/>
      <c r="I1017" s="3" t="str">
        <f aca="false">IFERROR(__xludf.dummyfunction("if($T1017&lt;&gt;"""",REGEXEXTRACT(SUBSTITUTE ($T1017,I$1&amp;"" CE"",""""), I$1&amp;""[\w &amp;]*, (\d+\.\d+)""),"""")
"),"")</f>
        <v/>
      </c>
      <c r="J1017" s="3" t="str">
        <f aca="false">IFERROR(__xludf.dummyfunction("if($T1017&lt;&gt;"""",REGEXEXTRACT($T1017, J$1&amp;""[\w &amp;]*, (\d+\.\d+)""),"""")
"),"")</f>
        <v/>
      </c>
      <c r="K1017" s="3"/>
      <c r="L1017" s="3" t="str">
        <f aca="false">IFERROR(__xludf.dummyfunction("if($T1017&lt;&gt;"""",REGEXEXTRACT(SUBSTITUTE ($T1017,L$1&amp;"" CE"",""""), L$1&amp;""[\w &amp;]*, (\d+\.\d+)""),"""")
"),"")</f>
        <v/>
      </c>
      <c r="M1017" s="3" t="str">
        <f aca="false">IFERROR(__xludf.dummyfunction("if($T1017&lt;&gt;"""",REGEXEXTRACT($T1017, M$1&amp;""[\w &amp;]*, (\d+\.\d+)""),"""")
"),"")</f>
        <v/>
      </c>
      <c r="N1017" s="3" t="str">
        <f aca="false">IFERROR(__xludf.dummyfunction("if($T1017&lt;&gt;"""",REGEXEXTRACT(SUBSTITUTE ($T1017,N$1&amp;"" CE"",""""), N$1&amp;""[\w &amp;]*, (\d+\.\d+)""),"""")
"),"")</f>
        <v/>
      </c>
      <c r="O1017" s="3" t="str">
        <f aca="false">IFERROR(__xludf.dummyfunction("if($T1017&lt;&gt;"""",REGEXEXTRACT($T1017, O$1&amp;""[\w &amp;]*, (\d+\.\d+)""),"""")
"),"")</f>
        <v/>
      </c>
      <c r="P1017" s="2"/>
      <c r="Q1017" s="2"/>
      <c r="R1017" s="2"/>
      <c r="S1017" s="2"/>
      <c r="T1017" s="5"/>
    </row>
    <row r="1018" customFormat="false" ht="15.75" hidden="false" customHeight="false" outlineLevel="0" collapsed="false">
      <c r="A1018" s="4"/>
      <c r="B1018" s="2"/>
      <c r="C1018" s="2"/>
      <c r="D1018" s="2"/>
      <c r="E1018" s="2"/>
      <c r="F1018" s="3" t="str">
        <f aca="false">IFERROR(__xludf.dummyfunction("if($T1018&lt;&gt;"""",REGEXEXTRACT(SUBSTITUTE ($T1018,F$1&amp;"" CE"",""""), F$1&amp;""[\w &amp;]*, (\d+\.\d+)""),"""")
"),"")</f>
        <v/>
      </c>
      <c r="G1018" s="3" t="str">
        <f aca="false">IFERROR(__xludf.dummyfunction("if($T1018&lt;&gt;"""",REGEXEXTRACT($T1018, G$1&amp;""[\w &amp;]*, (\d+\.\d+)""),"""")
"),"")</f>
        <v/>
      </c>
      <c r="H1018" s="3"/>
      <c r="I1018" s="3" t="str">
        <f aca="false">IFERROR(__xludf.dummyfunction("if($T1018&lt;&gt;"""",REGEXEXTRACT(SUBSTITUTE ($T1018,I$1&amp;"" CE"",""""), I$1&amp;""[\w &amp;]*, (\d+\.\d+)""),"""")
"),"")</f>
        <v/>
      </c>
      <c r="J1018" s="3" t="str">
        <f aca="false">IFERROR(__xludf.dummyfunction("if($T1018&lt;&gt;"""",REGEXEXTRACT($T1018, J$1&amp;""[\w &amp;]*, (\d+\.\d+)""),"""")
"),"")</f>
        <v/>
      </c>
      <c r="K1018" s="3"/>
      <c r="L1018" s="3" t="str">
        <f aca="false">IFERROR(__xludf.dummyfunction("if($T1018&lt;&gt;"""",REGEXEXTRACT(SUBSTITUTE ($T1018,L$1&amp;"" CE"",""""), L$1&amp;""[\w &amp;]*, (\d+\.\d+)""),"""")
"),"")</f>
        <v/>
      </c>
      <c r="M1018" s="3" t="str">
        <f aca="false">IFERROR(__xludf.dummyfunction("if($T1018&lt;&gt;"""",REGEXEXTRACT($T1018, M$1&amp;""[\w &amp;]*, (\d+\.\d+)""),"""")
"),"")</f>
        <v/>
      </c>
      <c r="N1018" s="3" t="str">
        <f aca="false">IFERROR(__xludf.dummyfunction("if($T1018&lt;&gt;"""",REGEXEXTRACT(SUBSTITUTE ($T1018,N$1&amp;"" CE"",""""), N$1&amp;""[\w &amp;]*, (\d+\.\d+)""),"""")
"),"")</f>
        <v/>
      </c>
      <c r="O1018" s="3" t="str">
        <f aca="false">IFERROR(__xludf.dummyfunction("if($T1018&lt;&gt;"""",REGEXEXTRACT($T1018, O$1&amp;""[\w &amp;]*, (\d+\.\d+)""),"""")
"),"")</f>
        <v/>
      </c>
      <c r="P1018" s="2"/>
      <c r="Q1018" s="2"/>
      <c r="R1018" s="2"/>
      <c r="S1018" s="2"/>
      <c r="T1018" s="5"/>
    </row>
    <row r="1019" customFormat="false" ht="15.75" hidden="false" customHeight="false" outlineLevel="0" collapsed="false">
      <c r="A1019" s="4"/>
      <c r="B1019" s="2"/>
      <c r="C1019" s="2"/>
      <c r="D1019" s="2"/>
      <c r="E1019" s="2"/>
      <c r="F1019" s="3" t="str">
        <f aca="false">IFERROR(__xludf.dummyfunction("if($T1019&lt;&gt;"""",REGEXEXTRACT(SUBSTITUTE ($T1019,F$1&amp;"" CE"",""""), F$1&amp;""[\w &amp;]*, (\d+\.\d+)""),"""")
"),"")</f>
        <v/>
      </c>
      <c r="G1019" s="3" t="str">
        <f aca="false">IFERROR(__xludf.dummyfunction("if($T1019&lt;&gt;"""",REGEXEXTRACT($T1019, G$1&amp;""[\w &amp;]*, (\d+\.\d+)""),"""")
"),"")</f>
        <v/>
      </c>
      <c r="H1019" s="3"/>
      <c r="I1019" s="3" t="str">
        <f aca="false">IFERROR(__xludf.dummyfunction("if($T1019&lt;&gt;"""",REGEXEXTRACT(SUBSTITUTE ($T1019,I$1&amp;"" CE"",""""), I$1&amp;""[\w &amp;]*, (\d+\.\d+)""),"""")
"),"")</f>
        <v/>
      </c>
      <c r="J1019" s="3" t="str">
        <f aca="false">IFERROR(__xludf.dummyfunction("if($T1019&lt;&gt;"""",REGEXEXTRACT($T1019, J$1&amp;""[\w &amp;]*, (\d+\.\d+)""),"""")
"),"")</f>
        <v/>
      </c>
      <c r="K1019" s="3"/>
      <c r="L1019" s="3" t="str">
        <f aca="false">IFERROR(__xludf.dummyfunction("if($T1019&lt;&gt;"""",REGEXEXTRACT(SUBSTITUTE ($T1019,L$1&amp;"" CE"",""""), L$1&amp;""[\w &amp;]*, (\d+\.\d+)""),"""")
"),"")</f>
        <v/>
      </c>
      <c r="M1019" s="3" t="str">
        <f aca="false">IFERROR(__xludf.dummyfunction("if($T1019&lt;&gt;"""",REGEXEXTRACT($T1019, M$1&amp;""[\w &amp;]*, (\d+\.\d+)""),"""")
"),"")</f>
        <v/>
      </c>
      <c r="N1019" s="3" t="str">
        <f aca="false">IFERROR(__xludf.dummyfunction("if($T1019&lt;&gt;"""",REGEXEXTRACT(SUBSTITUTE ($T1019,N$1&amp;"" CE"",""""), N$1&amp;""[\w &amp;]*, (\d+\.\d+)""),"""")
"),"")</f>
        <v/>
      </c>
      <c r="O1019" s="3" t="str">
        <f aca="false">IFERROR(__xludf.dummyfunction("if($T1019&lt;&gt;"""",REGEXEXTRACT($T1019, O$1&amp;""[\w &amp;]*, (\d+\.\d+)""),"""")
"),"")</f>
        <v/>
      </c>
      <c r="P1019" s="2"/>
      <c r="Q1019" s="2"/>
      <c r="R1019" s="2"/>
      <c r="S1019" s="2"/>
      <c r="T1019" s="5"/>
    </row>
    <row r="1020" customFormat="false" ht="15.75" hidden="false" customHeight="false" outlineLevel="0" collapsed="false">
      <c r="A1020" s="4"/>
      <c r="B1020" s="2"/>
      <c r="C1020" s="2"/>
      <c r="D1020" s="2"/>
      <c r="E1020" s="2"/>
      <c r="F1020" s="3" t="str">
        <f aca="false">IFERROR(__xludf.dummyfunction("if($T1020&lt;&gt;"""",REGEXEXTRACT(SUBSTITUTE ($T1020,F$1&amp;"" CE"",""""), F$1&amp;""[\w &amp;]*, (\d+\.\d+)""),"""")
"),"")</f>
        <v/>
      </c>
      <c r="G1020" s="3" t="str">
        <f aca="false">IFERROR(__xludf.dummyfunction("if($T1020&lt;&gt;"""",REGEXEXTRACT($T1020, G$1&amp;""[\w &amp;]*, (\d+\.\d+)""),"""")
"),"")</f>
        <v/>
      </c>
      <c r="H1020" s="3"/>
      <c r="I1020" s="3" t="str">
        <f aca="false">IFERROR(__xludf.dummyfunction("if($T1020&lt;&gt;"""",REGEXEXTRACT(SUBSTITUTE ($T1020,I$1&amp;"" CE"",""""), I$1&amp;""[\w &amp;]*, (\d+\.\d+)""),"""")
"),"")</f>
        <v/>
      </c>
      <c r="J1020" s="3" t="str">
        <f aca="false">IFERROR(__xludf.dummyfunction("if($T1020&lt;&gt;"""",REGEXEXTRACT($T1020, J$1&amp;""[\w &amp;]*, (\d+\.\d+)""),"""")
"),"")</f>
        <v/>
      </c>
      <c r="K1020" s="3"/>
      <c r="L1020" s="3" t="str">
        <f aca="false">IFERROR(__xludf.dummyfunction("if($T1020&lt;&gt;"""",REGEXEXTRACT(SUBSTITUTE ($T1020,L$1&amp;"" CE"",""""), L$1&amp;""[\w &amp;]*, (\d+\.\d+)""),"""")
"),"")</f>
        <v/>
      </c>
      <c r="M1020" s="3" t="str">
        <f aca="false">IFERROR(__xludf.dummyfunction("if($T1020&lt;&gt;"""",REGEXEXTRACT($T1020, M$1&amp;""[\w &amp;]*, (\d+\.\d+)""),"""")
"),"")</f>
        <v/>
      </c>
      <c r="N1020" s="3" t="str">
        <f aca="false">IFERROR(__xludf.dummyfunction("if($T1020&lt;&gt;"""",REGEXEXTRACT(SUBSTITUTE ($T1020,N$1&amp;"" CE"",""""), N$1&amp;""[\w &amp;]*, (\d+\.\d+)""),"""")
"),"")</f>
        <v/>
      </c>
      <c r="O1020" s="3" t="str">
        <f aca="false">IFERROR(__xludf.dummyfunction("if($T1020&lt;&gt;"""",REGEXEXTRACT($T1020, O$1&amp;""[\w &amp;]*, (\d+\.\d+)""),"""")
"),"")</f>
        <v/>
      </c>
      <c r="P1020" s="2"/>
      <c r="Q1020" s="2"/>
      <c r="R1020" s="2"/>
      <c r="S1020" s="2"/>
      <c r="T1020" s="5"/>
    </row>
    <row r="1021" customFormat="false" ht="15.75" hidden="false" customHeight="false" outlineLevel="0" collapsed="false">
      <c r="A1021" s="4"/>
      <c r="B1021" s="2"/>
      <c r="C1021" s="2"/>
      <c r="D1021" s="2"/>
      <c r="E1021" s="2"/>
      <c r="F1021" s="3" t="str">
        <f aca="false">IFERROR(__xludf.dummyfunction("if($T1021&lt;&gt;"""",REGEXEXTRACT(SUBSTITUTE ($T1021,F$1&amp;"" CE"",""""), F$1&amp;""[\w &amp;]*, (\d+\.\d+)""),"""")
"),"")</f>
        <v/>
      </c>
      <c r="G1021" s="3" t="str">
        <f aca="false">IFERROR(__xludf.dummyfunction("if($T1021&lt;&gt;"""",REGEXEXTRACT($T1021, G$1&amp;""[\w &amp;]*, (\d+\.\d+)""),"""")
"),"")</f>
        <v/>
      </c>
      <c r="H1021" s="3"/>
      <c r="I1021" s="3" t="str">
        <f aca="false">IFERROR(__xludf.dummyfunction("if($T1021&lt;&gt;"""",REGEXEXTRACT(SUBSTITUTE ($T1021,I$1&amp;"" CE"",""""), I$1&amp;""[\w &amp;]*, (\d+\.\d+)""),"""")
"),"")</f>
        <v/>
      </c>
      <c r="J1021" s="3" t="str">
        <f aca="false">IFERROR(__xludf.dummyfunction("if($T1021&lt;&gt;"""",REGEXEXTRACT($T1021, J$1&amp;""[\w &amp;]*, (\d+\.\d+)""),"""")
"),"")</f>
        <v/>
      </c>
      <c r="K1021" s="3"/>
      <c r="L1021" s="3" t="str">
        <f aca="false">IFERROR(__xludf.dummyfunction("if($T1021&lt;&gt;"""",REGEXEXTRACT(SUBSTITUTE ($T1021,L$1&amp;"" CE"",""""), L$1&amp;""[\w &amp;]*, (\d+\.\d+)""),"""")
"),"")</f>
        <v/>
      </c>
      <c r="M1021" s="3" t="str">
        <f aca="false">IFERROR(__xludf.dummyfunction("if($T1021&lt;&gt;"""",REGEXEXTRACT($T1021, M$1&amp;""[\w &amp;]*, (\d+\.\d+)""),"""")
"),"")</f>
        <v/>
      </c>
      <c r="N1021" s="3" t="str">
        <f aca="false">IFERROR(__xludf.dummyfunction("if($T1021&lt;&gt;"""",REGEXEXTRACT(SUBSTITUTE ($T1021,N$1&amp;"" CE"",""""), N$1&amp;""[\w &amp;]*, (\d+\.\d+)""),"""")
"),"")</f>
        <v/>
      </c>
      <c r="O1021" s="3" t="str">
        <f aca="false">IFERROR(__xludf.dummyfunction("if($T1021&lt;&gt;"""",REGEXEXTRACT($T1021, O$1&amp;""[\w &amp;]*, (\d+\.\d+)""),"""")
"),"")</f>
        <v/>
      </c>
      <c r="P1021" s="2"/>
      <c r="Q1021" s="2"/>
      <c r="R1021" s="2"/>
      <c r="S1021" s="2"/>
      <c r="T1021" s="5"/>
    </row>
    <row r="1022" customFormat="false" ht="15.75" hidden="false" customHeight="false" outlineLevel="0" collapsed="false">
      <c r="A1022" s="4"/>
      <c r="B1022" s="2"/>
      <c r="C1022" s="2"/>
      <c r="D1022" s="2"/>
      <c r="E1022" s="2"/>
      <c r="F1022" s="3" t="str">
        <f aca="false">IFERROR(__xludf.dummyfunction("if($T1022&lt;&gt;"""",REGEXEXTRACT(SUBSTITUTE ($T1022,F$1&amp;"" CE"",""""), F$1&amp;""[\w &amp;]*, (\d+\.\d+)""),"""")
"),"")</f>
        <v/>
      </c>
      <c r="G1022" s="3" t="str">
        <f aca="false">IFERROR(__xludf.dummyfunction("if($T1022&lt;&gt;"""",REGEXEXTRACT($T1022, G$1&amp;""[\w &amp;]*, (\d+\.\d+)""),"""")
"),"")</f>
        <v/>
      </c>
      <c r="H1022" s="3"/>
      <c r="I1022" s="3" t="str">
        <f aca="false">IFERROR(__xludf.dummyfunction("if($T1022&lt;&gt;"""",REGEXEXTRACT(SUBSTITUTE ($T1022,I$1&amp;"" CE"",""""), I$1&amp;""[\w &amp;]*, (\d+\.\d+)""),"""")
"),"")</f>
        <v/>
      </c>
      <c r="J1022" s="3" t="str">
        <f aca="false">IFERROR(__xludf.dummyfunction("if($T1022&lt;&gt;"""",REGEXEXTRACT($T1022, J$1&amp;""[\w &amp;]*, (\d+\.\d+)""),"""")
"),"")</f>
        <v/>
      </c>
      <c r="K1022" s="3"/>
      <c r="L1022" s="3" t="str">
        <f aca="false">IFERROR(__xludf.dummyfunction("if($T1022&lt;&gt;"""",REGEXEXTRACT(SUBSTITUTE ($T1022,L$1&amp;"" CE"",""""), L$1&amp;""[\w &amp;]*, (\d+\.\d+)""),"""")
"),"")</f>
        <v/>
      </c>
      <c r="M1022" s="3" t="str">
        <f aca="false">IFERROR(__xludf.dummyfunction("if($T1022&lt;&gt;"""",REGEXEXTRACT($T1022, M$1&amp;""[\w &amp;]*, (\d+\.\d+)""),"""")
"),"")</f>
        <v/>
      </c>
      <c r="N1022" s="3" t="str">
        <f aca="false">IFERROR(__xludf.dummyfunction("if($T1022&lt;&gt;"""",REGEXEXTRACT(SUBSTITUTE ($T1022,N$1&amp;"" CE"",""""), N$1&amp;""[\w &amp;]*, (\d+\.\d+)""),"""")
"),"")</f>
        <v/>
      </c>
      <c r="O1022" s="3" t="str">
        <f aca="false">IFERROR(__xludf.dummyfunction("if($T1022&lt;&gt;"""",REGEXEXTRACT($T1022, O$1&amp;""[\w &amp;]*, (\d+\.\d+)""),"""")
"),"")</f>
        <v/>
      </c>
      <c r="P1022" s="2"/>
      <c r="Q1022" s="2"/>
      <c r="R1022" s="2"/>
      <c r="S1022" s="2"/>
      <c r="T1022" s="5"/>
    </row>
    <row r="1023" customFormat="false" ht="15.75" hidden="false" customHeight="false" outlineLevel="0" collapsed="false">
      <c r="A1023" s="4"/>
      <c r="B1023" s="2"/>
      <c r="C1023" s="2"/>
      <c r="D1023" s="2"/>
      <c r="E1023" s="2"/>
      <c r="F1023" s="3" t="str">
        <f aca="false">IFERROR(__xludf.dummyfunction("if($T1023&lt;&gt;"""",REGEXEXTRACT(SUBSTITUTE ($T1023,F$1&amp;"" CE"",""""), F$1&amp;""[\w &amp;]*, (\d+\.\d+)""),"""")
"),"")</f>
        <v/>
      </c>
      <c r="G1023" s="3" t="str">
        <f aca="false">IFERROR(__xludf.dummyfunction("if($T1023&lt;&gt;"""",REGEXEXTRACT($T1023, G$1&amp;""[\w &amp;]*, (\d+\.\d+)""),"""")
"),"")</f>
        <v/>
      </c>
      <c r="H1023" s="3"/>
      <c r="I1023" s="3" t="str">
        <f aca="false">IFERROR(__xludf.dummyfunction("if($T1023&lt;&gt;"""",REGEXEXTRACT(SUBSTITUTE ($T1023,I$1&amp;"" CE"",""""), I$1&amp;""[\w &amp;]*, (\d+\.\d+)""),"""")
"),"")</f>
        <v/>
      </c>
      <c r="J1023" s="3" t="str">
        <f aca="false">IFERROR(__xludf.dummyfunction("if($T1023&lt;&gt;"""",REGEXEXTRACT($T1023, J$1&amp;""[\w &amp;]*, (\d+\.\d+)""),"""")
"),"")</f>
        <v/>
      </c>
      <c r="K1023" s="3"/>
      <c r="L1023" s="3" t="str">
        <f aca="false">IFERROR(__xludf.dummyfunction("if($T1023&lt;&gt;"""",REGEXEXTRACT(SUBSTITUTE ($T1023,L$1&amp;"" CE"",""""), L$1&amp;""[\w &amp;]*, (\d+\.\d+)""),"""")
"),"")</f>
        <v/>
      </c>
      <c r="M1023" s="3" t="str">
        <f aca="false">IFERROR(__xludf.dummyfunction("if($T1023&lt;&gt;"""",REGEXEXTRACT($T1023, M$1&amp;""[\w &amp;]*, (\d+\.\d+)""),"""")
"),"")</f>
        <v/>
      </c>
      <c r="N1023" s="3" t="str">
        <f aca="false">IFERROR(__xludf.dummyfunction("if($T1023&lt;&gt;"""",REGEXEXTRACT(SUBSTITUTE ($T1023,N$1&amp;"" CE"",""""), N$1&amp;""[\w &amp;]*, (\d+\.\d+)""),"""")
"),"")</f>
        <v/>
      </c>
      <c r="O1023" s="3" t="str">
        <f aca="false">IFERROR(__xludf.dummyfunction("if($T1023&lt;&gt;"""",REGEXEXTRACT($T1023, O$1&amp;""[\w &amp;]*, (\d+\.\d+)""),"""")
"),"")</f>
        <v/>
      </c>
      <c r="P1023" s="2"/>
      <c r="Q1023" s="2"/>
      <c r="R1023" s="2"/>
      <c r="S1023" s="2"/>
      <c r="T1023" s="5"/>
    </row>
    <row r="1024" customFormat="false" ht="15.75" hidden="false" customHeight="false" outlineLevel="0" collapsed="false">
      <c r="A1024" s="4"/>
      <c r="B1024" s="2"/>
      <c r="C1024" s="2"/>
      <c r="D1024" s="2"/>
      <c r="E1024" s="2"/>
      <c r="F1024" s="3" t="str">
        <f aca="false">IFERROR(__xludf.dummyfunction("if($T1024&lt;&gt;"""",REGEXEXTRACT(SUBSTITUTE ($T1024,F$1&amp;"" CE"",""""), F$1&amp;""[\w &amp;]*, (\d+\.\d+)""),"""")
"),"")</f>
        <v/>
      </c>
      <c r="G1024" s="3" t="str">
        <f aca="false">IFERROR(__xludf.dummyfunction("if($T1024&lt;&gt;"""",REGEXEXTRACT($T1024, G$1&amp;""[\w &amp;]*, (\d+\.\d+)""),"""")
"),"")</f>
        <v/>
      </c>
      <c r="H1024" s="3"/>
      <c r="I1024" s="3" t="str">
        <f aca="false">IFERROR(__xludf.dummyfunction("if($T1024&lt;&gt;"""",REGEXEXTRACT(SUBSTITUTE ($T1024,I$1&amp;"" CE"",""""), I$1&amp;""[\w &amp;]*, (\d+\.\d+)""),"""")
"),"")</f>
        <v/>
      </c>
      <c r="J1024" s="3" t="str">
        <f aca="false">IFERROR(__xludf.dummyfunction("if($T1024&lt;&gt;"""",REGEXEXTRACT($T1024, J$1&amp;""[\w &amp;]*, (\d+\.\d+)""),"""")
"),"")</f>
        <v/>
      </c>
      <c r="K1024" s="3"/>
      <c r="L1024" s="3" t="str">
        <f aca="false">IFERROR(__xludf.dummyfunction("if($T1024&lt;&gt;"""",REGEXEXTRACT(SUBSTITUTE ($T1024,L$1&amp;"" CE"",""""), L$1&amp;""[\w &amp;]*, (\d+\.\d+)""),"""")
"),"")</f>
        <v/>
      </c>
      <c r="M1024" s="3" t="str">
        <f aca="false">IFERROR(__xludf.dummyfunction("if($T1024&lt;&gt;"""",REGEXEXTRACT($T1024, M$1&amp;""[\w &amp;]*, (\d+\.\d+)""),"""")
"),"")</f>
        <v/>
      </c>
      <c r="N1024" s="3" t="str">
        <f aca="false">IFERROR(__xludf.dummyfunction("if($T1024&lt;&gt;"""",REGEXEXTRACT(SUBSTITUTE ($T1024,N$1&amp;"" CE"",""""), N$1&amp;""[\w &amp;]*, (\d+\.\d+)""),"""")
"),"")</f>
        <v/>
      </c>
      <c r="O1024" s="3" t="str">
        <f aca="false">IFERROR(__xludf.dummyfunction("if($T1024&lt;&gt;"""",REGEXEXTRACT($T1024, O$1&amp;""[\w &amp;]*, (\d+\.\d+)""),"""")
"),"")</f>
        <v/>
      </c>
      <c r="P1024" s="2"/>
      <c r="Q1024" s="2"/>
      <c r="R1024" s="2"/>
      <c r="S1024" s="2"/>
      <c r="T1024" s="5"/>
    </row>
    <row r="1025" customFormat="false" ht="15.75" hidden="false" customHeight="false" outlineLevel="0" collapsed="false">
      <c r="A1025" s="4"/>
      <c r="B1025" s="2"/>
      <c r="C1025" s="2"/>
      <c r="D1025" s="2"/>
      <c r="E1025" s="2"/>
      <c r="F1025" s="3" t="str">
        <f aca="false">IFERROR(__xludf.dummyfunction("if($T1025&lt;&gt;"""",REGEXEXTRACT(SUBSTITUTE ($T1025,F$1&amp;"" CE"",""""), F$1&amp;""[\w &amp;]*, (\d+\.\d+)""),"""")
"),"")</f>
        <v/>
      </c>
      <c r="G1025" s="3" t="str">
        <f aca="false">IFERROR(__xludf.dummyfunction("if($T1025&lt;&gt;"""",REGEXEXTRACT($T1025, G$1&amp;""[\w &amp;]*, (\d+\.\d+)""),"""")
"),"")</f>
        <v/>
      </c>
      <c r="H1025" s="3"/>
      <c r="I1025" s="3" t="str">
        <f aca="false">IFERROR(__xludf.dummyfunction("if($T1025&lt;&gt;"""",REGEXEXTRACT(SUBSTITUTE ($T1025,I$1&amp;"" CE"",""""), I$1&amp;""[\w &amp;]*, (\d+\.\d+)""),"""")
"),"")</f>
        <v/>
      </c>
      <c r="J1025" s="3" t="str">
        <f aca="false">IFERROR(__xludf.dummyfunction("if($T1025&lt;&gt;"""",REGEXEXTRACT($T1025, J$1&amp;""[\w &amp;]*, (\d+\.\d+)""),"""")
"),"")</f>
        <v/>
      </c>
      <c r="K1025" s="3"/>
      <c r="L1025" s="3" t="str">
        <f aca="false">IFERROR(__xludf.dummyfunction("if($T1025&lt;&gt;"""",REGEXEXTRACT(SUBSTITUTE ($T1025,L$1&amp;"" CE"",""""), L$1&amp;""[\w &amp;]*, (\d+\.\d+)""),"""")
"),"")</f>
        <v/>
      </c>
      <c r="M1025" s="3" t="str">
        <f aca="false">IFERROR(__xludf.dummyfunction("if($T1025&lt;&gt;"""",REGEXEXTRACT($T1025, M$1&amp;""[\w &amp;]*, (\d+\.\d+)""),"""")
"),"")</f>
        <v/>
      </c>
      <c r="N1025" s="3" t="str">
        <f aca="false">IFERROR(__xludf.dummyfunction("if($T1025&lt;&gt;"""",REGEXEXTRACT(SUBSTITUTE ($T1025,N$1&amp;"" CE"",""""), N$1&amp;""[\w &amp;]*, (\d+\.\d+)""),"""")
"),"")</f>
        <v/>
      </c>
      <c r="O1025" s="3" t="str">
        <f aca="false">IFERROR(__xludf.dummyfunction("if($T1025&lt;&gt;"""",REGEXEXTRACT($T1025, O$1&amp;""[\w &amp;]*, (\d+\.\d+)""),"""")
"),"")</f>
        <v/>
      </c>
      <c r="P1025" s="2"/>
      <c r="Q1025" s="2"/>
      <c r="R1025" s="2"/>
      <c r="S1025" s="2"/>
      <c r="T1025" s="5"/>
    </row>
    <row r="1026" customFormat="false" ht="15.75" hidden="false" customHeight="false" outlineLevel="0" collapsed="false">
      <c r="A1026" s="4"/>
      <c r="B1026" s="2"/>
      <c r="C1026" s="2"/>
      <c r="D1026" s="2"/>
      <c r="E1026" s="2"/>
      <c r="F1026" s="3" t="str">
        <f aca="false">IFERROR(__xludf.dummyfunction("if($T1026&lt;&gt;"""",REGEXEXTRACT(SUBSTITUTE ($T1026,F$1&amp;"" CE"",""""), F$1&amp;""[\w &amp;]*, (\d+\.\d+)""),"""")
"),"")</f>
        <v/>
      </c>
      <c r="G1026" s="3" t="str">
        <f aca="false">IFERROR(__xludf.dummyfunction("if($T1026&lt;&gt;"""",REGEXEXTRACT($T1026, G$1&amp;""[\w &amp;]*, (\d+\.\d+)""),"""")
"),"")</f>
        <v/>
      </c>
      <c r="H1026" s="3"/>
      <c r="I1026" s="3" t="str">
        <f aca="false">IFERROR(__xludf.dummyfunction("if($T1026&lt;&gt;"""",REGEXEXTRACT(SUBSTITUTE ($T1026,I$1&amp;"" CE"",""""), I$1&amp;""[\w &amp;]*, (\d+\.\d+)""),"""")
"),"")</f>
        <v/>
      </c>
      <c r="J1026" s="3" t="str">
        <f aca="false">IFERROR(__xludf.dummyfunction("if($T1026&lt;&gt;"""",REGEXEXTRACT($T1026, J$1&amp;""[\w &amp;]*, (\d+\.\d+)""),"""")
"),"")</f>
        <v/>
      </c>
      <c r="K1026" s="3"/>
      <c r="L1026" s="3" t="str">
        <f aca="false">IFERROR(__xludf.dummyfunction("if($T1026&lt;&gt;"""",REGEXEXTRACT(SUBSTITUTE ($T1026,L$1&amp;"" CE"",""""), L$1&amp;""[\w &amp;]*, (\d+\.\d+)""),"""")
"),"")</f>
        <v/>
      </c>
      <c r="M1026" s="3" t="str">
        <f aca="false">IFERROR(__xludf.dummyfunction("if($T1026&lt;&gt;"""",REGEXEXTRACT($T1026, M$1&amp;""[\w &amp;]*, (\d+\.\d+)""),"""")
"),"")</f>
        <v/>
      </c>
      <c r="N1026" s="3" t="str">
        <f aca="false">IFERROR(__xludf.dummyfunction("if($T1026&lt;&gt;"""",REGEXEXTRACT(SUBSTITUTE ($T1026,N$1&amp;"" CE"",""""), N$1&amp;""[\w &amp;]*, (\d+\.\d+)""),"""")
"),"")</f>
        <v/>
      </c>
      <c r="O1026" s="3" t="str">
        <f aca="false">IFERROR(__xludf.dummyfunction("if($T1026&lt;&gt;"""",REGEXEXTRACT($T1026, O$1&amp;""[\w &amp;]*, (\d+\.\d+)""),"""")
"),"")</f>
        <v/>
      </c>
      <c r="P1026" s="2"/>
      <c r="Q1026" s="2"/>
      <c r="R1026" s="2"/>
      <c r="S1026" s="2"/>
      <c r="T1026" s="5"/>
    </row>
    <row r="1027" customFormat="false" ht="15.75" hidden="false" customHeight="false" outlineLevel="0" collapsed="false">
      <c r="A1027" s="4"/>
      <c r="B1027" s="2"/>
      <c r="C1027" s="2"/>
      <c r="D1027" s="2"/>
      <c r="E1027" s="2"/>
      <c r="F1027" s="3" t="str">
        <f aca="false">IFERROR(__xludf.dummyfunction("if($T1027&lt;&gt;"""",REGEXEXTRACT(SUBSTITUTE ($T1027,F$1&amp;"" CE"",""""), F$1&amp;""[\w &amp;]*, (\d+\.\d+)""),"""")
"),"")</f>
        <v/>
      </c>
      <c r="G1027" s="3" t="str">
        <f aca="false">IFERROR(__xludf.dummyfunction("if($T1027&lt;&gt;"""",REGEXEXTRACT($T1027, G$1&amp;""[\w &amp;]*, (\d+\.\d+)""),"""")
"),"")</f>
        <v/>
      </c>
      <c r="H1027" s="3"/>
      <c r="I1027" s="3" t="str">
        <f aca="false">IFERROR(__xludf.dummyfunction("if($T1027&lt;&gt;"""",REGEXEXTRACT(SUBSTITUTE ($T1027,I$1&amp;"" CE"",""""), I$1&amp;""[\w &amp;]*, (\d+\.\d+)""),"""")
"),"")</f>
        <v/>
      </c>
      <c r="J1027" s="3" t="str">
        <f aca="false">IFERROR(__xludf.dummyfunction("if($T1027&lt;&gt;"""",REGEXEXTRACT($T1027, J$1&amp;""[\w &amp;]*, (\d+\.\d+)""),"""")
"),"")</f>
        <v/>
      </c>
      <c r="K1027" s="3"/>
      <c r="L1027" s="3" t="str">
        <f aca="false">IFERROR(__xludf.dummyfunction("if($T1027&lt;&gt;"""",REGEXEXTRACT(SUBSTITUTE ($T1027,L$1&amp;"" CE"",""""), L$1&amp;""[\w &amp;]*, (\d+\.\d+)""),"""")
"),"")</f>
        <v/>
      </c>
      <c r="M1027" s="3" t="str">
        <f aca="false">IFERROR(__xludf.dummyfunction("if($T1027&lt;&gt;"""",REGEXEXTRACT($T1027, M$1&amp;""[\w &amp;]*, (\d+\.\d+)""),"""")
"),"")</f>
        <v/>
      </c>
      <c r="N1027" s="3" t="str">
        <f aca="false">IFERROR(__xludf.dummyfunction("if($T1027&lt;&gt;"""",REGEXEXTRACT(SUBSTITUTE ($T1027,N$1&amp;"" CE"",""""), N$1&amp;""[\w &amp;]*, (\d+\.\d+)""),"""")
"),"")</f>
        <v/>
      </c>
      <c r="O1027" s="3" t="str">
        <f aca="false">IFERROR(__xludf.dummyfunction("if($T1027&lt;&gt;"""",REGEXEXTRACT($T1027, O$1&amp;""[\w &amp;]*, (\d+\.\d+)""),"""")
"),"")</f>
        <v/>
      </c>
      <c r="P1027" s="2"/>
      <c r="Q1027" s="2"/>
      <c r="R1027" s="2"/>
      <c r="S1027" s="2"/>
      <c r="T1027" s="5"/>
    </row>
    <row r="1028" customFormat="false" ht="15.75" hidden="false" customHeight="false" outlineLevel="0" collapsed="false">
      <c r="A1028" s="4"/>
      <c r="B1028" s="2"/>
      <c r="C1028" s="2"/>
      <c r="D1028" s="2"/>
      <c r="E1028" s="2"/>
      <c r="F1028" s="3" t="str">
        <f aca="false">IFERROR(__xludf.dummyfunction("if($T1028&lt;&gt;"""",REGEXEXTRACT(SUBSTITUTE ($T1028,F$1&amp;"" CE"",""""), F$1&amp;""[\w &amp;]*, (\d+\.\d+)""),"""")
"),"")</f>
        <v/>
      </c>
      <c r="G1028" s="3" t="str">
        <f aca="false">IFERROR(__xludf.dummyfunction("if($T1028&lt;&gt;"""",REGEXEXTRACT($T1028, G$1&amp;""[\w &amp;]*, (\d+\.\d+)""),"""")
"),"")</f>
        <v/>
      </c>
      <c r="H1028" s="3"/>
      <c r="I1028" s="3" t="str">
        <f aca="false">IFERROR(__xludf.dummyfunction("if($T1028&lt;&gt;"""",REGEXEXTRACT(SUBSTITUTE ($T1028,I$1&amp;"" CE"",""""), I$1&amp;""[\w &amp;]*, (\d+\.\d+)""),"""")
"),"")</f>
        <v/>
      </c>
      <c r="J1028" s="3" t="str">
        <f aca="false">IFERROR(__xludf.dummyfunction("if($T1028&lt;&gt;"""",REGEXEXTRACT($T1028, J$1&amp;""[\w &amp;]*, (\d+\.\d+)""),"""")
"),"")</f>
        <v/>
      </c>
      <c r="K1028" s="3"/>
      <c r="L1028" s="3" t="str">
        <f aca="false">IFERROR(__xludf.dummyfunction("if($T1028&lt;&gt;"""",REGEXEXTRACT(SUBSTITUTE ($T1028,L$1&amp;"" CE"",""""), L$1&amp;""[\w &amp;]*, (\d+\.\d+)""),"""")
"),"")</f>
        <v/>
      </c>
      <c r="M1028" s="3" t="str">
        <f aca="false">IFERROR(__xludf.dummyfunction("if($T1028&lt;&gt;"""",REGEXEXTRACT($T1028, M$1&amp;""[\w &amp;]*, (\d+\.\d+)""),"""")
"),"")</f>
        <v/>
      </c>
      <c r="N1028" s="3" t="str">
        <f aca="false">IFERROR(__xludf.dummyfunction("if($T1028&lt;&gt;"""",REGEXEXTRACT(SUBSTITUTE ($T1028,N$1&amp;"" CE"",""""), N$1&amp;""[\w &amp;]*, (\d+\.\d+)""),"""")
"),"")</f>
        <v/>
      </c>
      <c r="O1028" s="3" t="str">
        <f aca="false">IFERROR(__xludf.dummyfunction("if($T1028&lt;&gt;"""",REGEXEXTRACT($T1028, O$1&amp;""[\w &amp;]*, (\d+\.\d+)""),"""")
"),"")</f>
        <v/>
      </c>
      <c r="P1028" s="2"/>
      <c r="Q1028" s="2"/>
      <c r="R1028" s="2"/>
      <c r="S1028" s="2"/>
      <c r="T1028" s="5"/>
    </row>
    <row r="1029" customFormat="false" ht="15.75" hidden="false" customHeight="false" outlineLevel="0" collapsed="false">
      <c r="A1029" s="4"/>
      <c r="B1029" s="2"/>
      <c r="C1029" s="2"/>
      <c r="D1029" s="2"/>
      <c r="E1029" s="2"/>
      <c r="F1029" s="3" t="str">
        <f aca="false">IFERROR(__xludf.dummyfunction("if($T1029&lt;&gt;"""",REGEXEXTRACT(SUBSTITUTE ($T1029,F$1&amp;"" CE"",""""), F$1&amp;""[\w &amp;]*, (\d+\.\d+)""),"""")
"),"")</f>
        <v/>
      </c>
      <c r="G1029" s="3" t="str">
        <f aca="false">IFERROR(__xludf.dummyfunction("if($T1029&lt;&gt;"""",REGEXEXTRACT($T1029, G$1&amp;""[\w &amp;]*, (\d+\.\d+)""),"""")
"),"")</f>
        <v/>
      </c>
      <c r="H1029" s="3"/>
      <c r="I1029" s="3" t="str">
        <f aca="false">IFERROR(__xludf.dummyfunction("if($T1029&lt;&gt;"""",REGEXEXTRACT(SUBSTITUTE ($T1029,I$1&amp;"" CE"",""""), I$1&amp;""[\w &amp;]*, (\d+\.\d+)""),"""")
"),"")</f>
        <v/>
      </c>
      <c r="J1029" s="3" t="str">
        <f aca="false">IFERROR(__xludf.dummyfunction("if($T1029&lt;&gt;"""",REGEXEXTRACT($T1029, J$1&amp;""[\w &amp;]*, (\d+\.\d+)""),"""")
"),"")</f>
        <v/>
      </c>
      <c r="K1029" s="3"/>
      <c r="L1029" s="3" t="str">
        <f aca="false">IFERROR(__xludf.dummyfunction("if($T1029&lt;&gt;"""",REGEXEXTRACT(SUBSTITUTE ($T1029,L$1&amp;"" CE"",""""), L$1&amp;""[\w &amp;]*, (\d+\.\d+)""),"""")
"),"")</f>
        <v/>
      </c>
      <c r="M1029" s="3" t="str">
        <f aca="false">IFERROR(__xludf.dummyfunction("if($T1029&lt;&gt;"""",REGEXEXTRACT($T1029, M$1&amp;""[\w &amp;]*, (\d+\.\d+)""),"""")
"),"")</f>
        <v/>
      </c>
      <c r="N1029" s="3" t="str">
        <f aca="false">IFERROR(__xludf.dummyfunction("if($T1029&lt;&gt;"""",REGEXEXTRACT(SUBSTITUTE ($T1029,N$1&amp;"" CE"",""""), N$1&amp;""[\w &amp;]*, (\d+\.\d+)""),"""")
"),"")</f>
        <v/>
      </c>
      <c r="O1029" s="3" t="str">
        <f aca="false">IFERROR(__xludf.dummyfunction("if($T1029&lt;&gt;"""",REGEXEXTRACT($T1029, O$1&amp;""[\w &amp;]*, (\d+\.\d+)""),"""")
"),"")</f>
        <v/>
      </c>
      <c r="P1029" s="2"/>
      <c r="Q1029" s="2"/>
      <c r="R1029" s="2"/>
      <c r="S1029" s="2"/>
      <c r="T1029" s="5"/>
    </row>
    <row r="1030" customFormat="false" ht="15.75" hidden="false" customHeight="false" outlineLevel="0" collapsed="false">
      <c r="A1030" s="4"/>
      <c r="B1030" s="2"/>
      <c r="C1030" s="2"/>
      <c r="D1030" s="2"/>
      <c r="E1030" s="2"/>
      <c r="F1030" s="3" t="str">
        <f aca="false">IFERROR(__xludf.dummyfunction("if($T1030&lt;&gt;"""",REGEXEXTRACT(SUBSTITUTE ($T1030,F$1&amp;"" CE"",""""), F$1&amp;""[\w &amp;]*, (\d+\.\d+)""),"""")
"),"")</f>
        <v/>
      </c>
      <c r="G1030" s="3" t="str">
        <f aca="false">IFERROR(__xludf.dummyfunction("if($T1030&lt;&gt;"""",REGEXEXTRACT($T1030, G$1&amp;""[\w &amp;]*, (\d+\.\d+)""),"""")
"),"")</f>
        <v/>
      </c>
      <c r="H1030" s="3"/>
      <c r="I1030" s="3" t="str">
        <f aca="false">IFERROR(__xludf.dummyfunction("if($T1030&lt;&gt;"""",REGEXEXTRACT(SUBSTITUTE ($T1030,I$1&amp;"" CE"",""""), I$1&amp;""[\w &amp;]*, (\d+\.\d+)""),"""")
"),"")</f>
        <v/>
      </c>
      <c r="J1030" s="3" t="str">
        <f aca="false">IFERROR(__xludf.dummyfunction("if($T1030&lt;&gt;"""",REGEXEXTRACT($T1030, J$1&amp;""[\w &amp;]*, (\d+\.\d+)""),"""")
"),"")</f>
        <v/>
      </c>
      <c r="K1030" s="3"/>
      <c r="L1030" s="3" t="str">
        <f aca="false">IFERROR(__xludf.dummyfunction("if($T1030&lt;&gt;"""",REGEXEXTRACT(SUBSTITUTE ($T1030,L$1&amp;"" CE"",""""), L$1&amp;""[\w &amp;]*, (\d+\.\d+)""),"""")
"),"")</f>
        <v/>
      </c>
      <c r="M1030" s="3" t="str">
        <f aca="false">IFERROR(__xludf.dummyfunction("if($T1030&lt;&gt;"""",REGEXEXTRACT($T1030, M$1&amp;""[\w &amp;]*, (\d+\.\d+)""),"""")
"),"")</f>
        <v/>
      </c>
      <c r="N1030" s="3" t="str">
        <f aca="false">IFERROR(__xludf.dummyfunction("if($T1030&lt;&gt;"""",REGEXEXTRACT(SUBSTITUTE ($T1030,N$1&amp;"" CE"",""""), N$1&amp;""[\w &amp;]*, (\d+\.\d+)""),"""")
"),"")</f>
        <v/>
      </c>
      <c r="O1030" s="3" t="str">
        <f aca="false">IFERROR(__xludf.dummyfunction("if($T1030&lt;&gt;"""",REGEXEXTRACT($T1030, O$1&amp;""[\w &amp;]*, (\d+\.\d+)""),"""")
"),"")</f>
        <v/>
      </c>
      <c r="P1030" s="2"/>
      <c r="Q1030" s="2"/>
      <c r="R1030" s="2"/>
      <c r="S1030" s="2"/>
      <c r="T1030" s="5"/>
    </row>
    <row r="1031" customFormat="false" ht="15.75" hidden="false" customHeight="false" outlineLevel="0" collapsed="false">
      <c r="A1031" s="4"/>
      <c r="B1031" s="2"/>
      <c r="C1031" s="2"/>
      <c r="D1031" s="2"/>
      <c r="E1031" s="2"/>
      <c r="F1031" s="3" t="str">
        <f aca="false">IFERROR(__xludf.dummyfunction("if($T1031&lt;&gt;"""",REGEXEXTRACT(SUBSTITUTE ($T1031,F$1&amp;"" CE"",""""), F$1&amp;""[\w &amp;]*, (\d+\.\d+)""),"""")
"),"")</f>
        <v/>
      </c>
      <c r="G1031" s="3" t="str">
        <f aca="false">IFERROR(__xludf.dummyfunction("if($T1031&lt;&gt;"""",REGEXEXTRACT($T1031, G$1&amp;""[\w &amp;]*, (\d+\.\d+)""),"""")
"),"")</f>
        <v/>
      </c>
      <c r="H1031" s="3"/>
      <c r="I1031" s="3" t="str">
        <f aca="false">IFERROR(__xludf.dummyfunction("if($T1031&lt;&gt;"""",REGEXEXTRACT(SUBSTITUTE ($T1031,I$1&amp;"" CE"",""""), I$1&amp;""[\w &amp;]*, (\d+\.\d+)""),"""")
"),"")</f>
        <v/>
      </c>
      <c r="J1031" s="3" t="str">
        <f aca="false">IFERROR(__xludf.dummyfunction("if($T1031&lt;&gt;"""",REGEXEXTRACT($T1031, J$1&amp;""[\w &amp;]*, (\d+\.\d+)""),"""")
"),"")</f>
        <v/>
      </c>
      <c r="K1031" s="3"/>
      <c r="L1031" s="3" t="str">
        <f aca="false">IFERROR(__xludf.dummyfunction("if($T1031&lt;&gt;"""",REGEXEXTRACT(SUBSTITUTE ($T1031,L$1&amp;"" CE"",""""), L$1&amp;""[\w &amp;]*, (\d+\.\d+)""),"""")
"),"")</f>
        <v/>
      </c>
      <c r="M1031" s="3" t="str">
        <f aca="false">IFERROR(__xludf.dummyfunction("if($T1031&lt;&gt;"""",REGEXEXTRACT($T1031, M$1&amp;""[\w &amp;]*, (\d+\.\d+)""),"""")
"),"")</f>
        <v/>
      </c>
      <c r="N1031" s="3" t="str">
        <f aca="false">IFERROR(__xludf.dummyfunction("if($T1031&lt;&gt;"""",REGEXEXTRACT(SUBSTITUTE ($T1031,N$1&amp;"" CE"",""""), N$1&amp;""[\w &amp;]*, (\d+\.\d+)""),"""")
"),"")</f>
        <v/>
      </c>
      <c r="O1031" s="3" t="str">
        <f aca="false">IFERROR(__xludf.dummyfunction("if($T1031&lt;&gt;"""",REGEXEXTRACT($T1031, O$1&amp;""[\w &amp;]*, (\d+\.\d+)""),"""")
"),"")</f>
        <v/>
      </c>
      <c r="P1031" s="2"/>
      <c r="Q1031" s="2"/>
      <c r="R1031" s="2"/>
      <c r="S1031" s="2"/>
      <c r="T1031" s="5"/>
    </row>
    <row r="1032" customFormat="false" ht="15.75" hidden="false" customHeight="false" outlineLevel="0" collapsed="false">
      <c r="A1032" s="4"/>
      <c r="B1032" s="2"/>
      <c r="C1032" s="2"/>
      <c r="D1032" s="2"/>
      <c r="E1032" s="2"/>
      <c r="F1032" s="3" t="str">
        <f aca="false">IFERROR(__xludf.dummyfunction("if($T1032&lt;&gt;"""",REGEXEXTRACT(SUBSTITUTE ($T1032,F$1&amp;"" CE"",""""), F$1&amp;""[\w &amp;]*, (\d+\.\d+)""),"""")
"),"")</f>
        <v/>
      </c>
      <c r="G1032" s="3" t="str">
        <f aca="false">IFERROR(__xludf.dummyfunction("if($T1032&lt;&gt;"""",REGEXEXTRACT($T1032, G$1&amp;""[\w &amp;]*, (\d+\.\d+)""),"""")
"),"")</f>
        <v/>
      </c>
      <c r="H1032" s="3"/>
      <c r="I1032" s="3" t="str">
        <f aca="false">IFERROR(__xludf.dummyfunction("if($T1032&lt;&gt;"""",REGEXEXTRACT(SUBSTITUTE ($T1032,I$1&amp;"" CE"",""""), I$1&amp;""[\w &amp;]*, (\d+\.\d+)""),"""")
"),"")</f>
        <v/>
      </c>
      <c r="J1032" s="3" t="str">
        <f aca="false">IFERROR(__xludf.dummyfunction("if($T1032&lt;&gt;"""",REGEXEXTRACT($T1032, J$1&amp;""[\w &amp;]*, (\d+\.\d+)""),"""")
"),"")</f>
        <v/>
      </c>
      <c r="K1032" s="3"/>
      <c r="L1032" s="3" t="str">
        <f aca="false">IFERROR(__xludf.dummyfunction("if($T1032&lt;&gt;"""",REGEXEXTRACT(SUBSTITUTE ($T1032,L$1&amp;"" CE"",""""), L$1&amp;""[\w &amp;]*, (\d+\.\d+)""),"""")
"),"")</f>
        <v/>
      </c>
      <c r="M1032" s="3" t="str">
        <f aca="false">IFERROR(__xludf.dummyfunction("if($T1032&lt;&gt;"""",REGEXEXTRACT($T1032, M$1&amp;""[\w &amp;]*, (\d+\.\d+)""),"""")
"),"")</f>
        <v/>
      </c>
      <c r="N1032" s="3" t="str">
        <f aca="false">IFERROR(__xludf.dummyfunction("if($T1032&lt;&gt;"""",REGEXEXTRACT(SUBSTITUTE ($T1032,N$1&amp;"" CE"",""""), N$1&amp;""[\w &amp;]*, (\d+\.\d+)""),"""")
"),"")</f>
        <v/>
      </c>
      <c r="O1032" s="3" t="str">
        <f aca="false">IFERROR(__xludf.dummyfunction("if($T1032&lt;&gt;"""",REGEXEXTRACT($T1032, O$1&amp;""[\w &amp;]*, (\d+\.\d+)""),"""")
"),"")</f>
        <v/>
      </c>
      <c r="P1032" s="2"/>
      <c r="Q1032" s="2"/>
      <c r="R1032" s="2"/>
      <c r="S1032" s="2"/>
      <c r="T1032" s="5"/>
    </row>
    <row r="1033" customFormat="false" ht="15.75" hidden="false" customHeight="false" outlineLevel="0" collapsed="false">
      <c r="A1033" s="4"/>
      <c r="B1033" s="2"/>
      <c r="C1033" s="2"/>
      <c r="D1033" s="2"/>
      <c r="E1033" s="2"/>
      <c r="F1033" s="3" t="str">
        <f aca="false">IFERROR(__xludf.dummyfunction("if($T1033&lt;&gt;"""",REGEXEXTRACT(SUBSTITUTE ($T1033,F$1&amp;"" CE"",""""), F$1&amp;""[\w &amp;]*, (\d+\.\d+)""),"""")
"),"")</f>
        <v/>
      </c>
      <c r="G1033" s="3" t="str">
        <f aca="false">IFERROR(__xludf.dummyfunction("if($T1033&lt;&gt;"""",REGEXEXTRACT($T1033, G$1&amp;""[\w &amp;]*, (\d+\.\d+)""),"""")
"),"")</f>
        <v/>
      </c>
      <c r="H1033" s="3"/>
      <c r="I1033" s="3" t="str">
        <f aca="false">IFERROR(__xludf.dummyfunction("if($T1033&lt;&gt;"""",REGEXEXTRACT(SUBSTITUTE ($T1033,I$1&amp;"" CE"",""""), I$1&amp;""[\w &amp;]*, (\d+\.\d+)""),"""")
"),"")</f>
        <v/>
      </c>
      <c r="J1033" s="3" t="str">
        <f aca="false">IFERROR(__xludf.dummyfunction("if($T1033&lt;&gt;"""",REGEXEXTRACT($T1033, J$1&amp;""[\w &amp;]*, (\d+\.\d+)""),"""")
"),"")</f>
        <v/>
      </c>
      <c r="K1033" s="3"/>
      <c r="L1033" s="3" t="str">
        <f aca="false">IFERROR(__xludf.dummyfunction("if($T1033&lt;&gt;"""",REGEXEXTRACT(SUBSTITUTE ($T1033,L$1&amp;"" CE"",""""), L$1&amp;""[\w &amp;]*, (\d+\.\d+)""),"""")
"),"")</f>
        <v/>
      </c>
      <c r="M1033" s="3" t="str">
        <f aca="false">IFERROR(__xludf.dummyfunction("if($T1033&lt;&gt;"""",REGEXEXTRACT($T1033, M$1&amp;""[\w &amp;]*, (\d+\.\d+)""),"""")
"),"")</f>
        <v/>
      </c>
      <c r="N1033" s="3" t="str">
        <f aca="false">IFERROR(__xludf.dummyfunction("if($T1033&lt;&gt;"""",REGEXEXTRACT(SUBSTITUTE ($T1033,N$1&amp;"" CE"",""""), N$1&amp;""[\w &amp;]*, (\d+\.\d+)""),"""")
"),"")</f>
        <v/>
      </c>
      <c r="O1033" s="3" t="str">
        <f aca="false">IFERROR(__xludf.dummyfunction("if($T1033&lt;&gt;"""",REGEXEXTRACT($T1033, O$1&amp;""[\w &amp;]*, (\d+\.\d+)""),"""")
"),"")</f>
        <v/>
      </c>
      <c r="P1033" s="2"/>
      <c r="Q1033" s="2"/>
      <c r="R1033" s="2"/>
      <c r="S1033" s="2"/>
      <c r="T1033" s="5"/>
    </row>
    <row r="1034" customFormat="false" ht="15.75" hidden="false" customHeight="false" outlineLevel="0" collapsed="false">
      <c r="A1034" s="4"/>
      <c r="B1034" s="2"/>
      <c r="C1034" s="2"/>
      <c r="D1034" s="2"/>
      <c r="E1034" s="2"/>
      <c r="F1034" s="3" t="str">
        <f aca="false">IFERROR(__xludf.dummyfunction("if($T1034&lt;&gt;"""",REGEXEXTRACT(SUBSTITUTE ($T1034,F$1&amp;"" CE"",""""), F$1&amp;""[\w &amp;]*, (\d+\.\d+)""),"""")
"),"")</f>
        <v/>
      </c>
      <c r="G1034" s="3" t="str">
        <f aca="false">IFERROR(__xludf.dummyfunction("if($T1034&lt;&gt;"""",REGEXEXTRACT($T1034, G$1&amp;""[\w &amp;]*, (\d+\.\d+)""),"""")
"),"")</f>
        <v/>
      </c>
      <c r="H1034" s="3"/>
      <c r="I1034" s="3" t="str">
        <f aca="false">IFERROR(__xludf.dummyfunction("if($T1034&lt;&gt;"""",REGEXEXTRACT(SUBSTITUTE ($T1034,I$1&amp;"" CE"",""""), I$1&amp;""[\w &amp;]*, (\d+\.\d+)""),"""")
"),"")</f>
        <v/>
      </c>
      <c r="J1034" s="3" t="str">
        <f aca="false">IFERROR(__xludf.dummyfunction("if($T1034&lt;&gt;"""",REGEXEXTRACT($T1034, J$1&amp;""[\w &amp;]*, (\d+\.\d+)""),"""")
"),"")</f>
        <v/>
      </c>
      <c r="K1034" s="3"/>
      <c r="L1034" s="3" t="str">
        <f aca="false">IFERROR(__xludf.dummyfunction("if($T1034&lt;&gt;"""",REGEXEXTRACT(SUBSTITUTE ($T1034,L$1&amp;"" CE"",""""), L$1&amp;""[\w &amp;]*, (\d+\.\d+)""),"""")
"),"")</f>
        <v/>
      </c>
      <c r="M1034" s="3" t="str">
        <f aca="false">IFERROR(__xludf.dummyfunction("if($T1034&lt;&gt;"""",REGEXEXTRACT($T1034, M$1&amp;""[\w &amp;]*, (\d+\.\d+)""),"""")
"),"")</f>
        <v/>
      </c>
      <c r="N1034" s="3" t="str">
        <f aca="false">IFERROR(__xludf.dummyfunction("if($T1034&lt;&gt;"""",REGEXEXTRACT(SUBSTITUTE ($T1034,N$1&amp;"" CE"",""""), N$1&amp;""[\w &amp;]*, (\d+\.\d+)""),"""")
"),"")</f>
        <v/>
      </c>
      <c r="O1034" s="3" t="str">
        <f aca="false">IFERROR(__xludf.dummyfunction("if($T1034&lt;&gt;"""",REGEXEXTRACT($T1034, O$1&amp;""[\w &amp;]*, (\d+\.\d+)""),"""")
"),"")</f>
        <v/>
      </c>
      <c r="P1034" s="2"/>
      <c r="Q1034" s="2"/>
      <c r="R1034" s="2"/>
      <c r="S1034" s="2"/>
      <c r="T1034" s="5"/>
    </row>
    <row r="1035" customFormat="false" ht="15.75" hidden="false" customHeight="false" outlineLevel="0" collapsed="false">
      <c r="A1035" s="4"/>
      <c r="B1035" s="2"/>
      <c r="C1035" s="2"/>
      <c r="D1035" s="2"/>
      <c r="E1035" s="2"/>
      <c r="F1035" s="3" t="str">
        <f aca="false">IFERROR(__xludf.dummyfunction("if($T1035&lt;&gt;"""",REGEXEXTRACT(SUBSTITUTE ($T1035,F$1&amp;"" CE"",""""), F$1&amp;""[\w &amp;]*, (\d+\.\d+)""),"""")
"),"")</f>
        <v/>
      </c>
      <c r="G1035" s="3" t="str">
        <f aca="false">IFERROR(__xludf.dummyfunction("if($T1035&lt;&gt;"""",REGEXEXTRACT($T1035, G$1&amp;""[\w &amp;]*, (\d+\.\d+)""),"""")
"),"")</f>
        <v/>
      </c>
      <c r="H1035" s="3"/>
      <c r="I1035" s="3" t="str">
        <f aca="false">IFERROR(__xludf.dummyfunction("if($T1035&lt;&gt;"""",REGEXEXTRACT(SUBSTITUTE ($T1035,I$1&amp;"" CE"",""""), I$1&amp;""[\w &amp;]*, (\d+\.\d+)""),"""")
"),"")</f>
        <v/>
      </c>
      <c r="J1035" s="3" t="str">
        <f aca="false">IFERROR(__xludf.dummyfunction("if($T1035&lt;&gt;"""",REGEXEXTRACT($T1035, J$1&amp;""[\w &amp;]*, (\d+\.\d+)""),"""")
"),"")</f>
        <v/>
      </c>
      <c r="K1035" s="3"/>
      <c r="L1035" s="3" t="str">
        <f aca="false">IFERROR(__xludf.dummyfunction("if($T1035&lt;&gt;"""",REGEXEXTRACT(SUBSTITUTE ($T1035,L$1&amp;"" CE"",""""), L$1&amp;""[\w &amp;]*, (\d+\.\d+)""),"""")
"),"")</f>
        <v/>
      </c>
      <c r="M1035" s="3" t="str">
        <f aca="false">IFERROR(__xludf.dummyfunction("if($T1035&lt;&gt;"""",REGEXEXTRACT($T1035, M$1&amp;""[\w &amp;]*, (\d+\.\d+)""),"""")
"),"")</f>
        <v/>
      </c>
      <c r="N1035" s="3" t="str">
        <f aca="false">IFERROR(__xludf.dummyfunction("if($T1035&lt;&gt;"""",REGEXEXTRACT(SUBSTITUTE ($T1035,N$1&amp;"" CE"",""""), N$1&amp;""[\w &amp;]*, (\d+\.\d+)""),"""")
"),"")</f>
        <v/>
      </c>
      <c r="O1035" s="3" t="str">
        <f aca="false">IFERROR(__xludf.dummyfunction("if($T1035&lt;&gt;"""",REGEXEXTRACT($T1035, O$1&amp;""[\w &amp;]*, (\d+\.\d+)""),"""")
"),"")</f>
        <v/>
      </c>
      <c r="P1035" s="2"/>
      <c r="Q1035" s="2"/>
      <c r="R1035" s="2"/>
      <c r="S1035" s="2"/>
      <c r="T1035" s="5"/>
    </row>
    <row r="1036" customFormat="false" ht="15.75" hidden="false" customHeight="false" outlineLevel="0" collapsed="false">
      <c r="A1036" s="4"/>
      <c r="B1036" s="2"/>
      <c r="C1036" s="2"/>
      <c r="D1036" s="2"/>
      <c r="E1036" s="2"/>
      <c r="F1036" s="3" t="str">
        <f aca="false">IFERROR(__xludf.dummyfunction("if($T1036&lt;&gt;"""",REGEXEXTRACT(SUBSTITUTE ($T1036,F$1&amp;"" CE"",""""), F$1&amp;""[\w &amp;]*, (\d+\.\d+)""),"""")
"),"")</f>
        <v/>
      </c>
      <c r="G1036" s="3" t="str">
        <f aca="false">IFERROR(__xludf.dummyfunction("if($T1036&lt;&gt;"""",REGEXEXTRACT($T1036, G$1&amp;""[\w &amp;]*, (\d+\.\d+)""),"""")
"),"")</f>
        <v/>
      </c>
      <c r="H1036" s="3"/>
      <c r="I1036" s="3" t="str">
        <f aca="false">IFERROR(__xludf.dummyfunction("if($T1036&lt;&gt;"""",REGEXEXTRACT(SUBSTITUTE ($T1036,I$1&amp;"" CE"",""""), I$1&amp;""[\w &amp;]*, (\d+\.\d+)""),"""")
"),"")</f>
        <v/>
      </c>
      <c r="J1036" s="3" t="str">
        <f aca="false">IFERROR(__xludf.dummyfunction("if($T1036&lt;&gt;"""",REGEXEXTRACT($T1036, J$1&amp;""[\w &amp;]*, (\d+\.\d+)""),"""")
"),"")</f>
        <v/>
      </c>
      <c r="K1036" s="3"/>
      <c r="L1036" s="3" t="str">
        <f aca="false">IFERROR(__xludf.dummyfunction("if($T1036&lt;&gt;"""",REGEXEXTRACT(SUBSTITUTE ($T1036,L$1&amp;"" CE"",""""), L$1&amp;""[\w &amp;]*, (\d+\.\d+)""),"""")
"),"")</f>
        <v/>
      </c>
      <c r="M1036" s="3" t="str">
        <f aca="false">IFERROR(__xludf.dummyfunction("if($T1036&lt;&gt;"""",REGEXEXTRACT($T1036, M$1&amp;""[\w &amp;]*, (\d+\.\d+)""),"""")
"),"")</f>
        <v/>
      </c>
      <c r="N1036" s="3" t="str">
        <f aca="false">IFERROR(__xludf.dummyfunction("if($T1036&lt;&gt;"""",REGEXEXTRACT(SUBSTITUTE ($T1036,N$1&amp;"" CE"",""""), N$1&amp;""[\w &amp;]*, (\d+\.\d+)""),"""")
"),"")</f>
        <v/>
      </c>
      <c r="O1036" s="3" t="str">
        <f aca="false">IFERROR(__xludf.dummyfunction("if($T1036&lt;&gt;"""",REGEXEXTRACT($T1036, O$1&amp;""[\w &amp;]*, (\d+\.\d+)""),"""")
"),"")</f>
        <v/>
      </c>
      <c r="P1036" s="2"/>
      <c r="Q1036" s="2"/>
      <c r="R1036" s="2"/>
      <c r="S1036" s="2"/>
      <c r="T1036" s="5"/>
    </row>
    <row r="1037" customFormat="false" ht="15.75" hidden="false" customHeight="false" outlineLevel="0" collapsed="false">
      <c r="A1037" s="4"/>
      <c r="B1037" s="2"/>
      <c r="C1037" s="2"/>
      <c r="D1037" s="2"/>
      <c r="E1037" s="2"/>
      <c r="F1037" s="3" t="str">
        <f aca="false">IFERROR(__xludf.dummyfunction("if($T1037&lt;&gt;"""",REGEXEXTRACT(SUBSTITUTE ($T1037,F$1&amp;"" CE"",""""), F$1&amp;""[\w &amp;]*, (\d+\.\d+)""),"""")
"),"")</f>
        <v/>
      </c>
      <c r="G1037" s="3" t="str">
        <f aca="false">IFERROR(__xludf.dummyfunction("if($T1037&lt;&gt;"""",REGEXEXTRACT($T1037, G$1&amp;""[\w &amp;]*, (\d+\.\d+)""),"""")
"),"")</f>
        <v/>
      </c>
      <c r="H1037" s="3"/>
      <c r="I1037" s="3" t="str">
        <f aca="false">IFERROR(__xludf.dummyfunction("if($T1037&lt;&gt;"""",REGEXEXTRACT(SUBSTITUTE ($T1037,I$1&amp;"" CE"",""""), I$1&amp;""[\w &amp;]*, (\d+\.\d+)""),"""")
"),"")</f>
        <v/>
      </c>
      <c r="J1037" s="3" t="str">
        <f aca="false">IFERROR(__xludf.dummyfunction("if($T1037&lt;&gt;"""",REGEXEXTRACT($T1037, J$1&amp;""[\w &amp;]*, (\d+\.\d+)""),"""")
"),"")</f>
        <v/>
      </c>
      <c r="K1037" s="3"/>
      <c r="L1037" s="3" t="str">
        <f aca="false">IFERROR(__xludf.dummyfunction("if($T1037&lt;&gt;"""",REGEXEXTRACT(SUBSTITUTE ($T1037,L$1&amp;"" CE"",""""), L$1&amp;""[\w &amp;]*, (\d+\.\d+)""),"""")
"),"")</f>
        <v/>
      </c>
      <c r="M1037" s="3" t="str">
        <f aca="false">IFERROR(__xludf.dummyfunction("if($T1037&lt;&gt;"""",REGEXEXTRACT($T1037, M$1&amp;""[\w &amp;]*, (\d+\.\d+)""),"""")
"),"")</f>
        <v/>
      </c>
      <c r="N1037" s="3" t="str">
        <f aca="false">IFERROR(__xludf.dummyfunction("if($T1037&lt;&gt;"""",REGEXEXTRACT(SUBSTITUTE ($T1037,N$1&amp;"" CE"",""""), N$1&amp;""[\w &amp;]*, (\d+\.\d+)""),"""")
"),"")</f>
        <v/>
      </c>
      <c r="O1037" s="3" t="str">
        <f aca="false">IFERROR(__xludf.dummyfunction("if($T1037&lt;&gt;"""",REGEXEXTRACT($T1037, O$1&amp;""[\w &amp;]*, (\d+\.\d+)""),"""")
"),"")</f>
        <v/>
      </c>
      <c r="P1037" s="2"/>
      <c r="Q1037" s="2"/>
      <c r="R1037" s="2"/>
      <c r="S1037" s="2"/>
      <c r="T1037" s="5"/>
    </row>
    <row r="1038" customFormat="false" ht="15.75" hidden="false" customHeight="false" outlineLevel="0" collapsed="false">
      <c r="A1038" s="4"/>
      <c r="B1038" s="2"/>
      <c r="C1038" s="2"/>
      <c r="D1038" s="2"/>
      <c r="E1038" s="2"/>
      <c r="F1038" s="3" t="str">
        <f aca="false">IFERROR(__xludf.dummyfunction("if($T1038&lt;&gt;"""",REGEXEXTRACT(SUBSTITUTE ($T1038,F$1&amp;"" CE"",""""), F$1&amp;""[\w &amp;]*, (\d+\.\d+)""),"""")
"),"")</f>
        <v/>
      </c>
      <c r="G1038" s="3" t="str">
        <f aca="false">IFERROR(__xludf.dummyfunction("if($T1038&lt;&gt;"""",REGEXEXTRACT($T1038, G$1&amp;""[\w &amp;]*, (\d+\.\d+)""),"""")
"),"")</f>
        <v/>
      </c>
      <c r="H1038" s="3"/>
      <c r="I1038" s="3" t="str">
        <f aca="false">IFERROR(__xludf.dummyfunction("if($T1038&lt;&gt;"""",REGEXEXTRACT(SUBSTITUTE ($T1038,I$1&amp;"" CE"",""""), I$1&amp;""[\w &amp;]*, (\d+\.\d+)""),"""")
"),"")</f>
        <v/>
      </c>
      <c r="J1038" s="3" t="str">
        <f aca="false">IFERROR(__xludf.dummyfunction("if($T1038&lt;&gt;"""",REGEXEXTRACT($T1038, J$1&amp;""[\w &amp;]*, (\d+\.\d+)""),"""")
"),"")</f>
        <v/>
      </c>
      <c r="K1038" s="3"/>
      <c r="L1038" s="3" t="str">
        <f aca="false">IFERROR(__xludf.dummyfunction("if($T1038&lt;&gt;"""",REGEXEXTRACT(SUBSTITUTE ($T1038,L$1&amp;"" CE"",""""), L$1&amp;""[\w &amp;]*, (\d+\.\d+)""),"""")
"),"")</f>
        <v/>
      </c>
      <c r="M1038" s="3" t="str">
        <f aca="false">IFERROR(__xludf.dummyfunction("if($T1038&lt;&gt;"""",REGEXEXTRACT($T1038, M$1&amp;""[\w &amp;]*, (\d+\.\d+)""),"""")
"),"")</f>
        <v/>
      </c>
      <c r="N1038" s="3" t="str">
        <f aca="false">IFERROR(__xludf.dummyfunction("if($T1038&lt;&gt;"""",REGEXEXTRACT(SUBSTITUTE ($T1038,N$1&amp;"" CE"",""""), N$1&amp;""[\w &amp;]*, (\d+\.\d+)""),"""")
"),"")</f>
        <v/>
      </c>
      <c r="O1038" s="3" t="str">
        <f aca="false">IFERROR(__xludf.dummyfunction("if($T1038&lt;&gt;"""",REGEXEXTRACT($T1038, O$1&amp;""[\w &amp;]*, (\d+\.\d+)""),"""")
"),"")</f>
        <v/>
      </c>
      <c r="P1038" s="2"/>
      <c r="Q1038" s="2"/>
      <c r="R1038" s="2"/>
      <c r="S1038" s="2"/>
      <c r="T1038" s="5"/>
    </row>
    <row r="1039" customFormat="false" ht="15.75" hidden="false" customHeight="false" outlineLevel="0" collapsed="false">
      <c r="A1039" s="4"/>
      <c r="B1039" s="2"/>
      <c r="C1039" s="2"/>
      <c r="D1039" s="2"/>
      <c r="E1039" s="2"/>
      <c r="F1039" s="3" t="str">
        <f aca="false">IFERROR(__xludf.dummyfunction("if($T1039&lt;&gt;"""",REGEXEXTRACT(SUBSTITUTE ($T1039,F$1&amp;"" CE"",""""), F$1&amp;""[\w &amp;]*, (\d+\.\d+)""),"""")
"),"")</f>
        <v/>
      </c>
      <c r="G1039" s="3" t="str">
        <f aca="false">IFERROR(__xludf.dummyfunction("if($T1039&lt;&gt;"""",REGEXEXTRACT($T1039, G$1&amp;""[\w &amp;]*, (\d+\.\d+)""),"""")
"),"")</f>
        <v/>
      </c>
      <c r="H1039" s="3"/>
      <c r="I1039" s="3" t="str">
        <f aca="false">IFERROR(__xludf.dummyfunction("if($T1039&lt;&gt;"""",REGEXEXTRACT(SUBSTITUTE ($T1039,I$1&amp;"" CE"",""""), I$1&amp;""[\w &amp;]*, (\d+\.\d+)""),"""")
"),"")</f>
        <v/>
      </c>
      <c r="J1039" s="3" t="str">
        <f aca="false">IFERROR(__xludf.dummyfunction("if($T1039&lt;&gt;"""",REGEXEXTRACT($T1039, J$1&amp;""[\w &amp;]*, (\d+\.\d+)""),"""")
"),"")</f>
        <v/>
      </c>
      <c r="K1039" s="3"/>
      <c r="L1039" s="3" t="str">
        <f aca="false">IFERROR(__xludf.dummyfunction("if($T1039&lt;&gt;"""",REGEXEXTRACT(SUBSTITUTE ($T1039,L$1&amp;"" CE"",""""), L$1&amp;""[\w &amp;]*, (\d+\.\d+)""),"""")
"),"")</f>
        <v/>
      </c>
      <c r="M1039" s="3" t="str">
        <f aca="false">IFERROR(__xludf.dummyfunction("if($T1039&lt;&gt;"""",REGEXEXTRACT($T1039, M$1&amp;""[\w &amp;]*, (\d+\.\d+)""),"""")
"),"")</f>
        <v/>
      </c>
      <c r="N1039" s="3" t="str">
        <f aca="false">IFERROR(__xludf.dummyfunction("if($T1039&lt;&gt;"""",REGEXEXTRACT(SUBSTITUTE ($T1039,N$1&amp;"" CE"",""""), N$1&amp;""[\w &amp;]*, (\d+\.\d+)""),"""")
"),"")</f>
        <v/>
      </c>
      <c r="O1039" s="3" t="str">
        <f aca="false">IFERROR(__xludf.dummyfunction("if($T1039&lt;&gt;"""",REGEXEXTRACT($T1039, O$1&amp;""[\w &amp;]*, (\d+\.\d+)""),"""")
"),"")</f>
        <v/>
      </c>
      <c r="P1039" s="2"/>
      <c r="Q1039" s="2"/>
      <c r="R1039" s="2"/>
      <c r="S1039" s="2"/>
      <c r="T1039" s="5"/>
    </row>
    <row r="1040" customFormat="false" ht="15.75" hidden="false" customHeight="false" outlineLevel="0" collapsed="false">
      <c r="A1040" s="4"/>
      <c r="B1040" s="2"/>
      <c r="C1040" s="2"/>
      <c r="D1040" s="2"/>
      <c r="E1040" s="2"/>
      <c r="F1040" s="3" t="str">
        <f aca="false">IFERROR(__xludf.dummyfunction("if($T1040&lt;&gt;"""",REGEXEXTRACT(SUBSTITUTE ($T1040,F$1&amp;"" CE"",""""), F$1&amp;""[\w &amp;]*, (\d+\.\d+)""),"""")
"),"")</f>
        <v/>
      </c>
      <c r="G1040" s="3" t="str">
        <f aca="false">IFERROR(__xludf.dummyfunction("if($T1040&lt;&gt;"""",REGEXEXTRACT($T1040, G$1&amp;""[\w &amp;]*, (\d+\.\d+)""),"""")
"),"")</f>
        <v/>
      </c>
      <c r="H1040" s="3"/>
      <c r="I1040" s="3" t="str">
        <f aca="false">IFERROR(__xludf.dummyfunction("if($T1040&lt;&gt;"""",REGEXEXTRACT(SUBSTITUTE ($T1040,I$1&amp;"" CE"",""""), I$1&amp;""[\w &amp;]*, (\d+\.\d+)""),"""")
"),"")</f>
        <v/>
      </c>
      <c r="J1040" s="3" t="str">
        <f aca="false">IFERROR(__xludf.dummyfunction("if($T1040&lt;&gt;"""",REGEXEXTRACT($T1040, J$1&amp;""[\w &amp;]*, (\d+\.\d+)""),"""")
"),"")</f>
        <v/>
      </c>
      <c r="K1040" s="3"/>
      <c r="L1040" s="3" t="str">
        <f aca="false">IFERROR(__xludf.dummyfunction("if($T1040&lt;&gt;"""",REGEXEXTRACT(SUBSTITUTE ($T1040,L$1&amp;"" CE"",""""), L$1&amp;""[\w &amp;]*, (\d+\.\d+)""),"""")
"),"")</f>
        <v/>
      </c>
      <c r="M1040" s="3" t="str">
        <f aca="false">IFERROR(__xludf.dummyfunction("if($T1040&lt;&gt;"""",REGEXEXTRACT($T1040, M$1&amp;""[\w &amp;]*, (\d+\.\d+)""),"""")
"),"")</f>
        <v/>
      </c>
      <c r="N1040" s="3" t="str">
        <f aca="false">IFERROR(__xludf.dummyfunction("if($T1040&lt;&gt;"""",REGEXEXTRACT(SUBSTITUTE ($T1040,N$1&amp;"" CE"",""""), N$1&amp;""[\w &amp;]*, (\d+\.\d+)""),"""")
"),"")</f>
        <v/>
      </c>
      <c r="O1040" s="3" t="str">
        <f aca="false">IFERROR(__xludf.dummyfunction("if($T1040&lt;&gt;"""",REGEXEXTRACT($T1040, O$1&amp;""[\w &amp;]*, (\d+\.\d+)""),"""")
"),"")</f>
        <v/>
      </c>
      <c r="P1040" s="2"/>
      <c r="Q1040" s="2"/>
      <c r="R1040" s="2"/>
      <c r="S1040" s="2"/>
      <c r="T1040" s="5"/>
    </row>
    <row r="1041" customFormat="false" ht="15.75" hidden="false" customHeight="false" outlineLevel="0" collapsed="false">
      <c r="A1041" s="4"/>
      <c r="B1041" s="2"/>
      <c r="C1041" s="2"/>
      <c r="D1041" s="2"/>
      <c r="E1041" s="2"/>
      <c r="F1041" s="3" t="str">
        <f aca="false">IFERROR(__xludf.dummyfunction("if($T1041&lt;&gt;"""",REGEXEXTRACT(SUBSTITUTE ($T1041,F$1&amp;"" CE"",""""), F$1&amp;""[\w &amp;]*, (\d+\.\d+)""),"""")
"),"")</f>
        <v/>
      </c>
      <c r="G1041" s="3" t="str">
        <f aca="false">IFERROR(__xludf.dummyfunction("if($T1041&lt;&gt;"""",REGEXEXTRACT($T1041, G$1&amp;""[\w &amp;]*, (\d+\.\d+)""),"""")
"),"")</f>
        <v/>
      </c>
      <c r="H1041" s="3"/>
      <c r="I1041" s="3" t="str">
        <f aca="false">IFERROR(__xludf.dummyfunction("if($T1041&lt;&gt;"""",REGEXEXTRACT(SUBSTITUTE ($T1041,I$1&amp;"" CE"",""""), I$1&amp;""[\w &amp;]*, (\d+\.\d+)""),"""")
"),"")</f>
        <v/>
      </c>
      <c r="J1041" s="3" t="str">
        <f aca="false">IFERROR(__xludf.dummyfunction("if($T1041&lt;&gt;"""",REGEXEXTRACT($T1041, J$1&amp;""[\w &amp;]*, (\d+\.\d+)""),"""")
"),"")</f>
        <v/>
      </c>
      <c r="K1041" s="3"/>
      <c r="L1041" s="3" t="str">
        <f aca="false">IFERROR(__xludf.dummyfunction("if($T1041&lt;&gt;"""",REGEXEXTRACT(SUBSTITUTE ($T1041,L$1&amp;"" CE"",""""), L$1&amp;""[\w &amp;]*, (\d+\.\d+)""),"""")
"),"")</f>
        <v/>
      </c>
      <c r="M1041" s="3" t="str">
        <f aca="false">IFERROR(__xludf.dummyfunction("if($T1041&lt;&gt;"""",REGEXEXTRACT($T1041, M$1&amp;""[\w &amp;]*, (\d+\.\d+)""),"""")
"),"")</f>
        <v/>
      </c>
      <c r="N1041" s="3" t="str">
        <f aca="false">IFERROR(__xludf.dummyfunction("if($T1041&lt;&gt;"""",REGEXEXTRACT(SUBSTITUTE ($T1041,N$1&amp;"" CE"",""""), N$1&amp;""[\w &amp;]*, (\d+\.\d+)""),"""")
"),"")</f>
        <v/>
      </c>
      <c r="O1041" s="3" t="str">
        <f aca="false">IFERROR(__xludf.dummyfunction("if($T1041&lt;&gt;"""",REGEXEXTRACT($T1041, O$1&amp;""[\w &amp;]*, (\d+\.\d+)""),"""")
"),"")</f>
        <v/>
      </c>
      <c r="P1041" s="2"/>
      <c r="Q1041" s="2"/>
      <c r="R1041" s="2"/>
      <c r="S1041" s="2"/>
      <c r="T1041" s="5"/>
    </row>
    <row r="1042" customFormat="false" ht="15.75" hidden="false" customHeight="false" outlineLevel="0" collapsed="false">
      <c r="A1042" s="4"/>
      <c r="B1042" s="2"/>
      <c r="C1042" s="2"/>
      <c r="D1042" s="2"/>
      <c r="E1042" s="2"/>
      <c r="F1042" s="3" t="str">
        <f aca="false">IFERROR(__xludf.dummyfunction("if($T1042&lt;&gt;"""",REGEXEXTRACT(SUBSTITUTE ($T1042,F$1&amp;"" CE"",""""), F$1&amp;""[\w &amp;]*, (\d+\.\d+)""),"""")
"),"")</f>
        <v/>
      </c>
      <c r="G1042" s="3" t="str">
        <f aca="false">IFERROR(__xludf.dummyfunction("if($T1042&lt;&gt;"""",REGEXEXTRACT($T1042, G$1&amp;""[\w &amp;]*, (\d+\.\d+)""),"""")
"),"")</f>
        <v/>
      </c>
      <c r="H1042" s="3"/>
      <c r="I1042" s="3" t="str">
        <f aca="false">IFERROR(__xludf.dummyfunction("if($T1042&lt;&gt;"""",REGEXEXTRACT(SUBSTITUTE ($T1042,I$1&amp;"" CE"",""""), I$1&amp;""[\w &amp;]*, (\d+\.\d+)""),"""")
"),"")</f>
        <v/>
      </c>
      <c r="J1042" s="3" t="str">
        <f aca="false">IFERROR(__xludf.dummyfunction("if($T1042&lt;&gt;"""",REGEXEXTRACT($T1042, J$1&amp;""[\w &amp;]*, (\d+\.\d+)""),"""")
"),"")</f>
        <v/>
      </c>
      <c r="K1042" s="3"/>
      <c r="L1042" s="3" t="str">
        <f aca="false">IFERROR(__xludf.dummyfunction("if($T1042&lt;&gt;"""",REGEXEXTRACT(SUBSTITUTE ($T1042,L$1&amp;"" CE"",""""), L$1&amp;""[\w &amp;]*, (\d+\.\d+)""),"""")
"),"")</f>
        <v/>
      </c>
      <c r="M1042" s="3" t="str">
        <f aca="false">IFERROR(__xludf.dummyfunction("if($T1042&lt;&gt;"""",REGEXEXTRACT($T1042, M$1&amp;""[\w &amp;]*, (\d+\.\d+)""),"""")
"),"")</f>
        <v/>
      </c>
      <c r="N1042" s="3" t="str">
        <f aca="false">IFERROR(__xludf.dummyfunction("if($T1042&lt;&gt;"""",REGEXEXTRACT(SUBSTITUTE ($T1042,N$1&amp;"" CE"",""""), N$1&amp;""[\w &amp;]*, (\d+\.\d+)""),"""")
"),"")</f>
        <v/>
      </c>
      <c r="O1042" s="3" t="str">
        <f aca="false">IFERROR(__xludf.dummyfunction("if($T1042&lt;&gt;"""",REGEXEXTRACT($T1042, O$1&amp;""[\w &amp;]*, (\d+\.\d+)""),"""")
"),"")</f>
        <v/>
      </c>
      <c r="P1042" s="2"/>
      <c r="Q1042" s="2"/>
      <c r="R1042" s="2"/>
      <c r="S1042" s="2"/>
      <c r="T1042" s="5"/>
    </row>
    <row r="1043" customFormat="false" ht="15.75" hidden="false" customHeight="false" outlineLevel="0" collapsed="false">
      <c r="A1043" s="4"/>
      <c r="B1043" s="2"/>
      <c r="C1043" s="2"/>
      <c r="D1043" s="2"/>
      <c r="E1043" s="2"/>
      <c r="F1043" s="3" t="str">
        <f aca="false">IFERROR(__xludf.dummyfunction("if($T1043&lt;&gt;"""",REGEXEXTRACT(SUBSTITUTE ($T1043,F$1&amp;"" CE"",""""), F$1&amp;""[\w &amp;]*, (\d+\.\d+)""),"""")
"),"")</f>
        <v/>
      </c>
      <c r="G1043" s="3" t="str">
        <f aca="false">IFERROR(__xludf.dummyfunction("if($T1043&lt;&gt;"""",REGEXEXTRACT($T1043, G$1&amp;""[\w &amp;]*, (\d+\.\d+)""),"""")
"),"")</f>
        <v/>
      </c>
      <c r="H1043" s="3"/>
      <c r="I1043" s="3" t="str">
        <f aca="false">IFERROR(__xludf.dummyfunction("if($T1043&lt;&gt;"""",REGEXEXTRACT(SUBSTITUTE ($T1043,I$1&amp;"" CE"",""""), I$1&amp;""[\w &amp;]*, (\d+\.\d+)""),"""")
"),"")</f>
        <v/>
      </c>
      <c r="J1043" s="3" t="str">
        <f aca="false">IFERROR(__xludf.dummyfunction("if($T1043&lt;&gt;"""",REGEXEXTRACT($T1043, J$1&amp;""[\w &amp;]*, (\d+\.\d+)""),"""")
"),"")</f>
        <v/>
      </c>
      <c r="K1043" s="3"/>
      <c r="L1043" s="3" t="str">
        <f aca="false">IFERROR(__xludf.dummyfunction("if($T1043&lt;&gt;"""",REGEXEXTRACT(SUBSTITUTE ($T1043,L$1&amp;"" CE"",""""), L$1&amp;""[\w &amp;]*, (\d+\.\d+)""),"""")
"),"")</f>
        <v/>
      </c>
      <c r="M1043" s="3" t="str">
        <f aca="false">IFERROR(__xludf.dummyfunction("if($T1043&lt;&gt;"""",REGEXEXTRACT($T1043, M$1&amp;""[\w &amp;]*, (\d+\.\d+)""),"""")
"),"")</f>
        <v/>
      </c>
      <c r="N1043" s="3" t="str">
        <f aca="false">IFERROR(__xludf.dummyfunction("if($T1043&lt;&gt;"""",REGEXEXTRACT(SUBSTITUTE ($T1043,N$1&amp;"" CE"",""""), N$1&amp;""[\w &amp;]*, (\d+\.\d+)""),"""")
"),"")</f>
        <v/>
      </c>
      <c r="O1043" s="3" t="str">
        <f aca="false">IFERROR(__xludf.dummyfunction("if($T1043&lt;&gt;"""",REGEXEXTRACT($T1043, O$1&amp;""[\w &amp;]*, (\d+\.\d+)""),"""")
"),"")</f>
        <v/>
      </c>
      <c r="P1043" s="2"/>
      <c r="Q1043" s="2"/>
      <c r="R1043" s="2"/>
      <c r="S1043" s="2"/>
      <c r="T1043" s="5"/>
    </row>
    <row r="1044" customFormat="false" ht="15.75" hidden="false" customHeight="false" outlineLevel="0" collapsed="false">
      <c r="A1044" s="4"/>
      <c r="B1044" s="2"/>
      <c r="C1044" s="2"/>
      <c r="D1044" s="2"/>
      <c r="E1044" s="2"/>
      <c r="F1044" s="3" t="str">
        <f aca="false">IFERROR(__xludf.dummyfunction("if($T1044&lt;&gt;"""",REGEXEXTRACT(SUBSTITUTE ($T1044,F$1&amp;"" CE"",""""), F$1&amp;""[\w &amp;]*, (\d+\.\d+)""),"""")
"),"")</f>
        <v/>
      </c>
      <c r="G1044" s="3" t="str">
        <f aca="false">IFERROR(__xludf.dummyfunction("if($T1044&lt;&gt;"""",REGEXEXTRACT($T1044, G$1&amp;""[\w &amp;]*, (\d+\.\d+)""),"""")
"),"")</f>
        <v/>
      </c>
      <c r="H1044" s="3"/>
      <c r="I1044" s="3" t="str">
        <f aca="false">IFERROR(__xludf.dummyfunction("if($T1044&lt;&gt;"""",REGEXEXTRACT(SUBSTITUTE ($T1044,I$1&amp;"" CE"",""""), I$1&amp;""[\w &amp;]*, (\d+\.\d+)""),"""")
"),"")</f>
        <v/>
      </c>
      <c r="J1044" s="3" t="str">
        <f aca="false">IFERROR(__xludf.dummyfunction("if($T1044&lt;&gt;"""",REGEXEXTRACT($T1044, J$1&amp;""[\w &amp;]*, (\d+\.\d+)""),"""")
"),"")</f>
        <v/>
      </c>
      <c r="K1044" s="3"/>
      <c r="L1044" s="3" t="str">
        <f aca="false">IFERROR(__xludf.dummyfunction("if($T1044&lt;&gt;"""",REGEXEXTRACT(SUBSTITUTE ($T1044,L$1&amp;"" CE"",""""), L$1&amp;""[\w &amp;]*, (\d+\.\d+)""),"""")
"),"")</f>
        <v/>
      </c>
      <c r="M1044" s="3" t="str">
        <f aca="false">IFERROR(__xludf.dummyfunction("if($T1044&lt;&gt;"""",REGEXEXTRACT($T1044, M$1&amp;""[\w &amp;]*, (\d+\.\d+)""),"""")
"),"")</f>
        <v/>
      </c>
      <c r="N1044" s="3" t="str">
        <f aca="false">IFERROR(__xludf.dummyfunction("if($T1044&lt;&gt;"""",REGEXEXTRACT(SUBSTITUTE ($T1044,N$1&amp;"" CE"",""""), N$1&amp;""[\w &amp;]*, (\d+\.\d+)""),"""")
"),"")</f>
        <v/>
      </c>
      <c r="O1044" s="3" t="str">
        <f aca="false">IFERROR(__xludf.dummyfunction("if($T1044&lt;&gt;"""",REGEXEXTRACT($T1044, O$1&amp;""[\w &amp;]*, (\d+\.\d+)""),"""")
"),"")</f>
        <v/>
      </c>
      <c r="P1044" s="2"/>
      <c r="Q1044" s="2"/>
      <c r="R1044" s="2"/>
      <c r="S1044" s="2"/>
      <c r="T1044" s="5"/>
    </row>
    <row r="1045" customFormat="false" ht="15.75" hidden="false" customHeight="false" outlineLevel="0" collapsed="false">
      <c r="A1045" s="4"/>
      <c r="B1045" s="2"/>
      <c r="C1045" s="2"/>
      <c r="D1045" s="2"/>
      <c r="E1045" s="2"/>
      <c r="F1045" s="3" t="str">
        <f aca="false">IFERROR(__xludf.dummyfunction("if($T1045&lt;&gt;"""",REGEXEXTRACT(SUBSTITUTE ($T1045,F$1&amp;"" CE"",""""), F$1&amp;""[\w &amp;]*, (\d+\.\d+)""),"""")
"),"")</f>
        <v/>
      </c>
      <c r="G1045" s="3" t="str">
        <f aca="false">IFERROR(__xludf.dummyfunction("if($T1045&lt;&gt;"""",REGEXEXTRACT($T1045, G$1&amp;""[\w &amp;]*, (\d+\.\d+)""),"""")
"),"")</f>
        <v/>
      </c>
      <c r="H1045" s="3"/>
      <c r="I1045" s="3" t="str">
        <f aca="false">IFERROR(__xludf.dummyfunction("if($T1045&lt;&gt;"""",REGEXEXTRACT(SUBSTITUTE ($T1045,I$1&amp;"" CE"",""""), I$1&amp;""[\w &amp;]*, (\d+\.\d+)""),"""")
"),"")</f>
        <v/>
      </c>
      <c r="J1045" s="3" t="str">
        <f aca="false">IFERROR(__xludf.dummyfunction("if($T1045&lt;&gt;"""",REGEXEXTRACT($T1045, J$1&amp;""[\w &amp;]*, (\d+\.\d+)""),"""")
"),"")</f>
        <v/>
      </c>
      <c r="K1045" s="3"/>
      <c r="L1045" s="3" t="str">
        <f aca="false">IFERROR(__xludf.dummyfunction("if($T1045&lt;&gt;"""",REGEXEXTRACT(SUBSTITUTE ($T1045,L$1&amp;"" CE"",""""), L$1&amp;""[\w &amp;]*, (\d+\.\d+)""),"""")
"),"")</f>
        <v/>
      </c>
      <c r="M1045" s="3" t="str">
        <f aca="false">IFERROR(__xludf.dummyfunction("if($T1045&lt;&gt;"""",REGEXEXTRACT($T1045, M$1&amp;""[\w &amp;]*, (\d+\.\d+)""),"""")
"),"")</f>
        <v/>
      </c>
      <c r="N1045" s="3" t="str">
        <f aca="false">IFERROR(__xludf.dummyfunction("if($T1045&lt;&gt;"""",REGEXEXTRACT(SUBSTITUTE ($T1045,N$1&amp;"" CE"",""""), N$1&amp;""[\w &amp;]*, (\d+\.\d+)""),"""")
"),"")</f>
        <v/>
      </c>
      <c r="O1045" s="3" t="str">
        <f aca="false">IFERROR(__xludf.dummyfunction("if($T1045&lt;&gt;"""",REGEXEXTRACT($T1045, O$1&amp;""[\w &amp;]*, (\d+\.\d+)""),"""")
"),"")</f>
        <v/>
      </c>
      <c r="P1045" s="2"/>
      <c r="Q1045" s="2"/>
      <c r="R1045" s="2"/>
      <c r="S1045" s="2"/>
      <c r="T1045" s="5"/>
    </row>
    <row r="1046" customFormat="false" ht="15.75" hidden="false" customHeight="false" outlineLevel="0" collapsed="false">
      <c r="A1046" s="4"/>
      <c r="B1046" s="2"/>
      <c r="C1046" s="2"/>
      <c r="D1046" s="2"/>
      <c r="E1046" s="2"/>
      <c r="F1046" s="3" t="str">
        <f aca="false">IFERROR(__xludf.dummyfunction("if($T1046&lt;&gt;"""",REGEXEXTRACT(SUBSTITUTE ($T1046,F$1&amp;"" CE"",""""), F$1&amp;""[\w &amp;]*, (\d+\.\d+)""),"""")
"),"")</f>
        <v/>
      </c>
      <c r="G1046" s="3" t="str">
        <f aca="false">IFERROR(__xludf.dummyfunction("if($T1046&lt;&gt;"""",REGEXEXTRACT($T1046, G$1&amp;""[\w &amp;]*, (\d+\.\d+)""),"""")
"),"")</f>
        <v/>
      </c>
      <c r="H1046" s="3"/>
      <c r="I1046" s="3" t="str">
        <f aca="false">IFERROR(__xludf.dummyfunction("if($T1046&lt;&gt;"""",REGEXEXTRACT(SUBSTITUTE ($T1046,I$1&amp;"" CE"",""""), I$1&amp;""[\w &amp;]*, (\d+\.\d+)""),"""")
"),"")</f>
        <v/>
      </c>
      <c r="J1046" s="3" t="str">
        <f aca="false">IFERROR(__xludf.dummyfunction("if($T1046&lt;&gt;"""",REGEXEXTRACT($T1046, J$1&amp;""[\w &amp;]*, (\d+\.\d+)""),"""")
"),"")</f>
        <v/>
      </c>
      <c r="K1046" s="3"/>
      <c r="L1046" s="3" t="str">
        <f aca="false">IFERROR(__xludf.dummyfunction("if($T1046&lt;&gt;"""",REGEXEXTRACT(SUBSTITUTE ($T1046,L$1&amp;"" CE"",""""), L$1&amp;""[\w &amp;]*, (\d+\.\d+)""),"""")
"),"")</f>
        <v/>
      </c>
      <c r="M1046" s="3" t="str">
        <f aca="false">IFERROR(__xludf.dummyfunction("if($T1046&lt;&gt;"""",REGEXEXTRACT($T1046, M$1&amp;""[\w &amp;]*, (\d+\.\d+)""),"""")
"),"")</f>
        <v/>
      </c>
      <c r="N1046" s="3" t="str">
        <f aca="false">IFERROR(__xludf.dummyfunction("if($T1046&lt;&gt;"""",REGEXEXTRACT(SUBSTITUTE ($T1046,N$1&amp;"" CE"",""""), N$1&amp;""[\w &amp;]*, (\d+\.\d+)""),"""")
"),"")</f>
        <v/>
      </c>
      <c r="O1046" s="3" t="str">
        <f aca="false">IFERROR(__xludf.dummyfunction("if($T1046&lt;&gt;"""",REGEXEXTRACT($T1046, O$1&amp;""[\w &amp;]*, (\d+\.\d+)""),"""")
"),"")</f>
        <v/>
      </c>
      <c r="P1046" s="2"/>
      <c r="Q1046" s="2"/>
      <c r="R1046" s="2"/>
      <c r="S1046" s="2"/>
      <c r="T1046" s="5"/>
    </row>
    <row r="1047" customFormat="false" ht="15.75" hidden="false" customHeight="false" outlineLevel="0" collapsed="false">
      <c r="A1047" s="4"/>
      <c r="B1047" s="2"/>
      <c r="C1047" s="2"/>
      <c r="D1047" s="2"/>
      <c r="E1047" s="2"/>
      <c r="F1047" s="3" t="str">
        <f aca="false">IFERROR(__xludf.dummyfunction("if($T1047&lt;&gt;"""",REGEXEXTRACT(SUBSTITUTE ($T1047,F$1&amp;"" CE"",""""), F$1&amp;""[\w &amp;]*, (\d+\.\d+)""),"""")
"),"")</f>
        <v/>
      </c>
      <c r="G1047" s="3" t="str">
        <f aca="false">IFERROR(__xludf.dummyfunction("if($T1047&lt;&gt;"""",REGEXEXTRACT($T1047, G$1&amp;""[\w &amp;]*, (\d+\.\d+)""),"""")
"),"")</f>
        <v/>
      </c>
      <c r="H1047" s="3"/>
      <c r="I1047" s="3" t="str">
        <f aca="false">IFERROR(__xludf.dummyfunction("if($T1047&lt;&gt;"""",REGEXEXTRACT(SUBSTITUTE ($T1047,I$1&amp;"" CE"",""""), I$1&amp;""[\w &amp;]*, (\d+\.\d+)""),"""")
"),"")</f>
        <v/>
      </c>
      <c r="J1047" s="3" t="str">
        <f aca="false">IFERROR(__xludf.dummyfunction("if($T1047&lt;&gt;"""",REGEXEXTRACT($T1047, J$1&amp;""[\w &amp;]*, (\d+\.\d+)""),"""")
"),"")</f>
        <v/>
      </c>
      <c r="K1047" s="3"/>
      <c r="L1047" s="3" t="str">
        <f aca="false">IFERROR(__xludf.dummyfunction("if($T1047&lt;&gt;"""",REGEXEXTRACT(SUBSTITUTE ($T1047,L$1&amp;"" CE"",""""), L$1&amp;""[\w &amp;]*, (\d+\.\d+)""),"""")
"),"")</f>
        <v/>
      </c>
      <c r="M1047" s="3" t="str">
        <f aca="false">IFERROR(__xludf.dummyfunction("if($T1047&lt;&gt;"""",REGEXEXTRACT($T1047, M$1&amp;""[\w &amp;]*, (\d+\.\d+)""),"""")
"),"")</f>
        <v/>
      </c>
      <c r="N1047" s="3" t="str">
        <f aca="false">IFERROR(__xludf.dummyfunction("if($T1047&lt;&gt;"""",REGEXEXTRACT(SUBSTITUTE ($T1047,N$1&amp;"" CE"",""""), N$1&amp;""[\w &amp;]*, (\d+\.\d+)""),"""")
"),"")</f>
        <v/>
      </c>
      <c r="O1047" s="3" t="str">
        <f aca="false">IFERROR(__xludf.dummyfunction("if($T1047&lt;&gt;"""",REGEXEXTRACT($T1047, O$1&amp;""[\w &amp;]*, (\d+\.\d+)""),"""")
"),"")</f>
        <v/>
      </c>
      <c r="P1047" s="2"/>
      <c r="Q1047" s="2"/>
      <c r="R1047" s="2"/>
      <c r="S1047" s="2"/>
      <c r="T1047" s="5"/>
    </row>
    <row r="1048" customFormat="false" ht="15.75" hidden="false" customHeight="false" outlineLevel="0" collapsed="false">
      <c r="A1048" s="4"/>
      <c r="B1048" s="2"/>
      <c r="C1048" s="2"/>
      <c r="D1048" s="2"/>
      <c r="E1048" s="2"/>
      <c r="F1048" s="3" t="str">
        <f aca="false">IFERROR(__xludf.dummyfunction("if($T1048&lt;&gt;"""",REGEXEXTRACT(SUBSTITUTE ($T1048,F$1&amp;"" CE"",""""), F$1&amp;""[\w &amp;]*, (\d+\.\d+)""),"""")
"),"")</f>
        <v/>
      </c>
      <c r="G1048" s="3" t="str">
        <f aca="false">IFERROR(__xludf.dummyfunction("if($T1048&lt;&gt;"""",REGEXEXTRACT($T1048, G$1&amp;""[\w &amp;]*, (\d+\.\d+)""),"""")
"),"")</f>
        <v/>
      </c>
      <c r="H1048" s="3"/>
      <c r="I1048" s="3" t="str">
        <f aca="false">IFERROR(__xludf.dummyfunction("if($T1048&lt;&gt;"""",REGEXEXTRACT(SUBSTITUTE ($T1048,I$1&amp;"" CE"",""""), I$1&amp;""[\w &amp;]*, (\d+\.\d+)""),"""")
"),"")</f>
        <v/>
      </c>
      <c r="J1048" s="3" t="str">
        <f aca="false">IFERROR(__xludf.dummyfunction("if($T1048&lt;&gt;"""",REGEXEXTRACT($T1048, J$1&amp;""[\w &amp;]*, (\d+\.\d+)""),"""")
"),"")</f>
        <v/>
      </c>
      <c r="K1048" s="3"/>
      <c r="L1048" s="3" t="str">
        <f aca="false">IFERROR(__xludf.dummyfunction("if($T1048&lt;&gt;"""",REGEXEXTRACT(SUBSTITUTE ($T1048,L$1&amp;"" CE"",""""), L$1&amp;""[\w &amp;]*, (\d+\.\d+)""),"""")
"),"")</f>
        <v/>
      </c>
      <c r="M1048" s="3" t="str">
        <f aca="false">IFERROR(__xludf.dummyfunction("if($T1048&lt;&gt;"""",REGEXEXTRACT($T1048, M$1&amp;""[\w &amp;]*, (\d+\.\d+)""),"""")
"),"")</f>
        <v/>
      </c>
      <c r="N1048" s="3" t="str">
        <f aca="false">IFERROR(__xludf.dummyfunction("if($T1048&lt;&gt;"""",REGEXEXTRACT(SUBSTITUTE ($T1048,N$1&amp;"" CE"",""""), N$1&amp;""[\w &amp;]*, (\d+\.\d+)""),"""")
"),"")</f>
        <v/>
      </c>
      <c r="O1048" s="3" t="str">
        <f aca="false">IFERROR(__xludf.dummyfunction("if($T1048&lt;&gt;"""",REGEXEXTRACT($T1048, O$1&amp;""[\w &amp;]*, (\d+\.\d+)""),"""")
"),"")</f>
        <v/>
      </c>
      <c r="P1048" s="2"/>
      <c r="Q1048" s="2"/>
      <c r="R1048" s="2"/>
      <c r="S1048" s="2"/>
      <c r="T1048" s="5"/>
    </row>
    <row r="1049" customFormat="false" ht="15.75" hidden="false" customHeight="false" outlineLevel="0" collapsed="false">
      <c r="A1049" s="4"/>
      <c r="B1049" s="2"/>
      <c r="C1049" s="2"/>
      <c r="D1049" s="2"/>
      <c r="E1049" s="2"/>
      <c r="F1049" s="3" t="str">
        <f aca="false">IFERROR(__xludf.dummyfunction("if($T1049&lt;&gt;"""",REGEXEXTRACT(SUBSTITUTE ($T1049,F$1&amp;"" CE"",""""), F$1&amp;""[\w &amp;]*, (\d+\.\d+)""),"""")
"),"")</f>
        <v/>
      </c>
      <c r="G1049" s="3" t="str">
        <f aca="false">IFERROR(__xludf.dummyfunction("if($T1049&lt;&gt;"""",REGEXEXTRACT($T1049, G$1&amp;""[\w &amp;]*, (\d+\.\d+)""),"""")
"),"")</f>
        <v/>
      </c>
      <c r="H1049" s="3"/>
      <c r="I1049" s="3" t="str">
        <f aca="false">IFERROR(__xludf.dummyfunction("if($T1049&lt;&gt;"""",REGEXEXTRACT(SUBSTITUTE ($T1049,I$1&amp;"" CE"",""""), I$1&amp;""[\w &amp;]*, (\d+\.\d+)""),"""")
"),"")</f>
        <v/>
      </c>
      <c r="J1049" s="3" t="str">
        <f aca="false">IFERROR(__xludf.dummyfunction("if($T1049&lt;&gt;"""",REGEXEXTRACT($T1049, J$1&amp;""[\w &amp;]*, (\d+\.\d+)""),"""")
"),"")</f>
        <v/>
      </c>
      <c r="K1049" s="3"/>
      <c r="L1049" s="3" t="str">
        <f aca="false">IFERROR(__xludf.dummyfunction("if($T1049&lt;&gt;"""",REGEXEXTRACT(SUBSTITUTE ($T1049,L$1&amp;"" CE"",""""), L$1&amp;""[\w &amp;]*, (\d+\.\d+)""),"""")
"),"")</f>
        <v/>
      </c>
      <c r="M1049" s="3" t="str">
        <f aca="false">IFERROR(__xludf.dummyfunction("if($T1049&lt;&gt;"""",REGEXEXTRACT($T1049, M$1&amp;""[\w &amp;]*, (\d+\.\d+)""),"""")
"),"")</f>
        <v/>
      </c>
      <c r="N1049" s="3" t="str">
        <f aca="false">IFERROR(__xludf.dummyfunction("if($T1049&lt;&gt;"""",REGEXEXTRACT(SUBSTITUTE ($T1049,N$1&amp;"" CE"",""""), N$1&amp;""[\w &amp;]*, (\d+\.\d+)""),"""")
"),"")</f>
        <v/>
      </c>
      <c r="O1049" s="3" t="str">
        <f aca="false">IFERROR(__xludf.dummyfunction("if($T1049&lt;&gt;"""",REGEXEXTRACT($T1049, O$1&amp;""[\w &amp;]*, (\d+\.\d+)""),"""")
"),"")</f>
        <v/>
      </c>
      <c r="P1049" s="2"/>
      <c r="Q1049" s="2"/>
      <c r="R1049" s="2"/>
      <c r="S1049" s="2"/>
      <c r="T1049" s="5"/>
    </row>
    <row r="1050" customFormat="false" ht="15.75" hidden="false" customHeight="false" outlineLevel="0" collapsed="false">
      <c r="A1050" s="4"/>
      <c r="B1050" s="2"/>
      <c r="C1050" s="2"/>
      <c r="D1050" s="2"/>
      <c r="E1050" s="2"/>
      <c r="F1050" s="3" t="str">
        <f aca="false">IFERROR(__xludf.dummyfunction("if($T1050&lt;&gt;"""",REGEXEXTRACT(SUBSTITUTE ($T1050,F$1&amp;"" CE"",""""), F$1&amp;""[\w &amp;]*, (\d+\.\d+)""),"""")
"),"")</f>
        <v/>
      </c>
      <c r="G1050" s="3" t="str">
        <f aca="false">IFERROR(__xludf.dummyfunction("if($T1050&lt;&gt;"""",REGEXEXTRACT($T1050, G$1&amp;""[\w &amp;]*, (\d+\.\d+)""),"""")
"),"")</f>
        <v/>
      </c>
      <c r="H1050" s="3"/>
      <c r="I1050" s="3" t="str">
        <f aca="false">IFERROR(__xludf.dummyfunction("if($T1050&lt;&gt;"""",REGEXEXTRACT(SUBSTITUTE ($T1050,I$1&amp;"" CE"",""""), I$1&amp;""[\w &amp;]*, (\d+\.\d+)""),"""")
"),"")</f>
        <v/>
      </c>
      <c r="J1050" s="3" t="str">
        <f aca="false">IFERROR(__xludf.dummyfunction("if($T1050&lt;&gt;"""",REGEXEXTRACT($T1050, J$1&amp;""[\w &amp;]*, (\d+\.\d+)""),"""")
"),"")</f>
        <v/>
      </c>
      <c r="K1050" s="3"/>
      <c r="L1050" s="3" t="str">
        <f aca="false">IFERROR(__xludf.dummyfunction("if($T1050&lt;&gt;"""",REGEXEXTRACT(SUBSTITUTE ($T1050,L$1&amp;"" CE"",""""), L$1&amp;""[\w &amp;]*, (\d+\.\d+)""),"""")
"),"")</f>
        <v/>
      </c>
      <c r="M1050" s="3" t="str">
        <f aca="false">IFERROR(__xludf.dummyfunction("if($T1050&lt;&gt;"""",REGEXEXTRACT($T1050, M$1&amp;""[\w &amp;]*, (\d+\.\d+)""),"""")
"),"")</f>
        <v/>
      </c>
      <c r="N1050" s="3" t="str">
        <f aca="false">IFERROR(__xludf.dummyfunction("if($T1050&lt;&gt;"""",REGEXEXTRACT(SUBSTITUTE ($T1050,N$1&amp;"" CE"",""""), N$1&amp;""[\w &amp;]*, (\d+\.\d+)""),"""")
"),"")</f>
        <v/>
      </c>
      <c r="O1050" s="3" t="str">
        <f aca="false">IFERROR(__xludf.dummyfunction("if($T1050&lt;&gt;"""",REGEXEXTRACT($T1050, O$1&amp;""[\w &amp;]*, (\d+\.\d+)""),"""")
"),"")</f>
        <v/>
      </c>
      <c r="P1050" s="2"/>
      <c r="Q1050" s="2"/>
      <c r="R1050" s="2"/>
      <c r="S1050" s="2"/>
      <c r="T1050" s="5"/>
    </row>
    <row r="1051" customFormat="false" ht="15.75" hidden="false" customHeight="false" outlineLevel="0" collapsed="false">
      <c r="A1051" s="4"/>
      <c r="B1051" s="2"/>
      <c r="C1051" s="2"/>
      <c r="D1051" s="2"/>
      <c r="E1051" s="2"/>
      <c r="F1051" s="3" t="str">
        <f aca="false">IFERROR(__xludf.dummyfunction("if($T1051&lt;&gt;"""",REGEXEXTRACT(SUBSTITUTE ($T1051,F$1&amp;"" CE"",""""), F$1&amp;""[\w &amp;]*, (\d+\.\d+)""),"""")
"),"")</f>
        <v/>
      </c>
      <c r="G1051" s="3" t="str">
        <f aca="false">IFERROR(__xludf.dummyfunction("if($T1051&lt;&gt;"""",REGEXEXTRACT($T1051, G$1&amp;""[\w &amp;]*, (\d+\.\d+)""),"""")
"),"")</f>
        <v/>
      </c>
      <c r="H1051" s="3"/>
      <c r="I1051" s="3" t="str">
        <f aca="false">IFERROR(__xludf.dummyfunction("if($T1051&lt;&gt;"""",REGEXEXTRACT(SUBSTITUTE ($T1051,I$1&amp;"" CE"",""""), I$1&amp;""[\w &amp;]*, (\d+\.\d+)""),"""")
"),"")</f>
        <v/>
      </c>
      <c r="J1051" s="3" t="str">
        <f aca="false">IFERROR(__xludf.dummyfunction("if($T1051&lt;&gt;"""",REGEXEXTRACT($T1051, J$1&amp;""[\w &amp;]*, (\d+\.\d+)""),"""")
"),"")</f>
        <v/>
      </c>
      <c r="K1051" s="3"/>
      <c r="L1051" s="3" t="str">
        <f aca="false">IFERROR(__xludf.dummyfunction("if($T1051&lt;&gt;"""",REGEXEXTRACT(SUBSTITUTE ($T1051,L$1&amp;"" CE"",""""), L$1&amp;""[\w &amp;]*, (\d+\.\d+)""),"""")
"),"")</f>
        <v/>
      </c>
      <c r="M1051" s="3" t="str">
        <f aca="false">IFERROR(__xludf.dummyfunction("if($T1051&lt;&gt;"""",REGEXEXTRACT($T1051, M$1&amp;""[\w &amp;]*, (\d+\.\d+)""),"""")
"),"")</f>
        <v/>
      </c>
      <c r="N1051" s="3" t="str">
        <f aca="false">IFERROR(__xludf.dummyfunction("if($T1051&lt;&gt;"""",REGEXEXTRACT(SUBSTITUTE ($T1051,N$1&amp;"" CE"",""""), N$1&amp;""[\w &amp;]*, (\d+\.\d+)""),"""")
"),"")</f>
        <v/>
      </c>
      <c r="O1051" s="3" t="str">
        <f aca="false">IFERROR(__xludf.dummyfunction("if($T1051&lt;&gt;"""",REGEXEXTRACT($T1051, O$1&amp;""[\w &amp;]*, (\d+\.\d+)""),"""")
"),"")</f>
        <v/>
      </c>
      <c r="P1051" s="2"/>
      <c r="Q1051" s="2"/>
      <c r="R1051" s="2"/>
      <c r="S1051" s="2"/>
      <c r="T1051" s="5"/>
    </row>
    <row r="1052" customFormat="false" ht="15.75" hidden="false" customHeight="false" outlineLevel="0" collapsed="false">
      <c r="A1052" s="4"/>
      <c r="B1052" s="2"/>
      <c r="C1052" s="2"/>
      <c r="D1052" s="2"/>
      <c r="E1052" s="2"/>
      <c r="F1052" s="3" t="str">
        <f aca="false">IFERROR(__xludf.dummyfunction("if($T1052&lt;&gt;"""",REGEXEXTRACT(SUBSTITUTE ($T1052,F$1&amp;"" CE"",""""), F$1&amp;""[\w &amp;]*, (\d+\.\d+)""),"""")
"),"")</f>
        <v/>
      </c>
      <c r="G1052" s="3" t="str">
        <f aca="false">IFERROR(__xludf.dummyfunction("if($T1052&lt;&gt;"""",REGEXEXTRACT($T1052, G$1&amp;""[\w &amp;]*, (\d+\.\d+)""),"""")
"),"")</f>
        <v/>
      </c>
      <c r="H1052" s="3"/>
      <c r="I1052" s="3" t="str">
        <f aca="false">IFERROR(__xludf.dummyfunction("if($T1052&lt;&gt;"""",REGEXEXTRACT(SUBSTITUTE ($T1052,I$1&amp;"" CE"",""""), I$1&amp;""[\w &amp;]*, (\d+\.\d+)""),"""")
"),"")</f>
        <v/>
      </c>
      <c r="J1052" s="3" t="str">
        <f aca="false">IFERROR(__xludf.dummyfunction("if($T1052&lt;&gt;"""",REGEXEXTRACT($T1052, J$1&amp;""[\w &amp;]*, (\d+\.\d+)""),"""")
"),"")</f>
        <v/>
      </c>
      <c r="K1052" s="3"/>
      <c r="L1052" s="3" t="str">
        <f aca="false">IFERROR(__xludf.dummyfunction("if($T1052&lt;&gt;"""",REGEXEXTRACT(SUBSTITUTE ($T1052,L$1&amp;"" CE"",""""), L$1&amp;""[\w &amp;]*, (\d+\.\d+)""),"""")
"),"")</f>
        <v/>
      </c>
      <c r="M1052" s="3" t="str">
        <f aca="false">IFERROR(__xludf.dummyfunction("if($T1052&lt;&gt;"""",REGEXEXTRACT($T1052, M$1&amp;""[\w &amp;]*, (\d+\.\d+)""),"""")
"),"")</f>
        <v/>
      </c>
      <c r="N1052" s="3" t="str">
        <f aca="false">IFERROR(__xludf.dummyfunction("if($T1052&lt;&gt;"""",REGEXEXTRACT(SUBSTITUTE ($T1052,N$1&amp;"" CE"",""""), N$1&amp;""[\w &amp;]*, (\d+\.\d+)""),"""")
"),"")</f>
        <v/>
      </c>
      <c r="O1052" s="3" t="str">
        <f aca="false">IFERROR(__xludf.dummyfunction("if($T1052&lt;&gt;"""",REGEXEXTRACT($T1052, O$1&amp;""[\w &amp;]*, (\d+\.\d+)""),"""")
"),"")</f>
        <v/>
      </c>
      <c r="P1052" s="2"/>
      <c r="Q1052" s="2"/>
      <c r="R1052" s="2"/>
      <c r="S1052" s="2"/>
      <c r="T1052" s="5"/>
    </row>
    <row r="1053" customFormat="false" ht="15.75" hidden="false" customHeight="false" outlineLevel="0" collapsed="false">
      <c r="A1053" s="4"/>
      <c r="B1053" s="2"/>
      <c r="C1053" s="2"/>
      <c r="D1053" s="2"/>
      <c r="E1053" s="2"/>
      <c r="F1053" s="3" t="str">
        <f aca="false">IFERROR(__xludf.dummyfunction("if($T1053&lt;&gt;"""",REGEXEXTRACT(SUBSTITUTE ($T1053,F$1&amp;"" CE"",""""), F$1&amp;""[\w &amp;]*, (\d+\.\d+)""),"""")
"),"")</f>
        <v/>
      </c>
      <c r="G1053" s="3" t="str">
        <f aca="false">IFERROR(__xludf.dummyfunction("if($T1053&lt;&gt;"""",REGEXEXTRACT($T1053, G$1&amp;""[\w &amp;]*, (\d+\.\d+)""),"""")
"),"")</f>
        <v/>
      </c>
      <c r="H1053" s="3"/>
      <c r="I1053" s="3" t="str">
        <f aca="false">IFERROR(__xludf.dummyfunction("if($T1053&lt;&gt;"""",REGEXEXTRACT(SUBSTITUTE ($T1053,I$1&amp;"" CE"",""""), I$1&amp;""[\w &amp;]*, (\d+\.\d+)""),"""")
"),"")</f>
        <v/>
      </c>
      <c r="J1053" s="3" t="str">
        <f aca="false">IFERROR(__xludf.dummyfunction("if($T1053&lt;&gt;"""",REGEXEXTRACT($T1053, J$1&amp;""[\w &amp;]*, (\d+\.\d+)""),"""")
"),"")</f>
        <v/>
      </c>
      <c r="K1053" s="3"/>
      <c r="L1053" s="3" t="str">
        <f aca="false">IFERROR(__xludf.dummyfunction("if($T1053&lt;&gt;"""",REGEXEXTRACT(SUBSTITUTE ($T1053,L$1&amp;"" CE"",""""), L$1&amp;""[\w &amp;]*, (\d+\.\d+)""),"""")
"),"")</f>
        <v/>
      </c>
      <c r="M1053" s="3" t="str">
        <f aca="false">IFERROR(__xludf.dummyfunction("if($T1053&lt;&gt;"""",REGEXEXTRACT($T1053, M$1&amp;""[\w &amp;]*, (\d+\.\d+)""),"""")
"),"")</f>
        <v/>
      </c>
      <c r="N1053" s="3" t="str">
        <f aca="false">IFERROR(__xludf.dummyfunction("if($T1053&lt;&gt;"""",REGEXEXTRACT(SUBSTITUTE ($T1053,N$1&amp;"" CE"",""""), N$1&amp;""[\w &amp;]*, (\d+\.\d+)""),"""")
"),"")</f>
        <v/>
      </c>
      <c r="O1053" s="3" t="str">
        <f aca="false">IFERROR(__xludf.dummyfunction("if($T1053&lt;&gt;"""",REGEXEXTRACT($T1053, O$1&amp;""[\w &amp;]*, (\d+\.\d+)""),"""")
"),"")</f>
        <v/>
      </c>
      <c r="P1053" s="2"/>
      <c r="Q1053" s="2"/>
      <c r="R1053" s="2"/>
      <c r="S1053" s="2"/>
      <c r="T1053" s="5"/>
    </row>
    <row r="1054" customFormat="false" ht="15.75" hidden="false" customHeight="false" outlineLevel="0" collapsed="false">
      <c r="A1054" s="4"/>
      <c r="B1054" s="2"/>
      <c r="C1054" s="2"/>
      <c r="D1054" s="2"/>
      <c r="E1054" s="2"/>
      <c r="F1054" s="3" t="str">
        <f aca="false">IFERROR(__xludf.dummyfunction("if($T1054&lt;&gt;"""",REGEXEXTRACT(SUBSTITUTE ($T1054,F$1&amp;"" CE"",""""), F$1&amp;""[\w &amp;]*, (\d+\.\d+)""),"""")
"),"")</f>
        <v/>
      </c>
      <c r="G1054" s="3" t="str">
        <f aca="false">IFERROR(__xludf.dummyfunction("if($T1054&lt;&gt;"""",REGEXEXTRACT($T1054, G$1&amp;""[\w &amp;]*, (\d+\.\d+)""),"""")
"),"")</f>
        <v/>
      </c>
      <c r="H1054" s="3"/>
      <c r="I1054" s="3" t="str">
        <f aca="false">IFERROR(__xludf.dummyfunction("if($T1054&lt;&gt;"""",REGEXEXTRACT(SUBSTITUTE ($T1054,I$1&amp;"" CE"",""""), I$1&amp;""[\w &amp;]*, (\d+\.\d+)""),"""")
"),"")</f>
        <v/>
      </c>
      <c r="J1054" s="3" t="str">
        <f aca="false">IFERROR(__xludf.dummyfunction("if($T1054&lt;&gt;"""",REGEXEXTRACT($T1054, J$1&amp;""[\w &amp;]*, (\d+\.\d+)""),"""")
"),"")</f>
        <v/>
      </c>
      <c r="K1054" s="3"/>
      <c r="L1054" s="3" t="str">
        <f aca="false">IFERROR(__xludf.dummyfunction("if($T1054&lt;&gt;"""",REGEXEXTRACT(SUBSTITUTE ($T1054,L$1&amp;"" CE"",""""), L$1&amp;""[\w &amp;]*, (\d+\.\d+)""),"""")
"),"")</f>
        <v/>
      </c>
      <c r="M1054" s="3" t="str">
        <f aca="false">IFERROR(__xludf.dummyfunction("if($T1054&lt;&gt;"""",REGEXEXTRACT($T1054, M$1&amp;""[\w &amp;]*, (\d+\.\d+)""),"""")
"),"")</f>
        <v/>
      </c>
      <c r="N1054" s="3" t="str">
        <f aca="false">IFERROR(__xludf.dummyfunction("if($T1054&lt;&gt;"""",REGEXEXTRACT(SUBSTITUTE ($T1054,N$1&amp;"" CE"",""""), N$1&amp;""[\w &amp;]*, (\d+\.\d+)""),"""")
"),"")</f>
        <v/>
      </c>
      <c r="O1054" s="3" t="str">
        <f aca="false">IFERROR(__xludf.dummyfunction("if($T1054&lt;&gt;"""",REGEXEXTRACT($T1054, O$1&amp;""[\w &amp;]*, (\d+\.\d+)""),"""")
"),"")</f>
        <v/>
      </c>
      <c r="P1054" s="2"/>
      <c r="Q1054" s="2"/>
      <c r="R1054" s="2"/>
      <c r="S1054" s="2"/>
      <c r="T1054" s="5"/>
    </row>
    <row r="1055" customFormat="false" ht="15.75" hidden="false" customHeight="false" outlineLevel="0" collapsed="false">
      <c r="A1055" s="4"/>
      <c r="B1055" s="2"/>
      <c r="C1055" s="2"/>
      <c r="D1055" s="2"/>
      <c r="E1055" s="2"/>
      <c r="F1055" s="3" t="str">
        <f aca="false">IFERROR(__xludf.dummyfunction("if($T1055&lt;&gt;"""",REGEXEXTRACT(SUBSTITUTE ($T1055,F$1&amp;"" CE"",""""), F$1&amp;""[\w &amp;]*, (\d+\.\d+)""),"""")
"),"")</f>
        <v/>
      </c>
      <c r="G1055" s="3" t="str">
        <f aca="false">IFERROR(__xludf.dummyfunction("if($T1055&lt;&gt;"""",REGEXEXTRACT($T1055, G$1&amp;""[\w &amp;]*, (\d+\.\d+)""),"""")
"),"")</f>
        <v/>
      </c>
      <c r="H1055" s="3"/>
      <c r="I1055" s="3" t="str">
        <f aca="false">IFERROR(__xludf.dummyfunction("if($T1055&lt;&gt;"""",REGEXEXTRACT(SUBSTITUTE ($T1055,I$1&amp;"" CE"",""""), I$1&amp;""[\w &amp;]*, (\d+\.\d+)""),"""")
"),"")</f>
        <v/>
      </c>
      <c r="J1055" s="3" t="str">
        <f aca="false">IFERROR(__xludf.dummyfunction("if($T1055&lt;&gt;"""",REGEXEXTRACT($T1055, J$1&amp;""[\w &amp;]*, (\d+\.\d+)""),"""")
"),"")</f>
        <v/>
      </c>
      <c r="K1055" s="3"/>
      <c r="L1055" s="3" t="str">
        <f aca="false">IFERROR(__xludf.dummyfunction("if($T1055&lt;&gt;"""",REGEXEXTRACT(SUBSTITUTE ($T1055,L$1&amp;"" CE"",""""), L$1&amp;""[\w &amp;]*, (\d+\.\d+)""),"""")
"),"")</f>
        <v/>
      </c>
      <c r="M1055" s="3" t="str">
        <f aca="false">IFERROR(__xludf.dummyfunction("if($T1055&lt;&gt;"""",REGEXEXTRACT($T1055, M$1&amp;""[\w &amp;]*, (\d+\.\d+)""),"""")
"),"")</f>
        <v/>
      </c>
      <c r="N1055" s="3" t="str">
        <f aca="false">IFERROR(__xludf.dummyfunction("if($T1055&lt;&gt;"""",REGEXEXTRACT(SUBSTITUTE ($T1055,N$1&amp;"" CE"",""""), N$1&amp;""[\w &amp;]*, (\d+\.\d+)""),"""")
"),"")</f>
        <v/>
      </c>
      <c r="O1055" s="3" t="str">
        <f aca="false">IFERROR(__xludf.dummyfunction("if($T1055&lt;&gt;"""",REGEXEXTRACT($T1055, O$1&amp;""[\w &amp;]*, (\d+\.\d+)""),"""")
"),"")</f>
        <v/>
      </c>
      <c r="P1055" s="2"/>
      <c r="Q1055" s="2"/>
      <c r="R1055" s="2"/>
      <c r="S1055" s="2"/>
      <c r="T1055" s="5"/>
    </row>
    <row r="1056" customFormat="false" ht="15.75" hidden="false" customHeight="false" outlineLevel="0" collapsed="false">
      <c r="A1056" s="4"/>
      <c r="B1056" s="2"/>
      <c r="C1056" s="2"/>
      <c r="D1056" s="2"/>
      <c r="E1056" s="2"/>
      <c r="F1056" s="3" t="str">
        <f aca="false">IFERROR(__xludf.dummyfunction("if($T1056&lt;&gt;"""",REGEXEXTRACT(SUBSTITUTE ($T1056,F$1&amp;"" CE"",""""), F$1&amp;""[\w &amp;]*, (\d+\.\d+)""),"""")
"),"")</f>
        <v/>
      </c>
      <c r="G1056" s="3" t="str">
        <f aca="false">IFERROR(__xludf.dummyfunction("if($T1056&lt;&gt;"""",REGEXEXTRACT($T1056, G$1&amp;""[\w &amp;]*, (\d+\.\d+)""),"""")
"),"")</f>
        <v/>
      </c>
      <c r="H1056" s="3"/>
      <c r="I1056" s="3" t="str">
        <f aca="false">IFERROR(__xludf.dummyfunction("if($T1056&lt;&gt;"""",REGEXEXTRACT(SUBSTITUTE ($T1056,I$1&amp;"" CE"",""""), I$1&amp;""[\w &amp;]*, (\d+\.\d+)""),"""")
"),"")</f>
        <v/>
      </c>
      <c r="J1056" s="3" t="str">
        <f aca="false">IFERROR(__xludf.dummyfunction("if($T1056&lt;&gt;"""",REGEXEXTRACT($T1056, J$1&amp;""[\w &amp;]*, (\d+\.\d+)""),"""")
"),"")</f>
        <v/>
      </c>
      <c r="K1056" s="3"/>
      <c r="L1056" s="3" t="str">
        <f aca="false">IFERROR(__xludf.dummyfunction("if($T1056&lt;&gt;"""",REGEXEXTRACT(SUBSTITUTE ($T1056,L$1&amp;"" CE"",""""), L$1&amp;""[\w &amp;]*, (\d+\.\d+)""),"""")
"),"")</f>
        <v/>
      </c>
      <c r="M1056" s="3" t="str">
        <f aca="false">IFERROR(__xludf.dummyfunction("if($T1056&lt;&gt;"""",REGEXEXTRACT($T1056, M$1&amp;""[\w &amp;]*, (\d+\.\d+)""),"""")
"),"")</f>
        <v/>
      </c>
      <c r="N1056" s="3" t="str">
        <f aca="false">IFERROR(__xludf.dummyfunction("if($T1056&lt;&gt;"""",REGEXEXTRACT(SUBSTITUTE ($T1056,N$1&amp;"" CE"",""""), N$1&amp;""[\w &amp;]*, (\d+\.\d+)""),"""")
"),"")</f>
        <v/>
      </c>
      <c r="O1056" s="3" t="str">
        <f aca="false">IFERROR(__xludf.dummyfunction("if($T1056&lt;&gt;"""",REGEXEXTRACT($T1056, O$1&amp;""[\w &amp;]*, (\d+\.\d+)""),"""")
"),"")</f>
        <v/>
      </c>
      <c r="P1056" s="2"/>
      <c r="Q1056" s="2"/>
      <c r="R1056" s="2"/>
      <c r="S1056" s="2"/>
      <c r="T1056" s="5"/>
    </row>
    <row r="1057" customFormat="false" ht="15.75" hidden="false" customHeight="false" outlineLevel="0" collapsed="false">
      <c r="A1057" s="4"/>
      <c r="B1057" s="2"/>
      <c r="C1057" s="2"/>
      <c r="D1057" s="2"/>
      <c r="E1057" s="2"/>
      <c r="F1057" s="3" t="str">
        <f aca="false">IFERROR(__xludf.dummyfunction("if($T1057&lt;&gt;"""",REGEXEXTRACT(SUBSTITUTE ($T1057,F$1&amp;"" CE"",""""), F$1&amp;""[\w &amp;]*, (\d+\.\d+)""),"""")
"),"")</f>
        <v/>
      </c>
      <c r="G1057" s="3" t="str">
        <f aca="false">IFERROR(__xludf.dummyfunction("if($T1057&lt;&gt;"""",REGEXEXTRACT($T1057, G$1&amp;""[\w &amp;]*, (\d+\.\d+)""),"""")
"),"")</f>
        <v/>
      </c>
      <c r="H1057" s="3"/>
      <c r="I1057" s="3" t="str">
        <f aca="false">IFERROR(__xludf.dummyfunction("if($T1057&lt;&gt;"""",REGEXEXTRACT(SUBSTITUTE ($T1057,I$1&amp;"" CE"",""""), I$1&amp;""[\w &amp;]*, (\d+\.\d+)""),"""")
"),"")</f>
        <v/>
      </c>
      <c r="J1057" s="3" t="str">
        <f aca="false">IFERROR(__xludf.dummyfunction("if($T1057&lt;&gt;"""",REGEXEXTRACT($T1057, J$1&amp;""[\w &amp;]*, (\d+\.\d+)""),"""")
"),"")</f>
        <v/>
      </c>
      <c r="K1057" s="3"/>
      <c r="L1057" s="3" t="str">
        <f aca="false">IFERROR(__xludf.dummyfunction("if($T1057&lt;&gt;"""",REGEXEXTRACT(SUBSTITUTE ($T1057,L$1&amp;"" CE"",""""), L$1&amp;""[\w &amp;]*, (\d+\.\d+)""),"""")
"),"")</f>
        <v/>
      </c>
      <c r="M1057" s="3" t="str">
        <f aca="false">IFERROR(__xludf.dummyfunction("if($T1057&lt;&gt;"""",REGEXEXTRACT($T1057, M$1&amp;""[\w &amp;]*, (\d+\.\d+)""),"""")
"),"")</f>
        <v/>
      </c>
      <c r="N1057" s="3" t="str">
        <f aca="false">IFERROR(__xludf.dummyfunction("if($T1057&lt;&gt;"""",REGEXEXTRACT(SUBSTITUTE ($T1057,N$1&amp;"" CE"",""""), N$1&amp;""[\w &amp;]*, (\d+\.\d+)""),"""")
"),"")</f>
        <v/>
      </c>
      <c r="O1057" s="3" t="str">
        <f aca="false">IFERROR(__xludf.dummyfunction("if($T1057&lt;&gt;"""",REGEXEXTRACT($T1057, O$1&amp;""[\w &amp;]*, (\d+\.\d+)""),"""")
"),"")</f>
        <v/>
      </c>
      <c r="P1057" s="2"/>
      <c r="Q1057" s="2"/>
      <c r="R1057" s="2"/>
      <c r="S1057" s="2"/>
      <c r="T1057" s="5"/>
    </row>
    <row r="1058" customFormat="false" ht="15.75" hidden="false" customHeight="false" outlineLevel="0" collapsed="false">
      <c r="A1058" s="4"/>
      <c r="B1058" s="2"/>
      <c r="C1058" s="2"/>
      <c r="D1058" s="2"/>
      <c r="E1058" s="2"/>
      <c r="F1058" s="3" t="str">
        <f aca="false">IFERROR(__xludf.dummyfunction("if($T1058&lt;&gt;"""",REGEXEXTRACT(SUBSTITUTE ($T1058,F$1&amp;"" CE"",""""), F$1&amp;""[\w &amp;]*, (\d+\.\d+)""),"""")
"),"")</f>
        <v/>
      </c>
      <c r="G1058" s="3" t="str">
        <f aca="false">IFERROR(__xludf.dummyfunction("if($T1058&lt;&gt;"""",REGEXEXTRACT($T1058, G$1&amp;""[\w &amp;]*, (\d+\.\d+)""),"""")
"),"")</f>
        <v/>
      </c>
      <c r="H1058" s="3"/>
      <c r="I1058" s="3" t="str">
        <f aca="false">IFERROR(__xludf.dummyfunction("if($T1058&lt;&gt;"""",REGEXEXTRACT(SUBSTITUTE ($T1058,I$1&amp;"" CE"",""""), I$1&amp;""[\w &amp;]*, (\d+\.\d+)""),"""")
"),"")</f>
        <v/>
      </c>
      <c r="J1058" s="3" t="str">
        <f aca="false">IFERROR(__xludf.dummyfunction("if($T1058&lt;&gt;"""",REGEXEXTRACT($T1058, J$1&amp;""[\w &amp;]*, (\d+\.\d+)""),"""")
"),"")</f>
        <v/>
      </c>
      <c r="K1058" s="3"/>
      <c r="L1058" s="3" t="str">
        <f aca="false">IFERROR(__xludf.dummyfunction("if($T1058&lt;&gt;"""",REGEXEXTRACT(SUBSTITUTE ($T1058,L$1&amp;"" CE"",""""), L$1&amp;""[\w &amp;]*, (\d+\.\d+)""),"""")
"),"")</f>
        <v/>
      </c>
      <c r="M1058" s="3" t="str">
        <f aca="false">IFERROR(__xludf.dummyfunction("if($T1058&lt;&gt;"""",REGEXEXTRACT($T1058, M$1&amp;""[\w &amp;]*, (\d+\.\d+)""),"""")
"),"")</f>
        <v/>
      </c>
      <c r="N1058" s="3" t="str">
        <f aca="false">IFERROR(__xludf.dummyfunction("if($T1058&lt;&gt;"""",REGEXEXTRACT(SUBSTITUTE ($T1058,N$1&amp;"" CE"",""""), N$1&amp;""[\w &amp;]*, (\d+\.\d+)""),"""")
"),"")</f>
        <v/>
      </c>
      <c r="O1058" s="3" t="str">
        <f aca="false">IFERROR(__xludf.dummyfunction("if($T1058&lt;&gt;"""",REGEXEXTRACT($T1058, O$1&amp;""[\w &amp;]*, (\d+\.\d+)""),"""")
"),"")</f>
        <v/>
      </c>
      <c r="P1058" s="2"/>
      <c r="Q1058" s="2"/>
      <c r="R1058" s="2"/>
      <c r="S1058" s="2"/>
      <c r="T1058" s="5"/>
    </row>
    <row r="1059" customFormat="false" ht="15.75" hidden="false" customHeight="false" outlineLevel="0" collapsed="false">
      <c r="A1059" s="4"/>
      <c r="B1059" s="2"/>
      <c r="C1059" s="2"/>
      <c r="D1059" s="2"/>
      <c r="E1059" s="2"/>
      <c r="F1059" s="3" t="str">
        <f aca="false">IFERROR(__xludf.dummyfunction("if($T1059&lt;&gt;"""",REGEXEXTRACT(SUBSTITUTE ($T1059,F$1&amp;"" CE"",""""), F$1&amp;""[\w &amp;]*, (\d+\.\d+)""),"""")
"),"")</f>
        <v/>
      </c>
      <c r="G1059" s="3" t="str">
        <f aca="false">IFERROR(__xludf.dummyfunction("if($T1059&lt;&gt;"""",REGEXEXTRACT($T1059, G$1&amp;""[\w &amp;]*, (\d+\.\d+)""),"""")
"),"")</f>
        <v/>
      </c>
      <c r="H1059" s="3"/>
      <c r="I1059" s="3" t="str">
        <f aca="false">IFERROR(__xludf.dummyfunction("if($T1059&lt;&gt;"""",REGEXEXTRACT(SUBSTITUTE ($T1059,I$1&amp;"" CE"",""""), I$1&amp;""[\w &amp;]*, (\d+\.\d+)""),"""")
"),"")</f>
        <v/>
      </c>
      <c r="J1059" s="3" t="str">
        <f aca="false">IFERROR(__xludf.dummyfunction("if($T1059&lt;&gt;"""",REGEXEXTRACT($T1059, J$1&amp;""[\w &amp;]*, (\d+\.\d+)""),"""")
"),"")</f>
        <v/>
      </c>
      <c r="K1059" s="3"/>
      <c r="L1059" s="3" t="str">
        <f aca="false">IFERROR(__xludf.dummyfunction("if($T1059&lt;&gt;"""",REGEXEXTRACT(SUBSTITUTE ($T1059,L$1&amp;"" CE"",""""), L$1&amp;""[\w &amp;]*, (\d+\.\d+)""),"""")
"),"")</f>
        <v/>
      </c>
      <c r="M1059" s="3" t="str">
        <f aca="false">IFERROR(__xludf.dummyfunction("if($T1059&lt;&gt;"""",REGEXEXTRACT($T1059, M$1&amp;""[\w &amp;]*, (\d+\.\d+)""),"""")
"),"")</f>
        <v/>
      </c>
      <c r="N1059" s="3" t="str">
        <f aca="false">IFERROR(__xludf.dummyfunction("if($T1059&lt;&gt;"""",REGEXEXTRACT(SUBSTITUTE ($T1059,N$1&amp;"" CE"",""""), N$1&amp;""[\w &amp;]*, (\d+\.\d+)""),"""")
"),"")</f>
        <v/>
      </c>
      <c r="O1059" s="3" t="str">
        <f aca="false">IFERROR(__xludf.dummyfunction("if($T1059&lt;&gt;"""",REGEXEXTRACT($T1059, O$1&amp;""[\w &amp;]*, (\d+\.\d+)""),"""")
"),"")</f>
        <v/>
      </c>
      <c r="P1059" s="2"/>
      <c r="Q1059" s="2"/>
      <c r="R1059" s="2"/>
      <c r="S1059" s="2"/>
      <c r="T1059" s="5"/>
    </row>
    <row r="1060" customFormat="false" ht="15.75" hidden="false" customHeight="false" outlineLevel="0" collapsed="false">
      <c r="A1060" s="4"/>
      <c r="B1060" s="2"/>
      <c r="C1060" s="2"/>
      <c r="D1060" s="2"/>
      <c r="E1060" s="2"/>
      <c r="F1060" s="3" t="str">
        <f aca="false">IFERROR(__xludf.dummyfunction("if($T1060&lt;&gt;"""",REGEXEXTRACT(SUBSTITUTE ($T1060,F$1&amp;"" CE"",""""), F$1&amp;""[\w &amp;]*, (\d+\.\d+)""),"""")
"),"")</f>
        <v/>
      </c>
      <c r="G1060" s="3" t="str">
        <f aca="false">IFERROR(__xludf.dummyfunction("if($T1060&lt;&gt;"""",REGEXEXTRACT($T1060, G$1&amp;""[\w &amp;]*, (\d+\.\d+)""),"""")
"),"")</f>
        <v/>
      </c>
      <c r="H1060" s="3"/>
      <c r="I1060" s="3" t="str">
        <f aca="false">IFERROR(__xludf.dummyfunction("if($T1060&lt;&gt;"""",REGEXEXTRACT(SUBSTITUTE ($T1060,I$1&amp;"" CE"",""""), I$1&amp;""[\w &amp;]*, (\d+\.\d+)""),"""")
"),"")</f>
        <v/>
      </c>
      <c r="J1060" s="3" t="str">
        <f aca="false">IFERROR(__xludf.dummyfunction("if($T1060&lt;&gt;"""",REGEXEXTRACT($T1060, J$1&amp;""[\w &amp;]*, (\d+\.\d+)""),"""")
"),"")</f>
        <v/>
      </c>
      <c r="K1060" s="3"/>
      <c r="L1060" s="3" t="str">
        <f aca="false">IFERROR(__xludf.dummyfunction("if($T1060&lt;&gt;"""",REGEXEXTRACT(SUBSTITUTE ($T1060,L$1&amp;"" CE"",""""), L$1&amp;""[\w &amp;]*, (\d+\.\d+)""),"""")
"),"")</f>
        <v/>
      </c>
      <c r="M1060" s="3" t="str">
        <f aca="false">IFERROR(__xludf.dummyfunction("if($T1060&lt;&gt;"""",REGEXEXTRACT($T1060, M$1&amp;""[\w &amp;]*, (\d+\.\d+)""),"""")
"),"")</f>
        <v/>
      </c>
      <c r="N1060" s="3" t="str">
        <f aca="false">IFERROR(__xludf.dummyfunction("if($T1060&lt;&gt;"""",REGEXEXTRACT(SUBSTITUTE ($T1060,N$1&amp;"" CE"",""""), N$1&amp;""[\w &amp;]*, (\d+\.\d+)""),"""")
"),"")</f>
        <v/>
      </c>
      <c r="O1060" s="3" t="str">
        <f aca="false">IFERROR(__xludf.dummyfunction("if($T1060&lt;&gt;"""",REGEXEXTRACT($T1060, O$1&amp;""[\w &amp;]*, (\d+\.\d+)""),"""")
"),"")</f>
        <v/>
      </c>
      <c r="P1060" s="2"/>
      <c r="Q1060" s="2"/>
      <c r="R1060" s="2"/>
      <c r="S1060" s="2"/>
      <c r="T1060" s="5"/>
    </row>
    <row r="1061" customFormat="false" ht="15.75" hidden="false" customHeight="false" outlineLevel="0" collapsed="false">
      <c r="A1061" s="4"/>
      <c r="B1061" s="2"/>
      <c r="C1061" s="2"/>
      <c r="D1061" s="2"/>
      <c r="E1061" s="2"/>
      <c r="F1061" s="3" t="str">
        <f aca="false">IFERROR(__xludf.dummyfunction("if($T1061&lt;&gt;"""",REGEXEXTRACT(SUBSTITUTE ($T1061,F$1&amp;"" CE"",""""), F$1&amp;""[\w &amp;]*, (\d+\.\d+)""),"""")
"),"")</f>
        <v/>
      </c>
      <c r="G1061" s="3" t="str">
        <f aca="false">IFERROR(__xludf.dummyfunction("if($T1061&lt;&gt;"""",REGEXEXTRACT($T1061, G$1&amp;""[\w &amp;]*, (\d+\.\d+)""),"""")
"),"")</f>
        <v/>
      </c>
      <c r="H1061" s="3"/>
      <c r="I1061" s="3" t="str">
        <f aca="false">IFERROR(__xludf.dummyfunction("if($T1061&lt;&gt;"""",REGEXEXTRACT(SUBSTITUTE ($T1061,I$1&amp;"" CE"",""""), I$1&amp;""[\w &amp;]*, (\d+\.\d+)""),"""")
"),"")</f>
        <v/>
      </c>
      <c r="J1061" s="3" t="str">
        <f aca="false">IFERROR(__xludf.dummyfunction("if($T1061&lt;&gt;"""",REGEXEXTRACT($T1061, J$1&amp;""[\w &amp;]*, (\d+\.\d+)""),"""")
"),"")</f>
        <v/>
      </c>
      <c r="K1061" s="3"/>
      <c r="L1061" s="3" t="str">
        <f aca="false">IFERROR(__xludf.dummyfunction("if($T1061&lt;&gt;"""",REGEXEXTRACT(SUBSTITUTE ($T1061,L$1&amp;"" CE"",""""), L$1&amp;""[\w &amp;]*, (\d+\.\d+)""),"""")
"),"")</f>
        <v/>
      </c>
      <c r="M1061" s="3" t="str">
        <f aca="false">IFERROR(__xludf.dummyfunction("if($T1061&lt;&gt;"""",REGEXEXTRACT($T1061, M$1&amp;""[\w &amp;]*, (\d+\.\d+)""),"""")
"),"")</f>
        <v/>
      </c>
      <c r="N1061" s="3" t="str">
        <f aca="false">IFERROR(__xludf.dummyfunction("if($T1061&lt;&gt;"""",REGEXEXTRACT(SUBSTITUTE ($T1061,N$1&amp;"" CE"",""""), N$1&amp;""[\w &amp;]*, (\d+\.\d+)""),"""")
"),"")</f>
        <v/>
      </c>
      <c r="O1061" s="3" t="str">
        <f aca="false">IFERROR(__xludf.dummyfunction("if($T1061&lt;&gt;"""",REGEXEXTRACT($T1061, O$1&amp;""[\w &amp;]*, (\d+\.\d+)""),"""")
"),"")</f>
        <v/>
      </c>
      <c r="P1061" s="2"/>
      <c r="Q1061" s="2"/>
      <c r="R1061" s="2"/>
      <c r="S1061" s="2"/>
      <c r="T1061" s="5"/>
    </row>
    <row r="1062" customFormat="false" ht="15.75" hidden="false" customHeight="false" outlineLevel="0" collapsed="false">
      <c r="A1062" s="4"/>
      <c r="B1062" s="2"/>
      <c r="C1062" s="2"/>
      <c r="D1062" s="2"/>
      <c r="E1062" s="2"/>
      <c r="F1062" s="3" t="str">
        <f aca="false">IFERROR(__xludf.dummyfunction("if($T1062&lt;&gt;"""",REGEXEXTRACT(SUBSTITUTE ($T1062,F$1&amp;"" CE"",""""), F$1&amp;""[\w &amp;]*, (\d+\.\d+)""),"""")
"),"")</f>
        <v/>
      </c>
      <c r="G1062" s="3" t="str">
        <f aca="false">IFERROR(__xludf.dummyfunction("if($T1062&lt;&gt;"""",REGEXEXTRACT($T1062, G$1&amp;""[\w &amp;]*, (\d+\.\d+)""),"""")
"),"")</f>
        <v/>
      </c>
      <c r="H1062" s="3"/>
      <c r="I1062" s="3" t="str">
        <f aca="false">IFERROR(__xludf.dummyfunction("if($T1062&lt;&gt;"""",REGEXEXTRACT(SUBSTITUTE ($T1062,I$1&amp;"" CE"",""""), I$1&amp;""[\w &amp;]*, (\d+\.\d+)""),"""")
"),"")</f>
        <v/>
      </c>
      <c r="J1062" s="3" t="str">
        <f aca="false">IFERROR(__xludf.dummyfunction("if($T1062&lt;&gt;"""",REGEXEXTRACT($T1062, J$1&amp;""[\w &amp;]*, (\d+\.\d+)""),"""")
"),"")</f>
        <v/>
      </c>
      <c r="K1062" s="3"/>
      <c r="L1062" s="3" t="str">
        <f aca="false">IFERROR(__xludf.dummyfunction("if($T1062&lt;&gt;"""",REGEXEXTRACT(SUBSTITUTE ($T1062,L$1&amp;"" CE"",""""), L$1&amp;""[\w &amp;]*, (\d+\.\d+)""),"""")
"),"")</f>
        <v/>
      </c>
      <c r="M1062" s="3" t="str">
        <f aca="false">IFERROR(__xludf.dummyfunction("if($T1062&lt;&gt;"""",REGEXEXTRACT($T1062, M$1&amp;""[\w &amp;]*, (\d+\.\d+)""),"""")
"),"")</f>
        <v/>
      </c>
      <c r="N1062" s="3" t="str">
        <f aca="false">IFERROR(__xludf.dummyfunction("if($T1062&lt;&gt;"""",REGEXEXTRACT(SUBSTITUTE ($T1062,N$1&amp;"" CE"",""""), N$1&amp;""[\w &amp;]*, (\d+\.\d+)""),"""")
"),"")</f>
        <v/>
      </c>
      <c r="O1062" s="3" t="str">
        <f aca="false">IFERROR(__xludf.dummyfunction("if($T1062&lt;&gt;"""",REGEXEXTRACT($T1062, O$1&amp;""[\w &amp;]*, (\d+\.\d+)""),"""")
"),"")</f>
        <v/>
      </c>
      <c r="P1062" s="2"/>
      <c r="Q1062" s="2"/>
      <c r="R1062" s="2"/>
      <c r="S1062" s="2"/>
      <c r="T1062" s="5"/>
    </row>
    <row r="1063" customFormat="false" ht="15.75" hidden="false" customHeight="false" outlineLevel="0" collapsed="false">
      <c r="A1063" s="4"/>
      <c r="B1063" s="2"/>
      <c r="C1063" s="2"/>
      <c r="D1063" s="2"/>
      <c r="E1063" s="2"/>
      <c r="F1063" s="3" t="str">
        <f aca="false">IFERROR(__xludf.dummyfunction("if($T1063&lt;&gt;"""",REGEXEXTRACT(SUBSTITUTE ($T1063,F$1&amp;"" CE"",""""), F$1&amp;""[\w &amp;]*, (\d+\.\d+)""),"""")
"),"")</f>
        <v/>
      </c>
      <c r="G1063" s="3" t="str">
        <f aca="false">IFERROR(__xludf.dummyfunction("if($T1063&lt;&gt;"""",REGEXEXTRACT($T1063, G$1&amp;""[\w &amp;]*, (\d+\.\d+)""),"""")
"),"")</f>
        <v/>
      </c>
      <c r="H1063" s="3"/>
      <c r="I1063" s="3" t="str">
        <f aca="false">IFERROR(__xludf.dummyfunction("if($T1063&lt;&gt;"""",REGEXEXTRACT(SUBSTITUTE ($T1063,I$1&amp;"" CE"",""""), I$1&amp;""[\w &amp;]*, (\d+\.\d+)""),"""")
"),"")</f>
        <v/>
      </c>
      <c r="J1063" s="3" t="str">
        <f aca="false">IFERROR(__xludf.dummyfunction("if($T1063&lt;&gt;"""",REGEXEXTRACT($T1063, J$1&amp;""[\w &amp;]*, (\d+\.\d+)""),"""")
"),"")</f>
        <v/>
      </c>
      <c r="K1063" s="3"/>
      <c r="L1063" s="3" t="str">
        <f aca="false">IFERROR(__xludf.dummyfunction("if($T1063&lt;&gt;"""",REGEXEXTRACT(SUBSTITUTE ($T1063,L$1&amp;"" CE"",""""), L$1&amp;""[\w &amp;]*, (\d+\.\d+)""),"""")
"),"")</f>
        <v/>
      </c>
      <c r="M1063" s="3" t="str">
        <f aca="false">IFERROR(__xludf.dummyfunction("if($T1063&lt;&gt;"""",REGEXEXTRACT($T1063, M$1&amp;""[\w &amp;]*, (\d+\.\d+)""),"""")
"),"")</f>
        <v/>
      </c>
      <c r="N1063" s="3" t="str">
        <f aca="false">IFERROR(__xludf.dummyfunction("if($T1063&lt;&gt;"""",REGEXEXTRACT(SUBSTITUTE ($T1063,N$1&amp;"" CE"",""""), N$1&amp;""[\w &amp;]*, (\d+\.\d+)""),"""")
"),"")</f>
        <v/>
      </c>
      <c r="O1063" s="3" t="str">
        <f aca="false">IFERROR(__xludf.dummyfunction("if($T1063&lt;&gt;"""",REGEXEXTRACT($T1063, O$1&amp;""[\w &amp;]*, (\d+\.\d+)""),"""")
"),"")</f>
        <v/>
      </c>
      <c r="P1063" s="2"/>
      <c r="Q1063" s="2"/>
      <c r="R1063" s="2"/>
      <c r="S1063" s="2"/>
      <c r="T1063" s="5"/>
    </row>
    <row r="1064" customFormat="false" ht="15.75" hidden="false" customHeight="false" outlineLevel="0" collapsed="false">
      <c r="A1064" s="4"/>
      <c r="B1064" s="2"/>
      <c r="C1064" s="2"/>
      <c r="D1064" s="2"/>
      <c r="E1064" s="2"/>
      <c r="F1064" s="3" t="str">
        <f aca="false">IFERROR(__xludf.dummyfunction("if($T1064&lt;&gt;"""",REGEXEXTRACT(SUBSTITUTE ($T1064,F$1&amp;"" CE"",""""), F$1&amp;""[\w &amp;]*, (\d+\.\d+)""),"""")
"),"")</f>
        <v/>
      </c>
      <c r="G1064" s="3" t="str">
        <f aca="false">IFERROR(__xludf.dummyfunction("if($T1064&lt;&gt;"""",REGEXEXTRACT($T1064, G$1&amp;""[\w &amp;]*, (\d+\.\d+)""),"""")
"),"")</f>
        <v/>
      </c>
      <c r="H1064" s="3"/>
      <c r="I1064" s="3" t="str">
        <f aca="false">IFERROR(__xludf.dummyfunction("if($T1064&lt;&gt;"""",REGEXEXTRACT(SUBSTITUTE ($T1064,I$1&amp;"" CE"",""""), I$1&amp;""[\w &amp;]*, (\d+\.\d+)""),"""")
"),"")</f>
        <v/>
      </c>
      <c r="J1064" s="3" t="str">
        <f aca="false">IFERROR(__xludf.dummyfunction("if($T1064&lt;&gt;"""",REGEXEXTRACT($T1064, J$1&amp;""[\w &amp;]*, (\d+\.\d+)""),"""")
"),"")</f>
        <v/>
      </c>
      <c r="K1064" s="3"/>
      <c r="L1064" s="3" t="str">
        <f aca="false">IFERROR(__xludf.dummyfunction("if($T1064&lt;&gt;"""",REGEXEXTRACT(SUBSTITUTE ($T1064,L$1&amp;"" CE"",""""), L$1&amp;""[\w &amp;]*, (\d+\.\d+)""),"""")
"),"")</f>
        <v/>
      </c>
      <c r="M1064" s="3" t="str">
        <f aca="false">IFERROR(__xludf.dummyfunction("if($T1064&lt;&gt;"""",REGEXEXTRACT($T1064, M$1&amp;""[\w &amp;]*, (\d+\.\d+)""),"""")
"),"")</f>
        <v/>
      </c>
      <c r="N1064" s="3" t="str">
        <f aca="false">IFERROR(__xludf.dummyfunction("if($T1064&lt;&gt;"""",REGEXEXTRACT(SUBSTITUTE ($T1064,N$1&amp;"" CE"",""""), N$1&amp;""[\w &amp;]*, (\d+\.\d+)""),"""")
"),"")</f>
        <v/>
      </c>
      <c r="O1064" s="3" t="str">
        <f aca="false">IFERROR(__xludf.dummyfunction("if($T1064&lt;&gt;"""",REGEXEXTRACT($T1064, O$1&amp;""[\w &amp;]*, (\d+\.\d+)""),"""")
"),"")</f>
        <v/>
      </c>
      <c r="P1064" s="2"/>
      <c r="Q1064" s="2"/>
      <c r="R1064" s="2"/>
      <c r="S1064" s="2"/>
      <c r="T1064" s="5"/>
    </row>
    <row r="1065" customFormat="false" ht="15.75" hidden="false" customHeight="false" outlineLevel="0" collapsed="false">
      <c r="A1065" s="4"/>
      <c r="B1065" s="2"/>
      <c r="C1065" s="2"/>
      <c r="D1065" s="2"/>
      <c r="E1065" s="2"/>
      <c r="F1065" s="3" t="str">
        <f aca="false">IFERROR(__xludf.dummyfunction("if($T1065&lt;&gt;"""",REGEXEXTRACT(SUBSTITUTE ($T1065,F$1&amp;"" CE"",""""), F$1&amp;""[\w &amp;]*, (\d+\.\d+)""),"""")
"),"")</f>
        <v/>
      </c>
      <c r="G1065" s="3" t="str">
        <f aca="false">IFERROR(__xludf.dummyfunction("if($T1065&lt;&gt;"""",REGEXEXTRACT($T1065, G$1&amp;""[\w &amp;]*, (\d+\.\d+)""),"""")
"),"")</f>
        <v/>
      </c>
      <c r="H1065" s="3"/>
      <c r="I1065" s="3" t="str">
        <f aca="false">IFERROR(__xludf.dummyfunction("if($T1065&lt;&gt;"""",REGEXEXTRACT(SUBSTITUTE ($T1065,I$1&amp;"" CE"",""""), I$1&amp;""[\w &amp;]*, (\d+\.\d+)""),"""")
"),"")</f>
        <v/>
      </c>
      <c r="J1065" s="3" t="str">
        <f aca="false">IFERROR(__xludf.dummyfunction("if($T1065&lt;&gt;"""",REGEXEXTRACT($T1065, J$1&amp;""[\w &amp;]*, (\d+\.\d+)""),"""")
"),"")</f>
        <v/>
      </c>
      <c r="K1065" s="3"/>
      <c r="L1065" s="3" t="str">
        <f aca="false">IFERROR(__xludf.dummyfunction("if($T1065&lt;&gt;"""",REGEXEXTRACT(SUBSTITUTE ($T1065,L$1&amp;"" CE"",""""), L$1&amp;""[\w &amp;]*, (\d+\.\d+)""),"""")
"),"")</f>
        <v/>
      </c>
      <c r="M1065" s="3" t="str">
        <f aca="false">IFERROR(__xludf.dummyfunction("if($T1065&lt;&gt;"""",REGEXEXTRACT($T1065, M$1&amp;""[\w &amp;]*, (\d+\.\d+)""),"""")
"),"")</f>
        <v/>
      </c>
      <c r="N1065" s="3" t="str">
        <f aca="false">IFERROR(__xludf.dummyfunction("if($T1065&lt;&gt;"""",REGEXEXTRACT(SUBSTITUTE ($T1065,N$1&amp;"" CE"",""""), N$1&amp;""[\w &amp;]*, (\d+\.\d+)""),"""")
"),"")</f>
        <v/>
      </c>
      <c r="O1065" s="3" t="str">
        <f aca="false">IFERROR(__xludf.dummyfunction("if($T1065&lt;&gt;"""",REGEXEXTRACT($T1065, O$1&amp;""[\w &amp;]*, (\d+\.\d+)""),"""")
"),"")</f>
        <v/>
      </c>
      <c r="P1065" s="2"/>
      <c r="Q1065" s="2"/>
      <c r="R1065" s="2"/>
      <c r="S1065" s="2"/>
      <c r="T1065" s="5"/>
    </row>
    <row r="1066" customFormat="false" ht="15.75" hidden="false" customHeight="false" outlineLevel="0" collapsed="false">
      <c r="A1066" s="4"/>
      <c r="B1066" s="2"/>
      <c r="C1066" s="2"/>
      <c r="D1066" s="2"/>
      <c r="E1066" s="2"/>
      <c r="F1066" s="3" t="str">
        <f aca="false">IFERROR(__xludf.dummyfunction("if($T1066&lt;&gt;"""",REGEXEXTRACT(SUBSTITUTE ($T1066,F$1&amp;"" CE"",""""), F$1&amp;""[\w &amp;]*, (\d+\.\d+)""),"""")
"),"")</f>
        <v/>
      </c>
      <c r="G1066" s="3" t="str">
        <f aca="false">IFERROR(__xludf.dummyfunction("if($T1066&lt;&gt;"""",REGEXEXTRACT($T1066, G$1&amp;""[\w &amp;]*, (\d+\.\d+)""),"""")
"),"")</f>
        <v/>
      </c>
      <c r="H1066" s="3"/>
      <c r="I1066" s="3" t="str">
        <f aca="false">IFERROR(__xludf.dummyfunction("if($T1066&lt;&gt;"""",REGEXEXTRACT(SUBSTITUTE ($T1066,I$1&amp;"" CE"",""""), I$1&amp;""[\w &amp;]*, (\d+\.\d+)""),"""")
"),"")</f>
        <v/>
      </c>
      <c r="J1066" s="3" t="str">
        <f aca="false">IFERROR(__xludf.dummyfunction("if($T1066&lt;&gt;"""",REGEXEXTRACT($T1066, J$1&amp;""[\w &amp;]*, (\d+\.\d+)""),"""")
"),"")</f>
        <v/>
      </c>
      <c r="K1066" s="3"/>
      <c r="L1066" s="3" t="str">
        <f aca="false">IFERROR(__xludf.dummyfunction("if($T1066&lt;&gt;"""",REGEXEXTRACT(SUBSTITUTE ($T1066,L$1&amp;"" CE"",""""), L$1&amp;""[\w &amp;]*, (\d+\.\d+)""),"""")
"),"")</f>
        <v/>
      </c>
      <c r="M1066" s="3" t="str">
        <f aca="false">IFERROR(__xludf.dummyfunction("if($T1066&lt;&gt;"""",REGEXEXTRACT($T1066, M$1&amp;""[\w &amp;]*, (\d+\.\d+)""),"""")
"),"")</f>
        <v/>
      </c>
      <c r="N1066" s="3" t="str">
        <f aca="false">IFERROR(__xludf.dummyfunction("if($T1066&lt;&gt;"""",REGEXEXTRACT(SUBSTITUTE ($T1066,N$1&amp;"" CE"",""""), N$1&amp;""[\w &amp;]*, (\d+\.\d+)""),"""")
"),"")</f>
        <v/>
      </c>
      <c r="O1066" s="3" t="str">
        <f aca="false">IFERROR(__xludf.dummyfunction("if($T1066&lt;&gt;"""",REGEXEXTRACT($T1066, O$1&amp;""[\w &amp;]*, (\d+\.\d+)""),"""")
"),"")</f>
        <v/>
      </c>
      <c r="P1066" s="2"/>
      <c r="Q1066" s="2"/>
      <c r="R1066" s="2"/>
      <c r="S1066" s="2"/>
      <c r="T1066" s="5"/>
    </row>
    <row r="1067" customFormat="false" ht="15.75" hidden="false" customHeight="false" outlineLevel="0" collapsed="false">
      <c r="A1067" s="4"/>
      <c r="B1067" s="2"/>
      <c r="C1067" s="2"/>
      <c r="D1067" s="2"/>
      <c r="E1067" s="2"/>
      <c r="F1067" s="3" t="str">
        <f aca="false">IFERROR(__xludf.dummyfunction("if($T1067&lt;&gt;"""",REGEXEXTRACT(SUBSTITUTE ($T1067,F$1&amp;"" CE"",""""), F$1&amp;""[\w &amp;]*, (\d+\.\d+)""),"""")
"),"")</f>
        <v/>
      </c>
      <c r="G1067" s="3" t="str">
        <f aca="false">IFERROR(__xludf.dummyfunction("if($T1067&lt;&gt;"""",REGEXEXTRACT($T1067, G$1&amp;""[\w &amp;]*, (\d+\.\d+)""),"""")
"),"")</f>
        <v/>
      </c>
      <c r="H1067" s="3"/>
      <c r="I1067" s="3" t="str">
        <f aca="false">IFERROR(__xludf.dummyfunction("if($T1067&lt;&gt;"""",REGEXEXTRACT(SUBSTITUTE ($T1067,I$1&amp;"" CE"",""""), I$1&amp;""[\w &amp;]*, (\d+\.\d+)""),"""")
"),"")</f>
        <v/>
      </c>
      <c r="J1067" s="3" t="str">
        <f aca="false">IFERROR(__xludf.dummyfunction("if($T1067&lt;&gt;"""",REGEXEXTRACT($T1067, J$1&amp;""[\w &amp;]*, (\d+\.\d+)""),"""")
"),"")</f>
        <v/>
      </c>
      <c r="K1067" s="3"/>
      <c r="L1067" s="3" t="str">
        <f aca="false">IFERROR(__xludf.dummyfunction("if($T1067&lt;&gt;"""",REGEXEXTRACT(SUBSTITUTE ($T1067,L$1&amp;"" CE"",""""), L$1&amp;""[\w &amp;]*, (\d+\.\d+)""),"""")
"),"")</f>
        <v/>
      </c>
      <c r="M1067" s="3" t="str">
        <f aca="false">IFERROR(__xludf.dummyfunction("if($T1067&lt;&gt;"""",REGEXEXTRACT($T1067, M$1&amp;""[\w &amp;]*, (\d+\.\d+)""),"""")
"),"")</f>
        <v/>
      </c>
      <c r="N1067" s="3" t="str">
        <f aca="false">IFERROR(__xludf.dummyfunction("if($T1067&lt;&gt;"""",REGEXEXTRACT(SUBSTITUTE ($T1067,N$1&amp;"" CE"",""""), N$1&amp;""[\w &amp;]*, (\d+\.\d+)""),"""")
"),"")</f>
        <v/>
      </c>
      <c r="O1067" s="3" t="str">
        <f aca="false">IFERROR(__xludf.dummyfunction("if($T1067&lt;&gt;"""",REGEXEXTRACT($T1067, O$1&amp;""[\w &amp;]*, (\d+\.\d+)""),"""")
"),"")</f>
        <v/>
      </c>
      <c r="P1067" s="2"/>
      <c r="Q1067" s="2"/>
      <c r="R1067" s="2"/>
      <c r="S1067" s="2"/>
      <c r="T1067" s="5"/>
    </row>
    <row r="1068" customFormat="false" ht="15.75" hidden="false" customHeight="false" outlineLevel="0" collapsed="false">
      <c r="A1068" s="4"/>
      <c r="B1068" s="2"/>
      <c r="C1068" s="2"/>
      <c r="D1068" s="2"/>
      <c r="E1068" s="2"/>
      <c r="F1068" s="3" t="str">
        <f aca="false">IFERROR(__xludf.dummyfunction("if($T1068&lt;&gt;"""",REGEXEXTRACT(SUBSTITUTE ($T1068,F$1&amp;"" CE"",""""), F$1&amp;""[\w &amp;]*, (\d+\.\d+)""),"""")
"),"")</f>
        <v/>
      </c>
      <c r="G1068" s="3" t="str">
        <f aca="false">IFERROR(__xludf.dummyfunction("if($T1068&lt;&gt;"""",REGEXEXTRACT($T1068, G$1&amp;""[\w &amp;]*, (\d+\.\d+)""),"""")
"),"")</f>
        <v/>
      </c>
      <c r="H1068" s="3"/>
      <c r="I1068" s="3" t="str">
        <f aca="false">IFERROR(__xludf.dummyfunction("if($T1068&lt;&gt;"""",REGEXEXTRACT(SUBSTITUTE ($T1068,I$1&amp;"" CE"",""""), I$1&amp;""[\w &amp;]*, (\d+\.\d+)""),"""")
"),"")</f>
        <v/>
      </c>
      <c r="J1068" s="3" t="str">
        <f aca="false">IFERROR(__xludf.dummyfunction("if($T1068&lt;&gt;"""",REGEXEXTRACT($T1068, J$1&amp;""[\w &amp;]*, (\d+\.\d+)""),"""")
"),"")</f>
        <v/>
      </c>
      <c r="K1068" s="3"/>
      <c r="L1068" s="3" t="str">
        <f aca="false">IFERROR(__xludf.dummyfunction("if($T1068&lt;&gt;"""",REGEXEXTRACT(SUBSTITUTE ($T1068,L$1&amp;"" CE"",""""), L$1&amp;""[\w &amp;]*, (\d+\.\d+)""),"""")
"),"")</f>
        <v/>
      </c>
      <c r="M1068" s="3" t="str">
        <f aca="false">IFERROR(__xludf.dummyfunction("if($T1068&lt;&gt;"""",REGEXEXTRACT($T1068, M$1&amp;""[\w &amp;]*, (\d+\.\d+)""),"""")
"),"")</f>
        <v/>
      </c>
      <c r="N1068" s="3" t="str">
        <f aca="false">IFERROR(__xludf.dummyfunction("if($T1068&lt;&gt;"""",REGEXEXTRACT(SUBSTITUTE ($T1068,N$1&amp;"" CE"",""""), N$1&amp;""[\w &amp;]*, (\d+\.\d+)""),"""")
"),"")</f>
        <v/>
      </c>
      <c r="O1068" s="3" t="str">
        <f aca="false">IFERROR(__xludf.dummyfunction("if($T1068&lt;&gt;"""",REGEXEXTRACT($T1068, O$1&amp;""[\w &amp;]*, (\d+\.\d+)""),"""")
"),"")</f>
        <v/>
      </c>
      <c r="P1068" s="2"/>
      <c r="Q1068" s="2"/>
      <c r="R1068" s="2"/>
      <c r="S1068" s="2"/>
      <c r="T1068" s="5"/>
    </row>
    <row r="1069" customFormat="false" ht="15.75" hidden="false" customHeight="false" outlineLevel="0" collapsed="false">
      <c r="A1069" s="4"/>
      <c r="B1069" s="2"/>
      <c r="C1069" s="2"/>
      <c r="D1069" s="2"/>
      <c r="E1069" s="2"/>
      <c r="F1069" s="3" t="str">
        <f aca="false">IFERROR(__xludf.dummyfunction("if($T1069&lt;&gt;"""",REGEXEXTRACT(SUBSTITUTE ($T1069,F$1&amp;"" CE"",""""), F$1&amp;""[\w &amp;]*, (\d+\.\d+)""),"""")
"),"")</f>
        <v/>
      </c>
      <c r="G1069" s="3" t="str">
        <f aca="false">IFERROR(__xludf.dummyfunction("if($T1069&lt;&gt;"""",REGEXEXTRACT($T1069, G$1&amp;""[\w &amp;]*, (\d+\.\d+)""),"""")
"),"")</f>
        <v/>
      </c>
      <c r="H1069" s="3"/>
      <c r="I1069" s="3" t="str">
        <f aca="false">IFERROR(__xludf.dummyfunction("if($T1069&lt;&gt;"""",REGEXEXTRACT(SUBSTITUTE ($T1069,I$1&amp;"" CE"",""""), I$1&amp;""[\w &amp;]*, (\d+\.\d+)""),"""")
"),"")</f>
        <v/>
      </c>
      <c r="J1069" s="3" t="str">
        <f aca="false">IFERROR(__xludf.dummyfunction("if($T1069&lt;&gt;"""",REGEXEXTRACT($T1069, J$1&amp;""[\w &amp;]*, (\d+\.\d+)""),"""")
"),"")</f>
        <v/>
      </c>
      <c r="K1069" s="3"/>
      <c r="L1069" s="3" t="str">
        <f aca="false">IFERROR(__xludf.dummyfunction("if($T1069&lt;&gt;"""",REGEXEXTRACT(SUBSTITUTE ($T1069,L$1&amp;"" CE"",""""), L$1&amp;""[\w &amp;]*, (\d+\.\d+)""),"""")
"),"")</f>
        <v/>
      </c>
      <c r="M1069" s="3" t="str">
        <f aca="false">IFERROR(__xludf.dummyfunction("if($T1069&lt;&gt;"""",REGEXEXTRACT($T1069, M$1&amp;""[\w &amp;]*, (\d+\.\d+)""),"""")
"),"")</f>
        <v/>
      </c>
      <c r="N1069" s="3" t="str">
        <f aca="false">IFERROR(__xludf.dummyfunction("if($T1069&lt;&gt;"""",REGEXEXTRACT(SUBSTITUTE ($T1069,N$1&amp;"" CE"",""""), N$1&amp;""[\w &amp;]*, (\d+\.\d+)""),"""")
"),"")</f>
        <v/>
      </c>
      <c r="O1069" s="3" t="str">
        <f aca="false">IFERROR(__xludf.dummyfunction("if($T1069&lt;&gt;"""",REGEXEXTRACT($T1069, O$1&amp;""[\w &amp;]*, (\d+\.\d+)""),"""")
"),"")</f>
        <v/>
      </c>
      <c r="P1069" s="2"/>
      <c r="Q1069" s="2"/>
      <c r="R1069" s="2"/>
      <c r="S1069" s="2"/>
      <c r="T1069" s="5"/>
    </row>
    <row r="1070" customFormat="false" ht="15.75" hidden="false" customHeight="false" outlineLevel="0" collapsed="false">
      <c r="A1070" s="4"/>
      <c r="B1070" s="2"/>
      <c r="C1070" s="2"/>
      <c r="D1070" s="2"/>
      <c r="E1070" s="2"/>
      <c r="F1070" s="3" t="str">
        <f aca="false">IFERROR(__xludf.dummyfunction("if($T1070&lt;&gt;"""",REGEXEXTRACT(SUBSTITUTE ($T1070,F$1&amp;"" CE"",""""), F$1&amp;""[\w &amp;]*, (\d+\.\d+)""),"""")
"),"")</f>
        <v/>
      </c>
      <c r="G1070" s="3" t="str">
        <f aca="false">IFERROR(__xludf.dummyfunction("if($T1070&lt;&gt;"""",REGEXEXTRACT($T1070, G$1&amp;""[\w &amp;]*, (\d+\.\d+)""),"""")
"),"")</f>
        <v/>
      </c>
      <c r="H1070" s="3"/>
      <c r="I1070" s="3" t="str">
        <f aca="false">IFERROR(__xludf.dummyfunction("if($T1070&lt;&gt;"""",REGEXEXTRACT(SUBSTITUTE ($T1070,I$1&amp;"" CE"",""""), I$1&amp;""[\w &amp;]*, (\d+\.\d+)""),"""")
"),"")</f>
        <v/>
      </c>
      <c r="J1070" s="3" t="str">
        <f aca="false">IFERROR(__xludf.dummyfunction("if($T1070&lt;&gt;"""",REGEXEXTRACT($T1070, J$1&amp;""[\w &amp;]*, (\d+\.\d+)""),"""")
"),"")</f>
        <v/>
      </c>
      <c r="K1070" s="3"/>
      <c r="L1070" s="3" t="str">
        <f aca="false">IFERROR(__xludf.dummyfunction("if($T1070&lt;&gt;"""",REGEXEXTRACT(SUBSTITUTE ($T1070,L$1&amp;"" CE"",""""), L$1&amp;""[\w &amp;]*, (\d+\.\d+)""),"""")
"),"")</f>
        <v/>
      </c>
      <c r="M1070" s="3" t="str">
        <f aca="false">IFERROR(__xludf.dummyfunction("if($T1070&lt;&gt;"""",REGEXEXTRACT($T1070, M$1&amp;""[\w &amp;]*, (\d+\.\d+)""),"""")
"),"")</f>
        <v/>
      </c>
      <c r="N1070" s="3" t="str">
        <f aca="false">IFERROR(__xludf.dummyfunction("if($T1070&lt;&gt;"""",REGEXEXTRACT(SUBSTITUTE ($T1070,N$1&amp;"" CE"",""""), N$1&amp;""[\w &amp;]*, (\d+\.\d+)""),"""")
"),"")</f>
        <v/>
      </c>
      <c r="O1070" s="3" t="str">
        <f aca="false">IFERROR(__xludf.dummyfunction("if($T1070&lt;&gt;"""",REGEXEXTRACT($T1070, O$1&amp;""[\w &amp;]*, (\d+\.\d+)""),"""")
"),"")</f>
        <v/>
      </c>
      <c r="P1070" s="2"/>
      <c r="Q1070" s="2"/>
      <c r="R1070" s="2"/>
      <c r="S1070" s="2"/>
      <c r="T1070" s="5"/>
    </row>
    <row r="1071" customFormat="false" ht="15.75" hidden="false" customHeight="false" outlineLevel="0" collapsed="false">
      <c r="A1071" s="4"/>
      <c r="B1071" s="2"/>
      <c r="C1071" s="2"/>
      <c r="D1071" s="2"/>
      <c r="E1071" s="2"/>
      <c r="F1071" s="3" t="str">
        <f aca="false">IFERROR(__xludf.dummyfunction("if($T1071&lt;&gt;"""",REGEXEXTRACT(SUBSTITUTE ($T1071,F$1&amp;"" CE"",""""), F$1&amp;""[\w &amp;]*, (\d+\.\d+)""),"""")
"),"")</f>
        <v/>
      </c>
      <c r="G1071" s="3" t="str">
        <f aca="false">IFERROR(__xludf.dummyfunction("if($T1071&lt;&gt;"""",REGEXEXTRACT($T1071, G$1&amp;""[\w &amp;]*, (\d+\.\d+)""),"""")
"),"")</f>
        <v/>
      </c>
      <c r="H1071" s="3"/>
      <c r="I1071" s="3" t="str">
        <f aca="false">IFERROR(__xludf.dummyfunction("if($T1071&lt;&gt;"""",REGEXEXTRACT(SUBSTITUTE ($T1071,I$1&amp;"" CE"",""""), I$1&amp;""[\w &amp;]*, (\d+\.\d+)""),"""")
"),"")</f>
        <v/>
      </c>
      <c r="J1071" s="3" t="str">
        <f aca="false">IFERROR(__xludf.dummyfunction("if($T1071&lt;&gt;"""",REGEXEXTRACT($T1071, J$1&amp;""[\w &amp;]*, (\d+\.\d+)""),"""")
"),"")</f>
        <v/>
      </c>
      <c r="K1071" s="3"/>
      <c r="L1071" s="3" t="str">
        <f aca="false">IFERROR(__xludf.dummyfunction("if($T1071&lt;&gt;"""",REGEXEXTRACT(SUBSTITUTE ($T1071,L$1&amp;"" CE"",""""), L$1&amp;""[\w &amp;]*, (\d+\.\d+)""),"""")
"),"")</f>
        <v/>
      </c>
      <c r="M1071" s="3" t="str">
        <f aca="false">IFERROR(__xludf.dummyfunction("if($T1071&lt;&gt;"""",REGEXEXTRACT($T1071, M$1&amp;""[\w &amp;]*, (\d+\.\d+)""),"""")
"),"")</f>
        <v/>
      </c>
      <c r="N1071" s="3" t="str">
        <f aca="false">IFERROR(__xludf.dummyfunction("if($T1071&lt;&gt;"""",REGEXEXTRACT(SUBSTITUTE ($T1071,N$1&amp;"" CE"",""""), N$1&amp;""[\w &amp;]*, (\d+\.\d+)""),"""")
"),"")</f>
        <v/>
      </c>
      <c r="O1071" s="3" t="str">
        <f aca="false">IFERROR(__xludf.dummyfunction("if($T1071&lt;&gt;"""",REGEXEXTRACT($T1071, O$1&amp;""[\w &amp;]*, (\d+\.\d+)""),"""")
"),"")</f>
        <v/>
      </c>
      <c r="P1071" s="2"/>
      <c r="Q1071" s="2"/>
      <c r="R1071" s="2"/>
      <c r="S1071" s="2"/>
      <c r="T1071" s="5"/>
    </row>
    <row r="1072" customFormat="false" ht="15.75" hidden="false" customHeight="false" outlineLevel="0" collapsed="false">
      <c r="A1072" s="4"/>
      <c r="B1072" s="2"/>
      <c r="C1072" s="2"/>
      <c r="D1072" s="2"/>
      <c r="E1072" s="2"/>
      <c r="F1072" s="3" t="str">
        <f aca="false">IFERROR(__xludf.dummyfunction("if($T1072&lt;&gt;"""",REGEXEXTRACT(SUBSTITUTE ($T1072,F$1&amp;"" CE"",""""), F$1&amp;""[\w &amp;]*, (\d+\.\d+)""),"""")
"),"")</f>
        <v/>
      </c>
      <c r="G1072" s="3" t="str">
        <f aca="false">IFERROR(__xludf.dummyfunction("if($T1072&lt;&gt;"""",REGEXEXTRACT($T1072, G$1&amp;""[\w &amp;]*, (\d+\.\d+)""),"""")
"),"")</f>
        <v/>
      </c>
      <c r="H1072" s="3"/>
      <c r="I1072" s="3" t="str">
        <f aca="false">IFERROR(__xludf.dummyfunction("if($T1072&lt;&gt;"""",REGEXEXTRACT(SUBSTITUTE ($T1072,I$1&amp;"" CE"",""""), I$1&amp;""[\w &amp;]*, (\d+\.\d+)""),"""")
"),"")</f>
        <v/>
      </c>
      <c r="J1072" s="3" t="str">
        <f aca="false">IFERROR(__xludf.dummyfunction("if($T1072&lt;&gt;"""",REGEXEXTRACT($T1072, J$1&amp;""[\w &amp;]*, (\d+\.\d+)""),"""")
"),"")</f>
        <v/>
      </c>
      <c r="K1072" s="3"/>
      <c r="L1072" s="3" t="str">
        <f aca="false">IFERROR(__xludf.dummyfunction("if($T1072&lt;&gt;"""",REGEXEXTRACT(SUBSTITUTE ($T1072,L$1&amp;"" CE"",""""), L$1&amp;""[\w &amp;]*, (\d+\.\d+)""),"""")
"),"")</f>
        <v/>
      </c>
      <c r="M1072" s="3" t="str">
        <f aca="false">IFERROR(__xludf.dummyfunction("if($T1072&lt;&gt;"""",REGEXEXTRACT($T1072, M$1&amp;""[\w &amp;]*, (\d+\.\d+)""),"""")
"),"")</f>
        <v/>
      </c>
      <c r="N1072" s="3" t="str">
        <f aca="false">IFERROR(__xludf.dummyfunction("if($T1072&lt;&gt;"""",REGEXEXTRACT(SUBSTITUTE ($T1072,N$1&amp;"" CE"",""""), N$1&amp;""[\w &amp;]*, (\d+\.\d+)""),"""")
"),"")</f>
        <v/>
      </c>
      <c r="O1072" s="3" t="str">
        <f aca="false">IFERROR(__xludf.dummyfunction("if($T1072&lt;&gt;"""",REGEXEXTRACT($T1072, O$1&amp;""[\w &amp;]*, (\d+\.\d+)""),"""")
"),"")</f>
        <v/>
      </c>
      <c r="P1072" s="2"/>
      <c r="Q1072" s="2"/>
      <c r="R1072" s="2"/>
      <c r="S1072" s="2"/>
      <c r="T1072" s="5"/>
    </row>
    <row r="1073" customFormat="false" ht="15.75" hidden="false" customHeight="false" outlineLevel="0" collapsed="false">
      <c r="A1073" s="4"/>
      <c r="B1073" s="2"/>
      <c r="C1073" s="2"/>
      <c r="D1073" s="2"/>
      <c r="E1073" s="2"/>
      <c r="F1073" s="3" t="str">
        <f aca="false">IFERROR(__xludf.dummyfunction("if($T1073&lt;&gt;"""",REGEXEXTRACT(SUBSTITUTE ($T1073,F$1&amp;"" CE"",""""), F$1&amp;""[\w &amp;]*, (\d+\.\d+)""),"""")
"),"")</f>
        <v/>
      </c>
      <c r="G1073" s="3" t="str">
        <f aca="false">IFERROR(__xludf.dummyfunction("if($T1073&lt;&gt;"""",REGEXEXTRACT($T1073, G$1&amp;""[\w &amp;]*, (\d+\.\d+)""),"""")
"),"")</f>
        <v/>
      </c>
      <c r="H1073" s="3"/>
      <c r="I1073" s="3" t="str">
        <f aca="false">IFERROR(__xludf.dummyfunction("if($T1073&lt;&gt;"""",REGEXEXTRACT(SUBSTITUTE ($T1073,I$1&amp;"" CE"",""""), I$1&amp;""[\w &amp;]*, (\d+\.\d+)""),"""")
"),"")</f>
        <v/>
      </c>
      <c r="J1073" s="3" t="str">
        <f aca="false">IFERROR(__xludf.dummyfunction("if($T1073&lt;&gt;"""",REGEXEXTRACT($T1073, J$1&amp;""[\w &amp;]*, (\d+\.\d+)""),"""")
"),"")</f>
        <v/>
      </c>
      <c r="K1073" s="3"/>
      <c r="L1073" s="3" t="str">
        <f aca="false">IFERROR(__xludf.dummyfunction("if($T1073&lt;&gt;"""",REGEXEXTRACT(SUBSTITUTE ($T1073,L$1&amp;"" CE"",""""), L$1&amp;""[\w &amp;]*, (\d+\.\d+)""),"""")
"),"")</f>
        <v/>
      </c>
      <c r="M1073" s="3" t="str">
        <f aca="false">IFERROR(__xludf.dummyfunction("if($T1073&lt;&gt;"""",REGEXEXTRACT($T1073, M$1&amp;""[\w &amp;]*, (\d+\.\d+)""),"""")
"),"")</f>
        <v/>
      </c>
      <c r="N1073" s="3" t="str">
        <f aca="false">IFERROR(__xludf.dummyfunction("if($T1073&lt;&gt;"""",REGEXEXTRACT(SUBSTITUTE ($T1073,N$1&amp;"" CE"",""""), N$1&amp;""[\w &amp;]*, (\d+\.\d+)""),"""")
"),"")</f>
        <v/>
      </c>
      <c r="O1073" s="3" t="str">
        <f aca="false">IFERROR(__xludf.dummyfunction("if($T1073&lt;&gt;"""",REGEXEXTRACT($T1073, O$1&amp;""[\w &amp;]*, (\d+\.\d+)""),"""")
"),"")</f>
        <v/>
      </c>
      <c r="P1073" s="2"/>
      <c r="Q1073" s="2"/>
      <c r="R1073" s="2"/>
      <c r="S1073" s="2"/>
      <c r="T1073" s="5"/>
    </row>
    <row r="1074" customFormat="false" ht="15.75" hidden="false" customHeight="false" outlineLevel="0" collapsed="false">
      <c r="A1074" s="4"/>
      <c r="B1074" s="2"/>
      <c r="C1074" s="2"/>
      <c r="D1074" s="2"/>
      <c r="E1074" s="2"/>
      <c r="F1074" s="3" t="str">
        <f aca="false">IFERROR(__xludf.dummyfunction("if($T1074&lt;&gt;"""",REGEXEXTRACT(SUBSTITUTE ($T1074,F$1&amp;"" CE"",""""), F$1&amp;""[\w &amp;]*, (\d+\.\d+)""),"""")
"),"")</f>
        <v/>
      </c>
      <c r="G1074" s="3" t="str">
        <f aca="false">IFERROR(__xludf.dummyfunction("if($T1074&lt;&gt;"""",REGEXEXTRACT($T1074, G$1&amp;""[\w &amp;]*, (\d+\.\d+)""),"""")
"),"")</f>
        <v/>
      </c>
      <c r="H1074" s="3"/>
      <c r="I1074" s="3" t="str">
        <f aca="false">IFERROR(__xludf.dummyfunction("if($T1074&lt;&gt;"""",REGEXEXTRACT(SUBSTITUTE ($T1074,I$1&amp;"" CE"",""""), I$1&amp;""[\w &amp;]*, (\d+\.\d+)""),"""")
"),"")</f>
        <v/>
      </c>
      <c r="J1074" s="3" t="str">
        <f aca="false">IFERROR(__xludf.dummyfunction("if($T1074&lt;&gt;"""",REGEXEXTRACT($T1074, J$1&amp;""[\w &amp;]*, (\d+\.\d+)""),"""")
"),"")</f>
        <v/>
      </c>
      <c r="K1074" s="3"/>
      <c r="L1074" s="3" t="str">
        <f aca="false">IFERROR(__xludf.dummyfunction("if($T1074&lt;&gt;"""",REGEXEXTRACT(SUBSTITUTE ($T1074,L$1&amp;"" CE"",""""), L$1&amp;""[\w &amp;]*, (\d+\.\d+)""),"""")
"),"")</f>
        <v/>
      </c>
      <c r="M1074" s="3" t="str">
        <f aca="false">IFERROR(__xludf.dummyfunction("if($T1074&lt;&gt;"""",REGEXEXTRACT($T1074, M$1&amp;""[\w &amp;]*, (\d+\.\d+)""),"""")
"),"")</f>
        <v/>
      </c>
      <c r="N1074" s="3" t="str">
        <f aca="false">IFERROR(__xludf.dummyfunction("if($T1074&lt;&gt;"""",REGEXEXTRACT(SUBSTITUTE ($T1074,N$1&amp;"" CE"",""""), N$1&amp;""[\w &amp;]*, (\d+\.\d+)""),"""")
"),"")</f>
        <v/>
      </c>
      <c r="O1074" s="3" t="str">
        <f aca="false">IFERROR(__xludf.dummyfunction("if($T1074&lt;&gt;"""",REGEXEXTRACT($T1074, O$1&amp;""[\w &amp;]*, (\d+\.\d+)""),"""")
"),"")</f>
        <v/>
      </c>
      <c r="P1074" s="2"/>
      <c r="Q1074" s="2"/>
      <c r="R1074" s="2"/>
      <c r="S1074" s="2"/>
      <c r="T1074" s="5"/>
    </row>
    <row r="1075" customFormat="false" ht="15.75" hidden="false" customHeight="false" outlineLevel="0" collapsed="false">
      <c r="A1075" s="4"/>
      <c r="B1075" s="2"/>
      <c r="C1075" s="2"/>
      <c r="D1075" s="2"/>
      <c r="E1075" s="2"/>
      <c r="F1075" s="3" t="str">
        <f aca="false">IFERROR(__xludf.dummyfunction("if($T1075&lt;&gt;"""",REGEXEXTRACT(SUBSTITUTE ($T1075,F$1&amp;"" CE"",""""), F$1&amp;""[\w &amp;]*, (\d+\.\d+)""),"""")
"),"")</f>
        <v/>
      </c>
      <c r="G1075" s="3" t="str">
        <f aca="false">IFERROR(__xludf.dummyfunction("if($T1075&lt;&gt;"""",REGEXEXTRACT($T1075, G$1&amp;""[\w &amp;]*, (\d+\.\d+)""),"""")
"),"")</f>
        <v/>
      </c>
      <c r="H1075" s="3"/>
      <c r="I1075" s="3" t="str">
        <f aca="false">IFERROR(__xludf.dummyfunction("if($T1075&lt;&gt;"""",REGEXEXTRACT(SUBSTITUTE ($T1075,I$1&amp;"" CE"",""""), I$1&amp;""[\w &amp;]*, (\d+\.\d+)""),"""")
"),"")</f>
        <v/>
      </c>
      <c r="J1075" s="3" t="str">
        <f aca="false">IFERROR(__xludf.dummyfunction("if($T1075&lt;&gt;"""",REGEXEXTRACT($T1075, J$1&amp;""[\w &amp;]*, (\d+\.\d+)""),"""")
"),"")</f>
        <v/>
      </c>
      <c r="K1075" s="3"/>
      <c r="L1075" s="3" t="str">
        <f aca="false">IFERROR(__xludf.dummyfunction("if($T1075&lt;&gt;"""",REGEXEXTRACT(SUBSTITUTE ($T1075,L$1&amp;"" CE"",""""), L$1&amp;""[\w &amp;]*, (\d+\.\d+)""),"""")
"),"")</f>
        <v/>
      </c>
      <c r="M1075" s="3" t="str">
        <f aca="false">IFERROR(__xludf.dummyfunction("if($T1075&lt;&gt;"""",REGEXEXTRACT($T1075, M$1&amp;""[\w &amp;]*, (\d+\.\d+)""),"""")
"),"")</f>
        <v/>
      </c>
      <c r="N1075" s="3" t="str">
        <f aca="false">IFERROR(__xludf.dummyfunction("if($T1075&lt;&gt;"""",REGEXEXTRACT(SUBSTITUTE ($T1075,N$1&amp;"" CE"",""""), N$1&amp;""[\w &amp;]*, (\d+\.\d+)""),"""")
"),"")</f>
        <v/>
      </c>
      <c r="O1075" s="3" t="str">
        <f aca="false">IFERROR(__xludf.dummyfunction("if($T1075&lt;&gt;"""",REGEXEXTRACT($T1075, O$1&amp;""[\w &amp;]*, (\d+\.\d+)""),"""")
"),"")</f>
        <v/>
      </c>
      <c r="P1075" s="2"/>
      <c r="Q1075" s="2"/>
      <c r="R1075" s="2"/>
      <c r="S1075" s="2"/>
      <c r="T1075" s="5"/>
    </row>
    <row r="1076" customFormat="false" ht="15.75" hidden="false" customHeight="false" outlineLevel="0" collapsed="false">
      <c r="A1076" s="4"/>
      <c r="B1076" s="2"/>
      <c r="C1076" s="2"/>
      <c r="D1076" s="2"/>
      <c r="E1076" s="2"/>
      <c r="F1076" s="3" t="str">
        <f aca="false">IFERROR(__xludf.dummyfunction("if($T1076&lt;&gt;"""",REGEXEXTRACT(SUBSTITUTE ($T1076,F$1&amp;"" CE"",""""), F$1&amp;""[\w &amp;]*, (\d+\.\d+)""),"""")
"),"")</f>
        <v/>
      </c>
      <c r="G1076" s="3" t="str">
        <f aca="false">IFERROR(__xludf.dummyfunction("if($T1076&lt;&gt;"""",REGEXEXTRACT($T1076, G$1&amp;""[\w &amp;]*, (\d+\.\d+)""),"""")
"),"")</f>
        <v/>
      </c>
      <c r="H1076" s="3"/>
      <c r="I1076" s="3" t="str">
        <f aca="false">IFERROR(__xludf.dummyfunction("if($T1076&lt;&gt;"""",REGEXEXTRACT(SUBSTITUTE ($T1076,I$1&amp;"" CE"",""""), I$1&amp;""[\w &amp;]*, (\d+\.\d+)""),"""")
"),"")</f>
        <v/>
      </c>
      <c r="J1076" s="3" t="str">
        <f aca="false">IFERROR(__xludf.dummyfunction("if($T1076&lt;&gt;"""",REGEXEXTRACT($T1076, J$1&amp;""[\w &amp;]*, (\d+\.\d+)""),"""")
"),"")</f>
        <v/>
      </c>
      <c r="K1076" s="3"/>
      <c r="L1076" s="3" t="str">
        <f aca="false">IFERROR(__xludf.dummyfunction("if($T1076&lt;&gt;"""",REGEXEXTRACT(SUBSTITUTE ($T1076,L$1&amp;"" CE"",""""), L$1&amp;""[\w &amp;]*, (\d+\.\d+)""),"""")
"),"")</f>
        <v/>
      </c>
      <c r="M1076" s="3" t="str">
        <f aca="false">IFERROR(__xludf.dummyfunction("if($T1076&lt;&gt;"""",REGEXEXTRACT($T1076, M$1&amp;""[\w &amp;]*, (\d+\.\d+)""),"""")
"),"")</f>
        <v/>
      </c>
      <c r="N1076" s="3" t="str">
        <f aca="false">IFERROR(__xludf.dummyfunction("if($T1076&lt;&gt;"""",REGEXEXTRACT(SUBSTITUTE ($T1076,N$1&amp;"" CE"",""""), N$1&amp;""[\w &amp;]*, (\d+\.\d+)""),"""")
"),"")</f>
        <v/>
      </c>
      <c r="O1076" s="3" t="str">
        <f aca="false">IFERROR(__xludf.dummyfunction("if($T1076&lt;&gt;"""",REGEXEXTRACT($T1076, O$1&amp;""[\w &amp;]*, (\d+\.\d+)""),"""")
"),"")</f>
        <v/>
      </c>
      <c r="P1076" s="2"/>
      <c r="Q1076" s="2"/>
      <c r="R1076" s="2"/>
      <c r="S1076" s="2"/>
      <c r="T1076" s="5"/>
    </row>
    <row r="1077" customFormat="false" ht="15.75" hidden="false" customHeight="false" outlineLevel="0" collapsed="false">
      <c r="A1077" s="4"/>
      <c r="B1077" s="2"/>
      <c r="C1077" s="2"/>
      <c r="D1077" s="2"/>
      <c r="E1077" s="2"/>
      <c r="F1077" s="3" t="str">
        <f aca="false">IFERROR(__xludf.dummyfunction("if($T1077&lt;&gt;"""",REGEXEXTRACT(SUBSTITUTE ($T1077,F$1&amp;"" CE"",""""), F$1&amp;""[\w &amp;]*, (\d+\.\d+)""),"""")
"),"")</f>
        <v/>
      </c>
      <c r="G1077" s="3" t="str">
        <f aca="false">IFERROR(__xludf.dummyfunction("if($T1077&lt;&gt;"""",REGEXEXTRACT($T1077, G$1&amp;""[\w &amp;]*, (\d+\.\d+)""),"""")
"),"")</f>
        <v/>
      </c>
      <c r="H1077" s="3"/>
      <c r="I1077" s="3" t="str">
        <f aca="false">IFERROR(__xludf.dummyfunction("if($T1077&lt;&gt;"""",REGEXEXTRACT(SUBSTITUTE ($T1077,I$1&amp;"" CE"",""""), I$1&amp;""[\w &amp;]*, (\d+\.\d+)""),"""")
"),"")</f>
        <v/>
      </c>
      <c r="J1077" s="3" t="str">
        <f aca="false">IFERROR(__xludf.dummyfunction("if($T1077&lt;&gt;"""",REGEXEXTRACT($T1077, J$1&amp;""[\w &amp;]*, (\d+\.\d+)""),"""")
"),"")</f>
        <v/>
      </c>
      <c r="K1077" s="3"/>
      <c r="L1077" s="3" t="str">
        <f aca="false">IFERROR(__xludf.dummyfunction("if($T1077&lt;&gt;"""",REGEXEXTRACT(SUBSTITUTE ($T1077,L$1&amp;"" CE"",""""), L$1&amp;""[\w &amp;]*, (\d+\.\d+)""),"""")
"),"")</f>
        <v/>
      </c>
      <c r="M1077" s="3" t="str">
        <f aca="false">IFERROR(__xludf.dummyfunction("if($T1077&lt;&gt;"""",REGEXEXTRACT($T1077, M$1&amp;""[\w &amp;]*, (\d+\.\d+)""),"""")
"),"")</f>
        <v/>
      </c>
      <c r="N1077" s="3" t="str">
        <f aca="false">IFERROR(__xludf.dummyfunction("if($T1077&lt;&gt;"""",REGEXEXTRACT(SUBSTITUTE ($T1077,N$1&amp;"" CE"",""""), N$1&amp;""[\w &amp;]*, (\d+\.\d+)""),"""")
"),"")</f>
        <v/>
      </c>
      <c r="O1077" s="3" t="str">
        <f aca="false">IFERROR(__xludf.dummyfunction("if($T1077&lt;&gt;"""",REGEXEXTRACT($T1077, O$1&amp;""[\w &amp;]*, (\d+\.\d+)""),"""")
"),"")</f>
        <v/>
      </c>
      <c r="P1077" s="2"/>
      <c r="Q1077" s="2"/>
      <c r="R1077" s="2"/>
      <c r="S1077" s="2"/>
      <c r="T1077" s="5"/>
    </row>
    <row r="1078" customFormat="false" ht="15.75" hidden="false" customHeight="false" outlineLevel="0" collapsed="false">
      <c r="A1078" s="4"/>
      <c r="B1078" s="2"/>
      <c r="C1078" s="2"/>
      <c r="D1078" s="2"/>
      <c r="E1078" s="2"/>
      <c r="F1078" s="3" t="str">
        <f aca="false">IFERROR(__xludf.dummyfunction("if($T1078&lt;&gt;"""",REGEXEXTRACT(SUBSTITUTE ($T1078,F$1&amp;"" CE"",""""), F$1&amp;""[\w &amp;]*, (\d+\.\d+)""),"""")
"),"")</f>
        <v/>
      </c>
      <c r="G1078" s="3" t="str">
        <f aca="false">IFERROR(__xludf.dummyfunction("if($T1078&lt;&gt;"""",REGEXEXTRACT($T1078, G$1&amp;""[\w &amp;]*, (\d+\.\d+)""),"""")
"),"")</f>
        <v/>
      </c>
      <c r="H1078" s="3"/>
      <c r="I1078" s="3" t="str">
        <f aca="false">IFERROR(__xludf.dummyfunction("if($T1078&lt;&gt;"""",REGEXEXTRACT(SUBSTITUTE ($T1078,I$1&amp;"" CE"",""""), I$1&amp;""[\w &amp;]*, (\d+\.\d+)""),"""")
"),"")</f>
        <v/>
      </c>
      <c r="J1078" s="3" t="str">
        <f aca="false">IFERROR(__xludf.dummyfunction("if($T1078&lt;&gt;"""",REGEXEXTRACT($T1078, J$1&amp;""[\w &amp;]*, (\d+\.\d+)""),"""")
"),"")</f>
        <v/>
      </c>
      <c r="K1078" s="3"/>
      <c r="L1078" s="3" t="str">
        <f aca="false">IFERROR(__xludf.dummyfunction("if($T1078&lt;&gt;"""",REGEXEXTRACT(SUBSTITUTE ($T1078,L$1&amp;"" CE"",""""), L$1&amp;""[\w &amp;]*, (\d+\.\d+)""),"""")
"),"")</f>
        <v/>
      </c>
      <c r="M1078" s="3" t="str">
        <f aca="false">IFERROR(__xludf.dummyfunction("if($T1078&lt;&gt;"""",REGEXEXTRACT($T1078, M$1&amp;""[\w &amp;]*, (\d+\.\d+)""),"""")
"),"")</f>
        <v/>
      </c>
      <c r="N1078" s="3" t="str">
        <f aca="false">IFERROR(__xludf.dummyfunction("if($T1078&lt;&gt;"""",REGEXEXTRACT(SUBSTITUTE ($T1078,N$1&amp;"" CE"",""""), N$1&amp;""[\w &amp;]*, (\d+\.\d+)""),"""")
"),"")</f>
        <v/>
      </c>
      <c r="O1078" s="3" t="str">
        <f aca="false">IFERROR(__xludf.dummyfunction("if($T1078&lt;&gt;"""",REGEXEXTRACT($T1078, O$1&amp;""[\w &amp;]*, (\d+\.\d+)""),"""")
"),"")</f>
        <v/>
      </c>
      <c r="P1078" s="2"/>
      <c r="Q1078" s="2"/>
      <c r="R1078" s="2"/>
      <c r="S1078" s="2"/>
      <c r="T1078" s="5"/>
    </row>
    <row r="1079" customFormat="false" ht="15.75" hidden="false" customHeight="false" outlineLevel="0" collapsed="false">
      <c r="A1079" s="4"/>
      <c r="B1079" s="2"/>
      <c r="C1079" s="2"/>
      <c r="D1079" s="2"/>
      <c r="E1079" s="2"/>
      <c r="F1079" s="3" t="str">
        <f aca="false">IFERROR(__xludf.dummyfunction("if($T1079&lt;&gt;"""",REGEXEXTRACT(SUBSTITUTE ($T1079,F$1&amp;"" CE"",""""), F$1&amp;""[\w &amp;]*, (\d+\.\d+)""),"""")
"),"")</f>
        <v/>
      </c>
      <c r="G1079" s="3" t="str">
        <f aca="false">IFERROR(__xludf.dummyfunction("if($T1079&lt;&gt;"""",REGEXEXTRACT($T1079, G$1&amp;""[\w &amp;]*, (\d+\.\d+)""),"""")
"),"")</f>
        <v/>
      </c>
      <c r="H1079" s="3"/>
      <c r="I1079" s="3" t="str">
        <f aca="false">IFERROR(__xludf.dummyfunction("if($T1079&lt;&gt;"""",REGEXEXTRACT(SUBSTITUTE ($T1079,I$1&amp;"" CE"",""""), I$1&amp;""[\w &amp;]*, (\d+\.\d+)""),"""")
"),"")</f>
        <v/>
      </c>
      <c r="J1079" s="3" t="str">
        <f aca="false">IFERROR(__xludf.dummyfunction("if($T1079&lt;&gt;"""",REGEXEXTRACT($T1079, J$1&amp;""[\w &amp;]*, (\d+\.\d+)""),"""")
"),"")</f>
        <v/>
      </c>
      <c r="K1079" s="3"/>
      <c r="L1079" s="3" t="str">
        <f aca="false">IFERROR(__xludf.dummyfunction("if($T1079&lt;&gt;"""",REGEXEXTRACT(SUBSTITUTE ($T1079,L$1&amp;"" CE"",""""), L$1&amp;""[\w &amp;]*, (\d+\.\d+)""),"""")
"),"")</f>
        <v/>
      </c>
      <c r="M1079" s="3" t="str">
        <f aca="false">IFERROR(__xludf.dummyfunction("if($T1079&lt;&gt;"""",REGEXEXTRACT($T1079, M$1&amp;""[\w &amp;]*, (\d+\.\d+)""),"""")
"),"")</f>
        <v/>
      </c>
      <c r="N1079" s="3" t="str">
        <f aca="false">IFERROR(__xludf.dummyfunction("if($T1079&lt;&gt;"""",REGEXEXTRACT(SUBSTITUTE ($T1079,N$1&amp;"" CE"",""""), N$1&amp;""[\w &amp;]*, (\d+\.\d+)""),"""")
"),"")</f>
        <v/>
      </c>
      <c r="O1079" s="3" t="str">
        <f aca="false">IFERROR(__xludf.dummyfunction("if($T1079&lt;&gt;"""",REGEXEXTRACT($T1079, O$1&amp;""[\w &amp;]*, (\d+\.\d+)""),"""")
"),"")</f>
        <v/>
      </c>
      <c r="P1079" s="2"/>
      <c r="Q1079" s="2"/>
      <c r="R1079" s="2"/>
      <c r="S1079" s="2"/>
      <c r="T1079" s="5"/>
    </row>
    <row r="1080" customFormat="false" ht="15.75" hidden="false" customHeight="false" outlineLevel="0" collapsed="false">
      <c r="A1080" s="4"/>
      <c r="B1080" s="2"/>
      <c r="C1080" s="2"/>
      <c r="D1080" s="2"/>
      <c r="E1080" s="2"/>
      <c r="F1080" s="3" t="str">
        <f aca="false">IFERROR(__xludf.dummyfunction("if($T1080&lt;&gt;"""",REGEXEXTRACT(SUBSTITUTE ($T1080,F$1&amp;"" CE"",""""), F$1&amp;""[\w &amp;]*, (\d+\.\d+)""),"""")
"),"")</f>
        <v/>
      </c>
      <c r="G1080" s="3" t="str">
        <f aca="false">IFERROR(__xludf.dummyfunction("if($T1080&lt;&gt;"""",REGEXEXTRACT($T1080, G$1&amp;""[\w &amp;]*, (\d+\.\d+)""),"""")
"),"")</f>
        <v/>
      </c>
      <c r="H1080" s="3"/>
      <c r="I1080" s="3" t="str">
        <f aca="false">IFERROR(__xludf.dummyfunction("if($T1080&lt;&gt;"""",REGEXEXTRACT(SUBSTITUTE ($T1080,I$1&amp;"" CE"",""""), I$1&amp;""[\w &amp;]*, (\d+\.\d+)""),"""")
"),"")</f>
        <v/>
      </c>
      <c r="J1080" s="3" t="str">
        <f aca="false">IFERROR(__xludf.dummyfunction("if($T1080&lt;&gt;"""",REGEXEXTRACT($T1080, J$1&amp;""[\w &amp;]*, (\d+\.\d+)""),"""")
"),"")</f>
        <v/>
      </c>
      <c r="K1080" s="3"/>
      <c r="L1080" s="3" t="str">
        <f aca="false">IFERROR(__xludf.dummyfunction("if($T1080&lt;&gt;"""",REGEXEXTRACT(SUBSTITUTE ($T1080,L$1&amp;"" CE"",""""), L$1&amp;""[\w &amp;]*, (\d+\.\d+)""),"""")
"),"")</f>
        <v/>
      </c>
      <c r="M1080" s="3" t="str">
        <f aca="false">IFERROR(__xludf.dummyfunction("if($T1080&lt;&gt;"""",REGEXEXTRACT($T1080, M$1&amp;""[\w &amp;]*, (\d+\.\d+)""),"""")
"),"")</f>
        <v/>
      </c>
      <c r="N1080" s="3" t="str">
        <f aca="false">IFERROR(__xludf.dummyfunction("if($T1080&lt;&gt;"""",REGEXEXTRACT(SUBSTITUTE ($T1080,N$1&amp;"" CE"",""""), N$1&amp;""[\w &amp;]*, (\d+\.\d+)""),"""")
"),"")</f>
        <v/>
      </c>
      <c r="O1080" s="3" t="str">
        <f aca="false">IFERROR(__xludf.dummyfunction("if($T1080&lt;&gt;"""",REGEXEXTRACT($T1080, O$1&amp;""[\w &amp;]*, (\d+\.\d+)""),"""")
"),"")</f>
        <v/>
      </c>
      <c r="P1080" s="2"/>
      <c r="Q1080" s="2"/>
      <c r="R1080" s="2"/>
      <c r="S1080" s="2"/>
      <c r="T1080" s="5"/>
    </row>
    <row r="1081" customFormat="false" ht="15.75" hidden="false" customHeight="false" outlineLevel="0" collapsed="false">
      <c r="A1081" s="4"/>
      <c r="B1081" s="2"/>
      <c r="C1081" s="2"/>
      <c r="D1081" s="2"/>
      <c r="E1081" s="2"/>
      <c r="F1081" s="3" t="str">
        <f aca="false">IFERROR(__xludf.dummyfunction("if($T1081&lt;&gt;"""",REGEXEXTRACT(SUBSTITUTE ($T1081,F$1&amp;"" CE"",""""), F$1&amp;""[\w &amp;]*, (\d+\.\d+)""),"""")
"),"")</f>
        <v/>
      </c>
      <c r="G1081" s="3" t="str">
        <f aca="false">IFERROR(__xludf.dummyfunction("if($T1081&lt;&gt;"""",REGEXEXTRACT($T1081, G$1&amp;""[\w &amp;]*, (\d+\.\d+)""),"""")
"),"")</f>
        <v/>
      </c>
      <c r="H1081" s="3"/>
      <c r="I1081" s="3" t="str">
        <f aca="false">IFERROR(__xludf.dummyfunction("if($T1081&lt;&gt;"""",REGEXEXTRACT(SUBSTITUTE ($T1081,I$1&amp;"" CE"",""""), I$1&amp;""[\w &amp;]*, (\d+\.\d+)""),"""")
"),"")</f>
        <v/>
      </c>
      <c r="J1081" s="3" t="str">
        <f aca="false">IFERROR(__xludf.dummyfunction("if($T1081&lt;&gt;"""",REGEXEXTRACT($T1081, J$1&amp;""[\w &amp;]*, (\d+\.\d+)""),"""")
"),"")</f>
        <v/>
      </c>
      <c r="K1081" s="3"/>
      <c r="L1081" s="3" t="str">
        <f aca="false">IFERROR(__xludf.dummyfunction("if($T1081&lt;&gt;"""",REGEXEXTRACT(SUBSTITUTE ($T1081,L$1&amp;"" CE"",""""), L$1&amp;""[\w &amp;]*, (\d+\.\d+)""),"""")
"),"")</f>
        <v/>
      </c>
      <c r="M1081" s="3" t="str">
        <f aca="false">IFERROR(__xludf.dummyfunction("if($T1081&lt;&gt;"""",REGEXEXTRACT($T1081, M$1&amp;""[\w &amp;]*, (\d+\.\d+)""),"""")
"),"")</f>
        <v/>
      </c>
      <c r="N1081" s="3" t="str">
        <f aca="false">IFERROR(__xludf.dummyfunction("if($T1081&lt;&gt;"""",REGEXEXTRACT(SUBSTITUTE ($T1081,N$1&amp;"" CE"",""""), N$1&amp;""[\w &amp;]*, (\d+\.\d+)""),"""")
"),"")</f>
        <v/>
      </c>
      <c r="O1081" s="3" t="str">
        <f aca="false">IFERROR(__xludf.dummyfunction("if($T1081&lt;&gt;"""",REGEXEXTRACT($T1081, O$1&amp;""[\w &amp;]*, (\d+\.\d+)""),"""")
"),"")</f>
        <v/>
      </c>
      <c r="P1081" s="2"/>
      <c r="Q1081" s="2"/>
      <c r="R1081" s="2"/>
      <c r="S1081" s="2"/>
      <c r="T1081" s="5"/>
    </row>
    <row r="1082" customFormat="false" ht="15.75" hidden="false" customHeight="false" outlineLevel="0" collapsed="false">
      <c r="A1082" s="4"/>
      <c r="B1082" s="2"/>
      <c r="C1082" s="2"/>
      <c r="D1082" s="2"/>
      <c r="E1082" s="2"/>
      <c r="F1082" s="3" t="str">
        <f aca="false">IFERROR(__xludf.dummyfunction("if($T1082&lt;&gt;"""",REGEXEXTRACT(SUBSTITUTE ($T1082,F$1&amp;"" CE"",""""), F$1&amp;""[\w &amp;]*, (\d+\.\d+)""),"""")
"),"")</f>
        <v/>
      </c>
      <c r="G1082" s="3" t="str">
        <f aca="false">IFERROR(__xludf.dummyfunction("if($T1082&lt;&gt;"""",REGEXEXTRACT($T1082, G$1&amp;""[\w &amp;]*, (\d+\.\d+)""),"""")
"),"")</f>
        <v/>
      </c>
      <c r="H1082" s="3"/>
      <c r="I1082" s="3" t="str">
        <f aca="false">IFERROR(__xludf.dummyfunction("if($T1082&lt;&gt;"""",REGEXEXTRACT(SUBSTITUTE ($T1082,I$1&amp;"" CE"",""""), I$1&amp;""[\w &amp;]*, (\d+\.\d+)""),"""")
"),"")</f>
        <v/>
      </c>
      <c r="J1082" s="3" t="str">
        <f aca="false">IFERROR(__xludf.dummyfunction("if($T1082&lt;&gt;"""",REGEXEXTRACT($T1082, J$1&amp;""[\w &amp;]*, (\d+\.\d+)""),"""")
"),"")</f>
        <v/>
      </c>
      <c r="K1082" s="3"/>
      <c r="L1082" s="3" t="str">
        <f aca="false">IFERROR(__xludf.dummyfunction("if($T1082&lt;&gt;"""",REGEXEXTRACT(SUBSTITUTE ($T1082,L$1&amp;"" CE"",""""), L$1&amp;""[\w &amp;]*, (\d+\.\d+)""),"""")
"),"")</f>
        <v/>
      </c>
      <c r="M1082" s="3" t="str">
        <f aca="false">IFERROR(__xludf.dummyfunction("if($T1082&lt;&gt;"""",REGEXEXTRACT($T1082, M$1&amp;""[\w &amp;]*, (\d+\.\d+)""),"""")
"),"")</f>
        <v/>
      </c>
      <c r="N1082" s="3" t="str">
        <f aca="false">IFERROR(__xludf.dummyfunction("if($T1082&lt;&gt;"""",REGEXEXTRACT(SUBSTITUTE ($T1082,N$1&amp;"" CE"",""""), N$1&amp;""[\w &amp;]*, (\d+\.\d+)""),"""")
"),"")</f>
        <v/>
      </c>
      <c r="O1082" s="3" t="str">
        <f aca="false">IFERROR(__xludf.dummyfunction("if($T1082&lt;&gt;"""",REGEXEXTRACT($T1082, O$1&amp;""[\w &amp;]*, (\d+\.\d+)""),"""")
"),"")</f>
        <v/>
      </c>
      <c r="P1082" s="2"/>
      <c r="Q1082" s="2"/>
      <c r="R1082" s="2"/>
      <c r="S1082" s="2"/>
      <c r="T1082" s="5"/>
    </row>
    <row r="1083" customFormat="false" ht="15.75" hidden="false" customHeight="false" outlineLevel="0" collapsed="false">
      <c r="A1083" s="4"/>
      <c r="B1083" s="2"/>
      <c r="C1083" s="2"/>
      <c r="D1083" s="2"/>
      <c r="E1083" s="2"/>
      <c r="F1083" s="3" t="str">
        <f aca="false">IFERROR(__xludf.dummyfunction("if($T1083&lt;&gt;"""",REGEXEXTRACT(SUBSTITUTE ($T1083,F$1&amp;"" CE"",""""), F$1&amp;""[\w &amp;]*, (\d+\.\d+)""),"""")
"),"")</f>
        <v/>
      </c>
      <c r="G1083" s="3" t="str">
        <f aca="false">IFERROR(__xludf.dummyfunction("if($T1083&lt;&gt;"""",REGEXEXTRACT($T1083, G$1&amp;""[\w &amp;]*, (\d+\.\d+)""),"""")
"),"")</f>
        <v/>
      </c>
      <c r="H1083" s="3"/>
      <c r="I1083" s="3" t="str">
        <f aca="false">IFERROR(__xludf.dummyfunction("if($T1083&lt;&gt;"""",REGEXEXTRACT(SUBSTITUTE ($T1083,I$1&amp;"" CE"",""""), I$1&amp;""[\w &amp;]*, (\d+\.\d+)""),"""")
"),"")</f>
        <v/>
      </c>
      <c r="J1083" s="3" t="str">
        <f aca="false">IFERROR(__xludf.dummyfunction("if($T1083&lt;&gt;"""",REGEXEXTRACT($T1083, J$1&amp;""[\w &amp;]*, (\d+\.\d+)""),"""")
"),"")</f>
        <v/>
      </c>
      <c r="K1083" s="3"/>
      <c r="L1083" s="3" t="str">
        <f aca="false">IFERROR(__xludf.dummyfunction("if($T1083&lt;&gt;"""",REGEXEXTRACT(SUBSTITUTE ($T1083,L$1&amp;"" CE"",""""), L$1&amp;""[\w &amp;]*, (\d+\.\d+)""),"""")
"),"")</f>
        <v/>
      </c>
      <c r="M1083" s="3" t="str">
        <f aca="false">IFERROR(__xludf.dummyfunction("if($T1083&lt;&gt;"""",REGEXEXTRACT($T1083, M$1&amp;""[\w &amp;]*, (\d+\.\d+)""),"""")
"),"")</f>
        <v/>
      </c>
      <c r="N1083" s="3" t="str">
        <f aca="false">IFERROR(__xludf.dummyfunction("if($T1083&lt;&gt;"""",REGEXEXTRACT(SUBSTITUTE ($T1083,N$1&amp;"" CE"",""""), N$1&amp;""[\w &amp;]*, (\d+\.\d+)""),"""")
"),"")</f>
        <v/>
      </c>
      <c r="O1083" s="3" t="str">
        <f aca="false">IFERROR(__xludf.dummyfunction("if($T1083&lt;&gt;"""",REGEXEXTRACT($T1083, O$1&amp;""[\w &amp;]*, (\d+\.\d+)""),"""")
"),"")</f>
        <v/>
      </c>
      <c r="P1083" s="2"/>
      <c r="Q1083" s="2"/>
      <c r="R1083" s="2"/>
      <c r="S1083" s="2"/>
      <c r="T1083" s="5"/>
    </row>
    <row r="1084" customFormat="false" ht="15.75" hidden="false" customHeight="false" outlineLevel="0" collapsed="false">
      <c r="A1084" s="4"/>
      <c r="B1084" s="2"/>
      <c r="C1084" s="2"/>
      <c r="D1084" s="2"/>
      <c r="E1084" s="2"/>
      <c r="F1084" s="3" t="str">
        <f aca="false">IFERROR(__xludf.dummyfunction("if($T1084&lt;&gt;"""",REGEXEXTRACT(SUBSTITUTE ($T1084,F$1&amp;"" CE"",""""), F$1&amp;""[\w &amp;]*, (\d+\.\d+)""),"""")
"),"")</f>
        <v/>
      </c>
      <c r="G1084" s="3" t="str">
        <f aca="false">IFERROR(__xludf.dummyfunction("if($T1084&lt;&gt;"""",REGEXEXTRACT($T1084, G$1&amp;""[\w &amp;]*, (\d+\.\d+)""),"""")
"),"")</f>
        <v/>
      </c>
      <c r="H1084" s="3"/>
      <c r="I1084" s="3" t="str">
        <f aca="false">IFERROR(__xludf.dummyfunction("if($T1084&lt;&gt;"""",REGEXEXTRACT(SUBSTITUTE ($T1084,I$1&amp;"" CE"",""""), I$1&amp;""[\w &amp;]*, (\d+\.\d+)""),"""")
"),"")</f>
        <v/>
      </c>
      <c r="J1084" s="3" t="str">
        <f aca="false">IFERROR(__xludf.dummyfunction("if($T1084&lt;&gt;"""",REGEXEXTRACT($T1084, J$1&amp;""[\w &amp;]*, (\d+\.\d+)""),"""")
"),"")</f>
        <v/>
      </c>
      <c r="K1084" s="3"/>
      <c r="L1084" s="3" t="str">
        <f aca="false">IFERROR(__xludf.dummyfunction("if($T1084&lt;&gt;"""",REGEXEXTRACT(SUBSTITUTE ($T1084,L$1&amp;"" CE"",""""), L$1&amp;""[\w &amp;]*, (\d+\.\d+)""),"""")
"),"")</f>
        <v/>
      </c>
      <c r="M1084" s="3" t="str">
        <f aca="false">IFERROR(__xludf.dummyfunction("if($T1084&lt;&gt;"""",REGEXEXTRACT($T1084, M$1&amp;""[\w &amp;]*, (\d+\.\d+)""),"""")
"),"")</f>
        <v/>
      </c>
      <c r="N1084" s="3" t="str">
        <f aca="false">IFERROR(__xludf.dummyfunction("if($T1084&lt;&gt;"""",REGEXEXTRACT(SUBSTITUTE ($T1084,N$1&amp;"" CE"",""""), N$1&amp;""[\w &amp;]*, (\d+\.\d+)""),"""")
"),"")</f>
        <v/>
      </c>
      <c r="O1084" s="3" t="str">
        <f aca="false">IFERROR(__xludf.dummyfunction("if($T1084&lt;&gt;"""",REGEXEXTRACT($T1084, O$1&amp;""[\w &amp;]*, (\d+\.\d+)""),"""")
"),"")</f>
        <v/>
      </c>
      <c r="P1084" s="2"/>
      <c r="Q1084" s="2"/>
      <c r="R1084" s="2"/>
      <c r="S1084" s="2"/>
      <c r="T1084" s="5"/>
    </row>
    <row r="1085" customFormat="false" ht="15.75" hidden="false" customHeight="false" outlineLevel="0" collapsed="false">
      <c r="A1085" s="4"/>
      <c r="B1085" s="2"/>
      <c r="C1085" s="2"/>
      <c r="D1085" s="2"/>
      <c r="E1085" s="2"/>
      <c r="F1085" s="3" t="str">
        <f aca="false">IFERROR(__xludf.dummyfunction("if($T1085&lt;&gt;"""",REGEXEXTRACT(SUBSTITUTE ($T1085,F$1&amp;"" CE"",""""), F$1&amp;""[\w &amp;]*, (\d+\.\d+)""),"""")
"),"")</f>
        <v/>
      </c>
      <c r="G1085" s="3" t="str">
        <f aca="false">IFERROR(__xludf.dummyfunction("if($T1085&lt;&gt;"""",REGEXEXTRACT($T1085, G$1&amp;""[\w &amp;]*, (\d+\.\d+)""),"""")
"),"")</f>
        <v/>
      </c>
      <c r="H1085" s="3"/>
      <c r="I1085" s="3" t="str">
        <f aca="false">IFERROR(__xludf.dummyfunction("if($T1085&lt;&gt;"""",REGEXEXTRACT(SUBSTITUTE ($T1085,I$1&amp;"" CE"",""""), I$1&amp;""[\w &amp;]*, (\d+\.\d+)""),"""")
"),"")</f>
        <v/>
      </c>
      <c r="J1085" s="3" t="str">
        <f aca="false">IFERROR(__xludf.dummyfunction("if($T1085&lt;&gt;"""",REGEXEXTRACT($T1085, J$1&amp;""[\w &amp;]*, (\d+\.\d+)""),"""")
"),"")</f>
        <v/>
      </c>
      <c r="K1085" s="3"/>
      <c r="L1085" s="3" t="str">
        <f aca="false">IFERROR(__xludf.dummyfunction("if($T1085&lt;&gt;"""",REGEXEXTRACT(SUBSTITUTE ($T1085,L$1&amp;"" CE"",""""), L$1&amp;""[\w &amp;]*, (\d+\.\d+)""),"""")
"),"")</f>
        <v/>
      </c>
      <c r="M1085" s="3" t="str">
        <f aca="false">IFERROR(__xludf.dummyfunction("if($T1085&lt;&gt;"""",REGEXEXTRACT($T1085, M$1&amp;""[\w &amp;]*, (\d+\.\d+)""),"""")
"),"")</f>
        <v/>
      </c>
      <c r="N1085" s="3" t="str">
        <f aca="false">IFERROR(__xludf.dummyfunction("if($T1085&lt;&gt;"""",REGEXEXTRACT(SUBSTITUTE ($T1085,N$1&amp;"" CE"",""""), N$1&amp;""[\w &amp;]*, (\d+\.\d+)""),"""")
"),"")</f>
        <v/>
      </c>
      <c r="O1085" s="3" t="str">
        <f aca="false">IFERROR(__xludf.dummyfunction("if($T1085&lt;&gt;"""",REGEXEXTRACT($T1085, O$1&amp;""[\w &amp;]*, (\d+\.\d+)""),"""")
"),"")</f>
        <v/>
      </c>
      <c r="P1085" s="2"/>
      <c r="Q1085" s="2"/>
      <c r="R1085" s="2"/>
      <c r="S1085" s="2"/>
      <c r="T1085" s="5"/>
    </row>
    <row r="1086" customFormat="false" ht="15.75" hidden="false" customHeight="false" outlineLevel="0" collapsed="false">
      <c r="A1086" s="4"/>
      <c r="B1086" s="2"/>
      <c r="C1086" s="2"/>
      <c r="D1086" s="2"/>
      <c r="E1086" s="2"/>
      <c r="F1086" s="3" t="str">
        <f aca="false">IFERROR(__xludf.dummyfunction("if($T1086&lt;&gt;"""",REGEXEXTRACT(SUBSTITUTE ($T1086,F$1&amp;"" CE"",""""), F$1&amp;""[\w &amp;]*, (\d+\.\d+)""),"""")
"),"")</f>
        <v/>
      </c>
      <c r="G1086" s="3" t="str">
        <f aca="false">IFERROR(__xludf.dummyfunction("if($T1086&lt;&gt;"""",REGEXEXTRACT($T1086, G$1&amp;""[\w &amp;]*, (\d+\.\d+)""),"""")
"),"")</f>
        <v/>
      </c>
      <c r="H1086" s="3"/>
      <c r="I1086" s="3" t="str">
        <f aca="false">IFERROR(__xludf.dummyfunction("if($T1086&lt;&gt;"""",REGEXEXTRACT(SUBSTITUTE ($T1086,I$1&amp;"" CE"",""""), I$1&amp;""[\w &amp;]*, (\d+\.\d+)""),"""")
"),"")</f>
        <v/>
      </c>
      <c r="J1086" s="3" t="str">
        <f aca="false">IFERROR(__xludf.dummyfunction("if($T1086&lt;&gt;"""",REGEXEXTRACT($T1086, J$1&amp;""[\w &amp;]*, (\d+\.\d+)""),"""")
"),"")</f>
        <v/>
      </c>
      <c r="K1086" s="3"/>
      <c r="L1086" s="3" t="str">
        <f aca="false">IFERROR(__xludf.dummyfunction("if($T1086&lt;&gt;"""",REGEXEXTRACT(SUBSTITUTE ($T1086,L$1&amp;"" CE"",""""), L$1&amp;""[\w &amp;]*, (\d+\.\d+)""),"""")
"),"")</f>
        <v/>
      </c>
      <c r="M1086" s="3" t="str">
        <f aca="false">IFERROR(__xludf.dummyfunction("if($T1086&lt;&gt;"""",REGEXEXTRACT($T1086, M$1&amp;""[\w &amp;]*, (\d+\.\d+)""),"""")
"),"")</f>
        <v/>
      </c>
      <c r="N1086" s="3" t="str">
        <f aca="false">IFERROR(__xludf.dummyfunction("if($T1086&lt;&gt;"""",REGEXEXTRACT(SUBSTITUTE ($T1086,N$1&amp;"" CE"",""""), N$1&amp;""[\w &amp;]*, (\d+\.\d+)""),"""")
"),"")</f>
        <v/>
      </c>
      <c r="O1086" s="3" t="str">
        <f aca="false">IFERROR(__xludf.dummyfunction("if($T1086&lt;&gt;"""",REGEXEXTRACT($T1086, O$1&amp;""[\w &amp;]*, (\d+\.\d+)""),"""")
"),"")</f>
        <v/>
      </c>
      <c r="P1086" s="2"/>
      <c r="Q1086" s="2"/>
      <c r="R1086" s="2"/>
      <c r="S1086" s="2"/>
      <c r="T1086" s="5"/>
    </row>
    <row r="1087" customFormat="false" ht="15.75" hidden="false" customHeight="false" outlineLevel="0" collapsed="false">
      <c r="A1087" s="4"/>
      <c r="B1087" s="2"/>
      <c r="C1087" s="2"/>
      <c r="D1087" s="2"/>
      <c r="E1087" s="2"/>
      <c r="F1087" s="3" t="str">
        <f aca="false">IFERROR(__xludf.dummyfunction("if($T1087&lt;&gt;"""",REGEXEXTRACT(SUBSTITUTE ($T1087,F$1&amp;"" CE"",""""), F$1&amp;""[\w &amp;]*, (\d+\.\d+)""),"""")
"),"")</f>
        <v/>
      </c>
      <c r="G1087" s="3" t="str">
        <f aca="false">IFERROR(__xludf.dummyfunction("if($T1087&lt;&gt;"""",REGEXEXTRACT($T1087, G$1&amp;""[\w &amp;]*, (\d+\.\d+)""),"""")
"),"")</f>
        <v/>
      </c>
      <c r="H1087" s="3"/>
      <c r="I1087" s="3" t="str">
        <f aca="false">IFERROR(__xludf.dummyfunction("if($T1087&lt;&gt;"""",REGEXEXTRACT(SUBSTITUTE ($T1087,I$1&amp;"" CE"",""""), I$1&amp;""[\w &amp;]*, (\d+\.\d+)""),"""")
"),"")</f>
        <v/>
      </c>
      <c r="J1087" s="3" t="str">
        <f aca="false">IFERROR(__xludf.dummyfunction("if($T1087&lt;&gt;"""",REGEXEXTRACT($T1087, J$1&amp;""[\w &amp;]*, (\d+\.\d+)""),"""")
"),"")</f>
        <v/>
      </c>
      <c r="K1087" s="3"/>
      <c r="L1087" s="3" t="str">
        <f aca="false">IFERROR(__xludf.dummyfunction("if($T1087&lt;&gt;"""",REGEXEXTRACT(SUBSTITUTE ($T1087,L$1&amp;"" CE"",""""), L$1&amp;""[\w &amp;]*, (\d+\.\d+)""),"""")
"),"")</f>
        <v/>
      </c>
      <c r="M1087" s="3" t="str">
        <f aca="false">IFERROR(__xludf.dummyfunction("if($T1087&lt;&gt;"""",REGEXEXTRACT($T1087, M$1&amp;""[\w &amp;]*, (\d+\.\d+)""),"""")
"),"")</f>
        <v/>
      </c>
      <c r="N1087" s="3" t="str">
        <f aca="false">IFERROR(__xludf.dummyfunction("if($T1087&lt;&gt;"""",REGEXEXTRACT(SUBSTITUTE ($T1087,N$1&amp;"" CE"",""""), N$1&amp;""[\w &amp;]*, (\d+\.\d+)""),"""")
"),"")</f>
        <v/>
      </c>
      <c r="O1087" s="3" t="str">
        <f aca="false">IFERROR(__xludf.dummyfunction("if($T1087&lt;&gt;"""",REGEXEXTRACT($T1087, O$1&amp;""[\w &amp;]*, (\d+\.\d+)""),"""")
"),"")</f>
        <v/>
      </c>
      <c r="P1087" s="2"/>
      <c r="Q1087" s="2"/>
      <c r="R1087" s="2"/>
      <c r="S1087" s="2"/>
      <c r="T1087" s="5"/>
    </row>
    <row r="1088" customFormat="false" ht="15.75" hidden="false" customHeight="false" outlineLevel="0" collapsed="false">
      <c r="A1088" s="4"/>
      <c r="B1088" s="2"/>
      <c r="C1088" s="2"/>
      <c r="D1088" s="2"/>
      <c r="E1088" s="2"/>
      <c r="F1088" s="3" t="str">
        <f aca="false">IFERROR(__xludf.dummyfunction("if($T1088&lt;&gt;"""",REGEXEXTRACT(SUBSTITUTE ($T1088,F$1&amp;"" CE"",""""), F$1&amp;""[\w &amp;]*, (\d+\.\d+)""),"""")
"),"")</f>
        <v/>
      </c>
      <c r="G1088" s="3" t="str">
        <f aca="false">IFERROR(__xludf.dummyfunction("if($T1088&lt;&gt;"""",REGEXEXTRACT($T1088, G$1&amp;""[\w &amp;]*, (\d+\.\d+)""),"""")
"),"")</f>
        <v/>
      </c>
      <c r="H1088" s="3"/>
      <c r="I1088" s="3" t="str">
        <f aca="false">IFERROR(__xludf.dummyfunction("if($T1088&lt;&gt;"""",REGEXEXTRACT(SUBSTITUTE ($T1088,I$1&amp;"" CE"",""""), I$1&amp;""[\w &amp;]*, (\d+\.\d+)""),"""")
"),"")</f>
        <v/>
      </c>
      <c r="J1088" s="3" t="str">
        <f aca="false">IFERROR(__xludf.dummyfunction("if($T1088&lt;&gt;"""",REGEXEXTRACT($T1088, J$1&amp;""[\w &amp;]*, (\d+\.\d+)""),"""")
"),"")</f>
        <v/>
      </c>
      <c r="K1088" s="3"/>
      <c r="L1088" s="3" t="str">
        <f aca="false">IFERROR(__xludf.dummyfunction("if($T1088&lt;&gt;"""",REGEXEXTRACT(SUBSTITUTE ($T1088,L$1&amp;"" CE"",""""), L$1&amp;""[\w &amp;]*, (\d+\.\d+)""),"""")
"),"")</f>
        <v/>
      </c>
      <c r="M1088" s="3" t="str">
        <f aca="false">IFERROR(__xludf.dummyfunction("if($T1088&lt;&gt;"""",REGEXEXTRACT($T1088, M$1&amp;""[\w &amp;]*, (\d+\.\d+)""),"""")
"),"")</f>
        <v/>
      </c>
      <c r="N1088" s="3" t="str">
        <f aca="false">IFERROR(__xludf.dummyfunction("if($T1088&lt;&gt;"""",REGEXEXTRACT(SUBSTITUTE ($T1088,N$1&amp;"" CE"",""""), N$1&amp;""[\w &amp;]*, (\d+\.\d+)""),"""")
"),"")</f>
        <v/>
      </c>
      <c r="O1088" s="3" t="str">
        <f aca="false">IFERROR(__xludf.dummyfunction("if($T1088&lt;&gt;"""",REGEXEXTRACT($T1088, O$1&amp;""[\w &amp;]*, (\d+\.\d+)""),"""")
"),"")</f>
        <v/>
      </c>
      <c r="P1088" s="2"/>
      <c r="Q1088" s="2"/>
      <c r="R1088" s="2"/>
      <c r="S1088" s="2"/>
      <c r="T1088" s="5"/>
    </row>
    <row r="1089" customFormat="false" ht="15.75" hidden="false" customHeight="false" outlineLevel="0" collapsed="false">
      <c r="A1089" s="4"/>
      <c r="B1089" s="2"/>
      <c r="C1089" s="2"/>
      <c r="D1089" s="2"/>
      <c r="E1089" s="2"/>
      <c r="F1089" s="3" t="str">
        <f aca="false">IFERROR(__xludf.dummyfunction("if($T1089&lt;&gt;"""",REGEXEXTRACT(SUBSTITUTE ($T1089,F$1&amp;"" CE"",""""), F$1&amp;""[\w &amp;]*, (\d+\.\d+)""),"""")
"),"")</f>
        <v/>
      </c>
      <c r="G1089" s="3" t="str">
        <f aca="false">IFERROR(__xludf.dummyfunction("if($T1089&lt;&gt;"""",REGEXEXTRACT($T1089, G$1&amp;""[\w &amp;]*, (\d+\.\d+)""),"""")
"),"")</f>
        <v/>
      </c>
      <c r="H1089" s="3"/>
      <c r="I1089" s="3" t="str">
        <f aca="false">IFERROR(__xludf.dummyfunction("if($T1089&lt;&gt;"""",REGEXEXTRACT(SUBSTITUTE ($T1089,I$1&amp;"" CE"",""""), I$1&amp;""[\w &amp;]*, (\d+\.\d+)""),"""")
"),"")</f>
        <v/>
      </c>
      <c r="J1089" s="3" t="str">
        <f aca="false">IFERROR(__xludf.dummyfunction("if($T1089&lt;&gt;"""",REGEXEXTRACT($T1089, J$1&amp;""[\w &amp;]*, (\d+\.\d+)""),"""")
"),"")</f>
        <v/>
      </c>
      <c r="K1089" s="3"/>
      <c r="L1089" s="3" t="str">
        <f aca="false">IFERROR(__xludf.dummyfunction("if($T1089&lt;&gt;"""",REGEXEXTRACT(SUBSTITUTE ($T1089,L$1&amp;"" CE"",""""), L$1&amp;""[\w &amp;]*, (\d+\.\d+)""),"""")
"),"")</f>
        <v/>
      </c>
      <c r="M1089" s="3" t="str">
        <f aca="false">IFERROR(__xludf.dummyfunction("if($T1089&lt;&gt;"""",REGEXEXTRACT($T1089, M$1&amp;""[\w &amp;]*, (\d+\.\d+)""),"""")
"),"")</f>
        <v/>
      </c>
      <c r="N1089" s="3" t="str">
        <f aca="false">IFERROR(__xludf.dummyfunction("if($T1089&lt;&gt;"""",REGEXEXTRACT(SUBSTITUTE ($T1089,N$1&amp;"" CE"",""""), N$1&amp;""[\w &amp;]*, (\d+\.\d+)""),"""")
"),"")</f>
        <v/>
      </c>
      <c r="O1089" s="3" t="str">
        <f aca="false">IFERROR(__xludf.dummyfunction("if($T1089&lt;&gt;"""",REGEXEXTRACT($T1089, O$1&amp;""[\w &amp;]*, (\d+\.\d+)""),"""")
"),"")</f>
        <v/>
      </c>
      <c r="P1089" s="2"/>
      <c r="Q1089" s="2"/>
      <c r="R1089" s="2"/>
      <c r="S1089" s="2"/>
      <c r="T1089" s="5"/>
    </row>
    <row r="1090" customFormat="false" ht="15.75" hidden="false" customHeight="false" outlineLevel="0" collapsed="false">
      <c r="A1090" s="4"/>
      <c r="B1090" s="2"/>
      <c r="C1090" s="2"/>
      <c r="D1090" s="2"/>
      <c r="E1090" s="2"/>
      <c r="F1090" s="3" t="str">
        <f aca="false">IFERROR(__xludf.dummyfunction("if($T1090&lt;&gt;"""",REGEXEXTRACT(SUBSTITUTE ($T1090,F$1&amp;"" CE"",""""), F$1&amp;""[\w &amp;]*, (\d+\.\d+)""),"""")
"),"")</f>
        <v/>
      </c>
      <c r="G1090" s="3" t="str">
        <f aca="false">IFERROR(__xludf.dummyfunction("if($T1090&lt;&gt;"""",REGEXEXTRACT($T1090, G$1&amp;""[\w &amp;]*, (\d+\.\d+)""),"""")
"),"")</f>
        <v/>
      </c>
      <c r="H1090" s="3"/>
      <c r="I1090" s="3" t="str">
        <f aca="false">IFERROR(__xludf.dummyfunction("if($T1090&lt;&gt;"""",REGEXEXTRACT(SUBSTITUTE ($T1090,I$1&amp;"" CE"",""""), I$1&amp;""[\w &amp;]*, (\d+\.\d+)""),"""")
"),"")</f>
        <v/>
      </c>
      <c r="J1090" s="3" t="str">
        <f aca="false">IFERROR(__xludf.dummyfunction("if($T1090&lt;&gt;"""",REGEXEXTRACT($T1090, J$1&amp;""[\w &amp;]*, (\d+\.\d+)""),"""")
"),"")</f>
        <v/>
      </c>
      <c r="K1090" s="3"/>
      <c r="L1090" s="3" t="str">
        <f aca="false">IFERROR(__xludf.dummyfunction("if($T1090&lt;&gt;"""",REGEXEXTRACT(SUBSTITUTE ($T1090,L$1&amp;"" CE"",""""), L$1&amp;""[\w &amp;]*, (\d+\.\d+)""),"""")
"),"")</f>
        <v/>
      </c>
      <c r="M1090" s="3" t="str">
        <f aca="false">IFERROR(__xludf.dummyfunction("if($T1090&lt;&gt;"""",REGEXEXTRACT($T1090, M$1&amp;""[\w &amp;]*, (\d+\.\d+)""),"""")
"),"")</f>
        <v/>
      </c>
      <c r="N1090" s="3" t="str">
        <f aca="false">IFERROR(__xludf.dummyfunction("if($T1090&lt;&gt;"""",REGEXEXTRACT(SUBSTITUTE ($T1090,N$1&amp;"" CE"",""""), N$1&amp;""[\w &amp;]*, (\d+\.\d+)""),"""")
"),"")</f>
        <v/>
      </c>
      <c r="O1090" s="3" t="str">
        <f aca="false">IFERROR(__xludf.dummyfunction("if($T1090&lt;&gt;"""",REGEXEXTRACT($T1090, O$1&amp;""[\w &amp;]*, (\d+\.\d+)""),"""")
"),"")</f>
        <v/>
      </c>
      <c r="P1090" s="2"/>
      <c r="Q1090" s="2"/>
      <c r="R1090" s="2"/>
      <c r="S1090" s="2"/>
      <c r="T1090" s="5"/>
    </row>
    <row r="1091" customFormat="false" ht="15.75" hidden="false" customHeight="false" outlineLevel="0" collapsed="false">
      <c r="A1091" s="4"/>
      <c r="B1091" s="2"/>
      <c r="C1091" s="2"/>
      <c r="D1091" s="2"/>
      <c r="E1091" s="2"/>
      <c r="F1091" s="3" t="str">
        <f aca="false">IFERROR(__xludf.dummyfunction("if($T1091&lt;&gt;"""",REGEXEXTRACT(SUBSTITUTE ($T1091,F$1&amp;"" CE"",""""), F$1&amp;""[\w &amp;]*, (\d+\.\d+)""),"""")
"),"")</f>
        <v/>
      </c>
      <c r="G1091" s="3" t="str">
        <f aca="false">IFERROR(__xludf.dummyfunction("if($T1091&lt;&gt;"""",REGEXEXTRACT($T1091, G$1&amp;""[\w &amp;]*, (\d+\.\d+)""),"""")
"),"")</f>
        <v/>
      </c>
      <c r="H1091" s="3"/>
      <c r="I1091" s="3" t="str">
        <f aca="false">IFERROR(__xludf.dummyfunction("if($T1091&lt;&gt;"""",REGEXEXTRACT(SUBSTITUTE ($T1091,I$1&amp;"" CE"",""""), I$1&amp;""[\w &amp;]*, (\d+\.\d+)""),"""")
"),"")</f>
        <v/>
      </c>
      <c r="J1091" s="3" t="str">
        <f aca="false">IFERROR(__xludf.dummyfunction("if($T1091&lt;&gt;"""",REGEXEXTRACT($T1091, J$1&amp;""[\w &amp;]*, (\d+\.\d+)""),"""")
"),"")</f>
        <v/>
      </c>
      <c r="K1091" s="3"/>
      <c r="L1091" s="3" t="str">
        <f aca="false">IFERROR(__xludf.dummyfunction("if($T1091&lt;&gt;"""",REGEXEXTRACT(SUBSTITUTE ($T1091,L$1&amp;"" CE"",""""), L$1&amp;""[\w &amp;]*, (\d+\.\d+)""),"""")
"),"")</f>
        <v/>
      </c>
      <c r="M1091" s="3" t="str">
        <f aca="false">IFERROR(__xludf.dummyfunction("if($T1091&lt;&gt;"""",REGEXEXTRACT($T1091, M$1&amp;""[\w &amp;]*, (\d+\.\d+)""),"""")
"),"")</f>
        <v/>
      </c>
      <c r="N1091" s="3" t="str">
        <f aca="false">IFERROR(__xludf.dummyfunction("if($T1091&lt;&gt;"""",REGEXEXTRACT(SUBSTITUTE ($T1091,N$1&amp;"" CE"",""""), N$1&amp;""[\w &amp;]*, (\d+\.\d+)""),"""")
"),"")</f>
        <v/>
      </c>
      <c r="O1091" s="3" t="str">
        <f aca="false">IFERROR(__xludf.dummyfunction("if($T1091&lt;&gt;"""",REGEXEXTRACT($T1091, O$1&amp;""[\w &amp;]*, (\d+\.\d+)""),"""")
"),"")</f>
        <v/>
      </c>
      <c r="P1091" s="2"/>
      <c r="Q1091" s="2"/>
      <c r="R1091" s="2"/>
      <c r="S1091" s="2"/>
      <c r="T1091" s="5"/>
    </row>
    <row r="1092" customFormat="false" ht="15.75" hidden="false" customHeight="false" outlineLevel="0" collapsed="false">
      <c r="A1092" s="4"/>
      <c r="B1092" s="2"/>
      <c r="C1092" s="2"/>
      <c r="D1092" s="2"/>
      <c r="E1092" s="2"/>
      <c r="F1092" s="3" t="str">
        <f aca="false">IFERROR(__xludf.dummyfunction("if($T1092&lt;&gt;"""",REGEXEXTRACT(SUBSTITUTE ($T1092,F$1&amp;"" CE"",""""), F$1&amp;""[\w &amp;]*, (\d+\.\d+)""),"""")
"),"")</f>
        <v/>
      </c>
      <c r="G1092" s="3" t="str">
        <f aca="false">IFERROR(__xludf.dummyfunction("if($T1092&lt;&gt;"""",REGEXEXTRACT($T1092, G$1&amp;""[\w &amp;]*, (\d+\.\d+)""),"""")
"),"")</f>
        <v/>
      </c>
      <c r="H1092" s="3"/>
      <c r="I1092" s="3" t="str">
        <f aca="false">IFERROR(__xludf.dummyfunction("if($T1092&lt;&gt;"""",REGEXEXTRACT(SUBSTITUTE ($T1092,I$1&amp;"" CE"",""""), I$1&amp;""[\w &amp;]*, (\d+\.\d+)""),"""")
"),"")</f>
        <v/>
      </c>
      <c r="J1092" s="3" t="str">
        <f aca="false">IFERROR(__xludf.dummyfunction("if($T1092&lt;&gt;"""",REGEXEXTRACT($T1092, J$1&amp;""[\w &amp;]*, (\d+\.\d+)""),"""")
"),"")</f>
        <v/>
      </c>
      <c r="K1092" s="3"/>
      <c r="L1092" s="3" t="str">
        <f aca="false">IFERROR(__xludf.dummyfunction("if($T1092&lt;&gt;"""",REGEXEXTRACT(SUBSTITUTE ($T1092,L$1&amp;"" CE"",""""), L$1&amp;""[\w &amp;]*, (\d+\.\d+)""),"""")
"),"")</f>
        <v/>
      </c>
      <c r="M1092" s="3" t="str">
        <f aca="false">IFERROR(__xludf.dummyfunction("if($T1092&lt;&gt;"""",REGEXEXTRACT($T1092, M$1&amp;""[\w &amp;]*, (\d+\.\d+)""),"""")
"),"")</f>
        <v/>
      </c>
      <c r="N1092" s="3" t="str">
        <f aca="false">IFERROR(__xludf.dummyfunction("if($T1092&lt;&gt;"""",REGEXEXTRACT(SUBSTITUTE ($T1092,N$1&amp;"" CE"",""""), N$1&amp;""[\w &amp;]*, (\d+\.\d+)""),"""")
"),"")</f>
        <v/>
      </c>
      <c r="O1092" s="3" t="str">
        <f aca="false">IFERROR(__xludf.dummyfunction("if($T1092&lt;&gt;"""",REGEXEXTRACT($T1092, O$1&amp;""[\w &amp;]*, (\d+\.\d+)""),"""")
"),"")</f>
        <v/>
      </c>
      <c r="P1092" s="2"/>
      <c r="Q1092" s="2"/>
      <c r="R1092" s="2"/>
      <c r="S1092" s="2"/>
      <c r="T1092" s="5"/>
    </row>
    <row r="1093" customFormat="false" ht="15.75" hidden="false" customHeight="false" outlineLevel="0" collapsed="false">
      <c r="A1093" s="4"/>
      <c r="B1093" s="2"/>
      <c r="C1093" s="2"/>
      <c r="D1093" s="2"/>
      <c r="E1093" s="2"/>
      <c r="F1093" s="3" t="str">
        <f aca="false">IFERROR(__xludf.dummyfunction("if($T1093&lt;&gt;"""",REGEXEXTRACT(SUBSTITUTE ($T1093,F$1&amp;"" CE"",""""), F$1&amp;""[\w &amp;]*, (\d+\.\d+)""),"""")
"),"")</f>
        <v/>
      </c>
      <c r="G1093" s="3" t="str">
        <f aca="false">IFERROR(__xludf.dummyfunction("if($T1093&lt;&gt;"""",REGEXEXTRACT($T1093, G$1&amp;""[\w &amp;]*, (\d+\.\d+)""),"""")
"),"")</f>
        <v/>
      </c>
      <c r="H1093" s="3"/>
      <c r="I1093" s="3" t="str">
        <f aca="false">IFERROR(__xludf.dummyfunction("if($T1093&lt;&gt;"""",REGEXEXTRACT(SUBSTITUTE ($T1093,I$1&amp;"" CE"",""""), I$1&amp;""[\w &amp;]*, (\d+\.\d+)""),"""")
"),"")</f>
        <v/>
      </c>
      <c r="J1093" s="3" t="str">
        <f aca="false">IFERROR(__xludf.dummyfunction("if($T1093&lt;&gt;"""",REGEXEXTRACT($T1093, J$1&amp;""[\w &amp;]*, (\d+\.\d+)""),"""")
"),"")</f>
        <v/>
      </c>
      <c r="K1093" s="3"/>
      <c r="L1093" s="3" t="str">
        <f aca="false">IFERROR(__xludf.dummyfunction("if($T1093&lt;&gt;"""",REGEXEXTRACT(SUBSTITUTE ($T1093,L$1&amp;"" CE"",""""), L$1&amp;""[\w &amp;]*, (\d+\.\d+)""),"""")
"),"")</f>
        <v/>
      </c>
      <c r="M1093" s="3" t="str">
        <f aca="false">IFERROR(__xludf.dummyfunction("if($T1093&lt;&gt;"""",REGEXEXTRACT($T1093, M$1&amp;""[\w &amp;]*, (\d+\.\d+)""),"""")
"),"")</f>
        <v/>
      </c>
      <c r="N1093" s="3" t="str">
        <f aca="false">IFERROR(__xludf.dummyfunction("if($T1093&lt;&gt;"""",REGEXEXTRACT(SUBSTITUTE ($T1093,N$1&amp;"" CE"",""""), N$1&amp;""[\w &amp;]*, (\d+\.\d+)""),"""")
"),"")</f>
        <v/>
      </c>
      <c r="O1093" s="3" t="str">
        <f aca="false">IFERROR(__xludf.dummyfunction("if($T1093&lt;&gt;"""",REGEXEXTRACT($T1093, O$1&amp;""[\w &amp;]*, (\d+\.\d+)""),"""")
"),"")</f>
        <v/>
      </c>
      <c r="P1093" s="2"/>
      <c r="Q1093" s="2"/>
      <c r="R1093" s="2"/>
      <c r="S1093" s="2"/>
      <c r="T1093" s="5"/>
    </row>
    <row r="1094" customFormat="false" ht="15.75" hidden="false" customHeight="false" outlineLevel="0" collapsed="false">
      <c r="A1094" s="4"/>
      <c r="B1094" s="2"/>
      <c r="C1094" s="2"/>
      <c r="D1094" s="2"/>
      <c r="E1094" s="2"/>
      <c r="F1094" s="3" t="str">
        <f aca="false">IFERROR(__xludf.dummyfunction("if($T1094&lt;&gt;"""",REGEXEXTRACT(SUBSTITUTE ($T1094,F$1&amp;"" CE"",""""), F$1&amp;""[\w &amp;]*, (\d+\.\d+)""),"""")
"),"")</f>
        <v/>
      </c>
      <c r="G1094" s="3" t="str">
        <f aca="false">IFERROR(__xludf.dummyfunction("if($T1094&lt;&gt;"""",REGEXEXTRACT($T1094, G$1&amp;""[\w &amp;]*, (\d+\.\d+)""),"""")
"),"")</f>
        <v/>
      </c>
      <c r="H1094" s="3"/>
      <c r="I1094" s="3" t="str">
        <f aca="false">IFERROR(__xludf.dummyfunction("if($T1094&lt;&gt;"""",REGEXEXTRACT(SUBSTITUTE ($T1094,I$1&amp;"" CE"",""""), I$1&amp;""[\w &amp;]*, (\d+\.\d+)""),"""")
"),"")</f>
        <v/>
      </c>
      <c r="J1094" s="3" t="str">
        <f aca="false">IFERROR(__xludf.dummyfunction("if($T1094&lt;&gt;"""",REGEXEXTRACT($T1094, J$1&amp;""[\w &amp;]*, (\d+\.\d+)""),"""")
"),"")</f>
        <v/>
      </c>
      <c r="K1094" s="3"/>
      <c r="L1094" s="3" t="str">
        <f aca="false">IFERROR(__xludf.dummyfunction("if($T1094&lt;&gt;"""",REGEXEXTRACT(SUBSTITUTE ($T1094,L$1&amp;"" CE"",""""), L$1&amp;""[\w &amp;]*, (\d+\.\d+)""),"""")
"),"")</f>
        <v/>
      </c>
      <c r="M1094" s="3" t="str">
        <f aca="false">IFERROR(__xludf.dummyfunction("if($T1094&lt;&gt;"""",REGEXEXTRACT($T1094, M$1&amp;""[\w &amp;]*, (\d+\.\d+)""),"""")
"),"")</f>
        <v/>
      </c>
      <c r="N1094" s="3" t="str">
        <f aca="false">IFERROR(__xludf.dummyfunction("if($T1094&lt;&gt;"""",REGEXEXTRACT(SUBSTITUTE ($T1094,N$1&amp;"" CE"",""""), N$1&amp;""[\w &amp;]*, (\d+\.\d+)""),"""")
"),"")</f>
        <v/>
      </c>
      <c r="O1094" s="3" t="str">
        <f aca="false">IFERROR(__xludf.dummyfunction("if($T1094&lt;&gt;"""",REGEXEXTRACT($T1094, O$1&amp;""[\w &amp;]*, (\d+\.\d+)""),"""")
"),"")</f>
        <v/>
      </c>
      <c r="P1094" s="2"/>
      <c r="Q1094" s="2"/>
      <c r="R1094" s="2"/>
      <c r="S1094" s="2"/>
      <c r="T1094" s="5"/>
    </row>
    <row r="1095" customFormat="false" ht="15.75" hidden="false" customHeight="false" outlineLevel="0" collapsed="false">
      <c r="A1095" s="4"/>
      <c r="B1095" s="2"/>
      <c r="C1095" s="2"/>
      <c r="D1095" s="2"/>
      <c r="E1095" s="2"/>
      <c r="F1095" s="3" t="str">
        <f aca="false">IFERROR(__xludf.dummyfunction("if($T1095&lt;&gt;"""",REGEXEXTRACT(SUBSTITUTE ($T1095,F$1&amp;"" CE"",""""), F$1&amp;""[\w &amp;]*, (\d+\.\d+)""),"""")
"),"")</f>
        <v/>
      </c>
      <c r="G1095" s="3" t="str">
        <f aca="false">IFERROR(__xludf.dummyfunction("if($T1095&lt;&gt;"""",REGEXEXTRACT($T1095, G$1&amp;""[\w &amp;]*, (\d+\.\d+)""),"""")
"),"")</f>
        <v/>
      </c>
      <c r="H1095" s="3"/>
      <c r="I1095" s="3" t="str">
        <f aca="false">IFERROR(__xludf.dummyfunction("if($T1095&lt;&gt;"""",REGEXEXTRACT(SUBSTITUTE ($T1095,I$1&amp;"" CE"",""""), I$1&amp;""[\w &amp;]*, (\d+\.\d+)""),"""")
"),"")</f>
        <v/>
      </c>
      <c r="J1095" s="3" t="str">
        <f aca="false">IFERROR(__xludf.dummyfunction("if($T1095&lt;&gt;"""",REGEXEXTRACT($T1095, J$1&amp;""[\w &amp;]*, (\d+\.\d+)""),"""")
"),"")</f>
        <v/>
      </c>
      <c r="K1095" s="3"/>
      <c r="L1095" s="3" t="str">
        <f aca="false">IFERROR(__xludf.dummyfunction("if($T1095&lt;&gt;"""",REGEXEXTRACT(SUBSTITUTE ($T1095,L$1&amp;"" CE"",""""), L$1&amp;""[\w &amp;]*, (\d+\.\d+)""),"""")
"),"")</f>
        <v/>
      </c>
      <c r="M1095" s="3" t="str">
        <f aca="false">IFERROR(__xludf.dummyfunction("if($T1095&lt;&gt;"""",REGEXEXTRACT($T1095, M$1&amp;""[\w &amp;]*, (\d+\.\d+)""),"""")
"),"")</f>
        <v/>
      </c>
      <c r="N1095" s="3" t="str">
        <f aca="false">IFERROR(__xludf.dummyfunction("if($T1095&lt;&gt;"""",REGEXEXTRACT(SUBSTITUTE ($T1095,N$1&amp;"" CE"",""""), N$1&amp;""[\w &amp;]*, (\d+\.\d+)""),"""")
"),"")</f>
        <v/>
      </c>
      <c r="O1095" s="3" t="str">
        <f aca="false">IFERROR(__xludf.dummyfunction("if($T1095&lt;&gt;"""",REGEXEXTRACT($T1095, O$1&amp;""[\w &amp;]*, (\d+\.\d+)""),"""")
"),"")</f>
        <v/>
      </c>
      <c r="P1095" s="2"/>
      <c r="Q1095" s="2"/>
      <c r="R1095" s="2"/>
      <c r="S1095" s="2"/>
      <c r="T1095" s="5"/>
    </row>
    <row r="1096" customFormat="false" ht="15.75" hidden="false" customHeight="false" outlineLevel="0" collapsed="false">
      <c r="A1096" s="4"/>
      <c r="B1096" s="2"/>
      <c r="C1096" s="2"/>
      <c r="D1096" s="2"/>
      <c r="E1096" s="2"/>
      <c r="F1096" s="3" t="str">
        <f aca="false">IFERROR(__xludf.dummyfunction("if($T1096&lt;&gt;"""",REGEXEXTRACT(SUBSTITUTE ($T1096,F$1&amp;"" CE"",""""), F$1&amp;""[\w &amp;]*, (\d+\.\d+)""),"""")
"),"")</f>
        <v/>
      </c>
      <c r="G1096" s="3" t="str">
        <f aca="false">IFERROR(__xludf.dummyfunction("if($T1096&lt;&gt;"""",REGEXEXTRACT($T1096, G$1&amp;""[\w &amp;]*, (\d+\.\d+)""),"""")
"),"")</f>
        <v/>
      </c>
      <c r="H1096" s="3"/>
      <c r="I1096" s="3" t="str">
        <f aca="false">IFERROR(__xludf.dummyfunction("if($T1096&lt;&gt;"""",REGEXEXTRACT(SUBSTITUTE ($T1096,I$1&amp;"" CE"",""""), I$1&amp;""[\w &amp;]*, (\d+\.\d+)""),"""")
"),"")</f>
        <v/>
      </c>
      <c r="J1096" s="3" t="str">
        <f aca="false">IFERROR(__xludf.dummyfunction("if($T1096&lt;&gt;"""",REGEXEXTRACT($T1096, J$1&amp;""[\w &amp;]*, (\d+\.\d+)""),"""")
"),"")</f>
        <v/>
      </c>
      <c r="K1096" s="3"/>
      <c r="L1096" s="3" t="str">
        <f aca="false">IFERROR(__xludf.dummyfunction("if($T1096&lt;&gt;"""",REGEXEXTRACT(SUBSTITUTE ($T1096,L$1&amp;"" CE"",""""), L$1&amp;""[\w &amp;]*, (\d+\.\d+)""),"""")
"),"")</f>
        <v/>
      </c>
      <c r="M1096" s="3" t="str">
        <f aca="false">IFERROR(__xludf.dummyfunction("if($T1096&lt;&gt;"""",REGEXEXTRACT($T1096, M$1&amp;""[\w &amp;]*, (\d+\.\d+)""),"""")
"),"")</f>
        <v/>
      </c>
      <c r="N1096" s="3" t="str">
        <f aca="false">IFERROR(__xludf.dummyfunction("if($T1096&lt;&gt;"""",REGEXEXTRACT(SUBSTITUTE ($T1096,N$1&amp;"" CE"",""""), N$1&amp;""[\w &amp;]*, (\d+\.\d+)""),"""")
"),"")</f>
        <v/>
      </c>
      <c r="O1096" s="3" t="str">
        <f aca="false">IFERROR(__xludf.dummyfunction("if($T1096&lt;&gt;"""",REGEXEXTRACT($T1096, O$1&amp;""[\w &amp;]*, (\d+\.\d+)""),"""")
"),"")</f>
        <v/>
      </c>
      <c r="P1096" s="2"/>
      <c r="Q1096" s="2"/>
      <c r="R1096" s="2"/>
      <c r="S1096" s="2"/>
      <c r="T1096" s="5"/>
    </row>
    <row r="1097" customFormat="false" ht="15.75" hidden="false" customHeight="false" outlineLevel="0" collapsed="false">
      <c r="A1097" s="4"/>
      <c r="B1097" s="2"/>
      <c r="C1097" s="2"/>
      <c r="D1097" s="2"/>
      <c r="E1097" s="2"/>
      <c r="F1097" s="3" t="str">
        <f aca="false">IFERROR(__xludf.dummyfunction("if($T1097&lt;&gt;"""",REGEXEXTRACT(SUBSTITUTE ($T1097,F$1&amp;"" CE"",""""), F$1&amp;""[\w &amp;]*, (\d+\.\d+)""),"""")
"),"")</f>
        <v/>
      </c>
      <c r="G1097" s="3" t="str">
        <f aca="false">IFERROR(__xludf.dummyfunction("if($T1097&lt;&gt;"""",REGEXEXTRACT($T1097, G$1&amp;""[\w &amp;]*, (\d+\.\d+)""),"""")
"),"")</f>
        <v/>
      </c>
      <c r="H1097" s="3"/>
      <c r="I1097" s="3" t="str">
        <f aca="false">IFERROR(__xludf.dummyfunction("if($T1097&lt;&gt;"""",REGEXEXTRACT(SUBSTITUTE ($T1097,I$1&amp;"" CE"",""""), I$1&amp;""[\w &amp;]*, (\d+\.\d+)""),"""")
"),"")</f>
        <v/>
      </c>
      <c r="J1097" s="3" t="str">
        <f aca="false">IFERROR(__xludf.dummyfunction("if($T1097&lt;&gt;"""",REGEXEXTRACT($T1097, J$1&amp;""[\w &amp;]*, (\d+\.\d+)""),"""")
"),"")</f>
        <v/>
      </c>
      <c r="K1097" s="3"/>
      <c r="L1097" s="3" t="str">
        <f aca="false">IFERROR(__xludf.dummyfunction("if($T1097&lt;&gt;"""",REGEXEXTRACT(SUBSTITUTE ($T1097,L$1&amp;"" CE"",""""), L$1&amp;""[\w &amp;]*, (\d+\.\d+)""),"""")
"),"")</f>
        <v/>
      </c>
      <c r="M1097" s="3" t="str">
        <f aca="false">IFERROR(__xludf.dummyfunction("if($T1097&lt;&gt;"""",REGEXEXTRACT($T1097, M$1&amp;""[\w &amp;]*, (\d+\.\d+)""),"""")
"),"")</f>
        <v/>
      </c>
      <c r="N1097" s="3" t="str">
        <f aca="false">IFERROR(__xludf.dummyfunction("if($T1097&lt;&gt;"""",REGEXEXTRACT(SUBSTITUTE ($T1097,N$1&amp;"" CE"",""""), N$1&amp;""[\w &amp;]*, (\d+\.\d+)""),"""")
"),"")</f>
        <v/>
      </c>
      <c r="O1097" s="3" t="str">
        <f aca="false">IFERROR(__xludf.dummyfunction("if($T1097&lt;&gt;"""",REGEXEXTRACT($T1097, O$1&amp;""[\w &amp;]*, (\d+\.\d+)""),"""")
"),"")</f>
        <v/>
      </c>
      <c r="P1097" s="2"/>
      <c r="Q1097" s="2"/>
      <c r="R1097" s="2"/>
      <c r="S1097" s="2"/>
      <c r="T1097" s="5"/>
    </row>
    <row r="1098" customFormat="false" ht="15.75" hidden="false" customHeight="false" outlineLevel="0" collapsed="false">
      <c r="A1098" s="4"/>
      <c r="B1098" s="2"/>
      <c r="C1098" s="2"/>
      <c r="D1098" s="2"/>
      <c r="E1098" s="2"/>
      <c r="F1098" s="3" t="str">
        <f aca="false">IFERROR(__xludf.dummyfunction("if($T1098&lt;&gt;"""",REGEXEXTRACT(SUBSTITUTE ($T1098,F$1&amp;"" CE"",""""), F$1&amp;""[\w &amp;]*, (\d+\.\d+)""),"""")
"),"")</f>
        <v/>
      </c>
      <c r="G1098" s="3" t="str">
        <f aca="false">IFERROR(__xludf.dummyfunction("if($T1098&lt;&gt;"""",REGEXEXTRACT($T1098, G$1&amp;""[\w &amp;]*, (\d+\.\d+)""),"""")
"),"")</f>
        <v/>
      </c>
      <c r="H1098" s="3"/>
      <c r="I1098" s="3" t="str">
        <f aca="false">IFERROR(__xludf.dummyfunction("if($T1098&lt;&gt;"""",REGEXEXTRACT(SUBSTITUTE ($T1098,I$1&amp;"" CE"",""""), I$1&amp;""[\w &amp;]*, (\d+\.\d+)""),"""")
"),"")</f>
        <v/>
      </c>
      <c r="J1098" s="3" t="str">
        <f aca="false">IFERROR(__xludf.dummyfunction("if($T1098&lt;&gt;"""",REGEXEXTRACT($T1098, J$1&amp;""[\w &amp;]*, (\d+\.\d+)""),"""")
"),"")</f>
        <v/>
      </c>
      <c r="K1098" s="3"/>
      <c r="L1098" s="3" t="str">
        <f aca="false">IFERROR(__xludf.dummyfunction("if($T1098&lt;&gt;"""",REGEXEXTRACT(SUBSTITUTE ($T1098,L$1&amp;"" CE"",""""), L$1&amp;""[\w &amp;]*, (\d+\.\d+)""),"""")
"),"")</f>
        <v/>
      </c>
      <c r="M1098" s="3" t="str">
        <f aca="false">IFERROR(__xludf.dummyfunction("if($T1098&lt;&gt;"""",REGEXEXTRACT($T1098, M$1&amp;""[\w &amp;]*, (\d+\.\d+)""),"""")
"),"")</f>
        <v/>
      </c>
      <c r="N1098" s="3" t="str">
        <f aca="false">IFERROR(__xludf.dummyfunction("if($T1098&lt;&gt;"""",REGEXEXTRACT(SUBSTITUTE ($T1098,N$1&amp;"" CE"",""""), N$1&amp;""[\w &amp;]*, (\d+\.\d+)""),"""")
"),"")</f>
        <v/>
      </c>
      <c r="O1098" s="3" t="str">
        <f aca="false">IFERROR(__xludf.dummyfunction("if($T1098&lt;&gt;"""",REGEXEXTRACT($T1098, O$1&amp;""[\w &amp;]*, (\d+\.\d+)""),"""")
"),"")</f>
        <v/>
      </c>
      <c r="P1098" s="2"/>
      <c r="Q1098" s="2"/>
      <c r="R1098" s="2"/>
      <c r="S1098" s="2"/>
      <c r="T1098" s="5"/>
    </row>
    <row r="1099" customFormat="false" ht="15.75" hidden="false" customHeight="false" outlineLevel="0" collapsed="false">
      <c r="A1099" s="4"/>
      <c r="B1099" s="2"/>
      <c r="C1099" s="2"/>
      <c r="D1099" s="2"/>
      <c r="E1099" s="2"/>
      <c r="F1099" s="3" t="str">
        <f aca="false">IFERROR(__xludf.dummyfunction("if($T1099&lt;&gt;"""",REGEXEXTRACT(SUBSTITUTE ($T1099,F$1&amp;"" CE"",""""), F$1&amp;""[\w &amp;]*, (\d+\.\d+)""),"""")
"),"")</f>
        <v/>
      </c>
      <c r="G1099" s="3" t="str">
        <f aca="false">IFERROR(__xludf.dummyfunction("if($T1099&lt;&gt;"""",REGEXEXTRACT($T1099, G$1&amp;""[\w &amp;]*, (\d+\.\d+)""),"""")
"),"")</f>
        <v/>
      </c>
      <c r="H1099" s="3"/>
      <c r="I1099" s="3" t="str">
        <f aca="false">IFERROR(__xludf.dummyfunction("if($T1099&lt;&gt;"""",REGEXEXTRACT(SUBSTITUTE ($T1099,I$1&amp;"" CE"",""""), I$1&amp;""[\w &amp;]*, (\d+\.\d+)""),"""")
"),"")</f>
        <v/>
      </c>
      <c r="J1099" s="3" t="str">
        <f aca="false">IFERROR(__xludf.dummyfunction("if($T1099&lt;&gt;"""",REGEXEXTRACT($T1099, J$1&amp;""[\w &amp;]*, (\d+\.\d+)""),"""")
"),"")</f>
        <v/>
      </c>
      <c r="K1099" s="3"/>
      <c r="L1099" s="3" t="str">
        <f aca="false">IFERROR(__xludf.dummyfunction("if($T1099&lt;&gt;"""",REGEXEXTRACT(SUBSTITUTE ($T1099,L$1&amp;"" CE"",""""), L$1&amp;""[\w &amp;]*, (\d+\.\d+)""),"""")
"),"")</f>
        <v/>
      </c>
      <c r="M1099" s="3" t="str">
        <f aca="false">IFERROR(__xludf.dummyfunction("if($T1099&lt;&gt;"""",REGEXEXTRACT($T1099, M$1&amp;""[\w &amp;]*, (\d+\.\d+)""),"""")
"),"")</f>
        <v/>
      </c>
      <c r="N1099" s="3" t="str">
        <f aca="false">IFERROR(__xludf.dummyfunction("if($T1099&lt;&gt;"""",REGEXEXTRACT(SUBSTITUTE ($T1099,N$1&amp;"" CE"",""""), N$1&amp;""[\w &amp;]*, (\d+\.\d+)""),"""")
"),"")</f>
        <v/>
      </c>
      <c r="O1099" s="3" t="str">
        <f aca="false">IFERROR(__xludf.dummyfunction("if($T1099&lt;&gt;"""",REGEXEXTRACT($T1099, O$1&amp;""[\w &amp;]*, (\d+\.\d+)""),"""")
"),"")</f>
        <v/>
      </c>
      <c r="P1099" s="2"/>
      <c r="Q1099" s="2"/>
      <c r="R1099" s="2"/>
      <c r="S1099" s="2"/>
      <c r="T1099" s="5"/>
    </row>
    <row r="1100" customFormat="false" ht="15.75" hidden="false" customHeight="false" outlineLevel="0" collapsed="false">
      <c r="A1100" s="4"/>
      <c r="B1100" s="2"/>
      <c r="C1100" s="2"/>
      <c r="D1100" s="2"/>
      <c r="E1100" s="2"/>
      <c r="F1100" s="3" t="str">
        <f aca="false">IFERROR(__xludf.dummyfunction("if($T1100&lt;&gt;"""",REGEXEXTRACT(SUBSTITUTE ($T1100,F$1&amp;"" CE"",""""), F$1&amp;""[\w &amp;]*, (\d+\.\d+)""),"""")
"),"")</f>
        <v/>
      </c>
      <c r="G1100" s="3" t="str">
        <f aca="false">IFERROR(__xludf.dummyfunction("if($T1100&lt;&gt;"""",REGEXEXTRACT($T1100, G$1&amp;""[\w &amp;]*, (\d+\.\d+)""),"""")
"),"")</f>
        <v/>
      </c>
      <c r="H1100" s="3"/>
      <c r="I1100" s="3" t="str">
        <f aca="false">IFERROR(__xludf.dummyfunction("if($T1100&lt;&gt;"""",REGEXEXTRACT(SUBSTITUTE ($T1100,I$1&amp;"" CE"",""""), I$1&amp;""[\w &amp;]*, (\d+\.\d+)""),"""")
"),"")</f>
        <v/>
      </c>
      <c r="J1100" s="3" t="str">
        <f aca="false">IFERROR(__xludf.dummyfunction("if($T1100&lt;&gt;"""",REGEXEXTRACT($T1100, J$1&amp;""[\w &amp;]*, (\d+\.\d+)""),"""")
"),"")</f>
        <v/>
      </c>
      <c r="K1100" s="3"/>
      <c r="L1100" s="3" t="str">
        <f aca="false">IFERROR(__xludf.dummyfunction("if($T1100&lt;&gt;"""",REGEXEXTRACT(SUBSTITUTE ($T1100,L$1&amp;"" CE"",""""), L$1&amp;""[\w &amp;]*, (\d+\.\d+)""),"""")
"),"")</f>
        <v/>
      </c>
      <c r="M1100" s="3" t="str">
        <f aca="false">IFERROR(__xludf.dummyfunction("if($T1100&lt;&gt;"""",REGEXEXTRACT($T1100, M$1&amp;""[\w &amp;]*, (\d+\.\d+)""),"""")
"),"")</f>
        <v/>
      </c>
      <c r="N1100" s="3" t="str">
        <f aca="false">IFERROR(__xludf.dummyfunction("if($T1100&lt;&gt;"""",REGEXEXTRACT(SUBSTITUTE ($T1100,N$1&amp;"" CE"",""""), N$1&amp;""[\w &amp;]*, (\d+\.\d+)""),"""")
"),"")</f>
        <v/>
      </c>
      <c r="O1100" s="3" t="str">
        <f aca="false">IFERROR(__xludf.dummyfunction("if($T1100&lt;&gt;"""",REGEXEXTRACT($T1100, O$1&amp;""[\w &amp;]*, (\d+\.\d+)""),"""")
"),"")</f>
        <v/>
      </c>
      <c r="P1100" s="2"/>
      <c r="Q1100" s="2"/>
      <c r="R1100" s="2"/>
      <c r="S1100" s="2"/>
      <c r="T1100" s="5"/>
    </row>
    <row r="1101" customFormat="false" ht="15.75" hidden="false" customHeight="false" outlineLevel="0" collapsed="false">
      <c r="A1101" s="4"/>
      <c r="B1101" s="2"/>
      <c r="C1101" s="2"/>
      <c r="D1101" s="2"/>
      <c r="E1101" s="2"/>
      <c r="F1101" s="3" t="str">
        <f aca="false">IFERROR(__xludf.dummyfunction("if($T1101&lt;&gt;"""",REGEXEXTRACT(SUBSTITUTE ($T1101,F$1&amp;"" CE"",""""), F$1&amp;""[\w &amp;]*, (\d+\.\d+)""),"""")
"),"")</f>
        <v/>
      </c>
      <c r="G1101" s="3" t="str">
        <f aca="false">IFERROR(__xludf.dummyfunction("if($T1101&lt;&gt;"""",REGEXEXTRACT($T1101, G$1&amp;""[\w &amp;]*, (\d+\.\d+)""),"""")
"),"")</f>
        <v/>
      </c>
      <c r="H1101" s="3"/>
      <c r="I1101" s="3" t="str">
        <f aca="false">IFERROR(__xludf.dummyfunction("if($T1101&lt;&gt;"""",REGEXEXTRACT(SUBSTITUTE ($T1101,I$1&amp;"" CE"",""""), I$1&amp;""[\w &amp;]*, (\d+\.\d+)""),"""")
"),"")</f>
        <v/>
      </c>
      <c r="J1101" s="3" t="str">
        <f aca="false">IFERROR(__xludf.dummyfunction("if($T1101&lt;&gt;"""",REGEXEXTRACT($T1101, J$1&amp;""[\w &amp;]*, (\d+\.\d+)""),"""")
"),"")</f>
        <v/>
      </c>
      <c r="K1101" s="3"/>
      <c r="L1101" s="3" t="str">
        <f aca="false">IFERROR(__xludf.dummyfunction("if($T1101&lt;&gt;"""",REGEXEXTRACT(SUBSTITUTE ($T1101,L$1&amp;"" CE"",""""), L$1&amp;""[\w &amp;]*, (\d+\.\d+)""),"""")
"),"")</f>
        <v/>
      </c>
      <c r="M1101" s="3" t="str">
        <f aca="false">IFERROR(__xludf.dummyfunction("if($T1101&lt;&gt;"""",REGEXEXTRACT($T1101, M$1&amp;""[\w &amp;]*, (\d+\.\d+)""),"""")
"),"")</f>
        <v/>
      </c>
      <c r="N1101" s="3" t="str">
        <f aca="false">IFERROR(__xludf.dummyfunction("if($T1101&lt;&gt;"""",REGEXEXTRACT(SUBSTITUTE ($T1101,N$1&amp;"" CE"",""""), N$1&amp;""[\w &amp;]*, (\d+\.\d+)""),"""")
"),"")</f>
        <v/>
      </c>
      <c r="O1101" s="3" t="str">
        <f aca="false">IFERROR(__xludf.dummyfunction("if($T1101&lt;&gt;"""",REGEXEXTRACT($T1101, O$1&amp;""[\w &amp;]*, (\d+\.\d+)""),"""")
"),"")</f>
        <v/>
      </c>
      <c r="P1101" s="2"/>
      <c r="Q1101" s="2"/>
      <c r="R1101" s="2"/>
      <c r="S1101" s="2"/>
      <c r="T1101" s="5"/>
    </row>
    <row r="1102" customFormat="false" ht="15.75" hidden="false" customHeight="false" outlineLevel="0" collapsed="false">
      <c r="A1102" s="4"/>
      <c r="B1102" s="2"/>
      <c r="C1102" s="2"/>
      <c r="D1102" s="2"/>
      <c r="E1102" s="2"/>
      <c r="F1102" s="3" t="str">
        <f aca="false">IFERROR(__xludf.dummyfunction("if($T1102&lt;&gt;"""",REGEXEXTRACT(SUBSTITUTE ($T1102,F$1&amp;"" CE"",""""), F$1&amp;""[\w &amp;]*, (\d+\.\d+)""),"""")
"),"")</f>
        <v/>
      </c>
      <c r="G1102" s="3" t="str">
        <f aca="false">IFERROR(__xludf.dummyfunction("if($T1102&lt;&gt;"""",REGEXEXTRACT($T1102, G$1&amp;""[\w &amp;]*, (\d+\.\d+)""),"""")
"),"")</f>
        <v/>
      </c>
      <c r="H1102" s="3"/>
      <c r="I1102" s="3" t="str">
        <f aca="false">IFERROR(__xludf.dummyfunction("if($T1102&lt;&gt;"""",REGEXEXTRACT(SUBSTITUTE ($T1102,I$1&amp;"" CE"",""""), I$1&amp;""[\w &amp;]*, (\d+\.\d+)""),"""")
"),"")</f>
        <v/>
      </c>
      <c r="J1102" s="3" t="str">
        <f aca="false">IFERROR(__xludf.dummyfunction("if($T1102&lt;&gt;"""",REGEXEXTRACT($T1102, J$1&amp;""[\w &amp;]*, (\d+\.\d+)""),"""")
"),"")</f>
        <v/>
      </c>
      <c r="K1102" s="3"/>
      <c r="L1102" s="3" t="str">
        <f aca="false">IFERROR(__xludf.dummyfunction("if($T1102&lt;&gt;"""",REGEXEXTRACT(SUBSTITUTE ($T1102,L$1&amp;"" CE"",""""), L$1&amp;""[\w &amp;]*, (\d+\.\d+)""),"""")
"),"")</f>
        <v/>
      </c>
      <c r="M1102" s="3" t="str">
        <f aca="false">IFERROR(__xludf.dummyfunction("if($T1102&lt;&gt;"""",REGEXEXTRACT($T1102, M$1&amp;""[\w &amp;]*, (\d+\.\d+)""),"""")
"),"")</f>
        <v/>
      </c>
      <c r="N1102" s="3" t="str">
        <f aca="false">IFERROR(__xludf.dummyfunction("if($T1102&lt;&gt;"""",REGEXEXTRACT(SUBSTITUTE ($T1102,N$1&amp;"" CE"",""""), N$1&amp;""[\w &amp;]*, (\d+\.\d+)""),"""")
"),"")</f>
        <v/>
      </c>
      <c r="O1102" s="3" t="str">
        <f aca="false">IFERROR(__xludf.dummyfunction("if($T1102&lt;&gt;"""",REGEXEXTRACT($T1102, O$1&amp;""[\w &amp;]*, (\d+\.\d+)""),"""")
"),"")</f>
        <v/>
      </c>
      <c r="P1102" s="2"/>
      <c r="Q1102" s="2"/>
      <c r="R1102" s="2"/>
      <c r="S1102" s="2"/>
      <c r="T1102" s="5"/>
    </row>
    <row r="1103" customFormat="false" ht="15.75" hidden="false" customHeight="false" outlineLevel="0" collapsed="false">
      <c r="A1103" s="4"/>
      <c r="B1103" s="2"/>
      <c r="C1103" s="2"/>
      <c r="D1103" s="2"/>
      <c r="E1103" s="2"/>
      <c r="F1103" s="3" t="str">
        <f aca="false">IFERROR(__xludf.dummyfunction("if($T1103&lt;&gt;"""",REGEXEXTRACT(SUBSTITUTE ($T1103,F$1&amp;"" CE"",""""), F$1&amp;""[\w &amp;]*, (\d+\.\d+)""),"""")
"),"")</f>
        <v/>
      </c>
      <c r="G1103" s="3" t="str">
        <f aca="false">IFERROR(__xludf.dummyfunction("if($T1103&lt;&gt;"""",REGEXEXTRACT($T1103, G$1&amp;""[\w &amp;]*, (\d+\.\d+)""),"""")
"),"")</f>
        <v/>
      </c>
      <c r="H1103" s="3"/>
      <c r="I1103" s="3" t="str">
        <f aca="false">IFERROR(__xludf.dummyfunction("if($T1103&lt;&gt;"""",REGEXEXTRACT(SUBSTITUTE ($T1103,I$1&amp;"" CE"",""""), I$1&amp;""[\w &amp;]*, (\d+\.\d+)""),"""")
"),"")</f>
        <v/>
      </c>
      <c r="J1103" s="3" t="str">
        <f aca="false">IFERROR(__xludf.dummyfunction("if($T1103&lt;&gt;"""",REGEXEXTRACT($T1103, J$1&amp;""[\w &amp;]*, (\d+\.\d+)""),"""")
"),"")</f>
        <v/>
      </c>
      <c r="K1103" s="3"/>
      <c r="L1103" s="3" t="str">
        <f aca="false">IFERROR(__xludf.dummyfunction("if($T1103&lt;&gt;"""",REGEXEXTRACT(SUBSTITUTE ($T1103,L$1&amp;"" CE"",""""), L$1&amp;""[\w &amp;]*, (\d+\.\d+)""),"""")
"),"")</f>
        <v/>
      </c>
      <c r="M1103" s="3" t="str">
        <f aca="false">IFERROR(__xludf.dummyfunction("if($T1103&lt;&gt;"""",REGEXEXTRACT($T1103, M$1&amp;""[\w &amp;]*, (\d+\.\d+)""),"""")
"),"")</f>
        <v/>
      </c>
      <c r="N1103" s="3" t="str">
        <f aca="false">IFERROR(__xludf.dummyfunction("if($T1103&lt;&gt;"""",REGEXEXTRACT(SUBSTITUTE ($T1103,N$1&amp;"" CE"",""""), N$1&amp;""[\w &amp;]*, (\d+\.\d+)""),"""")
"),"")</f>
        <v/>
      </c>
      <c r="O1103" s="3" t="str">
        <f aca="false">IFERROR(__xludf.dummyfunction("if($T1103&lt;&gt;"""",REGEXEXTRACT($T1103, O$1&amp;""[\w &amp;]*, (\d+\.\d+)""),"""")
"),"")</f>
        <v/>
      </c>
      <c r="P1103" s="2"/>
      <c r="Q1103" s="2"/>
      <c r="R1103" s="2"/>
      <c r="S1103" s="2"/>
      <c r="T1103" s="5"/>
    </row>
    <row r="1104" customFormat="false" ht="15.75" hidden="false" customHeight="false" outlineLevel="0" collapsed="false">
      <c r="A1104" s="4"/>
      <c r="B1104" s="2"/>
      <c r="C1104" s="2"/>
      <c r="D1104" s="2"/>
      <c r="E1104" s="2"/>
      <c r="F1104" s="3" t="str">
        <f aca="false">IFERROR(__xludf.dummyfunction("if($T1104&lt;&gt;"""",REGEXEXTRACT(SUBSTITUTE ($T1104,F$1&amp;"" CE"",""""), F$1&amp;""[\w &amp;]*, (\d+\.\d+)""),"""")
"),"")</f>
        <v/>
      </c>
      <c r="G1104" s="3" t="str">
        <f aca="false">IFERROR(__xludf.dummyfunction("if($T1104&lt;&gt;"""",REGEXEXTRACT($T1104, G$1&amp;""[\w &amp;]*, (\d+\.\d+)""),"""")
"),"")</f>
        <v/>
      </c>
      <c r="H1104" s="3"/>
      <c r="I1104" s="3" t="str">
        <f aca="false">IFERROR(__xludf.dummyfunction("if($T1104&lt;&gt;"""",REGEXEXTRACT(SUBSTITUTE ($T1104,I$1&amp;"" CE"",""""), I$1&amp;""[\w &amp;]*, (\d+\.\d+)""),"""")
"),"")</f>
        <v/>
      </c>
      <c r="J1104" s="3" t="str">
        <f aca="false">IFERROR(__xludf.dummyfunction("if($T1104&lt;&gt;"""",REGEXEXTRACT($T1104, J$1&amp;""[\w &amp;]*, (\d+\.\d+)""),"""")
"),"")</f>
        <v/>
      </c>
      <c r="K1104" s="3"/>
      <c r="L1104" s="3" t="str">
        <f aca="false">IFERROR(__xludf.dummyfunction("if($T1104&lt;&gt;"""",REGEXEXTRACT(SUBSTITUTE ($T1104,L$1&amp;"" CE"",""""), L$1&amp;""[\w &amp;]*, (\d+\.\d+)""),"""")
"),"")</f>
        <v/>
      </c>
      <c r="M1104" s="3" t="str">
        <f aca="false">IFERROR(__xludf.dummyfunction("if($T1104&lt;&gt;"""",REGEXEXTRACT($T1104, M$1&amp;""[\w &amp;]*, (\d+\.\d+)""),"""")
"),"")</f>
        <v/>
      </c>
      <c r="N1104" s="3" t="str">
        <f aca="false">IFERROR(__xludf.dummyfunction("if($T1104&lt;&gt;"""",REGEXEXTRACT(SUBSTITUTE ($T1104,N$1&amp;"" CE"",""""), N$1&amp;""[\w &amp;]*, (\d+\.\d+)""),"""")
"),"")</f>
        <v/>
      </c>
      <c r="O1104" s="3" t="str">
        <f aca="false">IFERROR(__xludf.dummyfunction("if($T1104&lt;&gt;"""",REGEXEXTRACT($T1104, O$1&amp;""[\w &amp;]*, (\d+\.\d+)""),"""")
"),"")</f>
        <v/>
      </c>
      <c r="P1104" s="2"/>
      <c r="Q1104" s="2"/>
      <c r="R1104" s="2"/>
      <c r="S1104" s="2"/>
      <c r="T1104" s="5"/>
    </row>
    <row r="1105" customFormat="false" ht="15.75" hidden="false" customHeight="false" outlineLevel="0" collapsed="false">
      <c r="A1105" s="4"/>
      <c r="B1105" s="2"/>
      <c r="C1105" s="2"/>
      <c r="D1105" s="2"/>
      <c r="E1105" s="2"/>
      <c r="F1105" s="3" t="str">
        <f aca="false">IFERROR(__xludf.dummyfunction("if($T1105&lt;&gt;"""",REGEXEXTRACT(SUBSTITUTE ($T1105,F$1&amp;"" CE"",""""), F$1&amp;""[\w &amp;]*, (\d+\.\d+)""),"""")
"),"")</f>
        <v/>
      </c>
      <c r="G1105" s="3" t="str">
        <f aca="false">IFERROR(__xludf.dummyfunction("if($T1105&lt;&gt;"""",REGEXEXTRACT($T1105, G$1&amp;""[\w &amp;]*, (\d+\.\d+)""),"""")
"),"")</f>
        <v/>
      </c>
      <c r="H1105" s="3"/>
      <c r="I1105" s="3" t="str">
        <f aca="false">IFERROR(__xludf.dummyfunction("if($T1105&lt;&gt;"""",REGEXEXTRACT(SUBSTITUTE ($T1105,I$1&amp;"" CE"",""""), I$1&amp;""[\w &amp;]*, (\d+\.\d+)""),"""")
"),"")</f>
        <v/>
      </c>
      <c r="J1105" s="3" t="str">
        <f aca="false">IFERROR(__xludf.dummyfunction("if($T1105&lt;&gt;"""",REGEXEXTRACT($T1105, J$1&amp;""[\w &amp;]*, (\d+\.\d+)""),"""")
"),"")</f>
        <v/>
      </c>
      <c r="K1105" s="3"/>
      <c r="L1105" s="3" t="str">
        <f aca="false">IFERROR(__xludf.dummyfunction("if($T1105&lt;&gt;"""",REGEXEXTRACT(SUBSTITUTE ($T1105,L$1&amp;"" CE"",""""), L$1&amp;""[\w &amp;]*, (\d+\.\d+)""),"""")
"),"")</f>
        <v/>
      </c>
      <c r="M1105" s="3" t="str">
        <f aca="false">IFERROR(__xludf.dummyfunction("if($T1105&lt;&gt;"""",REGEXEXTRACT($T1105, M$1&amp;""[\w &amp;]*, (\d+\.\d+)""),"""")
"),"")</f>
        <v/>
      </c>
      <c r="N1105" s="3" t="str">
        <f aca="false">IFERROR(__xludf.dummyfunction("if($T1105&lt;&gt;"""",REGEXEXTRACT(SUBSTITUTE ($T1105,N$1&amp;"" CE"",""""), N$1&amp;""[\w &amp;]*, (\d+\.\d+)""),"""")
"),"")</f>
        <v/>
      </c>
      <c r="O1105" s="3" t="str">
        <f aca="false">IFERROR(__xludf.dummyfunction("if($T1105&lt;&gt;"""",REGEXEXTRACT($T1105, O$1&amp;""[\w &amp;]*, (\d+\.\d+)""),"""")
"),"")</f>
        <v/>
      </c>
      <c r="P1105" s="2"/>
      <c r="Q1105" s="2"/>
      <c r="R1105" s="2"/>
      <c r="S1105" s="2"/>
      <c r="T1105" s="5"/>
    </row>
    <row r="1106" customFormat="false" ht="15.75" hidden="false" customHeight="false" outlineLevel="0" collapsed="false">
      <c r="A1106" s="4"/>
      <c r="B1106" s="2"/>
      <c r="C1106" s="2"/>
      <c r="D1106" s="2"/>
      <c r="E1106" s="2"/>
      <c r="F1106" s="3" t="str">
        <f aca="false">IFERROR(__xludf.dummyfunction("if($T1106&lt;&gt;"""",REGEXEXTRACT(SUBSTITUTE ($T1106,F$1&amp;"" CE"",""""), F$1&amp;""[\w &amp;]*, (\d+\.\d+)""),"""")
"),"")</f>
        <v/>
      </c>
      <c r="G1106" s="3" t="str">
        <f aca="false">IFERROR(__xludf.dummyfunction("if($T1106&lt;&gt;"""",REGEXEXTRACT($T1106, G$1&amp;""[\w &amp;]*, (\d+\.\d+)""),"""")
"),"")</f>
        <v/>
      </c>
      <c r="H1106" s="3"/>
      <c r="I1106" s="3" t="str">
        <f aca="false">IFERROR(__xludf.dummyfunction("if($T1106&lt;&gt;"""",REGEXEXTRACT(SUBSTITUTE ($T1106,I$1&amp;"" CE"",""""), I$1&amp;""[\w &amp;]*, (\d+\.\d+)""),"""")
"),"")</f>
        <v/>
      </c>
      <c r="J1106" s="3" t="str">
        <f aca="false">IFERROR(__xludf.dummyfunction("if($T1106&lt;&gt;"""",REGEXEXTRACT($T1106, J$1&amp;""[\w &amp;]*, (\d+\.\d+)""),"""")
"),"")</f>
        <v/>
      </c>
      <c r="K1106" s="3"/>
      <c r="L1106" s="3" t="str">
        <f aca="false">IFERROR(__xludf.dummyfunction("if($T1106&lt;&gt;"""",REGEXEXTRACT(SUBSTITUTE ($T1106,L$1&amp;"" CE"",""""), L$1&amp;""[\w &amp;]*, (\d+\.\d+)""),"""")
"),"")</f>
        <v/>
      </c>
      <c r="M1106" s="3" t="str">
        <f aca="false">IFERROR(__xludf.dummyfunction("if($T1106&lt;&gt;"""",REGEXEXTRACT($T1106, M$1&amp;""[\w &amp;]*, (\d+\.\d+)""),"""")
"),"")</f>
        <v/>
      </c>
      <c r="N1106" s="3" t="str">
        <f aca="false">IFERROR(__xludf.dummyfunction("if($T1106&lt;&gt;"""",REGEXEXTRACT(SUBSTITUTE ($T1106,N$1&amp;"" CE"",""""), N$1&amp;""[\w &amp;]*, (\d+\.\d+)""),"""")
"),"")</f>
        <v/>
      </c>
      <c r="O1106" s="3" t="str">
        <f aca="false">IFERROR(__xludf.dummyfunction("if($T1106&lt;&gt;"""",REGEXEXTRACT($T1106, O$1&amp;""[\w &amp;]*, (\d+\.\d+)""),"""")
"),"")</f>
        <v/>
      </c>
      <c r="P1106" s="2"/>
      <c r="Q1106" s="2"/>
      <c r="R1106" s="2"/>
      <c r="S1106" s="2"/>
      <c r="T1106" s="5"/>
    </row>
    <row r="1107" customFormat="false" ht="15.75" hidden="false" customHeight="false" outlineLevel="0" collapsed="false">
      <c r="A1107" s="4"/>
      <c r="B1107" s="2"/>
      <c r="C1107" s="2"/>
      <c r="D1107" s="2"/>
      <c r="E1107" s="2"/>
      <c r="F1107" s="3" t="str">
        <f aca="false">IFERROR(__xludf.dummyfunction("if($T1107&lt;&gt;"""",REGEXEXTRACT(SUBSTITUTE ($T1107,F$1&amp;"" CE"",""""), F$1&amp;""[\w &amp;]*, (\d+\.\d+)""),"""")
"),"")</f>
        <v/>
      </c>
      <c r="G1107" s="3" t="str">
        <f aca="false">IFERROR(__xludf.dummyfunction("if($T1107&lt;&gt;"""",REGEXEXTRACT($T1107, G$1&amp;""[\w &amp;]*, (\d+\.\d+)""),"""")
"),"")</f>
        <v/>
      </c>
      <c r="H1107" s="3"/>
      <c r="I1107" s="3" t="str">
        <f aca="false">IFERROR(__xludf.dummyfunction("if($T1107&lt;&gt;"""",REGEXEXTRACT(SUBSTITUTE ($T1107,I$1&amp;"" CE"",""""), I$1&amp;""[\w &amp;]*, (\d+\.\d+)""),"""")
"),"")</f>
        <v/>
      </c>
      <c r="J1107" s="3" t="str">
        <f aca="false">IFERROR(__xludf.dummyfunction("if($T1107&lt;&gt;"""",REGEXEXTRACT($T1107, J$1&amp;""[\w &amp;]*, (\d+\.\d+)""),"""")
"),"")</f>
        <v/>
      </c>
      <c r="K1107" s="3"/>
      <c r="L1107" s="3" t="str">
        <f aca="false">IFERROR(__xludf.dummyfunction("if($T1107&lt;&gt;"""",REGEXEXTRACT(SUBSTITUTE ($T1107,L$1&amp;"" CE"",""""), L$1&amp;""[\w &amp;]*, (\d+\.\d+)""),"""")
"),"")</f>
        <v/>
      </c>
      <c r="M1107" s="3" t="str">
        <f aca="false">IFERROR(__xludf.dummyfunction("if($T1107&lt;&gt;"""",REGEXEXTRACT($T1107, M$1&amp;""[\w &amp;]*, (\d+\.\d+)""),"""")
"),"")</f>
        <v/>
      </c>
      <c r="N1107" s="3" t="str">
        <f aca="false">IFERROR(__xludf.dummyfunction("if($T1107&lt;&gt;"""",REGEXEXTRACT(SUBSTITUTE ($T1107,N$1&amp;"" CE"",""""), N$1&amp;""[\w &amp;]*, (\d+\.\d+)""),"""")
"),"")</f>
        <v/>
      </c>
      <c r="O1107" s="3" t="str">
        <f aca="false">IFERROR(__xludf.dummyfunction("if($T1107&lt;&gt;"""",REGEXEXTRACT($T1107, O$1&amp;""[\w &amp;]*, (\d+\.\d+)""),"""")
"),"")</f>
        <v/>
      </c>
      <c r="P1107" s="2"/>
      <c r="Q1107" s="2"/>
      <c r="R1107" s="2"/>
      <c r="S1107" s="2"/>
      <c r="T1107" s="5"/>
    </row>
    <row r="1108" customFormat="false" ht="15.75" hidden="false" customHeight="false" outlineLevel="0" collapsed="false">
      <c r="A1108" s="4"/>
      <c r="B1108" s="2"/>
      <c r="C1108" s="2"/>
      <c r="D1108" s="2"/>
      <c r="E1108" s="2"/>
      <c r="F1108" s="3" t="str">
        <f aca="false">IFERROR(__xludf.dummyfunction("if($T1108&lt;&gt;"""",REGEXEXTRACT(SUBSTITUTE ($T1108,F$1&amp;"" CE"",""""), F$1&amp;""[\w &amp;]*, (\d+\.\d+)""),"""")
"),"")</f>
        <v/>
      </c>
      <c r="G1108" s="3" t="str">
        <f aca="false">IFERROR(__xludf.dummyfunction("if($T1108&lt;&gt;"""",REGEXEXTRACT($T1108, G$1&amp;""[\w &amp;]*, (\d+\.\d+)""),"""")
"),"")</f>
        <v/>
      </c>
      <c r="H1108" s="3"/>
      <c r="I1108" s="3" t="str">
        <f aca="false">IFERROR(__xludf.dummyfunction("if($T1108&lt;&gt;"""",REGEXEXTRACT(SUBSTITUTE ($T1108,I$1&amp;"" CE"",""""), I$1&amp;""[\w &amp;]*, (\d+\.\d+)""),"""")
"),"")</f>
        <v/>
      </c>
      <c r="J1108" s="3" t="str">
        <f aca="false">IFERROR(__xludf.dummyfunction("if($T1108&lt;&gt;"""",REGEXEXTRACT($T1108, J$1&amp;""[\w &amp;]*, (\d+\.\d+)""),"""")
"),"")</f>
        <v/>
      </c>
      <c r="K1108" s="3"/>
      <c r="L1108" s="3" t="str">
        <f aca="false">IFERROR(__xludf.dummyfunction("if($T1108&lt;&gt;"""",REGEXEXTRACT(SUBSTITUTE ($T1108,L$1&amp;"" CE"",""""), L$1&amp;""[\w &amp;]*, (\d+\.\d+)""),"""")
"),"")</f>
        <v/>
      </c>
      <c r="M1108" s="3" t="str">
        <f aca="false">IFERROR(__xludf.dummyfunction("if($T1108&lt;&gt;"""",REGEXEXTRACT($T1108, M$1&amp;""[\w &amp;]*, (\d+\.\d+)""),"""")
"),"")</f>
        <v/>
      </c>
      <c r="N1108" s="3" t="str">
        <f aca="false">IFERROR(__xludf.dummyfunction("if($T1108&lt;&gt;"""",REGEXEXTRACT(SUBSTITUTE ($T1108,N$1&amp;"" CE"",""""), N$1&amp;""[\w &amp;]*, (\d+\.\d+)""),"""")
"),"")</f>
        <v/>
      </c>
      <c r="O1108" s="3" t="str">
        <f aca="false">IFERROR(__xludf.dummyfunction("if($T1108&lt;&gt;"""",REGEXEXTRACT($T1108, O$1&amp;""[\w &amp;]*, (\d+\.\d+)""),"""")
"),"")</f>
        <v/>
      </c>
      <c r="P1108" s="2"/>
      <c r="Q1108" s="2"/>
      <c r="R1108" s="2"/>
      <c r="S1108" s="2"/>
      <c r="T1108" s="5"/>
    </row>
    <row r="1109" customFormat="false" ht="15.75" hidden="false" customHeight="false" outlineLevel="0" collapsed="false">
      <c r="A1109" s="4"/>
      <c r="B1109" s="2"/>
      <c r="C1109" s="2"/>
      <c r="D1109" s="2"/>
      <c r="E1109" s="2"/>
      <c r="F1109" s="3" t="str">
        <f aca="false">IFERROR(__xludf.dummyfunction("if($T1109&lt;&gt;"""",REGEXEXTRACT(SUBSTITUTE ($T1109,F$1&amp;"" CE"",""""), F$1&amp;""[\w &amp;]*, (\d+\.\d+)""),"""")
"),"")</f>
        <v/>
      </c>
      <c r="G1109" s="3" t="str">
        <f aca="false">IFERROR(__xludf.dummyfunction("if($T1109&lt;&gt;"""",REGEXEXTRACT($T1109, G$1&amp;""[\w &amp;]*, (\d+\.\d+)""),"""")
"),"")</f>
        <v/>
      </c>
      <c r="H1109" s="3"/>
      <c r="I1109" s="3" t="str">
        <f aca="false">IFERROR(__xludf.dummyfunction("if($T1109&lt;&gt;"""",REGEXEXTRACT(SUBSTITUTE ($T1109,I$1&amp;"" CE"",""""), I$1&amp;""[\w &amp;]*, (\d+\.\d+)""),"""")
"),"")</f>
        <v/>
      </c>
      <c r="J1109" s="3" t="str">
        <f aca="false">IFERROR(__xludf.dummyfunction("if($T1109&lt;&gt;"""",REGEXEXTRACT($T1109, J$1&amp;""[\w &amp;]*, (\d+\.\d+)""),"""")
"),"")</f>
        <v/>
      </c>
      <c r="K1109" s="3"/>
      <c r="L1109" s="3" t="str">
        <f aca="false">IFERROR(__xludf.dummyfunction("if($T1109&lt;&gt;"""",REGEXEXTRACT(SUBSTITUTE ($T1109,L$1&amp;"" CE"",""""), L$1&amp;""[\w &amp;]*, (\d+\.\d+)""),"""")
"),"")</f>
        <v/>
      </c>
      <c r="M1109" s="3" t="str">
        <f aca="false">IFERROR(__xludf.dummyfunction("if($T1109&lt;&gt;"""",REGEXEXTRACT($T1109, M$1&amp;""[\w &amp;]*, (\d+\.\d+)""),"""")
"),"")</f>
        <v/>
      </c>
      <c r="N1109" s="3" t="str">
        <f aca="false">IFERROR(__xludf.dummyfunction("if($T1109&lt;&gt;"""",REGEXEXTRACT(SUBSTITUTE ($T1109,N$1&amp;"" CE"",""""), N$1&amp;""[\w &amp;]*, (\d+\.\d+)""),"""")
"),"")</f>
        <v/>
      </c>
      <c r="O1109" s="3" t="str">
        <f aca="false">IFERROR(__xludf.dummyfunction("if($T1109&lt;&gt;"""",REGEXEXTRACT($T1109, O$1&amp;""[\w &amp;]*, (\d+\.\d+)""),"""")
"),"")</f>
        <v/>
      </c>
      <c r="P1109" s="2"/>
      <c r="Q1109" s="2"/>
      <c r="R1109" s="2"/>
      <c r="S1109" s="2"/>
      <c r="T1109" s="5"/>
    </row>
    <row r="1110" customFormat="false" ht="15.75" hidden="false" customHeight="false" outlineLevel="0" collapsed="false">
      <c r="A1110" s="4"/>
      <c r="B1110" s="2"/>
      <c r="C1110" s="2"/>
      <c r="D1110" s="2"/>
      <c r="E1110" s="2"/>
      <c r="F1110" s="3" t="str">
        <f aca="false">IFERROR(__xludf.dummyfunction("if($T1110&lt;&gt;"""",REGEXEXTRACT(SUBSTITUTE ($T1110,F$1&amp;"" CE"",""""), F$1&amp;""[\w &amp;]*, (\d+\.\d+)""),"""")
"),"")</f>
        <v/>
      </c>
      <c r="G1110" s="3" t="str">
        <f aca="false">IFERROR(__xludf.dummyfunction("if($T1110&lt;&gt;"""",REGEXEXTRACT($T1110, G$1&amp;""[\w &amp;]*, (\d+\.\d+)""),"""")
"),"")</f>
        <v/>
      </c>
      <c r="H1110" s="3"/>
      <c r="I1110" s="3" t="str">
        <f aca="false">IFERROR(__xludf.dummyfunction("if($T1110&lt;&gt;"""",REGEXEXTRACT(SUBSTITUTE ($T1110,I$1&amp;"" CE"",""""), I$1&amp;""[\w &amp;]*, (\d+\.\d+)""),"""")
"),"")</f>
        <v/>
      </c>
      <c r="J1110" s="3" t="str">
        <f aca="false">IFERROR(__xludf.dummyfunction("if($T1110&lt;&gt;"""",REGEXEXTRACT($T1110, J$1&amp;""[\w &amp;]*, (\d+\.\d+)""),"""")
"),"")</f>
        <v/>
      </c>
      <c r="K1110" s="3"/>
      <c r="L1110" s="3" t="str">
        <f aca="false">IFERROR(__xludf.dummyfunction("if($T1110&lt;&gt;"""",REGEXEXTRACT(SUBSTITUTE ($T1110,L$1&amp;"" CE"",""""), L$1&amp;""[\w &amp;]*, (\d+\.\d+)""),"""")
"),"")</f>
        <v/>
      </c>
      <c r="M1110" s="3" t="str">
        <f aca="false">IFERROR(__xludf.dummyfunction("if($T1110&lt;&gt;"""",REGEXEXTRACT($T1110, M$1&amp;""[\w &amp;]*, (\d+\.\d+)""),"""")
"),"")</f>
        <v/>
      </c>
      <c r="N1110" s="3" t="str">
        <f aca="false">IFERROR(__xludf.dummyfunction("if($T1110&lt;&gt;"""",REGEXEXTRACT(SUBSTITUTE ($T1110,N$1&amp;"" CE"",""""), N$1&amp;""[\w &amp;]*, (\d+\.\d+)""),"""")
"),"")</f>
        <v/>
      </c>
      <c r="O1110" s="3" t="str">
        <f aca="false">IFERROR(__xludf.dummyfunction("if($T1110&lt;&gt;"""",REGEXEXTRACT($T1110, O$1&amp;""[\w &amp;]*, (\d+\.\d+)""),"""")
"),"")</f>
        <v/>
      </c>
      <c r="P1110" s="2"/>
      <c r="Q1110" s="2"/>
      <c r="R1110" s="2"/>
      <c r="S1110" s="2"/>
      <c r="T1110" s="5"/>
    </row>
    <row r="1111" customFormat="false" ht="15.75" hidden="false" customHeight="false" outlineLevel="0" collapsed="false">
      <c r="A1111" s="5"/>
      <c r="B1111" s="2"/>
      <c r="C1111" s="2"/>
      <c r="D1111" s="2"/>
      <c r="E1111" s="2"/>
      <c r="F1111" s="3"/>
      <c r="G1111" s="3"/>
      <c r="H1111" s="3"/>
      <c r="I1111" s="3"/>
      <c r="J1111" s="3"/>
      <c r="K1111" s="3"/>
      <c r="L1111" s="3"/>
      <c r="M1111" s="3"/>
      <c r="N1111" s="3"/>
      <c r="O1111" s="3"/>
      <c r="P1111" s="2"/>
      <c r="Q1111" s="2"/>
      <c r="R1111" s="2"/>
      <c r="S1111" s="2"/>
      <c r="T1111" s="5"/>
    </row>
    <row r="1112" customFormat="false" ht="15.75" hidden="false" customHeight="false" outlineLevel="0" collapsed="false">
      <c r="A1112" s="5"/>
      <c r="B1112" s="2"/>
      <c r="C1112" s="2"/>
      <c r="D1112" s="2"/>
      <c r="E1112" s="2"/>
      <c r="F1112" s="3"/>
      <c r="G1112" s="3"/>
      <c r="H1112" s="3"/>
      <c r="I1112" s="3"/>
      <c r="J1112" s="3"/>
      <c r="K1112" s="3"/>
      <c r="L1112" s="3"/>
      <c r="M1112" s="3"/>
      <c r="N1112" s="3"/>
      <c r="O1112" s="3"/>
      <c r="P1112" s="2"/>
      <c r="Q1112" s="2"/>
      <c r="R1112" s="2"/>
      <c r="S1112" s="2"/>
      <c r="T1112" s="5"/>
    </row>
    <row r="1113" customFormat="false" ht="15.75" hidden="false" customHeight="false" outlineLevel="0" collapsed="false">
      <c r="A1113" s="5"/>
      <c r="B1113" s="2"/>
      <c r="C1113" s="2"/>
      <c r="D1113" s="2"/>
      <c r="E1113" s="2"/>
      <c r="F1113" s="3"/>
      <c r="G1113" s="3"/>
      <c r="H1113" s="3"/>
      <c r="I1113" s="3"/>
      <c r="J1113" s="3"/>
      <c r="K1113" s="3"/>
      <c r="L1113" s="3"/>
      <c r="M1113" s="3"/>
      <c r="N1113" s="3"/>
      <c r="O1113" s="3"/>
      <c r="P1113" s="2"/>
      <c r="Q1113" s="2"/>
      <c r="R1113" s="2"/>
      <c r="S1113" s="2"/>
      <c r="T1113" s="5"/>
    </row>
    <row r="1114" customFormat="false" ht="15.75" hidden="false" customHeight="false" outlineLevel="0" collapsed="false">
      <c r="A1114" s="4"/>
      <c r="B1114" s="2"/>
      <c r="C1114" s="2"/>
      <c r="D1114" s="2"/>
      <c r="E1114" s="2"/>
      <c r="F1114" s="3"/>
      <c r="G1114" s="3"/>
      <c r="H1114" s="3"/>
      <c r="I1114" s="3"/>
      <c r="J1114" s="3"/>
      <c r="K1114" s="3"/>
      <c r="L1114" s="3"/>
      <c r="M1114" s="3"/>
      <c r="N1114" s="3"/>
      <c r="O1114" s="3"/>
      <c r="P1114" s="2"/>
      <c r="Q1114" s="2"/>
      <c r="R1114" s="2"/>
      <c r="S1114" s="2"/>
      <c r="T1114" s="5"/>
    </row>
    <row r="1115" customFormat="false" ht="15.75" hidden="false" customHeight="false" outlineLevel="0" collapsed="false">
      <c r="A1115" s="4"/>
      <c r="B1115" s="2"/>
      <c r="C1115" s="2"/>
      <c r="D1115" s="2"/>
      <c r="E1115" s="2"/>
      <c r="F1115" s="3"/>
      <c r="G1115" s="3"/>
      <c r="H1115" s="3"/>
      <c r="I1115" s="3"/>
      <c r="J1115" s="3"/>
      <c r="K1115" s="3"/>
      <c r="L1115" s="3"/>
      <c r="M1115" s="3"/>
      <c r="N1115" s="3"/>
      <c r="O1115" s="3"/>
      <c r="P1115" s="2"/>
      <c r="Q1115" s="2"/>
      <c r="R1115" s="2"/>
      <c r="S1115" s="2"/>
      <c r="T1115" s="5"/>
    </row>
    <row r="1116" customFormat="false" ht="15.75" hidden="false" customHeight="false" outlineLevel="0" collapsed="false">
      <c r="A1116" s="4"/>
      <c r="B1116" s="2"/>
      <c r="C1116" s="2"/>
      <c r="D1116" s="2"/>
      <c r="E1116" s="2"/>
      <c r="F1116" s="3"/>
      <c r="G1116" s="3"/>
      <c r="H1116" s="3"/>
      <c r="I1116" s="3"/>
      <c r="J1116" s="3"/>
      <c r="K1116" s="3"/>
      <c r="L1116" s="3"/>
      <c r="M1116" s="3"/>
      <c r="N1116" s="3"/>
      <c r="O1116" s="3"/>
      <c r="P1116" s="2"/>
      <c r="Q1116" s="2"/>
      <c r="R1116" s="2"/>
      <c r="S1116" s="2"/>
      <c r="T1116" s="5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T111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B2" activeCellId="0" sqref="B2"/>
    </sheetView>
  </sheetViews>
  <sheetFormatPr defaultColWidth="12.6328125" defaultRowHeight="15.75" zeroHeight="false" outlineLevelRow="0" outlineLevelCol="0"/>
  <cols>
    <col collapsed="false" customWidth="true" hidden="false" outlineLevel="0" max="13" min="13" style="0" width="14.51"/>
    <col collapsed="false" customWidth="true" hidden="false" outlineLevel="0" max="15" min="15" style="0" width="14.75"/>
    <col collapsed="false" customWidth="true" hidden="false" outlineLevel="0" max="16" min="16" style="0" width="16.63"/>
    <col collapsed="false" customWidth="true" hidden="false" outlineLevel="0" max="19" min="17" style="0" width="17.63"/>
    <col collapsed="false" customWidth="true" hidden="false" outlineLevel="0" max="20" min="20" style="0" width="25.51"/>
  </cols>
  <sheetData>
    <row r="1" customFormat="false" ht="15.75" hidden="false" customHeight="false" outlineLevel="0" collapsed="false">
      <c r="A1" s="1" t="str">
        <f aca="false">IFERROR(__xludf.dummyfunction("QUERY(GOOGLEFINANCE(""iwm"",""All"",""2024/4/26"",""2025/12/31""), ""select Col1,Col2,Col3,Col4,Col5"", -1)"),"Date")</f>
        <v>Date</v>
      </c>
      <c r="B1" s="2" t="str">
        <f aca="false">IFERROR(__xludf.dummyfunction("""COMPUTED_VALUE"""),"Open")</f>
        <v>Open</v>
      </c>
      <c r="C1" s="2" t="str">
        <f aca="false">IFERROR(__xludf.dummyfunction("""COMPUTED_VALUE"""),"High")</f>
        <v>High</v>
      </c>
      <c r="D1" s="2" t="str">
        <f aca="false">IFERROR(__xludf.dummyfunction("""COMPUTED_VALUE"""),"Low")</f>
        <v>Low</v>
      </c>
      <c r="E1" s="2" t="str">
        <f aca="false">IFERROR(__xludf.dummyfunction("""COMPUTED_VALUE"""),"Close")</f>
        <v>Close</v>
      </c>
      <c r="F1" s="3" t="s">
        <v>0</v>
      </c>
      <c r="G1" s="3" t="s">
        <v>1</v>
      </c>
      <c r="H1" s="3" t="s">
        <v>2</v>
      </c>
      <c r="I1" s="3" t="s">
        <v>3</v>
      </c>
      <c r="J1" s="3" t="s">
        <v>4</v>
      </c>
      <c r="K1" s="3" t="s">
        <v>5</v>
      </c>
      <c r="L1" s="3" t="s">
        <v>6</v>
      </c>
      <c r="M1" s="3" t="s">
        <v>7</v>
      </c>
      <c r="N1" s="3" t="s">
        <v>8</v>
      </c>
      <c r="O1" s="3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</row>
    <row r="2" customFormat="false" ht="15.75" hidden="false" customHeight="false" outlineLevel="0" collapsed="false">
      <c r="A2" s="4" t="n">
        <f aca="false">IFERROR(__xludf.dummyfunction("""COMPUTED_VALUE"""),45408.6666666667)</f>
        <v>45408.6666666667</v>
      </c>
      <c r="B2" s="2" t="n">
        <f aca="false">IFERROR(__xludf.dummyfunction("""COMPUTED_VALUE"""),197)</f>
        <v>197</v>
      </c>
      <c r="C2" s="2" t="n">
        <f aca="false">IFERROR(__xludf.dummyfunction("""COMPUTED_VALUE"""),198.89)</f>
        <v>198.89</v>
      </c>
      <c r="D2" s="2" t="n">
        <f aca="false">IFERROR(__xludf.dummyfunction("""COMPUTED_VALUE"""),196.42)</f>
        <v>196.42</v>
      </c>
      <c r="E2" s="2" t="n">
        <f aca="false">IFERROR(__xludf.dummyfunction("""COMPUTED_VALUE"""),198.36)</f>
        <v>198.36</v>
      </c>
      <c r="F2" s="3" t="str">
        <f aca="false">IFERROR(__xludf.dummyfunction("if($T2&lt;&gt;"""",VALUE(REGEXEXTRACT(SUBSTITUTE ($T2,F$1&amp;"" CE"",""""), F$1&amp;""[\w &amp;]*, (\d+\.\d+)"")),"""")
"),"")</f>
        <v/>
      </c>
      <c r="G2" s="3" t="str">
        <f aca="false">IFERROR(__xludf.dummyfunction("if($T2&lt;&gt;"""",VALUE(REGEXEXTRACT($T2, G$1&amp;""[\w &amp;]*, (\d+\.\d+)"")),"""")
"),"")</f>
        <v/>
      </c>
      <c r="H2" s="3" t="str">
        <f aca="false">IFERROR(__xludf.dummyfunction("if($T2&lt;&gt;"""",VALUE(REGEXEXTRACT($T2, H$1&amp;""[\w &amp;]*, (\d+\.\d+)"")),"""")
"),"")</f>
        <v/>
      </c>
      <c r="I2" s="3" t="str">
        <f aca="false">IFERROR(__xludf.dummyfunction("if($T2&lt;&gt;"""",VALUE(REGEXEXTRACT(SUBSTITUTE ($T2,I$1&amp;"" CE"",""""), I$1&amp;""[\w &amp;]*, (\d+\.\d+)"")),"""")
"),"")</f>
        <v/>
      </c>
      <c r="J2" s="3" t="str">
        <f aca="false">IFERROR(__xludf.dummyfunction("if($T2&lt;&gt;"""",VALUE(REGEXEXTRACT($T2, J$1&amp;""[\w &amp;]*, (\d+\.\d+)"")),"""")
"),"")</f>
        <v/>
      </c>
      <c r="K2" s="3" t="str">
        <f aca="false">IFERROR(__xludf.dummyfunction("if($T2&lt;&gt;"""",VALUE(REGEXEXTRACT($T2, K$1&amp;""[\w &amp;]*, (\d+\.\d+)"")),"""")
"),"")</f>
        <v/>
      </c>
      <c r="L2" s="3" t="str">
        <f aca="false">IFERROR(__xludf.dummyfunction("if($T2&lt;&gt;"""",VALUE(REGEXEXTRACT(SUBSTITUTE ($T2,L$1&amp;"" CE"",""""), L$1&amp;""[\w &amp;]*, (\d+\.\d+)"")),"""")
"),"")</f>
        <v/>
      </c>
      <c r="M2" s="3" t="str">
        <f aca="false">IFERROR(__xludf.dummyfunction("if($T2&lt;&gt;"""",VALUE(REGEXEXTRACT($T2, M$1&amp;""[\w &amp;]*, (\d+\.\d+)"")),"""")
"),"")</f>
        <v/>
      </c>
      <c r="N2" s="3" t="str">
        <f aca="false">IFERROR(__xludf.dummyfunction("if($T2&lt;&gt;"""",VALUE(REGEXEXTRACT(SUBSTITUTE($T2,N$1&amp;"" CE"",""""), N$1&amp;""[\w &amp;]*, (\d+\.\d+)"")),"""")
"),"")</f>
        <v/>
      </c>
      <c r="O2" s="3" t="str">
        <f aca="false">IFERROR(__xludf.dummyfunction("if($T2&lt;&gt;"""",VALUE(REGEXEXTRACT($T2, O$1&amp;""[\w &amp;]*, (\d+\.\d+)"")),"""")
"),"")</f>
        <v/>
      </c>
      <c r="P2" s="2" t="str">
        <f aca="false">IFERROR(__xludf.dummyfunction("if($T2&lt;&gt;"""",VALUE(REGEXEXTRACT($T2, P$1&amp;""[\w &amp;]*, (\d+\.\d+)"")),"""")
"),"")</f>
        <v/>
      </c>
      <c r="Q2" s="2" t="str">
        <f aca="false">IFERROR(__xludf.dummyfunction("if($T2&lt;&gt;"""",VALUE(REGEXEXTRACT($T2, Q$1&amp;""[\w &amp;]*, (\d+\.\d+)"")),"""")
"),"")</f>
        <v/>
      </c>
      <c r="R2" s="2" t="str">
        <f aca="false">IFERROR(__xludf.dummyfunction("if($T2&lt;&gt;"""",VALUE(REGEXEXTRACT($T2, SUBSTITUTE(R$1, ""+"", ""\+"")&amp;""[\w &amp;]*, (\d+\.\d+)"")),"""")"),"")</f>
        <v/>
      </c>
      <c r="S2" s="2" t="str">
        <f aca="false">IFERROR(__xludf.dummyfunction("if($T2&lt;&gt;"""",VALUE(REGEXEXTRACT($T2, SUBSTITUTE(S$1, ""+"", ""\+"")&amp;""[\w &amp;]*, (\d+\.\d+)"")),"""")"),"")</f>
        <v/>
      </c>
      <c r="T2" s="5"/>
    </row>
    <row r="3" customFormat="false" ht="15.75" hidden="false" customHeight="false" outlineLevel="0" collapsed="false">
      <c r="A3" s="4" t="n">
        <f aca="false">IFERROR(__xludf.dummyfunction("""COMPUTED_VALUE"""),45411.6666666667)</f>
        <v>45411.6666666667</v>
      </c>
      <c r="B3" s="2" t="n">
        <f aca="false">IFERROR(__xludf.dummyfunction("""COMPUTED_VALUE"""),199.25)</f>
        <v>199.25</v>
      </c>
      <c r="C3" s="2" t="n">
        <f aca="false">IFERROR(__xludf.dummyfunction("""COMPUTED_VALUE"""),200.41)</f>
        <v>200.41</v>
      </c>
      <c r="D3" s="2" t="n">
        <f aca="false">IFERROR(__xludf.dummyfunction("""COMPUTED_VALUE"""),198.88)</f>
        <v>198.88</v>
      </c>
      <c r="E3" s="2" t="n">
        <f aca="false">IFERROR(__xludf.dummyfunction("""COMPUTED_VALUE"""),199.96)</f>
        <v>199.96</v>
      </c>
      <c r="F3" s="3" t="n">
        <f aca="false">IFERROR(__xludf.dummyfunction("if($T3&lt;&gt;"""",VALUE(REGEXEXTRACT(SUBSTITUTE ($T3,F$1&amp;"" CE"",""""), F$1&amp;""[\w &amp;]*, (\d+\.\d+)"")),"""")
"),206)</f>
        <v>206</v>
      </c>
      <c r="G3" s="3" t="n">
        <f aca="false">IFERROR(__xludf.dummyfunction("if($T3&lt;&gt;"""",VALUE(REGEXEXTRACT($T3, G$1&amp;""[\w &amp;]*, (\d+\.\d+)"")),"""")
"),200)</f>
        <v>200</v>
      </c>
      <c r="H3" s="3" t="n">
        <f aca="false">IFERROR(__xludf.dummyfunction("if($T3&lt;&gt;"""",VALUE(REGEXEXTRACT($T3, H$1&amp;""[\w &amp;]*, (\d+\.\d+)"")),"""")
"),200)</f>
        <v>200</v>
      </c>
      <c r="I3" s="3" t="n">
        <f aca="false">IFERROR(__xludf.dummyfunction("if($T3&lt;&gt;"""",VALUE(REGEXEXTRACT(SUBSTITUTE ($T3,I$1&amp;"" CE"",""""), I$1&amp;""[\w &amp;]*, (\d+\.\d+)"")),"""")
"),185)</f>
        <v>185</v>
      </c>
      <c r="J3" s="3" t="n">
        <f aca="false">IFERROR(__xludf.dummyfunction("if($T3&lt;&gt;"""",VALUE(REGEXEXTRACT($T3, J$1&amp;""[\w &amp;]*, (\d+\.\d+)"")),"""")
"),197)</f>
        <v>197</v>
      </c>
      <c r="K3" s="3" t="n">
        <f aca="false">IFERROR(__xludf.dummyfunction("if($T3&lt;&gt;"""",VALUE(REGEXEXTRACT($T3, K$1&amp;""[\w &amp;]*, (\d+\.\d+)"")),"""")
"),196)</f>
        <v>196</v>
      </c>
      <c r="L3" s="3" t="n">
        <f aca="false">IFERROR(__xludf.dummyfunction("if($T3&lt;&gt;"""",VALUE(REGEXEXTRACT(SUBSTITUTE ($T3,L$1&amp;"" CE"",""""), L$1&amp;""[\w &amp;]*, (\d+\.\d+)"")),"""")
"),201)</f>
        <v>201</v>
      </c>
      <c r="M3" s="3" t="n">
        <f aca="false">IFERROR(__xludf.dummyfunction("if($T3&lt;&gt;"""",VALUE(REGEXEXTRACT($T3, M$1&amp;""[\w &amp;]*, (\d+\.\d+)"")),"""")
"),197)</f>
        <v>197</v>
      </c>
      <c r="N3" s="3" t="n">
        <f aca="false">IFERROR(__xludf.dummyfunction("if($T3&lt;&gt;"""",VALUE(REGEXEXTRACT(SUBSTITUTE ($T3,N$1&amp;"" CE"",""""), N$1&amp;""[\w &amp;]*, (\d+\.\d+)"")),"""")
"),185)</f>
        <v>185</v>
      </c>
      <c r="O3" s="3" t="n">
        <f aca="false">IFERROR(__xludf.dummyfunction("if($T3&lt;&gt;"""",VALUE(REGEXEXTRACT($T3, O$1&amp;""[\w &amp;]*, (\d+\.\d+)"")),"""")
"),198)</f>
        <v>198</v>
      </c>
      <c r="P3" s="2" t="n">
        <f aca="false">IFERROR(__xludf.dummyfunction("if($T3&lt;&gt;"""",VALUE(REGEXEXTRACT($T3, P$1&amp;""[\w &amp;]*, (\d+\.\d+)"")),"""")
"),197.15)</f>
        <v>197.15</v>
      </c>
      <c r="Q3" s="2" t="n">
        <f aca="false">IFERROR(__xludf.dummyfunction("if($T3&lt;&gt;"""",VALUE(REGEXEXTRACT($T3, Q$1&amp;""[\w &amp;]*, (\d+\.\d+)"")),"""")
"),196.38)</f>
        <v>196.38</v>
      </c>
      <c r="R3" s="2" t="n">
        <f aca="false">IFERROR(__xludf.dummyfunction("if($T3&lt;&gt;"""",VALUE(REGEXEXTRACT($T3, SUBSTITUTE(R$1, ""+"", ""\+"")&amp;""[\w &amp;]*, (\d+\.\d+)"")),"""")"),200.89)</f>
        <v>200.89</v>
      </c>
      <c r="S3" s="2" t="n">
        <f aca="false">IFERROR(__xludf.dummyfunction("if($T3&lt;&gt;"""",VALUE(REGEXEXTRACT($T3, SUBSTITUTE(S$1, ""+"", ""\+"")&amp;""[\w &amp;]*, (\d+\.\d+)"")),"""")"),201.66)</f>
        <v>201.66</v>
      </c>
      <c r="T3" s="5" t="s">
        <v>625</v>
      </c>
    </row>
    <row r="4" customFormat="false" ht="15.75" hidden="false" customHeight="false" outlineLevel="0" collapsed="false">
      <c r="A4" s="4" t="n">
        <f aca="false">IFERROR(__xludf.dummyfunction("""COMPUTED_VALUE"""),45412.6666666667)</f>
        <v>45412.6666666667</v>
      </c>
      <c r="B4" s="2" t="n">
        <f aca="false">IFERROR(__xludf.dummyfunction("""COMPUTED_VALUE"""),198.11)</f>
        <v>198.11</v>
      </c>
      <c r="C4" s="2" t="n">
        <f aca="false">IFERROR(__xludf.dummyfunction("""COMPUTED_VALUE"""),198.65)</f>
        <v>198.65</v>
      </c>
      <c r="D4" s="2" t="n">
        <f aca="false">IFERROR(__xludf.dummyfunction("""COMPUTED_VALUE"""),195.75)</f>
        <v>195.75</v>
      </c>
      <c r="E4" s="2" t="n">
        <f aca="false">IFERROR(__xludf.dummyfunction("""COMPUTED_VALUE"""),195.9)</f>
        <v>195.9</v>
      </c>
      <c r="F4" s="3" t="n">
        <f aca="false">IFERROR(__xludf.dummyfunction("if($T4&lt;&gt;"""",VALUE(REGEXEXTRACT(SUBSTITUTE ($T4,F$1&amp;"" CE"",""""), F$1&amp;""[\w &amp;]*, (\d+\.\d+)"")),"""")
"),206)</f>
        <v>206</v>
      </c>
      <c r="G4" s="3" t="n">
        <f aca="false">IFERROR(__xludf.dummyfunction("if($T4&lt;&gt;"""",VALUE(REGEXEXTRACT($T4, G$1&amp;""[\w &amp;]*, (\d+\.\d+)"")),"""")
"),200)</f>
        <v>200</v>
      </c>
      <c r="H4" s="3" t="n">
        <f aca="false">IFERROR(__xludf.dummyfunction("if($T4&lt;&gt;"""",VALUE(REGEXEXTRACT($T4, H$1&amp;""[\w &amp;]*, (\d+\.\d+)"")),"""")
"),202)</f>
        <v>202</v>
      </c>
      <c r="I4" s="3" t="n">
        <f aca="false">IFERROR(__xludf.dummyfunction("if($T4&lt;&gt;"""",VALUE(REGEXEXTRACT(SUBSTITUTE ($T4,I$1&amp;"" CE"",""""), I$1&amp;""[\w &amp;]*, (\d+\.\d+)"")),"""")
"),185)</f>
        <v>185</v>
      </c>
      <c r="J4" s="3" t="n">
        <f aca="false">IFERROR(__xludf.dummyfunction("if($T4&lt;&gt;"""",VALUE(REGEXEXTRACT($T4, J$1&amp;""[\w &amp;]*, (\d+\.\d+)"")),"""")
"),199)</f>
        <v>199</v>
      </c>
      <c r="K4" s="3" t="n">
        <f aca="false">IFERROR(__xludf.dummyfunction("if($T4&lt;&gt;"""",VALUE(REGEXEXTRACT($T4, K$1&amp;""[\w &amp;]*, (\d+\.\d+)"")),"""")
"),196)</f>
        <v>196</v>
      </c>
      <c r="L4" s="3" t="n">
        <f aca="false">IFERROR(__xludf.dummyfunction("if($T4&lt;&gt;"""",VALUE(REGEXEXTRACT(SUBSTITUTE ($T4,L$1&amp;"" CE"",""""), L$1&amp;""[\w &amp;]*, (\d+\.\d+)"")),"""")
"),201)</f>
        <v>201</v>
      </c>
      <c r="M4" s="3" t="n">
        <f aca="false">IFERROR(__xludf.dummyfunction("if($T4&lt;&gt;"""",VALUE(REGEXEXTRACT($T4, M$1&amp;""[\w &amp;]*, (\d+\.\d+)"")),"""")
"),199)</f>
        <v>199</v>
      </c>
      <c r="N4" s="3" t="n">
        <f aca="false">IFERROR(__xludf.dummyfunction("if($T4&lt;&gt;"""",VALUE(REGEXEXTRACT(SUBSTITUTE ($T4,N$1&amp;"" CE"",""""), N$1&amp;""[\w &amp;]*, (\d+\.\d+)"")),"""")
"),185)</f>
        <v>185</v>
      </c>
      <c r="O4" s="3" t="n">
        <f aca="false">IFERROR(__xludf.dummyfunction("if($T4&lt;&gt;"""",VALUE(REGEXEXTRACT($T4, O$1&amp;""[\w &amp;]*, (\d+\.\d+)"")),"""")
"),200)</f>
        <v>200</v>
      </c>
      <c r="P4" s="2" t="n">
        <f aca="false">IFERROR(__xludf.dummyfunction("if($T4&lt;&gt;"""",VALUE(REGEXEXTRACT($T4, P$1&amp;""[\w &amp;]*, (\d+\.\d+)"")),"""")
"),197)</f>
        <v>197</v>
      </c>
      <c r="Q4" s="2" t="n">
        <f aca="false">IFERROR(__xludf.dummyfunction("if($T4&lt;&gt;"""",VALUE(REGEXEXTRACT($T4, Q$1&amp;""[\w &amp;]*, (\d+\.\d+)"")),"""")
"),196.14)</f>
        <v>196.14</v>
      </c>
      <c r="R4" s="2" t="n">
        <f aca="false">IFERROR(__xludf.dummyfunction("if($T4&lt;&gt;"""",VALUE(REGEXEXTRACT($T4, SUBSTITUTE(R$1, ""+"", ""\+"")&amp;""[\w &amp;]*, (\d+\.\d+)"")),"""")"),201.16)</f>
        <v>201.16</v>
      </c>
      <c r="S4" s="2" t="n">
        <f aca="false">IFERROR(__xludf.dummyfunction("if($T4&lt;&gt;"""",VALUE(REGEXEXTRACT($T4, SUBSTITUTE(S$1, ""+"", ""\+"")&amp;""[\w &amp;]*, (\d+\.\d+)"")),"""")"),202.02)</f>
        <v>202.02</v>
      </c>
      <c r="T4" s="5" t="s">
        <v>626</v>
      </c>
    </row>
    <row r="5" customFormat="false" ht="15.75" hidden="false" customHeight="false" outlineLevel="0" collapsed="false">
      <c r="A5" s="4" t="n">
        <f aca="false">IFERROR(__xludf.dummyfunction("""COMPUTED_VALUE"""),45413.6666666667)</f>
        <v>45413.6666666667</v>
      </c>
      <c r="B5" s="2" t="n">
        <f aca="false">IFERROR(__xludf.dummyfunction("""COMPUTED_VALUE"""),195.88)</f>
        <v>195.88</v>
      </c>
      <c r="C5" s="2" t="n">
        <f aca="false">IFERROR(__xludf.dummyfunction("""COMPUTED_VALUE"""),200.32)</f>
        <v>200.32</v>
      </c>
      <c r="D5" s="2" t="n">
        <f aca="false">IFERROR(__xludf.dummyfunction("""COMPUTED_VALUE"""),195.03)</f>
        <v>195.03</v>
      </c>
      <c r="E5" s="2" t="n">
        <f aca="false">IFERROR(__xludf.dummyfunction("""COMPUTED_VALUE"""),196.31)</f>
        <v>196.31</v>
      </c>
      <c r="F5" s="3" t="n">
        <f aca="false">IFERROR(__xludf.dummyfunction("if($T5&lt;&gt;"""",VALUE(REGEXEXTRACT(SUBSTITUTE ($T5,F$1&amp;"" CE"",""""), F$1&amp;""[\w &amp;]*, (\d+\.\d+)"")),"""")
"),206)</f>
        <v>206</v>
      </c>
      <c r="G5" s="3" t="n">
        <f aca="false">IFERROR(__xludf.dummyfunction("if($T5&lt;&gt;"""",VALUE(REGEXEXTRACT($T5, G$1&amp;""[\w &amp;]*, (\d+\.\d+)"")),"""")
"),196)</f>
        <v>196</v>
      </c>
      <c r="H5" s="3" t="n">
        <f aca="false">IFERROR(__xludf.dummyfunction("if($T5&lt;&gt;"""",VALUE(REGEXEXTRACT($T5, H$1&amp;""[\w &amp;]*, (\d+\.\d+)"")),"""")
"),202)</f>
        <v>202</v>
      </c>
      <c r="I5" s="3" t="n">
        <f aca="false">IFERROR(__xludf.dummyfunction("if($T5&lt;&gt;"""",VALUE(REGEXEXTRACT(SUBSTITUTE ($T5,I$1&amp;"" CE"",""""), I$1&amp;""[\w &amp;]*, (\d+\.\d+)"")),"""")
"),185)</f>
        <v>185</v>
      </c>
      <c r="J5" s="3" t="n">
        <f aca="false">IFERROR(__xludf.dummyfunction("if($T5&lt;&gt;"""",VALUE(REGEXEXTRACT($T5, J$1&amp;""[\w &amp;]*, (\d+\.\d+)"")),"""")
"),195)</f>
        <v>195</v>
      </c>
      <c r="K5" s="3" t="n">
        <f aca="false">IFERROR(__xludf.dummyfunction("if($T5&lt;&gt;"""",VALUE(REGEXEXTRACT($T5, K$1&amp;""[\w &amp;]*, (\d+\.\d+)"")),"""")
"),196)</f>
        <v>196</v>
      </c>
      <c r="L5" s="3" t="n">
        <f aca="false">IFERROR(__xludf.dummyfunction("if($T5&lt;&gt;"""",VALUE(REGEXEXTRACT(SUBSTITUTE ($T5,L$1&amp;"" CE"",""""), L$1&amp;""[\w &amp;]*, (\d+\.\d+)"")),"""")
"),201)</f>
        <v>201</v>
      </c>
      <c r="M5" s="3" t="n">
        <f aca="false">IFERROR(__xludf.dummyfunction("if($T5&lt;&gt;"""",VALUE(REGEXEXTRACT($T5, M$1&amp;""[\w &amp;]*, (\d+\.\d+)"")),"""")
"),195)</f>
        <v>195</v>
      </c>
      <c r="N5" s="3" t="n">
        <f aca="false">IFERROR(__xludf.dummyfunction("if($T5&lt;&gt;"""",VALUE(REGEXEXTRACT(SUBSTITUTE ($T5,N$1&amp;"" CE"",""""), N$1&amp;""[\w &amp;]*, (\d+\.\d+)"")),"""")
"),185)</f>
        <v>185</v>
      </c>
      <c r="O5" s="3" t="n">
        <f aca="false">IFERROR(__xludf.dummyfunction("if($T5&lt;&gt;"""",VALUE(REGEXEXTRACT($T5, O$1&amp;""[\w &amp;]*, (\d+\.\d+)"")),"""")
"),196)</f>
        <v>196</v>
      </c>
      <c r="P5" s="2" t="n">
        <f aca="false">IFERROR(__xludf.dummyfunction("if($T5&lt;&gt;"""",VALUE(REGEXEXTRACT($T5, P$1&amp;""[\w &amp;]*, (\d+\.\d+)"")),"""")
"),192.63)</f>
        <v>192.63</v>
      </c>
      <c r="Q5" s="2" t="n">
        <f aca="false">IFERROR(__xludf.dummyfunction("if($T5&lt;&gt;"""",VALUE(REGEXEXTRACT($T5, Q$1&amp;""[\w &amp;]*, (\d+\.\d+)"")),"""")
"),191.69)</f>
        <v>191.69</v>
      </c>
      <c r="R5" s="2" t="n">
        <f aca="false">IFERROR(__xludf.dummyfunction("if($T5&lt;&gt;"""",VALUE(REGEXEXTRACT($T5, SUBSTITUTE(R$1, ""+"", ""\+"")&amp;""[\w &amp;]*, (\d+\.\d+)"")),"""")"),197.15)</f>
        <v>197.15</v>
      </c>
      <c r="S5" s="2" t="n">
        <f aca="false">IFERROR(__xludf.dummyfunction("if($T5&lt;&gt;"""",VALUE(REGEXEXTRACT($T5, SUBSTITUTE(S$1, ""+"", ""\+"")&amp;""[\w &amp;]*, (\d+\.\d+)"")),"""")"),198.09)</f>
        <v>198.09</v>
      </c>
      <c r="T5" s="5" t="s">
        <v>627</v>
      </c>
    </row>
    <row r="6" customFormat="false" ht="15.75" hidden="false" customHeight="false" outlineLevel="0" collapsed="false">
      <c r="A6" s="4" t="n">
        <f aca="false">IFERROR(__xludf.dummyfunction("""COMPUTED_VALUE"""),45414.6666666667)</f>
        <v>45414.6666666667</v>
      </c>
      <c r="B6" s="2" t="n">
        <f aca="false">IFERROR(__xludf.dummyfunction("""COMPUTED_VALUE"""),198.78)</f>
        <v>198.78</v>
      </c>
      <c r="C6" s="2" t="n">
        <f aca="false">IFERROR(__xludf.dummyfunction("""COMPUTED_VALUE"""),200.12)</f>
        <v>200.12</v>
      </c>
      <c r="D6" s="2" t="n">
        <f aca="false">IFERROR(__xludf.dummyfunction("""COMPUTED_VALUE"""),196.54)</f>
        <v>196.54</v>
      </c>
      <c r="E6" s="2" t="n">
        <f aca="false">IFERROR(__xludf.dummyfunction("""COMPUTED_VALUE"""),199.92)</f>
        <v>199.92</v>
      </c>
      <c r="F6" s="3" t="n">
        <f aca="false">IFERROR(__xludf.dummyfunction("if($T6&lt;&gt;"""",VALUE(REGEXEXTRACT(SUBSTITUTE ($T6,F$1&amp;"" CE"",""""), F$1&amp;""[\w &amp;]*, (\d+\.\d+)"")),"""")
"),206)</f>
        <v>206</v>
      </c>
      <c r="G6" s="3" t="n">
        <f aca="false">IFERROR(__xludf.dummyfunction("if($T6&lt;&gt;"""",VALUE(REGEXEXTRACT($T6, G$1&amp;""[\w &amp;]*, (\d+\.\d+)"")),"""")
"),198)</f>
        <v>198</v>
      </c>
      <c r="H6" s="3" t="n">
        <f aca="false">IFERROR(__xludf.dummyfunction("if($T6&lt;&gt;"""",VALUE(REGEXEXTRACT($T6, H$1&amp;""[\w &amp;]*, (\d+\.\d+)"")),"""")
"),202)</f>
        <v>202</v>
      </c>
      <c r="I6" s="3" t="n">
        <f aca="false">IFERROR(__xludf.dummyfunction("if($T6&lt;&gt;"""",VALUE(REGEXEXTRACT(SUBSTITUTE ($T6,I$1&amp;"" CE"",""""), I$1&amp;""[\w &amp;]*, (\d+\.\d+)"")),"""")
"),185)</f>
        <v>185</v>
      </c>
      <c r="J6" s="3" t="n">
        <f aca="false">IFERROR(__xludf.dummyfunction("if($T6&lt;&gt;"""",VALUE(REGEXEXTRACT($T6, J$1&amp;""[\w &amp;]*, (\d+\.\d+)"")),"""")
"),195)</f>
        <v>195</v>
      </c>
      <c r="K6" s="3" t="n">
        <f aca="false">IFERROR(__xludf.dummyfunction("if($T6&lt;&gt;"""",VALUE(REGEXEXTRACT($T6, K$1&amp;""[\w &amp;]*, (\d+\.\d+)"")),"""")
"),196)</f>
        <v>196</v>
      </c>
      <c r="L6" s="3" t="n">
        <f aca="false">IFERROR(__xludf.dummyfunction("if($T6&lt;&gt;"""",VALUE(REGEXEXTRACT(SUBSTITUTE ($T6,L$1&amp;"" CE"",""""), L$1&amp;""[\w &amp;]*, (\d+\.\d+)"")),"""")
"),200)</f>
        <v>200</v>
      </c>
      <c r="M6" s="3" t="n">
        <f aca="false">IFERROR(__xludf.dummyfunction("if($T6&lt;&gt;"""",VALUE(REGEXEXTRACT($T6, M$1&amp;""[\w &amp;]*, (\d+\.\d+)"")),"""")
"),196)</f>
        <v>196</v>
      </c>
      <c r="N6" s="3" t="n">
        <f aca="false">IFERROR(__xludf.dummyfunction("if($T6&lt;&gt;"""",VALUE(REGEXEXTRACT(SUBSTITUTE ($T6,N$1&amp;"" CE"",""""), N$1&amp;""[\w &amp;]*, (\d+\.\d+)"")),"""")
"),185)</f>
        <v>185</v>
      </c>
      <c r="O6" s="3" t="n">
        <f aca="false">IFERROR(__xludf.dummyfunction("if($T6&lt;&gt;"""",VALUE(REGEXEXTRACT($T6, O$1&amp;""[\w &amp;]*, (\d+\.\d+)"")),"""")
"),197)</f>
        <v>197</v>
      </c>
      <c r="P6" s="2" t="n">
        <f aca="false">IFERROR(__xludf.dummyfunction("if($T6&lt;&gt;"""",VALUE(REGEXEXTRACT($T6, P$1&amp;""[\w &amp;]*, (\d+\.\d+)"")),"""")
"),196.5)</f>
        <v>196.5</v>
      </c>
      <c r="Q6" s="2" t="n">
        <f aca="false">IFERROR(__xludf.dummyfunction("if($T6&lt;&gt;"""",VALUE(REGEXEXTRACT($T6, Q$1&amp;""[\w &amp;]*, (\d+\.\d+)"")),"""")
"),195.71)</f>
        <v>195.71</v>
      </c>
      <c r="R6" s="2" t="n">
        <f aca="false">IFERROR(__xludf.dummyfunction("if($T6&lt;&gt;"""",VALUE(REGEXEXTRACT($T6, SUBSTITUTE(R$1, ""+"", ""\+"")&amp;""[\w &amp;]*, (\d+\.\d+)"")),"""")"),200.4)</f>
        <v>200.4</v>
      </c>
      <c r="S6" s="2" t="n">
        <f aca="false">IFERROR(__xludf.dummyfunction("if($T6&lt;&gt;"""",VALUE(REGEXEXTRACT($T6, SUBSTITUTE(S$1, ""+"", ""\+"")&amp;""[\w &amp;]*, (\d+\.\d+)"")),"""")"),201.19)</f>
        <v>201.19</v>
      </c>
      <c r="T6" s="5" t="s">
        <v>628</v>
      </c>
    </row>
    <row r="7" customFormat="false" ht="15.75" hidden="false" customHeight="false" outlineLevel="0" collapsed="false">
      <c r="A7" s="4" t="n">
        <f aca="false">IFERROR(__xludf.dummyfunction("""COMPUTED_VALUE"""),45415.6666666667)</f>
        <v>45415.6666666667</v>
      </c>
      <c r="B7" s="2" t="n">
        <f aca="false">IFERROR(__xludf.dummyfunction("""COMPUTED_VALUE"""),203.41)</f>
        <v>203.41</v>
      </c>
      <c r="C7" s="2" t="n">
        <f aca="false">IFERROR(__xludf.dummyfunction("""COMPUTED_VALUE"""),204.16)</f>
        <v>204.16</v>
      </c>
      <c r="D7" s="2" t="n">
        <f aca="false">IFERROR(__xludf.dummyfunction("""COMPUTED_VALUE"""),201.12)</f>
        <v>201.12</v>
      </c>
      <c r="E7" s="2" t="n">
        <f aca="false">IFERROR(__xludf.dummyfunction("""COMPUTED_VALUE"""),201.9)</f>
        <v>201.9</v>
      </c>
      <c r="F7" s="3" t="n">
        <f aca="false">IFERROR(__xludf.dummyfunction("if($T7&lt;&gt;"""",VALUE(REGEXEXTRACT(SUBSTITUTE ($T7,F$1&amp;"" CE"",""""), F$1&amp;""[\w &amp;]*, (\d+\.\d+)"")),"""")
"),206)</f>
        <v>206</v>
      </c>
      <c r="G7" s="3" t="n">
        <f aca="false">IFERROR(__xludf.dummyfunction("if($T7&lt;&gt;"""",VALUE(REGEXEXTRACT($T7, G$1&amp;""[\w &amp;]*, (\d+\.\d+)"")),"""")
"),201)</f>
        <v>201</v>
      </c>
      <c r="H7" s="3" t="n">
        <f aca="false">IFERROR(__xludf.dummyfunction("if($T7&lt;&gt;"""",VALUE(REGEXEXTRACT($T7, H$1&amp;""[\w &amp;]*, (\d+\.\d+)"")),"""")
"),202)</f>
        <v>202</v>
      </c>
      <c r="I7" s="3" t="n">
        <f aca="false">IFERROR(__xludf.dummyfunction("if($T7&lt;&gt;"""",VALUE(REGEXEXTRACT(SUBSTITUTE ($T7,I$1&amp;"" CE"",""""), I$1&amp;""[\w &amp;]*, (\d+\.\d+)"")),"""")
"),185)</f>
        <v>185</v>
      </c>
      <c r="J7" s="3" t="n">
        <f aca="false">IFERROR(__xludf.dummyfunction("if($T7&lt;&gt;"""",VALUE(REGEXEXTRACT($T7, J$1&amp;""[\w &amp;]*, (\d+\.\d+)"")),"""")
"),195)</f>
        <v>195</v>
      </c>
      <c r="K7" s="3" t="n">
        <f aca="false">IFERROR(__xludf.dummyfunction("if($T7&lt;&gt;"""",VALUE(REGEXEXTRACT($T7, K$1&amp;""[\w &amp;]*, (\d+\.\d+)"")),"""")
"),196)</f>
        <v>196</v>
      </c>
      <c r="L7" s="3" t="n">
        <f aca="false">IFERROR(__xludf.dummyfunction("if($T7&lt;&gt;"""",VALUE(REGEXEXTRACT(SUBSTITUTE ($T7,L$1&amp;"" CE"",""""), L$1&amp;""[\w &amp;]*, (\d+\.\d+)"")),"""")
"),200)</f>
        <v>200</v>
      </c>
      <c r="M7" s="3" t="n">
        <f aca="false">IFERROR(__xludf.dummyfunction("if($T7&lt;&gt;"""",VALUE(REGEXEXTRACT($T7, M$1&amp;""[\w &amp;]*, (\d+\.\d+)"")),"""")
"),199)</f>
        <v>199</v>
      </c>
      <c r="N7" s="3" t="n">
        <f aca="false">IFERROR(__xludf.dummyfunction("if($T7&lt;&gt;"""",VALUE(REGEXEXTRACT(SUBSTITUTE ($T7,N$1&amp;"" CE"",""""), N$1&amp;""[\w &amp;]*, (\d+\.\d+)"")),"""")
"),185)</f>
        <v>185</v>
      </c>
      <c r="O7" s="3" t="n">
        <f aca="false">IFERROR(__xludf.dummyfunction("if($T7&lt;&gt;"""",VALUE(REGEXEXTRACT($T7, O$1&amp;""[\w &amp;]*, (\d+\.\d+)"")),"""")
"),200)</f>
        <v>200</v>
      </c>
      <c r="P7" s="2" t="n">
        <f aca="false">IFERROR(__xludf.dummyfunction("if($T7&lt;&gt;"""",VALUE(REGEXEXTRACT($T7, P$1&amp;""[\w &amp;]*, (\d+\.\d+)"")),"""")
"),197.54)</f>
        <v>197.54</v>
      </c>
      <c r="Q7" s="2" t="n">
        <f aca="false">IFERROR(__xludf.dummyfunction("if($T7&lt;&gt;"""",VALUE(REGEXEXTRACT($T7, Q$1&amp;""[\w &amp;]*, (\d+\.\d+)"")),"""")
"),195.35)</f>
        <v>195.35</v>
      </c>
      <c r="R7" s="2" t="n">
        <f aca="false">IFERROR(__xludf.dummyfunction("if($T7&lt;&gt;"""",VALUE(REGEXEXTRACT($T7, SUBSTITUTE(R$1, ""+"", ""\+"")&amp;""[\w &amp;]*, (\d+\.\d+)"")),"""")"),201.92)</f>
        <v>201.92</v>
      </c>
      <c r="S7" s="2" t="n">
        <f aca="false">IFERROR(__xludf.dummyfunction("if($T7&lt;&gt;"""",VALUE(REGEXEXTRACT($T7, SUBSTITUTE(S$1, ""+"", ""\+"")&amp;""[\w &amp;]*, (\d+\.\d+)"")),"""")"),204.11)</f>
        <v>204.11</v>
      </c>
      <c r="T7" s="5" t="s">
        <v>629</v>
      </c>
    </row>
    <row r="8" customFormat="false" ht="15.75" hidden="false" customHeight="false" outlineLevel="0" collapsed="false">
      <c r="A8" s="4" t="n">
        <f aca="false">IFERROR(__xludf.dummyfunction("""COMPUTED_VALUE"""),45418.6666666667)</f>
        <v>45418.6666666667</v>
      </c>
      <c r="B8" s="2" t="n">
        <f aca="false">IFERROR(__xludf.dummyfunction("""COMPUTED_VALUE"""),203.47)</f>
        <v>203.47</v>
      </c>
      <c r="C8" s="2" t="n">
        <f aca="false">IFERROR(__xludf.dummyfunction("""COMPUTED_VALUE"""),204.78)</f>
        <v>204.78</v>
      </c>
      <c r="D8" s="2" t="n">
        <f aca="false">IFERROR(__xludf.dummyfunction("""COMPUTED_VALUE"""),203.38)</f>
        <v>203.38</v>
      </c>
      <c r="E8" s="2" t="n">
        <f aca="false">IFERROR(__xludf.dummyfunction("""COMPUTED_VALUE"""),204.51)</f>
        <v>204.51</v>
      </c>
      <c r="F8" s="3" t="n">
        <f aca="false">IFERROR(__xludf.dummyfunction("if($T8&lt;&gt;"""",VALUE(REGEXEXTRACT(SUBSTITUTE ($T8,F$1&amp;"" CE"",""""), F$1&amp;""[\w &amp;]*, (\d+\.\d+)"")),"""")
"),206)</f>
        <v>206</v>
      </c>
      <c r="G8" s="3" t="n">
        <f aca="false">IFERROR(__xludf.dummyfunction("if($T8&lt;&gt;"""",VALUE(REGEXEXTRACT($T8, G$1&amp;""[\w &amp;]*, (\d+\.\d+)"")),"""")
"),204)</f>
        <v>204</v>
      </c>
      <c r="H8" s="3" t="n">
        <f aca="false">IFERROR(__xludf.dummyfunction("if($T8&lt;&gt;"""",VALUE(REGEXEXTRACT($T8, H$1&amp;""[\w &amp;]*, (\d+\.\d+)"")),"""")
"),202)</f>
        <v>202</v>
      </c>
      <c r="I8" s="3" t="n">
        <f aca="false">IFERROR(__xludf.dummyfunction("if($T8&lt;&gt;"""",VALUE(REGEXEXTRACT(SUBSTITUTE ($T8,I$1&amp;"" CE"",""""), I$1&amp;""[\w &amp;]*, (\d+\.\d+)"")),"""")
"),185)</f>
        <v>185</v>
      </c>
      <c r="J8" s="3" t="n">
        <f aca="false">IFERROR(__xludf.dummyfunction("if($T8&lt;&gt;"""",VALUE(REGEXEXTRACT($T8, J$1&amp;""[\w &amp;]*, (\d+\.\d+)"")),"""")
"),200)</f>
        <v>200</v>
      </c>
      <c r="K8" s="3" t="n">
        <f aca="false">IFERROR(__xludf.dummyfunction("if($T8&lt;&gt;"""",VALUE(REGEXEXTRACT($T8, K$1&amp;""[\w &amp;]*, (\d+\.\d+)"")),"""")
"),199)</f>
        <v>199</v>
      </c>
      <c r="L8" s="3" t="n">
        <f aca="false">IFERROR(__xludf.dummyfunction("if($T8&lt;&gt;"""",VALUE(REGEXEXTRACT(SUBSTITUTE ($T8,L$1&amp;"" CE"",""""), L$1&amp;""[\w &amp;]*, (\d+\.\d+)"")),"""")
"),201)</f>
        <v>201</v>
      </c>
      <c r="M8" s="3" t="n">
        <f aca="false">IFERROR(__xludf.dummyfunction("if($T8&lt;&gt;"""",VALUE(REGEXEXTRACT($T8, M$1&amp;""[\w &amp;]*, (\d+\.\d+)"")),"""")
"),201)</f>
        <v>201</v>
      </c>
      <c r="N8" s="3" t="n">
        <f aca="false">IFERROR(__xludf.dummyfunction("if($T8&lt;&gt;"""",VALUE(REGEXEXTRACT(SUBSTITUTE ($T8,N$1&amp;"" CE"",""""), N$1&amp;""[\w &amp;]*, (\d+\.\d+)"")),"""")
"),185)</f>
        <v>185</v>
      </c>
      <c r="O8" s="3" t="n">
        <f aca="false">IFERROR(__xludf.dummyfunction("if($T8&lt;&gt;"""",VALUE(REGEXEXTRACT($T8, O$1&amp;""[\w &amp;]*, (\d+\.\d+)"")),"""")
"),202)</f>
        <v>202</v>
      </c>
      <c r="P8" s="2" t="n">
        <f aca="false">IFERROR(__xludf.dummyfunction("if($T8&lt;&gt;"""",VALUE(REGEXEXTRACT($T8, P$1&amp;""[\w &amp;]*, (\d+\.\d+)"")),"""")
"),201.95)</f>
        <v>201.95</v>
      </c>
      <c r="Q8" s="2" t="n">
        <f aca="false">IFERROR(__xludf.dummyfunction("if($T8&lt;&gt;"""",VALUE(REGEXEXTRACT($T8, Q$1&amp;""[\w &amp;]*, (\d+\.\d+)"")),"""")
"),201.24)</f>
        <v>201.24</v>
      </c>
      <c r="R8" s="2" t="n">
        <f aca="false">IFERROR(__xludf.dummyfunction("if($T8&lt;&gt;"""",VALUE(REGEXEXTRACT($T8, SUBSTITUTE(R$1, ""+"", ""\+"")&amp;""[\w &amp;]*, (\d+\.\d+)"")),"""")"),205.37)</f>
        <v>205.37</v>
      </c>
      <c r="S8" s="2" t="n">
        <f aca="false">IFERROR(__xludf.dummyfunction("if($T8&lt;&gt;"""",VALUE(REGEXEXTRACT($T8, SUBSTITUTE(S$1, ""+"", ""\+"")&amp;""[\w &amp;]*, (\d+\.\d+)"")),"""")"),206.08)</f>
        <v>206.08</v>
      </c>
      <c r="T8" s="5" t="s">
        <v>630</v>
      </c>
    </row>
    <row r="9" customFormat="false" ht="15.75" hidden="false" customHeight="false" outlineLevel="0" collapsed="false">
      <c r="A9" s="4" t="n">
        <f aca="false">IFERROR(__xludf.dummyfunction("""COMPUTED_VALUE"""),45419.6666666667)</f>
        <v>45419.6666666667</v>
      </c>
      <c r="B9" s="2" t="n">
        <f aca="false">IFERROR(__xludf.dummyfunction("""COMPUTED_VALUE"""),204.77)</f>
        <v>204.77</v>
      </c>
      <c r="C9" s="2" t="n">
        <f aca="false">IFERROR(__xludf.dummyfunction("""COMPUTED_VALUE"""),206.15)</f>
        <v>206.15</v>
      </c>
      <c r="D9" s="2" t="n">
        <f aca="false">IFERROR(__xludf.dummyfunction("""COMPUTED_VALUE"""),204.5)</f>
        <v>204.5</v>
      </c>
      <c r="E9" s="2" t="n">
        <f aca="false">IFERROR(__xludf.dummyfunction("""COMPUTED_VALUE"""),204.97)</f>
        <v>204.97</v>
      </c>
      <c r="F9" s="3" t="n">
        <f aca="false">IFERROR(__xludf.dummyfunction("if($T9&lt;&gt;"""",VALUE(REGEXEXTRACT(SUBSTITUTE ($T9,F$1&amp;"" CE"",""""), F$1&amp;""[\w &amp;]*, (\d+\.\d+)"")),"""")
"),220)</f>
        <v>220</v>
      </c>
      <c r="G9" s="3" t="n">
        <f aca="false">IFERROR(__xludf.dummyfunction("if($T9&lt;&gt;"""",VALUE(REGEXEXTRACT($T9, G$1&amp;""[\w &amp;]*, (\d+\.\d+)"")),"""")
"),205)</f>
        <v>205</v>
      </c>
      <c r="H9" s="3" t="n">
        <f aca="false">IFERROR(__xludf.dummyfunction("if($T9&lt;&gt;"""",VALUE(REGEXEXTRACT($T9, H$1&amp;""[\w &amp;]*, (\d+\.\d+)"")),"""")
"),205)</f>
        <v>205</v>
      </c>
      <c r="I9" s="3" t="n">
        <f aca="false">IFERROR(__xludf.dummyfunction("if($T9&lt;&gt;"""",VALUE(REGEXEXTRACT(SUBSTITUTE ($T9,I$1&amp;"" CE"",""""), I$1&amp;""[\w &amp;]*, (\d+\.\d+)"")),"""")
"),185)</f>
        <v>185</v>
      </c>
      <c r="J9" s="3" t="n">
        <f aca="false">IFERROR(__xludf.dummyfunction("if($T9&lt;&gt;"""",VALUE(REGEXEXTRACT($T9, J$1&amp;""[\w &amp;]*, (\d+\.\d+)"")),"""")
"),201)</f>
        <v>201</v>
      </c>
      <c r="K9" s="3" t="n">
        <f aca="false">IFERROR(__xludf.dummyfunction("if($T9&lt;&gt;"""",VALUE(REGEXEXTRACT($T9, K$1&amp;""[\w &amp;]*, (\d+\.\d+)"")),"""")
"),199)</f>
        <v>199</v>
      </c>
      <c r="L9" s="3" t="n">
        <f aca="false">IFERROR(__xludf.dummyfunction("if($T9&lt;&gt;"""",VALUE(REGEXEXTRACT(SUBSTITUTE ($T9,L$1&amp;"" CE"",""""), L$1&amp;""[\w &amp;]*, (\d+\.\d+)"")),"""")
"),202)</f>
        <v>202</v>
      </c>
      <c r="M9" s="3" t="n">
        <f aca="false">IFERROR(__xludf.dummyfunction("if($T9&lt;&gt;"""",VALUE(REGEXEXTRACT($T9, M$1&amp;""[\w &amp;]*, (\d+\.\d+)"")),"""")
"),204)</f>
        <v>204</v>
      </c>
      <c r="N9" s="3" t="n">
        <f aca="false">IFERROR(__xludf.dummyfunction("if($T9&lt;&gt;"""",VALUE(REGEXEXTRACT(SUBSTITUTE ($T9,N$1&amp;"" CE"",""""), N$1&amp;""[\w &amp;]*, (\d+\.\d+)"")),"""")
"),185)</f>
        <v>185</v>
      </c>
      <c r="O9" s="3" t="n">
        <f aca="false">IFERROR(__xludf.dummyfunction("if($T9&lt;&gt;"""",VALUE(REGEXEXTRACT($T9, O$1&amp;""[\w &amp;]*, (\d+\.\d+)"")),"""")
"),204)</f>
        <v>204</v>
      </c>
      <c r="P9" s="2" t="n">
        <f aca="false">IFERROR(__xludf.dummyfunction("if($T9&lt;&gt;"""",VALUE(REGEXEXTRACT($T9, P$1&amp;""[\w &amp;]*, (\d+\.\d+)"")),"""")
"),202.95)</f>
        <v>202.95</v>
      </c>
      <c r="Q9" s="2" t="n">
        <f aca="false">IFERROR(__xludf.dummyfunction("if($T9&lt;&gt;"""",VALUE(REGEXEXTRACT($T9, Q$1&amp;""[\w &amp;]*, (\d+\.\d+)"")),"""")
"),202.16)</f>
        <v>202.16</v>
      </c>
      <c r="R9" s="2" t="n">
        <f aca="false">IFERROR(__xludf.dummyfunction("if($T9&lt;&gt;"""",VALUE(REGEXEXTRACT($T9, SUBSTITUTE(R$1, ""+"", ""\+"")&amp;""[\w &amp;]*, (\d+\.\d+)"")),"""")"),206.73)</f>
        <v>206.73</v>
      </c>
      <c r="S9" s="2" t="n">
        <f aca="false">IFERROR(__xludf.dummyfunction("if($T9&lt;&gt;"""",VALUE(REGEXEXTRACT($T9, SUBSTITUTE(S$1, ""+"", ""\+"")&amp;""[\w &amp;]*, (\d+\.\d+)"")),"""")"),207.52)</f>
        <v>207.52</v>
      </c>
      <c r="T9" s="5" t="s">
        <v>631</v>
      </c>
    </row>
    <row r="10" customFormat="false" ht="15.75" hidden="false" customHeight="false" outlineLevel="0" collapsed="false">
      <c r="A10" s="4" t="n">
        <f aca="false">IFERROR(__xludf.dummyfunction("""COMPUTED_VALUE"""),45420.6666666667)</f>
        <v>45420.6666666667</v>
      </c>
      <c r="B10" s="2" t="n">
        <f aca="false">IFERROR(__xludf.dummyfunction("""COMPUTED_VALUE"""),202.72)</f>
        <v>202.72</v>
      </c>
      <c r="C10" s="2" t="n">
        <f aca="false">IFERROR(__xludf.dummyfunction("""COMPUTED_VALUE"""),203.96)</f>
        <v>203.96</v>
      </c>
      <c r="D10" s="2" t="n">
        <f aca="false">IFERROR(__xludf.dummyfunction("""COMPUTED_VALUE"""),202.56)</f>
        <v>202.56</v>
      </c>
      <c r="E10" s="2" t="n">
        <f aca="false">IFERROR(__xludf.dummyfunction("""COMPUTED_VALUE"""),203.78)</f>
        <v>203.78</v>
      </c>
      <c r="F10" s="3" t="n">
        <f aca="false">IFERROR(__xludf.dummyfunction("if($T10&lt;&gt;"""",VALUE(REGEXEXTRACT(SUBSTITUTE ($T10,F$1&amp;"" CE"",""""), F$1&amp;""[\w &amp;]*, (\d+\.\d+)"")),"""")
"),220)</f>
        <v>220</v>
      </c>
      <c r="G10" s="3" t="n">
        <f aca="false">IFERROR(__xludf.dummyfunction("if($T10&lt;&gt;"""",VALUE(REGEXEXTRACT($T10, G$1&amp;""[\w &amp;]*, (\d+\.\d+)"")),"""")
"),206)</f>
        <v>206</v>
      </c>
      <c r="H10" s="3" t="n">
        <f aca="false">IFERROR(__xludf.dummyfunction("if($T10&lt;&gt;"""",VALUE(REGEXEXTRACT($T10, H$1&amp;""[\w &amp;]*, (\d+\.\d+)"")),"""")
"),205)</f>
        <v>205</v>
      </c>
      <c r="I10" s="3" t="n">
        <f aca="false">IFERROR(__xludf.dummyfunction("if($T10&lt;&gt;"""",VALUE(REGEXEXTRACT(SUBSTITUTE ($T10,I$1&amp;"" CE"",""""), I$1&amp;""[\w &amp;]*, (\d+\.\d+)"")),"""")
"),185)</f>
        <v>185</v>
      </c>
      <c r="J10" s="3" t="n">
        <f aca="false">IFERROR(__xludf.dummyfunction("if($T10&lt;&gt;"""",VALUE(REGEXEXTRACT($T10, J$1&amp;""[\w &amp;]*, (\d+\.\d+)"")),"""")
"),204)</f>
        <v>204</v>
      </c>
      <c r="K10" s="3" t="n">
        <f aca="false">IFERROR(__xludf.dummyfunction("if($T10&lt;&gt;"""",VALUE(REGEXEXTRACT($T10, K$1&amp;""[\w &amp;]*, (\d+\.\d+)"")),"""")
"),199)</f>
        <v>199</v>
      </c>
      <c r="L10" s="3" t="n">
        <f aca="false">IFERROR(__xludf.dummyfunction("if($T10&lt;&gt;"""",VALUE(REGEXEXTRACT(SUBSTITUTE ($T10,L$1&amp;"" CE"",""""), L$1&amp;""[\w &amp;]*, (\d+\.\d+)"")),"""")
"),204)</f>
        <v>204</v>
      </c>
      <c r="M10" s="3" t="n">
        <f aca="false">IFERROR(__xludf.dummyfunction("if($T10&lt;&gt;"""",VALUE(REGEXEXTRACT($T10, M$1&amp;""[\w &amp;]*, (\d+\.\d+)"")),"""")
"),205)</f>
        <v>205</v>
      </c>
      <c r="N10" s="3" t="n">
        <f aca="false">IFERROR(__xludf.dummyfunction("if($T10&lt;&gt;"""",VALUE(REGEXEXTRACT(SUBSTITUTE ($T10,N$1&amp;"" CE"",""""), N$1&amp;""[\w &amp;]*, (\d+\.\d+)"")),"""")
"),185)</f>
        <v>185</v>
      </c>
      <c r="O10" s="3" t="n">
        <f aca="false">IFERROR(__xludf.dummyfunction("if($T10&lt;&gt;"""",VALUE(REGEXEXTRACT($T10, O$1&amp;""[\w &amp;]*, (\d+\.\d+)"")),"""")
"),204)</f>
        <v>204</v>
      </c>
      <c r="P10" s="2" t="n">
        <f aca="false">IFERROR(__xludf.dummyfunction("if($T10&lt;&gt;"""",VALUE(REGEXEXTRACT($T10, P$1&amp;""[\w &amp;]*, (\d+\.\d+)"")),"""")
"),202.01)</f>
        <v>202.01</v>
      </c>
      <c r="Q10" s="2" t="n">
        <f aca="false">IFERROR(__xludf.dummyfunction("if($T10&lt;&gt;"""",VALUE(REGEXEXTRACT($T10, Q$1&amp;""[\w &amp;]*, (\d+\.\d+)"")),"""")
"),201.23)</f>
        <v>201.23</v>
      </c>
      <c r="R10" s="2" t="n">
        <f aca="false">IFERROR(__xludf.dummyfunction("if($T10&lt;&gt;"""",VALUE(REGEXEXTRACT($T10, SUBSTITUTE(R$1, ""+"", ""\+"")&amp;""[\w &amp;]*, (\d+\.\d+)"")),"""")"),205.79)</f>
        <v>205.79</v>
      </c>
      <c r="S10" s="2" t="n">
        <f aca="false">IFERROR(__xludf.dummyfunction("if($T10&lt;&gt;"""",VALUE(REGEXEXTRACT($T10, SUBSTITUTE(S$1, ""+"", ""\+"")&amp;""[\w &amp;]*, (\d+\.\d+)"")),"""")"),206.57)</f>
        <v>206.57</v>
      </c>
      <c r="T10" s="5" t="s">
        <v>632</v>
      </c>
    </row>
    <row r="11" customFormat="false" ht="15.75" hidden="false" customHeight="false" outlineLevel="0" collapsed="false">
      <c r="A11" s="4" t="n">
        <f aca="false">IFERROR(__xludf.dummyfunction("""COMPUTED_VALUE"""),45421.6666666667)</f>
        <v>45421.6666666667</v>
      </c>
      <c r="B11" s="2" t="n">
        <f aca="false">IFERROR(__xludf.dummyfunction("""COMPUTED_VALUE"""),203.97)</f>
        <v>203.97</v>
      </c>
      <c r="C11" s="2" t="n">
        <f aca="false">IFERROR(__xludf.dummyfunction("""COMPUTED_VALUE"""),205.99)</f>
        <v>205.99</v>
      </c>
      <c r="D11" s="2" t="n">
        <f aca="false">IFERROR(__xludf.dummyfunction("""COMPUTED_VALUE"""),203.41)</f>
        <v>203.41</v>
      </c>
      <c r="E11" s="2" t="n">
        <f aca="false">IFERROR(__xludf.dummyfunction("""COMPUTED_VALUE"""),205.86)</f>
        <v>205.86</v>
      </c>
      <c r="F11" s="3" t="n">
        <f aca="false">IFERROR(__xludf.dummyfunction("if($T11&lt;&gt;"""",VALUE(REGEXEXTRACT(SUBSTITUTE ($T11,F$1&amp;"" CE"",""""), F$1&amp;""[\w &amp;]*, (\d+\.\d+)"")),"""")
"),220)</f>
        <v>220</v>
      </c>
      <c r="G11" s="3" t="n">
        <f aca="false">IFERROR(__xludf.dummyfunction("if($T11&lt;&gt;"""",VALUE(REGEXEXTRACT($T11, G$1&amp;""[\w &amp;]*, (\d+\.\d+)"")),"""")
"),204)</f>
        <v>204</v>
      </c>
      <c r="H11" s="3" t="n">
        <f aca="false">IFERROR(__xludf.dummyfunction("if($T11&lt;&gt;"""",VALUE(REGEXEXTRACT($T11, H$1&amp;""[\w &amp;]*, (\d+\.\d+)"")),"""")
"),205)</f>
        <v>205</v>
      </c>
      <c r="I11" s="3" t="n">
        <f aca="false">IFERROR(__xludf.dummyfunction("if($T11&lt;&gt;"""",VALUE(REGEXEXTRACT(SUBSTITUTE ($T11,I$1&amp;"" CE"",""""), I$1&amp;""[\w &amp;]*, (\d+\.\d+)"")),"""")
"),185)</f>
        <v>185</v>
      </c>
      <c r="J11" s="3" t="n">
        <f aca="false">IFERROR(__xludf.dummyfunction("if($T11&lt;&gt;"""",VALUE(REGEXEXTRACT($T11, J$1&amp;""[\w &amp;]*, (\d+\.\d+)"")),"""")
"),202)</f>
        <v>202</v>
      </c>
      <c r="K11" s="3" t="n">
        <f aca="false">IFERROR(__xludf.dummyfunction("if($T11&lt;&gt;"""",VALUE(REGEXEXTRACT($T11, K$1&amp;""[\w &amp;]*, (\d+\.\d+)"")),"""")
"),199)</f>
        <v>199</v>
      </c>
      <c r="L11" s="3" t="n">
        <f aca="false">IFERROR(__xludf.dummyfunction("if($T11&lt;&gt;"""",VALUE(REGEXEXTRACT(SUBSTITUTE ($T11,L$1&amp;"" CE"",""""), L$1&amp;""[\w &amp;]*, (\d+\.\d+)"")),"""")
"),202)</f>
        <v>202</v>
      </c>
      <c r="M11" s="3" t="n">
        <f aca="false">IFERROR(__xludf.dummyfunction("if($T11&lt;&gt;"""",VALUE(REGEXEXTRACT($T11, M$1&amp;""[\w &amp;]*, (\d+\.\d+)"")),"""")
"),202)</f>
        <v>202</v>
      </c>
      <c r="N11" s="3" t="n">
        <f aca="false">IFERROR(__xludf.dummyfunction("if($T11&lt;&gt;"""",VALUE(REGEXEXTRACT(SUBSTITUTE ($T11,N$1&amp;"" CE"",""""), N$1&amp;""[\w &amp;]*, (\d+\.\d+)"")),"""")
"),185)</f>
        <v>185</v>
      </c>
      <c r="O11" s="3" t="n">
        <f aca="false">IFERROR(__xludf.dummyfunction("if($T11&lt;&gt;"""",VALUE(REGEXEXTRACT($T11, O$1&amp;""[\w &amp;]*, (\d+\.\d+)"")),"""")
"),203)</f>
        <v>203</v>
      </c>
      <c r="P11" s="2" t="n">
        <f aca="false">IFERROR(__xludf.dummyfunction("if($T11&lt;&gt;"""",VALUE(REGEXEXTRACT($T11, P$1&amp;""[\w &amp;]*, (\d+\.\d+)"")),"""")
"),201.61)</f>
        <v>201.61</v>
      </c>
      <c r="Q11" s="2" t="n">
        <f aca="false">IFERROR(__xludf.dummyfunction("if($T11&lt;&gt;"""",VALUE(REGEXEXTRACT($T11, Q$1&amp;""[\w &amp;]*, (\d+\.\d+)"")),"""")
"),200.82)</f>
        <v>200.82</v>
      </c>
      <c r="R11" s="2" t="n">
        <f aca="false">IFERROR(__xludf.dummyfunction("if($T11&lt;&gt;"""",VALUE(REGEXEXTRACT($T11, SUBSTITUTE(R$1, ""+"", ""\+"")&amp;""[\w &amp;]*, (\d+\.\d+)"")),"""")"),205.35)</f>
        <v>205.35</v>
      </c>
      <c r="S11" s="2" t="n">
        <f aca="false">IFERROR(__xludf.dummyfunction("if($T11&lt;&gt;"""",VALUE(REGEXEXTRACT($T11, SUBSTITUTE(S$1, ""+"", ""\+"")&amp;""[\w &amp;]*, (\d+\.\d+)"")),"""")"),206.15)</f>
        <v>206.15</v>
      </c>
      <c r="T11" s="5" t="s">
        <v>633</v>
      </c>
    </row>
    <row r="12" customFormat="false" ht="15.75" hidden="false" customHeight="false" outlineLevel="0" collapsed="false">
      <c r="A12" s="4" t="n">
        <f aca="false">IFERROR(__xludf.dummyfunction("""COMPUTED_VALUE"""),45422.6666666667)</f>
        <v>45422.6666666667</v>
      </c>
      <c r="B12" s="2" t="n">
        <f aca="false">IFERROR(__xludf.dummyfunction("""COMPUTED_VALUE"""),206.35)</f>
        <v>206.35</v>
      </c>
      <c r="C12" s="2" t="n">
        <f aca="false">IFERROR(__xludf.dummyfunction("""COMPUTED_VALUE"""),206.62)</f>
        <v>206.62</v>
      </c>
      <c r="D12" s="2" t="n">
        <f aca="false">IFERROR(__xludf.dummyfunction("""COMPUTED_VALUE"""),203.68)</f>
        <v>203.68</v>
      </c>
      <c r="E12" s="2" t="n">
        <f aca="false">IFERROR(__xludf.dummyfunction("""COMPUTED_VALUE"""),204.31)</f>
        <v>204.31</v>
      </c>
      <c r="F12" s="3" t="n">
        <f aca="false">IFERROR(__xludf.dummyfunction("if($T12&lt;&gt;"""",VALUE(REGEXEXTRACT(SUBSTITUTE ($T12,F$1&amp;"" CE"",""""), F$1&amp;""[\w &amp;]*, (\d+\.\d+)"")),"""")
"),220)</f>
        <v>220</v>
      </c>
      <c r="G12" s="3" t="n">
        <f aca="false">IFERROR(__xludf.dummyfunction("if($T12&lt;&gt;"""",VALUE(REGEXEXTRACT($T12, G$1&amp;""[\w &amp;]*, (\d+\.\d+)"")),"""")
"),207)</f>
        <v>207</v>
      </c>
      <c r="H12" s="3" t="n">
        <f aca="false">IFERROR(__xludf.dummyfunction("if($T12&lt;&gt;"""",VALUE(REGEXEXTRACT($T12, H$1&amp;""[\w &amp;]*, (\d+\.\d+)"")),"""")
"),211)</f>
        <v>211</v>
      </c>
      <c r="I12" s="3" t="n">
        <f aca="false">IFERROR(__xludf.dummyfunction("if($T12&lt;&gt;"""",VALUE(REGEXEXTRACT(SUBSTITUTE ($T12,I$1&amp;"" CE"",""""), I$1&amp;""[\w &amp;]*, (\d+\.\d+)"")),"""")
"),190)</f>
        <v>190</v>
      </c>
      <c r="J12" s="3" t="n">
        <f aca="false">IFERROR(__xludf.dummyfunction("if($T12&lt;&gt;"""",VALUE(REGEXEXTRACT($T12, J$1&amp;""[\w &amp;]*, (\d+\.\d+)"")),"""")
"),203)</f>
        <v>203</v>
      </c>
      <c r="K12" s="3" t="n">
        <f aca="false">IFERROR(__xludf.dummyfunction("if($T12&lt;&gt;"""",VALUE(REGEXEXTRACT($T12, K$1&amp;""[\w &amp;]*, (\d+\.\d+)"")),"""")
"),195)</f>
        <v>195</v>
      </c>
      <c r="L12" s="3" t="n">
        <f aca="false">IFERROR(__xludf.dummyfunction("if($T12&lt;&gt;"""",VALUE(REGEXEXTRACT(SUBSTITUTE ($T12,L$1&amp;"" CE"",""""), L$1&amp;""[\w &amp;]*, (\d+\.\d+)"")),"""")
"),204)</f>
        <v>204</v>
      </c>
      <c r="M12" s="3" t="n">
        <f aca="false">IFERROR(__xludf.dummyfunction("if($T12&lt;&gt;"""",VALUE(REGEXEXTRACT($T12, M$1&amp;""[\w &amp;]*, (\d+\.\d+)"")),"""")
"),203)</f>
        <v>203</v>
      </c>
      <c r="N12" s="3" t="n">
        <f aca="false">IFERROR(__xludf.dummyfunction("if($T12&lt;&gt;"""",VALUE(REGEXEXTRACT(SUBSTITUTE ($T12,N$1&amp;"" CE"",""""), N$1&amp;""[\w &amp;]*, (\d+\.\d+)"")),"""")
"),220)</f>
        <v>220</v>
      </c>
      <c r="O12" s="3" t="n">
        <f aca="false">IFERROR(__xludf.dummyfunction("if($T12&lt;&gt;"""",VALUE(REGEXEXTRACT($T12, O$1&amp;""[\w &amp;]*, (\d+\.\d+)"")),"""")
"),205)</f>
        <v>205</v>
      </c>
      <c r="P12" s="2" t="n">
        <f aca="false">IFERROR(__xludf.dummyfunction("if($T12&lt;&gt;"""",VALUE(REGEXEXTRACT($T12, P$1&amp;""[\w &amp;]*, (\d+\.\d+)"")),"""")
"),204.86)</f>
        <v>204.86</v>
      </c>
      <c r="Q12" s="2" t="n">
        <f aca="false">IFERROR(__xludf.dummyfunction("if($T12&lt;&gt;"""",VALUE(REGEXEXTRACT($T12, Q$1&amp;""[\w &amp;]*, (\d+\.\d+)"")),"""")
"),202.97)</f>
        <v>202.97</v>
      </c>
      <c r="R12" s="2" t="n">
        <f aca="false">IFERROR(__xludf.dummyfunction("if($T12&lt;&gt;"""",VALUE(REGEXEXTRACT($T12, SUBSTITUTE(R$1, ""+"", ""\+"")&amp;""[\w &amp;]*, (\d+\.\d+)"")),"""")"),208.66)</f>
        <v>208.66</v>
      </c>
      <c r="S12" s="2" t="n">
        <f aca="false">IFERROR(__xludf.dummyfunction("if($T12&lt;&gt;"""",VALUE(REGEXEXTRACT($T12, SUBSTITUTE(S$1, ""+"", ""\+"")&amp;""[\w &amp;]*, (\d+\.\d+)"")),"""")"),210.55)</f>
        <v>210.55</v>
      </c>
      <c r="T12" s="5" t="s">
        <v>634</v>
      </c>
    </row>
    <row r="13" customFormat="false" ht="15.75" hidden="false" customHeight="false" outlineLevel="0" collapsed="false">
      <c r="A13" s="4" t="n">
        <f aca="false">IFERROR(__xludf.dummyfunction("""COMPUTED_VALUE"""),45425.6666666667)</f>
        <v>45425.6666666667</v>
      </c>
      <c r="B13" s="2" t="n">
        <f aca="false">IFERROR(__xludf.dummyfunction("""COMPUTED_VALUE"""),206.08)</f>
        <v>206.08</v>
      </c>
      <c r="C13" s="2" t="n">
        <f aca="false">IFERROR(__xludf.dummyfunction("""COMPUTED_VALUE"""),206.55)</f>
        <v>206.55</v>
      </c>
      <c r="D13" s="2" t="n">
        <f aca="false">IFERROR(__xludf.dummyfunction("""COMPUTED_VALUE"""),204.6)</f>
        <v>204.6</v>
      </c>
      <c r="E13" s="2" t="n">
        <f aca="false">IFERROR(__xludf.dummyfunction("""COMPUTED_VALUE"""),204.74)</f>
        <v>204.74</v>
      </c>
      <c r="F13" s="3" t="n">
        <f aca="false">IFERROR(__xludf.dummyfunction("if($T13&lt;&gt;"""",VALUE(REGEXEXTRACT(SUBSTITUTE ($T13,F$1&amp;"" CE"",""""), F$1&amp;""[\w &amp;]*, (\d+\.\d+)"")),"""")
"),220)</f>
        <v>220</v>
      </c>
      <c r="G13" s="3" t="n">
        <f aca="false">IFERROR(__xludf.dummyfunction("if($T13&lt;&gt;"""",VALUE(REGEXEXTRACT($T13, G$1&amp;""[\w &amp;]*, (\d+\.\d+)"")),"""")
"),205)</f>
        <v>205</v>
      </c>
      <c r="H13" s="3" t="n">
        <f aca="false">IFERROR(__xludf.dummyfunction("if($T13&lt;&gt;"""",VALUE(REGEXEXTRACT($T13, H$1&amp;""[\w &amp;]*, (\d+\.\d+)"")),"""")
"),211)</f>
        <v>211</v>
      </c>
      <c r="I13" s="3" t="n">
        <f aca="false">IFERROR(__xludf.dummyfunction("if($T13&lt;&gt;"""",VALUE(REGEXEXTRACT(SUBSTITUTE ($T13,I$1&amp;"" CE"",""""), I$1&amp;""[\w &amp;]*, (\d+\.\d+)"")),"""")
"),190)</f>
        <v>190</v>
      </c>
      <c r="J13" s="3" t="n">
        <f aca="false">IFERROR(__xludf.dummyfunction("if($T13&lt;&gt;"""",VALUE(REGEXEXTRACT($T13, J$1&amp;""[\w &amp;]*, (\d+\.\d+)"")),"""")
"),203)</f>
        <v>203</v>
      </c>
      <c r="K13" s="3" t="n">
        <f aca="false">IFERROR(__xludf.dummyfunction("if($T13&lt;&gt;"""",VALUE(REGEXEXTRACT($T13, K$1&amp;""[\w &amp;]*, (\d+\.\d+)"")),"""")
"),195)</f>
        <v>195</v>
      </c>
      <c r="L13" s="3" t="n">
        <f aca="false">IFERROR(__xludf.dummyfunction("if($T13&lt;&gt;"""",VALUE(REGEXEXTRACT(SUBSTITUTE ($T13,L$1&amp;"" CE"",""""), L$1&amp;""[\w &amp;]*, (\d+\.\d+)"")),"""")
"),204)</f>
        <v>204</v>
      </c>
      <c r="M13" s="3" t="n">
        <f aca="false">IFERROR(__xludf.dummyfunction("if($T13&lt;&gt;"""",VALUE(REGEXEXTRACT($T13, M$1&amp;""[\w &amp;]*, (\d+\.\d+)"")),"""")
"),204)</f>
        <v>204</v>
      </c>
      <c r="N13" s="3" t="n">
        <f aca="false">IFERROR(__xludf.dummyfunction("if($T13&lt;&gt;"""",VALUE(REGEXEXTRACT(SUBSTITUTE ($T13,N$1&amp;"" CE"",""""), N$1&amp;""[\w &amp;]*, (\d+\.\d+)"")),"""")
"),220)</f>
        <v>220</v>
      </c>
      <c r="O13" s="3" t="n">
        <f aca="false">IFERROR(__xludf.dummyfunction("if($T13&lt;&gt;"""",VALUE(REGEXEXTRACT($T13, O$1&amp;""[\w &amp;]*, (\d+\.\d+)"")),"""")
"),204)</f>
        <v>204</v>
      </c>
      <c r="P13" s="2" t="n">
        <f aca="false">IFERROR(__xludf.dummyfunction("if($T13&lt;&gt;"""",VALUE(REGEXEXTRACT($T13, P$1&amp;""[\w &amp;]*, (\d+\.\d+)"")),"""")
"),203.28)</f>
        <v>203.28</v>
      </c>
      <c r="Q13" s="2" t="n">
        <f aca="false">IFERROR(__xludf.dummyfunction("if($T13&lt;&gt;"""",VALUE(REGEXEXTRACT($T13, Q$1&amp;""[\w &amp;]*, (\d+\.\d+)"")),"""")
"),202.48)</f>
        <v>202.48</v>
      </c>
      <c r="R13" s="2" t="n">
        <f aca="false">IFERROR(__xludf.dummyfunction("if($T13&lt;&gt;"""",VALUE(REGEXEXTRACT($T13, SUBSTITUTE(R$1, ""+"", ""\+"")&amp;""[\w &amp;]*, (\d+\.\d+)"")),"""")"),207.12)</f>
        <v>207.12</v>
      </c>
      <c r="S13" s="2" t="n">
        <f aca="false">IFERROR(__xludf.dummyfunction("if($T13&lt;&gt;"""",VALUE(REGEXEXTRACT($T13, SUBSTITUTE(S$1, ""+"", ""\+"")&amp;""[\w &amp;]*, (\d+\.\d+)"")),"""")"),207.92)</f>
        <v>207.92</v>
      </c>
      <c r="T13" s="5" t="s">
        <v>635</v>
      </c>
    </row>
    <row r="14" customFormat="false" ht="15.75" hidden="false" customHeight="false" outlineLevel="0" collapsed="false">
      <c r="A14" s="4" t="n">
        <f aca="false">IFERROR(__xludf.dummyfunction("""COMPUTED_VALUE"""),45426.6666666667)</f>
        <v>45426.6666666667</v>
      </c>
      <c r="B14" s="2" t="n">
        <f aca="false">IFERROR(__xludf.dummyfunction("""COMPUTED_VALUE"""),207.13)</f>
        <v>207.13</v>
      </c>
      <c r="C14" s="2" t="n">
        <f aca="false">IFERROR(__xludf.dummyfunction("""COMPUTED_VALUE"""),207.74)</f>
        <v>207.74</v>
      </c>
      <c r="D14" s="2" t="n">
        <f aca="false">IFERROR(__xludf.dummyfunction("""COMPUTED_VALUE"""),205.91)</f>
        <v>205.91</v>
      </c>
      <c r="E14" s="2" t="n">
        <f aca="false">IFERROR(__xludf.dummyfunction("""COMPUTED_VALUE"""),206.86)</f>
        <v>206.86</v>
      </c>
      <c r="F14" s="3" t="n">
        <f aca="false">IFERROR(__xludf.dummyfunction("if($T14&lt;&gt;"""",VALUE(REGEXEXTRACT(SUBSTITUTE ($T14,F$1&amp;"" CE"",""""), F$1&amp;""[\w &amp;]*, (\d+\.\d+)"")),"""")
"),220)</f>
        <v>220</v>
      </c>
      <c r="G14" s="3" t="n">
        <f aca="false">IFERROR(__xludf.dummyfunction("if($T14&lt;&gt;"""",VALUE(REGEXEXTRACT($T14, G$1&amp;""[\w &amp;]*, (\d+\.\d+)"")),"""")
"),207)</f>
        <v>207</v>
      </c>
      <c r="H14" s="3" t="n">
        <f aca="false">IFERROR(__xludf.dummyfunction("if($T14&lt;&gt;"""",VALUE(REGEXEXTRACT($T14, H$1&amp;""[\w &amp;]*, (\d+\.\d+)"")),"""")
"),211)</f>
        <v>211</v>
      </c>
      <c r="I14" s="3" t="n">
        <f aca="false">IFERROR(__xludf.dummyfunction("if($T14&lt;&gt;"""",VALUE(REGEXEXTRACT(SUBSTITUTE ($T14,I$1&amp;"" CE"",""""), I$1&amp;""[\w &amp;]*, (\d+\.\d+)"")),"""")
"),190)</f>
        <v>190</v>
      </c>
      <c r="J14" s="3" t="n">
        <f aca="false">IFERROR(__xludf.dummyfunction("if($T14&lt;&gt;"""",VALUE(REGEXEXTRACT($T14, J$1&amp;""[\w &amp;]*, (\d+\.\d+)"")),"""")
"),203)</f>
        <v>203</v>
      </c>
      <c r="K14" s="3" t="n">
        <f aca="false">IFERROR(__xludf.dummyfunction("if($T14&lt;&gt;"""",VALUE(REGEXEXTRACT($T14, K$1&amp;""[\w &amp;]*, (\d+\.\d+)"")),"""")
"),195)</f>
        <v>195</v>
      </c>
      <c r="L14" s="3" t="n">
        <f aca="false">IFERROR(__xludf.dummyfunction("if($T14&lt;&gt;"""",VALUE(REGEXEXTRACT(SUBSTITUTE ($T14,L$1&amp;"" CE"",""""), L$1&amp;""[\w &amp;]*, (\d+\.\d+)"")),"""")
"),204)</f>
        <v>204</v>
      </c>
      <c r="M14" s="3" t="n">
        <f aca="false">IFERROR(__xludf.dummyfunction("if($T14&lt;&gt;"""",VALUE(REGEXEXTRACT($T14, M$1&amp;""[\w &amp;]*, (\d+\.\d+)"")),"""")
"),204)</f>
        <v>204</v>
      </c>
      <c r="N14" s="3" t="n">
        <f aca="false">IFERROR(__xludf.dummyfunction("if($T14&lt;&gt;"""",VALUE(REGEXEXTRACT(SUBSTITUTE ($T14,N$1&amp;"" CE"",""""), N$1&amp;""[\w &amp;]*, (\d+\.\d+)"")),"""")
"),220)</f>
        <v>220</v>
      </c>
      <c r="O14" s="3" t="n">
        <f aca="false">IFERROR(__xludf.dummyfunction("if($T14&lt;&gt;"""",VALUE(REGEXEXTRACT($T14, O$1&amp;""[\w &amp;]*, (\d+\.\d+)"")),"""")
"),205)</f>
        <v>205</v>
      </c>
      <c r="P14" s="2" t="n">
        <f aca="false">IFERROR(__xludf.dummyfunction("if($T14&lt;&gt;"""",VALUE(REGEXEXTRACT($T14, P$1&amp;""[\w &amp;]*, (\d+\.\d+)"")),"""")
"),202.87)</f>
        <v>202.87</v>
      </c>
      <c r="Q14" s="2" t="n">
        <f aca="false">IFERROR(__xludf.dummyfunction("if($T14&lt;&gt;"""",VALUE(REGEXEXTRACT($T14, Q$1&amp;""[\w &amp;]*, (\d+\.\d+)"")),"""")
"),201.87)</f>
        <v>201.87</v>
      </c>
      <c r="R14" s="2" t="n">
        <f aca="false">IFERROR(__xludf.dummyfunction("if($T14&lt;&gt;"""",VALUE(REGEXEXTRACT($T14, SUBSTITUTE(R$1, ""+"", ""\+"")&amp;""[\w &amp;]*, (\d+\.\d+)"")),"""")"),207.73)</f>
        <v>207.73</v>
      </c>
      <c r="S14" s="2" t="n">
        <f aca="false">IFERROR(__xludf.dummyfunction("if($T14&lt;&gt;"""",VALUE(REGEXEXTRACT($T14, SUBSTITUTE(S$1, ""+"", ""\+"")&amp;""[\w &amp;]*, (\d+\.\d+)"")),"""")"),208.73)</f>
        <v>208.73</v>
      </c>
      <c r="T14" s="5" t="s">
        <v>636</v>
      </c>
    </row>
    <row r="15" customFormat="false" ht="15.75" hidden="false" customHeight="false" outlineLevel="0" collapsed="false">
      <c r="A15" s="4" t="n">
        <f aca="false">IFERROR(__xludf.dummyfunction("""COMPUTED_VALUE"""),45427.6666666667)</f>
        <v>45427.6666666667</v>
      </c>
      <c r="B15" s="2" t="n">
        <f aca="false">IFERROR(__xludf.dummyfunction("""COMPUTED_VALUE"""),209.21)</f>
        <v>209.21</v>
      </c>
      <c r="C15" s="2" t="n">
        <f aca="false">IFERROR(__xludf.dummyfunction("""COMPUTED_VALUE"""),209.77)</f>
        <v>209.77</v>
      </c>
      <c r="D15" s="2" t="n">
        <f aca="false">IFERROR(__xludf.dummyfunction("""COMPUTED_VALUE"""),207.72)</f>
        <v>207.72</v>
      </c>
      <c r="E15" s="2" t="n">
        <f aca="false">IFERROR(__xludf.dummyfunction("""COMPUTED_VALUE"""),209.44)</f>
        <v>209.44</v>
      </c>
      <c r="F15" s="3" t="n">
        <f aca="false">IFERROR(__xludf.dummyfunction("if($T15&lt;&gt;"""",VALUE(REGEXEXTRACT(SUBSTITUTE ($T15,F$1&amp;"" CE"",""""), F$1&amp;""[\w &amp;]*, (\d+\.\d+)"")),"""")
"),220)</f>
        <v>220</v>
      </c>
      <c r="G15" s="3" t="n">
        <f aca="false">IFERROR(__xludf.dummyfunction("if($T15&lt;&gt;"""",VALUE(REGEXEXTRACT($T15, G$1&amp;""[\w &amp;]*, (\d+\.\d+)"")),"""")
"),209)</f>
        <v>209</v>
      </c>
      <c r="H15" s="3" t="n">
        <f aca="false">IFERROR(__xludf.dummyfunction("if($T15&lt;&gt;"""",VALUE(REGEXEXTRACT($T15, H$1&amp;""[\w &amp;]*, (\d+\.\d+)"")),"""")
"),211)</f>
        <v>211</v>
      </c>
      <c r="I15" s="3" t="n">
        <f aca="false">IFERROR(__xludf.dummyfunction("if($T15&lt;&gt;"""",VALUE(REGEXEXTRACT(SUBSTITUTE ($T15,I$1&amp;"" CE"",""""), I$1&amp;""[\w &amp;]*, (\d+\.\d+)"")),"""")
"),190)</f>
        <v>190</v>
      </c>
      <c r="J15" s="3" t="n">
        <f aca="false">IFERROR(__xludf.dummyfunction("if($T15&lt;&gt;"""",VALUE(REGEXEXTRACT($T15, J$1&amp;""[\w &amp;]*, (\d+\.\d+)"")),"""")
"),205)</f>
        <v>205</v>
      </c>
      <c r="K15" s="3" t="n">
        <f aca="false">IFERROR(__xludf.dummyfunction("if($T15&lt;&gt;"""",VALUE(REGEXEXTRACT($T15, K$1&amp;""[\w &amp;]*, (\d+\.\d+)"")),"""")
"),195)</f>
        <v>195</v>
      </c>
      <c r="L15" s="3" t="n">
        <f aca="false">IFERROR(__xludf.dummyfunction("if($T15&lt;&gt;"""",VALUE(REGEXEXTRACT(SUBSTITUTE ($T15,L$1&amp;"" CE"",""""), L$1&amp;""[\w &amp;]*, (\d+\.\d+)"")),"""")
"),204)</f>
        <v>204</v>
      </c>
      <c r="M15" s="3" t="n">
        <f aca="false">IFERROR(__xludf.dummyfunction("if($T15&lt;&gt;"""",VALUE(REGEXEXTRACT($T15, M$1&amp;""[\w &amp;]*, (\d+\.\d+)"")),"""")
"),205)</f>
        <v>205</v>
      </c>
      <c r="N15" s="3" t="n">
        <f aca="false">IFERROR(__xludf.dummyfunction("if($T15&lt;&gt;"""",VALUE(REGEXEXTRACT(SUBSTITUTE ($T15,N$1&amp;"" CE"",""""), N$1&amp;""[\w &amp;]*, (\d+\.\d+)"")),"""")
"),220)</f>
        <v>220</v>
      </c>
      <c r="O15" s="3" t="n">
        <f aca="false">IFERROR(__xludf.dummyfunction("if($T15&lt;&gt;"""",VALUE(REGEXEXTRACT($T15, O$1&amp;""[\w &amp;]*, (\d+\.\d+)"")),"""")
"),209)</f>
        <v>209</v>
      </c>
      <c r="P15" s="2" t="n">
        <f aca="false">IFERROR(__xludf.dummyfunction("if($T15&lt;&gt;"""",VALUE(REGEXEXTRACT($T15, P$1&amp;""[\w &amp;]*, (\d+\.\d+)"")),"""")
"),205.13)</f>
        <v>205.13</v>
      </c>
      <c r="Q15" s="2" t="n">
        <f aca="false">IFERROR(__xludf.dummyfunction("if($T15&lt;&gt;"""",VALUE(REGEXEXTRACT($T15, Q$1&amp;""[\w &amp;]*, (\d+\.\d+)"")),"""")
"),204.15)</f>
        <v>204.15</v>
      </c>
      <c r="R15" s="2" t="n">
        <f aca="false">IFERROR(__xludf.dummyfunction("if($T15&lt;&gt;"""",VALUE(REGEXEXTRACT($T15, SUBSTITUTE(R$1, ""+"", ""\+"")&amp;""[\w &amp;]*, (\d+\.\d+)"")),"""")"),209.9)</f>
        <v>209.9</v>
      </c>
      <c r="S15" s="2" t="n">
        <f aca="false">IFERROR(__xludf.dummyfunction("if($T15&lt;&gt;"""",VALUE(REGEXEXTRACT($T15, SUBSTITUTE(S$1, ""+"", ""\+"")&amp;""[\w &amp;]*, (\d+\.\d+)"")),"""")"),210.89)</f>
        <v>210.89</v>
      </c>
      <c r="T15" s="5" t="s">
        <v>637</v>
      </c>
    </row>
    <row r="16" customFormat="false" ht="15.75" hidden="false" customHeight="false" outlineLevel="0" collapsed="false">
      <c r="A16" s="4" t="n">
        <f aca="false">IFERROR(__xludf.dummyfunction("""COMPUTED_VALUE"""),45428.6666666667)</f>
        <v>45428.6666666667</v>
      </c>
      <c r="B16" s="2" t="n">
        <f aca="false">IFERROR(__xludf.dummyfunction("""COMPUTED_VALUE"""),208.9)</f>
        <v>208.9</v>
      </c>
      <c r="C16" s="2" t="n">
        <f aca="false">IFERROR(__xludf.dummyfunction("""COMPUTED_VALUE"""),209.35)</f>
        <v>209.35</v>
      </c>
      <c r="D16" s="2" t="n">
        <f aca="false">IFERROR(__xludf.dummyfunction("""COMPUTED_VALUE"""),207.93)</f>
        <v>207.93</v>
      </c>
      <c r="E16" s="2" t="n">
        <f aca="false">IFERROR(__xludf.dummyfunction("""COMPUTED_VALUE"""),207.93)</f>
        <v>207.93</v>
      </c>
      <c r="F16" s="3" t="n">
        <f aca="false">IFERROR(__xludf.dummyfunction("if($T16&lt;&gt;"""",VALUE(REGEXEXTRACT(SUBSTITUTE ($T16,F$1&amp;"" CE"",""""), F$1&amp;""[\w &amp;]*, (\d+\.\d+)"")),"""")
"),220)</f>
        <v>220</v>
      </c>
      <c r="G16" s="3" t="n">
        <f aca="false">IFERROR(__xludf.dummyfunction("if($T16&lt;&gt;"""",VALUE(REGEXEXTRACT($T16, G$1&amp;""[\w &amp;]*, (\d+\.\d+)"")),"""")
"),210)</f>
        <v>210</v>
      </c>
      <c r="H16" s="3" t="n">
        <f aca="false">IFERROR(__xludf.dummyfunction("if($T16&lt;&gt;"""",VALUE(REGEXEXTRACT($T16, H$1&amp;""[\w &amp;]*, (\d+\.\d+)"")),"""")
"),211)</f>
        <v>211</v>
      </c>
      <c r="I16" s="3" t="n">
        <f aca="false">IFERROR(__xludf.dummyfunction("if($T16&lt;&gt;"""",VALUE(REGEXEXTRACT(SUBSTITUTE ($T16,I$1&amp;"" CE"",""""), I$1&amp;""[\w &amp;]*, (\d+\.\d+)"")),"""")
"),190)</f>
        <v>190</v>
      </c>
      <c r="J16" s="3" t="n">
        <f aca="false">IFERROR(__xludf.dummyfunction("if($T16&lt;&gt;"""",VALUE(REGEXEXTRACT($T16, J$1&amp;""[\w &amp;]*, (\d+\.\d+)"")),"""")
"),206)</f>
        <v>206</v>
      </c>
      <c r="K16" s="3" t="n">
        <f aca="false">IFERROR(__xludf.dummyfunction("if($T16&lt;&gt;"""",VALUE(REGEXEXTRACT($T16, K$1&amp;""[\w &amp;]*, (\d+\.\d+)"")),"""")
"),195)</f>
        <v>195</v>
      </c>
      <c r="L16" s="3" t="n">
        <f aca="false">IFERROR(__xludf.dummyfunction("if($T16&lt;&gt;"""",VALUE(REGEXEXTRACT(SUBSTITUTE ($T16,L$1&amp;"" CE"",""""), L$1&amp;""[\w &amp;]*, (\d+\.\d+)"")),"""")
"),205)</f>
        <v>205</v>
      </c>
      <c r="M16" s="3" t="n">
        <f aca="false">IFERROR(__xludf.dummyfunction("if($T16&lt;&gt;"""",VALUE(REGEXEXTRACT($T16, M$1&amp;""[\w &amp;]*, (\d+\.\d+)"")),"""")
"),206)</f>
        <v>206</v>
      </c>
      <c r="N16" s="3" t="n">
        <f aca="false">IFERROR(__xludf.dummyfunction("if($T16&lt;&gt;"""",VALUE(REGEXEXTRACT(SUBSTITUTE ($T16,N$1&amp;"" CE"",""""), N$1&amp;""[\w &amp;]*, (\d+\.\d+)"")),"""")
"),220)</f>
        <v>220</v>
      </c>
      <c r="O16" s="3" t="n">
        <f aca="false">IFERROR(__xludf.dummyfunction("if($T16&lt;&gt;"""",VALUE(REGEXEXTRACT($T16, O$1&amp;""[\w &amp;]*, (\d+\.\d+)"")),"""")
"),209)</f>
        <v>209</v>
      </c>
      <c r="P16" s="2" t="n">
        <f aca="false">IFERROR(__xludf.dummyfunction("if($T16&lt;&gt;"""",VALUE(REGEXEXTRACT($T16, P$1&amp;""[\w &amp;]*, (\d+\.\d+)"")),"""")
"),207.35)</f>
        <v>207.35</v>
      </c>
      <c r="Q16" s="2" t="n">
        <f aca="false">IFERROR(__xludf.dummyfunction("if($T16&lt;&gt;"""",VALUE(REGEXEXTRACT($T16, Q$1&amp;""[\w &amp;]*, (\d+\.\d+)"")),"""")
"),206.67)</f>
        <v>206.67</v>
      </c>
      <c r="R16" s="2" t="n">
        <f aca="false">IFERROR(__xludf.dummyfunction("if($T16&lt;&gt;"""",VALUE(REGEXEXTRACT($T16, SUBSTITUTE(R$1, ""+"", ""\+"")&amp;""[\w &amp;]*, (\d+\.\d+)"")),"""")"),210.65)</f>
        <v>210.65</v>
      </c>
      <c r="S16" s="2" t="n">
        <f aca="false">IFERROR(__xludf.dummyfunction("if($T16&lt;&gt;"""",VALUE(REGEXEXTRACT($T16, SUBSTITUTE(S$1, ""+"", ""\+"")&amp;""[\w &amp;]*, (\d+\.\d+)"")),"""")"),211.33)</f>
        <v>211.33</v>
      </c>
      <c r="T16" s="5" t="s">
        <v>638</v>
      </c>
    </row>
    <row r="17" customFormat="false" ht="15.75" hidden="false" customHeight="false" outlineLevel="0" collapsed="false">
      <c r="A17" s="4" t="n">
        <f aca="false">IFERROR(__xludf.dummyfunction("""COMPUTED_VALUE"""),45429.6666666667)</f>
        <v>45429.6666666667</v>
      </c>
      <c r="B17" s="2" t="n">
        <f aca="false">IFERROR(__xludf.dummyfunction("""COMPUTED_VALUE"""),208.01)</f>
        <v>208.01</v>
      </c>
      <c r="C17" s="2" t="n">
        <f aca="false">IFERROR(__xludf.dummyfunction("""COMPUTED_VALUE"""),208.52)</f>
        <v>208.52</v>
      </c>
      <c r="D17" s="2" t="n">
        <f aca="false">IFERROR(__xludf.dummyfunction("""COMPUTED_VALUE"""),207.35)</f>
        <v>207.35</v>
      </c>
      <c r="E17" s="2" t="n">
        <f aca="false">IFERROR(__xludf.dummyfunction("""COMPUTED_VALUE"""),208.08)</f>
        <v>208.08</v>
      </c>
      <c r="F17" s="3" t="n">
        <f aca="false">IFERROR(__xludf.dummyfunction("if($T17&lt;&gt;"""",VALUE(REGEXEXTRACT(SUBSTITUTE ($T17,F$1&amp;"" CE"",""""), F$1&amp;""[\w &amp;]*, (\d+\.\d+)"")),"""")
"),220)</f>
        <v>220</v>
      </c>
      <c r="G17" s="3" t="n">
        <f aca="false">IFERROR(__xludf.dummyfunction("if($T17&lt;&gt;"""",VALUE(REGEXEXTRACT($T17, G$1&amp;""[\w &amp;]*, (\d+\.\d+)"")),"""")
"),210)</f>
        <v>210</v>
      </c>
      <c r="H17" s="3" t="n">
        <f aca="false">IFERROR(__xludf.dummyfunction("if($T17&lt;&gt;"""",VALUE(REGEXEXTRACT($T17, H$1&amp;""[\w &amp;]*, (\d+\.\d+)"")),"""")
"),211)</f>
        <v>211</v>
      </c>
      <c r="I17" s="3" t="n">
        <f aca="false">IFERROR(__xludf.dummyfunction("if($T17&lt;&gt;"""",VALUE(REGEXEXTRACT(SUBSTITUTE ($T17,I$1&amp;"" CE"",""""), I$1&amp;""[\w &amp;]*, (\d+\.\d+)"")),"""")
"),190)</f>
        <v>190</v>
      </c>
      <c r="J17" s="3" t="n">
        <f aca="false">IFERROR(__xludf.dummyfunction("if($T17&lt;&gt;"""",VALUE(REGEXEXTRACT($T17, J$1&amp;""[\w &amp;]*, (\d+\.\d+)"")),"""")
"),200)</f>
        <v>200</v>
      </c>
      <c r="K17" s="3" t="n">
        <f aca="false">IFERROR(__xludf.dummyfunction("if($T17&lt;&gt;"""",VALUE(REGEXEXTRACT($T17, K$1&amp;""[\w &amp;]*, (\d+\.\d+)"")),"""")
"),195)</f>
        <v>195</v>
      </c>
      <c r="L17" s="3" t="n">
        <f aca="false">IFERROR(__xludf.dummyfunction("if($T17&lt;&gt;"""",VALUE(REGEXEXTRACT(SUBSTITUTE ($T17,L$1&amp;"" CE"",""""), L$1&amp;""[\w &amp;]*, (\d+\.\d+)"")),"""")
"),205)</f>
        <v>205</v>
      </c>
      <c r="M17" s="3" t="n">
        <f aca="false">IFERROR(__xludf.dummyfunction("if($T17&lt;&gt;"""",VALUE(REGEXEXTRACT($T17, M$1&amp;""[\w &amp;]*, (\d+\.\d+)"")),"""")
"),204)</f>
        <v>204</v>
      </c>
      <c r="N17" s="3" t="n">
        <f aca="false">IFERROR(__xludf.dummyfunction("if($T17&lt;&gt;"""",VALUE(REGEXEXTRACT(SUBSTITUTE ($T17,N$1&amp;"" CE"",""""), N$1&amp;""[\w &amp;]*, (\d+\.\d+)"")),"""")
"),220)</f>
        <v>220</v>
      </c>
      <c r="O17" s="3" t="n">
        <f aca="false">IFERROR(__xludf.dummyfunction("if($T17&lt;&gt;"""",VALUE(REGEXEXTRACT($T17, O$1&amp;""[\w &amp;]*, (\d+\.\d+)"")),"""")
"),208)</f>
        <v>208</v>
      </c>
      <c r="P17" s="2" t="n">
        <f aca="false">IFERROR(__xludf.dummyfunction("if($T17&lt;&gt;"""",VALUE(REGEXEXTRACT($T17, P$1&amp;""[\w &amp;]*, (\d+\.\d+)"")),"""")
"),206.54)</f>
        <v>206.54</v>
      </c>
      <c r="Q17" s="2" t="n">
        <f aca="false">IFERROR(__xludf.dummyfunction("if($T17&lt;&gt;"""",VALUE(REGEXEXTRACT($T17, Q$1&amp;""[\w &amp;]*, (\d+\.\d+)"")),"""")
"),204.9)</f>
        <v>204.9</v>
      </c>
      <c r="R17" s="2" t="n">
        <f aca="false">IFERROR(__xludf.dummyfunction("if($T17&lt;&gt;"""",VALUE(REGEXEXTRACT($T17, SUBSTITUTE(R$1, ""+"", ""\+"")&amp;""[\w &amp;]*, (\d+\.\d+)"")),"""")"),209.84)</f>
        <v>209.84</v>
      </c>
      <c r="S17" s="2" t="n">
        <f aca="false">IFERROR(__xludf.dummyfunction("if($T17&lt;&gt;"""",VALUE(REGEXEXTRACT($T17, SUBSTITUTE(S$1, ""+"", ""\+"")&amp;""[\w &amp;]*, (\d+\.\d+)"")),"""")"),211.48)</f>
        <v>211.48</v>
      </c>
      <c r="T17" s="5" t="s">
        <v>639</v>
      </c>
    </row>
    <row r="18" customFormat="false" ht="15.75" hidden="false" customHeight="false" outlineLevel="0" collapsed="false">
      <c r="A18" s="4" t="n">
        <f aca="false">IFERROR(__xludf.dummyfunction("""COMPUTED_VALUE"""),45432.6666666667)</f>
        <v>45432.6666666667</v>
      </c>
      <c r="B18" s="2" t="n">
        <f aca="false">IFERROR(__xludf.dummyfunction("""COMPUTED_VALUE"""),208.02)</f>
        <v>208.02</v>
      </c>
      <c r="C18" s="2" t="n">
        <f aca="false">IFERROR(__xludf.dummyfunction("""COMPUTED_VALUE"""),209.48)</f>
        <v>209.48</v>
      </c>
      <c r="D18" s="2" t="n">
        <f aca="false">IFERROR(__xludf.dummyfunction("""COMPUTED_VALUE"""),207.78)</f>
        <v>207.78</v>
      </c>
      <c r="E18" s="2" t="n">
        <f aca="false">IFERROR(__xludf.dummyfunction("""COMPUTED_VALUE"""),208.54)</f>
        <v>208.54</v>
      </c>
      <c r="F18" s="3" t="n">
        <f aca="false">IFERROR(__xludf.dummyfunction("if($T18&lt;&gt;"""",VALUE(REGEXEXTRACT(SUBSTITUTE ($T18,F$1&amp;"" CE"",""""), F$1&amp;""[\w &amp;]*, (\d+\.\d+)"")),"""")
"),220)</f>
        <v>220</v>
      </c>
      <c r="G18" s="3" t="n">
        <f aca="false">IFERROR(__xludf.dummyfunction("if($T18&lt;&gt;"""",VALUE(REGEXEXTRACT($T18, G$1&amp;""[\w &amp;]*, (\d+\.\d+)"")),"""")
"),209)</f>
        <v>209</v>
      </c>
      <c r="H18" s="3" t="n">
        <f aca="false">IFERROR(__xludf.dummyfunction("if($T18&lt;&gt;"""",VALUE(REGEXEXTRACT($T18, H$1&amp;""[\w &amp;]*, (\d+\.\d+)"")),"""")
"),211)</f>
        <v>211</v>
      </c>
      <c r="I18" s="3" t="n">
        <f aca="false">IFERROR(__xludf.dummyfunction("if($T18&lt;&gt;"""",VALUE(REGEXEXTRACT(SUBSTITUTE ($T18,I$1&amp;"" CE"",""""), I$1&amp;""[\w &amp;]*, (\d+\.\d+)"")),"""")
"),190)</f>
        <v>190</v>
      </c>
      <c r="J18" s="3" t="n">
        <f aca="false">IFERROR(__xludf.dummyfunction("if($T18&lt;&gt;"""",VALUE(REGEXEXTRACT($T18, J$1&amp;""[\w &amp;]*, (\d+\.\d+)"")),"""")
"),207)</f>
        <v>207</v>
      </c>
      <c r="K18" s="3" t="n">
        <f aca="false">IFERROR(__xludf.dummyfunction("if($T18&lt;&gt;"""",VALUE(REGEXEXTRACT($T18, K$1&amp;""[\w &amp;]*, (\d+\.\d+)"")),"""")
"),204)</f>
        <v>204</v>
      </c>
      <c r="L18" s="3" t="n">
        <f aca="false">IFERROR(__xludf.dummyfunction("if($T18&lt;&gt;"""",VALUE(REGEXEXTRACT(SUBSTITUTE ($T18,L$1&amp;"" CE"",""""), L$1&amp;""[\w &amp;]*, (\d+\.\d+)"")),"""")
"),207)</f>
        <v>207</v>
      </c>
      <c r="M18" s="3" t="n">
        <f aca="false">IFERROR(__xludf.dummyfunction("if($T18&lt;&gt;"""",VALUE(REGEXEXTRACT($T18, M$1&amp;""[\w &amp;]*, (\d+\.\d+)"")),"""")
"),208)</f>
        <v>208</v>
      </c>
      <c r="N18" s="3" t="n">
        <f aca="false">IFERROR(__xludf.dummyfunction("if($T18&lt;&gt;"""",VALUE(REGEXEXTRACT(SUBSTITUTE ($T18,N$1&amp;"" CE"",""""), N$1&amp;""[\w &amp;]*, (\d+\.\d+)"")),"""")
"),220)</f>
        <v>220</v>
      </c>
      <c r="O18" s="3" t="n">
        <f aca="false">IFERROR(__xludf.dummyfunction("if($T18&lt;&gt;"""",VALUE(REGEXEXTRACT($T18, O$1&amp;""[\w &amp;]*, (\d+\.\d+)"")),"""")
"),208)</f>
        <v>208</v>
      </c>
      <c r="P18" s="2" t="n">
        <f aca="false">IFERROR(__xludf.dummyfunction("if($T18&lt;&gt;"""",VALUE(REGEXEXTRACT($T18, P$1&amp;""[\w &amp;]*, (\d+\.\d+)"")),"""")
"),207.15)</f>
        <v>207.15</v>
      </c>
      <c r="Q18" s="2" t="n">
        <f aca="false">IFERROR(__xludf.dummyfunction("if($T18&lt;&gt;"""",VALUE(REGEXEXTRACT($T18, Q$1&amp;""[\w &amp;]*, (\d+\.\d+)"")),"""")
"),206.56)</f>
        <v>206.56</v>
      </c>
      <c r="R18" s="2" t="n">
        <f aca="false">IFERROR(__xludf.dummyfunction("if($T18&lt;&gt;"""",VALUE(REGEXEXTRACT($T18, SUBSTITUTE(R$1, ""+"", ""\+"")&amp;""[\w &amp;]*, (\d+\.\d+)"")),"""")"),210.01)</f>
        <v>210.01</v>
      </c>
      <c r="S18" s="2" t="n">
        <f aca="false">IFERROR(__xludf.dummyfunction("if($T18&lt;&gt;"""",VALUE(REGEXEXTRACT($T18, SUBSTITUTE(S$1, ""+"", ""\+"")&amp;""[\w &amp;]*, (\d+\.\d+)"")),"""")"),210.6)</f>
        <v>210.6</v>
      </c>
      <c r="T18" s="5" t="s">
        <v>640</v>
      </c>
    </row>
    <row r="19" customFormat="false" ht="15.75" hidden="false" customHeight="false" outlineLevel="0" collapsed="false">
      <c r="A19" s="4" t="n">
        <f aca="false">IFERROR(__xludf.dummyfunction("""COMPUTED_VALUE"""),45433.6666666667)</f>
        <v>45433.6666666667</v>
      </c>
      <c r="B19" s="2" t="n">
        <f aca="false">IFERROR(__xludf.dummyfunction("""COMPUTED_VALUE"""),207.83)</f>
        <v>207.83</v>
      </c>
      <c r="C19" s="2" t="n">
        <f aca="false">IFERROR(__xludf.dummyfunction("""COMPUTED_VALUE"""),208.69)</f>
        <v>208.69</v>
      </c>
      <c r="D19" s="2" t="n">
        <f aca="false">IFERROR(__xludf.dummyfunction("""COMPUTED_VALUE"""),207.59)</f>
        <v>207.59</v>
      </c>
      <c r="E19" s="2" t="n">
        <f aca="false">IFERROR(__xludf.dummyfunction("""COMPUTED_VALUE"""),208.34)</f>
        <v>208.34</v>
      </c>
      <c r="F19" s="3" t="n">
        <f aca="false">IFERROR(__xludf.dummyfunction("if($T19&lt;&gt;"""",VALUE(REGEXEXTRACT(SUBSTITUTE ($T19,F$1&amp;"" CE"",""""), F$1&amp;""[\w &amp;]*, (\d+\.\d+)"")),"""")
"),220)</f>
        <v>220</v>
      </c>
      <c r="G19" s="3" t="n">
        <f aca="false">IFERROR(__xludf.dummyfunction("if($T19&lt;&gt;"""",VALUE(REGEXEXTRACT($T19, G$1&amp;""[\w &amp;]*, (\d+\.\d+)"")),"""")
"),209)</f>
        <v>209</v>
      </c>
      <c r="H19" s="3" t="n">
        <f aca="false">IFERROR(__xludf.dummyfunction("if($T19&lt;&gt;"""",VALUE(REGEXEXTRACT($T19, H$1&amp;""[\w &amp;]*, (\d+\.\d+)"")),"""")
"),211)</f>
        <v>211</v>
      </c>
      <c r="I19" s="3" t="n">
        <f aca="false">IFERROR(__xludf.dummyfunction("if($T19&lt;&gt;"""",VALUE(REGEXEXTRACT(SUBSTITUTE ($T19,I$1&amp;"" CE"",""""), I$1&amp;""[\w &amp;]*, (\d+\.\d+)"")),"""")
"),190)</f>
        <v>190</v>
      </c>
      <c r="J19" s="3" t="n">
        <f aca="false">IFERROR(__xludf.dummyfunction("if($T19&lt;&gt;"""",VALUE(REGEXEXTRACT($T19, J$1&amp;""[\w &amp;]*, (\d+\.\d+)"")),"""")
"),208)</f>
        <v>208</v>
      </c>
      <c r="K19" s="3" t="n">
        <f aca="false">IFERROR(__xludf.dummyfunction("if($T19&lt;&gt;"""",VALUE(REGEXEXTRACT($T19, K$1&amp;""[\w &amp;]*, (\d+\.\d+)"")),"""")
"),204)</f>
        <v>204</v>
      </c>
      <c r="L19" s="3" t="n">
        <f aca="false">IFERROR(__xludf.dummyfunction("if($T19&lt;&gt;"""",VALUE(REGEXEXTRACT(SUBSTITUTE ($T19,L$1&amp;"" CE"",""""), L$1&amp;""[\w &amp;]*, (\d+\.\d+)"")),"""")
"),208)</f>
        <v>208</v>
      </c>
      <c r="M19" s="3" t="n">
        <f aca="false">IFERROR(__xludf.dummyfunction("if($T19&lt;&gt;"""",VALUE(REGEXEXTRACT($T19, M$1&amp;""[\w &amp;]*, (\d+\.\d+)"")),"""")
"),208)</f>
        <v>208</v>
      </c>
      <c r="N19" s="3" t="n">
        <f aca="false">IFERROR(__xludf.dummyfunction("if($T19&lt;&gt;"""",VALUE(REGEXEXTRACT(SUBSTITUTE ($T19,N$1&amp;"" CE"",""""), N$1&amp;""[\w &amp;]*, (\d+\.\d+)"")),"""")
"),220)</f>
        <v>220</v>
      </c>
      <c r="O19" s="3" t="n">
        <f aca="false">IFERROR(__xludf.dummyfunction("if($T19&lt;&gt;"""",VALUE(REGEXEXTRACT($T19, O$1&amp;""[\w &amp;]*, (\d+\.\d+)"")),"""")
"),209)</f>
        <v>209</v>
      </c>
      <c r="P19" s="2" t="n">
        <f aca="false">IFERROR(__xludf.dummyfunction("if($T19&lt;&gt;"""",VALUE(REGEXEXTRACT($T19, P$1&amp;""[\w &amp;]*, (\d+\.\d+)"")),"""")
"),206.68)</f>
        <v>206.68</v>
      </c>
      <c r="Q19" s="2" t="n">
        <f aca="false">IFERROR(__xludf.dummyfunction("if($T19&lt;&gt;"""",VALUE(REGEXEXTRACT($T19, Q$1&amp;""[\w &amp;]*, (\d+\.\d+)"")),"""")
"),206.03)</f>
        <v>206.03</v>
      </c>
      <c r="R19" s="2" t="n">
        <f aca="false">IFERROR(__xludf.dummyfunction("if($T19&lt;&gt;"""",VALUE(REGEXEXTRACT($T19, SUBSTITUTE(R$1, ""+"", ""\+"")&amp;""[\w &amp;]*, (\d+\.\d+)"")),"""")"),209.78)</f>
        <v>209.78</v>
      </c>
      <c r="S19" s="2" t="n">
        <f aca="false">IFERROR(__xludf.dummyfunction("if($T19&lt;&gt;"""",VALUE(REGEXEXTRACT($T19, SUBSTITUTE(S$1, ""+"", ""\+"")&amp;""[\w &amp;]*, (\d+\.\d+)"")),"""")"),210.43)</f>
        <v>210.43</v>
      </c>
      <c r="T19" s="5" t="s">
        <v>641</v>
      </c>
    </row>
    <row r="20" customFormat="false" ht="15.75" hidden="false" customHeight="false" outlineLevel="0" collapsed="false">
      <c r="A20" s="4" t="n">
        <f aca="false">IFERROR(__xludf.dummyfunction("""COMPUTED_VALUE"""),45434.6666666667)</f>
        <v>45434.6666666667</v>
      </c>
      <c r="B20" s="2" t="n">
        <f aca="false">IFERROR(__xludf.dummyfunction("""COMPUTED_VALUE"""),207.53)</f>
        <v>207.53</v>
      </c>
      <c r="C20" s="2" t="n">
        <f aca="false">IFERROR(__xludf.dummyfunction("""COMPUTED_VALUE"""),208.22)</f>
        <v>208.22</v>
      </c>
      <c r="D20" s="2" t="n">
        <f aca="false">IFERROR(__xludf.dummyfunction("""COMPUTED_VALUE"""),205.8)</f>
        <v>205.8</v>
      </c>
      <c r="E20" s="2" t="n">
        <f aca="false">IFERROR(__xludf.dummyfunction("""COMPUTED_VALUE"""),206.58)</f>
        <v>206.58</v>
      </c>
      <c r="F20" s="3" t="n">
        <f aca="false">IFERROR(__xludf.dummyfunction("if($T20&lt;&gt;"""",VALUE(REGEXEXTRACT(SUBSTITUTE ($T20,F$1&amp;"" CE"",""""), F$1&amp;""[\w &amp;]*, (\d+\.\d+)"")),"""")
"),220)</f>
        <v>220</v>
      </c>
      <c r="G20" s="3" t="n">
        <f aca="false">IFERROR(__xludf.dummyfunction("if($T20&lt;&gt;"""",VALUE(REGEXEXTRACT($T20, G$1&amp;""[\w &amp;]*, (\d+\.\d+)"")),"""")
"),209)</f>
        <v>209</v>
      </c>
      <c r="H20" s="3" t="n">
        <f aca="false">IFERROR(__xludf.dummyfunction("if($T20&lt;&gt;"""",VALUE(REGEXEXTRACT($T20, H$1&amp;""[\w &amp;]*, (\d+\.\d+)"")),"""")
"),211)</f>
        <v>211</v>
      </c>
      <c r="I20" s="3" t="n">
        <f aca="false">IFERROR(__xludf.dummyfunction("if($T20&lt;&gt;"""",VALUE(REGEXEXTRACT(SUBSTITUTE ($T20,I$1&amp;"" CE"",""""), I$1&amp;""[\w &amp;]*, (\d+\.\d+)"")),"""")
"),190)</f>
        <v>190</v>
      </c>
      <c r="J20" s="3" t="n">
        <f aca="false">IFERROR(__xludf.dummyfunction("if($T20&lt;&gt;"""",VALUE(REGEXEXTRACT($T20, J$1&amp;""[\w &amp;]*, (\d+\.\d+)"")),"""")
"),208)</f>
        <v>208</v>
      </c>
      <c r="K20" s="3" t="n">
        <f aca="false">IFERROR(__xludf.dummyfunction("if($T20&lt;&gt;"""",VALUE(REGEXEXTRACT($T20, K$1&amp;""[\w &amp;]*, (\d+\.\d+)"")),"""")
"),204)</f>
        <v>204</v>
      </c>
      <c r="L20" s="3" t="n">
        <f aca="false">IFERROR(__xludf.dummyfunction("if($T20&lt;&gt;"""",VALUE(REGEXEXTRACT(SUBSTITUTE ($T20,L$1&amp;"" CE"",""""), L$1&amp;""[\w &amp;]*, (\d+\.\d+)"")),"""")
"),208)</f>
        <v>208</v>
      </c>
      <c r="M20" s="3" t="n">
        <f aca="false">IFERROR(__xludf.dummyfunction("if($T20&lt;&gt;"""",VALUE(REGEXEXTRACT($T20, M$1&amp;""[\w &amp;]*, (\d+\.\d+)"")),"""")
"),208)</f>
        <v>208</v>
      </c>
      <c r="N20" s="3" t="n">
        <f aca="false">IFERROR(__xludf.dummyfunction("if($T20&lt;&gt;"""",VALUE(REGEXEXTRACT(SUBSTITUTE ($T20,N$1&amp;"" CE"",""""), N$1&amp;""[\w &amp;]*, (\d+\.\d+)"")),"""")
"),220)</f>
        <v>220</v>
      </c>
      <c r="O20" s="3" t="n">
        <f aca="false">IFERROR(__xludf.dummyfunction("if($T20&lt;&gt;"""",VALUE(REGEXEXTRACT($T20, O$1&amp;""[\w &amp;]*, (\d+\.\d+)"")),"""")
"),208)</f>
        <v>208</v>
      </c>
      <c r="P20" s="2" t="n">
        <f aca="false">IFERROR(__xludf.dummyfunction("if($T20&lt;&gt;"""",VALUE(REGEXEXTRACT($T20, P$1&amp;""[\w &amp;]*, (\d+\.\d+)"")),"""")
"),206.54)</f>
        <v>206.54</v>
      </c>
      <c r="Q20" s="2" t="n">
        <f aca="false">IFERROR(__xludf.dummyfunction("if($T20&lt;&gt;"""",VALUE(REGEXEXTRACT($T20, Q$1&amp;""[\w &amp;]*, (\d+\.\d+)"")),"""")
"),205.93)</f>
        <v>205.93</v>
      </c>
      <c r="R20" s="2" t="n">
        <f aca="false">IFERROR(__xludf.dummyfunction("if($T20&lt;&gt;"""",VALUE(REGEXEXTRACT($T20, SUBSTITUTE(R$1, ""+"", ""\+"")&amp;""[\w &amp;]*, (\d+\.\d+)"")),"""")"),209.52)</f>
        <v>209.52</v>
      </c>
      <c r="S20" s="2" t="n">
        <f aca="false">IFERROR(__xludf.dummyfunction("if($T20&lt;&gt;"""",VALUE(REGEXEXTRACT($T20, SUBSTITUTE(S$1, ""+"", ""\+"")&amp;""[\w &amp;]*, (\d+\.\d+)"")),"""")"),210.13)</f>
        <v>210.13</v>
      </c>
      <c r="T20" s="5" t="s">
        <v>642</v>
      </c>
    </row>
    <row r="21" customFormat="false" ht="15.75" hidden="false" customHeight="false" outlineLevel="0" collapsed="false">
      <c r="A21" s="4" t="n">
        <f aca="false">IFERROR(__xludf.dummyfunction("""COMPUTED_VALUE"""),45435.6666666667)</f>
        <v>45435.6666666667</v>
      </c>
      <c r="B21" s="2" t="n">
        <f aca="false">IFERROR(__xludf.dummyfunction("""COMPUTED_VALUE"""),207.51)</f>
        <v>207.51</v>
      </c>
      <c r="C21" s="2" t="n">
        <f aca="false">IFERROR(__xludf.dummyfunction("""COMPUTED_VALUE"""),207.62)</f>
        <v>207.62</v>
      </c>
      <c r="D21" s="2" t="n">
        <f aca="false">IFERROR(__xludf.dummyfunction("""COMPUTED_VALUE"""),202.35)</f>
        <v>202.35</v>
      </c>
      <c r="E21" s="2" t="n">
        <f aca="false">IFERROR(__xludf.dummyfunction("""COMPUTED_VALUE"""),203.19)</f>
        <v>203.19</v>
      </c>
      <c r="F21" s="3" t="n">
        <f aca="false">IFERROR(__xludf.dummyfunction("if($T21&lt;&gt;"""",VALUE(REGEXEXTRACT(SUBSTITUTE ($T21,F$1&amp;"" CE"",""""), F$1&amp;""[\w &amp;]*, (\d+\.\d+)"")),"""")
"),220)</f>
        <v>220</v>
      </c>
      <c r="G21" s="3" t="n">
        <f aca="false">IFERROR(__xludf.dummyfunction("if($T21&lt;&gt;"""",VALUE(REGEXEXTRACT($T21, G$1&amp;""[\w &amp;]*, (\d+\.\d+)"")),"""")
"),210)</f>
        <v>210</v>
      </c>
      <c r="H21" s="3" t="n">
        <f aca="false">IFERROR(__xludf.dummyfunction("if($T21&lt;&gt;"""",VALUE(REGEXEXTRACT($T21, H$1&amp;""[\w &amp;]*, (\d+\.\d+)"")),"""")
"),211)</f>
        <v>211</v>
      </c>
      <c r="I21" s="3" t="n">
        <f aca="false">IFERROR(__xludf.dummyfunction("if($T21&lt;&gt;"""",VALUE(REGEXEXTRACT(SUBSTITUTE ($T21,I$1&amp;"" CE"",""""), I$1&amp;""[\w &amp;]*, (\d+\.\d+)"")),"""")
"),190)</f>
        <v>190</v>
      </c>
      <c r="J21" s="3" t="n">
        <f aca="false">IFERROR(__xludf.dummyfunction("if($T21&lt;&gt;"""",VALUE(REGEXEXTRACT($T21, J$1&amp;""[\w &amp;]*, (\d+\.\d+)"")),"""")
"),205)</f>
        <v>205</v>
      </c>
      <c r="K21" s="3" t="n">
        <f aca="false">IFERROR(__xludf.dummyfunction("if($T21&lt;&gt;"""",VALUE(REGEXEXTRACT($T21, K$1&amp;""[\w &amp;]*, (\d+\.\d+)"")),"""")
"),204)</f>
        <v>204</v>
      </c>
      <c r="L21" s="3" t="n">
        <f aca="false">IFERROR(__xludf.dummyfunction("if($T21&lt;&gt;"""",VALUE(REGEXEXTRACT(SUBSTITUTE ($T21,L$1&amp;"" CE"",""""), L$1&amp;""[\w &amp;]*, (\d+\.\d+)"")),"""")
"),207.5)</f>
        <v>207.5</v>
      </c>
      <c r="M21" s="3" t="n">
        <f aca="false">IFERROR(__xludf.dummyfunction("if($T21&lt;&gt;"""",VALUE(REGEXEXTRACT($T21, M$1&amp;""[\w &amp;]*, (\d+\.\d+)"")),"""")
"),207)</f>
        <v>207</v>
      </c>
      <c r="N21" s="3" t="n">
        <f aca="false">IFERROR(__xludf.dummyfunction("if($T21&lt;&gt;"""",VALUE(REGEXEXTRACT(SUBSTITUTE ($T21,N$1&amp;"" CE"",""""), N$1&amp;""[\w &amp;]*, (\d+\.\d+)"")),"""")
"),205)</f>
        <v>205</v>
      </c>
      <c r="O21" s="3" t="n">
        <f aca="false">IFERROR(__xludf.dummyfunction("if($T21&lt;&gt;"""",VALUE(REGEXEXTRACT($T21, O$1&amp;""[\w &amp;]*, (\d+\.\d+)"")),"""")
"),205)</f>
        <v>205</v>
      </c>
      <c r="P21" s="2" t="n">
        <f aca="false">IFERROR(__xludf.dummyfunction("if($T21&lt;&gt;"""",VALUE(REGEXEXTRACT($T21, P$1&amp;""[\w &amp;]*, (\d+\.\d+)"")),"""")
"),205.86)</f>
        <v>205.86</v>
      </c>
      <c r="Q21" s="2" t="n">
        <f aca="false">IFERROR(__xludf.dummyfunction("if($T21&lt;&gt;"""",VALUE(REGEXEXTRACT($T21, Q$1&amp;""[\w &amp;]*, (\d+\.\d+)"")),"""")
"),205.27)</f>
        <v>205.27</v>
      </c>
      <c r="R21" s="2" t="n">
        <f aca="false">IFERROR(__xludf.dummyfunction("if($T21&lt;&gt;"""",VALUE(REGEXEXTRACT($T21, SUBSTITUTE(R$1, ""+"", ""\+"")&amp;""[\w &amp;]*, (\d+\.\d+)"")),"""")"),208.82)</f>
        <v>208.82</v>
      </c>
      <c r="S21" s="2" t="n">
        <f aca="false">IFERROR(__xludf.dummyfunction("if($T21&lt;&gt;"""",VALUE(REGEXEXTRACT($T21, SUBSTITUTE(S$1, ""+"", ""\+"")&amp;""[\w &amp;]*, (\d+\.\d+)"")),"""")"),209.41)</f>
        <v>209.41</v>
      </c>
      <c r="T21" s="5" t="s">
        <v>643</v>
      </c>
    </row>
    <row r="22" customFormat="false" ht="15.75" hidden="false" customHeight="false" outlineLevel="0" collapsed="false">
      <c r="A22" s="4" t="n">
        <f aca="false">IFERROR(__xludf.dummyfunction("""COMPUTED_VALUE"""),45436.6666666667)</f>
        <v>45436.6666666667</v>
      </c>
      <c r="B22" s="2" t="n">
        <f aca="false">IFERROR(__xludf.dummyfunction("""COMPUTED_VALUE"""),204.79)</f>
        <v>204.79</v>
      </c>
      <c r="C22" s="2" t="n">
        <f aca="false">IFERROR(__xludf.dummyfunction("""COMPUTED_VALUE"""),205.68)</f>
        <v>205.68</v>
      </c>
      <c r="D22" s="2" t="n">
        <f aca="false">IFERROR(__xludf.dummyfunction("""COMPUTED_VALUE"""),203.96)</f>
        <v>203.96</v>
      </c>
      <c r="E22" s="2" t="n">
        <f aca="false">IFERROR(__xludf.dummyfunction("""COMPUTED_VALUE"""),205.44)</f>
        <v>205.44</v>
      </c>
      <c r="F22" s="3" t="n">
        <f aca="false">IFERROR(__xludf.dummyfunction("if($T22&lt;&gt;"""",VALUE(REGEXEXTRACT(SUBSTITUTE ($T22,F$1&amp;"" CE"",""""), F$1&amp;""[\w &amp;]*, (\d+\.\d+)"")),"""")
"),220)</f>
        <v>220</v>
      </c>
      <c r="G22" s="3" t="n">
        <f aca="false">IFERROR(__xludf.dummyfunction("if($T22&lt;&gt;"""",VALUE(REGEXEXTRACT($T22, G$1&amp;""[\w &amp;]*, (\d+\.\d+)"")),"""")
"),206)</f>
        <v>206</v>
      </c>
      <c r="H22" s="3" t="n">
        <f aca="false">IFERROR(__xludf.dummyfunction("if($T22&lt;&gt;"""",VALUE(REGEXEXTRACT($T22, H$1&amp;""[\w &amp;]*, (\d+\.\d+)"")),"""")
"),211)</f>
        <v>211</v>
      </c>
      <c r="I22" s="3" t="n">
        <f aca="false">IFERROR(__xludf.dummyfunction("if($T22&lt;&gt;"""",VALUE(REGEXEXTRACT(SUBSTITUTE ($T22,I$1&amp;"" CE"",""""), I$1&amp;""[\w &amp;]*, (\d+\.\d+)"")),"""")
"),190)</f>
        <v>190</v>
      </c>
      <c r="J22" s="3" t="n">
        <f aca="false">IFERROR(__xludf.dummyfunction("if($T22&lt;&gt;"""",VALUE(REGEXEXTRACT($T22, J$1&amp;""[\w &amp;]*, (\d+\.\d+)"")),"""")
"),200)</f>
        <v>200</v>
      </c>
      <c r="K22" s="3" t="n">
        <f aca="false">IFERROR(__xludf.dummyfunction("if($T22&lt;&gt;"""",VALUE(REGEXEXTRACT($T22, K$1&amp;""[\w &amp;]*, (\d+\.\d+)"")),"""")
"),204)</f>
        <v>204</v>
      </c>
      <c r="L22" s="3" t="n">
        <f aca="false">IFERROR(__xludf.dummyfunction("if($T22&lt;&gt;"""",VALUE(REGEXEXTRACT(SUBSTITUTE ($T22,L$1&amp;"" CE"",""""), L$1&amp;""[\w &amp;]*, (\d+\.\d+)"")),"""")
"),205)</f>
        <v>205</v>
      </c>
      <c r="M22" s="3" t="n">
        <f aca="false">IFERROR(__xludf.dummyfunction("if($T22&lt;&gt;"""",VALUE(REGEXEXTRACT($T22, M$1&amp;""[\w &amp;]*, (\d+\.\d+)"")),"""")
"),205)</f>
        <v>205</v>
      </c>
      <c r="N22" s="3" t="n">
        <f aca="false">IFERROR(__xludf.dummyfunction("if($T22&lt;&gt;"""",VALUE(REGEXEXTRACT(SUBSTITUTE ($T22,N$1&amp;"" CE"",""""), N$1&amp;""[\w &amp;]*, (\d+\.\d+)"")),"""")
"),190)</f>
        <v>190</v>
      </c>
      <c r="O22" s="3" t="n">
        <f aca="false">IFERROR(__xludf.dummyfunction("if($T22&lt;&gt;"""",VALUE(REGEXEXTRACT($T22, O$1&amp;""[\w &amp;]*, (\d+\.\d+)"")),"""")
"),204)</f>
        <v>204</v>
      </c>
      <c r="P22" s="2" t="n">
        <f aca="false">IFERROR(__xludf.dummyfunction("if($T22&lt;&gt;"""",VALUE(REGEXEXTRACT($T22, P$1&amp;""[\w &amp;]*, (\d+\.\d+)"")),"""")
"),202.54)</f>
        <v>202.54</v>
      </c>
      <c r="Q22" s="2" t="n">
        <f aca="false">IFERROR(__xludf.dummyfunction("if($T22&lt;&gt;"""",VALUE(REGEXEXTRACT($T22, Q$1&amp;""[\w &amp;]*, (\d+\.\d+)"")),"""")
"),200.49)</f>
        <v>200.49</v>
      </c>
      <c r="R22" s="2" t="n">
        <f aca="false">IFERROR(__xludf.dummyfunction("if($T22&lt;&gt;"""",VALUE(REGEXEXTRACT($T22, SUBSTITUTE(R$1, ""+"", ""\+"")&amp;""[\w &amp;]*, (\d+\.\d+)"")),"""")"),205.85)</f>
        <v>205.85</v>
      </c>
      <c r="S22" s="2" t="n">
        <f aca="false">IFERROR(__xludf.dummyfunction("if($T22&lt;&gt;"""",VALUE(REGEXEXTRACT($T22, SUBSTITUTE(S$1, ""+"", ""\+"")&amp;""[\w &amp;]*, (\d+\.\d+)"")),"""")"),207.89)</f>
        <v>207.89</v>
      </c>
      <c r="T22" s="5" t="s">
        <v>644</v>
      </c>
    </row>
    <row r="23" customFormat="false" ht="15.75" hidden="false" customHeight="false" outlineLevel="0" collapsed="false">
      <c r="A23" s="4" t="n">
        <f aca="false">IFERROR(__xludf.dummyfunction("""COMPUTED_VALUE"""),45440.6666666667)</f>
        <v>45440.6666666667</v>
      </c>
      <c r="B23" s="2" t="n">
        <f aca="false">IFERROR(__xludf.dummyfunction("""COMPUTED_VALUE"""),206.97)</f>
        <v>206.97</v>
      </c>
      <c r="C23" s="2" t="n">
        <f aca="false">IFERROR(__xludf.dummyfunction("""COMPUTED_VALUE"""),207.09)</f>
        <v>207.09</v>
      </c>
      <c r="D23" s="2" t="n">
        <f aca="false">IFERROR(__xludf.dummyfunction("""COMPUTED_VALUE"""),203.97)</f>
        <v>203.97</v>
      </c>
      <c r="E23" s="2" t="n">
        <f aca="false">IFERROR(__xludf.dummyfunction("""COMPUTED_VALUE"""),205.16)</f>
        <v>205.16</v>
      </c>
      <c r="F23" s="3" t="n">
        <f aca="false">IFERROR(__xludf.dummyfunction("if($T23&lt;&gt;"""",VALUE(REGEXEXTRACT(SUBSTITUTE ($T23,F$1&amp;"" CE"",""""), F$1&amp;""[\w &amp;]*, (\d+\.\d+)"")),"""")
"),220)</f>
        <v>220</v>
      </c>
      <c r="G23" s="3" t="n">
        <f aca="false">IFERROR(__xludf.dummyfunction("if($T23&lt;&gt;"""",VALUE(REGEXEXTRACT($T23, G$1&amp;""[\w &amp;]*, (\d+\.\d+)"")),"""")
"),207)</f>
        <v>207</v>
      </c>
      <c r="H23" s="3" t="n">
        <f aca="false">IFERROR(__xludf.dummyfunction("if($T23&lt;&gt;"""",VALUE(REGEXEXTRACT($T23, H$1&amp;""[\w &amp;]*, (\d+\.\d+)"")),"""")
"),211)</f>
        <v>211</v>
      </c>
      <c r="I23" s="3" t="n">
        <f aca="false">IFERROR(__xludf.dummyfunction("if($T23&lt;&gt;"""",VALUE(REGEXEXTRACT(SUBSTITUTE ($T23,I$1&amp;"" CE"",""""), I$1&amp;""[\w &amp;]*, (\d+\.\d+)"")),"""")
"),190)</f>
        <v>190</v>
      </c>
      <c r="J23" s="3" t="n">
        <f aca="false">IFERROR(__xludf.dummyfunction("if($T23&lt;&gt;"""",VALUE(REGEXEXTRACT($T23, J$1&amp;""[\w &amp;]*, (\d+\.\d+)"")),"""")
"),204)</f>
        <v>204</v>
      </c>
      <c r="K23" s="3" t="n">
        <f aca="false">IFERROR(__xludf.dummyfunction("if($T23&lt;&gt;"""",VALUE(REGEXEXTRACT($T23, K$1&amp;""[\w &amp;]*, (\d+\.\d+)"")),"""")
"),204)</f>
        <v>204</v>
      </c>
      <c r="L23" s="3" t="n">
        <f aca="false">IFERROR(__xludf.dummyfunction("if($T23&lt;&gt;"""",VALUE(REGEXEXTRACT(SUBSTITUTE ($T23,L$1&amp;"" CE"",""""), L$1&amp;""[\w &amp;]*, (\d+\.\d+)"")),"""")
"),205)</f>
        <v>205</v>
      </c>
      <c r="M23" s="3" t="n">
        <f aca="false">IFERROR(__xludf.dummyfunction("if($T23&lt;&gt;"""",VALUE(REGEXEXTRACT($T23, M$1&amp;""[\w &amp;]*, (\d+\.\d+)"")),"""")
"),205)</f>
        <v>205</v>
      </c>
      <c r="N23" s="3" t="n">
        <f aca="false">IFERROR(__xludf.dummyfunction("if($T23&lt;&gt;"""",VALUE(REGEXEXTRACT(SUBSTITUTE ($T23,N$1&amp;"" CE"",""""), N$1&amp;""[\w &amp;]*, (\d+\.\d+)"")),"""")
"),205)</f>
        <v>205</v>
      </c>
      <c r="O23" s="3" t="n">
        <f aca="false">IFERROR(__xludf.dummyfunction("if($T23&lt;&gt;"""",VALUE(REGEXEXTRACT($T23, O$1&amp;""[\w &amp;]*, (\d+\.\d+)"")),"""")
"),205)</f>
        <v>205</v>
      </c>
      <c r="P23" s="2" t="n">
        <f aca="false">IFERROR(__xludf.dummyfunction("if($T23&lt;&gt;"""",VALUE(REGEXEXTRACT($T23, P$1&amp;""[\w &amp;]*, (\d+\.\d+)"")),"""")
"),204.98)</f>
        <v>204.98</v>
      </c>
      <c r="Q23" s="2" t="n">
        <f aca="false">IFERROR(__xludf.dummyfunction("if($T23&lt;&gt;"""",VALUE(REGEXEXTRACT($T23, Q$1&amp;""[\w &amp;]*, (\d+\.\d+)"")),"""")
"),204.45)</f>
        <v>204.45</v>
      </c>
      <c r="R23" s="2" t="n">
        <f aca="false">IFERROR(__xludf.dummyfunction("if($T23&lt;&gt;"""",VALUE(REGEXEXTRACT($T23, SUBSTITUTE(R$1, ""+"", ""\+"")&amp;""[\w &amp;]*, (\d+\.\d+)"")),"""")"),207.52)</f>
        <v>207.52</v>
      </c>
      <c r="S23" s="2" t="n">
        <f aca="false">IFERROR(__xludf.dummyfunction("if($T23&lt;&gt;"""",VALUE(REGEXEXTRACT($T23, SUBSTITUTE(S$1, ""+"", ""\+"")&amp;""[\w &amp;]*, (\d+\.\d+)"")),"""")"),208.05)</f>
        <v>208.05</v>
      </c>
      <c r="T23" s="5" t="s">
        <v>645</v>
      </c>
    </row>
    <row r="24" customFormat="false" ht="15.75" hidden="false" customHeight="false" outlineLevel="0" collapsed="false">
      <c r="A24" s="4" t="n">
        <f aca="false">IFERROR(__xludf.dummyfunction("""COMPUTED_VALUE"""),45441.6666666667)</f>
        <v>45441.6666666667</v>
      </c>
      <c r="B24" s="2" t="n">
        <f aca="false">IFERROR(__xludf.dummyfunction("""COMPUTED_VALUE"""),202.53)</f>
        <v>202.53</v>
      </c>
      <c r="C24" s="2" t="n">
        <f aca="false">IFERROR(__xludf.dummyfunction("""COMPUTED_VALUE"""),203.01)</f>
        <v>203.01</v>
      </c>
      <c r="D24" s="2" t="n">
        <f aca="false">IFERROR(__xludf.dummyfunction("""COMPUTED_VALUE"""),201.78)</f>
        <v>201.78</v>
      </c>
      <c r="E24" s="2" t="n">
        <f aca="false">IFERROR(__xludf.dummyfunction("""COMPUTED_VALUE"""),202.13)</f>
        <v>202.13</v>
      </c>
      <c r="F24" s="3" t="n">
        <f aca="false">IFERROR(__xludf.dummyfunction("if($T24&lt;&gt;"""",VALUE(REGEXEXTRACT(SUBSTITUTE ($T24,F$1&amp;"" CE"",""""), F$1&amp;""[\w &amp;]*, (\d+\.\d+)"")),"""")
"),220)</f>
        <v>220</v>
      </c>
      <c r="G24" s="3" t="n">
        <f aca="false">IFERROR(__xludf.dummyfunction("if($T24&lt;&gt;"""",VALUE(REGEXEXTRACT($T24, G$1&amp;""[\w &amp;]*, (\d+\.\d+)"")),"""")
"),215)</f>
        <v>215</v>
      </c>
      <c r="H24" s="3" t="n">
        <f aca="false">IFERROR(__xludf.dummyfunction("if($T24&lt;&gt;"""",VALUE(REGEXEXTRACT($T24, H$1&amp;""[\w &amp;]*, (\d+\.\d+)"")),"""")
"),211)</f>
        <v>211</v>
      </c>
      <c r="I24" s="3" t="n">
        <f aca="false">IFERROR(__xludf.dummyfunction("if($T24&lt;&gt;"""",VALUE(REGEXEXTRACT(SUBSTITUTE ($T24,I$1&amp;"" CE"",""""), I$1&amp;""[\w &amp;]*, (\d+\.\d+)"")),"""")
"),190)</f>
        <v>190</v>
      </c>
      <c r="J24" s="3" t="n">
        <f aca="false">IFERROR(__xludf.dummyfunction("if($T24&lt;&gt;"""",VALUE(REGEXEXTRACT($T24, J$1&amp;""[\w &amp;]*, (\d+\.\d+)"")),"""")
"),194)</f>
        <v>194</v>
      </c>
      <c r="K24" s="3" t="n">
        <f aca="false">IFERROR(__xludf.dummyfunction("if($T24&lt;&gt;"""",VALUE(REGEXEXTRACT($T24, K$1&amp;""[\w &amp;]*, (\d+\.\d+)"")),"""")
"),204)</f>
        <v>204</v>
      </c>
      <c r="L24" s="3" t="n">
        <f aca="false">IFERROR(__xludf.dummyfunction("if($T24&lt;&gt;"""",VALUE(REGEXEXTRACT(SUBSTITUTE ($T24,L$1&amp;"" CE"",""""), L$1&amp;""[\w &amp;]*, (\d+\.\d+)"")),"""")
"),207)</f>
        <v>207</v>
      </c>
      <c r="M24" s="3" t="n">
        <f aca="false">IFERROR(__xludf.dummyfunction("if($T24&lt;&gt;"""",VALUE(REGEXEXTRACT($T24, M$1&amp;""[\w &amp;]*, (\d+\.\d+)"")),"""")
"),205)</f>
        <v>205</v>
      </c>
      <c r="N24" s="3" t="n">
        <f aca="false">IFERROR(__xludf.dummyfunction("if($T24&lt;&gt;"""",VALUE(REGEXEXTRACT(SUBSTITUTE ($T24,N$1&amp;"" CE"",""""), N$1&amp;""[\w &amp;]*, (\d+\.\d+)"")),"""")
"),205)</f>
        <v>205</v>
      </c>
      <c r="O24" s="3" t="n">
        <f aca="false">IFERROR(__xludf.dummyfunction("if($T24&lt;&gt;"""",VALUE(REGEXEXTRACT($T24, O$1&amp;""[\w &amp;]*, (\d+\.\d+)"")),"""")
"),200)</f>
        <v>200</v>
      </c>
      <c r="P24" s="2" t="n">
        <f aca="false">IFERROR(__xludf.dummyfunction("if($T24&lt;&gt;"""",VALUE(REGEXEXTRACT($T24, P$1&amp;""[\w &amp;]*, (\d+\.\d+)"")),"""")
"),200.89)</f>
        <v>200.89</v>
      </c>
      <c r="Q24" s="2" t="n">
        <f aca="false">IFERROR(__xludf.dummyfunction("if($T24&lt;&gt;"""",VALUE(REGEXEXTRACT($T24, Q$1&amp;""[\w &amp;]*, (\d+\.\d+)"")),"""")
"),200.2)</f>
        <v>200.2</v>
      </c>
      <c r="R24" s="2" t="n">
        <f aca="false">IFERROR(__xludf.dummyfunction("if($T24&lt;&gt;"""",VALUE(REGEXEXTRACT($T24, SUBSTITUTE(R$1, ""+"", ""\+"")&amp;""[\w &amp;]*, (\d+\.\d+)"")),"""")"),204.23)</f>
        <v>204.23</v>
      </c>
      <c r="S24" s="2" t="n">
        <f aca="false">IFERROR(__xludf.dummyfunction("if($T24&lt;&gt;"""",VALUE(REGEXEXTRACT($T24, SUBSTITUTE(S$1, ""+"", ""\+"")&amp;""[\w &amp;]*, (\d+\.\d+)"")),"""")"),204.92)</f>
        <v>204.92</v>
      </c>
      <c r="T24" s="5" t="s">
        <v>646</v>
      </c>
    </row>
    <row r="25" customFormat="false" ht="15.75" hidden="false" customHeight="false" outlineLevel="0" collapsed="false">
      <c r="A25" s="4" t="n">
        <f aca="false">IFERROR(__xludf.dummyfunction("""COMPUTED_VALUE"""),45442.6666666667)</f>
        <v>45442.6666666667</v>
      </c>
      <c r="B25" s="2" t="n">
        <f aca="false">IFERROR(__xludf.dummyfunction("""COMPUTED_VALUE"""),203.52)</f>
        <v>203.52</v>
      </c>
      <c r="C25" s="2" t="n">
        <f aca="false">IFERROR(__xludf.dummyfunction("""COMPUTED_VALUE"""),204.94)</f>
        <v>204.94</v>
      </c>
      <c r="D25" s="2" t="n">
        <f aca="false">IFERROR(__xludf.dummyfunction("""COMPUTED_VALUE"""),203.08)</f>
        <v>203.08</v>
      </c>
      <c r="E25" s="2" t="n">
        <f aca="false">IFERROR(__xludf.dummyfunction("""COMPUTED_VALUE"""),204.05)</f>
        <v>204.05</v>
      </c>
      <c r="F25" s="3" t="n">
        <f aca="false">IFERROR(__xludf.dummyfunction("if($T25&lt;&gt;"""",VALUE(REGEXEXTRACT(SUBSTITUTE ($T25,F$1&amp;"" CE"",""""), F$1&amp;""[\w &amp;]*, (\d+\.\d+)"")),"""")
"),220)</f>
        <v>220</v>
      </c>
      <c r="G25" s="3" t="n">
        <f aca="false">IFERROR(__xludf.dummyfunction("if($T25&lt;&gt;"""",VALUE(REGEXEXTRACT($T25, G$1&amp;""[\w &amp;]*, (\d+\.\d+)"")),"""")
"),202)</f>
        <v>202</v>
      </c>
      <c r="H25" s="3" t="n">
        <f aca="false">IFERROR(__xludf.dummyfunction("if($T25&lt;&gt;"""",VALUE(REGEXEXTRACT($T25, H$1&amp;""[\w &amp;]*, (\d+\.\d+)"")),"""")
"),211)</f>
        <v>211</v>
      </c>
      <c r="I25" s="3" t="n">
        <f aca="false">IFERROR(__xludf.dummyfunction("if($T25&lt;&gt;"""",VALUE(REGEXEXTRACT(SUBSTITUTE ($T25,I$1&amp;"" CE"",""""), I$1&amp;""[\w &amp;]*, (\d+\.\d+)"")),"""")
"),190)</f>
        <v>190</v>
      </c>
      <c r="J25" s="3" t="n">
        <f aca="false">IFERROR(__xludf.dummyfunction("if($T25&lt;&gt;"""",VALUE(REGEXEXTRACT($T25, J$1&amp;""[\w &amp;]*, (\d+\.\d+)"")),"""")
"),200)</f>
        <v>200</v>
      </c>
      <c r="K25" s="3" t="n">
        <f aca="false">IFERROR(__xludf.dummyfunction("if($T25&lt;&gt;"""",VALUE(REGEXEXTRACT($T25, K$1&amp;""[\w &amp;]*, (\d+\.\d+)"")),"""")
"),204)</f>
        <v>204</v>
      </c>
      <c r="L25" s="3" t="n">
        <f aca="false">IFERROR(__xludf.dummyfunction("if($T25&lt;&gt;"""",VALUE(REGEXEXTRACT(SUBSTITUTE ($T25,L$1&amp;"" CE"",""""), L$1&amp;""[\w &amp;]*, (\d+\.\d+)"")),"""")
"),207)</f>
        <v>207</v>
      </c>
      <c r="M25" s="3" t="n">
        <f aca="false">IFERROR(__xludf.dummyfunction("if($T25&lt;&gt;"""",VALUE(REGEXEXTRACT($T25, M$1&amp;""[\w &amp;]*, (\d+\.\d+)"")),"""")
"),205)</f>
        <v>205</v>
      </c>
      <c r="N25" s="3" t="n">
        <f aca="false">IFERROR(__xludf.dummyfunction("if($T25&lt;&gt;"""",VALUE(REGEXEXTRACT(SUBSTITUTE ($T25,N$1&amp;"" CE"",""""), N$1&amp;""[\w &amp;]*, (\d+\.\d+)"")),"""")
"),190)</f>
        <v>190</v>
      </c>
      <c r="O25" s="3" t="n">
        <f aca="false">IFERROR(__xludf.dummyfunction("if($T25&lt;&gt;"""",VALUE(REGEXEXTRACT($T25, O$1&amp;""[\w &amp;]*, (\d+\.\d+)"")),"""")
"),200)</f>
        <v>200</v>
      </c>
      <c r="P25" s="2" t="n">
        <f aca="false">IFERROR(__xludf.dummyfunction("if($T25&lt;&gt;"""",VALUE(REGEXEXTRACT($T25, P$1&amp;""[\w &amp;]*, (\d+\.\d+)"")),"""")
"),200.85)</f>
        <v>200.85</v>
      </c>
      <c r="Q25" s="2" t="n">
        <f aca="false">IFERROR(__xludf.dummyfunction("if($T25&lt;&gt;"""",VALUE(REGEXEXTRACT($T25, Q$1&amp;""[\w &amp;]*, (\d+\.\d+)"")),"""")
"),200.14)</f>
        <v>200.14</v>
      </c>
      <c r="R25" s="2" t="n">
        <f aca="false">IFERROR(__xludf.dummyfunction("if($T25&lt;&gt;"""",VALUE(REGEXEXTRACT($T25, SUBSTITUTE(R$1, ""+"", ""\+"")&amp;""[\w &amp;]*, (\d+\.\d+)"")),"""")"),204.21)</f>
        <v>204.21</v>
      </c>
      <c r="S25" s="2" t="n">
        <f aca="false">IFERROR(__xludf.dummyfunction("if($T25&lt;&gt;"""",VALUE(REGEXEXTRACT($T25, SUBSTITUTE(S$1, ""+"", ""\+"")&amp;""[\w &amp;]*, (\d+\.\d+)"")),"""")"),204.92)</f>
        <v>204.92</v>
      </c>
      <c r="T25" s="5" t="s">
        <v>647</v>
      </c>
    </row>
    <row r="26" customFormat="false" ht="15.75" hidden="false" customHeight="false" outlineLevel="0" collapsed="false">
      <c r="A26" s="4" t="n">
        <f aca="false">IFERROR(__xludf.dummyfunction("""COMPUTED_VALUE"""),45443.6666666667)</f>
        <v>45443.6666666667</v>
      </c>
      <c r="B26" s="2" t="n">
        <f aca="false">IFERROR(__xludf.dummyfunction("""COMPUTED_VALUE"""),204.95)</f>
        <v>204.95</v>
      </c>
      <c r="C26" s="2" t="n">
        <f aca="false">IFERROR(__xludf.dummyfunction("""COMPUTED_VALUE"""),206.28)</f>
        <v>206.28</v>
      </c>
      <c r="D26" s="2" t="n">
        <f aca="false">IFERROR(__xludf.dummyfunction("""COMPUTED_VALUE"""),203.08)</f>
        <v>203.08</v>
      </c>
      <c r="E26" s="2" t="n">
        <f aca="false">IFERROR(__xludf.dummyfunction("""COMPUTED_VALUE"""),205.77)</f>
        <v>205.77</v>
      </c>
      <c r="F26" s="3" t="n">
        <f aca="false">IFERROR(__xludf.dummyfunction("if($T26&lt;&gt;"""",VALUE(REGEXEXTRACT(SUBSTITUTE ($T26,F$1&amp;"" CE"",""""), F$1&amp;""[\w &amp;]*, (\d+\.\d+)"")),"""")
"),220)</f>
        <v>220</v>
      </c>
      <c r="G26" s="3" t="n">
        <f aca="false">IFERROR(__xludf.dummyfunction("if($T26&lt;&gt;"""",VALUE(REGEXEXTRACT($T26, G$1&amp;""[\w &amp;]*, (\d+\.\d+)"")),"""")
"),206)</f>
        <v>206</v>
      </c>
      <c r="H26" s="3" t="n">
        <f aca="false">IFERROR(__xludf.dummyfunction("if($T26&lt;&gt;"""",VALUE(REGEXEXTRACT($T26, H$1&amp;""[\w &amp;]*, (\d+\.\d+)"")),"""")
"),210)</f>
        <v>210</v>
      </c>
      <c r="I26" s="3" t="n">
        <f aca="false">IFERROR(__xludf.dummyfunction("if($T26&lt;&gt;"""",VALUE(REGEXEXTRACT(SUBSTITUTE ($T26,I$1&amp;"" CE"",""""), I$1&amp;""[\w &amp;]*, (\d+\.\d+)"")),"""")
"),190)</f>
        <v>190</v>
      </c>
      <c r="J26" s="3" t="n">
        <f aca="false">IFERROR(__xludf.dummyfunction("if($T26&lt;&gt;"""",VALUE(REGEXEXTRACT($T26, J$1&amp;""[\w &amp;]*, (\d+\.\d+)"")),"""")
"),194)</f>
        <v>194</v>
      </c>
      <c r="K26" s="3" t="n">
        <f aca="false">IFERROR(__xludf.dummyfunction("if($T26&lt;&gt;"""",VALUE(REGEXEXTRACT($T26, K$1&amp;""[\w &amp;]*, (\d+\.\d+)"")),"""")
"),204)</f>
        <v>204</v>
      </c>
      <c r="L26" s="3" t="n">
        <f aca="false">IFERROR(__xludf.dummyfunction("if($T26&lt;&gt;"""",VALUE(REGEXEXTRACT(SUBSTITUTE ($T26,L$1&amp;"" CE"",""""), L$1&amp;""[\w &amp;]*, (\d+\.\d+)"")),"""")
"),207)</f>
        <v>207</v>
      </c>
      <c r="M26" s="3" t="n">
        <f aca="false">IFERROR(__xludf.dummyfunction("if($T26&lt;&gt;"""",VALUE(REGEXEXTRACT($T26, M$1&amp;""[\w &amp;]*, (\d+\.\d+)"")),"""")
"),205)</f>
        <v>205</v>
      </c>
      <c r="N26" s="3" t="n">
        <f aca="false">IFERROR(__xludf.dummyfunction("if($T26&lt;&gt;"""",VALUE(REGEXEXTRACT(SUBSTITUTE ($T26,N$1&amp;"" CE"",""""), N$1&amp;""[\w &amp;]*, (\d+\.\d+)"")),"""")
"),190)</f>
        <v>190</v>
      </c>
      <c r="O26" s="3" t="n">
        <f aca="false">IFERROR(__xludf.dummyfunction("if($T26&lt;&gt;"""",VALUE(REGEXEXTRACT($T26, O$1&amp;""[\w &amp;]*, (\d+\.\d+)"")),"""")
"),200)</f>
        <v>200</v>
      </c>
      <c r="P26" s="2" t="n">
        <f aca="false">IFERROR(__xludf.dummyfunction("if($T26&lt;&gt;"""",VALUE(REGEXEXTRACT($T26, P$1&amp;""[\w &amp;]*, (\d+\.\d+)"")),"""")
"),201.4)</f>
        <v>201.4</v>
      </c>
      <c r="Q26" s="2" t="n">
        <f aca="false">IFERROR(__xludf.dummyfunction("if($T26&lt;&gt;"""",VALUE(REGEXEXTRACT($T26, Q$1&amp;""[\w &amp;]*, (\d+\.\d+)"")),"""")
"),199.44)</f>
        <v>199.44</v>
      </c>
      <c r="R26" s="2" t="n">
        <f aca="false">IFERROR(__xludf.dummyfunction("if($T26&lt;&gt;"""",VALUE(REGEXEXTRACT($T26, SUBSTITUTE(R$1, ""+"", ""\+"")&amp;""[\w &amp;]*, (\d+\.\d+)"")),"""")"),205.36)</f>
        <v>205.36</v>
      </c>
      <c r="S26" s="2" t="n">
        <f aca="false">IFERROR(__xludf.dummyfunction("if($T26&lt;&gt;"""",VALUE(REGEXEXTRACT($T26, SUBSTITUTE(S$1, ""+"", ""\+"")&amp;""[\w &amp;]*, (\d+\.\d+)"")),"""")"),207.32)</f>
        <v>207.32</v>
      </c>
      <c r="T26" s="5" t="s">
        <v>648</v>
      </c>
    </row>
    <row r="27" customFormat="false" ht="15.75" hidden="false" customHeight="false" outlineLevel="0" collapsed="false">
      <c r="A27" s="4" t="n">
        <f aca="false">IFERROR(__xludf.dummyfunction("""COMPUTED_VALUE"""),45446.6666666667)</f>
        <v>45446.6666666667</v>
      </c>
      <c r="B27" s="2" t="n">
        <f aca="false">IFERROR(__xludf.dummyfunction("""COMPUTED_VALUE"""),207.53)</f>
        <v>207.53</v>
      </c>
      <c r="C27" s="2" t="n">
        <f aca="false">IFERROR(__xludf.dummyfunction("""COMPUTED_VALUE"""),207.56)</f>
        <v>207.56</v>
      </c>
      <c r="D27" s="2" t="n">
        <f aca="false">IFERROR(__xludf.dummyfunction("""COMPUTED_VALUE"""),203.15)</f>
        <v>203.15</v>
      </c>
      <c r="E27" s="2" t="n">
        <f aca="false">IFERROR(__xludf.dummyfunction("""COMPUTED_VALUE"""),204.61)</f>
        <v>204.61</v>
      </c>
      <c r="F27" s="3" t="n">
        <f aca="false">IFERROR(__xludf.dummyfunction("if($T27&lt;&gt;"""",VALUE(REGEXEXTRACT(SUBSTITUTE ($T27,F$1&amp;"" CE"",""""), F$1&amp;""[\w &amp;]*, (\d+\.\d+)"")),"""")
"),210)</f>
        <v>210</v>
      </c>
      <c r="G27" s="3" t="n">
        <f aca="false">IFERROR(__xludf.dummyfunction("if($T27&lt;&gt;"""",VALUE(REGEXEXTRACT($T27, G$1&amp;""[\w &amp;]*, (\d+\.\d+)"")),"""")
"),207)</f>
        <v>207</v>
      </c>
      <c r="H27" s="3" t="n">
        <f aca="false">IFERROR(__xludf.dummyfunction("if($T27&lt;&gt;"""",VALUE(REGEXEXTRACT($T27, H$1&amp;""[\w &amp;]*, (\d+\.\d+)"")),"""")
"),205)</f>
        <v>205</v>
      </c>
      <c r="I27" s="3" t="n">
        <f aca="false">IFERROR(__xludf.dummyfunction("if($T27&lt;&gt;"""",VALUE(REGEXEXTRACT(SUBSTITUTE ($T27,I$1&amp;"" CE"",""""), I$1&amp;""[\w &amp;]*, (\d+\.\d+)"")),"""")
"),200)</f>
        <v>200</v>
      </c>
      <c r="J27" s="3" t="n">
        <f aca="false">IFERROR(__xludf.dummyfunction("if($T27&lt;&gt;"""",VALUE(REGEXEXTRACT($T27, J$1&amp;""[\w &amp;]*, (\d+\.\d+)"")),"""")
"),203)</f>
        <v>203</v>
      </c>
      <c r="K27" s="3" t="n">
        <f aca="false">IFERROR(__xludf.dummyfunction("if($T27&lt;&gt;"""",VALUE(REGEXEXTRACT($T27, K$1&amp;""[\w &amp;]*, (\d+\.\d+)"")),"""")
"),206)</f>
        <v>206</v>
      </c>
      <c r="L27" s="3" t="n">
        <f aca="false">IFERROR(__xludf.dummyfunction("if($T27&lt;&gt;"""",VALUE(REGEXEXTRACT(SUBSTITUTE ($T27,L$1&amp;"" CE"",""""), L$1&amp;""[\w &amp;]*, (\d+\.\d+)"")),"""")
"),205)</f>
        <v>205</v>
      </c>
      <c r="M27" s="3" t="n">
        <f aca="false">IFERROR(__xludf.dummyfunction("if($T27&lt;&gt;"""",VALUE(REGEXEXTRACT($T27, M$1&amp;""[\w &amp;]*, (\d+\.\d+)"")),"""")
"),206)</f>
        <v>206</v>
      </c>
      <c r="N27" s="3" t="n">
        <f aca="false">IFERROR(__xludf.dummyfunction("if($T27&lt;&gt;"""",VALUE(REGEXEXTRACT(SUBSTITUTE ($T27,N$1&amp;"" CE"",""""), N$1&amp;""[\w &amp;]*, (\d+\.\d+)"")),"""")
"),200)</f>
        <v>200</v>
      </c>
      <c r="O27" s="3" t="n">
        <f aca="false">IFERROR(__xludf.dummyfunction("if($T27&lt;&gt;"""",VALUE(REGEXEXTRACT($T27, O$1&amp;""[\w &amp;]*, (\d+\.\d+)"")),"""")
"),206)</f>
        <v>206</v>
      </c>
      <c r="P27" s="2" t="n">
        <f aca="false">IFERROR(__xludf.dummyfunction("if($T27&lt;&gt;"""",VALUE(REGEXEXTRACT($T27, P$1&amp;""[\w &amp;]*, (\d+\.\d+)"")),"""")
"),206.43)</f>
        <v>206.43</v>
      </c>
      <c r="Q27" s="2" t="n">
        <f aca="false">IFERROR(__xludf.dummyfunction("if($T27&lt;&gt;"""",VALUE(REGEXEXTRACT($T27, Q$1&amp;""[\w &amp;]*, (\d+\.\d+)"")),"""")
"),205.73)</f>
        <v>205.73</v>
      </c>
      <c r="R27" s="2" t="n">
        <f aca="false">IFERROR(__xludf.dummyfunction("if($T27&lt;&gt;"""",VALUE(REGEXEXTRACT($T27, SUBSTITUTE(R$1, ""+"", ""\+"")&amp;""[\w &amp;]*, (\d+\.\d+)"")),"""")"),209.83)</f>
        <v>209.83</v>
      </c>
      <c r="S27" s="2" t="n">
        <f aca="false">IFERROR(__xludf.dummyfunction("if($T27&lt;&gt;"""",VALUE(REGEXEXTRACT($T27, SUBSTITUTE(S$1, ""+"", ""\+"")&amp;""[\w &amp;]*, (\d+\.\d+)"")),"""")"),210.53)</f>
        <v>210.53</v>
      </c>
      <c r="T27" s="5" t="s">
        <v>649</v>
      </c>
    </row>
    <row r="28" customFormat="false" ht="15.75" hidden="false" customHeight="false" outlineLevel="0" collapsed="false">
      <c r="A28" s="4" t="n">
        <f aca="false">IFERROR(__xludf.dummyfunction("""COMPUTED_VALUE"""),45447.6666666667)</f>
        <v>45447.6666666667</v>
      </c>
      <c r="B28" s="2" t="n">
        <f aca="false">IFERROR(__xludf.dummyfunction("""COMPUTED_VALUE"""),203.15)</f>
        <v>203.15</v>
      </c>
      <c r="C28" s="2" t="n">
        <f aca="false">IFERROR(__xludf.dummyfunction("""COMPUTED_VALUE"""),204.5)</f>
        <v>204.5</v>
      </c>
      <c r="D28" s="2" t="n">
        <f aca="false">IFERROR(__xludf.dummyfunction("""COMPUTED_VALUE"""),201.65)</f>
        <v>201.65</v>
      </c>
      <c r="E28" s="2" t="n">
        <f aca="false">IFERROR(__xludf.dummyfunction("""COMPUTED_VALUE"""),201.97)</f>
        <v>201.97</v>
      </c>
      <c r="F28" s="3" t="n">
        <f aca="false">IFERROR(__xludf.dummyfunction("if($T28&lt;&gt;"""",VALUE(REGEXEXTRACT(SUBSTITUTE ($T28,F$1&amp;"" CE"",""""), F$1&amp;""[\w &amp;]*, (\d+\.\d+)"")),"""")
"),210)</f>
        <v>210</v>
      </c>
      <c r="G28" s="3" t="n">
        <f aca="false">IFERROR(__xludf.dummyfunction("if($T28&lt;&gt;"""",VALUE(REGEXEXTRACT($T28, G$1&amp;""[\w &amp;]*, (\d+\.\d+)"")),"""")
"),205)</f>
        <v>205</v>
      </c>
      <c r="H28" s="3" t="n">
        <f aca="false">IFERROR(__xludf.dummyfunction("if($T28&lt;&gt;"""",VALUE(REGEXEXTRACT($T28, H$1&amp;""[\w &amp;]*, (\d+\.\d+)"")),"""")
"),205)</f>
        <v>205</v>
      </c>
      <c r="I28" s="3" t="n">
        <f aca="false">IFERROR(__xludf.dummyfunction("if($T28&lt;&gt;"""",VALUE(REGEXEXTRACT(SUBSTITUTE ($T28,I$1&amp;"" CE"",""""), I$1&amp;""[\w &amp;]*, (\d+\.\d+)"")),"""")
"),200)</f>
        <v>200</v>
      </c>
      <c r="J28" s="3" t="n">
        <f aca="false">IFERROR(__xludf.dummyfunction("if($T28&lt;&gt;"""",VALUE(REGEXEXTRACT($T28, J$1&amp;""[\w &amp;]*, (\d+\.\d+)"")),"""")
"),203)</f>
        <v>203</v>
      </c>
      <c r="K28" s="3" t="n">
        <f aca="false">IFERROR(__xludf.dummyfunction("if($T28&lt;&gt;"""",VALUE(REGEXEXTRACT($T28, K$1&amp;""[\w &amp;]*, (\d+\.\d+)"")),"""")
"),206)</f>
        <v>206</v>
      </c>
      <c r="L28" s="3" t="n">
        <f aca="false">IFERROR(__xludf.dummyfunction("if($T28&lt;&gt;"""",VALUE(REGEXEXTRACT(SUBSTITUTE ($T28,L$1&amp;"" CE"",""""), L$1&amp;""[\w &amp;]*, (\d+\.\d+)"")),"""")
"),205)</f>
        <v>205</v>
      </c>
      <c r="M28" s="3" t="n">
        <f aca="false">IFERROR(__xludf.dummyfunction("if($T28&lt;&gt;"""",VALUE(REGEXEXTRACT($T28, M$1&amp;""[\w &amp;]*, (\d+\.\d+)"")),"""")
"),204)</f>
        <v>204</v>
      </c>
      <c r="N28" s="3" t="n">
        <f aca="false">IFERROR(__xludf.dummyfunction("if($T28&lt;&gt;"""",VALUE(REGEXEXTRACT(SUBSTITUTE ($T28,N$1&amp;"" CE"",""""), N$1&amp;""[\w &amp;]*, (\d+\.\d+)"")),"""")
"),200)</f>
        <v>200</v>
      </c>
      <c r="O28" s="3" t="n">
        <f aca="false">IFERROR(__xludf.dummyfunction("if($T28&lt;&gt;"""",VALUE(REGEXEXTRACT($T28, O$1&amp;""[\w &amp;]*, (\d+\.\d+)"")),"""")
"),205)</f>
        <v>205</v>
      </c>
      <c r="P28" s="2" t="n">
        <f aca="false">IFERROR(__xludf.dummyfunction("if($T28&lt;&gt;"""",VALUE(REGEXEXTRACT($T28, P$1&amp;""[\w &amp;]*, (\d+\.\d+)"")),"""")
"),201.49)</f>
        <v>201.49</v>
      </c>
      <c r="Q28" s="2" t="n">
        <f aca="false">IFERROR(__xludf.dummyfunction("if($T28&lt;&gt;"""",VALUE(REGEXEXTRACT($T28, Q$1&amp;""[\w &amp;]*, (\d+\.\d+)"")),"""")
"),200.75)</f>
        <v>200.75</v>
      </c>
      <c r="R28" s="2" t="n">
        <f aca="false">IFERROR(__xludf.dummyfunction("if($T28&lt;&gt;"""",VALUE(REGEXEXTRACT($T28, SUBSTITUTE(R$1, ""+"", ""\+"")&amp;""[\w &amp;]*, (\d+\.\d+)"")),"""")"),205.11)</f>
        <v>205.11</v>
      </c>
      <c r="S28" s="2" t="n">
        <f aca="false">IFERROR(__xludf.dummyfunction("if($T28&lt;&gt;"""",VALUE(REGEXEXTRACT($T28, SUBSTITUTE(S$1, ""+"", ""\+"")&amp;""[\w &amp;]*, (\d+\.\d+)"")),"""")"),205.85)</f>
        <v>205.85</v>
      </c>
      <c r="T28" s="5" t="s">
        <v>650</v>
      </c>
    </row>
    <row r="29" customFormat="false" ht="15.75" hidden="false" customHeight="false" outlineLevel="0" collapsed="false">
      <c r="A29" s="4" t="n">
        <f aca="false">IFERROR(__xludf.dummyfunction("""COMPUTED_VALUE"""),45448.6666666667)</f>
        <v>45448.6666666667</v>
      </c>
      <c r="B29" s="2" t="n">
        <f aca="false">IFERROR(__xludf.dummyfunction("""COMPUTED_VALUE"""),203.3)</f>
        <v>203.3</v>
      </c>
      <c r="C29" s="2" t="n">
        <f aca="false">IFERROR(__xludf.dummyfunction("""COMPUTED_VALUE"""),205.06)</f>
        <v>205.06</v>
      </c>
      <c r="D29" s="2" t="n">
        <f aca="false">IFERROR(__xludf.dummyfunction("""COMPUTED_VALUE"""),201.79)</f>
        <v>201.79</v>
      </c>
      <c r="E29" s="2" t="n">
        <f aca="false">IFERROR(__xludf.dummyfunction("""COMPUTED_VALUE"""),205.06)</f>
        <v>205.06</v>
      </c>
      <c r="F29" s="3" t="n">
        <f aca="false">IFERROR(__xludf.dummyfunction("if($T29&lt;&gt;"""",VALUE(REGEXEXTRACT(SUBSTITUTE ($T29,F$1&amp;"" CE"",""""), F$1&amp;""[\w &amp;]*, (\d+\.\d+)"")),"""")
"),200)</f>
        <v>200</v>
      </c>
      <c r="G29" s="3" t="n">
        <f aca="false">IFERROR(__xludf.dummyfunction("if($T29&lt;&gt;"""",VALUE(REGEXEXTRACT($T29, G$1&amp;""[\w &amp;]*, (\d+\.\d+)"")),"""")
"),203)</f>
        <v>203</v>
      </c>
      <c r="H29" s="3" t="n">
        <f aca="false">IFERROR(__xludf.dummyfunction("if($T29&lt;&gt;"""",VALUE(REGEXEXTRACT($T29, H$1&amp;""[\w &amp;]*, (\d+\.\d+)"")),"""")
"),205)</f>
        <v>205</v>
      </c>
      <c r="I29" s="3" t="n">
        <f aca="false">IFERROR(__xludf.dummyfunction("if($T29&lt;&gt;"""",VALUE(REGEXEXTRACT(SUBSTITUTE ($T29,I$1&amp;"" CE"",""""), I$1&amp;""[\w &amp;]*, (\d+\.\d+)"")),"""")
"),200)</f>
        <v>200</v>
      </c>
      <c r="J29" s="3" t="n">
        <f aca="false">IFERROR(__xludf.dummyfunction("if($T29&lt;&gt;"""",VALUE(REGEXEXTRACT($T29, J$1&amp;""[\w &amp;]*, (\d+\.\d+)"")),"""")
"),200)</f>
        <v>200</v>
      </c>
      <c r="K29" s="3" t="n">
        <f aca="false">IFERROR(__xludf.dummyfunction("if($T29&lt;&gt;"""",VALUE(REGEXEXTRACT($T29, K$1&amp;""[\w &amp;]*, (\d+\.\d+)"")),"""")
"),203)</f>
        <v>203</v>
      </c>
      <c r="L29" s="3" t="n">
        <f aca="false">IFERROR(__xludf.dummyfunction("if($T29&lt;&gt;"""",VALUE(REGEXEXTRACT(SUBSTITUTE ($T29,L$1&amp;"" CE"",""""), L$1&amp;""[\w &amp;]*, (\d+\.\d+)"")),"""")
"),205)</f>
        <v>205</v>
      </c>
      <c r="M29" s="3" t="n">
        <f aca="false">IFERROR(__xludf.dummyfunction("if($T29&lt;&gt;"""",VALUE(REGEXEXTRACT($T29, M$1&amp;""[\w &amp;]*, (\d+\.\d+)"")),"""")
"),200)</f>
        <v>200</v>
      </c>
      <c r="N29" s="3" t="n">
        <f aca="false">IFERROR(__xludf.dummyfunction("if($T29&lt;&gt;"""",VALUE(REGEXEXTRACT(SUBSTITUTE ($T29,N$1&amp;"" CE"",""""), N$1&amp;""[\w &amp;]*, (\d+\.\d+)"")),"""")
"),200)</f>
        <v>200</v>
      </c>
      <c r="O29" s="3" t="n">
        <f aca="false">IFERROR(__xludf.dummyfunction("if($T29&lt;&gt;"""",VALUE(REGEXEXTRACT($T29, O$1&amp;""[\w &amp;]*, (\d+\.\d+)"")),"""")
"),202)</f>
        <v>202</v>
      </c>
      <c r="P29" s="2" t="n">
        <f aca="false">IFERROR(__xludf.dummyfunction("if($T29&lt;&gt;"""",VALUE(REGEXEXTRACT($T29, P$1&amp;""[\w &amp;]*, (\d+\.\d+)"")),"""")
"),200.08)</f>
        <v>200.08</v>
      </c>
      <c r="Q29" s="2" t="n">
        <f aca="false">IFERROR(__xludf.dummyfunction("if($T29&lt;&gt;"""",VALUE(REGEXEXTRACT($T29, Q$1&amp;""[\w &amp;]*, (\d+\.\d+)"")),"""")
"),199.17)</f>
        <v>199.17</v>
      </c>
      <c r="R29" s="2" t="n">
        <f aca="false">IFERROR(__xludf.dummyfunction("if($T29&lt;&gt;"""",VALUE(REGEXEXTRACT($T29, SUBSTITUTE(R$1, ""+"", ""\+"")&amp;""[\w &amp;]*, (\d+\.\d+)"")),"""")"),204.44)</f>
        <v>204.44</v>
      </c>
      <c r="S29" s="2" t="n">
        <f aca="false">IFERROR(__xludf.dummyfunction("if($T29&lt;&gt;"""",VALUE(REGEXEXTRACT($T29, SUBSTITUTE(S$1, ""+"", ""\+"")&amp;""[\w &amp;]*, (\d+\.\d+)"")),"""")"),205.35)</f>
        <v>205.35</v>
      </c>
      <c r="T29" s="5" t="s">
        <v>651</v>
      </c>
    </row>
    <row r="30" customFormat="false" ht="15.75" hidden="false" customHeight="false" outlineLevel="0" collapsed="false">
      <c r="A30" s="4" t="n">
        <f aca="false">IFERROR(__xludf.dummyfunction("""COMPUTED_VALUE"""),45449.6666666667)</f>
        <v>45449.6666666667</v>
      </c>
      <c r="B30" s="2" t="n">
        <f aca="false">IFERROR(__xludf.dummyfunction("""COMPUTED_VALUE"""),204.18)</f>
        <v>204.18</v>
      </c>
      <c r="C30" s="2" t="n">
        <f aca="false">IFERROR(__xludf.dummyfunction("""COMPUTED_VALUE"""),204.81)</f>
        <v>204.81</v>
      </c>
      <c r="D30" s="2" t="n">
        <f aca="false">IFERROR(__xludf.dummyfunction("""COMPUTED_VALUE"""),202.99)</f>
        <v>202.99</v>
      </c>
      <c r="E30" s="2" t="n">
        <f aca="false">IFERROR(__xludf.dummyfunction("""COMPUTED_VALUE"""),203.59)</f>
        <v>203.59</v>
      </c>
      <c r="F30" s="3" t="n">
        <f aca="false">IFERROR(__xludf.dummyfunction("if($T30&lt;&gt;"""",VALUE(REGEXEXTRACT(SUBSTITUTE ($T30,F$1&amp;"" CE"",""""), F$1&amp;""[\w &amp;]*, (\d+\.\d+)"")),"""")
"),210)</f>
        <v>210</v>
      </c>
      <c r="G30" s="3" t="n">
        <f aca="false">IFERROR(__xludf.dummyfunction("if($T30&lt;&gt;"""",VALUE(REGEXEXTRACT($T30, G$1&amp;""[\w &amp;]*, (\d+\.\d+)"")),"""")
"),205)</f>
        <v>205</v>
      </c>
      <c r="H30" s="3" t="n">
        <f aca="false">IFERROR(__xludf.dummyfunction("if($T30&lt;&gt;"""",VALUE(REGEXEXTRACT($T30, H$1&amp;""[\w &amp;]*, (\d+\.\d+)"")),"""")
"),203)</f>
        <v>203</v>
      </c>
      <c r="I30" s="3" t="n">
        <f aca="false">IFERROR(__xludf.dummyfunction("if($T30&lt;&gt;"""",VALUE(REGEXEXTRACT(SUBSTITUTE ($T30,I$1&amp;"" CE"",""""), I$1&amp;""[\w &amp;]*, (\d+\.\d+)"")),"""")
"),200)</f>
        <v>200</v>
      </c>
      <c r="J30" s="3" t="n">
        <f aca="false">IFERROR(__xludf.dummyfunction("if($T30&lt;&gt;"""",VALUE(REGEXEXTRACT($T30, J$1&amp;""[\w &amp;]*, (\d+\.\d+)"")),"""")
"),203)</f>
        <v>203</v>
      </c>
      <c r="K30" s="3" t="n">
        <f aca="false">IFERROR(__xludf.dummyfunction("if($T30&lt;&gt;"""",VALUE(REGEXEXTRACT($T30, K$1&amp;""[\w &amp;]*, (\d+\.\d+)"")),"""")
"),204)</f>
        <v>204</v>
      </c>
      <c r="L30" s="3" t="n">
        <f aca="false">IFERROR(__xludf.dummyfunction("if($T30&lt;&gt;"""",VALUE(REGEXEXTRACT(SUBSTITUTE ($T30,L$1&amp;"" CE"",""""), L$1&amp;""[\w &amp;]*, (\d+\.\d+)"")),"""")
"),203)</f>
        <v>203</v>
      </c>
      <c r="M30" s="3" t="n">
        <f aca="false">IFERROR(__xludf.dummyfunction("if($T30&lt;&gt;"""",VALUE(REGEXEXTRACT($T30, M$1&amp;""[\w &amp;]*, (\d+\.\d+)"")),"""")
"),203)</f>
        <v>203</v>
      </c>
      <c r="N30" s="3" t="n">
        <f aca="false">IFERROR(__xludf.dummyfunction("if($T30&lt;&gt;"""",VALUE(REGEXEXTRACT(SUBSTITUTE ($T30,N$1&amp;"" CE"",""""), N$1&amp;""[\w &amp;]*, (\d+\.\d+)"")),"""")
"),200)</f>
        <v>200</v>
      </c>
      <c r="O30" s="3" t="n">
        <f aca="false">IFERROR(__xludf.dummyfunction("if($T30&lt;&gt;"""",VALUE(REGEXEXTRACT($T30, O$1&amp;""[\w &amp;]*, (\d+\.\d+)"")),"""")
"),204)</f>
        <v>204</v>
      </c>
      <c r="P30" s="2" t="n">
        <f aca="false">IFERROR(__xludf.dummyfunction("if($T30&lt;&gt;"""",VALUE(REGEXEXTRACT($T30, P$1&amp;""[\w &amp;]*, (\d+\.\d+)"")),"""")
"),202.26)</f>
        <v>202.26</v>
      </c>
      <c r="Q30" s="2" t="n">
        <f aca="false">IFERROR(__xludf.dummyfunction("if($T30&lt;&gt;"""",VALUE(REGEXEXTRACT($T30, Q$1&amp;""[\w &amp;]*, (\d+\.\d+)"")),"""")
"),201.46)</f>
        <v>201.46</v>
      </c>
      <c r="R30" s="2" t="n">
        <f aca="false">IFERROR(__xludf.dummyfunction("if($T30&lt;&gt;"""",VALUE(REGEXEXTRACT($T30, SUBSTITUTE(R$1, ""+"", ""\+"")&amp;""[\w &amp;]*, (\d+\.\d+)"")),"""")"),206.12)</f>
        <v>206.12</v>
      </c>
      <c r="S30" s="2" t="n">
        <f aca="false">IFERROR(__xludf.dummyfunction("if($T30&lt;&gt;"""",VALUE(REGEXEXTRACT($T30, SUBSTITUTE(S$1, ""+"", ""\+"")&amp;""[\w &amp;]*, (\d+\.\d+)"")),"""")"),206.92)</f>
        <v>206.92</v>
      </c>
      <c r="T30" s="5" t="s">
        <v>652</v>
      </c>
    </row>
    <row r="31" customFormat="false" ht="15.75" hidden="false" customHeight="false" outlineLevel="0" collapsed="false">
      <c r="A31" s="4" t="n">
        <f aca="false">IFERROR(__xludf.dummyfunction("""COMPUTED_VALUE"""),45450.6666666667)</f>
        <v>45450.6666666667</v>
      </c>
      <c r="B31" s="2" t="n">
        <f aca="false">IFERROR(__xludf.dummyfunction("""COMPUTED_VALUE"""),201.53)</f>
        <v>201.53</v>
      </c>
      <c r="C31" s="2" t="n">
        <f aca="false">IFERROR(__xludf.dummyfunction("""COMPUTED_VALUE"""),203.17)</f>
        <v>203.17</v>
      </c>
      <c r="D31" s="2" t="n">
        <f aca="false">IFERROR(__xludf.dummyfunction("""COMPUTED_VALUE"""),200.68)</f>
        <v>200.68</v>
      </c>
      <c r="E31" s="2" t="n">
        <f aca="false">IFERROR(__xludf.dummyfunction("""COMPUTED_VALUE"""),201.2)</f>
        <v>201.2</v>
      </c>
      <c r="F31" s="3" t="n">
        <f aca="false">IFERROR(__xludf.dummyfunction("if($T31&lt;&gt;"""",VALUE(REGEXEXTRACT(SUBSTITUTE ($T31,F$1&amp;"" CE"",""""), F$1&amp;""[\w &amp;]*, (\d+\.\d+)"")),"""")
"),200)</f>
        <v>200</v>
      </c>
      <c r="G31" s="3" t="n">
        <f aca="false">IFERROR(__xludf.dummyfunction("if($T31&lt;&gt;"""",VALUE(REGEXEXTRACT($T31, G$1&amp;""[\w &amp;]*, (\d+\.\d+)"")),"""")
"),205)</f>
        <v>205</v>
      </c>
      <c r="H31" s="3" t="n">
        <f aca="false">IFERROR(__xludf.dummyfunction("if($T31&lt;&gt;"""",VALUE(REGEXEXTRACT($T31, H$1&amp;""[\w &amp;]*, (\d+\.\d+)"")),"""")
"),204)</f>
        <v>204</v>
      </c>
      <c r="I31" s="3" t="n">
        <f aca="false">IFERROR(__xludf.dummyfunction("if($T31&lt;&gt;"""",VALUE(REGEXEXTRACT(SUBSTITUTE ($T31,I$1&amp;"" CE"",""""), I$1&amp;""[\w &amp;]*, (\d+\.\d+)"")),"""")
"),200)</f>
        <v>200</v>
      </c>
      <c r="J31" s="3" t="n">
        <f aca="false">IFERROR(__xludf.dummyfunction("if($T31&lt;&gt;"""",VALUE(REGEXEXTRACT($T31, J$1&amp;""[\w &amp;]*, (\d+\.\d+)"")),"""")
"),201)</f>
        <v>201</v>
      </c>
      <c r="K31" s="3" t="n">
        <f aca="false">IFERROR(__xludf.dummyfunction("if($T31&lt;&gt;"""",VALUE(REGEXEXTRACT($T31, K$1&amp;""[\w &amp;]*, (\d+\.\d+)"")),"""")
"),205)</f>
        <v>205</v>
      </c>
      <c r="L31" s="3" t="n">
        <f aca="false">IFERROR(__xludf.dummyfunction("if($T31&lt;&gt;"""",VALUE(REGEXEXTRACT(SUBSTITUTE ($T31,L$1&amp;"" CE"",""""), L$1&amp;""[\w &amp;]*, (\d+\.\d+)"")),"""")
"),204)</f>
        <v>204</v>
      </c>
      <c r="M31" s="3" t="n">
        <f aca="false">IFERROR(__xludf.dummyfunction("if($T31&lt;&gt;"""",VALUE(REGEXEXTRACT($T31, M$1&amp;""[\w &amp;]*, (\d+\.\d+)"")),"""")
"),203)</f>
        <v>203</v>
      </c>
      <c r="N31" s="3" t="n">
        <f aca="false">IFERROR(__xludf.dummyfunction("if($T31&lt;&gt;"""",VALUE(REGEXEXTRACT(SUBSTITUTE ($T31,N$1&amp;"" CE"",""""), N$1&amp;""[\w &amp;]*, (\d+\.\d+)"")),"""")
"),200)</f>
        <v>200</v>
      </c>
      <c r="O31" s="3" t="n">
        <f aca="false">IFERROR(__xludf.dummyfunction("if($T31&lt;&gt;"""",VALUE(REGEXEXTRACT($T31, O$1&amp;""[\w &amp;]*, (\d+\.\d+)"")),"""")
"),205)</f>
        <v>205</v>
      </c>
      <c r="P31" s="2" t="n">
        <f aca="false">IFERROR(__xludf.dummyfunction("if($T31&lt;&gt;"""",VALUE(REGEXEXTRACT($T31, P$1&amp;""[\w &amp;]*, (\d+\.\d+)"")),"""")
"),201.2)</f>
        <v>201.2</v>
      </c>
      <c r="Q31" s="2" t="n">
        <f aca="false">IFERROR(__xludf.dummyfunction("if($T31&lt;&gt;"""",VALUE(REGEXEXTRACT($T31, Q$1&amp;""[\w &amp;]*, (\d+\.\d+)"")),"""")
"),199.01)</f>
        <v>199.01</v>
      </c>
      <c r="R31" s="2" t="n">
        <f aca="false">IFERROR(__xludf.dummyfunction("if($T31&lt;&gt;"""",VALUE(REGEXEXTRACT($T31, SUBSTITUTE(R$1, ""+"", ""\+"")&amp;""[\w &amp;]*, (\d+\.\d+)"")),"""")"),205.62)</f>
        <v>205.62</v>
      </c>
      <c r="S31" s="2" t="n">
        <f aca="false">IFERROR(__xludf.dummyfunction("if($T31&lt;&gt;"""",VALUE(REGEXEXTRACT($T31, SUBSTITUTE(S$1, ""+"", ""\+"")&amp;""[\w &amp;]*, (\d+\.\d+)"")),"""")"),207.81)</f>
        <v>207.81</v>
      </c>
      <c r="T31" s="5" t="s">
        <v>653</v>
      </c>
    </row>
    <row r="32" customFormat="false" ht="15.75" hidden="false" customHeight="false" outlineLevel="0" collapsed="false">
      <c r="A32" s="4" t="n">
        <f aca="false">IFERROR(__xludf.dummyfunction("""COMPUTED_VALUE"""),45453.6666666667)</f>
        <v>45453.6666666667</v>
      </c>
      <c r="B32" s="2" t="n">
        <f aca="false">IFERROR(__xludf.dummyfunction("""COMPUTED_VALUE"""),199.52)</f>
        <v>199.52</v>
      </c>
      <c r="C32" s="2" t="n">
        <f aca="false">IFERROR(__xludf.dummyfunction("""COMPUTED_VALUE"""),202.13)</f>
        <v>202.13</v>
      </c>
      <c r="D32" s="2" t="n">
        <f aca="false">IFERROR(__xludf.dummyfunction("""COMPUTED_VALUE"""),199.01)</f>
        <v>199.01</v>
      </c>
      <c r="E32" s="2" t="n">
        <f aca="false">IFERROR(__xludf.dummyfunction("""COMPUTED_VALUE"""),201.89)</f>
        <v>201.89</v>
      </c>
      <c r="F32" s="3" t="n">
        <f aca="false">IFERROR(__xludf.dummyfunction("if($T32&lt;&gt;"""",VALUE(REGEXEXTRACT(SUBSTITUTE ($T32,F$1&amp;"" CE"",""""), F$1&amp;""[\w &amp;]*, (\d+\.\d+)"")),"""")
"),200)</f>
        <v>200</v>
      </c>
      <c r="G32" s="3" t="n">
        <f aca="false">IFERROR(__xludf.dummyfunction("if($T32&lt;&gt;"""",VALUE(REGEXEXTRACT($T32, G$1&amp;""[\w &amp;]*, (\d+\.\d+)"")),"""")
"),208)</f>
        <v>208</v>
      </c>
      <c r="H32" s="3" t="n">
        <f aca="false">IFERROR(__xludf.dummyfunction("if($T32&lt;&gt;"""",VALUE(REGEXEXTRACT($T32, H$1&amp;""[\w &amp;]*, (\d+\.\d+)"")),"""")
"),207)</f>
        <v>207</v>
      </c>
      <c r="I32" s="3" t="n">
        <f aca="false">IFERROR(__xludf.dummyfunction("if($T32&lt;&gt;"""",VALUE(REGEXEXTRACT(SUBSTITUTE ($T32,I$1&amp;"" CE"",""""), I$1&amp;""[\w &amp;]*, (\d+\.\d+)"")),"""")
"),200)</f>
        <v>200</v>
      </c>
      <c r="J32" s="3" t="n">
        <f aca="false">IFERROR(__xludf.dummyfunction("if($T32&lt;&gt;"""",VALUE(REGEXEXTRACT($T32, J$1&amp;""[\w &amp;]*, (\d+\.\d+)"")),"""")
"),201)</f>
        <v>201</v>
      </c>
      <c r="K32" s="3" t="n">
        <f aca="false">IFERROR(__xludf.dummyfunction("if($T32&lt;&gt;"""",VALUE(REGEXEXTRACT($T32, K$1&amp;""[\w &amp;]*, (\d+\.\d+)"")),"""")
"),206)</f>
        <v>206</v>
      </c>
      <c r="L32" s="3" t="n">
        <f aca="false">IFERROR(__xludf.dummyfunction("if($T32&lt;&gt;"""",VALUE(REGEXEXTRACT(SUBSTITUTE ($T32,L$1&amp;"" CE"",""""), L$1&amp;""[\w &amp;]*, (\d+\.\d+)"")),"""")
"),205)</f>
        <v>205</v>
      </c>
      <c r="M32" s="3" t="n">
        <f aca="false">IFERROR(__xludf.dummyfunction("if($T32&lt;&gt;"""",VALUE(REGEXEXTRACT($T32, M$1&amp;""[\w &amp;]*, (\d+\.\d+)"")),"""")
"),201)</f>
        <v>201</v>
      </c>
      <c r="N32" s="3" t="n">
        <f aca="false">IFERROR(__xludf.dummyfunction("if($T32&lt;&gt;"""",VALUE(REGEXEXTRACT(SUBSTITUTE ($T32,N$1&amp;"" CE"",""""), N$1&amp;""[\w &amp;]*, (\d+\.\d+)"")),"""")
"),200)</f>
        <v>200</v>
      </c>
      <c r="O32" s="3" t="n">
        <f aca="false">IFERROR(__xludf.dummyfunction("if($T32&lt;&gt;"""",VALUE(REGEXEXTRACT($T32, O$1&amp;""[\w &amp;]*, (\d+\.\d+)"")),"""")
"),201)</f>
        <v>201</v>
      </c>
      <c r="P32" s="2" t="n">
        <f aca="false">IFERROR(__xludf.dummyfunction("if($T32&lt;&gt;"""",VALUE(REGEXEXTRACT($T32, P$1&amp;""[\w &amp;]*, (\d+\.\d+)"")),"""")
"),198.14)</f>
        <v>198.14</v>
      </c>
      <c r="Q32" s="2" t="n">
        <f aca="false">IFERROR(__xludf.dummyfunction("if($T32&lt;&gt;"""",VALUE(REGEXEXTRACT($T32, Q$1&amp;""[\w &amp;]*, (\d+\.\d+)"")),"""")
"),197.38)</f>
        <v>197.38</v>
      </c>
      <c r="R32" s="2" t="n">
        <f aca="false">IFERROR(__xludf.dummyfunction("if($T32&lt;&gt;"""",VALUE(REGEXEXTRACT($T32, SUBSTITUTE(R$1, ""+"", ""\+"")&amp;""[\w &amp;]*, (\d+\.\d+)"")),"""")"),201.82)</f>
        <v>201.82</v>
      </c>
      <c r="S32" s="2" t="n">
        <f aca="false">IFERROR(__xludf.dummyfunction("if($T32&lt;&gt;"""",VALUE(REGEXEXTRACT($T32, SUBSTITUTE(S$1, ""+"", ""\+"")&amp;""[\w &amp;]*, (\d+\.\d+)"")),"""")"),202.58)</f>
        <v>202.58</v>
      </c>
      <c r="T32" s="5" t="s">
        <v>654</v>
      </c>
    </row>
    <row r="33" customFormat="false" ht="15.75" hidden="false" customHeight="false" outlineLevel="0" collapsed="false">
      <c r="A33" s="4" t="n">
        <f aca="false">IFERROR(__xludf.dummyfunction("""COMPUTED_VALUE"""),45454.6666666667)</f>
        <v>45454.6666666667</v>
      </c>
      <c r="B33" s="2" t="n">
        <f aca="false">IFERROR(__xludf.dummyfunction("""COMPUTED_VALUE"""),199.64)</f>
        <v>199.64</v>
      </c>
      <c r="C33" s="2" t="n">
        <f aca="false">IFERROR(__xludf.dummyfunction("""COMPUTED_VALUE"""),201.02)</f>
        <v>201.02</v>
      </c>
      <c r="D33" s="2" t="n">
        <f aca="false">IFERROR(__xludf.dummyfunction("""COMPUTED_VALUE"""),198.42)</f>
        <v>198.42</v>
      </c>
      <c r="E33" s="2" t="n">
        <f aca="false">IFERROR(__xludf.dummyfunction("""COMPUTED_VALUE"""),200.64)</f>
        <v>200.64</v>
      </c>
      <c r="F33" s="3" t="n">
        <f aca="false">IFERROR(__xludf.dummyfunction("if($T33&lt;&gt;"""",VALUE(REGEXEXTRACT(SUBSTITUTE ($T33,F$1&amp;"" CE"",""""), F$1&amp;""[\w &amp;]*, (\d+\.\d+)"")),"""")
"),200)</f>
        <v>200</v>
      </c>
      <c r="G33" s="3" t="n">
        <f aca="false">IFERROR(__xludf.dummyfunction("if($T33&lt;&gt;"""",VALUE(REGEXEXTRACT($T33, G$1&amp;""[\w &amp;]*, (\d+\.\d+)"")),"""")
"),202)</f>
        <v>202</v>
      </c>
      <c r="H33" s="3" t="n">
        <f aca="false">IFERROR(__xludf.dummyfunction("if($T33&lt;&gt;"""",VALUE(REGEXEXTRACT($T33, H$1&amp;""[\w &amp;]*, (\d+\.\d+)"")),"""")
"),205)</f>
        <v>205</v>
      </c>
      <c r="I33" s="3" t="n">
        <f aca="false">IFERROR(__xludf.dummyfunction("if($T33&lt;&gt;"""",VALUE(REGEXEXTRACT(SUBSTITUTE ($T33,I$1&amp;"" CE"",""""), I$1&amp;""[\w &amp;]*, (\d+\.\d+)"")),"""")
"),200)</f>
        <v>200</v>
      </c>
      <c r="J33" s="3" t="n">
        <f aca="false">IFERROR(__xludf.dummyfunction("if($T33&lt;&gt;"""",VALUE(REGEXEXTRACT($T33, J$1&amp;""[\w &amp;]*, (\d+\.\d+)"")),"""")
"),199)</f>
        <v>199</v>
      </c>
      <c r="K33" s="3" t="n">
        <f aca="false">IFERROR(__xludf.dummyfunction("if($T33&lt;&gt;"""",VALUE(REGEXEXTRACT($T33, K$1&amp;""[\w &amp;]*, (\d+\.\d+)"")),"""")
"),202)</f>
        <v>202</v>
      </c>
      <c r="L33" s="3" t="n">
        <f aca="false">IFERROR(__xludf.dummyfunction("if($T33&lt;&gt;"""",VALUE(REGEXEXTRACT(SUBSTITUTE ($T33,L$1&amp;"" CE"",""""), L$1&amp;""[\w &amp;]*, (\d+\.\d+)"")),"""")
"),201)</f>
        <v>201</v>
      </c>
      <c r="M33" s="3" t="n">
        <f aca="false">IFERROR(__xludf.dummyfunction("if($T33&lt;&gt;"""",VALUE(REGEXEXTRACT($T33, M$1&amp;""[\w &amp;]*, (\d+\.\d+)"")),"""")
"),200)</f>
        <v>200</v>
      </c>
      <c r="N33" s="3" t="n">
        <f aca="false">IFERROR(__xludf.dummyfunction("if($T33&lt;&gt;"""",VALUE(REGEXEXTRACT(SUBSTITUTE ($T33,N$1&amp;"" CE"",""""), N$1&amp;""[\w &amp;]*, (\d+\.\d+)"")),"""")
"),200)</f>
        <v>200</v>
      </c>
      <c r="O33" s="3" t="n">
        <f aca="false">IFERROR(__xludf.dummyfunction("if($T33&lt;&gt;"""",VALUE(REGEXEXTRACT($T33, O$1&amp;""[\w &amp;]*, (\d+\.\d+)"")),"""")
"),202)</f>
        <v>202</v>
      </c>
      <c r="P33" s="2" t="n">
        <f aca="false">IFERROR(__xludf.dummyfunction("if($T33&lt;&gt;"""",VALUE(REGEXEXTRACT($T33, P$1&amp;""[\w &amp;]*, (\d+\.\d+)"")),"""")
"),197.78)</f>
        <v>197.78</v>
      </c>
      <c r="Q33" s="2" t="n">
        <f aca="false">IFERROR(__xludf.dummyfunction("if($T33&lt;&gt;"""",VALUE(REGEXEXTRACT($T33, Q$1&amp;""[\w &amp;]*, (\d+\.\d+)"")),"""")
"),196.89)</f>
        <v>196.89</v>
      </c>
      <c r="R33" s="2" t="n">
        <f aca="false">IFERROR(__xludf.dummyfunction("if($T33&lt;&gt;"""",VALUE(REGEXEXTRACT($T33, SUBSTITUTE(R$1, ""+"", ""\+"")&amp;""[\w &amp;]*, (\d+\.\d+)"")),"""")"),202.1)</f>
        <v>202.1</v>
      </c>
      <c r="S33" s="2" t="n">
        <f aca="false">IFERROR(__xludf.dummyfunction("if($T33&lt;&gt;"""",VALUE(REGEXEXTRACT($T33, SUBSTITUTE(S$1, ""+"", ""\+"")&amp;""[\w &amp;]*, (\d+\.\d+)"")),"""")"),202.99)</f>
        <v>202.99</v>
      </c>
      <c r="T33" s="5" t="s">
        <v>655</v>
      </c>
    </row>
    <row r="34" customFormat="false" ht="15.75" hidden="false" customHeight="false" outlineLevel="0" collapsed="false">
      <c r="A34" s="4" t="n">
        <f aca="false">IFERROR(__xludf.dummyfunction("""COMPUTED_VALUE"""),45455.6666666667)</f>
        <v>45455.6666666667</v>
      </c>
      <c r="B34" s="2" t="n">
        <f aca="false">IFERROR(__xludf.dummyfunction("""COMPUTED_VALUE"""),205.87)</f>
        <v>205.87</v>
      </c>
      <c r="C34" s="2" t="n">
        <f aca="false">IFERROR(__xludf.dummyfunction("""COMPUTED_VALUE"""),207.27)</f>
        <v>207.27</v>
      </c>
      <c r="D34" s="2" t="n">
        <f aca="false">IFERROR(__xludf.dummyfunction("""COMPUTED_VALUE"""),203.1)</f>
        <v>203.1</v>
      </c>
      <c r="E34" s="2" t="n">
        <f aca="false">IFERROR(__xludf.dummyfunction("""COMPUTED_VALUE"""),203.72)</f>
        <v>203.72</v>
      </c>
      <c r="F34" s="3" t="n">
        <f aca="false">IFERROR(__xludf.dummyfunction("if($T34&lt;&gt;"""",VALUE(REGEXEXTRACT(SUBSTITUTE ($T34,F$1&amp;"" CE"",""""), F$1&amp;""[\w &amp;]*, (\d+\.\d+)"")),"""")
"),200)</f>
        <v>200</v>
      </c>
      <c r="G34" s="3" t="n">
        <f aca="false">IFERROR(__xludf.dummyfunction("if($T34&lt;&gt;"""",VALUE(REGEXEXTRACT($T34, G$1&amp;""[\w &amp;]*, (\d+\.\d+)"")),"""")
"),203)</f>
        <v>203</v>
      </c>
      <c r="H34" s="3" t="n">
        <f aca="false">IFERROR(__xludf.dummyfunction("if($T34&lt;&gt;"""",VALUE(REGEXEXTRACT($T34, H$1&amp;""[\w &amp;]*, (\d+\.\d+)"")),"""")
"),205)</f>
        <v>205</v>
      </c>
      <c r="I34" s="3" t="n">
        <f aca="false">IFERROR(__xludf.dummyfunction("if($T34&lt;&gt;"""",VALUE(REGEXEXTRACT(SUBSTITUTE ($T34,I$1&amp;"" CE"",""""), I$1&amp;""[\w &amp;]*, (\d+\.\d+)"")),"""")
"),200)</f>
        <v>200</v>
      </c>
      <c r="J34" s="3" t="n">
        <f aca="false">IFERROR(__xludf.dummyfunction("if($T34&lt;&gt;"""",VALUE(REGEXEXTRACT($T34, J$1&amp;""[\w &amp;]*, (\d+\.\d+)"")),"""")
"),198)</f>
        <v>198</v>
      </c>
      <c r="K34" s="3" t="n">
        <f aca="false">IFERROR(__xludf.dummyfunction("if($T34&lt;&gt;"""",VALUE(REGEXEXTRACT($T34, K$1&amp;""[\w &amp;]*, (\d+\.\d+)"")),"""")
"),203)</f>
        <v>203</v>
      </c>
      <c r="L34" s="3" t="n">
        <f aca="false">IFERROR(__xludf.dummyfunction("if($T34&lt;&gt;"""",VALUE(REGEXEXTRACT(SUBSTITUTE ($T34,L$1&amp;"" CE"",""""), L$1&amp;""[\w &amp;]*, (\d+\.\d+)"")),"""")
"),202.5)</f>
        <v>202.5</v>
      </c>
      <c r="M34" s="3" t="n">
        <f aca="false">IFERROR(__xludf.dummyfunction("if($T34&lt;&gt;"""",VALUE(REGEXEXTRACT($T34, M$1&amp;""[\w &amp;]*, (\d+\.\d+)"")),"""")
"),200)</f>
        <v>200</v>
      </c>
      <c r="N34" s="3" t="n">
        <f aca="false">IFERROR(__xludf.dummyfunction("if($T34&lt;&gt;"""",VALUE(REGEXEXTRACT(SUBSTITUTE ($T34,N$1&amp;"" CE"",""""), N$1&amp;""[\w &amp;]*, (\d+\.\d+)"")),"""")
"),200)</f>
        <v>200</v>
      </c>
      <c r="O34" s="3" t="n">
        <f aca="false">IFERROR(__xludf.dummyfunction("if($T34&lt;&gt;"""",VALUE(REGEXEXTRACT($T34, O$1&amp;""[\w &amp;]*, (\d+\.\d+)"")),"""")
"),198)</f>
        <v>198</v>
      </c>
      <c r="P34" s="2" t="n">
        <f aca="false">IFERROR(__xludf.dummyfunction("if($T34&lt;&gt;"""",VALUE(REGEXEXTRACT($T34, P$1&amp;""[\w &amp;]*, (\d+\.\d+)"")),"""")
"),198.49)</f>
        <v>198.49</v>
      </c>
      <c r="Q34" s="2" t="n">
        <f aca="false">IFERROR(__xludf.dummyfunction("if($T34&lt;&gt;"""",VALUE(REGEXEXTRACT($T34, Q$1&amp;""[\w &amp;]*, (\d+\.\d+)"")),"""")
"),197.52)</f>
        <v>197.52</v>
      </c>
      <c r="R34" s="2" t="n">
        <f aca="false">IFERROR(__xludf.dummyfunction("if($T34&lt;&gt;"""",VALUE(REGEXEXTRACT($T34, SUBSTITUTE(R$1, ""+"", ""\+"")&amp;""[\w &amp;]*, (\d+\.\d+)"")),"""")"),203.21)</f>
        <v>203.21</v>
      </c>
      <c r="S34" s="2" t="n">
        <f aca="false">IFERROR(__xludf.dummyfunction("if($T34&lt;&gt;"""",VALUE(REGEXEXTRACT($T34, SUBSTITUTE(S$1, ""+"", ""\+"")&amp;""[\w &amp;]*, (\d+\.\d+)"")),"""")"),204.18)</f>
        <v>204.18</v>
      </c>
      <c r="T34" s="5" t="s">
        <v>656</v>
      </c>
    </row>
    <row r="35" customFormat="false" ht="15.75" hidden="false" customHeight="false" outlineLevel="0" collapsed="false">
      <c r="A35" s="4" t="n">
        <f aca="false">IFERROR(__xludf.dummyfunction("""COMPUTED_VALUE"""),45456.6666666667)</f>
        <v>45456.6666666667</v>
      </c>
      <c r="B35" s="2" t="n">
        <f aca="false">IFERROR(__xludf.dummyfunction("""COMPUTED_VALUE"""),203.27)</f>
        <v>203.27</v>
      </c>
      <c r="C35" s="2" t="n">
        <f aca="false">IFERROR(__xludf.dummyfunction("""COMPUTED_VALUE"""),203.54)</f>
        <v>203.54</v>
      </c>
      <c r="D35" s="2" t="n">
        <f aca="false">IFERROR(__xludf.dummyfunction("""COMPUTED_VALUE"""),200.51)</f>
        <v>200.51</v>
      </c>
      <c r="E35" s="2" t="n">
        <f aca="false">IFERROR(__xludf.dummyfunction("""COMPUTED_VALUE"""),201.94)</f>
        <v>201.94</v>
      </c>
      <c r="F35" s="3" t="n">
        <f aca="false">IFERROR(__xludf.dummyfunction("if($T35&lt;&gt;"""",VALUE(REGEXEXTRACT(SUBSTITUTE ($T35,F$1&amp;"" CE"",""""), F$1&amp;""[\w &amp;]*, (\d+\.\d+)"")),"""")
"),200)</f>
        <v>200</v>
      </c>
      <c r="G35" s="3" t="n">
        <f aca="false">IFERROR(__xludf.dummyfunction("if($T35&lt;&gt;"""",VALUE(REGEXEXTRACT($T35, G$1&amp;""[\w &amp;]*, (\d+\.\d+)"")),"""")
"),208)</f>
        <v>208</v>
      </c>
      <c r="H35" s="3" t="n">
        <f aca="false">IFERROR(__xludf.dummyfunction("if($T35&lt;&gt;"""",VALUE(REGEXEXTRACT($T35, H$1&amp;""[\w &amp;]*, (\d+\.\d+)"")),"""")
"),204)</f>
        <v>204</v>
      </c>
      <c r="I35" s="3" t="n">
        <f aca="false">IFERROR(__xludf.dummyfunction("if($T35&lt;&gt;"""",VALUE(REGEXEXTRACT(SUBSTITUTE ($T35,I$1&amp;"" CE"",""""), I$1&amp;""[\w &amp;]*, (\d+\.\d+)"")),"""")
"),200)</f>
        <v>200</v>
      </c>
      <c r="J35" s="3" t="n">
        <f aca="false">IFERROR(__xludf.dummyfunction("if($T35&lt;&gt;"""",VALUE(REGEXEXTRACT($T35, J$1&amp;""[\w &amp;]*, (\d+\.\d+)"")),"""")
"),202)</f>
        <v>202</v>
      </c>
      <c r="K35" s="3" t="n">
        <f aca="false">IFERROR(__xludf.dummyfunction("if($T35&lt;&gt;"""",VALUE(REGEXEXTRACT($T35, K$1&amp;""[\w &amp;]*, (\d+\.\d+)"")),"""")
"),205)</f>
        <v>205</v>
      </c>
      <c r="L35" s="3" t="n">
        <f aca="false">IFERROR(__xludf.dummyfunction("if($T35&lt;&gt;"""",VALUE(REGEXEXTRACT(SUBSTITUTE ($T35,L$1&amp;"" CE"",""""), L$1&amp;""[\w &amp;]*, (\d+\.\d+)"")),"""")
"),204)</f>
        <v>204</v>
      </c>
      <c r="M35" s="3" t="n">
        <f aca="false">IFERROR(__xludf.dummyfunction("if($T35&lt;&gt;"""",VALUE(REGEXEXTRACT($T35, M$1&amp;""[\w &amp;]*, (\d+\.\d+)"")),"""")
"),204)</f>
        <v>204</v>
      </c>
      <c r="N35" s="3" t="n">
        <f aca="false">IFERROR(__xludf.dummyfunction("if($T35&lt;&gt;"""",VALUE(REGEXEXTRACT(SUBSTITUTE ($T35,N$1&amp;"" CE"",""""), N$1&amp;""[\w &amp;]*, (\d+\.\d+)"")),"""")
"),200)</f>
        <v>200</v>
      </c>
      <c r="O35" s="3" t="n">
        <f aca="false">IFERROR(__xludf.dummyfunction("if($T35&lt;&gt;"""",VALUE(REGEXEXTRACT($T35, O$1&amp;""[\w &amp;]*, (\d+\.\d+)"")),"""")
"),202)</f>
        <v>202</v>
      </c>
      <c r="P35" s="2" t="n">
        <f aca="false">IFERROR(__xludf.dummyfunction("if($T35&lt;&gt;"""",VALUE(REGEXEXTRACT($T35, P$1&amp;""[\w &amp;]*, (\d+\.\d+)"")),"""")
"),200.92)</f>
        <v>200.92</v>
      </c>
      <c r="Q35" s="2" t="n">
        <f aca="false">IFERROR(__xludf.dummyfunction("if($T35&lt;&gt;"""",VALUE(REGEXEXTRACT($T35, Q$1&amp;""[\w &amp;]*, (\d+\.\d+)"")),"""")
"),200.19)</f>
        <v>200.19</v>
      </c>
      <c r="R35" s="2" t="n">
        <f aca="false">IFERROR(__xludf.dummyfunction("if($T35&lt;&gt;"""",VALUE(REGEXEXTRACT($T35, SUBSTITUTE(R$1, ""+"", ""\+"")&amp;""[\w &amp;]*, (\d+\.\d+)"")),"""")"),204.2)</f>
        <v>204.2</v>
      </c>
      <c r="S35" s="2" t="n">
        <f aca="false">IFERROR(__xludf.dummyfunction("if($T35&lt;&gt;"""",VALUE(REGEXEXTRACT($T35, SUBSTITUTE(S$1, ""+"", ""\+"")&amp;""[\w &amp;]*, (\d+\.\d+)"")),"""")"),204.93)</f>
        <v>204.93</v>
      </c>
      <c r="T35" s="5" t="s">
        <v>657</v>
      </c>
    </row>
    <row r="36" customFormat="false" ht="15.75" hidden="false" customHeight="false" outlineLevel="0" collapsed="false">
      <c r="A36" s="4" t="n">
        <f aca="false">IFERROR(__xludf.dummyfunction("""COMPUTED_VALUE"""),45457.6666666667)</f>
        <v>45457.6666666667</v>
      </c>
      <c r="B36" s="2" t="n">
        <f aca="false">IFERROR(__xludf.dummyfunction("""COMPUTED_VALUE"""),199.56)</f>
        <v>199.56</v>
      </c>
      <c r="C36" s="2" t="n">
        <f aca="false">IFERROR(__xludf.dummyfunction("""COMPUTED_VALUE"""),200.04)</f>
        <v>200.04</v>
      </c>
      <c r="D36" s="2" t="n">
        <f aca="false">IFERROR(__xludf.dummyfunction("""COMPUTED_VALUE"""),197.94)</f>
        <v>197.94</v>
      </c>
      <c r="E36" s="2" t="n">
        <f aca="false">IFERROR(__xludf.dummyfunction("""COMPUTED_VALUE"""),198.73)</f>
        <v>198.73</v>
      </c>
      <c r="F36" s="3" t="n">
        <f aca="false">IFERROR(__xludf.dummyfunction("if($T36&lt;&gt;"""",VALUE(REGEXEXTRACT(SUBSTITUTE ($T36,F$1&amp;"" CE"",""""), F$1&amp;""[\w &amp;]*, (\d+\.\d+)"")),"""")
"),200)</f>
        <v>200</v>
      </c>
      <c r="G36" s="3" t="n">
        <f aca="false">IFERROR(__xludf.dummyfunction("if($T36&lt;&gt;"""",VALUE(REGEXEXTRACT($T36, G$1&amp;""[\w &amp;]*, (\d+\.\d+)"")),"""")
"),205)</f>
        <v>205</v>
      </c>
      <c r="H36" s="3" t="n">
        <f aca="false">IFERROR(__xludf.dummyfunction("if($T36&lt;&gt;"""",VALUE(REGEXEXTRACT($T36, H$1&amp;""[\w &amp;]*, (\d+\.\d+)"")),"""")
"),204)</f>
        <v>204</v>
      </c>
      <c r="I36" s="3" t="n">
        <f aca="false">IFERROR(__xludf.dummyfunction("if($T36&lt;&gt;"""",VALUE(REGEXEXTRACT(SUBSTITUTE ($T36,I$1&amp;"" CE"",""""), I$1&amp;""[\w &amp;]*, (\d+\.\d+)"")),"""")
"),200)</f>
        <v>200</v>
      </c>
      <c r="J36" s="3" t="n">
        <f aca="false">IFERROR(__xludf.dummyfunction("if($T36&lt;&gt;"""",VALUE(REGEXEXTRACT($T36, J$1&amp;""[\w &amp;]*, (\d+\.\d+)"")),"""")
"),200)</f>
        <v>200</v>
      </c>
      <c r="K36" s="3" t="n">
        <f aca="false">IFERROR(__xludf.dummyfunction("if($T36&lt;&gt;"""",VALUE(REGEXEXTRACT($T36, K$1&amp;""[\w &amp;]*, (\d+\.\d+)"")),"""")
"),205)</f>
        <v>205</v>
      </c>
      <c r="L36" s="3" t="n">
        <f aca="false">IFERROR(__xludf.dummyfunction("if($T36&lt;&gt;"""",VALUE(REGEXEXTRACT(SUBSTITUTE ($T36,L$1&amp;"" CE"",""""), L$1&amp;""[\w &amp;]*, (\d+\.\d+)"")),"""")
"),204)</f>
        <v>204</v>
      </c>
      <c r="M36" s="3" t="n">
        <f aca="false">IFERROR(__xludf.dummyfunction("if($T36&lt;&gt;"""",VALUE(REGEXEXTRACT($T36, M$1&amp;""[\w &amp;]*, (\d+\.\d+)"")),"""")
"),203)</f>
        <v>203</v>
      </c>
      <c r="N36" s="3" t="n">
        <f aca="false">IFERROR(__xludf.dummyfunction("if($T36&lt;&gt;"""",VALUE(REGEXEXTRACT(SUBSTITUTE ($T36,N$1&amp;"" CE"",""""), N$1&amp;""[\w &amp;]*, (\d+\.\d+)"")),"""")
"),200)</f>
        <v>200</v>
      </c>
      <c r="O36" s="3" t="n">
        <f aca="false">IFERROR(__xludf.dummyfunction("if($T36&lt;&gt;"""",VALUE(REGEXEXTRACT($T36, O$1&amp;""[\w &amp;]*, (\d+\.\d+)"")),"""")
"),202)</f>
        <v>202</v>
      </c>
      <c r="P36" s="2" t="n">
        <f aca="false">IFERROR(__xludf.dummyfunction("if($T36&lt;&gt;"""",VALUE(REGEXEXTRACT($T36, P$1&amp;""[\w &amp;]*, (\d+\.\d+)"")),"""")
"),197.63)</f>
        <v>197.63</v>
      </c>
      <c r="Q36" s="2" t="n">
        <f aca="false">IFERROR(__xludf.dummyfunction("if($T36&lt;&gt;"""",VALUE(REGEXEXTRACT($T36, Q$1&amp;""[\w &amp;]*, (\d+\.\d+)"")),"""")
"),195.84)</f>
        <v>195.84</v>
      </c>
      <c r="R36" s="2" t="n">
        <f aca="false">IFERROR(__xludf.dummyfunction("if($T36&lt;&gt;"""",VALUE(REGEXEXTRACT($T36, SUBSTITUTE(R$1, ""+"", ""\+"")&amp;""[\w &amp;]*, (\d+\.\d+)"")),"""")"),201.23)</f>
        <v>201.23</v>
      </c>
      <c r="S36" s="2" t="n">
        <f aca="false">IFERROR(__xludf.dummyfunction("if($T36&lt;&gt;"""",VALUE(REGEXEXTRACT($T36, SUBSTITUTE(S$1, ""+"", ""\+"")&amp;""[\w &amp;]*, (\d+\.\d+)"")),"""")"),203.02)</f>
        <v>203.02</v>
      </c>
      <c r="T36" s="5" t="s">
        <v>658</v>
      </c>
    </row>
    <row r="37" customFormat="false" ht="15.75" hidden="false" customHeight="false" outlineLevel="0" collapsed="false">
      <c r="A37" s="4" t="n">
        <f aca="false">IFERROR(__xludf.dummyfunction("""COMPUTED_VALUE"""),45460.6666666667)</f>
        <v>45460.6666666667</v>
      </c>
      <c r="B37" s="2" t="n">
        <f aca="false">IFERROR(__xludf.dummyfunction("""COMPUTED_VALUE"""),198.12)</f>
        <v>198.12</v>
      </c>
      <c r="C37" s="2" t="n">
        <f aca="false">IFERROR(__xludf.dummyfunction("""COMPUTED_VALUE"""),200.95)</f>
        <v>200.95</v>
      </c>
      <c r="D37" s="2" t="n">
        <f aca="false">IFERROR(__xludf.dummyfunction("""COMPUTED_VALUE"""),197.41)</f>
        <v>197.41</v>
      </c>
      <c r="E37" s="2" t="n">
        <f aca="false">IFERROR(__xludf.dummyfunction("""COMPUTED_VALUE"""),200.4)</f>
        <v>200.4</v>
      </c>
      <c r="F37" s="3" t="n">
        <f aca="false">IFERROR(__xludf.dummyfunction("if($T37&lt;&gt;"""",VALUE(REGEXEXTRACT(SUBSTITUTE ($T37,F$1&amp;"" CE"",""""), F$1&amp;""[\w &amp;]*, (\d+\.\d+)"")),"""")
"),200)</f>
        <v>200</v>
      </c>
      <c r="G37" s="3" t="n">
        <f aca="false">IFERROR(__xludf.dummyfunction("if($T37&lt;&gt;"""",VALUE(REGEXEXTRACT($T37, G$1&amp;""[\w &amp;]*, (\d+\.\d+)"")),"""")
"),201)</f>
        <v>201</v>
      </c>
      <c r="H37" s="3" t="n">
        <f aca="false">IFERROR(__xludf.dummyfunction("if($T37&lt;&gt;"""",VALUE(REGEXEXTRACT($T37, H$1&amp;""[\w &amp;]*, (\d+\.\d+)"")),"""")
"),204)</f>
        <v>204</v>
      </c>
      <c r="I37" s="3" t="n">
        <f aca="false">IFERROR(__xludf.dummyfunction("if($T37&lt;&gt;"""",VALUE(REGEXEXTRACT(SUBSTITUTE ($T37,I$1&amp;"" CE"",""""), I$1&amp;""[\w &amp;]*, (\d+\.\d+)"")),"""")
"),200)</f>
        <v>200</v>
      </c>
      <c r="J37" s="3" t="n">
        <f aca="false">IFERROR(__xludf.dummyfunction("if($T37&lt;&gt;"""",VALUE(REGEXEXTRACT($T37, J$1&amp;""[\w &amp;]*, (\d+\.\d+)"")),"""")
"),195)</f>
        <v>195</v>
      </c>
      <c r="K37" s="3" t="n">
        <f aca="false">IFERROR(__xludf.dummyfunction("if($T37&lt;&gt;"""",VALUE(REGEXEXTRACT($T37, K$1&amp;""[\w &amp;]*, (\d+\.\d+)"")),"""")
"),203)</f>
        <v>203</v>
      </c>
      <c r="L37" s="3" t="n">
        <f aca="false">IFERROR(__xludf.dummyfunction("if($T37&lt;&gt;"""",VALUE(REGEXEXTRACT(SUBSTITUTE ($T37,L$1&amp;"" CE"",""""), L$1&amp;""[\w &amp;]*, (\d+\.\d+)"")),"""")
"),204)</f>
        <v>204</v>
      </c>
      <c r="M37" s="3" t="n">
        <f aca="false">IFERROR(__xludf.dummyfunction("if($T37&lt;&gt;"""",VALUE(REGEXEXTRACT($T37, M$1&amp;""[\w &amp;]*, (\d+\.\d+)"")),"""")
"),198)</f>
        <v>198</v>
      </c>
      <c r="N37" s="3" t="n">
        <f aca="false">IFERROR(__xludf.dummyfunction("if($T37&lt;&gt;"""",VALUE(REGEXEXTRACT(SUBSTITUTE ($T37,N$1&amp;"" CE"",""""), N$1&amp;""[\w &amp;]*, (\d+\.\d+)"")),"""")
"),200)</f>
        <v>200</v>
      </c>
      <c r="O37" s="3" t="n">
        <f aca="false">IFERROR(__xludf.dummyfunction("if($T37&lt;&gt;"""",VALUE(REGEXEXTRACT($T37, O$1&amp;""[\w &amp;]*, (\d+\.\d+)"")),"""")
"),200)</f>
        <v>200</v>
      </c>
      <c r="P37" s="2" t="n">
        <f aca="false">IFERROR(__xludf.dummyfunction("if($T37&lt;&gt;"""",VALUE(REGEXEXTRACT($T37, P$1&amp;""[\w &amp;]*, (\d+\.\d+)"")),"""")
"),196.17)</f>
        <v>196.17</v>
      </c>
      <c r="Q37" s="2" t="n">
        <f aca="false">IFERROR(__xludf.dummyfunction("if($T37&lt;&gt;"""",VALUE(REGEXEXTRACT($T37, Q$1&amp;""[\w &amp;]*, (\d+\.\d+)"")),"""")
"),195.45)</f>
        <v>195.45</v>
      </c>
      <c r="R37" s="2" t="n">
        <f aca="false">IFERROR(__xludf.dummyfunction("if($T37&lt;&gt;"""",VALUE(REGEXEXTRACT($T37, SUBSTITUTE(R$1, ""+"", ""\+"")&amp;""[\w &amp;]*, (\d+\.\d+)"")),"""")"),199.63)</f>
        <v>199.63</v>
      </c>
      <c r="S37" s="2" t="n">
        <f aca="false">IFERROR(__xludf.dummyfunction("if($T37&lt;&gt;"""",VALUE(REGEXEXTRACT($T37, SUBSTITUTE(S$1, ""+"", ""\+"")&amp;""[\w &amp;]*, (\d+\.\d+)"")),"""")"),200.35)</f>
        <v>200.35</v>
      </c>
      <c r="T37" s="5" t="s">
        <v>659</v>
      </c>
    </row>
    <row r="38" customFormat="false" ht="15.75" hidden="false" customHeight="false" outlineLevel="0" collapsed="false">
      <c r="A38" s="4" t="n">
        <f aca="false">IFERROR(__xludf.dummyfunction("""COMPUTED_VALUE"""),45461.6666666667)</f>
        <v>45461.6666666667</v>
      </c>
      <c r="B38" s="2" t="n">
        <f aca="false">IFERROR(__xludf.dummyfunction("""COMPUTED_VALUE"""),200.46)</f>
        <v>200.46</v>
      </c>
      <c r="C38" s="2" t="n">
        <f aca="false">IFERROR(__xludf.dummyfunction("""COMPUTED_VALUE"""),201.69)</f>
        <v>201.69</v>
      </c>
      <c r="D38" s="2" t="n">
        <f aca="false">IFERROR(__xludf.dummyfunction("""COMPUTED_VALUE"""),200.03)</f>
        <v>200.03</v>
      </c>
      <c r="E38" s="2" t="n">
        <f aca="false">IFERROR(__xludf.dummyfunction("""COMPUTED_VALUE"""),200.75)</f>
        <v>200.75</v>
      </c>
      <c r="F38" s="3" t="n">
        <f aca="false">IFERROR(__xludf.dummyfunction("if($T38&lt;&gt;"""",VALUE(REGEXEXTRACT(SUBSTITUTE ($T38,F$1&amp;"" CE"",""""), F$1&amp;""[\w &amp;]*, (\d+\.\d+)"")),"""")
"),200)</f>
        <v>200</v>
      </c>
      <c r="G38" s="3" t="n">
        <f aca="false">IFERROR(__xludf.dummyfunction("if($T38&lt;&gt;"""",VALUE(REGEXEXTRACT($T38, G$1&amp;""[\w &amp;]*, (\d+\.\d+)"")),"""")
"),202)</f>
        <v>202</v>
      </c>
      <c r="H38" s="3" t="n">
        <f aca="false">IFERROR(__xludf.dummyfunction("if($T38&lt;&gt;"""",VALUE(REGEXEXTRACT($T38, H$1&amp;""[\w &amp;]*, (\d+\.\d+)"")),"""")
"),202.5)</f>
        <v>202.5</v>
      </c>
      <c r="I38" s="3" t="n">
        <f aca="false">IFERROR(__xludf.dummyfunction("if($T38&lt;&gt;"""",VALUE(REGEXEXTRACT(SUBSTITUTE ($T38,I$1&amp;"" CE"",""""), I$1&amp;""[\w &amp;]*, (\d+\.\d+)"")),"""")
"),200)</f>
        <v>200</v>
      </c>
      <c r="J38" s="3" t="n">
        <f aca="false">IFERROR(__xludf.dummyfunction("if($T38&lt;&gt;"""",VALUE(REGEXEXTRACT($T38, J$1&amp;""[\w &amp;]*, (\d+\.\d+)"")),"""")
"),197)</f>
        <v>197</v>
      </c>
      <c r="K38" s="3" t="n">
        <f aca="false">IFERROR(__xludf.dummyfunction("if($T38&lt;&gt;"""",VALUE(REGEXEXTRACT($T38, K$1&amp;""[\w &amp;]*, (\d+\.\d+)"")),"""")
"),202)</f>
        <v>202</v>
      </c>
      <c r="L38" s="3" t="n">
        <f aca="false">IFERROR(__xludf.dummyfunction("if($T38&lt;&gt;"""",VALUE(REGEXEXTRACT(SUBSTITUTE ($T38,L$1&amp;"" CE"",""""), L$1&amp;""[\w &amp;]*, (\d+\.\d+)"")),"""")
"),201)</f>
        <v>201</v>
      </c>
      <c r="M38" s="3" t="n">
        <f aca="false">IFERROR(__xludf.dummyfunction("if($T38&lt;&gt;"""",VALUE(REGEXEXTRACT($T38, M$1&amp;""[\w &amp;]*, (\d+\.\d+)"")),"""")
"),199)</f>
        <v>199</v>
      </c>
      <c r="N38" s="3" t="n">
        <f aca="false">IFERROR(__xludf.dummyfunction("if($T38&lt;&gt;"""",VALUE(REGEXEXTRACT(SUBSTITUTE ($T38,N$1&amp;"" CE"",""""), N$1&amp;""[\w &amp;]*, (\d+\.\d+)"")),"""")
"),200)</f>
        <v>200</v>
      </c>
      <c r="O38" s="3" t="n">
        <f aca="false">IFERROR(__xludf.dummyfunction("if($T38&lt;&gt;"""",VALUE(REGEXEXTRACT($T38, O$1&amp;""[\w &amp;]*, (\d+\.\d+)"")),"""")
"),200)</f>
        <v>200</v>
      </c>
      <c r="P38" s="2" t="n">
        <f aca="false">IFERROR(__xludf.dummyfunction("if($T38&lt;&gt;"""",VALUE(REGEXEXTRACT($T38, P$1&amp;""[\w &amp;]*, (\d+\.\d+)"")),"""")
"),198.13)</f>
        <v>198.13</v>
      </c>
      <c r="Q38" s="2" t="n">
        <f aca="false">IFERROR(__xludf.dummyfunction("if($T38&lt;&gt;"""",VALUE(REGEXEXTRACT($T38, Q$1&amp;""[\w &amp;]*, (\d+\.\d+)"")),"""")
"),196.8)</f>
        <v>196.8</v>
      </c>
      <c r="R38" s="2" t="n">
        <f aca="false">IFERROR(__xludf.dummyfunction("if($T38&lt;&gt;"""",VALUE(REGEXEXTRACT($T38, SUBSTITUTE(R$1, ""+"", ""\+"")&amp;""[\w &amp;]*, (\d+\.\d+)"")),"""")"),201.75)</f>
        <v>201.75</v>
      </c>
      <c r="S38" s="2" t="n">
        <f aca="false">IFERROR(__xludf.dummyfunction("if($T38&lt;&gt;"""",VALUE(REGEXEXTRACT($T38, SUBSTITUTE(S$1, ""+"", ""\+"")&amp;""[\w &amp;]*, (\d+\.\d+)"")),"""")"),203.08)</f>
        <v>203.08</v>
      </c>
      <c r="T38" s="5" t="s">
        <v>660</v>
      </c>
    </row>
    <row r="39" customFormat="false" ht="15.75" hidden="false" customHeight="false" outlineLevel="0" collapsed="false">
      <c r="A39" s="4" t="n">
        <f aca="false">IFERROR(__xludf.dummyfunction("""COMPUTED_VALUE"""),45463.6666666667)</f>
        <v>45463.6666666667</v>
      </c>
      <c r="B39" s="2" t="n">
        <f aca="false">IFERROR(__xludf.dummyfunction("""COMPUTED_VALUE"""),200.32)</f>
        <v>200.32</v>
      </c>
      <c r="C39" s="2" t="n">
        <f aca="false">IFERROR(__xludf.dummyfunction("""COMPUTED_VALUE"""),201.86)</f>
        <v>201.86</v>
      </c>
      <c r="D39" s="2" t="n">
        <f aca="false">IFERROR(__xludf.dummyfunction("""COMPUTED_VALUE"""),199.22)</f>
        <v>199.22</v>
      </c>
      <c r="E39" s="2" t="n">
        <f aca="false">IFERROR(__xludf.dummyfunction("""COMPUTED_VALUE"""),199.9)</f>
        <v>199.9</v>
      </c>
      <c r="F39" s="3" t="n">
        <f aca="false">IFERROR(__xludf.dummyfunction("if($T39&lt;&gt;"""",VALUE(REGEXEXTRACT(SUBSTITUTE ($T39,F$1&amp;"" CE"",""""), F$1&amp;""[\w &amp;]*, (\d+\.\d+)"")),"""")
"),200)</f>
        <v>200</v>
      </c>
      <c r="G39" s="3" t="n">
        <f aca="false">IFERROR(__xludf.dummyfunction("if($T39&lt;&gt;"""",VALUE(REGEXEXTRACT($T39, G$1&amp;""[\w &amp;]*, (\d+\.\d+)"")),"""")
"),202)</f>
        <v>202</v>
      </c>
      <c r="H39" s="3" t="n">
        <f aca="false">IFERROR(__xludf.dummyfunction("if($T39&lt;&gt;"""",VALUE(REGEXEXTRACT($T39, H$1&amp;""[\w &amp;]*, (\d+\.\d+)"")),"""")
"),202.5)</f>
        <v>202.5</v>
      </c>
      <c r="I39" s="3" t="n">
        <f aca="false">IFERROR(__xludf.dummyfunction("if($T39&lt;&gt;"""",VALUE(REGEXEXTRACT(SUBSTITUTE ($T39,I$1&amp;"" CE"",""""), I$1&amp;""[\w &amp;]*, (\d+\.\d+)"")),"""")
"),200)</f>
        <v>200</v>
      </c>
      <c r="J39" s="3" t="n">
        <f aca="false">IFERROR(__xludf.dummyfunction("if($T39&lt;&gt;"""",VALUE(REGEXEXTRACT($T39, J$1&amp;""[\w &amp;]*, (\d+\.\d+)"")),"""")
"),200)</f>
        <v>200</v>
      </c>
      <c r="K39" s="3" t="n">
        <f aca="false">IFERROR(__xludf.dummyfunction("if($T39&lt;&gt;"""",VALUE(REGEXEXTRACT($T39, K$1&amp;""[\w &amp;]*, (\d+\.\d+)"")),"""")
"),202)</f>
        <v>202</v>
      </c>
      <c r="L39" s="3" t="n">
        <f aca="false">IFERROR(__xludf.dummyfunction("if($T39&lt;&gt;"""",VALUE(REGEXEXTRACT(SUBSTITUTE ($T39,L$1&amp;"" CE"",""""), L$1&amp;""[\w &amp;]*, (\d+\.\d+)"")),"""")
"),202.5)</f>
        <v>202.5</v>
      </c>
      <c r="M39" s="3" t="n">
        <f aca="false">IFERROR(__xludf.dummyfunction("if($T39&lt;&gt;"""",VALUE(REGEXEXTRACT($T39, M$1&amp;""[\w &amp;]*, (\d+\.\d+)"")),"""")
"),200)</f>
        <v>200</v>
      </c>
      <c r="N39" s="3" t="n">
        <f aca="false">IFERROR(__xludf.dummyfunction("if($T39&lt;&gt;"""",VALUE(REGEXEXTRACT(SUBSTITUTE ($T39,N$1&amp;"" CE"",""""), N$1&amp;""[\w &amp;]*, (\d+\.\d+)"")),"""")
"),200)</f>
        <v>200</v>
      </c>
      <c r="O39" s="3" t="n">
        <f aca="false">IFERROR(__xludf.dummyfunction("if($T39&lt;&gt;"""",VALUE(REGEXEXTRACT($T39, O$1&amp;""[\w &amp;]*, (\d+\.\d+)"")),"""")
"),200)</f>
        <v>200</v>
      </c>
      <c r="P39" s="2" t="n">
        <f aca="false">IFERROR(__xludf.dummyfunction("if($T39&lt;&gt;"""",VALUE(REGEXEXTRACT($T39, P$1&amp;""[\w &amp;]*, (\d+\.\d+)"")),"""")
"),199.71)</f>
        <v>199.71</v>
      </c>
      <c r="Q39" s="2" t="n">
        <f aca="false">IFERROR(__xludf.dummyfunction("if($T39&lt;&gt;"""",VALUE(REGEXEXTRACT($T39, Q$1&amp;""[\w &amp;]*, (\d+\.\d+)"")),"""")
"),199.02)</f>
        <v>199.02</v>
      </c>
      <c r="R39" s="2" t="n">
        <f aca="false">IFERROR(__xludf.dummyfunction("if($T39&lt;&gt;"""",VALUE(REGEXEXTRACT($T39, SUBSTITUTE(R$1, ""+"", ""\+"")&amp;""[\w &amp;]*, (\d+\.\d+)"")),"""")"),203.03)</f>
        <v>203.03</v>
      </c>
      <c r="S39" s="2" t="n">
        <f aca="false">IFERROR(__xludf.dummyfunction("if($T39&lt;&gt;"""",VALUE(REGEXEXTRACT($T39, SUBSTITUTE(S$1, ""+"", ""\+"")&amp;""[\w &amp;]*, (\d+\.\d+)"")),"""")"),203.72)</f>
        <v>203.72</v>
      </c>
      <c r="T39" s="5" t="s">
        <v>661</v>
      </c>
    </row>
    <row r="40" customFormat="false" ht="15.75" hidden="false" customHeight="false" outlineLevel="0" collapsed="false">
      <c r="A40" s="4" t="n">
        <f aca="false">IFERROR(__xludf.dummyfunction("""COMPUTED_VALUE"""),45464.6666666667)</f>
        <v>45464.6666666667</v>
      </c>
      <c r="B40" s="2" t="n">
        <f aca="false">IFERROR(__xludf.dummyfunction("""COMPUTED_VALUE"""),199.93)</f>
        <v>199.93</v>
      </c>
      <c r="C40" s="2" t="n">
        <f aca="false">IFERROR(__xludf.dummyfunction("""COMPUTED_VALUE"""),200.41)</f>
        <v>200.41</v>
      </c>
      <c r="D40" s="2" t="n">
        <f aca="false">IFERROR(__xludf.dummyfunction("""COMPUTED_VALUE"""),198.46)</f>
        <v>198.46</v>
      </c>
      <c r="E40" s="2" t="n">
        <f aca="false">IFERROR(__xludf.dummyfunction("""COMPUTED_VALUE"""),200.35)</f>
        <v>200.35</v>
      </c>
      <c r="F40" s="3" t="n">
        <f aca="false">IFERROR(__xludf.dummyfunction("if($T40&lt;&gt;"""",VALUE(REGEXEXTRACT(SUBSTITUTE ($T40,F$1&amp;"" CE"",""""), F$1&amp;""[\w &amp;]*, (\d+\.\d+)"")),"""")
"),200)</f>
        <v>200</v>
      </c>
      <c r="G40" s="3" t="n">
        <f aca="false">IFERROR(__xludf.dummyfunction("if($T40&lt;&gt;"""",VALUE(REGEXEXTRACT($T40, G$1&amp;""[\w &amp;]*, (\d+\.\d+)"")),"""")
"),203)</f>
        <v>203</v>
      </c>
      <c r="H40" s="3" t="n">
        <f aca="false">IFERROR(__xludf.dummyfunction("if($T40&lt;&gt;"""",VALUE(REGEXEXTRACT($T40, H$1&amp;""[\w &amp;]*, (\d+\.\d+)"")),"""")
"),202.5)</f>
        <v>202.5</v>
      </c>
      <c r="I40" s="3" t="n">
        <f aca="false">IFERROR(__xludf.dummyfunction("if($T40&lt;&gt;"""",VALUE(REGEXEXTRACT(SUBSTITUTE ($T40,I$1&amp;"" CE"",""""), I$1&amp;""[\w &amp;]*, (\d+\.\d+)"")),"""")
"),200)</f>
        <v>200</v>
      </c>
      <c r="J40" s="3" t="n">
        <f aca="false">IFERROR(__xludf.dummyfunction("if($T40&lt;&gt;"""",VALUE(REGEXEXTRACT($T40, J$1&amp;""[\w &amp;]*, (\d+\.\d+)"")),"""")
"),200)</f>
        <v>200</v>
      </c>
      <c r="K40" s="3" t="n">
        <f aca="false">IFERROR(__xludf.dummyfunction("if($T40&lt;&gt;"""",VALUE(REGEXEXTRACT($T40, K$1&amp;""[\w &amp;]*, (\d+\.\d+)"")),"""")
"),202)</f>
        <v>202</v>
      </c>
      <c r="L40" s="3" t="n">
        <f aca="false">IFERROR(__xludf.dummyfunction("if($T40&lt;&gt;"""",VALUE(REGEXEXTRACT(SUBSTITUTE ($T40,L$1&amp;"" CE"",""""), L$1&amp;""[\w &amp;]*, (\d+\.\d+)"")),"""")
"),201)</f>
        <v>201</v>
      </c>
      <c r="M40" s="3" t="n">
        <f aca="false">IFERROR(__xludf.dummyfunction("if($T40&lt;&gt;"""",VALUE(REGEXEXTRACT($T40, M$1&amp;""[\w &amp;]*, (\d+\.\d+)"")),"""")
"),201)</f>
        <v>201</v>
      </c>
      <c r="N40" s="3" t="n">
        <f aca="false">IFERROR(__xludf.dummyfunction("if($T40&lt;&gt;"""",VALUE(REGEXEXTRACT(SUBSTITUTE ($T40,N$1&amp;"" CE"",""""), N$1&amp;""[\w &amp;]*, (\d+\.\d+)"")),"""")
"),200)</f>
        <v>200</v>
      </c>
      <c r="O40" s="3" t="n">
        <f aca="false">IFERROR(__xludf.dummyfunction("if($T40&lt;&gt;"""",VALUE(REGEXEXTRACT($T40, O$1&amp;""[\w &amp;]*, (\d+\.\d+)"")),"""")
"),200)</f>
        <v>200</v>
      </c>
      <c r="P40" s="2" t="n">
        <f aca="false">IFERROR(__xludf.dummyfunction("if($T40&lt;&gt;"""",VALUE(REGEXEXTRACT($T40, P$1&amp;""[\w &amp;]*, (\d+\.\d+)"")),"""")
"),198.14)</f>
        <v>198.14</v>
      </c>
      <c r="Q40" s="2" t="n">
        <f aca="false">IFERROR(__xludf.dummyfunction("if($T40&lt;&gt;"""",VALUE(REGEXEXTRACT($T40, Q$1&amp;""[\w &amp;]*, (\d+\.\d+)"")),"""")
"),196.32)</f>
        <v>196.32</v>
      </c>
      <c r="R40" s="2" t="n">
        <f aca="false">IFERROR(__xludf.dummyfunction("if($T40&lt;&gt;"""",VALUE(REGEXEXTRACT($T40, SUBSTITUTE(R$1, ""+"", ""\+"")&amp;""[\w &amp;]*, (\d+\.\d+)"")),"""")"),201.78)</f>
        <v>201.78</v>
      </c>
      <c r="S40" s="2" t="n">
        <f aca="false">IFERROR(__xludf.dummyfunction("if($T40&lt;&gt;"""",VALUE(REGEXEXTRACT($T40, SUBSTITUTE(S$1, ""+"", ""\+"")&amp;""[\w &amp;]*, (\d+\.\d+)"")),"""")"),203.6)</f>
        <v>203.6</v>
      </c>
      <c r="T40" s="5" t="s">
        <v>662</v>
      </c>
    </row>
    <row r="41" customFormat="false" ht="15.75" hidden="false" customHeight="false" outlineLevel="0" collapsed="false">
      <c r="A41" s="4" t="n">
        <f aca="false">IFERROR(__xludf.dummyfunction("""COMPUTED_VALUE"""),45467.6666666667)</f>
        <v>45467.6666666667</v>
      </c>
      <c r="B41" s="2" t="n">
        <f aca="false">IFERROR(__xludf.dummyfunction("""COMPUTED_VALUE"""),200.69)</f>
        <v>200.69</v>
      </c>
      <c r="C41" s="2" t="n">
        <f aca="false">IFERROR(__xludf.dummyfunction("""COMPUTED_VALUE"""),202.69)</f>
        <v>202.69</v>
      </c>
      <c r="D41" s="2" t="n">
        <f aca="false">IFERROR(__xludf.dummyfunction("""COMPUTED_VALUE"""),200.53)</f>
        <v>200.53</v>
      </c>
      <c r="E41" s="2" t="n">
        <f aca="false">IFERROR(__xludf.dummyfunction("""COMPUTED_VALUE"""),201.22)</f>
        <v>201.22</v>
      </c>
      <c r="F41" s="3" t="n">
        <f aca="false">IFERROR(__xludf.dummyfunction("if($T41&lt;&gt;"""",VALUE(REGEXEXTRACT(SUBSTITUTE ($T41,F$1&amp;"" CE"",""""), F$1&amp;""[\w &amp;]*, (\d+\.\d+)"")),"""")
"),200)</f>
        <v>200</v>
      </c>
      <c r="G41" s="3" t="n">
        <f aca="false">IFERROR(__xludf.dummyfunction("if($T41&lt;&gt;"""",VALUE(REGEXEXTRACT($T41, G$1&amp;""[\w &amp;]*, (\d+\.\d+)"")),"""")
"),200)</f>
        <v>200</v>
      </c>
      <c r="H41" s="3" t="n">
        <f aca="false">IFERROR(__xludf.dummyfunction("if($T41&lt;&gt;"""",VALUE(REGEXEXTRACT($T41, H$1&amp;""[\w &amp;]*, (\d+\.\d+)"")),"""")
"),204)</f>
        <v>204</v>
      </c>
      <c r="I41" s="3" t="n">
        <f aca="false">IFERROR(__xludf.dummyfunction("if($T41&lt;&gt;"""",VALUE(REGEXEXTRACT(SUBSTITUTE ($T41,I$1&amp;"" CE"",""""), I$1&amp;""[\w &amp;]*, (\d+\.\d+)"")),"""")
"),195)</f>
        <v>195</v>
      </c>
      <c r="J41" s="3" t="n">
        <f aca="false">IFERROR(__xludf.dummyfunction("if($T41&lt;&gt;"""",VALUE(REGEXEXTRACT($T41, J$1&amp;""[\w &amp;]*, (\d+\.\d+)"")),"""")
"),199)</f>
        <v>199</v>
      </c>
      <c r="K41" s="3" t="n">
        <f aca="false">IFERROR(__xludf.dummyfunction("if($T41&lt;&gt;"""",VALUE(REGEXEXTRACT($T41, K$1&amp;""[\w &amp;]*, (\d+\.\d+)"")),"""")
"),202)</f>
        <v>202</v>
      </c>
      <c r="L41" s="3" t="n">
        <f aca="false">IFERROR(__xludf.dummyfunction("if($T41&lt;&gt;"""",VALUE(REGEXEXTRACT(SUBSTITUTE ($T41,L$1&amp;"" CE"",""""), L$1&amp;""[\w &amp;]*, (\d+\.\d+)"")),"""")
"),201)</f>
        <v>201</v>
      </c>
      <c r="M41" s="3" t="n">
        <f aca="false">IFERROR(__xludf.dummyfunction("if($T41&lt;&gt;"""",VALUE(REGEXEXTRACT($T41, M$1&amp;""[\w &amp;]*, (\d+\.\d+)"")),"""")
"),199)</f>
        <v>199</v>
      </c>
      <c r="N41" s="3" t="n">
        <f aca="false">IFERROR(__xludf.dummyfunction("if($T41&lt;&gt;"""",VALUE(REGEXEXTRACT(SUBSTITUTE ($T41,N$1&amp;"" CE"",""""), N$1&amp;""[\w &amp;]*, (\d+\.\d+)"")),"""")
"),200)</f>
        <v>200</v>
      </c>
      <c r="O41" s="3" t="n">
        <f aca="false">IFERROR(__xludf.dummyfunction("if($T41&lt;&gt;"""",VALUE(REGEXEXTRACT($T41, O$1&amp;""[\w &amp;]*, (\d+\.\d+)"")),"""")
"),200)</f>
        <v>200</v>
      </c>
      <c r="P41" s="2" t="n">
        <f aca="false">IFERROR(__xludf.dummyfunction("if($T41&lt;&gt;"""",VALUE(REGEXEXTRACT($T41, P$1&amp;""[\w &amp;]*, (\d+\.\d+)"")),"""")
"),199.26)</f>
        <v>199.26</v>
      </c>
      <c r="Q41" s="2" t="n">
        <f aca="false">IFERROR(__xludf.dummyfunction("if($T41&lt;&gt;"""",VALUE(REGEXEXTRACT($T41, Q$1&amp;""[\w &amp;]*, (\d+\.\d+)"")),"""")
"),198.6)</f>
        <v>198.6</v>
      </c>
      <c r="R41" s="2" t="n">
        <f aca="false">IFERROR(__xludf.dummyfunction("if($T41&lt;&gt;"""",VALUE(REGEXEXTRACT($T41, SUBSTITUTE(R$1, ""+"", ""\+"")&amp;""[\w &amp;]*, (\d+\.\d+)"")),"""")"),202.42)</f>
        <v>202.42</v>
      </c>
      <c r="S41" s="2" t="n">
        <f aca="false">IFERROR(__xludf.dummyfunction("if($T41&lt;&gt;"""",VALUE(REGEXEXTRACT($T41, SUBSTITUTE(S$1, ""+"", ""\+"")&amp;""[\w &amp;]*, (\d+\.\d+)"")),"""")"),203.08)</f>
        <v>203.08</v>
      </c>
      <c r="T41" s="5" t="s">
        <v>663</v>
      </c>
    </row>
    <row r="42" customFormat="false" ht="15.75" hidden="false" customHeight="false" outlineLevel="0" collapsed="false">
      <c r="A42" s="4" t="n">
        <f aca="false">IFERROR(__xludf.dummyfunction("""COMPUTED_VALUE"""),45468.6666666667)</f>
        <v>45468.6666666667</v>
      </c>
      <c r="B42" s="2" t="n">
        <f aca="false">IFERROR(__xludf.dummyfunction("""COMPUTED_VALUE"""),201.13)</f>
        <v>201.13</v>
      </c>
      <c r="C42" s="2" t="n">
        <f aca="false">IFERROR(__xludf.dummyfunction("""COMPUTED_VALUE"""),201.16)</f>
        <v>201.16</v>
      </c>
      <c r="D42" s="2" t="n">
        <f aca="false">IFERROR(__xludf.dummyfunction("""COMPUTED_VALUE"""),199.82)</f>
        <v>199.82</v>
      </c>
      <c r="E42" s="2" t="n">
        <f aca="false">IFERROR(__xludf.dummyfunction("""COMPUTED_VALUE"""),200.56)</f>
        <v>200.56</v>
      </c>
      <c r="F42" s="3" t="n">
        <f aca="false">IFERROR(__xludf.dummyfunction("if($T42&lt;&gt;"""",VALUE(REGEXEXTRACT(SUBSTITUTE ($T42,F$1&amp;"" CE"",""""), F$1&amp;""[\w &amp;]*, (\d+\.\d+)"")),"""")
"),210)</f>
        <v>210</v>
      </c>
      <c r="G42" s="3" t="n">
        <f aca="false">IFERROR(__xludf.dummyfunction("if($T42&lt;&gt;"""",VALUE(REGEXEXTRACT($T42, G$1&amp;""[\w &amp;]*, (\d+\.\d+)"")),"""")
"),202)</f>
        <v>202</v>
      </c>
      <c r="H42" s="3" t="n">
        <f aca="false">IFERROR(__xludf.dummyfunction("if($T42&lt;&gt;"""",VALUE(REGEXEXTRACT($T42, H$1&amp;""[\w &amp;]*, (\d+\.\d+)"")),"""")
"),202.5)</f>
        <v>202.5</v>
      </c>
      <c r="I42" s="3" t="n">
        <f aca="false">IFERROR(__xludf.dummyfunction("if($T42&lt;&gt;"""",VALUE(REGEXEXTRACT(SUBSTITUTE ($T42,I$1&amp;"" CE"",""""), I$1&amp;""[\w &amp;]*, (\d+\.\d+)"")),"""")
"),195)</f>
        <v>195</v>
      </c>
      <c r="J42" s="3" t="n">
        <f aca="false">IFERROR(__xludf.dummyfunction("if($T42&lt;&gt;"""",VALUE(REGEXEXTRACT($T42, J$1&amp;""[\w &amp;]*, (\d+\.\d+)"")),"""")
"),200)</f>
        <v>200</v>
      </c>
      <c r="K42" s="3" t="n">
        <f aca="false">IFERROR(__xludf.dummyfunction("if($T42&lt;&gt;"""",VALUE(REGEXEXTRACT($T42, K$1&amp;""[\w &amp;]*, (\d+\.\d+)"")),"""")
"),202)</f>
        <v>202</v>
      </c>
      <c r="L42" s="3" t="n">
        <f aca="false">IFERROR(__xludf.dummyfunction("if($T42&lt;&gt;"""",VALUE(REGEXEXTRACT(SUBSTITUTE ($T42,L$1&amp;"" CE"",""""), L$1&amp;""[\w &amp;]*, (\d+\.\d+)"")),"""")
"),201)</f>
        <v>201</v>
      </c>
      <c r="M42" s="3" t="n">
        <f aca="false">IFERROR(__xludf.dummyfunction("if($T42&lt;&gt;"""",VALUE(REGEXEXTRACT($T42, M$1&amp;""[\w &amp;]*, (\d+\.\d+)"")),"""")
"),200)</f>
        <v>200</v>
      </c>
      <c r="N42" s="3" t="n">
        <f aca="false">IFERROR(__xludf.dummyfunction("if($T42&lt;&gt;"""",VALUE(REGEXEXTRACT(SUBSTITUTE ($T42,N$1&amp;"" CE"",""""), N$1&amp;""[\w &amp;]*, (\d+\.\d+)"")),"""")
"),200)</f>
        <v>200</v>
      </c>
      <c r="O42" s="3" t="n">
        <f aca="false">IFERROR(__xludf.dummyfunction("if($T42&lt;&gt;"""",VALUE(REGEXEXTRACT($T42, O$1&amp;""[\w &amp;]*, (\d+\.\d+)"")),"""")
"),202)</f>
        <v>202</v>
      </c>
      <c r="P42" s="2" t="n">
        <f aca="false">IFERROR(__xludf.dummyfunction("if($T42&lt;&gt;"""",VALUE(REGEXEXTRACT($T42, P$1&amp;""[\w &amp;]*, (\d+\.\d+)"")),"""")
"),199.49)</f>
        <v>199.49</v>
      </c>
      <c r="Q42" s="2" t="n">
        <f aca="false">IFERROR(__xludf.dummyfunction("if($T42&lt;&gt;"""",VALUE(REGEXEXTRACT($T42, Q$1&amp;""[\w &amp;]*, (\d+\.\d+)"")),"""")
"),198.77)</f>
        <v>198.77</v>
      </c>
      <c r="R42" s="2" t="n">
        <f aca="false">IFERROR(__xludf.dummyfunction("if($T42&lt;&gt;"""",VALUE(REGEXEXTRACT($T42, SUBSTITUTE(R$1, ""+"", ""\+"")&amp;""[\w &amp;]*, (\d+\.\d+)"")),"""")"),202.97)</f>
        <v>202.97</v>
      </c>
      <c r="S42" s="2" t="n">
        <f aca="false">IFERROR(__xludf.dummyfunction("if($T42&lt;&gt;"""",VALUE(REGEXEXTRACT($T42, SUBSTITUTE(S$1, ""+"", ""\+"")&amp;""[\w &amp;]*, (\d+\.\d+)"")),"""")"),203.69)</f>
        <v>203.69</v>
      </c>
      <c r="T42" s="5" t="s">
        <v>664</v>
      </c>
    </row>
    <row r="43" customFormat="false" ht="15.75" hidden="false" customHeight="false" outlineLevel="0" collapsed="false">
      <c r="A43" s="4" t="n">
        <f aca="false">IFERROR(__xludf.dummyfunction("""COMPUTED_VALUE"""),45469.6666666667)</f>
        <v>45469.6666666667</v>
      </c>
      <c r="B43" s="2" t="n">
        <f aca="false">IFERROR(__xludf.dummyfunction("""COMPUTED_VALUE"""),199.33)</f>
        <v>199.33</v>
      </c>
      <c r="C43" s="2" t="n">
        <f aca="false">IFERROR(__xludf.dummyfunction("""COMPUTED_VALUE"""),200.58)</f>
        <v>200.58</v>
      </c>
      <c r="D43" s="2" t="n">
        <f aca="false">IFERROR(__xludf.dummyfunction("""COMPUTED_VALUE"""),198.81)</f>
        <v>198.81</v>
      </c>
      <c r="E43" s="2" t="n">
        <f aca="false">IFERROR(__xludf.dummyfunction("""COMPUTED_VALUE"""),200.03)</f>
        <v>200.03</v>
      </c>
      <c r="F43" s="3" t="n">
        <f aca="false">IFERROR(__xludf.dummyfunction("if($T43&lt;&gt;"""",VALUE(REGEXEXTRACT(SUBSTITUTE ($T43,F$1&amp;"" CE"",""""), F$1&amp;""[\w &amp;]*, (\d+\.\d+)"")),"""")
"),200)</f>
        <v>200</v>
      </c>
      <c r="G43" s="3" t="n">
        <f aca="false">IFERROR(__xludf.dummyfunction("if($T43&lt;&gt;"""",VALUE(REGEXEXTRACT($T43, G$1&amp;""[\w &amp;]*, (\d+\.\d+)"")),"""")
"),201)</f>
        <v>201</v>
      </c>
      <c r="H43" s="3" t="n">
        <f aca="false">IFERROR(__xludf.dummyfunction("if($T43&lt;&gt;"""",VALUE(REGEXEXTRACT($T43, H$1&amp;""[\w &amp;]*, (\d+\.\d+)"")),"""")
"),202.5)</f>
        <v>202.5</v>
      </c>
      <c r="I43" s="3" t="n">
        <f aca="false">IFERROR(__xludf.dummyfunction("if($T43&lt;&gt;"""",VALUE(REGEXEXTRACT(SUBSTITUTE ($T43,I$1&amp;"" CE"",""""), I$1&amp;""[\w &amp;]*, (\d+\.\d+)"")),"""")
"),190)</f>
        <v>190</v>
      </c>
      <c r="J43" s="3" t="n">
        <f aca="false">IFERROR(__xludf.dummyfunction("if($T43&lt;&gt;"""",VALUE(REGEXEXTRACT($T43, J$1&amp;""[\w &amp;]*, (\d+\.\d+)"")),"""")
"),198)</f>
        <v>198</v>
      </c>
      <c r="K43" s="3" t="n">
        <f aca="false">IFERROR(__xludf.dummyfunction("if($T43&lt;&gt;"""",VALUE(REGEXEXTRACT($T43, K$1&amp;""[\w &amp;]*, (\d+\.\d+)"")),"""")
"),202)</f>
        <v>202</v>
      </c>
      <c r="L43" s="3" t="n">
        <f aca="false">IFERROR(__xludf.dummyfunction("if($T43&lt;&gt;"""",VALUE(REGEXEXTRACT(SUBSTITUTE ($T43,L$1&amp;"" CE"",""""), L$1&amp;""[\w &amp;]*, (\d+\.\d+)"")),"""")
"),201)</f>
        <v>201</v>
      </c>
      <c r="M43" s="3" t="n">
        <f aca="false">IFERROR(__xludf.dummyfunction("if($T43&lt;&gt;"""",VALUE(REGEXEXTRACT($T43, M$1&amp;""[\w &amp;]*, (\d+\.\d+)"")),"""")
"),199)</f>
        <v>199</v>
      </c>
      <c r="N43" s="3" t="n">
        <f aca="false">IFERROR(__xludf.dummyfunction("if($T43&lt;&gt;"""",VALUE(REGEXEXTRACT(SUBSTITUTE ($T43,N$1&amp;"" CE"",""""), N$1&amp;""[\w &amp;]*, (\d+\.\d+)"")),"""")
"),200)</f>
        <v>200</v>
      </c>
      <c r="O43" s="3" t="n">
        <f aca="false">IFERROR(__xludf.dummyfunction("if($T43&lt;&gt;"""",VALUE(REGEXEXTRACT($T43, O$1&amp;""[\w &amp;]*, (\d+\.\d+)"")),"""")
"),200)</f>
        <v>200</v>
      </c>
      <c r="P43" s="2" t="n">
        <f aca="false">IFERROR(__xludf.dummyfunction("if($T43&lt;&gt;"""",VALUE(REGEXEXTRACT($T43, P$1&amp;""[\w &amp;]*, (\d+\.\d+)"")),"""")
"),198.63)</f>
        <v>198.63</v>
      </c>
      <c r="Q43" s="2" t="n">
        <f aca="false">IFERROR(__xludf.dummyfunction("if($T43&lt;&gt;"""",VALUE(REGEXEXTRACT($T43, Q$1&amp;""[\w &amp;]*, (\d+\.\d+)"")),"""")
"),197.91)</f>
        <v>197.91</v>
      </c>
      <c r="R43" s="2" t="n">
        <f aca="false">IFERROR(__xludf.dummyfunction("if($T43&lt;&gt;"""",VALUE(REGEXEXTRACT($T43, SUBSTITUTE(R$1, ""+"", ""\+"")&amp;""[\w &amp;]*, (\d+\.\d+)"")),"""")"),202.07)</f>
        <v>202.07</v>
      </c>
      <c r="S43" s="2" t="n">
        <f aca="false">IFERROR(__xludf.dummyfunction("if($T43&lt;&gt;"""",VALUE(REGEXEXTRACT($T43, SUBSTITUTE(S$1, ""+"", ""\+"")&amp;""[\w &amp;]*, (\d+\.\d+)"")),"""")"),202.79)</f>
        <v>202.79</v>
      </c>
      <c r="T43" s="5" t="s">
        <v>665</v>
      </c>
    </row>
    <row r="44" customFormat="false" ht="15.75" hidden="false" customHeight="false" outlineLevel="0" collapsed="false">
      <c r="A44" s="4" t="n">
        <f aca="false">IFERROR(__xludf.dummyfunction("""COMPUTED_VALUE"""),45470.6666666667)</f>
        <v>45470.6666666667</v>
      </c>
      <c r="B44" s="2" t="n">
        <f aca="false">IFERROR(__xludf.dummyfunction("""COMPUTED_VALUE"""),200.63)</f>
        <v>200.63</v>
      </c>
      <c r="C44" s="2" t="n">
        <f aca="false">IFERROR(__xludf.dummyfunction("""COMPUTED_VALUE"""),202.15)</f>
        <v>202.15</v>
      </c>
      <c r="D44" s="2" t="n">
        <f aca="false">IFERROR(__xludf.dummyfunction("""COMPUTED_VALUE"""),199.96)</f>
        <v>199.96</v>
      </c>
      <c r="E44" s="2" t="n">
        <f aca="false">IFERROR(__xludf.dummyfunction("""COMPUTED_VALUE"""),202.06)</f>
        <v>202.06</v>
      </c>
      <c r="F44" s="3" t="n">
        <f aca="false">IFERROR(__xludf.dummyfunction("if($T44&lt;&gt;"""",VALUE(REGEXEXTRACT(SUBSTITUTE ($T44,F$1&amp;"" CE"",""""), F$1&amp;""[\w &amp;]*, (\d+\.\d+)"")),"""")
"),204)</f>
        <v>204</v>
      </c>
      <c r="G44" s="3" t="n">
        <f aca="false">IFERROR(__xludf.dummyfunction("if($T44&lt;&gt;"""",VALUE(REGEXEXTRACT($T44, G$1&amp;""[\w &amp;]*, (\d+\.\d+)"")),"""")
"),200)</f>
        <v>200</v>
      </c>
      <c r="H44" s="3" t="n">
        <f aca="false">IFERROR(__xludf.dummyfunction("if($T44&lt;&gt;"""",VALUE(REGEXEXTRACT($T44, H$1&amp;""[\w &amp;]*, (\d+\.\d+)"")),"""")
"),201)</f>
        <v>201</v>
      </c>
      <c r="I44" s="3" t="n">
        <f aca="false">IFERROR(__xludf.dummyfunction("if($T44&lt;&gt;"""",VALUE(REGEXEXTRACT(SUBSTITUTE ($T44,I$1&amp;"" CE"",""""), I$1&amp;""[\w &amp;]*, (\d+\.\d+)"")),"""")
"),190)</f>
        <v>190</v>
      </c>
      <c r="J44" s="3" t="n">
        <f aca="false">IFERROR(__xludf.dummyfunction("if($T44&lt;&gt;"""",VALUE(REGEXEXTRACT($T44, J$1&amp;""[\w &amp;]*, (\d+\.\d+)"")),"""")
"),199)</f>
        <v>199</v>
      </c>
      <c r="K44" s="3" t="n">
        <f aca="false">IFERROR(__xludf.dummyfunction("if($T44&lt;&gt;"""",VALUE(REGEXEXTRACT($T44, K$1&amp;""[\w &amp;]*, (\d+\.\d+)"")),"""")
"),202)</f>
        <v>202</v>
      </c>
      <c r="L44" s="3" t="n">
        <f aca="false">IFERROR(__xludf.dummyfunction("if($T44&lt;&gt;"""",VALUE(REGEXEXTRACT(SUBSTITUTE ($T44,L$1&amp;"" CE"",""""), L$1&amp;""[\w &amp;]*, (\d+\.\d+)"")),"""")
"),201)</f>
        <v>201</v>
      </c>
      <c r="M44" s="3" t="n">
        <f aca="false">IFERROR(__xludf.dummyfunction("if($T44&lt;&gt;"""",VALUE(REGEXEXTRACT($T44, M$1&amp;""[\w &amp;]*, (\d+\.\d+)"")),"""")
"),199)</f>
        <v>199</v>
      </c>
      <c r="N44" s="3" t="n">
        <f aca="false">IFERROR(__xludf.dummyfunction("if($T44&lt;&gt;"""",VALUE(REGEXEXTRACT(SUBSTITUTE ($T44,N$1&amp;"" CE"",""""), N$1&amp;""[\w &amp;]*, (\d+\.\d+)"")),"""")
"),200)</f>
        <v>200</v>
      </c>
      <c r="O44" s="3" t="n">
        <f aca="false">IFERROR(__xludf.dummyfunction("if($T44&lt;&gt;"""",VALUE(REGEXEXTRACT($T44, O$1&amp;""[\w &amp;]*, (\d+\.\d+)"")),"""")
"),200)</f>
        <v>200</v>
      </c>
      <c r="P44" s="2" t="n">
        <f aca="false">IFERROR(__xludf.dummyfunction("if($T44&lt;&gt;"""",VALUE(REGEXEXTRACT($T44, P$1&amp;""[\w &amp;]*, (\d+\.\d+)"")),"""")
"),198.32)</f>
        <v>198.32</v>
      </c>
      <c r="Q44" s="2" t="n">
        <f aca="false">IFERROR(__xludf.dummyfunction("if($T44&lt;&gt;"""",VALUE(REGEXEXTRACT($T44, Q$1&amp;""[\w &amp;]*, (\d+\.\d+)"")),"""")
"),197.66)</f>
        <v>197.66</v>
      </c>
      <c r="R44" s="2" t="n">
        <f aca="false">IFERROR(__xludf.dummyfunction("if($T44&lt;&gt;"""",VALUE(REGEXEXTRACT($T44, SUBSTITUTE(R$1, ""+"", ""\+"")&amp;""[\w &amp;]*, (\d+\.\d+)"")),"""")"),201.54)</f>
        <v>201.54</v>
      </c>
      <c r="S44" s="2" t="n">
        <f aca="false">IFERROR(__xludf.dummyfunction("if($T44&lt;&gt;"""",VALUE(REGEXEXTRACT($T44, SUBSTITUTE(S$1, ""+"", ""\+"")&amp;""[\w &amp;]*, (\d+\.\d+)"")),"""")"),202.2)</f>
        <v>202.2</v>
      </c>
      <c r="T44" s="5" t="s">
        <v>666</v>
      </c>
    </row>
    <row r="45" customFormat="false" ht="15.75" hidden="false" customHeight="false" outlineLevel="0" collapsed="false">
      <c r="A45" s="4" t="n">
        <f aca="false">IFERROR(__xludf.dummyfunction("""COMPUTED_VALUE"""),45471.6666666667)</f>
        <v>45471.6666666667</v>
      </c>
      <c r="B45" s="2" t="n">
        <f aca="false">IFERROR(__xludf.dummyfunction("""COMPUTED_VALUE"""),203.88)</f>
        <v>203.88</v>
      </c>
      <c r="C45" s="2" t="n">
        <f aca="false">IFERROR(__xludf.dummyfunction("""COMPUTED_VALUE"""),204.64)</f>
        <v>204.64</v>
      </c>
      <c r="D45" s="2" t="n">
        <f aca="false">IFERROR(__xludf.dummyfunction("""COMPUTED_VALUE"""),201.32)</f>
        <v>201.32</v>
      </c>
      <c r="E45" s="2" t="n">
        <f aca="false">IFERROR(__xludf.dummyfunction("""COMPUTED_VALUE"""),202.89)</f>
        <v>202.89</v>
      </c>
      <c r="F45" s="3" t="n">
        <f aca="false">IFERROR(__xludf.dummyfunction("if($T45&lt;&gt;"""",VALUE(REGEXEXTRACT(SUBSTITUTE ($T45,F$1&amp;"" CE"",""""), F$1&amp;""[\w &amp;]*, (\d+\.\d+)"")),"""")
"),204)</f>
        <v>204</v>
      </c>
      <c r="G45" s="3" t="n">
        <f aca="false">IFERROR(__xludf.dummyfunction("if($T45&lt;&gt;"""",VALUE(REGEXEXTRACT($T45, G$1&amp;""[\w &amp;]*, (\d+\.\d+)"")),"""")
"),204)</f>
        <v>204</v>
      </c>
      <c r="H45" s="3" t="n">
        <f aca="false">IFERROR(__xludf.dummyfunction("if($T45&lt;&gt;"""",VALUE(REGEXEXTRACT($T45, H$1&amp;""[\w &amp;]*, (\d+\.\d+)"")),"""")
"),201)</f>
        <v>201</v>
      </c>
      <c r="I45" s="3" t="n">
        <f aca="false">IFERROR(__xludf.dummyfunction("if($T45&lt;&gt;"""",VALUE(REGEXEXTRACT(SUBSTITUTE ($T45,I$1&amp;"" CE"",""""), I$1&amp;""[\w &amp;]*, (\d+\.\d+)"")),"""")
"),195)</f>
        <v>195</v>
      </c>
      <c r="J45" s="3" t="n">
        <f aca="false">IFERROR(__xludf.dummyfunction("if($T45&lt;&gt;"""",VALUE(REGEXEXTRACT($T45, J$1&amp;""[\w &amp;]*, (\d+\.\d+)"")),"""")
"),200)</f>
        <v>200</v>
      </c>
      <c r="K45" s="3" t="n">
        <f aca="false">IFERROR(__xludf.dummyfunction("if($T45&lt;&gt;"""",VALUE(REGEXEXTRACT($T45, K$1&amp;""[\w &amp;]*, (\d+\.\d+)"")),"""")
"),202)</f>
        <v>202</v>
      </c>
      <c r="L45" s="3" t="n">
        <f aca="false">IFERROR(__xludf.dummyfunction("if($T45&lt;&gt;"""",VALUE(REGEXEXTRACT(SUBSTITUTE ($T45,L$1&amp;"" CE"",""""), L$1&amp;""[\w &amp;]*, (\d+\.\d+)"")),"""")
"),201)</f>
        <v>201</v>
      </c>
      <c r="M45" s="3" t="n">
        <f aca="false">IFERROR(__xludf.dummyfunction("if($T45&lt;&gt;"""",VALUE(REGEXEXTRACT($T45, M$1&amp;""[\w &amp;]*, (\d+\.\d+)"")),"""")
"),200)</f>
        <v>200</v>
      </c>
      <c r="N45" s="3" t="n">
        <f aca="false">IFERROR(__xludf.dummyfunction("if($T45&lt;&gt;"""",VALUE(REGEXEXTRACT(SUBSTITUTE ($T45,N$1&amp;"" CE"",""""), N$1&amp;""[\w &amp;]*, (\d+\.\d+)"")),"""")
"),205)</f>
        <v>205</v>
      </c>
      <c r="O45" s="3" t="n">
        <f aca="false">IFERROR(__xludf.dummyfunction("if($T45&lt;&gt;"""",VALUE(REGEXEXTRACT($T45, O$1&amp;""[\w &amp;]*, (\d+\.\d+)"")),"""")
"),204)</f>
        <v>204</v>
      </c>
      <c r="P45" s="2" t="n">
        <f aca="false">IFERROR(__xludf.dummyfunction("if($T45&lt;&gt;"""",VALUE(REGEXEXTRACT($T45, P$1&amp;""[\w &amp;]*, (\d+\.\d+)"")),"""")
"),201.55)</f>
        <v>201.55</v>
      </c>
      <c r="Q45" s="2" t="n">
        <f aca="false">IFERROR(__xludf.dummyfunction("if($T45&lt;&gt;"""",VALUE(REGEXEXTRACT($T45, Q$1&amp;""[\w &amp;]*, (\d+\.\d+)"")),"""")
"),199.68)</f>
        <v>199.68</v>
      </c>
      <c r="R45" s="2" t="n">
        <f aca="false">IFERROR(__xludf.dummyfunction("if($T45&lt;&gt;"""",VALUE(REGEXEXTRACT($T45, SUBSTITUTE(R$1, ""+"", ""\+"")&amp;""[\w &amp;]*, (\d+\.\d+)"")),"""")"),205.27)</f>
        <v>205.27</v>
      </c>
      <c r="S45" s="2" t="n">
        <f aca="false">IFERROR(__xludf.dummyfunction("if($T45&lt;&gt;"""",VALUE(REGEXEXTRACT($T45, SUBSTITUTE(S$1, ""+"", ""\+"")&amp;""[\w &amp;]*, (\d+\.\d+)"")),"""")"),207.14)</f>
        <v>207.14</v>
      </c>
      <c r="T45" s="5" t="s">
        <v>667</v>
      </c>
    </row>
    <row r="46" customFormat="false" ht="15.75" hidden="false" customHeight="false" outlineLevel="0" collapsed="false">
      <c r="A46" s="4" t="n">
        <f aca="false">IFERROR(__xludf.dummyfunction("""COMPUTED_VALUE"""),45474.6666666667)</f>
        <v>45474.6666666667</v>
      </c>
      <c r="B46" s="2" t="n">
        <f aca="false">IFERROR(__xludf.dummyfunction("""COMPUTED_VALUE"""),203.52)</f>
        <v>203.52</v>
      </c>
      <c r="C46" s="2" t="n">
        <f aca="false">IFERROR(__xludf.dummyfunction("""COMPUTED_VALUE"""),203.82)</f>
        <v>203.82</v>
      </c>
      <c r="D46" s="2" t="n">
        <f aca="false">IFERROR(__xludf.dummyfunction("""COMPUTED_VALUE"""),200.48)</f>
        <v>200.48</v>
      </c>
      <c r="E46" s="2" t="n">
        <f aca="false">IFERROR(__xludf.dummyfunction("""COMPUTED_VALUE"""),201.19)</f>
        <v>201.19</v>
      </c>
      <c r="F46" s="3" t="n">
        <f aca="false">IFERROR(__xludf.dummyfunction("if($T46&lt;&gt;"""",VALUE(REGEXEXTRACT(SUBSTITUTE ($T46,F$1&amp;"" CE"",""""), F$1&amp;""[\w &amp;]*, (\d+\.\d+)"")),"""")
"),210)</f>
        <v>210</v>
      </c>
      <c r="G46" s="3" t="n">
        <f aca="false">IFERROR(__xludf.dummyfunction("if($T46&lt;&gt;"""",VALUE(REGEXEXTRACT($T46, G$1&amp;""[\w &amp;]*, (\d+\.\d+)"")),"""")
"),204)</f>
        <v>204</v>
      </c>
      <c r="H46" s="3" t="n">
        <f aca="false">IFERROR(__xludf.dummyfunction("if($T46&lt;&gt;"""",VALUE(REGEXEXTRACT($T46, H$1&amp;""[\w &amp;]*, (\d+\.\d+)"")),"""")
"),202)</f>
        <v>202</v>
      </c>
      <c r="I46" s="3" t="n">
        <f aca="false">IFERROR(__xludf.dummyfunction("if($T46&lt;&gt;"""",VALUE(REGEXEXTRACT(SUBSTITUTE ($T46,I$1&amp;"" CE"",""""), I$1&amp;""[\w &amp;]*, (\d+\.\d+)"")),"""")
"),195)</f>
        <v>195</v>
      </c>
      <c r="J46" s="3" t="n">
        <f aca="false">IFERROR(__xludf.dummyfunction("if($T46&lt;&gt;"""",VALUE(REGEXEXTRACT($T46, J$1&amp;""[\w &amp;]*, (\d+\.\d+)"")),"""")
"),202)</f>
        <v>202</v>
      </c>
      <c r="K46" s="3" t="n">
        <f aca="false">IFERROR(__xludf.dummyfunction("if($T46&lt;&gt;"""",VALUE(REGEXEXTRACT($T46, K$1&amp;""[\w &amp;]*, (\d+\.\d+)"")),"""")
"),202.5)</f>
        <v>202.5</v>
      </c>
      <c r="L46" s="3" t="n">
        <f aca="false">IFERROR(__xludf.dummyfunction("if($T46&lt;&gt;"""",VALUE(REGEXEXTRACT(SUBSTITUTE ($T46,L$1&amp;"" CE"",""""), L$1&amp;""[\w &amp;]*, (\d+\.\d+)"")),"""")
"),202)</f>
        <v>202</v>
      </c>
      <c r="M46" s="3" t="n">
        <f aca="false">IFERROR(__xludf.dummyfunction("if($T46&lt;&gt;"""",VALUE(REGEXEXTRACT($T46, M$1&amp;""[\w &amp;]*, (\d+\.\d+)"")),"""")
"),202)</f>
        <v>202</v>
      </c>
      <c r="N46" s="3" t="n">
        <f aca="false">IFERROR(__xludf.dummyfunction("if($T46&lt;&gt;"""",VALUE(REGEXEXTRACT(SUBSTITUTE ($T46,N$1&amp;"" CE"",""""), N$1&amp;""[\w &amp;]*, (\d+\.\d+)"")),"""")
"),200)</f>
        <v>200</v>
      </c>
      <c r="O46" s="3" t="n">
        <f aca="false">IFERROR(__xludf.dummyfunction("if($T46&lt;&gt;"""",VALUE(REGEXEXTRACT($T46, O$1&amp;""[\w &amp;]*, (\d+\.\d+)"")),"""")
"),204)</f>
        <v>204</v>
      </c>
      <c r="P46" s="2" t="n">
        <f aca="false">IFERROR(__xludf.dummyfunction("if($T46&lt;&gt;"""",VALUE(REGEXEXTRACT($T46, P$1&amp;""[\w &amp;]*, (\d+\.\d+)"")),"""")
"),201.71)</f>
        <v>201.71</v>
      </c>
      <c r="Q46" s="2" t="n">
        <f aca="false">IFERROR(__xludf.dummyfunction("if($T46&lt;&gt;"""",VALUE(REGEXEXTRACT($T46, Q$1&amp;""[\w &amp;]*, (\d+\.\d+)"")),"""")
"),201.05)</f>
        <v>201.05</v>
      </c>
      <c r="R46" s="2" t="n">
        <f aca="false">IFERROR(__xludf.dummyfunction("if($T46&lt;&gt;"""",VALUE(REGEXEXTRACT($T46, SUBSTITUTE(R$1, ""+"", ""\+"")&amp;""[\w &amp;]*, (\d+\.\d+)"")),"""")"),204.85)</f>
        <v>204.85</v>
      </c>
      <c r="S46" s="2" t="n">
        <f aca="false">IFERROR(__xludf.dummyfunction("if($T46&lt;&gt;"""",VALUE(REGEXEXTRACT($T46, SUBSTITUTE(S$1, ""+"", ""\+"")&amp;""[\w &amp;]*, (\d+\.\d+)"")),"""")"),205.51)</f>
        <v>205.51</v>
      </c>
      <c r="T46" s="5" t="s">
        <v>668</v>
      </c>
    </row>
    <row r="47" customFormat="false" ht="15.75" hidden="false" customHeight="false" outlineLevel="0" collapsed="false">
      <c r="A47" s="4" t="n">
        <f aca="false">IFERROR(__xludf.dummyfunction("""COMPUTED_VALUE"""),45475.6666666667)</f>
        <v>45475.6666666667</v>
      </c>
      <c r="B47" s="2" t="n">
        <f aca="false">IFERROR(__xludf.dummyfunction("""COMPUTED_VALUE"""),201.52)</f>
        <v>201.52</v>
      </c>
      <c r="C47" s="2" t="n">
        <f aca="false">IFERROR(__xludf.dummyfunction("""COMPUTED_VALUE"""),202.27)</f>
        <v>202.27</v>
      </c>
      <c r="D47" s="2" t="n">
        <f aca="false">IFERROR(__xludf.dummyfunction("""COMPUTED_VALUE"""),200.9)</f>
        <v>200.9</v>
      </c>
      <c r="E47" s="2" t="n">
        <f aca="false">IFERROR(__xludf.dummyfunction("""COMPUTED_VALUE"""),201.88)</f>
        <v>201.88</v>
      </c>
      <c r="F47" s="3" t="n">
        <f aca="false">IFERROR(__xludf.dummyfunction("if($T47&lt;&gt;"""",VALUE(REGEXEXTRACT(SUBSTITUTE ($T47,F$1&amp;"" CE"",""""), F$1&amp;""[\w &amp;]*, (\d+\.\d+)"")),"""")
"),200)</f>
        <v>200</v>
      </c>
      <c r="G47" s="3" t="n">
        <f aca="false">IFERROR(__xludf.dummyfunction("if($T47&lt;&gt;"""",VALUE(REGEXEXTRACT($T47, G$1&amp;""[\w &amp;]*, (\d+\.\d+)"")),"""")
"),202)</f>
        <v>202</v>
      </c>
      <c r="H47" s="3" t="n">
        <f aca="false">IFERROR(__xludf.dummyfunction("if($T47&lt;&gt;"""",VALUE(REGEXEXTRACT($T47, H$1&amp;""[\w &amp;]*, (\d+\.\d+)"")),"""")
"),201)</f>
        <v>201</v>
      </c>
      <c r="I47" s="3" t="n">
        <f aca="false">IFERROR(__xludf.dummyfunction("if($T47&lt;&gt;"""",VALUE(REGEXEXTRACT(SUBSTITUTE ($T47,I$1&amp;"" CE"",""""), I$1&amp;""[\w &amp;]*, (\d+\.\d+)"")),"""")
"),195)</f>
        <v>195</v>
      </c>
      <c r="J47" s="3" t="n">
        <f aca="false">IFERROR(__xludf.dummyfunction("if($T47&lt;&gt;"""",VALUE(REGEXEXTRACT($T47, J$1&amp;""[\w &amp;]*, (\d+\.\d+)"")),"""")
"),200)</f>
        <v>200</v>
      </c>
      <c r="K47" s="3" t="n">
        <f aca="false">IFERROR(__xludf.dummyfunction("if($T47&lt;&gt;"""",VALUE(REGEXEXTRACT($T47, K$1&amp;""[\w &amp;]*, (\d+\.\d+)"")),"""")
"),202)</f>
        <v>202</v>
      </c>
      <c r="L47" s="3" t="n">
        <f aca="false">IFERROR(__xludf.dummyfunction("if($T47&lt;&gt;"""",VALUE(REGEXEXTRACT(SUBSTITUTE ($T47,L$1&amp;"" CE"",""""), L$1&amp;""[\w &amp;]*, (\d+\.\d+)"")),"""")
"),201)</f>
        <v>201</v>
      </c>
      <c r="M47" s="3" t="n">
        <f aca="false">IFERROR(__xludf.dummyfunction("if($T47&lt;&gt;"""",VALUE(REGEXEXTRACT($T47, M$1&amp;""[\w &amp;]*, (\d+\.\d+)"")),"""")
"),200)</f>
        <v>200</v>
      </c>
      <c r="N47" s="3" t="n">
        <f aca="false">IFERROR(__xludf.dummyfunction("if($T47&lt;&gt;"""",VALUE(REGEXEXTRACT(SUBSTITUTE ($T47,N$1&amp;"" CE"",""""), N$1&amp;""[\w &amp;]*, (\d+\.\d+)"")),"""")
"),200)</f>
        <v>200</v>
      </c>
      <c r="O47" s="3" t="n">
        <f aca="false">IFERROR(__xludf.dummyfunction("if($T47&lt;&gt;"""",VALUE(REGEXEXTRACT($T47, O$1&amp;""[\w &amp;]*, (\d+\.\d+)"")),"""")
"),201)</f>
        <v>201</v>
      </c>
      <c r="P47" s="2" t="n">
        <f aca="false">IFERROR(__xludf.dummyfunction("if($T47&lt;&gt;"""",VALUE(REGEXEXTRACT($T47, P$1&amp;""[\w &amp;]*, (\d+\.\d+)"")),"""")
"),198.8)</f>
        <v>198.8</v>
      </c>
      <c r="Q47" s="2" t="n">
        <f aca="false">IFERROR(__xludf.dummyfunction("if($T47&lt;&gt;"""",VALUE(REGEXEXTRACT($T47, Q$1&amp;""[\w &amp;]*, (\d+\.\d+)"")),"""")
"),198.13)</f>
        <v>198.13</v>
      </c>
      <c r="R47" s="2" t="n">
        <f aca="false">IFERROR(__xludf.dummyfunction("if($T47&lt;&gt;"""",VALUE(REGEXEXTRACT($T47, SUBSTITUTE(R$1, ""+"", ""\+"")&amp;""[\w &amp;]*, (\d+\.\d+)"")),"""")"),202.04)</f>
        <v>202.04</v>
      </c>
      <c r="S47" s="2" t="n">
        <f aca="false">IFERROR(__xludf.dummyfunction("if($T47&lt;&gt;"""",VALUE(REGEXEXTRACT($T47, SUBSTITUTE(S$1, ""+"", ""\+"")&amp;""[\w &amp;]*, (\d+\.\d+)"")),"""")"),202.71)</f>
        <v>202.71</v>
      </c>
      <c r="T47" s="5" t="s">
        <v>669</v>
      </c>
    </row>
    <row r="48" customFormat="false" ht="15.75" hidden="false" customHeight="false" outlineLevel="0" collapsed="false">
      <c r="A48" s="4" t="n">
        <f aca="false">IFERROR(__xludf.dummyfunction("""COMPUTED_VALUE"""),45476.5520833333)</f>
        <v>45476.5520833333</v>
      </c>
      <c r="B48" s="2" t="n">
        <f aca="false">IFERROR(__xludf.dummyfunction("""COMPUTED_VALUE"""),202.25)</f>
        <v>202.25</v>
      </c>
      <c r="C48" s="2" t="n">
        <f aca="false">IFERROR(__xludf.dummyfunction("""COMPUTED_VALUE"""),203.28)</f>
        <v>203.28</v>
      </c>
      <c r="D48" s="2" t="n">
        <f aca="false">IFERROR(__xludf.dummyfunction("""COMPUTED_VALUE"""),201.63)</f>
        <v>201.63</v>
      </c>
      <c r="E48" s="2" t="n">
        <f aca="false">IFERROR(__xludf.dummyfunction("""COMPUTED_VALUE"""),201.83)</f>
        <v>201.83</v>
      </c>
      <c r="F48" s="3" t="n">
        <f aca="false">IFERROR(__xludf.dummyfunction("if($T48&lt;&gt;"""",VALUE(REGEXEXTRACT(SUBSTITUTE ($T48,F$1&amp;"" CE"",""""), F$1&amp;""[\w &amp;]*, (\d+\.\d+)"")),"""")
"),200)</f>
        <v>200</v>
      </c>
      <c r="G48" s="3" t="n">
        <f aca="false">IFERROR(__xludf.dummyfunction("if($T48&lt;&gt;"""",VALUE(REGEXEXTRACT($T48, G$1&amp;""[\w &amp;]*, (\d+\.\d+)"")),"""")
"),202)</f>
        <v>202</v>
      </c>
      <c r="H48" s="3" t="n">
        <f aca="false">IFERROR(__xludf.dummyfunction("if($T48&lt;&gt;"""",VALUE(REGEXEXTRACT($T48, H$1&amp;""[\w &amp;]*, (\d+\.\d+)"")),"""")
"),208)</f>
        <v>208</v>
      </c>
      <c r="I48" s="3" t="n">
        <f aca="false">IFERROR(__xludf.dummyfunction("if($T48&lt;&gt;"""",VALUE(REGEXEXTRACT(SUBSTITUTE ($T48,I$1&amp;"" CE"",""""), I$1&amp;""[\w &amp;]*, (\d+\.\d+)"")),"""")
"),195)</f>
        <v>195</v>
      </c>
      <c r="J48" s="3" t="n">
        <f aca="false">IFERROR(__xludf.dummyfunction("if($T48&lt;&gt;"""",VALUE(REGEXEXTRACT($T48, J$1&amp;""[\w &amp;]*, (\d+\.\d+)"")),"""")
"),200)</f>
        <v>200</v>
      </c>
      <c r="K48" s="3" t="n">
        <f aca="false">IFERROR(__xludf.dummyfunction("if($T48&lt;&gt;"""",VALUE(REGEXEXTRACT($T48, K$1&amp;""[\w &amp;]*, (\d+\.\d+)"")),"""")
"),190)</f>
        <v>190</v>
      </c>
      <c r="L48" s="3" t="n">
        <f aca="false">IFERROR(__xludf.dummyfunction("if($T48&lt;&gt;"""",VALUE(REGEXEXTRACT(SUBSTITUTE ($T48,L$1&amp;"" CE"",""""), L$1&amp;""[\w &amp;]*, (\d+\.\d+)"")),"""")
"),201)</f>
        <v>201</v>
      </c>
      <c r="M48" s="3" t="n">
        <f aca="false">IFERROR(__xludf.dummyfunction("if($T48&lt;&gt;"""",VALUE(REGEXEXTRACT($T48, M$1&amp;""[\w &amp;]*, (\d+\.\d+)"")),"""")
"),201)</f>
        <v>201</v>
      </c>
      <c r="N48" s="3" t="n">
        <f aca="false">IFERROR(__xludf.dummyfunction("if($T48&lt;&gt;"""",VALUE(REGEXEXTRACT(SUBSTITUTE ($T48,N$1&amp;"" CE"",""""), N$1&amp;""[\w &amp;]*, (\d+\.\d+)"")),"""")
"),200)</f>
        <v>200</v>
      </c>
      <c r="O48" s="3" t="n">
        <f aca="false">IFERROR(__xludf.dummyfunction("if($T48&lt;&gt;"""",VALUE(REGEXEXTRACT($T48, O$1&amp;""[\w &amp;]*, (\d+\.\d+)"")),"""")
"),202)</f>
        <v>202</v>
      </c>
      <c r="P48" s="2" t="n">
        <f aca="false">IFERROR(__xludf.dummyfunction("if($T48&lt;&gt;"""",VALUE(REGEXEXTRACT($T48, P$1&amp;""[\w &amp;]*, (\d+\.\d+)"")),"""")
"),200.88)</f>
        <v>200.88</v>
      </c>
      <c r="Q48" s="2" t="n">
        <f aca="false">IFERROR(__xludf.dummyfunction("if($T48&lt;&gt;"""",VALUE(REGEXEXTRACT($T48, Q$1&amp;""[\w &amp;]*, (\d+\.\d+)"")),"""")
"),199.79)</f>
        <v>199.79</v>
      </c>
      <c r="R48" s="2" t="n">
        <f aca="false">IFERROR(__xludf.dummyfunction("if($T48&lt;&gt;"""",VALUE(REGEXEXTRACT($T48, SUBSTITUTE(R$1, ""+"", ""\+"")&amp;""[\w &amp;]*, (\d+\.\d+)"")),"""")"),203.84)</f>
        <v>203.84</v>
      </c>
      <c r="S48" s="2" t="n">
        <f aca="false">IFERROR(__xludf.dummyfunction("if($T48&lt;&gt;"""",VALUE(REGEXEXTRACT($T48, SUBSTITUTE(S$1, ""+"", ""\+"")&amp;""[\w &amp;]*, (\d+\.\d+)"")),"""")"),204.93)</f>
        <v>204.93</v>
      </c>
      <c r="T48" s="5" t="s">
        <v>670</v>
      </c>
    </row>
    <row r="49" customFormat="false" ht="15.75" hidden="false" customHeight="false" outlineLevel="0" collapsed="false">
      <c r="A49" s="4" t="n">
        <f aca="false">IFERROR(__xludf.dummyfunction("""COMPUTED_VALUE"""),45478.6666666667)</f>
        <v>45478.6666666667</v>
      </c>
      <c r="B49" s="2" t="n">
        <f aca="false">IFERROR(__xludf.dummyfunction("""COMPUTED_VALUE"""),201.21)</f>
        <v>201.21</v>
      </c>
      <c r="C49" s="2" t="n">
        <f aca="false">IFERROR(__xludf.dummyfunction("""COMPUTED_VALUE"""),201.63)</f>
        <v>201.63</v>
      </c>
      <c r="D49" s="2" t="n">
        <f aca="false">IFERROR(__xludf.dummyfunction("""COMPUTED_VALUE"""),199.88)</f>
        <v>199.88</v>
      </c>
      <c r="E49" s="2" t="n">
        <f aca="false">IFERROR(__xludf.dummyfunction("""COMPUTED_VALUE"""),200.87)</f>
        <v>200.87</v>
      </c>
      <c r="F49" s="3" t="n">
        <f aca="false">IFERROR(__xludf.dummyfunction("if($T49&lt;&gt;"""",VALUE(REGEXEXTRACT(SUBSTITUTE ($T49,F$1&amp;"" CE"",""""), F$1&amp;""[\w &amp;]*, (\d+\.\d+)"")),"""")
"),200)</f>
        <v>200</v>
      </c>
      <c r="G49" s="3" t="n">
        <f aca="false">IFERROR(__xludf.dummyfunction("if($T49&lt;&gt;"""",VALUE(REGEXEXTRACT($T49, G$1&amp;""[\w &amp;]*, (\d+\.\d+)"")),"""")
"),204)</f>
        <v>204</v>
      </c>
      <c r="H49" s="3" t="n">
        <f aca="false">IFERROR(__xludf.dummyfunction("if($T49&lt;&gt;"""",VALUE(REGEXEXTRACT($T49, H$1&amp;""[\w &amp;]*, (\d+\.\d+)"")),"""")
"),208)</f>
        <v>208</v>
      </c>
      <c r="I49" s="3" t="n">
        <f aca="false">IFERROR(__xludf.dummyfunction("if($T49&lt;&gt;"""",VALUE(REGEXEXTRACT(SUBSTITUTE ($T49,I$1&amp;"" CE"",""""), I$1&amp;""[\w &amp;]*, (\d+\.\d+)"")),"""")
"),200)</f>
        <v>200</v>
      </c>
      <c r="J49" s="3" t="n">
        <f aca="false">IFERROR(__xludf.dummyfunction("if($T49&lt;&gt;"""",VALUE(REGEXEXTRACT($T49, J$1&amp;""[\w &amp;]*, (\d+\.\d+)"")),"""")
"),200)</f>
        <v>200</v>
      </c>
      <c r="K49" s="3" t="n">
        <f aca="false">IFERROR(__xludf.dummyfunction("if($T49&lt;&gt;"""",VALUE(REGEXEXTRACT($T49, K$1&amp;""[\w &amp;]*, (\d+\.\d+)"")),"""")
"),190)</f>
        <v>190</v>
      </c>
      <c r="L49" s="3" t="n">
        <f aca="false">IFERROR(__xludf.dummyfunction("if($T49&lt;&gt;"""",VALUE(REGEXEXTRACT(SUBSTITUTE ($T49,L$1&amp;"" CE"",""""), L$1&amp;""[\w &amp;]*, (\d+\.\d+)"")),"""")
"),201)</f>
        <v>201</v>
      </c>
      <c r="M49" s="3" t="n">
        <f aca="false">IFERROR(__xludf.dummyfunction("if($T49&lt;&gt;"""",VALUE(REGEXEXTRACT($T49, M$1&amp;""[\w &amp;]*, (\d+\.\d+)"")),"""")
"),201)</f>
        <v>201</v>
      </c>
      <c r="N49" s="3" t="n">
        <f aca="false">IFERROR(__xludf.dummyfunction("if($T49&lt;&gt;"""",VALUE(REGEXEXTRACT(SUBSTITUTE ($T49,N$1&amp;"" CE"",""""), N$1&amp;""[\w &amp;]*, (\d+\.\d+)"")),"""")
"),200)</f>
        <v>200</v>
      </c>
      <c r="O49" s="3" t="n">
        <f aca="false">IFERROR(__xludf.dummyfunction("if($T49&lt;&gt;"""",VALUE(REGEXEXTRACT($T49, O$1&amp;""[\w &amp;]*, (\d+\.\d+)"")),"""")
"),202)</f>
        <v>202</v>
      </c>
      <c r="P49" s="2" t="n">
        <f aca="false">IFERROR(__xludf.dummyfunction("if($T49&lt;&gt;"""",VALUE(REGEXEXTRACT($T49, P$1&amp;""[\w &amp;]*, (\d+\.\d+)"")),"""")
"),199.69)</f>
        <v>199.69</v>
      </c>
      <c r="Q49" s="2" t="n">
        <f aca="false">IFERROR(__xludf.dummyfunction("if($T49&lt;&gt;"""",VALUE(REGEXEXTRACT($T49, Q$1&amp;""[\w &amp;]*, (\d+\.\d+)"")),"""")
"),198.1)</f>
        <v>198.1</v>
      </c>
      <c r="R49" s="2" t="n">
        <f aca="false">IFERROR(__xludf.dummyfunction("if($T49&lt;&gt;"""",VALUE(REGEXEXTRACT($T49, SUBSTITUTE(R$1, ""+"", ""\+"")&amp;""[\w &amp;]*, (\d+\.\d+)"")),"""")"),202.85)</f>
        <v>202.85</v>
      </c>
      <c r="S49" s="2" t="n">
        <f aca="false">IFERROR(__xludf.dummyfunction("if($T49&lt;&gt;"""",VALUE(REGEXEXTRACT($T49, SUBSTITUTE(S$1, ""+"", ""\+"")&amp;""[\w &amp;]*, (\d+\.\d+)"")),"""")"),204.44)</f>
        <v>204.44</v>
      </c>
      <c r="T49" s="5" t="s">
        <v>671</v>
      </c>
    </row>
    <row r="50" customFormat="false" ht="15.75" hidden="false" customHeight="false" outlineLevel="0" collapsed="false">
      <c r="A50" s="4" t="n">
        <f aca="false">IFERROR(__xludf.dummyfunction("""COMPUTED_VALUE"""),45481.6666666667)</f>
        <v>45481.6666666667</v>
      </c>
      <c r="B50" s="2" t="n">
        <f aca="false">IFERROR(__xludf.dummyfunction("""COMPUTED_VALUE"""),202.51)</f>
        <v>202.51</v>
      </c>
      <c r="C50" s="2" t="n">
        <f aca="false">IFERROR(__xludf.dummyfunction("""COMPUTED_VALUE"""),203.7)</f>
        <v>203.7</v>
      </c>
      <c r="D50" s="2" t="n">
        <f aca="false">IFERROR(__xludf.dummyfunction("""COMPUTED_VALUE"""),201.84)</f>
        <v>201.84</v>
      </c>
      <c r="E50" s="2" t="n">
        <f aca="false">IFERROR(__xludf.dummyfunction("""COMPUTED_VALUE"""),202.28)</f>
        <v>202.28</v>
      </c>
      <c r="F50" s="3" t="n">
        <f aca="false">IFERROR(__xludf.dummyfunction("if($T50&lt;&gt;"""",VALUE(REGEXEXTRACT(SUBSTITUTE ($T50,F$1&amp;"" CE"",""""), F$1&amp;""[\w &amp;]*, (\d+\.\d+)"")),"""")
"),200)</f>
        <v>200</v>
      </c>
      <c r="G50" s="3" t="n">
        <f aca="false">IFERROR(__xludf.dummyfunction("if($T50&lt;&gt;"""",VALUE(REGEXEXTRACT($T50, G$1&amp;""[\w &amp;]*, (\d+\.\d+)"")),"""")
"),201)</f>
        <v>201</v>
      </c>
      <c r="H50" s="3" t="n">
        <f aca="false">IFERROR(__xludf.dummyfunction("if($T50&lt;&gt;"""",VALUE(REGEXEXTRACT($T50, H$1&amp;""[\w &amp;]*, (\d+\.\d+)"")),"""")
"),208)</f>
        <v>208</v>
      </c>
      <c r="I50" s="3" t="n">
        <f aca="false">IFERROR(__xludf.dummyfunction("if($T50&lt;&gt;"""",VALUE(REGEXEXTRACT(SUBSTITUTE ($T50,I$1&amp;"" CE"",""""), I$1&amp;""[\w &amp;]*, (\d+\.\d+)"")),"""")
"),195)</f>
        <v>195</v>
      </c>
      <c r="J50" s="3" t="n">
        <f aca="false">IFERROR(__xludf.dummyfunction("if($T50&lt;&gt;"""",VALUE(REGEXEXTRACT($T50, J$1&amp;""[\w &amp;]*, (\d+\.\d+)"")),"""")
"),199)</f>
        <v>199</v>
      </c>
      <c r="K50" s="3" t="n">
        <f aca="false">IFERROR(__xludf.dummyfunction("if($T50&lt;&gt;"""",VALUE(REGEXEXTRACT($T50, K$1&amp;""[\w &amp;]*, (\d+\.\d+)"")),"""")
"),190)</f>
        <v>190</v>
      </c>
      <c r="L50" s="3" t="n">
        <f aca="false">IFERROR(__xludf.dummyfunction("if($T50&lt;&gt;"""",VALUE(REGEXEXTRACT(SUBSTITUTE ($T50,L$1&amp;"" CE"",""""), L$1&amp;""[\w &amp;]*, (\d+\.\d+)"")),"""")
"),200)</f>
        <v>200</v>
      </c>
      <c r="M50" s="3" t="n">
        <f aca="false">IFERROR(__xludf.dummyfunction("if($T50&lt;&gt;"""",VALUE(REGEXEXTRACT($T50, M$1&amp;""[\w &amp;]*, (\d+\.\d+)"")),"""")
"),199)</f>
        <v>199</v>
      </c>
      <c r="N50" s="3" t="n">
        <f aca="false">IFERROR(__xludf.dummyfunction("if($T50&lt;&gt;"""",VALUE(REGEXEXTRACT(SUBSTITUTE ($T50,N$1&amp;"" CE"",""""), N$1&amp;""[\w &amp;]*, (\d+\.\d+)"")),"""")
"),200)</f>
        <v>200</v>
      </c>
      <c r="O50" s="3" t="n">
        <f aca="false">IFERROR(__xludf.dummyfunction("if($T50&lt;&gt;"""",VALUE(REGEXEXTRACT($T50, O$1&amp;""[\w &amp;]*, (\d+\.\d+)"")),"""")
"),201)</f>
        <v>201</v>
      </c>
      <c r="P50" s="2" t="n">
        <f aca="false">IFERROR(__xludf.dummyfunction("if($T50&lt;&gt;"""",VALUE(REGEXEXTRACT($T50, P$1&amp;""[\w &amp;]*, (\d+\.\d+)"")),"""")
"),200.11)</f>
        <v>200.11</v>
      </c>
      <c r="Q50" s="2" t="n">
        <f aca="false">IFERROR(__xludf.dummyfunction("if($T50&lt;&gt;"""",VALUE(REGEXEXTRACT($T50, Q$1&amp;""[\w &amp;]*, (\d+\.\d+)"")),"""")
"),199.5)</f>
        <v>199.5</v>
      </c>
      <c r="R50" s="2" t="n">
        <f aca="false">IFERROR(__xludf.dummyfunction("if($T50&lt;&gt;"""",VALUE(REGEXEXTRACT($T50, SUBSTITUTE(R$1, ""+"", ""\+"")&amp;""[\w &amp;]*, (\d+\.\d+)"")),"""")"),203.07)</f>
        <v>203.07</v>
      </c>
      <c r="S50" s="2" t="n">
        <f aca="false">IFERROR(__xludf.dummyfunction("if($T50&lt;&gt;"""",VALUE(REGEXEXTRACT($T50, SUBSTITUTE(S$1, ""+"", ""\+"")&amp;""[\w &amp;]*, (\d+\.\d+)"")),"""")"),203.68)</f>
        <v>203.68</v>
      </c>
      <c r="T50" s="5" t="s">
        <v>672</v>
      </c>
    </row>
    <row r="51" customFormat="false" ht="15.75" hidden="false" customHeight="false" outlineLevel="0" collapsed="false">
      <c r="A51" s="4" t="n">
        <f aca="false">IFERROR(__xludf.dummyfunction("""COMPUTED_VALUE"""),45482.6666666667)</f>
        <v>45482.6666666667</v>
      </c>
      <c r="B51" s="2" t="n">
        <f aca="false">IFERROR(__xludf.dummyfunction("""COMPUTED_VALUE"""),201.92)</f>
        <v>201.92</v>
      </c>
      <c r="C51" s="2" t="n">
        <f aca="false">IFERROR(__xludf.dummyfunction("""COMPUTED_VALUE"""),202.52)</f>
        <v>202.52</v>
      </c>
      <c r="D51" s="2" t="n">
        <f aca="false">IFERROR(__xludf.dummyfunction("""COMPUTED_VALUE"""),200.53)</f>
        <v>200.53</v>
      </c>
      <c r="E51" s="2" t="n">
        <f aca="false">IFERROR(__xludf.dummyfunction("""COMPUTED_VALUE"""),201.4)</f>
        <v>201.4</v>
      </c>
      <c r="F51" s="3" t="n">
        <f aca="false">IFERROR(__xludf.dummyfunction("if($T51&lt;&gt;"""",VALUE(REGEXEXTRACT(SUBSTITUTE ($T51,F$1&amp;"" CE"",""""), F$1&amp;""[\w &amp;]*, (\d+\.\d+)"")),"""")
"),200)</f>
        <v>200</v>
      </c>
      <c r="G51" s="3" t="n">
        <f aca="false">IFERROR(__xludf.dummyfunction("if($T51&lt;&gt;"""",VALUE(REGEXEXTRACT($T51, G$1&amp;""[\w &amp;]*, (\d+\.\d+)"")),"""")
"),203)</f>
        <v>203</v>
      </c>
      <c r="H51" s="3" t="n">
        <f aca="false">IFERROR(__xludf.dummyfunction("if($T51&lt;&gt;"""",VALUE(REGEXEXTRACT($T51, H$1&amp;""[\w &amp;]*, (\d+\.\d+)"")),"""")
"),208)</f>
        <v>208</v>
      </c>
      <c r="I51" s="3" t="n">
        <f aca="false">IFERROR(__xludf.dummyfunction("if($T51&lt;&gt;"""",VALUE(REGEXEXTRACT(SUBSTITUTE ($T51,I$1&amp;"" CE"",""""), I$1&amp;""[\w &amp;]*, (\d+\.\d+)"")),"""")
"),200)</f>
        <v>200</v>
      </c>
      <c r="J51" s="3" t="n">
        <f aca="false">IFERROR(__xludf.dummyfunction("if($T51&lt;&gt;"""",VALUE(REGEXEXTRACT($T51, J$1&amp;""[\w &amp;]*, (\d+\.\d+)"")),"""")
"),201)</f>
        <v>201</v>
      </c>
      <c r="K51" s="3" t="n">
        <f aca="false">IFERROR(__xludf.dummyfunction("if($T51&lt;&gt;"""",VALUE(REGEXEXTRACT($T51, K$1&amp;""[\w &amp;]*, (\d+\.\d+)"")),"""")
"),195)</f>
        <v>195</v>
      </c>
      <c r="L51" s="3" t="n">
        <f aca="false">IFERROR(__xludf.dummyfunction("if($T51&lt;&gt;"""",VALUE(REGEXEXTRACT(SUBSTITUTE ($T51,L$1&amp;"" CE"",""""), L$1&amp;""[\w &amp;]*, (\d+\.\d+)"")),"""")
"),201)</f>
        <v>201</v>
      </c>
      <c r="M51" s="3" t="n">
        <f aca="false">IFERROR(__xludf.dummyfunction("if($T51&lt;&gt;"""",VALUE(REGEXEXTRACT($T51, M$1&amp;""[\w &amp;]*, (\d+\.\d+)"")),"""")
"),201)</f>
        <v>201</v>
      </c>
      <c r="N51" s="3" t="n">
        <f aca="false">IFERROR(__xludf.dummyfunction("if($T51&lt;&gt;"""",VALUE(REGEXEXTRACT(SUBSTITUTE ($T51,N$1&amp;"" CE"",""""), N$1&amp;""[\w &amp;]*, (\d+\.\d+)"")),"""")
"),200)</f>
        <v>200</v>
      </c>
      <c r="O51" s="3" t="n">
        <f aca="false">IFERROR(__xludf.dummyfunction("if($T51&lt;&gt;"""",VALUE(REGEXEXTRACT($T51, O$1&amp;""[\w &amp;]*, (\d+\.\d+)"")),"""")
"),203)</f>
        <v>203</v>
      </c>
      <c r="P51" s="2" t="n">
        <f aca="false">IFERROR(__xludf.dummyfunction("if($T51&lt;&gt;"""",VALUE(REGEXEXTRACT($T51, P$1&amp;""[\w &amp;]*, (\d+\.\d+)"")),"""")
"),200.61)</f>
        <v>200.61</v>
      </c>
      <c r="Q51" s="2" t="n">
        <f aca="false">IFERROR(__xludf.dummyfunction("if($T51&lt;&gt;"""",VALUE(REGEXEXTRACT($T51, Q$1&amp;""[\w &amp;]*, (\d+\.\d+)"")),"""")
"),199.92)</f>
        <v>199.92</v>
      </c>
      <c r="R51" s="2" t="n">
        <f aca="false">IFERROR(__xludf.dummyfunction("if($T51&lt;&gt;"""",VALUE(REGEXEXTRACT($T51, SUBSTITUTE(R$1, ""+"", ""\+"")&amp;""[\w &amp;]*, (\d+\.\d+)"")),"""")"),203.95)</f>
        <v>203.95</v>
      </c>
      <c r="S51" s="2" t="n">
        <f aca="false">IFERROR(__xludf.dummyfunction("if($T51&lt;&gt;"""",VALUE(REGEXEXTRACT($T51, SUBSTITUTE(S$1, ""+"", ""\+"")&amp;""[\w &amp;]*, (\d+\.\d+)"")),"""")"),204.64)</f>
        <v>204.64</v>
      </c>
      <c r="T51" s="5" t="s">
        <v>673</v>
      </c>
    </row>
    <row r="52" customFormat="false" ht="15.75" hidden="false" customHeight="false" outlineLevel="0" collapsed="false">
      <c r="A52" s="4" t="n">
        <f aca="false">IFERROR(__xludf.dummyfunction("""COMPUTED_VALUE"""),45483.6666666667)</f>
        <v>45483.6666666667</v>
      </c>
      <c r="B52" s="2" t="n">
        <f aca="false">IFERROR(__xludf.dummyfunction("""COMPUTED_VALUE"""),202.29)</f>
        <v>202.29</v>
      </c>
      <c r="C52" s="2" t="n">
        <f aca="false">IFERROR(__xludf.dummyfunction("""COMPUTED_VALUE"""),203.59)</f>
        <v>203.59</v>
      </c>
      <c r="D52" s="2" t="n">
        <f aca="false">IFERROR(__xludf.dummyfunction("""COMPUTED_VALUE"""),201.49)</f>
        <v>201.49</v>
      </c>
      <c r="E52" s="2" t="n">
        <f aca="false">IFERROR(__xludf.dummyfunction("""COMPUTED_VALUE"""),203.37)</f>
        <v>203.37</v>
      </c>
      <c r="F52" s="3" t="n">
        <f aca="false">IFERROR(__xludf.dummyfunction("if($T52&lt;&gt;"""",VALUE(REGEXEXTRACT(SUBSTITUTE ($T52,F$1&amp;"" CE"",""""), F$1&amp;""[\w &amp;]*, (\d+\.\d+)"")),"""")
"),200)</f>
        <v>200</v>
      </c>
      <c r="G52" s="3" t="n">
        <f aca="false">IFERROR(__xludf.dummyfunction("if($T52&lt;&gt;"""",VALUE(REGEXEXTRACT($T52, G$1&amp;""[\w &amp;]*, (\d+\.\d+)"")),"""")
"),202)</f>
        <v>202</v>
      </c>
      <c r="H52" s="3" t="n">
        <f aca="false">IFERROR(__xludf.dummyfunction("if($T52&lt;&gt;"""",VALUE(REGEXEXTRACT($T52, H$1&amp;""[\w &amp;]*, (\d+\.\d+)"")),"""")
"),208)</f>
        <v>208</v>
      </c>
      <c r="I52" s="3" t="n">
        <f aca="false">IFERROR(__xludf.dummyfunction("if($T52&lt;&gt;"""",VALUE(REGEXEXTRACT(SUBSTITUTE ($T52,I$1&amp;"" CE"",""""), I$1&amp;""[\w &amp;]*, (\d+\.\d+)"")),"""")
"),200)</f>
        <v>200</v>
      </c>
      <c r="J52" s="3" t="n">
        <f aca="false">IFERROR(__xludf.dummyfunction("if($T52&lt;&gt;"""",VALUE(REGEXEXTRACT($T52, J$1&amp;""[\w &amp;]*, (\d+\.\d+)"")),"""")
"),200)</f>
        <v>200</v>
      </c>
      <c r="K52" s="3" t="n">
        <f aca="false">IFERROR(__xludf.dummyfunction("if($T52&lt;&gt;"""",VALUE(REGEXEXTRACT($T52, K$1&amp;""[\w &amp;]*, (\d+\.\d+)"")),"""")
"),190)</f>
        <v>190</v>
      </c>
      <c r="L52" s="3" t="n">
        <f aca="false">IFERROR(__xludf.dummyfunction("if($T52&lt;&gt;"""",VALUE(REGEXEXTRACT(SUBSTITUTE ($T52,L$1&amp;"" CE"",""""), L$1&amp;""[\w &amp;]*, (\d+\.\d+)"")),"""")
"),201)</f>
        <v>201</v>
      </c>
      <c r="M52" s="3" t="n">
        <f aca="false">IFERROR(__xludf.dummyfunction("if($T52&lt;&gt;"""",VALUE(REGEXEXTRACT($T52, M$1&amp;""[\w &amp;]*, (\d+\.\d+)"")),"""")
"),200)</f>
        <v>200</v>
      </c>
      <c r="N52" s="3" t="n">
        <f aca="false">IFERROR(__xludf.dummyfunction("if($T52&lt;&gt;"""",VALUE(REGEXEXTRACT(SUBSTITUTE ($T52,N$1&amp;"" CE"",""""), N$1&amp;""[\w &amp;]*, (\d+\.\d+)"")),"""")
"),200)</f>
        <v>200</v>
      </c>
      <c r="O52" s="3" t="n">
        <f aca="false">IFERROR(__xludf.dummyfunction("if($T52&lt;&gt;"""",VALUE(REGEXEXTRACT($T52, O$1&amp;""[\w &amp;]*, (\d+\.\d+)"")),"""")
"),200)</f>
        <v>200</v>
      </c>
      <c r="P52" s="2" t="n">
        <f aca="false">IFERROR(__xludf.dummyfunction("if($T52&lt;&gt;"""",VALUE(REGEXEXTRACT($T52, P$1&amp;""[\w &amp;]*, (\d+\.\d+)"")),"""")
"),200.34)</f>
        <v>200.34</v>
      </c>
      <c r="Q52" s="2" t="n">
        <f aca="false">IFERROR(__xludf.dummyfunction("if($T52&lt;&gt;"""",VALUE(REGEXEXTRACT($T52, Q$1&amp;""[\w &amp;]*, (\d+\.\d+)"")),"""")
"),199.62)</f>
        <v>199.62</v>
      </c>
      <c r="R52" s="2" t="n">
        <f aca="false">IFERROR(__xludf.dummyfunction("if($T52&lt;&gt;"""",VALUE(REGEXEXTRACT($T52, SUBSTITUTE(R$1, ""+"", ""\+"")&amp;""[\w &amp;]*, (\d+\.\d+)"")),"""")"),203.82)</f>
        <v>203.82</v>
      </c>
      <c r="S52" s="2" t="n">
        <f aca="false">IFERROR(__xludf.dummyfunction("if($T52&lt;&gt;"""",VALUE(REGEXEXTRACT($T52, SUBSTITUTE(S$1, ""+"", ""\+"")&amp;""[\w &amp;]*, (\d+\.\d+)"")),"""")"),204.54)</f>
        <v>204.54</v>
      </c>
      <c r="T52" s="5" t="s">
        <v>674</v>
      </c>
    </row>
    <row r="53" customFormat="false" ht="15.75" hidden="false" customHeight="false" outlineLevel="0" collapsed="false">
      <c r="A53" s="4" t="n">
        <f aca="false">IFERROR(__xludf.dummyfunction("""COMPUTED_VALUE"""),45484.6666666667)</f>
        <v>45484.6666666667</v>
      </c>
      <c r="B53" s="2" t="n">
        <f aca="false">IFERROR(__xludf.dummyfunction("""COMPUTED_VALUE"""),207.9)</f>
        <v>207.9</v>
      </c>
      <c r="C53" s="2" t="n">
        <f aca="false">IFERROR(__xludf.dummyfunction("""COMPUTED_VALUE"""),211.23)</f>
        <v>211.23</v>
      </c>
      <c r="D53" s="2" t="n">
        <f aca="false">IFERROR(__xludf.dummyfunction("""COMPUTED_VALUE"""),206.94)</f>
        <v>206.94</v>
      </c>
      <c r="E53" s="2" t="n">
        <f aca="false">IFERROR(__xludf.dummyfunction("""COMPUTED_VALUE"""),210.68)</f>
        <v>210.68</v>
      </c>
      <c r="F53" s="3" t="n">
        <f aca="false">IFERROR(__xludf.dummyfunction("if($T53&lt;&gt;"""",VALUE(REGEXEXTRACT(SUBSTITUTE ($T53,F$1&amp;"" CE"",""""), F$1&amp;""[\w &amp;]*, (\d+\.\d+)"")),"""")
"),205)</f>
        <v>205</v>
      </c>
      <c r="G53" s="3" t="n">
        <f aca="false">IFERROR(__xludf.dummyfunction("if($T53&lt;&gt;"""",VALUE(REGEXEXTRACT($T53, G$1&amp;""[\w &amp;]*, (\d+\.\d+)"")),"""")
"),205)</f>
        <v>205</v>
      </c>
      <c r="H53" s="3" t="n">
        <f aca="false">IFERROR(__xludf.dummyfunction("if($T53&lt;&gt;"""",VALUE(REGEXEXTRACT($T53, H$1&amp;""[\w &amp;]*, (\d+\.\d+)"")),"""")
"),208)</f>
        <v>208</v>
      </c>
      <c r="I53" s="3" t="n">
        <f aca="false">IFERROR(__xludf.dummyfunction("if($T53&lt;&gt;"""",VALUE(REGEXEXTRACT(SUBSTITUTE ($T53,I$1&amp;"" CE"",""""), I$1&amp;""[\w &amp;]*, (\d+\.\d+)"")),"""")
"),200)</f>
        <v>200</v>
      </c>
      <c r="J53" s="3" t="n">
        <f aca="false">IFERROR(__xludf.dummyfunction("if($T53&lt;&gt;"""",VALUE(REGEXEXTRACT($T53, J$1&amp;""[\w &amp;]*, (\d+\.\d+)"")),"""")
"),200)</f>
        <v>200</v>
      </c>
      <c r="K53" s="3" t="n">
        <f aca="false">IFERROR(__xludf.dummyfunction("if($T53&lt;&gt;"""",VALUE(REGEXEXTRACT($T53, K$1&amp;""[\w &amp;]*, (\d+\.\d+)"")),"""")
"),190)</f>
        <v>190</v>
      </c>
      <c r="L53" s="3" t="n">
        <f aca="false">IFERROR(__xludf.dummyfunction("if($T53&lt;&gt;"""",VALUE(REGEXEXTRACT(SUBSTITUTE ($T53,L$1&amp;"" CE"",""""), L$1&amp;""[\w &amp;]*, (\d+\.\d+)"")),"""")
"),201)</f>
        <v>201</v>
      </c>
      <c r="M53" s="3" t="n">
        <f aca="false">IFERROR(__xludf.dummyfunction("if($T53&lt;&gt;"""",VALUE(REGEXEXTRACT($T53, M$1&amp;""[\w &amp;]*, (\d+\.\d+)"")),"""")
"),201)</f>
        <v>201</v>
      </c>
      <c r="N53" s="3" t="n">
        <f aca="false">IFERROR(__xludf.dummyfunction("if($T53&lt;&gt;"""",VALUE(REGEXEXTRACT(SUBSTITUTE ($T53,N$1&amp;"" CE"",""""), N$1&amp;""[\w &amp;]*, (\d+\.\d+)"")),"""")
"),205)</f>
        <v>205</v>
      </c>
      <c r="O53" s="3" t="n">
        <f aca="false">IFERROR(__xludf.dummyfunction("if($T53&lt;&gt;"""",VALUE(REGEXEXTRACT($T53, O$1&amp;""[\w &amp;]*, (\d+\.\d+)"")),"""")
"),205)</f>
        <v>205</v>
      </c>
      <c r="P53" s="2" t="n">
        <f aca="false">IFERROR(__xludf.dummyfunction("if($T53&lt;&gt;"""",VALUE(REGEXEXTRACT($T53, P$1&amp;""[\w &amp;]*, (\d+\.\d+)"")),"""")
"),201.33)</f>
        <v>201.33</v>
      </c>
      <c r="Q53" s="2" t="n">
        <f aca="false">IFERROR(__xludf.dummyfunction("if($T53&lt;&gt;"""",VALUE(REGEXEXTRACT($T53, Q$1&amp;""[\w &amp;]*, (\d+\.\d+)"")),"""")
"),200.6)</f>
        <v>200.6</v>
      </c>
      <c r="R53" s="2" t="n">
        <f aca="false">IFERROR(__xludf.dummyfunction("if($T53&lt;&gt;"""",VALUE(REGEXEXTRACT($T53, SUBSTITUTE(R$1, ""+"", ""\+"")&amp;""[\w &amp;]*, (\d+\.\d+)"")),"""")"),204.99)</f>
        <v>204.99</v>
      </c>
      <c r="S53" s="2" t="n">
        <f aca="false">IFERROR(__xludf.dummyfunction("if($T53&lt;&gt;"""",VALUE(REGEXEXTRACT($T53, SUBSTITUTE(S$1, ""+"", ""\+"")&amp;""[\w &amp;]*, (\d+\.\d+)"")),"""")"),205.72)</f>
        <v>205.72</v>
      </c>
      <c r="T53" s="5" t="s">
        <v>675</v>
      </c>
    </row>
    <row r="54" customFormat="false" ht="15.75" hidden="false" customHeight="false" outlineLevel="0" collapsed="false">
      <c r="A54" s="4" t="n">
        <f aca="false">IFERROR(__xludf.dummyfunction("""COMPUTED_VALUE"""),45485.6666666667)</f>
        <v>45485.6666666667</v>
      </c>
      <c r="B54" s="2" t="n">
        <f aca="false">IFERROR(__xludf.dummyfunction("""COMPUTED_VALUE"""),212.92)</f>
        <v>212.92</v>
      </c>
      <c r="C54" s="2" t="n">
        <f aca="false">IFERROR(__xludf.dummyfunction("""COMPUTED_VALUE"""),214.94)</f>
        <v>214.94</v>
      </c>
      <c r="D54" s="2" t="n">
        <f aca="false">IFERROR(__xludf.dummyfunction("""COMPUTED_VALUE"""),212.66)</f>
        <v>212.66</v>
      </c>
      <c r="E54" s="2" t="n">
        <f aca="false">IFERROR(__xludf.dummyfunction("""COMPUTED_VALUE"""),213.14)</f>
        <v>213.14</v>
      </c>
      <c r="F54" s="3" t="n">
        <f aca="false">IFERROR(__xludf.dummyfunction("if($T54&lt;&gt;"""",VALUE(REGEXEXTRACT(SUBSTITUTE ($T54,F$1&amp;"" CE"",""""), F$1&amp;""[\w &amp;]*, (\d+\.\d+)"")),"""")
"),215)</f>
        <v>215</v>
      </c>
      <c r="G54" s="3" t="n">
        <f aca="false">IFERROR(__xludf.dummyfunction("if($T54&lt;&gt;"""",VALUE(REGEXEXTRACT($T54, G$1&amp;""[\w &amp;]*, (\d+\.\d+)"")),"""")
"),210)</f>
        <v>210</v>
      </c>
      <c r="H54" s="3" t="n">
        <f aca="false">IFERROR(__xludf.dummyfunction("if($T54&lt;&gt;"""",VALUE(REGEXEXTRACT($T54, H$1&amp;""[\w &amp;]*, (\d+\.\d+)"")),"""")
"),217)</f>
        <v>217</v>
      </c>
      <c r="I54" s="3" t="n">
        <f aca="false">IFERROR(__xludf.dummyfunction("if($T54&lt;&gt;"""",VALUE(REGEXEXTRACT(SUBSTITUTE ($T54,I$1&amp;"" CE"",""""), I$1&amp;""[\w &amp;]*, (\d+\.\d+)"")),"""")
"),200)</f>
        <v>200</v>
      </c>
      <c r="J54" s="3" t="n">
        <f aca="false">IFERROR(__xludf.dummyfunction("if($T54&lt;&gt;"""",VALUE(REGEXEXTRACT($T54, J$1&amp;""[\w &amp;]*, (\d+\.\d+)"")),"""")
"),199)</f>
        <v>199</v>
      </c>
      <c r="K54" s="3" t="n">
        <f aca="false">IFERROR(__xludf.dummyfunction("if($T54&lt;&gt;"""",VALUE(REGEXEXTRACT($T54, K$1&amp;""[\w &amp;]*, (\d+\.\d+)"")),"""")
"),198)</f>
        <v>198</v>
      </c>
      <c r="L54" s="3" t="n">
        <f aca="false">IFERROR(__xludf.dummyfunction("if($T54&lt;&gt;"""",VALUE(REGEXEXTRACT(SUBSTITUTE ($T54,L$1&amp;"" CE"",""""), L$1&amp;""[\w &amp;]*, (\d+\.\d+)"")),"""")
"),202)</f>
        <v>202</v>
      </c>
      <c r="M54" s="3" t="n">
        <f aca="false">IFERROR(__xludf.dummyfunction("if($T54&lt;&gt;"""",VALUE(REGEXEXTRACT($T54, M$1&amp;""[\w &amp;]*, (\d+\.\d+)"")),"""")
"),202)</f>
        <v>202</v>
      </c>
      <c r="N54" s="3" t="n">
        <f aca="false">IFERROR(__xludf.dummyfunction("if($T54&lt;&gt;"""",VALUE(REGEXEXTRACT(SUBSTITUTE ($T54,N$1&amp;"" CE"",""""), N$1&amp;""[\w &amp;]*, (\d+\.\d+)"")),"""")
"),210)</f>
        <v>210</v>
      </c>
      <c r="O54" s="3" t="n">
        <f aca="false">IFERROR(__xludf.dummyfunction("if($T54&lt;&gt;"""",VALUE(REGEXEXTRACT($T54, O$1&amp;""[\w &amp;]*, (\d+\.\d+)"")),"""")
"),210)</f>
        <v>210</v>
      </c>
      <c r="P54" s="2" t="n">
        <f aca="false">IFERROR(__xludf.dummyfunction("if($T54&lt;&gt;"""",VALUE(REGEXEXTRACT($T54, P$1&amp;""[\w &amp;]*, (\d+\.\d+)"")),"""")
"),210.48)</f>
        <v>210.48</v>
      </c>
      <c r="Q54" s="2" t="n">
        <f aca="false">IFERROR(__xludf.dummyfunction("if($T54&lt;&gt;"""",VALUE(REGEXEXTRACT($T54, Q$1&amp;""[\w &amp;]*, (\d+\.\d+)"")),"""")
"),208.36)</f>
        <v>208.36</v>
      </c>
      <c r="R54" s="2" t="n">
        <f aca="false">IFERROR(__xludf.dummyfunction("if($T54&lt;&gt;"""",VALUE(REGEXEXTRACT($T54, SUBSTITUTE(R$1, ""+"", ""\+"")&amp;""[\w &amp;]*, (\d+\.\d+)"")),"""")"),214.82)</f>
        <v>214.82</v>
      </c>
      <c r="S54" s="2" t="n">
        <f aca="false">IFERROR(__xludf.dummyfunction("if($T54&lt;&gt;"""",VALUE(REGEXEXTRACT($T54, SUBSTITUTE(S$1, ""+"", ""\+"")&amp;""[\w &amp;]*, (\d+\.\d+)"")),"""")"),216.94)</f>
        <v>216.94</v>
      </c>
      <c r="T54" s="5" t="s">
        <v>676</v>
      </c>
    </row>
    <row r="55" customFormat="false" ht="15.75" hidden="false" customHeight="false" outlineLevel="0" collapsed="false">
      <c r="A55" s="4" t="n">
        <f aca="false">IFERROR(__xludf.dummyfunction("""COMPUTED_VALUE"""),45488.6666666667)</f>
        <v>45488.6666666667</v>
      </c>
      <c r="B55" s="2" t="n">
        <f aca="false">IFERROR(__xludf.dummyfunction("""COMPUTED_VALUE"""),214.79)</f>
        <v>214.79</v>
      </c>
      <c r="C55" s="2" t="n">
        <f aca="false">IFERROR(__xludf.dummyfunction("""COMPUTED_VALUE"""),218.24)</f>
        <v>218.24</v>
      </c>
      <c r="D55" s="2" t="n">
        <f aca="false">IFERROR(__xludf.dummyfunction("""COMPUTED_VALUE"""),214.3)</f>
        <v>214.3</v>
      </c>
      <c r="E55" s="2" t="n">
        <f aca="false">IFERROR(__xludf.dummyfunction("""COMPUTED_VALUE"""),217.19)</f>
        <v>217.19</v>
      </c>
      <c r="F55" s="3" t="n">
        <f aca="false">IFERROR(__xludf.dummyfunction("if($T55&lt;&gt;"""",VALUE(REGEXEXTRACT(SUBSTITUTE ($T55,F$1&amp;"" CE"",""""), F$1&amp;""[\w &amp;]*, (\d+\.\d+)"")),"""")
"),215)</f>
        <v>215</v>
      </c>
      <c r="G55" s="3" t="n">
        <f aca="false">IFERROR(__xludf.dummyfunction("if($T55&lt;&gt;"""",VALUE(REGEXEXTRACT($T55, G$1&amp;""[\w &amp;]*, (\d+\.\d+)"")),"""")
"),215)</f>
        <v>215</v>
      </c>
      <c r="H55" s="3" t="n">
        <f aca="false">IFERROR(__xludf.dummyfunction("if($T55&lt;&gt;"""",VALUE(REGEXEXTRACT($T55, H$1&amp;""[\w &amp;]*, (\d+\.\d+)"")),"""")
"),217)</f>
        <v>217</v>
      </c>
      <c r="I55" s="3" t="n">
        <f aca="false">IFERROR(__xludf.dummyfunction("if($T55&lt;&gt;"""",VALUE(REGEXEXTRACT(SUBSTITUTE ($T55,I$1&amp;"" CE"",""""), I$1&amp;""[\w &amp;]*, (\d+\.\d+)"")),"""")
"),200)</f>
        <v>200</v>
      </c>
      <c r="J55" s="3" t="n">
        <f aca="false">IFERROR(__xludf.dummyfunction("if($T55&lt;&gt;"""",VALUE(REGEXEXTRACT($T55, J$1&amp;""[\w &amp;]*, (\d+\.\d+)"")),"""")
"),211)</f>
        <v>211</v>
      </c>
      <c r="K55" s="3" t="str">
        <f aca="false">IFERROR(__xludf.dummyfunction("if($T55&lt;&gt;"""",VALUE(REGEXEXTRACT($T55, K$1&amp;""[\w &amp;]*, (\d+\.\d+)"")),"""")
"),"#N/A")</f>
        <v>#N/A</v>
      </c>
      <c r="L55" s="3" t="n">
        <f aca="false">IFERROR(__xludf.dummyfunction("if($T55&lt;&gt;"""",VALUE(REGEXEXTRACT(SUBSTITUTE ($T55,L$1&amp;"" CE"",""""), L$1&amp;""[\w &amp;]*, (\d+\.\d+)"")),"""")
"),204)</f>
        <v>204</v>
      </c>
      <c r="M55" s="3" t="n">
        <f aca="false">IFERROR(__xludf.dummyfunction("if($T55&lt;&gt;"""",VALUE(REGEXEXTRACT($T55, M$1&amp;""[\w &amp;]*, (\d+\.\d+)"")),"""")
"),211)</f>
        <v>211</v>
      </c>
      <c r="N55" s="3" t="n">
        <f aca="false">IFERROR(__xludf.dummyfunction("if($T55&lt;&gt;"""",VALUE(REGEXEXTRACT(SUBSTITUTE ($T55,N$1&amp;"" CE"",""""), N$1&amp;""[\w &amp;]*, (\d+\.\d+)"")),"""")
"),215)</f>
        <v>215</v>
      </c>
      <c r="O55" s="3" t="n">
        <f aca="false">IFERROR(__xludf.dummyfunction("if($T55&lt;&gt;"""",VALUE(REGEXEXTRACT($T55, O$1&amp;""[\w &amp;]*, (\d+\.\d+)"")),"""")
"),215)</f>
        <v>215</v>
      </c>
      <c r="P55" s="2" t="n">
        <f aca="false">IFERROR(__xludf.dummyfunction("if($T55&lt;&gt;"""",VALUE(REGEXEXTRACT($T55, P$1&amp;""[\w &amp;]*, (\d+\.\d+)"")),"""")
"),213.54)</f>
        <v>213.54</v>
      </c>
      <c r="Q55" s="2" t="n">
        <f aca="false">IFERROR(__xludf.dummyfunction("if($T55&lt;&gt;"""",VALUE(REGEXEXTRACT($T55, Q$1&amp;""[\w &amp;]*, (\d+\.\d+)"")),"""")
"),212.84)</f>
        <v>212.84</v>
      </c>
      <c r="R55" s="2" t="n">
        <f aca="false">IFERROR(__xludf.dummyfunction("if($T55&lt;&gt;"""",VALUE(REGEXEXTRACT($T55, SUBSTITUTE(R$1, ""+"", ""\+"")&amp;""[\w &amp;]*, (\d+\.\d+)"")),"""")"),216.9)</f>
        <v>216.9</v>
      </c>
      <c r="S55" s="2" t="n">
        <f aca="false">IFERROR(__xludf.dummyfunction("if($T55&lt;&gt;"""",VALUE(REGEXEXTRACT($T55, SUBSTITUTE(S$1, ""+"", ""\+"")&amp;""[\w &amp;]*, (\d+\.\d+)"")),"""")"),217.6)</f>
        <v>217.6</v>
      </c>
      <c r="T55" s="5" t="s">
        <v>677</v>
      </c>
    </row>
    <row r="56" customFormat="false" ht="15.75" hidden="false" customHeight="false" outlineLevel="0" collapsed="false">
      <c r="A56" s="4" t="n">
        <f aca="false">IFERROR(__xludf.dummyfunction("""COMPUTED_VALUE"""),45489.6666666667)</f>
        <v>45489.6666666667</v>
      </c>
      <c r="B56" s="2" t="n">
        <f aca="false">IFERROR(__xludf.dummyfunction("""COMPUTED_VALUE"""),219.14)</f>
        <v>219.14</v>
      </c>
      <c r="C56" s="2" t="n">
        <f aca="false">IFERROR(__xludf.dummyfunction("""COMPUTED_VALUE"""),224.86)</f>
        <v>224.86</v>
      </c>
      <c r="D56" s="2" t="n">
        <f aca="false">IFERROR(__xludf.dummyfunction("""COMPUTED_VALUE"""),219.02)</f>
        <v>219.02</v>
      </c>
      <c r="E56" s="2" t="n">
        <f aca="false">IFERROR(__xludf.dummyfunction("""COMPUTED_VALUE"""),224.6)</f>
        <v>224.6</v>
      </c>
      <c r="F56" s="3" t="n">
        <f aca="false">IFERROR(__xludf.dummyfunction("if($T56&lt;&gt;"""",VALUE(REGEXEXTRACT(SUBSTITUTE ($T56,F$1&amp;"" CE"",""""), F$1&amp;""[\w &amp;]*, (\d+\.\d+)"")),"""")
"),215)</f>
        <v>215</v>
      </c>
      <c r="G56" s="3" t="n">
        <f aca="false">IFERROR(__xludf.dummyfunction("if($T56&lt;&gt;"""",VALUE(REGEXEXTRACT($T56, G$1&amp;""[\w &amp;]*, (\d+\.\d+)"")),"""")
"),218)</f>
        <v>218</v>
      </c>
      <c r="H56" s="3" t="n">
        <f aca="false">IFERROR(__xludf.dummyfunction("if($T56&lt;&gt;"""",VALUE(REGEXEXTRACT($T56, H$1&amp;""[\w &amp;]*, (\d+\.\d+)"")),"""")
"),222)</f>
        <v>222</v>
      </c>
      <c r="I56" s="3" t="n">
        <f aca="false">IFERROR(__xludf.dummyfunction("if($T56&lt;&gt;"""",VALUE(REGEXEXTRACT(SUBSTITUTE ($T56,I$1&amp;"" CE"",""""), I$1&amp;""[\w &amp;]*, (\d+\.\d+)"")),"""")
"),210)</f>
        <v>210</v>
      </c>
      <c r="J56" s="3" t="n">
        <f aca="false">IFERROR(__xludf.dummyfunction("if($T56&lt;&gt;"""",VALUE(REGEXEXTRACT($T56, J$1&amp;""[\w &amp;]*, (\d+\.\d+)"")),"""")
"),214)</f>
        <v>214</v>
      </c>
      <c r="K56" s="3" t="n">
        <f aca="false">IFERROR(__xludf.dummyfunction("if($T56&lt;&gt;"""",VALUE(REGEXEXTRACT($T56, K$1&amp;""[\w &amp;]*, (\d+\.\d+)"")),"""")
"),198)</f>
        <v>198</v>
      </c>
      <c r="L56" s="3" t="n">
        <f aca="false">IFERROR(__xludf.dummyfunction("if($T56&lt;&gt;"""",VALUE(REGEXEXTRACT(SUBSTITUTE ($T56,L$1&amp;"" CE"",""""), L$1&amp;""[\w &amp;]*, (\d+\.\d+)"")),"""")
"),206)</f>
        <v>206</v>
      </c>
      <c r="M56" s="3" t="n">
        <f aca="false">IFERROR(__xludf.dummyfunction("if($T56&lt;&gt;"""",VALUE(REGEXEXTRACT($T56, M$1&amp;""[\w &amp;]*, (\d+\.\d+)"")),"""")
"),215)</f>
        <v>215</v>
      </c>
      <c r="N56" s="3" t="n">
        <f aca="false">IFERROR(__xludf.dummyfunction("if($T56&lt;&gt;"""",VALUE(REGEXEXTRACT(SUBSTITUTE ($T56,N$1&amp;"" CE"",""""), N$1&amp;""[\w &amp;]*, (\d+\.\d+)"")),"""")
"),215)</f>
        <v>215</v>
      </c>
      <c r="O56" s="3" t="n">
        <f aca="false">IFERROR(__xludf.dummyfunction("if($T56&lt;&gt;"""",VALUE(REGEXEXTRACT($T56, O$1&amp;""[\w &amp;]*, (\d+\.\d+)"")),"""")
"),217)</f>
        <v>217</v>
      </c>
      <c r="P56" s="2" t="n">
        <f aca="false">IFERROR(__xludf.dummyfunction("if($T56&lt;&gt;"""",VALUE(REGEXEXTRACT($T56, P$1&amp;""[\w &amp;]*, (\d+\.\d+)"")),"""")
"),216.99)</f>
        <v>216.99</v>
      </c>
      <c r="Q56" s="2" t="n">
        <f aca="false">IFERROR(__xludf.dummyfunction("if($T56&lt;&gt;"""",VALUE(REGEXEXTRACT($T56, Q$1&amp;""[\w &amp;]*, (\d+\.\d+)"")),"""")
"),216.04)</f>
        <v>216.04</v>
      </c>
      <c r="R56" s="2" t="n">
        <f aca="false">IFERROR(__xludf.dummyfunction("if($T56&lt;&gt;"""",VALUE(REGEXEXTRACT($T56, SUBSTITUTE(R$1, ""+"", ""\+"")&amp;""[\w &amp;]*, (\d+\.\d+)"")),"""")"),221.59)</f>
        <v>221.59</v>
      </c>
      <c r="S56" s="2" t="n">
        <f aca="false">IFERROR(__xludf.dummyfunction("if($T56&lt;&gt;"""",VALUE(REGEXEXTRACT($T56, SUBSTITUTE(S$1, ""+"", ""\+"")&amp;""[\w &amp;]*, (\d+\.\d+)"")),"""")"),222.54)</f>
        <v>222.54</v>
      </c>
      <c r="T56" s="5" t="s">
        <v>678</v>
      </c>
    </row>
    <row r="57" customFormat="false" ht="15.75" hidden="false" customHeight="false" outlineLevel="0" collapsed="false">
      <c r="A57" s="4" t="n">
        <f aca="false">IFERROR(__xludf.dummyfunction("""COMPUTED_VALUE"""),45490.6666666667)</f>
        <v>45490.6666666667</v>
      </c>
      <c r="B57" s="2" t="n">
        <f aca="false">IFERROR(__xludf.dummyfunction("""COMPUTED_VALUE"""),222.36)</f>
        <v>222.36</v>
      </c>
      <c r="C57" s="2" t="n">
        <f aca="false">IFERROR(__xludf.dummyfunction("""COMPUTED_VALUE"""),226.64)</f>
        <v>226.64</v>
      </c>
      <c r="D57" s="2" t="n">
        <f aca="false">IFERROR(__xludf.dummyfunction("""COMPUTED_VALUE"""),221.66)</f>
        <v>221.66</v>
      </c>
      <c r="E57" s="2" t="n">
        <f aca="false">IFERROR(__xludf.dummyfunction("""COMPUTED_VALUE"""),222.25)</f>
        <v>222.25</v>
      </c>
      <c r="F57" s="3" t="n">
        <f aca="false">IFERROR(__xludf.dummyfunction("if($T57&lt;&gt;"""",VALUE(REGEXEXTRACT(SUBSTITUTE ($T57,F$1&amp;"" CE"",""""), F$1&amp;""[\w &amp;]*, (\d+\.\d+)"")),"""")
"),220)</f>
        <v>220</v>
      </c>
      <c r="G57" s="3" t="n">
        <f aca="false">IFERROR(__xludf.dummyfunction("if($T57&lt;&gt;"""",VALUE(REGEXEXTRACT($T57, G$1&amp;""[\w &amp;]*, (\d+\.\d+)"")),"""")
"),224)</f>
        <v>224</v>
      </c>
      <c r="H57" s="3" t="n">
        <f aca="false">IFERROR(__xludf.dummyfunction("if($T57&lt;&gt;"""",VALUE(REGEXEXTRACT($T57, H$1&amp;""[\w &amp;]*, (\d+\.\d+)"")),"""")
"),230)</f>
        <v>230</v>
      </c>
      <c r="I57" s="3" t="n">
        <f aca="false">IFERROR(__xludf.dummyfunction("if($T57&lt;&gt;"""",VALUE(REGEXEXTRACT(SUBSTITUTE ($T57,I$1&amp;"" CE"",""""), I$1&amp;""[\w &amp;]*, (\d+\.\d+)"")),"""")
"),210)</f>
        <v>210</v>
      </c>
      <c r="J57" s="3" t="n">
        <f aca="false">IFERROR(__xludf.dummyfunction("if($T57&lt;&gt;"""",VALUE(REGEXEXTRACT($T57, J$1&amp;""[\w &amp;]*, (\d+\.\d+)"")),"""")
"),222)</f>
        <v>222</v>
      </c>
      <c r="K57" s="3" t="n">
        <f aca="false">IFERROR(__xludf.dummyfunction("if($T57&lt;&gt;"""",VALUE(REGEXEXTRACT($T57, K$1&amp;""[\w &amp;]*, (\d+\.\d+)"")),"""")
"),198)</f>
        <v>198</v>
      </c>
      <c r="L57" s="3" t="n">
        <f aca="false">IFERROR(__xludf.dummyfunction("if($T57&lt;&gt;"""",VALUE(REGEXEXTRACT(SUBSTITUTE ($T57,L$1&amp;"" CE"",""""), L$1&amp;""[\w &amp;]*, (\d+\.\d+)"")),"""")
"),207.5)</f>
        <v>207.5</v>
      </c>
      <c r="M57" s="3" t="n">
        <f aca="false">IFERROR(__xludf.dummyfunction("if($T57&lt;&gt;"""",VALUE(REGEXEXTRACT($T57, M$1&amp;""[\w &amp;]*, (\d+\.\d+)"")),"""")
"),222)</f>
        <v>222</v>
      </c>
      <c r="N57" s="3" t="n">
        <f aca="false">IFERROR(__xludf.dummyfunction("if($T57&lt;&gt;"""",VALUE(REGEXEXTRACT(SUBSTITUTE ($T57,N$1&amp;"" CE"",""""), N$1&amp;""[\w &amp;]*, (\d+\.\d+)"")),"""")
"),220)</f>
        <v>220</v>
      </c>
      <c r="O57" s="3" t="n">
        <f aca="false">IFERROR(__xludf.dummyfunction("if($T57&lt;&gt;"""",VALUE(REGEXEXTRACT($T57, O$1&amp;""[\w &amp;]*, (\d+\.\d+)"")),"""")
"),223)</f>
        <v>223</v>
      </c>
      <c r="P57" s="2" t="n">
        <f aca="false">IFERROR(__xludf.dummyfunction("if($T57&lt;&gt;"""",VALUE(REGEXEXTRACT($T57, P$1&amp;""[\w &amp;]*, (\d+\.\d+)"")),"""")
"),221.63)</f>
        <v>221.63</v>
      </c>
      <c r="Q57" s="2" t="n">
        <f aca="false">IFERROR(__xludf.dummyfunction("if($T57&lt;&gt;"""",VALUE(REGEXEXTRACT($T57, Q$1&amp;""[\w &amp;]*, (\d+\.\d+)"")),"""")
"),220.49)</f>
        <v>220.49</v>
      </c>
      <c r="R57" s="2" t="n">
        <f aca="false">IFERROR(__xludf.dummyfunction("if($T57&lt;&gt;"""",VALUE(REGEXEXTRACT($T57, SUBSTITUTE(R$1, ""+"", ""\+"")&amp;""[\w &amp;]*, (\d+\.\d+)"")),"""")"),227.15)</f>
        <v>227.15</v>
      </c>
      <c r="S57" s="2" t="n">
        <f aca="false">IFERROR(__xludf.dummyfunction("if($T57&lt;&gt;"""",VALUE(REGEXEXTRACT($T57, SUBSTITUTE(S$1, ""+"", ""\+"")&amp;""[\w &amp;]*, (\d+\.\d+)"")),"""")"),228.29)</f>
        <v>228.29</v>
      </c>
      <c r="T57" s="5" t="s">
        <v>679</v>
      </c>
    </row>
    <row r="58" customFormat="false" ht="15.75" hidden="false" customHeight="false" outlineLevel="0" collapsed="false">
      <c r="A58" s="4" t="n">
        <f aca="false">IFERROR(__xludf.dummyfunction("""COMPUTED_VALUE"""),45491.6666666667)</f>
        <v>45491.6666666667</v>
      </c>
      <c r="B58" s="2" t="n">
        <f aca="false">IFERROR(__xludf.dummyfunction("""COMPUTED_VALUE"""),221.41)</f>
        <v>221.41</v>
      </c>
      <c r="C58" s="2" t="n">
        <f aca="false">IFERROR(__xludf.dummyfunction("""COMPUTED_VALUE"""),224.78)</f>
        <v>224.78</v>
      </c>
      <c r="D58" s="2" t="n">
        <f aca="false">IFERROR(__xludf.dummyfunction("""COMPUTED_VALUE"""),216.98)</f>
        <v>216.98</v>
      </c>
      <c r="E58" s="2" t="n">
        <f aca="false">IFERROR(__xludf.dummyfunction("""COMPUTED_VALUE"""),217.95)</f>
        <v>217.95</v>
      </c>
      <c r="F58" s="3" t="n">
        <f aca="false">IFERROR(__xludf.dummyfunction("if($T58&lt;&gt;"""",VALUE(REGEXEXTRACT(SUBSTITUTE ($T58,F$1&amp;"" CE"",""""), F$1&amp;""[\w &amp;]*, (\d+\.\d+)"")),"""")
"),220)</f>
        <v>220</v>
      </c>
      <c r="G58" s="3" t="n">
        <f aca="false">IFERROR(__xludf.dummyfunction("if($T58&lt;&gt;"""",VALUE(REGEXEXTRACT($T58, G$1&amp;""[\w &amp;]*, (\d+\.\d+)"")),"""")
"),225)</f>
        <v>225</v>
      </c>
      <c r="H58" s="3" t="n">
        <f aca="false">IFERROR(__xludf.dummyfunction("if($T58&lt;&gt;"""",VALUE(REGEXEXTRACT($T58, H$1&amp;""[\w &amp;]*, (\d+\.\d+)"")),"""")
"),230)</f>
        <v>230</v>
      </c>
      <c r="I58" s="3" t="n">
        <f aca="false">IFERROR(__xludf.dummyfunction("if($T58&lt;&gt;"""",VALUE(REGEXEXTRACT(SUBSTITUTE ($T58,I$1&amp;"" CE"",""""), I$1&amp;""[\w &amp;]*, (\d+\.\d+)"")),"""")
"),220)</f>
        <v>220</v>
      </c>
      <c r="J58" s="3" t="n">
        <f aca="false">IFERROR(__xludf.dummyfunction("if($T58&lt;&gt;"""",VALUE(REGEXEXTRACT($T58, J$1&amp;""[\w &amp;]*, (\d+\.\d+)"")),"""")
"),220)</f>
        <v>220</v>
      </c>
      <c r="K58" s="3" t="n">
        <f aca="false">IFERROR(__xludf.dummyfunction("if($T58&lt;&gt;"""",VALUE(REGEXEXTRACT($T58, K$1&amp;""[\w &amp;]*, (\d+\.\d+)"")),"""")
"),198)</f>
        <v>198</v>
      </c>
      <c r="L58" s="3" t="n">
        <f aca="false">IFERROR(__xludf.dummyfunction("if($T58&lt;&gt;"""",VALUE(REGEXEXTRACT(SUBSTITUTE ($T58,L$1&amp;"" CE"",""""), L$1&amp;""[\w &amp;]*, (\d+\.\d+)"")),"""")
"),213)</f>
        <v>213</v>
      </c>
      <c r="M58" s="3" t="n">
        <f aca="false">IFERROR(__xludf.dummyfunction("if($T58&lt;&gt;"""",VALUE(REGEXEXTRACT($T58, M$1&amp;""[\w &amp;]*, (\d+\.\d+)"")),"""")
"),221)</f>
        <v>221</v>
      </c>
      <c r="N58" s="3" t="n">
        <f aca="false">IFERROR(__xludf.dummyfunction("if($T58&lt;&gt;"""",VALUE(REGEXEXTRACT(SUBSTITUTE ($T58,N$1&amp;"" CE"",""""), N$1&amp;""[\w &amp;]*, (\d+\.\d+)"")),"""")
"),220)</f>
        <v>220</v>
      </c>
      <c r="O58" s="3" t="n">
        <f aca="false">IFERROR(__xludf.dummyfunction("if($T58&lt;&gt;"""",VALUE(REGEXEXTRACT($T58, O$1&amp;""[\w &amp;]*, (\d+\.\d+)"")),"""")
"),223)</f>
        <v>223</v>
      </c>
      <c r="P58" s="2" t="n">
        <f aca="false">IFERROR(__xludf.dummyfunction("if($T58&lt;&gt;"""",VALUE(REGEXEXTRACT($T58, P$1&amp;""[\w &amp;]*, (\d+\.\d+)"")),"""")
"),219.38)</f>
        <v>219.38</v>
      </c>
      <c r="Q58" s="2" t="n">
        <f aca="false">IFERROR(__xludf.dummyfunction("if($T58&lt;&gt;"""",VALUE(REGEXEXTRACT($T58, Q$1&amp;""[\w &amp;]*, (\d+\.\d+)"")),"""")
"),218.29)</f>
        <v>218.29</v>
      </c>
      <c r="R58" s="2" t="n">
        <f aca="false">IFERROR(__xludf.dummyfunction("if($T58&lt;&gt;"""",VALUE(REGEXEXTRACT($T58, SUBSTITUTE(R$1, ""+"", ""\+"")&amp;""[\w &amp;]*, (\d+\.\d+)"")),"""")"),224.62)</f>
        <v>224.62</v>
      </c>
      <c r="S58" s="2" t="n">
        <f aca="false">IFERROR(__xludf.dummyfunction("if($T58&lt;&gt;"""",VALUE(REGEXEXTRACT($T58, SUBSTITUTE(S$1, ""+"", ""\+"")&amp;""[\w &amp;]*, (\d+\.\d+)"")),"""")"),225.71)</f>
        <v>225.71</v>
      </c>
      <c r="T58" s="5" t="s">
        <v>680</v>
      </c>
    </row>
    <row r="59" customFormat="false" ht="15.75" hidden="false" customHeight="false" outlineLevel="0" collapsed="false">
      <c r="A59" s="4" t="n">
        <f aca="false">IFERROR(__xludf.dummyfunction("""COMPUTED_VALUE"""),45492.6666666667)</f>
        <v>45492.6666666667</v>
      </c>
      <c r="B59" s="2" t="n">
        <f aca="false">IFERROR(__xludf.dummyfunction("""COMPUTED_VALUE"""),217.63)</f>
        <v>217.63</v>
      </c>
      <c r="C59" s="2" t="n">
        <f aca="false">IFERROR(__xludf.dummyfunction("""COMPUTED_VALUE"""),218.65)</f>
        <v>218.65</v>
      </c>
      <c r="D59" s="2" t="n">
        <f aca="false">IFERROR(__xludf.dummyfunction("""COMPUTED_VALUE"""),215.85)</f>
        <v>215.85</v>
      </c>
      <c r="E59" s="2" t="n">
        <f aca="false">IFERROR(__xludf.dummyfunction("""COMPUTED_VALUE"""),216.84)</f>
        <v>216.84</v>
      </c>
      <c r="F59" s="3" t="n">
        <f aca="false">IFERROR(__xludf.dummyfunction("if($T59&lt;&gt;"""",VALUE(REGEXEXTRACT(SUBSTITUTE ($T59,F$1&amp;"" CE"",""""), F$1&amp;""[\w &amp;]*, (\d+\.\d+)"")),"""")
"),215)</f>
        <v>215</v>
      </c>
      <c r="G59" s="3" t="n">
        <f aca="false">IFERROR(__xludf.dummyfunction("if($T59&lt;&gt;"""",VALUE(REGEXEXTRACT($T59, G$1&amp;""[\w &amp;]*, (\d+\.\d+)"")),"""")
"),215)</f>
        <v>215</v>
      </c>
      <c r="H59" s="3" t="n">
        <f aca="false">IFERROR(__xludf.dummyfunction("if($T59&lt;&gt;"""",VALUE(REGEXEXTRACT($T59, H$1&amp;""[\w &amp;]*, (\d+\.\d+)"")),"""")
"),222)</f>
        <v>222</v>
      </c>
      <c r="I59" s="3" t="n">
        <f aca="false">IFERROR(__xludf.dummyfunction("if($T59&lt;&gt;"""",VALUE(REGEXEXTRACT(SUBSTITUTE ($T59,I$1&amp;"" CE"",""""), I$1&amp;""[\w &amp;]*, (\d+\.\d+)"")),"""")
"),216)</f>
        <v>216</v>
      </c>
      <c r="J59" s="3" t="n">
        <f aca="false">IFERROR(__xludf.dummyfunction("if($T59&lt;&gt;"""",VALUE(REGEXEXTRACT($T59, J$1&amp;""[\w &amp;]*, (\d+\.\d+)"")),"""")
"),216)</f>
        <v>216</v>
      </c>
      <c r="K59" s="3" t="n">
        <f aca="false">IFERROR(__xludf.dummyfunction("if($T59&lt;&gt;"""",VALUE(REGEXEXTRACT($T59, K$1&amp;""[\w &amp;]*, (\d+\.\d+)"")),"""")
"),206)</f>
        <v>206</v>
      </c>
      <c r="L59" s="3" t="n">
        <f aca="false">IFERROR(__xludf.dummyfunction("if($T59&lt;&gt;"""",VALUE(REGEXEXTRACT(SUBSTITUTE ($T59,L$1&amp;"" CE"",""""), L$1&amp;""[\w &amp;]*, (\d+\.\d+)"")),"""")
"),216)</f>
        <v>216</v>
      </c>
      <c r="M59" s="3" t="n">
        <f aca="false">IFERROR(__xludf.dummyfunction("if($T59&lt;&gt;"""",VALUE(REGEXEXTRACT($T59, M$1&amp;""[\w &amp;]*, (\d+\.\d+)"")),"""")
"),202)</f>
        <v>202</v>
      </c>
      <c r="N59" s="3" t="n">
        <f aca="false">IFERROR(__xludf.dummyfunction("if($T59&lt;&gt;"""",VALUE(REGEXEXTRACT(SUBSTITUTE ($T59,N$1&amp;"" CE"",""""), N$1&amp;""[\w &amp;]*, (\d+\.\d+)"")),"""")
"),215)</f>
        <v>215</v>
      </c>
      <c r="O59" s="3" t="n">
        <f aca="false">IFERROR(__xludf.dummyfunction("if($T59&lt;&gt;"""",VALUE(REGEXEXTRACT($T59, O$1&amp;""[\w &amp;]*, (\d+\.\d+)"")),"""")
"),215)</f>
        <v>215</v>
      </c>
      <c r="P59" s="2" t="n">
        <f aca="false">IFERROR(__xludf.dummyfunction("if($T59&lt;&gt;"""",VALUE(REGEXEXTRACT($T59, P$1&amp;""[\w &amp;]*, (\d+\.\d+)"")),"""")
"),215.63)</f>
        <v>215.63</v>
      </c>
      <c r="Q59" s="2" t="n">
        <f aca="false">IFERROR(__xludf.dummyfunction("if($T59&lt;&gt;"""",VALUE(REGEXEXTRACT($T59, Q$1&amp;""[\w &amp;]*, (\d+\.\d+)"")),"""")
"),213.15)</f>
        <v>213.15</v>
      </c>
      <c r="R59" s="2" t="n">
        <f aca="false">IFERROR(__xludf.dummyfunction("if($T59&lt;&gt;"""",VALUE(REGEXEXTRACT($T59, SUBSTITUTE(R$1, ""+"", ""\+"")&amp;""[\w &amp;]*, (\d+\.\d+)"")),"""")"),220.59)</f>
        <v>220.59</v>
      </c>
      <c r="S59" s="2" t="n">
        <f aca="false">IFERROR(__xludf.dummyfunction("if($T59&lt;&gt;"""",VALUE(REGEXEXTRACT($T59, SUBSTITUTE(S$1, ""+"", ""\+"")&amp;""[\w &amp;]*, (\d+\.\d+)"")),"""")"),223.07)</f>
        <v>223.07</v>
      </c>
      <c r="T59" s="5" t="s">
        <v>681</v>
      </c>
    </row>
    <row r="60" customFormat="false" ht="15.75" hidden="false" customHeight="false" outlineLevel="0" collapsed="false">
      <c r="A60" s="4" t="n">
        <f aca="false">IFERROR(__xludf.dummyfunction("""COMPUTED_VALUE"""),45495.6666666667)</f>
        <v>45495.6666666667</v>
      </c>
      <c r="B60" s="2" t="n">
        <f aca="false">IFERROR(__xludf.dummyfunction("""COMPUTED_VALUE"""),217.68)</f>
        <v>217.68</v>
      </c>
      <c r="C60" s="2" t="n">
        <f aca="false">IFERROR(__xludf.dummyfunction("""COMPUTED_VALUE"""),220.65)</f>
        <v>220.65</v>
      </c>
      <c r="D60" s="2" t="n">
        <f aca="false">IFERROR(__xludf.dummyfunction("""COMPUTED_VALUE"""),215.38)</f>
        <v>215.38</v>
      </c>
      <c r="E60" s="2" t="n">
        <f aca="false">IFERROR(__xludf.dummyfunction("""COMPUTED_VALUE"""),220.29)</f>
        <v>220.29</v>
      </c>
      <c r="F60" s="3" t="n">
        <f aca="false">IFERROR(__xludf.dummyfunction("if($T60&lt;&gt;"""",VALUE(REGEXEXTRACT(SUBSTITUTE ($T60,F$1&amp;"" CE"",""""), F$1&amp;""[\w &amp;]*, (\d+\.\d+)"")),"""")
"),225)</f>
        <v>225</v>
      </c>
      <c r="G60" s="3" t="n">
        <f aca="false">IFERROR(__xludf.dummyfunction("if($T60&lt;&gt;"""",VALUE(REGEXEXTRACT($T60, G$1&amp;""[\w &amp;]*, (\d+\.\d+)"")),"""")
"),220)</f>
        <v>220</v>
      </c>
      <c r="H60" s="3" t="n">
        <f aca="false">IFERROR(__xludf.dummyfunction("if($T60&lt;&gt;"""",VALUE(REGEXEXTRACT($T60, H$1&amp;""[\w &amp;]*, (\d+\.\d+)"")),"""")
"),228)</f>
        <v>228</v>
      </c>
      <c r="I60" s="3" t="n">
        <f aca="false">IFERROR(__xludf.dummyfunction("if($T60&lt;&gt;"""",VALUE(REGEXEXTRACT(SUBSTITUTE ($T60,I$1&amp;"" CE"",""""), I$1&amp;""[\w &amp;]*, (\d+\.\d+)"")),"""")
"),200)</f>
        <v>200</v>
      </c>
      <c r="J60" s="3" t="n">
        <f aca="false">IFERROR(__xludf.dummyfunction("if($T60&lt;&gt;"""",VALUE(REGEXEXTRACT($T60, J$1&amp;""[\w &amp;]*, (\d+\.\d+)"")),"""")
"),214)</f>
        <v>214</v>
      </c>
      <c r="K60" s="3" t="n">
        <f aca="false">IFERROR(__xludf.dummyfunction("if($T60&lt;&gt;"""",VALUE(REGEXEXTRACT($T60, K$1&amp;""[\w &amp;]*, (\d+\.\d+)"")),"""")
"),213)</f>
        <v>213</v>
      </c>
      <c r="L60" s="3" t="n">
        <f aca="false">IFERROR(__xludf.dummyfunction("if($T60&lt;&gt;"""",VALUE(REGEXEXTRACT(SUBSTITUTE ($T60,L$1&amp;"" CE"",""""), L$1&amp;""[\w &amp;]*, (\d+\.\d+)"")),"""")
"),219)</f>
        <v>219</v>
      </c>
      <c r="M60" s="3" t="n">
        <f aca="false">IFERROR(__xludf.dummyfunction("if($T60&lt;&gt;"""",VALUE(REGEXEXTRACT($T60, M$1&amp;""[\w &amp;]*, (\d+\.\d+)"")),"""")
"),218)</f>
        <v>218</v>
      </c>
      <c r="N60" s="3" t="n">
        <f aca="false">IFERROR(__xludf.dummyfunction("if($T60&lt;&gt;"""",VALUE(REGEXEXTRACT(SUBSTITUTE ($T60,N$1&amp;"" CE"",""""), N$1&amp;""[\w &amp;]*, (\d+\.\d+)"")),"""")
"),215)</f>
        <v>215</v>
      </c>
      <c r="O60" s="3" t="n">
        <f aca="false">IFERROR(__xludf.dummyfunction("if($T60&lt;&gt;"""",VALUE(REGEXEXTRACT($T60, O$1&amp;""[\w &amp;]*, (\d+\.\d+)"")),"""")
"),218)</f>
        <v>218</v>
      </c>
      <c r="P60" s="2" t="n">
        <f aca="false">IFERROR(__xludf.dummyfunction("if($T60&lt;&gt;"""",VALUE(REGEXEXTRACT($T60, P$1&amp;""[\w &amp;]*, (\d+\.\d+)"")),"""")
"),215.22)</f>
        <v>215.22</v>
      </c>
      <c r="Q60" s="2" t="n">
        <f aca="false">IFERROR(__xludf.dummyfunction("if($T60&lt;&gt;"""",VALUE(REGEXEXTRACT($T60, Q$1&amp;""[\w &amp;]*, (\d+\.\d+)"")),"""")
"),214.28)</f>
        <v>214.28</v>
      </c>
      <c r="R60" s="2" t="n">
        <f aca="false">IFERROR(__xludf.dummyfunction("if($T60&lt;&gt;"""",VALUE(REGEXEXTRACT($T60, SUBSTITUTE(R$1, ""+"", ""\+"")&amp;""[\w &amp;]*, (\d+\.\d+)"")),"""")"),219.74)</f>
        <v>219.74</v>
      </c>
      <c r="S60" s="2" t="n">
        <f aca="false">IFERROR(__xludf.dummyfunction("if($T60&lt;&gt;"""",VALUE(REGEXEXTRACT($T60, SUBSTITUTE(S$1, ""+"", ""\+"")&amp;""[\w &amp;]*, (\d+\.\d+)"")),"""")"),220.68)</f>
        <v>220.68</v>
      </c>
      <c r="T60" s="5" t="s">
        <v>682</v>
      </c>
    </row>
    <row r="61" customFormat="false" ht="15.75" hidden="false" customHeight="false" outlineLevel="0" collapsed="false">
      <c r="A61" s="4" t="n">
        <f aca="false">IFERROR(__xludf.dummyfunction("""COMPUTED_VALUE"""),45496.6666666667)</f>
        <v>45496.6666666667</v>
      </c>
      <c r="B61" s="2" t="n">
        <f aca="false">IFERROR(__xludf.dummyfunction("""COMPUTED_VALUE"""),219.21)</f>
        <v>219.21</v>
      </c>
      <c r="C61" s="2" t="n">
        <f aca="false">IFERROR(__xludf.dummyfunction("""COMPUTED_VALUE"""),223.75)</f>
        <v>223.75</v>
      </c>
      <c r="D61" s="2" t="n">
        <f aca="false">IFERROR(__xludf.dummyfunction("""COMPUTED_VALUE"""),219.04)</f>
        <v>219.04</v>
      </c>
      <c r="E61" s="2" t="n">
        <f aca="false">IFERROR(__xludf.dummyfunction("""COMPUTED_VALUE"""),222.63)</f>
        <v>222.63</v>
      </c>
      <c r="F61" s="3" t="n">
        <f aca="false">IFERROR(__xludf.dummyfunction("if($T61&lt;&gt;"""",VALUE(REGEXEXTRACT(SUBSTITUTE ($T61,F$1&amp;"" CE"",""""), F$1&amp;""[\w &amp;]*, (\d+\.\d+)"")),"""")
"),225)</f>
        <v>225</v>
      </c>
      <c r="G61" s="3" t="n">
        <f aca="false">IFERROR(__xludf.dummyfunction("if($T61&lt;&gt;"""",VALUE(REGEXEXTRACT($T61, G$1&amp;""[\w &amp;]*, (\d+\.\d+)"")),"""")
"),220)</f>
        <v>220</v>
      </c>
      <c r="H61" s="3" t="n">
        <f aca="false">IFERROR(__xludf.dummyfunction("if($T61&lt;&gt;"""",VALUE(REGEXEXTRACT($T61, H$1&amp;""[\w &amp;]*, (\d+\.\d+)"")),"""")
"),233)</f>
        <v>233</v>
      </c>
      <c r="I61" s="3" t="n">
        <f aca="false">IFERROR(__xludf.dummyfunction("if($T61&lt;&gt;"""",VALUE(REGEXEXTRACT(SUBSTITUTE ($T61,I$1&amp;"" CE"",""""), I$1&amp;""[\w &amp;]*, (\d+\.\d+)"")),"""")
"),210)</f>
        <v>210</v>
      </c>
      <c r="J61" s="3" t="n">
        <f aca="false">IFERROR(__xludf.dummyfunction("if($T61&lt;&gt;"""",VALUE(REGEXEXTRACT($T61, J$1&amp;""[\w &amp;]*, (\d+\.\d+)"")),"""")
"),219)</f>
        <v>219</v>
      </c>
      <c r="K61" s="3" t="n">
        <f aca="false">IFERROR(__xludf.dummyfunction("if($T61&lt;&gt;"""",VALUE(REGEXEXTRACT($T61, K$1&amp;""[\w &amp;]*, (\d+\.\d+)"")),"""")
"),203)</f>
        <v>203</v>
      </c>
      <c r="L61" s="3" t="n">
        <f aca="false">IFERROR(__xludf.dummyfunction("if($T61&lt;&gt;"""",VALUE(REGEXEXTRACT(SUBSTITUTE ($T61,L$1&amp;"" CE"",""""), L$1&amp;""[\w &amp;]*, (\d+\.\d+)"")),"""")
"),219)</f>
        <v>219</v>
      </c>
      <c r="M61" s="3" t="n">
        <f aca="false">IFERROR(__xludf.dummyfunction("if($T61&lt;&gt;"""",VALUE(REGEXEXTRACT($T61, M$1&amp;""[\w &amp;]*, (\d+\.\d+)"")),"""")
"),219)</f>
        <v>219</v>
      </c>
      <c r="N61" s="3" t="n">
        <f aca="false">IFERROR(__xludf.dummyfunction("if($T61&lt;&gt;"""",VALUE(REGEXEXTRACT(SUBSTITUTE ($T61,N$1&amp;"" CE"",""""), N$1&amp;""[\w &amp;]*, (\d+\.\d+)"")),"""")
"),220)</f>
        <v>220</v>
      </c>
      <c r="O61" s="3" t="n">
        <f aca="false">IFERROR(__xludf.dummyfunction("if($T61&lt;&gt;"""",VALUE(REGEXEXTRACT($T61, O$1&amp;""[\w &amp;]*, (\d+\.\d+)"")),"""")
"),222)</f>
        <v>222</v>
      </c>
      <c r="P61" s="2" t="n">
        <f aca="false">IFERROR(__xludf.dummyfunction("if($T61&lt;&gt;"""",VALUE(REGEXEXTRACT($T61, P$1&amp;""[\w &amp;]*, (\d+\.\d+)"")),"""")
"),218.51)</f>
        <v>218.51</v>
      </c>
      <c r="Q61" s="2" t="n">
        <f aca="false">IFERROR(__xludf.dummyfunction("if($T61&lt;&gt;"""",VALUE(REGEXEXTRACT($T61, Q$1&amp;""[\w &amp;]*, (\d+\.\d+)"")),"""")
"),217.49)</f>
        <v>217.49</v>
      </c>
      <c r="R61" s="2" t="n">
        <f aca="false">IFERROR(__xludf.dummyfunction("if($T61&lt;&gt;"""",VALUE(REGEXEXTRACT($T61, SUBSTITUTE(R$1, ""+"", ""\+"")&amp;""[\w &amp;]*, (\d+\.\d+)"")),"""")"),223.43)</f>
        <v>223.43</v>
      </c>
      <c r="S61" s="2" t="n">
        <f aca="false">IFERROR(__xludf.dummyfunction("if($T61&lt;&gt;"""",VALUE(REGEXEXTRACT($T61, SUBSTITUTE(S$1, ""+"", ""\+"")&amp;""[\w &amp;]*, (\d+\.\d+)"")),"""")"),224.45)</f>
        <v>224.45</v>
      </c>
      <c r="T61" s="5" t="s">
        <v>683</v>
      </c>
    </row>
    <row r="62" customFormat="false" ht="15.75" hidden="false" customHeight="false" outlineLevel="0" collapsed="false">
      <c r="A62" s="4" t="n">
        <f aca="false">IFERROR(__xludf.dummyfunction("""COMPUTED_VALUE"""),45497.6666666667)</f>
        <v>45497.6666666667</v>
      </c>
      <c r="B62" s="2" t="n">
        <f aca="false">IFERROR(__xludf.dummyfunction("""COMPUTED_VALUE"""),221.07)</f>
        <v>221.07</v>
      </c>
      <c r="C62" s="2" t="n">
        <f aca="false">IFERROR(__xludf.dummyfunction("""COMPUTED_VALUE"""),223.86)</f>
        <v>223.86</v>
      </c>
      <c r="D62" s="2" t="n">
        <f aca="false">IFERROR(__xludf.dummyfunction("""COMPUTED_VALUE"""),217.72)</f>
        <v>217.72</v>
      </c>
      <c r="E62" s="2" t="n">
        <f aca="false">IFERROR(__xludf.dummyfunction("""COMPUTED_VALUE"""),217.85)</f>
        <v>217.85</v>
      </c>
      <c r="F62" s="3" t="n">
        <f aca="false">IFERROR(__xludf.dummyfunction("if($T62&lt;&gt;"""",VALUE(REGEXEXTRACT(SUBSTITUTE ($T62,F$1&amp;"" CE"",""""), F$1&amp;""[\w &amp;]*, (\d+\.\d+)"")),"""")
"),225)</f>
        <v>225</v>
      </c>
      <c r="G62" s="3" t="n">
        <f aca="false">IFERROR(__xludf.dummyfunction("if($T62&lt;&gt;"""",VALUE(REGEXEXTRACT($T62, G$1&amp;""[\w &amp;]*, (\d+\.\d+)"")),"""")
"),225)</f>
        <v>225</v>
      </c>
      <c r="H62" s="3" t="n">
        <f aca="false">IFERROR(__xludf.dummyfunction("if($T62&lt;&gt;"""",VALUE(REGEXEXTRACT($T62, H$1&amp;""[\w &amp;]*, (\d+\.\d+)"")),"""")
"),230)</f>
        <v>230</v>
      </c>
      <c r="I62" s="3" t="n">
        <f aca="false">IFERROR(__xludf.dummyfunction("if($T62&lt;&gt;"""",VALUE(REGEXEXTRACT(SUBSTITUTE ($T62,I$1&amp;"" CE"",""""), I$1&amp;""[\w &amp;]*, (\d+\.\d+)"")),"""")
"),215)</f>
        <v>215</v>
      </c>
      <c r="J62" s="3" t="n">
        <f aca="false">IFERROR(__xludf.dummyfunction("if($T62&lt;&gt;"""",VALUE(REGEXEXTRACT($T62, J$1&amp;""[\w &amp;]*, (\d+\.\d+)"")),"""")
"),220)</f>
        <v>220</v>
      </c>
      <c r="K62" s="3" t="n">
        <f aca="false">IFERROR(__xludf.dummyfunction("if($T62&lt;&gt;"""",VALUE(REGEXEXTRACT($T62, K$1&amp;""[\w &amp;]*, (\d+\.\d+)"")),"""")
"),203)</f>
        <v>203</v>
      </c>
      <c r="L62" s="3" t="n">
        <f aca="false">IFERROR(__xludf.dummyfunction("if($T62&lt;&gt;"""",VALUE(REGEXEXTRACT(SUBSTITUTE ($T62,L$1&amp;"" CE"",""""), L$1&amp;""[\w &amp;]*, (\d+\.\d+)"")),"""")
"),219)</f>
        <v>219</v>
      </c>
      <c r="M62" s="3" t="n">
        <f aca="false">IFERROR(__xludf.dummyfunction("if($T62&lt;&gt;"""",VALUE(REGEXEXTRACT($T62, M$1&amp;""[\w &amp;]*, (\d+\.\d+)"")),"""")
"),220)</f>
        <v>220</v>
      </c>
      <c r="N62" s="3" t="n">
        <f aca="false">IFERROR(__xludf.dummyfunction("if($T62&lt;&gt;"""",VALUE(REGEXEXTRACT(SUBSTITUTE ($T62,N$1&amp;"" CE"",""""), N$1&amp;""[\w &amp;]*, (\d+\.\d+)"")),"""")
"),225)</f>
        <v>225</v>
      </c>
      <c r="O62" s="3" t="n">
        <f aca="false">IFERROR(__xludf.dummyfunction("if($T62&lt;&gt;"""",VALUE(REGEXEXTRACT($T62, O$1&amp;""[\w &amp;]*, (\d+\.\d+)"")),"""")
"),220)</f>
        <v>220</v>
      </c>
      <c r="P62" s="2" t="n">
        <f aca="false">IFERROR(__xludf.dummyfunction("if($T62&lt;&gt;"""",VALUE(REGEXEXTRACT($T62, P$1&amp;""[\w &amp;]*, (\d+\.\d+)"")),"""")
"),219.11)</f>
        <v>219.11</v>
      </c>
      <c r="Q62" s="2" t="n">
        <f aca="false">IFERROR(__xludf.dummyfunction("if($T62&lt;&gt;"""",VALUE(REGEXEXTRACT($T62, Q$1&amp;""[\w &amp;]*, (\d+\.\d+)"")),"""")
"),218.04)</f>
        <v>218.04</v>
      </c>
      <c r="R62" s="2" t="n">
        <f aca="false">IFERROR(__xludf.dummyfunction("if($T62&lt;&gt;"""",VALUE(REGEXEXTRACT($T62, SUBSTITUTE(R$1, ""+"", ""\+"")&amp;""[\w &amp;]*, (\d+\.\d+)"")),"""")"),224.29)</f>
        <v>224.29</v>
      </c>
      <c r="S62" s="2" t="n">
        <f aca="false">IFERROR(__xludf.dummyfunction("if($T62&lt;&gt;"""",VALUE(REGEXEXTRACT($T62, SUBSTITUTE(S$1, ""+"", ""\+"")&amp;""[\w &amp;]*, (\d+\.\d+)"")),"""")"),225.36)</f>
        <v>225.36</v>
      </c>
      <c r="T62" s="5" t="s">
        <v>684</v>
      </c>
    </row>
    <row r="63" customFormat="false" ht="15.75" hidden="false" customHeight="false" outlineLevel="0" collapsed="false">
      <c r="A63" s="4" t="n">
        <f aca="false">IFERROR(__xludf.dummyfunction("""COMPUTED_VALUE"""),45498.6666666667)</f>
        <v>45498.6666666667</v>
      </c>
      <c r="B63" s="2" t="n">
        <f aca="false">IFERROR(__xludf.dummyfunction("""COMPUTED_VALUE"""),218.45)</f>
        <v>218.45</v>
      </c>
      <c r="C63" s="2" t="n">
        <f aca="false">IFERROR(__xludf.dummyfunction("""COMPUTED_VALUE"""),224.02)</f>
        <v>224.02</v>
      </c>
      <c r="D63" s="2" t="n">
        <f aca="false">IFERROR(__xludf.dummyfunction("""COMPUTED_VALUE"""),218.2)</f>
        <v>218.2</v>
      </c>
      <c r="E63" s="2" t="n">
        <f aca="false">IFERROR(__xludf.dummyfunction("""COMPUTED_VALUE"""),220.57)</f>
        <v>220.57</v>
      </c>
      <c r="F63" s="3" t="n">
        <f aca="false">IFERROR(__xludf.dummyfunction("if($T63&lt;&gt;"""",VALUE(REGEXEXTRACT(SUBSTITUTE ($T63,F$1&amp;"" CE"",""""), F$1&amp;""[\w &amp;]*, (\d+\.\d+)"")),"""")
"),225)</f>
        <v>225</v>
      </c>
      <c r="G63" s="3" t="n">
        <f aca="false">IFERROR(__xludf.dummyfunction("if($T63&lt;&gt;"""",VALUE(REGEXEXTRACT($T63, G$1&amp;""[\w &amp;]*, (\d+\.\d+)"")),"""")
"),219)</f>
        <v>219</v>
      </c>
      <c r="H63" s="3" t="n">
        <f aca="false">IFERROR(__xludf.dummyfunction("if($T63&lt;&gt;"""",VALUE(REGEXEXTRACT($T63, H$1&amp;""[\w &amp;]*, (\d+\.\d+)"")),"""")
"),228)</f>
        <v>228</v>
      </c>
      <c r="I63" s="3" t="n">
        <f aca="false">IFERROR(__xludf.dummyfunction("if($T63&lt;&gt;"""",VALUE(REGEXEXTRACT(SUBSTITUTE ($T63,I$1&amp;"" CE"",""""), I$1&amp;""[\w &amp;]*, (\d+\.\d+)"")),"""")
"),210)</f>
        <v>210</v>
      </c>
      <c r="J63" s="3" t="n">
        <f aca="false">IFERROR(__xludf.dummyfunction("if($T63&lt;&gt;"""",VALUE(REGEXEXTRACT($T63, J$1&amp;""[\w &amp;]*, (\d+\.\d+)"")),"""")
"),218)</f>
        <v>218</v>
      </c>
      <c r="K63" s="3" t="n">
        <f aca="false">IFERROR(__xludf.dummyfunction("if($T63&lt;&gt;"""",VALUE(REGEXEXTRACT($T63, K$1&amp;""[\w &amp;]*, (\d+\.\d+)"")),"""")
"),208)</f>
        <v>208</v>
      </c>
      <c r="L63" s="3" t="n">
        <f aca="false">IFERROR(__xludf.dummyfunction("if($T63&lt;&gt;"""",VALUE(REGEXEXTRACT(SUBSTITUTE ($T63,L$1&amp;"" CE"",""""), L$1&amp;""[\w &amp;]*, (\d+\.\d+)"")),"""")
"),219)</f>
        <v>219</v>
      </c>
      <c r="M63" s="3" t="n">
        <f aca="false">IFERROR(__xludf.dummyfunction("if($T63&lt;&gt;"""",VALUE(REGEXEXTRACT($T63, M$1&amp;""[\w &amp;]*, (\d+\.\d+)"")),"""")
"),218)</f>
        <v>218</v>
      </c>
      <c r="N63" s="3" t="n">
        <f aca="false">IFERROR(__xludf.dummyfunction("if($T63&lt;&gt;"""",VALUE(REGEXEXTRACT(SUBSTITUTE ($T63,N$1&amp;"" CE"",""""), N$1&amp;""[\w &amp;]*, (\d+\.\d+)"")),"""")
"),210)</f>
        <v>210</v>
      </c>
      <c r="O63" s="3" t="n">
        <f aca="false">IFERROR(__xludf.dummyfunction("if($T63&lt;&gt;"""",VALUE(REGEXEXTRACT($T63, O$1&amp;""[\w &amp;]*, (\d+\.\d+)"")),"""")
"),219)</f>
        <v>219</v>
      </c>
      <c r="P63" s="2" t="n">
        <f aca="false">IFERROR(__xludf.dummyfunction("if($T63&lt;&gt;"""",VALUE(REGEXEXTRACT($T63, P$1&amp;""[\w &amp;]*, (\d+\.\d+)"")),"""")
"),215.51)</f>
        <v>215.51</v>
      </c>
      <c r="Q63" s="2" t="n">
        <f aca="false">IFERROR(__xludf.dummyfunction("if($T63&lt;&gt;"""",VALUE(REGEXEXTRACT($T63, Q$1&amp;""[\w &amp;]*, (\d+\.\d+)"")),"""")
"),214.34)</f>
        <v>214.34</v>
      </c>
      <c r="R63" s="2" t="n">
        <f aca="false">IFERROR(__xludf.dummyfunction("if($T63&lt;&gt;"""",VALUE(REGEXEXTRACT($T63, SUBSTITUTE(R$1, ""+"", ""\+"")&amp;""[\w &amp;]*, (\d+\.\d+)"")),"""")"),220.91)</f>
        <v>220.91</v>
      </c>
      <c r="S63" s="2" t="n">
        <f aca="false">IFERROR(__xludf.dummyfunction("if($T63&lt;&gt;"""",VALUE(REGEXEXTRACT($T63, SUBSTITUTE(S$1, ""+"", ""\+"")&amp;""[\w &amp;]*, (\d+\.\d+)"")),"""")"),222.08)</f>
        <v>222.08</v>
      </c>
      <c r="T63" s="5" t="s">
        <v>685</v>
      </c>
    </row>
    <row r="64" customFormat="false" ht="15.75" hidden="false" customHeight="false" outlineLevel="0" collapsed="false">
      <c r="A64" s="4" t="n">
        <f aca="false">IFERROR(__xludf.dummyfunction("""COMPUTED_VALUE"""),45499.6666666667)</f>
        <v>45499.6666666667</v>
      </c>
      <c r="B64" s="2" t="n">
        <f aca="false">IFERROR(__xludf.dummyfunction("""COMPUTED_VALUE"""),223.9)</f>
        <v>223.9</v>
      </c>
      <c r="C64" s="2" t="n">
        <f aca="false">IFERROR(__xludf.dummyfunction("""COMPUTED_VALUE"""),225.39)</f>
        <v>225.39</v>
      </c>
      <c r="D64" s="2" t="n">
        <f aca="false">IFERROR(__xludf.dummyfunction("""COMPUTED_VALUE"""),221.7)</f>
        <v>221.7</v>
      </c>
      <c r="E64" s="2" t="n">
        <f aca="false">IFERROR(__xludf.dummyfunction("""COMPUTED_VALUE"""),224.22)</f>
        <v>224.22</v>
      </c>
      <c r="F64" s="3" t="n">
        <f aca="false">IFERROR(__xludf.dummyfunction("if($T64&lt;&gt;"""",VALUE(REGEXEXTRACT(SUBSTITUTE ($T64,F$1&amp;"" CE"",""""), F$1&amp;""[\w &amp;]*, (\d+\.\d+)"")),"""")
"),225)</f>
        <v>225</v>
      </c>
      <c r="G64" s="3" t="n">
        <f aca="false">IFERROR(__xludf.dummyfunction("if($T64&lt;&gt;"""",VALUE(REGEXEXTRACT($T64, G$1&amp;""[\w &amp;]*, (\d+\.\d+)"")),"""")
"),225)</f>
        <v>225</v>
      </c>
      <c r="H64" s="3" t="n">
        <f aca="false">IFERROR(__xludf.dummyfunction("if($T64&lt;&gt;"""",VALUE(REGEXEXTRACT($T64, H$1&amp;""[\w &amp;]*, (\d+\.\d+)"")),"""")
"),228)</f>
        <v>228</v>
      </c>
      <c r="I64" s="3" t="n">
        <f aca="false">IFERROR(__xludf.dummyfunction("if($T64&lt;&gt;"""",VALUE(REGEXEXTRACT(SUBSTITUTE ($T64,I$1&amp;"" CE"",""""), I$1&amp;""[\w &amp;]*, (\d+\.\d+)"")),"""")
"),210)</f>
        <v>210</v>
      </c>
      <c r="J64" s="3" t="n">
        <f aca="false">IFERROR(__xludf.dummyfunction("if($T64&lt;&gt;"""",VALUE(REGEXEXTRACT($T64, J$1&amp;""[\w &amp;]*, (\d+\.\d+)"")),"""")
"),219)</f>
        <v>219</v>
      </c>
      <c r="K64" s="3" t="n">
        <f aca="false">IFERROR(__xludf.dummyfunction("if($T64&lt;&gt;"""",VALUE(REGEXEXTRACT($T64, K$1&amp;""[\w &amp;]*, (\d+\.\d+)"")),"""")
"),208)</f>
        <v>208</v>
      </c>
      <c r="L64" s="3" t="n">
        <f aca="false">IFERROR(__xludf.dummyfunction("if($T64&lt;&gt;"""",VALUE(REGEXEXTRACT(SUBSTITUTE ($T64,L$1&amp;"" CE"",""""), L$1&amp;""[\w &amp;]*, (\d+\.\d+)"")),"""")
"),219)</f>
        <v>219</v>
      </c>
      <c r="M64" s="3" t="n">
        <f aca="false">IFERROR(__xludf.dummyfunction("if($T64&lt;&gt;"""",VALUE(REGEXEXTRACT($T64, M$1&amp;""[\w &amp;]*, (\d+\.\d+)"")),"""")
"),219)</f>
        <v>219</v>
      </c>
      <c r="N64" s="3" t="n">
        <f aca="false">IFERROR(__xludf.dummyfunction("if($T64&lt;&gt;"""",VALUE(REGEXEXTRACT(SUBSTITUTE ($T64,N$1&amp;"" CE"",""""), N$1&amp;""[\w &amp;]*, (\d+\.\d+)"")),"""")
"),225)</f>
        <v>225</v>
      </c>
      <c r="O64" s="3" t="n">
        <f aca="false">IFERROR(__xludf.dummyfunction("if($T64&lt;&gt;"""",VALUE(REGEXEXTRACT($T64, O$1&amp;""[\w &amp;]*, (\d+\.\d+)"")),"""")
"),220)</f>
        <v>220</v>
      </c>
      <c r="P64" s="2" t="n">
        <f aca="false">IFERROR(__xludf.dummyfunction("if($T64&lt;&gt;"""",VALUE(REGEXEXTRACT($T64, P$1&amp;""[\w &amp;]*, (\d+\.\d+)"")),"""")
"),220.59)</f>
        <v>220.59</v>
      </c>
      <c r="Q64" s="2" t="n">
        <f aca="false">IFERROR(__xludf.dummyfunction("if($T64&lt;&gt;"""",VALUE(REGEXEXTRACT($T64, Q$1&amp;""[\w &amp;]*, (\d+\.\d+)"")),"""")
"),217.35)</f>
        <v>217.35</v>
      </c>
      <c r="R64" s="2" t="n">
        <f aca="false">IFERROR(__xludf.dummyfunction("if($T64&lt;&gt;"""",VALUE(REGEXEXTRACT($T64, SUBSTITUTE(R$1, ""+"", ""\+"")&amp;""[\w &amp;]*, (\d+\.\d+)"")),"""")"),227.05)</f>
        <v>227.05</v>
      </c>
      <c r="S64" s="2" t="n">
        <f aca="false">IFERROR(__xludf.dummyfunction("if($T64&lt;&gt;"""",VALUE(REGEXEXTRACT($T64, SUBSTITUTE(S$1, ""+"", ""\+"")&amp;""[\w &amp;]*, (\d+\.\d+)"")),"""")"),230.29)</f>
        <v>230.29</v>
      </c>
      <c r="T64" s="5" t="s">
        <v>686</v>
      </c>
    </row>
    <row r="65" customFormat="false" ht="15.75" hidden="false" customHeight="false" outlineLevel="0" collapsed="false">
      <c r="A65" s="4" t="n">
        <f aca="false">IFERROR(__xludf.dummyfunction("""COMPUTED_VALUE"""),45502.6666666667)</f>
        <v>45502.6666666667</v>
      </c>
      <c r="B65" s="2" t="n">
        <f aca="false">IFERROR(__xludf.dummyfunction("""COMPUTED_VALUE"""),224.71)</f>
        <v>224.71</v>
      </c>
      <c r="C65" s="2" t="n">
        <f aca="false">IFERROR(__xludf.dummyfunction("""COMPUTED_VALUE"""),225.42)</f>
        <v>225.42</v>
      </c>
      <c r="D65" s="2" t="n">
        <f aca="false">IFERROR(__xludf.dummyfunction("""COMPUTED_VALUE"""),220.77)</f>
        <v>220.77</v>
      </c>
      <c r="E65" s="2" t="n">
        <f aca="false">IFERROR(__xludf.dummyfunction("""COMPUTED_VALUE"""),221.73)</f>
        <v>221.73</v>
      </c>
      <c r="F65" s="3" t="n">
        <f aca="false">IFERROR(__xludf.dummyfunction("if($T65&lt;&gt;"""",VALUE(REGEXEXTRACT(SUBSTITUTE ($T65,F$1&amp;"" CE"",""""), F$1&amp;""[\w &amp;]*, (\d+\.\d+)"")),"""")
"),230)</f>
        <v>230</v>
      </c>
      <c r="G65" s="3" t="n">
        <f aca="false">IFERROR(__xludf.dummyfunction("if($T65&lt;&gt;"""",VALUE(REGEXEXTRACT($T65, G$1&amp;""[\w &amp;]*, (\d+\.\d+)"")),"""")
"),225)</f>
        <v>225</v>
      </c>
      <c r="H65" s="3" t="n">
        <f aca="false">IFERROR(__xludf.dummyfunction("if($T65&lt;&gt;"""",VALUE(REGEXEXTRACT($T65, H$1&amp;""[\w &amp;]*, (\d+\.\d+)"")),"""")
"),232)</f>
        <v>232</v>
      </c>
      <c r="I65" s="3" t="n">
        <f aca="false">IFERROR(__xludf.dummyfunction("if($T65&lt;&gt;"""",VALUE(REGEXEXTRACT(SUBSTITUTE ($T65,I$1&amp;"" CE"",""""), I$1&amp;""[\w &amp;]*, (\d+\.\d+)"")),"""")
"),210)</f>
        <v>210</v>
      </c>
      <c r="J65" s="3" t="n">
        <f aca="false">IFERROR(__xludf.dummyfunction("if($T65&lt;&gt;"""",VALUE(REGEXEXTRACT($T65, J$1&amp;""[\w &amp;]*, (\d+\.\d+)"")),"""")
"),221)</f>
        <v>221</v>
      </c>
      <c r="K65" s="3" t="n">
        <f aca="false">IFERROR(__xludf.dummyfunction("if($T65&lt;&gt;"""",VALUE(REGEXEXTRACT($T65, K$1&amp;""[\w &amp;]*, (\d+\.\d+)"")),"""")
"),208)</f>
        <v>208</v>
      </c>
      <c r="L65" s="3" t="n">
        <f aca="false">IFERROR(__xludf.dummyfunction("if($T65&lt;&gt;"""",VALUE(REGEXEXTRACT(SUBSTITUTE ($T65,L$1&amp;"" CE"",""""), L$1&amp;""[\w &amp;]*, (\d+\.\d+)"")),"""")
"),219)</f>
        <v>219</v>
      </c>
      <c r="M65" s="3" t="n">
        <f aca="false">IFERROR(__xludf.dummyfunction("if($T65&lt;&gt;"""",VALUE(REGEXEXTRACT($T65, M$1&amp;""[\w &amp;]*, (\d+\.\d+)"")),"""")
"),222)</f>
        <v>222</v>
      </c>
      <c r="N65" s="3" t="n">
        <f aca="false">IFERROR(__xludf.dummyfunction("if($T65&lt;&gt;"""",VALUE(REGEXEXTRACT(SUBSTITUTE ($T65,N$1&amp;"" CE"",""""), N$1&amp;""[\w &amp;]*, (\d+\.\d+)"")),"""")
"),225)</f>
        <v>225</v>
      </c>
      <c r="O65" s="3" t="n">
        <f aca="false">IFERROR(__xludf.dummyfunction("if($T65&lt;&gt;"""",VALUE(REGEXEXTRACT($T65, O$1&amp;""[\w &amp;]*, (\d+\.\d+)"")),"""")
"),223)</f>
        <v>223</v>
      </c>
      <c r="P65" s="2" t="n">
        <f aca="false">IFERROR(__xludf.dummyfunction("if($T65&lt;&gt;"""",VALUE(REGEXEXTRACT($T65, P$1&amp;""[\w &amp;]*, (\d+\.\d+)"")),"""")
"),223.06)</f>
        <v>223.06</v>
      </c>
      <c r="Q65" s="2" t="n">
        <f aca="false">IFERROR(__xludf.dummyfunction("if($T65&lt;&gt;"""",VALUE(REGEXEXTRACT($T65, Q$1&amp;""[\w &amp;]*, (\d+\.\d+)"")),"""")
"),221.98)</f>
        <v>221.98</v>
      </c>
      <c r="R65" s="2" t="n">
        <f aca="false">IFERROR(__xludf.dummyfunction("if($T65&lt;&gt;"""",VALUE(REGEXEXTRACT($T65, SUBSTITUTE(R$1, ""+"", ""\+"")&amp;""[\w &amp;]*, (\d+\.\d+)"")),"""")"),228.28)</f>
        <v>228.28</v>
      </c>
      <c r="S65" s="2" t="n">
        <f aca="false">IFERROR(__xludf.dummyfunction("if($T65&lt;&gt;"""",VALUE(REGEXEXTRACT($T65, SUBSTITUTE(S$1, ""+"", ""\+"")&amp;""[\w &amp;]*, (\d+\.\d+)"")),"""")"),229.36)</f>
        <v>229.36</v>
      </c>
      <c r="T65" s="5" t="s">
        <v>687</v>
      </c>
    </row>
    <row r="66" customFormat="false" ht="15.75" hidden="false" customHeight="false" outlineLevel="0" collapsed="false">
      <c r="A66" s="4" t="n">
        <f aca="false">IFERROR(__xludf.dummyfunction("""COMPUTED_VALUE"""),45503.6666666667)</f>
        <v>45503.6666666667</v>
      </c>
      <c r="B66" s="2" t="n">
        <f aca="false">IFERROR(__xludf.dummyfunction("""COMPUTED_VALUE"""),222.72)</f>
        <v>222.72</v>
      </c>
      <c r="C66" s="2" t="n">
        <f aca="false">IFERROR(__xludf.dummyfunction("""COMPUTED_VALUE"""),224.46)</f>
        <v>224.46</v>
      </c>
      <c r="D66" s="2" t="n">
        <f aca="false">IFERROR(__xludf.dummyfunction("""COMPUTED_VALUE"""),221.11)</f>
        <v>221.11</v>
      </c>
      <c r="E66" s="2" t="n">
        <f aca="false">IFERROR(__xludf.dummyfunction("""COMPUTED_VALUE"""),222.57)</f>
        <v>222.57</v>
      </c>
      <c r="F66" s="3" t="n">
        <f aca="false">IFERROR(__xludf.dummyfunction("if($T66&lt;&gt;"""",VALUE(REGEXEXTRACT(SUBSTITUTE ($T66,F$1&amp;"" CE"",""""), F$1&amp;""[\w &amp;]*, (\d+\.\d+)"")),"""")
"),230)</f>
        <v>230</v>
      </c>
      <c r="G66" s="3" t="n">
        <f aca="false">IFERROR(__xludf.dummyfunction("if($T66&lt;&gt;"""",VALUE(REGEXEXTRACT($T66, G$1&amp;""[\w &amp;]*, (\d+\.\d+)"")),"""")
"),225)</f>
        <v>225</v>
      </c>
      <c r="H66" s="3" t="n">
        <f aca="false">IFERROR(__xludf.dummyfunction("if($T66&lt;&gt;"""",VALUE(REGEXEXTRACT($T66, H$1&amp;""[\w &amp;]*, (\d+\.\d+)"")),"""")
"),228)</f>
        <v>228</v>
      </c>
      <c r="I66" s="3" t="n">
        <f aca="false">IFERROR(__xludf.dummyfunction("if($T66&lt;&gt;"""",VALUE(REGEXEXTRACT(SUBSTITUTE ($T66,I$1&amp;"" CE"",""""), I$1&amp;""[\w &amp;]*, (\d+\.\d+)"")),"""")
"),210)</f>
        <v>210</v>
      </c>
      <c r="J66" s="3" t="n">
        <f aca="false">IFERROR(__xludf.dummyfunction("if($T66&lt;&gt;"""",VALUE(REGEXEXTRACT($T66, J$1&amp;""[\w &amp;]*, (\d+\.\d+)"")),"""")
"),220)</f>
        <v>220</v>
      </c>
      <c r="K66" s="3" t="n">
        <f aca="false">IFERROR(__xludf.dummyfunction("if($T66&lt;&gt;"""",VALUE(REGEXEXTRACT($T66, K$1&amp;""[\w &amp;]*, (\d+\.\d+)"")),"""")
"),215)</f>
        <v>215</v>
      </c>
      <c r="L66" s="3" t="n">
        <f aca="false">IFERROR(__xludf.dummyfunction("if($T66&lt;&gt;"""",VALUE(REGEXEXTRACT(SUBSTITUTE ($T66,L$1&amp;"" CE"",""""), L$1&amp;""[\w &amp;]*, (\d+\.\d+)"")),"""")
"),219)</f>
        <v>219</v>
      </c>
      <c r="M66" s="3" t="n">
        <f aca="false">IFERROR(__xludf.dummyfunction("if($T66&lt;&gt;"""",VALUE(REGEXEXTRACT($T66, M$1&amp;""[\w &amp;]*, (\d+\.\d+)"")),"""")
"),221)</f>
        <v>221</v>
      </c>
      <c r="N66" s="3" t="n">
        <f aca="false">IFERROR(__xludf.dummyfunction("if($T66&lt;&gt;"""",VALUE(REGEXEXTRACT(SUBSTITUTE ($T66,N$1&amp;"" CE"",""""), N$1&amp;""[\w &amp;]*, (\d+\.\d+)"")),"""")
"),225)</f>
        <v>225</v>
      </c>
      <c r="O66" s="3" t="n">
        <f aca="false">IFERROR(__xludf.dummyfunction("if($T66&lt;&gt;"""",VALUE(REGEXEXTRACT($T66, O$1&amp;""[\w &amp;]*, (\d+\.\d+)"")),"""")
"),222)</f>
        <v>222</v>
      </c>
      <c r="P66" s="2" t="n">
        <f aca="false">IFERROR(__xludf.dummyfunction("if($T66&lt;&gt;"""",VALUE(REGEXEXTRACT($T66, P$1&amp;""[\w &amp;]*, (\d+\.\d+)"")),"""")
"),219.4)</f>
        <v>219.4</v>
      </c>
      <c r="Q66" s="2" t="n">
        <f aca="false">IFERROR(__xludf.dummyfunction("if($T66&lt;&gt;"""",VALUE(REGEXEXTRACT($T66, Q$1&amp;""[\w &amp;]*, (\d+\.\d+)"")),"""")
"),218.11)</f>
        <v>218.11</v>
      </c>
      <c r="R66" s="2" t="n">
        <f aca="false">IFERROR(__xludf.dummyfunction("if($T66&lt;&gt;"""",VALUE(REGEXEXTRACT($T66, SUBSTITUTE(R$1, ""+"", ""\+"")&amp;""[\w &amp;]*, (\d+\.\d+)"")),"""")"),225.6)</f>
        <v>225.6</v>
      </c>
      <c r="S66" s="2" t="n">
        <f aca="false">IFERROR(__xludf.dummyfunction("if($T66&lt;&gt;"""",VALUE(REGEXEXTRACT($T66, SUBSTITUTE(S$1, ""+"", ""\+"")&amp;""[\w &amp;]*, (\d+\.\d+)"")),"""")"),226.89)</f>
        <v>226.89</v>
      </c>
      <c r="T66" s="5" t="s">
        <v>688</v>
      </c>
    </row>
    <row r="67" customFormat="false" ht="15.75" hidden="false" customHeight="false" outlineLevel="0" collapsed="false">
      <c r="A67" s="4" t="n">
        <f aca="false">IFERROR(__xludf.dummyfunction("""COMPUTED_VALUE"""),45504.6666666667)</f>
        <v>45504.6666666667</v>
      </c>
      <c r="B67" s="2" t="n">
        <f aca="false">IFERROR(__xludf.dummyfunction("""COMPUTED_VALUE"""),223.71)</f>
        <v>223.71</v>
      </c>
      <c r="C67" s="2" t="n">
        <f aca="false">IFERROR(__xludf.dummyfunction("""COMPUTED_VALUE"""),228.63)</f>
        <v>228.63</v>
      </c>
      <c r="D67" s="2" t="n">
        <f aca="false">IFERROR(__xludf.dummyfunction("""COMPUTED_VALUE"""),221.98)</f>
        <v>221.98</v>
      </c>
      <c r="E67" s="2" t="n">
        <f aca="false">IFERROR(__xludf.dummyfunction("""COMPUTED_VALUE"""),223.86)</f>
        <v>223.86</v>
      </c>
      <c r="F67" s="3" t="n">
        <f aca="false">IFERROR(__xludf.dummyfunction("if($T67&lt;&gt;"""",VALUE(REGEXEXTRACT(SUBSTITUTE ($T67,F$1&amp;"" CE"",""""), F$1&amp;""[\w &amp;]*, (\d+\.\d+)"")),"""")
"),225)</f>
        <v>225</v>
      </c>
      <c r="G67" s="3" t="n">
        <f aca="false">IFERROR(__xludf.dummyfunction("if($T67&lt;&gt;"""",VALUE(REGEXEXTRACT($T67, G$1&amp;""[\w &amp;]*, (\d+\.\d+)"")),"""")
"),226)</f>
        <v>226</v>
      </c>
      <c r="H67" s="3" t="n">
        <f aca="false">IFERROR(__xludf.dummyfunction("if($T67&lt;&gt;"""",VALUE(REGEXEXTRACT($T67, H$1&amp;""[\w &amp;]*, (\d+\.\d+)"")),"""")
"),232)</f>
        <v>232</v>
      </c>
      <c r="I67" s="3" t="n">
        <f aca="false">IFERROR(__xludf.dummyfunction("if($T67&lt;&gt;"""",VALUE(REGEXEXTRACT(SUBSTITUTE ($T67,I$1&amp;"" CE"",""""), I$1&amp;""[\w &amp;]*, (\d+\.\d+)"")),"""")
"),210)</f>
        <v>210</v>
      </c>
      <c r="J67" s="3" t="n">
        <f aca="false">IFERROR(__xludf.dummyfunction("if($T67&lt;&gt;"""",VALUE(REGEXEXTRACT($T67, J$1&amp;""[\w &amp;]*, (\d+\.\d+)"")),"""")
"),220)</f>
        <v>220</v>
      </c>
      <c r="K67" s="3" t="n">
        <f aca="false">IFERROR(__xludf.dummyfunction("if($T67&lt;&gt;"""",VALUE(REGEXEXTRACT($T67, K$1&amp;""[\w &amp;]*, (\d+\.\d+)"")),"""")
"),215)</f>
        <v>215</v>
      </c>
      <c r="L67" s="3" t="n">
        <f aca="false">IFERROR(__xludf.dummyfunction("if($T67&lt;&gt;"""",VALUE(REGEXEXTRACT(SUBSTITUTE ($T67,L$1&amp;"" CE"",""""), L$1&amp;""[\w &amp;]*, (\d+\.\d+)"")),"""")
"),221)</f>
        <v>221</v>
      </c>
      <c r="M67" s="3" t="n">
        <f aca="false">IFERROR(__xludf.dummyfunction("if($T67&lt;&gt;"""",VALUE(REGEXEXTRACT($T67, M$1&amp;""[\w &amp;]*, (\d+\.\d+)"")),"""")
"),222)</f>
        <v>222</v>
      </c>
      <c r="N67" s="3" t="n">
        <f aca="false">IFERROR(__xludf.dummyfunction("if($T67&lt;&gt;"""",VALUE(REGEXEXTRACT(SUBSTITUTE ($T67,N$1&amp;"" CE"",""""), N$1&amp;""[\w &amp;]*, (\d+\.\d+)"")),"""")
"),220)</f>
        <v>220</v>
      </c>
      <c r="O67" s="3" t="n">
        <f aca="false">IFERROR(__xludf.dummyfunction("if($T67&lt;&gt;"""",VALUE(REGEXEXTRACT($T67, O$1&amp;""[\w &amp;]*, (\d+\.\d+)"")),"""")
"),220)</f>
        <v>220</v>
      </c>
      <c r="P67" s="2" t="n">
        <f aca="false">IFERROR(__xludf.dummyfunction("if($T67&lt;&gt;"""",VALUE(REGEXEXTRACT($T67, P$1&amp;""[\w &amp;]*, (\d+\.\d+)"")),"""")
"),220.96)</f>
        <v>220.96</v>
      </c>
      <c r="Q67" s="2" t="n">
        <f aca="false">IFERROR(__xludf.dummyfunction("if($T67&lt;&gt;"""",VALUE(REGEXEXTRACT($T67, Q$1&amp;""[\w &amp;]*, (\d+\.\d+)"")),"""")
"),219.63)</f>
        <v>219.63</v>
      </c>
      <c r="R67" s="2" t="n">
        <f aca="false">IFERROR(__xludf.dummyfunction("if($T67&lt;&gt;"""",VALUE(REGEXEXTRACT($T67, SUBSTITUTE(R$1, ""+"", ""\+"")&amp;""[\w &amp;]*, (\d+\.\d+)"")),"""")"),227.42)</f>
        <v>227.42</v>
      </c>
      <c r="S67" s="2" t="n">
        <f aca="false">IFERROR(__xludf.dummyfunction("if($T67&lt;&gt;"""",VALUE(REGEXEXTRACT($T67, SUBSTITUTE(S$1, ""+"", ""\+"")&amp;""[\w &amp;]*, (\d+\.\d+)"")),"""")"),228.75)</f>
        <v>228.75</v>
      </c>
      <c r="T67" s="5" t="s">
        <v>689</v>
      </c>
    </row>
    <row r="68" customFormat="false" ht="15.75" hidden="false" customHeight="false" outlineLevel="0" collapsed="false">
      <c r="A68" s="4" t="n">
        <f aca="false">IFERROR(__xludf.dummyfunction("""COMPUTED_VALUE"""),45505.6666666667)</f>
        <v>45505.6666666667</v>
      </c>
      <c r="B68" s="2" t="n">
        <f aca="false">IFERROR(__xludf.dummyfunction("""COMPUTED_VALUE"""),223.77)</f>
        <v>223.77</v>
      </c>
      <c r="C68" s="2" t="n">
        <f aca="false">IFERROR(__xludf.dummyfunction("""COMPUTED_VALUE"""),224.89)</f>
        <v>224.89</v>
      </c>
      <c r="D68" s="2" t="n">
        <f aca="false">IFERROR(__xludf.dummyfunction("""COMPUTED_VALUE"""),215.06)</f>
        <v>215.06</v>
      </c>
      <c r="E68" s="2" t="n">
        <f aca="false">IFERROR(__xludf.dummyfunction("""COMPUTED_VALUE"""),216.58)</f>
        <v>216.58</v>
      </c>
      <c r="F68" s="3" t="n">
        <f aca="false">IFERROR(__xludf.dummyfunction("if($T68&lt;&gt;"""",VALUE(REGEXEXTRACT(SUBSTITUTE ($T68,F$1&amp;"" CE"",""""), F$1&amp;""[\w &amp;]*, (\d+\.\d+)"")),"""")
"),225)</f>
        <v>225</v>
      </c>
      <c r="G68" s="3" t="n">
        <f aca="false">IFERROR(__xludf.dummyfunction("if($T68&lt;&gt;"""",VALUE(REGEXEXTRACT($T68, G$1&amp;""[\w &amp;]*, (\d+\.\d+)"")),"""")
"),224)</f>
        <v>224</v>
      </c>
      <c r="H68" s="3" t="n">
        <f aca="false">IFERROR(__xludf.dummyfunction("if($T68&lt;&gt;"""",VALUE(REGEXEXTRACT($T68, H$1&amp;""[\w &amp;]*, (\d+\.\d+)"")),"""")
"),232)</f>
        <v>232</v>
      </c>
      <c r="I68" s="3" t="n">
        <f aca="false">IFERROR(__xludf.dummyfunction("if($T68&lt;&gt;"""",VALUE(REGEXEXTRACT(SUBSTITUTE ($T68,I$1&amp;"" CE"",""""), I$1&amp;""[\w &amp;]*, (\d+\.\d+)"")),"""")
"),210)</f>
        <v>210</v>
      </c>
      <c r="J68" s="3" t="n">
        <f aca="false">IFERROR(__xludf.dummyfunction("if($T68&lt;&gt;"""",VALUE(REGEXEXTRACT($T68, J$1&amp;""[\w &amp;]*, (\d+\.\d+)"")),"""")
"),220)</f>
        <v>220</v>
      </c>
      <c r="K68" s="3" t="n">
        <f aca="false">IFERROR(__xludf.dummyfunction("if($T68&lt;&gt;"""",VALUE(REGEXEXTRACT($T68, K$1&amp;""[\w &amp;]*, (\d+\.\d+)"")),"""")
"),215)</f>
        <v>215</v>
      </c>
      <c r="L68" s="3" t="n">
        <f aca="false">IFERROR(__xludf.dummyfunction("if($T68&lt;&gt;"""",VALUE(REGEXEXTRACT(SUBSTITUTE ($T68,L$1&amp;"" CE"",""""), L$1&amp;""[\w &amp;]*, (\d+\.\d+)"")),"""")
"),221)</f>
        <v>221</v>
      </c>
      <c r="M68" s="3" t="n">
        <f aca="false">IFERROR(__xludf.dummyfunction("if($T68&lt;&gt;"""",VALUE(REGEXEXTRACT($T68, M$1&amp;""[\w &amp;]*, (\d+\.\d+)"")),"""")
"),223)</f>
        <v>223</v>
      </c>
      <c r="N68" s="3" t="n">
        <f aca="false">IFERROR(__xludf.dummyfunction("if($T68&lt;&gt;"""",VALUE(REGEXEXTRACT(SUBSTITUTE ($T68,N$1&amp;"" CE"",""""), N$1&amp;""[\w &amp;]*, (\d+\.\d+)"")),"""")
"),225)</f>
        <v>225</v>
      </c>
      <c r="O68" s="3" t="n">
        <f aca="false">IFERROR(__xludf.dummyfunction("if($T68&lt;&gt;"""",VALUE(REGEXEXTRACT($T68, O$1&amp;""[\w &amp;]*, (\d+\.\d+)"")),"""")
"),224)</f>
        <v>224</v>
      </c>
      <c r="P68" s="2" t="n">
        <f aca="false">IFERROR(__xludf.dummyfunction("if($T68&lt;&gt;"""",VALUE(REGEXEXTRACT($T68, P$1&amp;""[\w &amp;]*, (\d+\.\d+)"")),"""")
"),220.48)</f>
        <v>220.48</v>
      </c>
      <c r="Q68" s="2" t="n">
        <f aca="false">IFERROR(__xludf.dummyfunction("if($T68&lt;&gt;"""",VALUE(REGEXEXTRACT($T68, Q$1&amp;""[\w &amp;]*, (\d+\.\d+)"")),"""")
"),219.33)</f>
        <v>219.33</v>
      </c>
      <c r="R68" s="2" t="n">
        <f aca="false">IFERROR(__xludf.dummyfunction("if($T68&lt;&gt;"""",VALUE(REGEXEXTRACT($T68, SUBSTITUTE(R$1, ""+"", ""\+"")&amp;""[\w &amp;]*, (\d+\.\d+)"")),"""")"),226.04)</f>
        <v>226.04</v>
      </c>
      <c r="S68" s="2" t="n">
        <f aca="false">IFERROR(__xludf.dummyfunction("if($T68&lt;&gt;"""",VALUE(REGEXEXTRACT($T68, SUBSTITUTE(S$1, ""+"", ""\+"")&amp;""[\w &amp;]*, (\d+\.\d+)"")),"""")"),227.19)</f>
        <v>227.19</v>
      </c>
      <c r="T68" s="5" t="s">
        <v>690</v>
      </c>
    </row>
    <row r="69" customFormat="false" ht="15.75" hidden="false" customHeight="false" outlineLevel="0" collapsed="false">
      <c r="A69" s="4" t="n">
        <f aca="false">IFERROR(__xludf.dummyfunction("""COMPUTED_VALUE"""),45506.6666666667)</f>
        <v>45506.6666666667</v>
      </c>
      <c r="B69" s="2" t="n">
        <f aca="false">IFERROR(__xludf.dummyfunction("""COMPUTED_VALUE"""),208.85)</f>
        <v>208.85</v>
      </c>
      <c r="C69" s="2" t="n">
        <f aca="false">IFERROR(__xludf.dummyfunction("""COMPUTED_VALUE"""),211.19)</f>
        <v>211.19</v>
      </c>
      <c r="D69" s="2" t="n">
        <f aca="false">IFERROR(__xludf.dummyfunction("""COMPUTED_VALUE"""),206.99)</f>
        <v>206.99</v>
      </c>
      <c r="E69" s="2" t="n">
        <f aca="false">IFERROR(__xludf.dummyfunction("""COMPUTED_VALUE"""),208.92)</f>
        <v>208.92</v>
      </c>
      <c r="F69" s="3" t="n">
        <f aca="false">IFERROR(__xludf.dummyfunction("if($T69&lt;&gt;"""",VALUE(REGEXEXTRACT(SUBSTITUTE ($T69,F$1&amp;"" CE"",""""), F$1&amp;""[\w &amp;]*, (\d+\.\d+)"")),"""")
"),210)</f>
        <v>210</v>
      </c>
      <c r="G69" s="3" t="n">
        <f aca="false">IFERROR(__xludf.dummyfunction("if($T69&lt;&gt;"""",VALUE(REGEXEXTRACT($T69, G$1&amp;""[\w &amp;]*, (\d+\.\d+)"")),"""")
"),225)</f>
        <v>225</v>
      </c>
      <c r="H69" s="3" t="n">
        <f aca="false">IFERROR(__xludf.dummyfunction("if($T69&lt;&gt;"""",VALUE(REGEXEXTRACT($T69, H$1&amp;""[\w &amp;]*, (\d+\.\d+)"")),"""")
"),232)</f>
        <v>232</v>
      </c>
      <c r="I69" s="3" t="n">
        <f aca="false">IFERROR(__xludf.dummyfunction("if($T69&lt;&gt;"""",VALUE(REGEXEXTRACT(SUBSTITUTE ($T69,I$1&amp;"" CE"",""""), I$1&amp;""[\w &amp;]*, (\d+\.\d+)"")),"""")
"),210)</f>
        <v>210</v>
      </c>
      <c r="J69" s="3" t="n">
        <f aca="false">IFERROR(__xludf.dummyfunction("if($T69&lt;&gt;"""",VALUE(REGEXEXTRACT($T69, J$1&amp;""[\w &amp;]*, (\d+\.\d+)"")),"""")
"),218)</f>
        <v>218</v>
      </c>
      <c r="K69" s="3" t="n">
        <f aca="false">IFERROR(__xludf.dummyfunction("if($T69&lt;&gt;"""",VALUE(REGEXEXTRACT($T69, K$1&amp;""[\w &amp;]*, (\d+\.\d+)"")),"""")
"),208)</f>
        <v>208</v>
      </c>
      <c r="L69" s="3" t="n">
        <f aca="false">IFERROR(__xludf.dummyfunction("if($T69&lt;&gt;"""",VALUE(REGEXEXTRACT(SUBSTITUTE ($T69,L$1&amp;"" CE"",""""), L$1&amp;""[\w &amp;]*, (\d+\.\d+)"")),"""")
"),218)</f>
        <v>218</v>
      </c>
      <c r="M69" s="3" t="n">
        <f aca="false">IFERROR(__xludf.dummyfunction("if($T69&lt;&gt;"""",VALUE(REGEXEXTRACT($T69, M$1&amp;""[\w &amp;]*, (\d+\.\d+)"")),"""")
"),218)</f>
        <v>218</v>
      </c>
      <c r="N69" s="3" t="n">
        <f aca="false">IFERROR(__xludf.dummyfunction("if($T69&lt;&gt;"""",VALUE(REGEXEXTRACT(SUBSTITUTE ($T69,N$1&amp;"" CE"",""""), N$1&amp;""[\w &amp;]*, (\d+\.\d+)"")),"""")
"),210)</f>
        <v>210</v>
      </c>
      <c r="O69" s="3" t="n">
        <f aca="false">IFERROR(__xludf.dummyfunction("if($T69&lt;&gt;"""",VALUE(REGEXEXTRACT($T69, O$1&amp;""[\w &amp;]*, (\d+\.\d+)"")),"""")
"),215)</f>
        <v>215</v>
      </c>
      <c r="P69" s="2" t="n">
        <f aca="false">IFERROR(__xludf.dummyfunction("if($T69&lt;&gt;"""",VALUE(REGEXEXTRACT($T69, P$1&amp;""[\w &amp;]*, (\d+\.\d+)"")),"""")
"),209.2)</f>
        <v>209.2</v>
      </c>
      <c r="Q69" s="2" t="n">
        <f aca="false">IFERROR(__xludf.dummyfunction("if($T69&lt;&gt;"""",VALUE(REGEXEXTRACT($T69, Q$1&amp;""[\w &amp;]*, (\d+\.\d+)"")),"""")
"),206.07)</f>
        <v>206.07</v>
      </c>
      <c r="R69" s="2" t="n">
        <f aca="false">IFERROR(__xludf.dummyfunction("if($T69&lt;&gt;"""",VALUE(REGEXEXTRACT($T69, SUBSTITUTE(R$1, ""+"", ""\+"")&amp;""[\w &amp;]*, (\d+\.\d+)"")),"""")"),215.46)</f>
        <v>215.46</v>
      </c>
      <c r="S69" s="2" t="n">
        <f aca="false">IFERROR(__xludf.dummyfunction("if($T69&lt;&gt;"""",VALUE(REGEXEXTRACT($T69, SUBSTITUTE(S$1, ""+"", ""\+"")&amp;""[\w &amp;]*, (\d+\.\d+)"")),"""")"),218.59)</f>
        <v>218.59</v>
      </c>
      <c r="T69" s="5" t="s">
        <v>691</v>
      </c>
    </row>
    <row r="70" customFormat="false" ht="15.75" hidden="false" customHeight="false" outlineLevel="0" collapsed="false">
      <c r="A70" s="4" t="n">
        <f aca="false">IFERROR(__xludf.dummyfunction("""COMPUTED_VALUE"""),45509.6666666667)</f>
        <v>45509.6666666667</v>
      </c>
      <c r="B70" s="2" t="n">
        <f aca="false">IFERROR(__xludf.dummyfunction("""COMPUTED_VALUE"""),197.9)</f>
        <v>197.9</v>
      </c>
      <c r="C70" s="2" t="n">
        <f aca="false">IFERROR(__xludf.dummyfunction("""COMPUTED_VALUE"""),204.74)</f>
        <v>204.74</v>
      </c>
      <c r="D70" s="2" t="n">
        <f aca="false">IFERROR(__xludf.dummyfunction("""COMPUTED_VALUE"""),196.7)</f>
        <v>196.7</v>
      </c>
      <c r="E70" s="2" t="n">
        <f aca="false">IFERROR(__xludf.dummyfunction("""COMPUTED_VALUE"""),202.2)</f>
        <v>202.2</v>
      </c>
      <c r="F70" s="3" t="n">
        <f aca="false">IFERROR(__xludf.dummyfunction("if($T70&lt;&gt;"""",VALUE(REGEXEXTRACT(SUBSTITUTE ($T70,F$1&amp;"" CE"",""""), F$1&amp;""[\w &amp;]*, (\d+\.\d+)"")),"""")
"),200)</f>
        <v>200</v>
      </c>
      <c r="G70" s="3" t="n">
        <f aca="false">IFERROR(__xludf.dummyfunction("if($T70&lt;&gt;"""",VALUE(REGEXEXTRACT($T70, G$1&amp;""[\w &amp;]*, (\d+\.\d+)"")),"""")
"),212)</f>
        <v>212</v>
      </c>
      <c r="H70" s="3" t="n">
        <f aca="false">IFERROR(__xludf.dummyfunction("if($T70&lt;&gt;"""",VALUE(REGEXEXTRACT($T70, H$1&amp;""[\w &amp;]*, (\d+\.\d+)"")),"""")
"),222)</f>
        <v>222</v>
      </c>
      <c r="I70" s="3" t="n">
        <f aca="false">IFERROR(__xludf.dummyfunction("if($T70&lt;&gt;"""",VALUE(REGEXEXTRACT(SUBSTITUTE ($T70,I$1&amp;"" CE"",""""), I$1&amp;""[\w &amp;]*, (\d+\.\d+)"")),"""")
"),200)</f>
        <v>200</v>
      </c>
      <c r="J70" s="3" t="n">
        <f aca="false">IFERROR(__xludf.dummyfunction("if($T70&lt;&gt;"""",VALUE(REGEXEXTRACT($T70, J$1&amp;""[\w &amp;]*, (\d+\.\d+)"")),"""")
"),207)</f>
        <v>207</v>
      </c>
      <c r="K70" s="3" t="n">
        <f aca="false">IFERROR(__xludf.dummyfunction("if($T70&lt;&gt;"""",VALUE(REGEXEXTRACT($T70, K$1&amp;""[\w &amp;]*, (\d+\.\d+)"")),"""")
"),198)</f>
        <v>198</v>
      </c>
      <c r="L70" s="3" t="n">
        <f aca="false">IFERROR(__xludf.dummyfunction("if($T70&lt;&gt;"""",VALUE(REGEXEXTRACT(SUBSTITUTE ($T70,L$1&amp;"" CE"",""""), L$1&amp;""[\w &amp;]*, (\d+\.\d+)"")),"""")
"),216)</f>
        <v>216</v>
      </c>
      <c r="M70" s="3" t="n">
        <f aca="false">IFERROR(__xludf.dummyfunction("if($T70&lt;&gt;"""",VALUE(REGEXEXTRACT($T70, M$1&amp;""[\w &amp;]*, (\d+\.\d+)"")),"""")
"),209)</f>
        <v>209</v>
      </c>
      <c r="N70" s="3" t="n">
        <f aca="false">IFERROR(__xludf.dummyfunction("if($T70&lt;&gt;"""",VALUE(REGEXEXTRACT(SUBSTITUTE ($T70,N$1&amp;"" CE"",""""), N$1&amp;""[\w &amp;]*, (\d+\.\d+)"")),"""")
"),210)</f>
        <v>210</v>
      </c>
      <c r="O70" s="3" t="n">
        <f aca="false">IFERROR(__xludf.dummyfunction("if($T70&lt;&gt;"""",VALUE(REGEXEXTRACT($T70, O$1&amp;""[\w &amp;]*, (\d+\.\d+)"")),"""")
"),211)</f>
        <v>211</v>
      </c>
      <c r="P70" s="2" t="n">
        <f aca="false">IFERROR(__xludf.dummyfunction("if($T70&lt;&gt;"""",VALUE(REGEXEXTRACT($T70, P$1&amp;""[\w &amp;]*, (\d+\.\d+)"")),"""")
"),196.21)</f>
        <v>196.21</v>
      </c>
      <c r="Q70" s="2" t="n">
        <f aca="false">IFERROR(__xludf.dummyfunction("if($T70&lt;&gt;"""",VALUE(REGEXEXTRACT($T70, Q$1&amp;""[\w &amp;]*, (\d+\.\d+)"")),"""")
"),195.06)</f>
        <v>195.06</v>
      </c>
      <c r="R70" s="2" t="n">
        <f aca="false">IFERROR(__xludf.dummyfunction("if($T70&lt;&gt;"""",VALUE(REGEXEXTRACT($T70, SUBSTITUTE(R$1, ""+"", ""\+"")&amp;""[\w &amp;]*, (\d+\.\d+)"")),"""")"),201.79)</f>
        <v>201.79</v>
      </c>
      <c r="S70" s="2" t="n">
        <f aca="false">IFERROR(__xludf.dummyfunction("if($T70&lt;&gt;"""",VALUE(REGEXEXTRACT($T70, SUBSTITUTE(S$1, ""+"", ""\+"")&amp;""[\w &amp;]*, (\d+\.\d+)"")),"""")"),202.94)</f>
        <v>202.94</v>
      </c>
      <c r="T70" s="5" t="s">
        <v>692</v>
      </c>
    </row>
    <row r="71" customFormat="false" ht="15.75" hidden="false" customHeight="false" outlineLevel="0" collapsed="false">
      <c r="A71" s="4" t="n">
        <f aca="false">IFERROR(__xludf.dummyfunction("""COMPUTED_VALUE"""),45510.6666666667)</f>
        <v>45510.6666666667</v>
      </c>
      <c r="B71" s="2" t="n">
        <f aca="false">IFERROR(__xludf.dummyfunction("""COMPUTED_VALUE"""),203.01)</f>
        <v>203.01</v>
      </c>
      <c r="C71" s="2" t="n">
        <f aca="false">IFERROR(__xludf.dummyfunction("""COMPUTED_VALUE"""),207.25)</f>
        <v>207.25</v>
      </c>
      <c r="D71" s="2" t="n">
        <f aca="false">IFERROR(__xludf.dummyfunction("""COMPUTED_VALUE"""),201.2)</f>
        <v>201.2</v>
      </c>
      <c r="E71" s="2" t="n">
        <f aca="false">IFERROR(__xludf.dummyfunction("""COMPUTED_VALUE"""),204.4)</f>
        <v>204.4</v>
      </c>
      <c r="F71" s="3" t="n">
        <f aca="false">IFERROR(__xludf.dummyfunction("if($T71&lt;&gt;"""",VALUE(REGEXEXTRACT(SUBSTITUTE ($T71,F$1&amp;"" CE"",""""), F$1&amp;""[\w &amp;]*, (\d+\.\d+)"")),"""")
"),200)</f>
        <v>200</v>
      </c>
      <c r="G71" s="3" t="n">
        <f aca="false">IFERROR(__xludf.dummyfunction("if($T71&lt;&gt;"""",VALUE(REGEXEXTRACT($T71, G$1&amp;""[\w &amp;]*, (\d+\.\d+)"")),"""")
"),203)</f>
        <v>203</v>
      </c>
      <c r="H71" s="3" t="n">
        <f aca="false">IFERROR(__xludf.dummyfunction("if($T71&lt;&gt;"""",VALUE(REGEXEXTRACT($T71, H$1&amp;""[\w &amp;]*, (\d+\.\d+)"")),"""")
"),232)</f>
        <v>232</v>
      </c>
      <c r="I71" s="3" t="n">
        <f aca="false">IFERROR(__xludf.dummyfunction("if($T71&lt;&gt;"""",VALUE(REGEXEXTRACT(SUBSTITUTE ($T71,I$1&amp;"" CE"",""""), I$1&amp;""[\w &amp;]*, (\d+\.\d+)"")),"""")
"),200)</f>
        <v>200</v>
      </c>
      <c r="J71" s="3" t="n">
        <f aca="false">IFERROR(__xludf.dummyfunction("if($T71&lt;&gt;"""",VALUE(REGEXEXTRACT($T71, J$1&amp;""[\w &amp;]*, (\d+\.\d+)"")),"""")
"),200)</f>
        <v>200</v>
      </c>
      <c r="K71" s="3" t="n">
        <f aca="false">IFERROR(__xludf.dummyfunction("if($T71&lt;&gt;"""",VALUE(REGEXEXTRACT($T71, K$1&amp;""[\w &amp;]*, (\d+\.\d+)"")),"""")
"),198)</f>
        <v>198</v>
      </c>
      <c r="L71" s="3" t="n">
        <f aca="false">IFERROR(__xludf.dummyfunction("if($T71&lt;&gt;"""",VALUE(REGEXEXTRACT(SUBSTITUTE ($T71,L$1&amp;"" CE"",""""), L$1&amp;""[\w &amp;]*, (\d+\.\d+)"")),"""")
"),216)</f>
        <v>216</v>
      </c>
      <c r="M71" s="3" t="n">
        <f aca="false">IFERROR(__xludf.dummyfunction("if($T71&lt;&gt;"""",VALUE(REGEXEXTRACT($T71, M$1&amp;""[\w &amp;]*, (\d+\.\d+)"")),"""")
"),201)</f>
        <v>201</v>
      </c>
      <c r="N71" s="3" t="n">
        <f aca="false">IFERROR(__xludf.dummyfunction("if($T71&lt;&gt;"""",VALUE(REGEXEXTRACT(SUBSTITUTE ($T71,N$1&amp;"" CE"",""""), N$1&amp;""[\w &amp;]*, (\d+\.\d+)"")),"""")
"),200)</f>
        <v>200</v>
      </c>
      <c r="O71" s="3" t="n">
        <f aca="false">IFERROR(__xludf.dummyfunction("if($T71&lt;&gt;"""",VALUE(REGEXEXTRACT($T71, O$1&amp;""[\w &amp;]*, (\d+\.\d+)"")),"""")
"),203)</f>
        <v>203</v>
      </c>
      <c r="P71" s="2" t="n">
        <f aca="false">IFERROR(__xludf.dummyfunction("if($T71&lt;&gt;"""",VALUE(REGEXEXTRACT($T71, P$1&amp;""[\w &amp;]*, (\d+\.\d+)"")),"""")
"),198.87)</f>
        <v>198.87</v>
      </c>
      <c r="Q71" s="2" t="n">
        <f aca="false">IFERROR(__xludf.dummyfunction("if($T71&lt;&gt;"""",VALUE(REGEXEXTRACT($T71, Q$1&amp;""[\w &amp;]*, (\d+\.\d+)"")),"""")
"),197.09)</f>
        <v>197.09</v>
      </c>
      <c r="R71" s="2" t="n">
        <f aca="false">IFERROR(__xludf.dummyfunction("if($T71&lt;&gt;"""",VALUE(REGEXEXTRACT($T71, SUBSTITUTE(R$1, ""+"", ""\+"")&amp;""[\w &amp;]*, (\d+\.\d+)"")),"""")"),207.43)</f>
        <v>207.43</v>
      </c>
      <c r="S71" s="2" t="n">
        <f aca="false">IFERROR(__xludf.dummyfunction("if($T71&lt;&gt;"""",VALUE(REGEXEXTRACT($T71, SUBSTITUTE(S$1, ""+"", ""\+"")&amp;""[\w &amp;]*, (\d+\.\d+)"")),"""")"),209.21)</f>
        <v>209.21</v>
      </c>
      <c r="T71" s="5" t="s">
        <v>693</v>
      </c>
    </row>
    <row r="72" customFormat="false" ht="15.75" hidden="false" customHeight="false" outlineLevel="0" collapsed="false">
      <c r="A72" s="4" t="n">
        <f aca="false">IFERROR(__xludf.dummyfunction("""COMPUTED_VALUE"""),45511.6666666667)</f>
        <v>45511.6666666667</v>
      </c>
      <c r="B72" s="2" t="n">
        <f aca="false">IFERROR(__xludf.dummyfunction("""COMPUTED_VALUE"""),207.85)</f>
        <v>207.85</v>
      </c>
      <c r="C72" s="2" t="n">
        <f aca="false">IFERROR(__xludf.dummyfunction("""COMPUTED_VALUE"""),207.96)</f>
        <v>207.96</v>
      </c>
      <c r="D72" s="2" t="n">
        <f aca="false">IFERROR(__xludf.dummyfunction("""COMPUTED_VALUE"""),201.56)</f>
        <v>201.56</v>
      </c>
      <c r="E72" s="2" t="n">
        <f aca="false">IFERROR(__xludf.dummyfunction("""COMPUTED_VALUE"""),201.98)</f>
        <v>201.98</v>
      </c>
      <c r="F72" s="3" t="n">
        <f aca="false">IFERROR(__xludf.dummyfunction("if($T72&lt;&gt;"""",VALUE(REGEXEXTRACT(SUBSTITUTE ($T72,F$1&amp;"" CE"",""""), F$1&amp;""[\w &amp;]*, (\d+\.\d+)"")),"""")
"),200)</f>
        <v>200</v>
      </c>
      <c r="G72" s="3" t="n">
        <f aca="false">IFERROR(__xludf.dummyfunction("if($T72&lt;&gt;"""",VALUE(REGEXEXTRACT($T72, G$1&amp;""[\w &amp;]*, (\d+\.\d+)"")),"""")
"),208)</f>
        <v>208</v>
      </c>
      <c r="H72" s="3" t="n">
        <f aca="false">IFERROR(__xludf.dummyfunction("if($T72&lt;&gt;"""",VALUE(REGEXEXTRACT($T72, H$1&amp;""[\w &amp;]*, (\d+\.\d+)"")),"""")
"),232)</f>
        <v>232</v>
      </c>
      <c r="I72" s="3" t="n">
        <f aca="false">IFERROR(__xludf.dummyfunction("if($T72&lt;&gt;"""",VALUE(REGEXEXTRACT(SUBSTITUTE ($T72,I$1&amp;"" CE"",""""), I$1&amp;""[\w &amp;]*, (\d+\.\d+)"")),"""")
"),200)</f>
        <v>200</v>
      </c>
      <c r="J72" s="3" t="n">
        <f aca="false">IFERROR(__xludf.dummyfunction("if($T72&lt;&gt;"""",VALUE(REGEXEXTRACT($T72, J$1&amp;""[\w &amp;]*, (\d+\.\d+)"")),"""")
"),201)</f>
        <v>201</v>
      </c>
      <c r="K72" s="3" t="n">
        <f aca="false">IFERROR(__xludf.dummyfunction("if($T72&lt;&gt;"""",VALUE(REGEXEXTRACT($T72, K$1&amp;""[\w &amp;]*, (\d+\.\d+)"")),"""")
"),198)</f>
        <v>198</v>
      </c>
      <c r="L72" s="3" t="n">
        <f aca="false">IFERROR(__xludf.dummyfunction("if($T72&lt;&gt;"""",VALUE(REGEXEXTRACT(SUBSTITUTE ($T72,L$1&amp;"" CE"",""""), L$1&amp;""[\w &amp;]*, (\d+\.\d+)"")),"""")
"),216)</f>
        <v>216</v>
      </c>
      <c r="M72" s="3" t="n">
        <f aca="false">IFERROR(__xludf.dummyfunction("if($T72&lt;&gt;"""",VALUE(REGEXEXTRACT($T72, M$1&amp;""[\w &amp;]*, (\d+\.\d+)"")),"""")
"),204)</f>
        <v>204</v>
      </c>
      <c r="N72" s="3" t="n">
        <f aca="false">IFERROR(__xludf.dummyfunction("if($T72&lt;&gt;"""",VALUE(REGEXEXTRACT(SUBSTITUTE ($T72,N$1&amp;"" CE"",""""), N$1&amp;""[\w &amp;]*, (\d+\.\d+)"")),"""")
"),200)</f>
        <v>200</v>
      </c>
      <c r="O72" s="3" t="n">
        <f aca="false">IFERROR(__xludf.dummyfunction("if($T72&lt;&gt;"""",VALUE(REGEXEXTRACT($T72, O$1&amp;""[\w &amp;]*, (\d+\.\d+)"")),"""")
"),207)</f>
        <v>207</v>
      </c>
      <c r="P72" s="2" t="n">
        <f aca="false">IFERROR(__xludf.dummyfunction("if($T72&lt;&gt;"""",VALUE(REGEXEXTRACT($T72, P$1&amp;""[\w &amp;]*, (\d+\.\d+)"")),"""")
"),204.68)</f>
        <v>204.68</v>
      </c>
      <c r="Q72" s="2" t="n">
        <f aca="false">IFERROR(__xludf.dummyfunction("if($T72&lt;&gt;"""",VALUE(REGEXEXTRACT($T72, Q$1&amp;""[\w &amp;]*, (\d+\.\d+)"")),"""")
"),203.29)</f>
        <v>203.29</v>
      </c>
      <c r="R72" s="2" t="n">
        <f aca="false">IFERROR(__xludf.dummyfunction("if($T72&lt;&gt;"""",VALUE(REGEXEXTRACT($T72, SUBSTITUTE(R$1, ""+"", ""\+"")&amp;""[\w &amp;]*, (\d+\.\d+)"")),"""")"),211.38)</f>
        <v>211.38</v>
      </c>
      <c r="S72" s="2" t="n">
        <f aca="false">IFERROR(__xludf.dummyfunction("if($T72&lt;&gt;"""",VALUE(REGEXEXTRACT($T72, SUBSTITUTE(S$1, ""+"", ""\+"")&amp;""[\w &amp;]*, (\d+\.\d+)"")),"""")"),212.77)</f>
        <v>212.77</v>
      </c>
      <c r="T72" s="5" t="s">
        <v>694</v>
      </c>
    </row>
    <row r="73" customFormat="false" ht="15.75" hidden="false" customHeight="false" outlineLevel="0" collapsed="false">
      <c r="A73" s="4" t="n">
        <f aca="false">IFERROR(__xludf.dummyfunction("""COMPUTED_VALUE"""),45512.6666666667)</f>
        <v>45512.6666666667</v>
      </c>
      <c r="B73" s="2" t="n">
        <f aca="false">IFERROR(__xludf.dummyfunction("""COMPUTED_VALUE"""),204.42)</f>
        <v>204.42</v>
      </c>
      <c r="C73" s="2" t="n">
        <f aca="false">IFERROR(__xludf.dummyfunction("""COMPUTED_VALUE"""),207)</f>
        <v>207</v>
      </c>
      <c r="D73" s="2" t="n">
        <f aca="false">IFERROR(__xludf.dummyfunction("""COMPUTED_VALUE"""),203.17)</f>
        <v>203.17</v>
      </c>
      <c r="E73" s="2" t="n">
        <f aca="false">IFERROR(__xludf.dummyfunction("""COMPUTED_VALUE"""),206.89)</f>
        <v>206.89</v>
      </c>
      <c r="F73" s="3" t="n">
        <f aca="false">IFERROR(__xludf.dummyfunction("if($T73&lt;&gt;"""",VALUE(REGEXEXTRACT(SUBSTITUTE ($T73,F$1&amp;"" CE"",""""), F$1&amp;""[\w &amp;]*, (\d+\.\d+)"")),"""")
"),200)</f>
        <v>200</v>
      </c>
      <c r="G73" s="3" t="n">
        <f aca="false">IFERROR(__xludf.dummyfunction("if($T73&lt;&gt;"""",VALUE(REGEXEXTRACT($T73, G$1&amp;""[\w &amp;]*, (\d+\.\d+)"")),"""")
"),206)</f>
        <v>206</v>
      </c>
      <c r="H73" s="3" t="n">
        <f aca="false">IFERROR(__xludf.dummyfunction("if($T73&lt;&gt;"""",VALUE(REGEXEXTRACT($T73, H$1&amp;""[\w &amp;]*, (\d+\.\d+)"")),"""")
"),222)</f>
        <v>222</v>
      </c>
      <c r="I73" s="3" t="n">
        <f aca="false">IFERROR(__xludf.dummyfunction("if($T73&lt;&gt;"""",VALUE(REGEXEXTRACT(SUBSTITUTE ($T73,I$1&amp;"" CE"",""""), I$1&amp;""[\w &amp;]*, (\d+\.\d+)"")),"""")
"),200)</f>
        <v>200</v>
      </c>
      <c r="J73" s="3" t="n">
        <f aca="false">IFERROR(__xludf.dummyfunction("if($T73&lt;&gt;"""",VALUE(REGEXEXTRACT($T73, J$1&amp;""[\w &amp;]*, (\d+\.\d+)"")),"""")
"),200)</f>
        <v>200</v>
      </c>
      <c r="K73" s="3" t="n">
        <f aca="false">IFERROR(__xludf.dummyfunction("if($T73&lt;&gt;"""",VALUE(REGEXEXTRACT($T73, K$1&amp;""[\w &amp;]*, (\d+\.\d+)"")),"""")
"),198)</f>
        <v>198</v>
      </c>
      <c r="L73" s="3" t="n">
        <f aca="false">IFERROR(__xludf.dummyfunction("if($T73&lt;&gt;"""",VALUE(REGEXEXTRACT(SUBSTITUTE ($T73,L$1&amp;"" CE"",""""), L$1&amp;""[\w &amp;]*, (\d+\.\d+)"")),"""")
"),216)</f>
        <v>216</v>
      </c>
      <c r="M73" s="3" t="n">
        <f aca="false">IFERROR(__xludf.dummyfunction("if($T73&lt;&gt;"""",VALUE(REGEXEXTRACT($T73, M$1&amp;""[\w &amp;]*, (\d+\.\d+)"")),"""")
"),202)</f>
        <v>202</v>
      </c>
      <c r="N73" s="3" t="n">
        <f aca="false">IFERROR(__xludf.dummyfunction("if($T73&lt;&gt;"""",VALUE(REGEXEXTRACT(SUBSTITUTE ($T73,N$1&amp;"" CE"",""""), N$1&amp;""[\w &amp;]*, (\d+\.\d+)"")),"""")
"),200)</f>
        <v>200</v>
      </c>
      <c r="O73" s="3" t="n">
        <f aca="false">IFERROR(__xludf.dummyfunction("if($T73&lt;&gt;"""",VALUE(REGEXEXTRACT($T73, O$1&amp;""[\w &amp;]*, (\d+\.\d+)"")),"""")
"),200)</f>
        <v>200</v>
      </c>
      <c r="P73" s="2" t="n">
        <f aca="false">IFERROR(__xludf.dummyfunction("if($T73&lt;&gt;"""",VALUE(REGEXEXTRACT($T73, P$1&amp;""[\w &amp;]*, (\d+\.\d+)"")),"""")
"),198.26)</f>
        <v>198.26</v>
      </c>
      <c r="Q73" s="2" t="n">
        <f aca="false">IFERROR(__xludf.dummyfunction("if($T73&lt;&gt;"""",VALUE(REGEXEXTRACT($T73, Q$1&amp;""[\w &amp;]*, (\d+\.\d+)"")),"""")
"),196.96)</f>
        <v>196.96</v>
      </c>
      <c r="R73" s="2" t="n">
        <f aca="false">IFERROR(__xludf.dummyfunction("if($T73&lt;&gt;"""",VALUE(REGEXEXTRACT($T73, SUBSTITUTE(R$1, ""+"", ""\+"")&amp;""[\w &amp;]*, (\d+\.\d+)"")),"""")"),204.54)</f>
        <v>204.54</v>
      </c>
      <c r="S73" s="2" t="n">
        <f aca="false">IFERROR(__xludf.dummyfunction("if($T73&lt;&gt;"""",VALUE(REGEXEXTRACT($T73, SUBSTITUTE(S$1, ""+"", ""\+"")&amp;""[\w &amp;]*, (\d+\.\d+)"")),"""")"),205.84)</f>
        <v>205.84</v>
      </c>
      <c r="T73" s="5" t="s">
        <v>695</v>
      </c>
    </row>
    <row r="74" customFormat="false" ht="15.75" hidden="false" customHeight="false" outlineLevel="0" collapsed="false">
      <c r="A74" s="4" t="n">
        <f aca="false">IFERROR(__xludf.dummyfunction("""COMPUTED_VALUE"""),45513.6666666667)</f>
        <v>45513.6666666667</v>
      </c>
      <c r="B74" s="2" t="n">
        <f aca="false">IFERROR(__xludf.dummyfunction("""COMPUTED_VALUE"""),207.05)</f>
        <v>207.05</v>
      </c>
      <c r="C74" s="2" t="n">
        <f aca="false">IFERROR(__xludf.dummyfunction("""COMPUTED_VALUE"""),207.12)</f>
        <v>207.12</v>
      </c>
      <c r="D74" s="2" t="n">
        <f aca="false">IFERROR(__xludf.dummyfunction("""COMPUTED_VALUE"""),204.94)</f>
        <v>204.94</v>
      </c>
      <c r="E74" s="2" t="n">
        <f aca="false">IFERROR(__xludf.dummyfunction("""COMPUTED_VALUE"""),206.46)</f>
        <v>206.46</v>
      </c>
      <c r="F74" s="3" t="n">
        <f aca="false">IFERROR(__xludf.dummyfunction("if($T74&lt;&gt;"""",VALUE(REGEXEXTRACT(SUBSTITUTE ($T74,F$1&amp;"" CE"",""""), F$1&amp;""[\w &amp;]*, (\d+\.\d+)"")),"""")
"),210)</f>
        <v>210</v>
      </c>
      <c r="G74" s="3" t="n">
        <f aca="false">IFERROR(__xludf.dummyfunction("if($T74&lt;&gt;"""",VALUE(REGEXEXTRACT($T74, G$1&amp;""[\w &amp;]*, (\d+\.\d+)"")),"""")
"),210)</f>
        <v>210</v>
      </c>
      <c r="H74" s="3" t="n">
        <f aca="false">IFERROR(__xludf.dummyfunction("if($T74&lt;&gt;"""",VALUE(REGEXEXTRACT($T74, H$1&amp;""[\w &amp;]*, (\d+\.\d+)"")),"""")
"),228)</f>
        <v>228</v>
      </c>
      <c r="I74" s="3" t="n">
        <f aca="false">IFERROR(__xludf.dummyfunction("if($T74&lt;&gt;"""",VALUE(REGEXEXTRACT(SUBSTITUTE ($T74,I$1&amp;"" CE"",""""), I$1&amp;""[\w &amp;]*, (\d+\.\d+)"")),"""")
"),210)</f>
        <v>210</v>
      </c>
      <c r="J74" s="3" t="n">
        <f aca="false">IFERROR(__xludf.dummyfunction("if($T74&lt;&gt;"""",VALUE(REGEXEXTRACT($T74, J$1&amp;""[\w &amp;]*, (\d+\.\d+)"")),"""")
"),209)</f>
        <v>209</v>
      </c>
      <c r="K74" s="3" t="n">
        <f aca="false">IFERROR(__xludf.dummyfunction("if($T74&lt;&gt;"""",VALUE(REGEXEXTRACT($T74, K$1&amp;""[\w &amp;]*, (\d+\.\d+)"")),"""")
"),198)</f>
        <v>198</v>
      </c>
      <c r="L74" s="3" t="n">
        <f aca="false">IFERROR(__xludf.dummyfunction("if($T74&lt;&gt;"""",VALUE(REGEXEXTRACT(SUBSTITUTE ($T74,L$1&amp;"" CE"",""""), L$1&amp;""[\w &amp;]*, (\d+\.\d+)"")),"""")
"),216)</f>
        <v>216</v>
      </c>
      <c r="M74" s="3" t="n">
        <f aca="false">IFERROR(__xludf.dummyfunction("if($T74&lt;&gt;"""",VALUE(REGEXEXTRACT($T74, M$1&amp;""[\w &amp;]*, (\d+\.\d+)"")),"""")
"),209)</f>
        <v>209</v>
      </c>
      <c r="N74" s="3" t="n">
        <f aca="false">IFERROR(__xludf.dummyfunction("if($T74&lt;&gt;"""",VALUE(REGEXEXTRACT(SUBSTITUTE ($T74,N$1&amp;"" CE"",""""), N$1&amp;""[\w &amp;]*, (\d+\.\d+)"")),"""")
"),210)</f>
        <v>210</v>
      </c>
      <c r="O74" s="3" t="n">
        <f aca="false">IFERROR(__xludf.dummyfunction("if($T74&lt;&gt;"""",VALUE(REGEXEXTRACT($T74, O$1&amp;""[\w &amp;]*, (\d+\.\d+)"")),"""")
"),209)</f>
        <v>209</v>
      </c>
      <c r="P74" s="2" t="n">
        <f aca="false">IFERROR(__xludf.dummyfunction("if($T74&lt;&gt;"""",VALUE(REGEXEXTRACT($T74, P$1&amp;""[\w &amp;]*, (\d+\.\d+)"")),"""")
"),204.35)</f>
        <v>204.35</v>
      </c>
      <c r="Q74" s="2" t="n">
        <f aca="false">IFERROR(__xludf.dummyfunction("if($T74&lt;&gt;"""",VALUE(REGEXEXTRACT($T74, Q$1&amp;""[\w &amp;]*, (\d+\.\d+)"")),"""")
"),201.3)</f>
        <v>201.3</v>
      </c>
      <c r="R74" s="2" t="n">
        <f aca="false">IFERROR(__xludf.dummyfunction("if($T74&lt;&gt;"""",VALUE(REGEXEXTRACT($T74, SUBSTITUTE(R$1, ""+"", ""\+"")&amp;""[\w &amp;]*, (\d+\.\d+)"")),"""")"),210.45)</f>
        <v>210.45</v>
      </c>
      <c r="S74" s="2" t="n">
        <f aca="false">IFERROR(__xludf.dummyfunction("if($T74&lt;&gt;"""",VALUE(REGEXEXTRACT($T74, SUBSTITUTE(S$1, ""+"", ""\+"")&amp;""[\w &amp;]*, (\d+\.\d+)"")),"""")"),213.5)</f>
        <v>213.5</v>
      </c>
      <c r="T74" s="5" t="s">
        <v>696</v>
      </c>
    </row>
    <row r="75" customFormat="false" ht="15.75" hidden="false" customHeight="false" outlineLevel="0" collapsed="false">
      <c r="A75" s="4" t="n">
        <f aca="false">IFERROR(__xludf.dummyfunction("""COMPUTED_VALUE"""),45516.6666666667)</f>
        <v>45516.6666666667</v>
      </c>
      <c r="B75" s="2" t="n">
        <f aca="false">IFERROR(__xludf.dummyfunction("""COMPUTED_VALUE"""),206.61)</f>
        <v>206.61</v>
      </c>
      <c r="C75" s="2" t="n">
        <f aca="false">IFERROR(__xludf.dummyfunction("""COMPUTED_VALUE"""),206.98)</f>
        <v>206.98</v>
      </c>
      <c r="D75" s="2" t="n">
        <f aca="false">IFERROR(__xludf.dummyfunction("""COMPUTED_VALUE"""),203.82)</f>
        <v>203.82</v>
      </c>
      <c r="E75" s="2" t="n">
        <f aca="false">IFERROR(__xludf.dummyfunction("""COMPUTED_VALUE"""),204.6)</f>
        <v>204.6</v>
      </c>
      <c r="F75" s="3" t="n">
        <f aca="false">IFERROR(__xludf.dummyfunction("if($T75&lt;&gt;"""",VALUE(REGEXEXTRACT(SUBSTITUTE ($T75,F$1&amp;"" CE"",""""), F$1&amp;""[\w &amp;]*, (\d+\.\d+)"")),"""")
"),200)</f>
        <v>200</v>
      </c>
      <c r="G75" s="3" t="n">
        <f aca="false">IFERROR(__xludf.dummyfunction("if($T75&lt;&gt;"""",VALUE(REGEXEXTRACT($T75, G$1&amp;""[\w &amp;]*, (\d+\.\d+)"")),"""")
"),210)</f>
        <v>210</v>
      </c>
      <c r="H75" s="3" t="n">
        <f aca="false">IFERROR(__xludf.dummyfunction("if($T75&lt;&gt;"""",VALUE(REGEXEXTRACT($T75, H$1&amp;""[\w &amp;]*, (\d+\.\d+)"")),"""")
"),228)</f>
        <v>228</v>
      </c>
      <c r="I75" s="3" t="n">
        <f aca="false">IFERROR(__xludf.dummyfunction("if($T75&lt;&gt;"""",VALUE(REGEXEXTRACT(SUBSTITUTE ($T75,I$1&amp;"" CE"",""""), I$1&amp;""[\w &amp;]*, (\d+\.\d+)"")),"""")
"),200)</f>
        <v>200</v>
      </c>
      <c r="J75" s="3" t="n">
        <f aca="false">IFERROR(__xludf.dummyfunction("if($T75&lt;&gt;"""",VALUE(REGEXEXTRACT($T75, J$1&amp;""[\w &amp;]*, (\d+\.\d+)"")),"""")
"),206)</f>
        <v>206</v>
      </c>
      <c r="K75" s="3" t="n">
        <f aca="false">IFERROR(__xludf.dummyfunction("if($T75&lt;&gt;"""",VALUE(REGEXEXTRACT($T75, K$1&amp;""[\w &amp;]*, (\d+\.\d+)"")),"""")
"),198)</f>
        <v>198</v>
      </c>
      <c r="L75" s="3" t="n">
        <f aca="false">IFERROR(__xludf.dummyfunction("if($T75&lt;&gt;"""",VALUE(REGEXEXTRACT(SUBSTITUTE ($T75,L$1&amp;"" CE"",""""), L$1&amp;""[\w &amp;]*, (\d+\.\d+)"")),"""")
"),216)</f>
        <v>216</v>
      </c>
      <c r="M75" s="3" t="n">
        <f aca="false">IFERROR(__xludf.dummyfunction("if($T75&lt;&gt;"""",VALUE(REGEXEXTRACT($T75, M$1&amp;""[\w &amp;]*, (\d+\.\d+)"")),"""")
"),206)</f>
        <v>206</v>
      </c>
      <c r="N75" s="3" t="n">
        <f aca="false">IFERROR(__xludf.dummyfunction("if($T75&lt;&gt;"""",VALUE(REGEXEXTRACT(SUBSTITUTE ($T75,N$1&amp;"" CE"",""""), N$1&amp;""[\w &amp;]*, (\d+\.\d+)"")),"""")
"),200)</f>
        <v>200</v>
      </c>
      <c r="O75" s="3" t="n">
        <f aca="false">IFERROR(__xludf.dummyfunction("if($T75&lt;&gt;"""",VALUE(REGEXEXTRACT($T75, O$1&amp;""[\w &amp;]*, (\d+\.\d+)"")),"""")
"),206)</f>
        <v>206</v>
      </c>
      <c r="P75" s="2" t="n">
        <f aca="false">IFERROR(__xludf.dummyfunction("if($T75&lt;&gt;"""",VALUE(REGEXEXTRACT($T75, P$1&amp;""[\w &amp;]*, (\d+\.\d+)"")),"""")
"),201.53)</f>
        <v>201.53</v>
      </c>
      <c r="Q75" s="2" t="n">
        <f aca="false">IFERROR(__xludf.dummyfunction("if($T75&lt;&gt;"""",VALUE(REGEXEXTRACT($T75, Q$1&amp;""[\w &amp;]*, (\d+\.\d+)"")),"""")
"),200.26)</f>
        <v>200.26</v>
      </c>
      <c r="R75" s="2" t="n">
        <f aca="false">IFERROR(__xludf.dummyfunction("if($T75&lt;&gt;"""",VALUE(REGEXEXTRACT($T75, SUBSTITUTE(R$1, ""+"", ""\+"")&amp;""[\w &amp;]*, (\d+\.\d+)"")),"""")"),207.67)</f>
        <v>207.67</v>
      </c>
      <c r="S75" s="2" t="n">
        <f aca="false">IFERROR(__xludf.dummyfunction("if($T75&lt;&gt;"""",VALUE(REGEXEXTRACT($T75, SUBSTITUTE(S$1, ""+"", ""\+"")&amp;""[\w &amp;]*, (\d+\.\d+)"")),"""")"),208.94)</f>
        <v>208.94</v>
      </c>
      <c r="T75" s="5" t="s">
        <v>697</v>
      </c>
    </row>
    <row r="76" customFormat="false" ht="15.75" hidden="false" customHeight="false" outlineLevel="0" collapsed="false">
      <c r="A76" s="4" t="n">
        <f aca="false">IFERROR(__xludf.dummyfunction("""COMPUTED_VALUE"""),45517.6666666667)</f>
        <v>45517.6666666667</v>
      </c>
      <c r="B76" s="2" t="n">
        <f aca="false">IFERROR(__xludf.dummyfunction("""COMPUTED_VALUE"""),206.09)</f>
        <v>206.09</v>
      </c>
      <c r="C76" s="2" t="n">
        <f aca="false">IFERROR(__xludf.dummyfunction("""COMPUTED_VALUE"""),208.38)</f>
        <v>208.38</v>
      </c>
      <c r="D76" s="2" t="n">
        <f aca="false">IFERROR(__xludf.dummyfunction("""COMPUTED_VALUE"""),204.86)</f>
        <v>204.86</v>
      </c>
      <c r="E76" s="2" t="n">
        <f aca="false">IFERROR(__xludf.dummyfunction("""COMPUTED_VALUE"""),207.97)</f>
        <v>207.97</v>
      </c>
      <c r="F76" s="3" t="n">
        <f aca="false">IFERROR(__xludf.dummyfunction("if($T76&lt;&gt;"""",VALUE(REGEXEXTRACT(SUBSTITUTE ($T76,F$1&amp;"" CE"",""""), F$1&amp;""[\w &amp;]*, (\d+\.\d+)"")),"""")
"),210)</f>
        <v>210</v>
      </c>
      <c r="G76" s="3" t="n">
        <f aca="false">IFERROR(__xludf.dummyfunction("if($T76&lt;&gt;"""",VALUE(REGEXEXTRACT($T76, G$1&amp;""[\w &amp;]*, (\d+\.\d+)"")),"""")
"),207)</f>
        <v>207</v>
      </c>
      <c r="H76" s="3" t="n">
        <f aca="false">IFERROR(__xludf.dummyfunction("if($T76&lt;&gt;"""",VALUE(REGEXEXTRACT($T76, H$1&amp;""[\w &amp;]*, (\d+\.\d+)"")),"""")
"),228)</f>
        <v>228</v>
      </c>
      <c r="I76" s="3" t="n">
        <f aca="false">IFERROR(__xludf.dummyfunction("if($T76&lt;&gt;"""",VALUE(REGEXEXTRACT(SUBSTITUTE ($T76,I$1&amp;"" CE"",""""), I$1&amp;""[\w &amp;]*, (\d+\.\d+)"")),"""")
"),200)</f>
        <v>200</v>
      </c>
      <c r="J76" s="3" t="n">
        <f aca="false">IFERROR(__xludf.dummyfunction("if($T76&lt;&gt;"""",VALUE(REGEXEXTRACT($T76, J$1&amp;""[\w &amp;]*, (\d+\.\d+)"")),"""")
"),201)</f>
        <v>201</v>
      </c>
      <c r="K76" s="3" t="n">
        <f aca="false">IFERROR(__xludf.dummyfunction("if($T76&lt;&gt;"""",VALUE(REGEXEXTRACT($T76, K$1&amp;""[\w &amp;]*, (\d+\.\d+)"")),"""")
"),198)</f>
        <v>198</v>
      </c>
      <c r="L76" s="3" t="n">
        <f aca="false">IFERROR(__xludf.dummyfunction("if($T76&lt;&gt;"""",VALUE(REGEXEXTRACT(SUBSTITUTE ($T76,L$1&amp;"" CE"",""""), L$1&amp;""[\w &amp;]*, (\d+\.\d+)"")),"""")
"),216)</f>
        <v>216</v>
      </c>
      <c r="M76" s="3" t="n">
        <f aca="false">IFERROR(__xludf.dummyfunction("if($T76&lt;&gt;"""",VALUE(REGEXEXTRACT($T76, M$1&amp;""[\w &amp;]*, (\d+\.\d+)"")),"""")
"),205)</f>
        <v>205</v>
      </c>
      <c r="N76" s="3" t="n">
        <f aca="false">IFERROR(__xludf.dummyfunction("if($T76&lt;&gt;"""",VALUE(REGEXEXTRACT(SUBSTITUTE ($T76,N$1&amp;"" CE"",""""), N$1&amp;""[\w &amp;]*, (\d+\.\d+)"")),"""")
"),210)</f>
        <v>210</v>
      </c>
      <c r="O76" s="3" t="n">
        <f aca="false">IFERROR(__xludf.dummyfunction("if($T76&lt;&gt;"""",VALUE(REGEXEXTRACT($T76, O$1&amp;""[\w &amp;]*, (\d+\.\d+)"")),"""")
"),205)</f>
        <v>205</v>
      </c>
      <c r="P76" s="2" t="n">
        <f aca="false">IFERROR(__xludf.dummyfunction("if($T76&lt;&gt;"""",VALUE(REGEXEXTRACT($T76, P$1&amp;""[\w &amp;]*, (\d+\.\d+)"")),"""")
"),200.95)</f>
        <v>200.95</v>
      </c>
      <c r="Q76" s="2" t="n">
        <f aca="false">IFERROR(__xludf.dummyfunction("if($T76&lt;&gt;"""",VALUE(REGEXEXTRACT($T76, Q$1&amp;""[\w &amp;]*, (\d+\.\d+)"")),"""")
"),199.71)</f>
        <v>199.71</v>
      </c>
      <c r="R76" s="2" t="n">
        <f aca="false">IFERROR(__xludf.dummyfunction("if($T76&lt;&gt;"""",VALUE(REGEXEXTRACT($T76, SUBSTITUTE(R$1, ""+"", ""\+"")&amp;""[\w &amp;]*, (\d+\.\d+)"")),"""")"),206.89)</f>
        <v>206.89</v>
      </c>
      <c r="S76" s="2" t="n">
        <f aca="false">IFERROR(__xludf.dummyfunction("if($T76&lt;&gt;"""",VALUE(REGEXEXTRACT($T76, SUBSTITUTE(S$1, ""+"", ""\+"")&amp;""[\w &amp;]*, (\d+\.\d+)"")),"""")"),208.13)</f>
        <v>208.13</v>
      </c>
      <c r="T76" s="5" t="s">
        <v>698</v>
      </c>
    </row>
    <row r="77" customFormat="false" ht="15.75" hidden="false" customHeight="false" outlineLevel="0" collapsed="false">
      <c r="A77" s="4" t="n">
        <f aca="false">IFERROR(__xludf.dummyfunction("""COMPUTED_VALUE"""),45518.6666666667)</f>
        <v>45518.6666666667</v>
      </c>
      <c r="B77" s="2" t="n">
        <f aca="false">IFERROR(__xludf.dummyfunction("""COMPUTED_VALUE"""),208.63)</f>
        <v>208.63</v>
      </c>
      <c r="C77" s="2" t="n">
        <f aca="false">IFERROR(__xludf.dummyfunction("""COMPUTED_VALUE"""),208.75)</f>
        <v>208.75</v>
      </c>
      <c r="D77" s="2" t="n">
        <f aca="false">IFERROR(__xludf.dummyfunction("""COMPUTED_VALUE"""),205.74)</f>
        <v>205.74</v>
      </c>
      <c r="E77" s="2" t="n">
        <f aca="false">IFERROR(__xludf.dummyfunction("""COMPUTED_VALUE"""),206.68)</f>
        <v>206.68</v>
      </c>
      <c r="F77" s="3" t="n">
        <f aca="false">IFERROR(__xludf.dummyfunction("if($T77&lt;&gt;"""",VALUE(REGEXEXTRACT(SUBSTITUTE ($T77,F$1&amp;"" CE"",""""), F$1&amp;""[\w &amp;]*, (\d+\.\d+)"")),"""")
"),210)</f>
        <v>210</v>
      </c>
      <c r="G77" s="3" t="n">
        <f aca="false">IFERROR(__xludf.dummyfunction("if($T77&lt;&gt;"""",VALUE(REGEXEXTRACT($T77, G$1&amp;""[\w &amp;]*, (\d+\.\d+)"")),"""")
"),210)</f>
        <v>210</v>
      </c>
      <c r="H77" s="3" t="n">
        <f aca="false">IFERROR(__xludf.dummyfunction("if($T77&lt;&gt;"""",VALUE(REGEXEXTRACT($T77, H$1&amp;""[\w &amp;]*, (\d+\.\d+)"")),"""")
"),222)</f>
        <v>222</v>
      </c>
      <c r="I77" s="3" t="n">
        <f aca="false">IFERROR(__xludf.dummyfunction("if($T77&lt;&gt;"""",VALUE(REGEXEXTRACT(SUBSTITUTE ($T77,I$1&amp;"" CE"",""""), I$1&amp;""[\w &amp;]*, (\d+\.\d+)"")),"""")
"),210)</f>
        <v>210</v>
      </c>
      <c r="J77" s="3" t="n">
        <f aca="false">IFERROR(__xludf.dummyfunction("if($T77&lt;&gt;"""",VALUE(REGEXEXTRACT($T77, J$1&amp;""[\w &amp;]*, (\d+\.\d+)"")),"""")
"),206)</f>
        <v>206</v>
      </c>
      <c r="K77" s="3" t="n">
        <f aca="false">IFERROR(__xludf.dummyfunction("if($T77&lt;&gt;"""",VALUE(REGEXEXTRACT($T77, K$1&amp;""[\w &amp;]*, (\d+\.\d+)"")),"""")
"),198)</f>
        <v>198</v>
      </c>
      <c r="L77" s="3" t="n">
        <f aca="false">IFERROR(__xludf.dummyfunction("if($T77&lt;&gt;"""",VALUE(REGEXEXTRACT(SUBSTITUTE ($T77,L$1&amp;"" CE"",""""), L$1&amp;""[\w &amp;]*, (\d+\.\d+)"")),"""")
"),213)</f>
        <v>213</v>
      </c>
      <c r="M77" s="3" t="n">
        <f aca="false">IFERROR(__xludf.dummyfunction("if($T77&lt;&gt;"""",VALUE(REGEXEXTRACT($T77, M$1&amp;""[\w &amp;]*, (\d+\.\d+)"")),"""")
"),206)</f>
        <v>206</v>
      </c>
      <c r="N77" s="3" t="n">
        <f aca="false">IFERROR(__xludf.dummyfunction("if($T77&lt;&gt;"""",VALUE(REGEXEXTRACT(SUBSTITUTE ($T77,N$1&amp;"" CE"",""""), N$1&amp;""[\w &amp;]*, (\d+\.\d+)"")),"""")
"),210)</f>
        <v>210</v>
      </c>
      <c r="O77" s="3" t="n">
        <f aca="false">IFERROR(__xludf.dummyfunction("if($T77&lt;&gt;"""",VALUE(REGEXEXTRACT($T77, O$1&amp;""[\w &amp;]*, (\d+\.\d+)"")),"""")
"),210)</f>
        <v>210</v>
      </c>
      <c r="P77" s="2" t="n">
        <f aca="false">IFERROR(__xludf.dummyfunction("if($T77&lt;&gt;"""",VALUE(REGEXEXTRACT($T77, P$1&amp;""[\w &amp;]*, (\d+\.\d+)"")),"""")
"),205.55)</f>
        <v>205.55</v>
      </c>
      <c r="Q77" s="2" t="n">
        <f aca="false">IFERROR(__xludf.dummyfunction("if($T77&lt;&gt;"""",VALUE(REGEXEXTRACT($T77, Q$1&amp;""[\w &amp;]*, (\d+\.\d+)"")),"""")
"),204.33)</f>
        <v>204.33</v>
      </c>
      <c r="R77" s="2" t="n">
        <f aca="false">IFERROR(__xludf.dummyfunction("if($T77&lt;&gt;"""",VALUE(REGEXEXTRACT($T77, SUBSTITUTE(R$1, ""+"", ""\+"")&amp;""[\w &amp;]*, (\d+\.\d+)"")),"""")"),211.43)</f>
        <v>211.43</v>
      </c>
      <c r="S77" s="2" t="n">
        <f aca="false">IFERROR(__xludf.dummyfunction("if($T77&lt;&gt;"""",VALUE(REGEXEXTRACT($T77, SUBSTITUTE(S$1, ""+"", ""\+"")&amp;""[\w &amp;]*, (\d+\.\d+)"")),"""")"),212.65)</f>
        <v>212.65</v>
      </c>
      <c r="T77" s="5" t="s">
        <v>699</v>
      </c>
    </row>
    <row r="78" customFormat="false" ht="15.75" hidden="false" customHeight="false" outlineLevel="0" collapsed="false">
      <c r="A78" s="4" t="n">
        <f aca="false">IFERROR(__xludf.dummyfunction("""COMPUTED_VALUE"""),45519.6666666667)</f>
        <v>45519.6666666667</v>
      </c>
      <c r="B78" s="2" t="n">
        <f aca="false">IFERROR(__xludf.dummyfunction("""COMPUTED_VALUE"""),211.26)</f>
        <v>211.26</v>
      </c>
      <c r="C78" s="2" t="n">
        <f aca="false">IFERROR(__xludf.dummyfunction("""COMPUTED_VALUE"""),213.1)</f>
        <v>213.1</v>
      </c>
      <c r="D78" s="2" t="n">
        <f aca="false">IFERROR(__xludf.dummyfunction("""COMPUTED_VALUE"""),209.91)</f>
        <v>209.91</v>
      </c>
      <c r="E78" s="2" t="n">
        <f aca="false">IFERROR(__xludf.dummyfunction("""COMPUTED_VALUE"""),212.04)</f>
        <v>212.04</v>
      </c>
      <c r="F78" s="3" t="n">
        <f aca="false">IFERROR(__xludf.dummyfunction("if($T78&lt;&gt;"""",VALUE(REGEXEXTRACT(SUBSTITUTE ($T78,F$1&amp;"" CE"",""""), F$1&amp;""[\w &amp;]*, (\d+\.\d+)"")),"""")
"),210)</f>
        <v>210</v>
      </c>
      <c r="G78" s="3" t="n">
        <f aca="false">IFERROR(__xludf.dummyfunction("if($T78&lt;&gt;"""",VALUE(REGEXEXTRACT($T78, G$1&amp;""[\w &amp;]*, (\d+\.\d+)"")),"""")
"),208)</f>
        <v>208</v>
      </c>
      <c r="H78" s="3" t="n">
        <f aca="false">IFERROR(__xludf.dummyfunction("if($T78&lt;&gt;"""",VALUE(REGEXEXTRACT($T78, H$1&amp;""[\w &amp;]*, (\d+\.\d+)"")),"""")
"),222)</f>
        <v>222</v>
      </c>
      <c r="I78" s="3" t="n">
        <f aca="false">IFERROR(__xludf.dummyfunction("if($T78&lt;&gt;"""",VALUE(REGEXEXTRACT(SUBSTITUTE ($T78,I$1&amp;"" CE"",""""), I$1&amp;""[\w &amp;]*, (\d+\.\d+)"")),"""")
"),210)</f>
        <v>210</v>
      </c>
      <c r="J78" s="3" t="n">
        <f aca="false">IFERROR(__xludf.dummyfunction("if($T78&lt;&gt;"""",VALUE(REGEXEXTRACT($T78, J$1&amp;""[\w &amp;]*, (\d+\.\d+)"")),"""")
"),204)</f>
        <v>204</v>
      </c>
      <c r="K78" s="3" t="n">
        <f aca="false">IFERROR(__xludf.dummyfunction("if($T78&lt;&gt;"""",VALUE(REGEXEXTRACT($T78, K$1&amp;""[\w &amp;]*, (\d+\.\d+)"")),"""")
"),204)</f>
        <v>204</v>
      </c>
      <c r="L78" s="3" t="n">
        <f aca="false">IFERROR(__xludf.dummyfunction("if($T78&lt;&gt;"""",VALUE(REGEXEXTRACT(SUBSTITUTE ($T78,L$1&amp;"" CE"",""""), L$1&amp;""[\w &amp;]*, (\d+\.\d+)"")),"""")
"),216)</f>
        <v>216</v>
      </c>
      <c r="M78" s="3" t="n">
        <f aca="false">IFERROR(__xludf.dummyfunction("if($T78&lt;&gt;"""",VALUE(REGEXEXTRACT($T78, M$1&amp;""[\w &amp;]*, (\d+\.\d+)"")),"""")
"),205)</f>
        <v>205</v>
      </c>
      <c r="N78" s="3" t="n">
        <f aca="false">IFERROR(__xludf.dummyfunction("if($T78&lt;&gt;"""",VALUE(REGEXEXTRACT(SUBSTITUTE ($T78,N$1&amp;"" CE"",""""), N$1&amp;""[\w &amp;]*, (\d+\.\d+)"")),"""")
"),210)</f>
        <v>210</v>
      </c>
      <c r="O78" s="3" t="n">
        <f aca="false">IFERROR(__xludf.dummyfunction("if($T78&lt;&gt;"""",VALUE(REGEXEXTRACT($T78, O$1&amp;""[\w &amp;]*, (\d+\.\d+)"")),"""")
"),207)</f>
        <v>207</v>
      </c>
      <c r="P78" s="2" t="n">
        <f aca="false">IFERROR(__xludf.dummyfunction("if($T78&lt;&gt;"""",VALUE(REGEXEXTRACT($T78, P$1&amp;""[\w &amp;]*, (\d+\.\d+)"")),"""")
"),203.57)</f>
        <v>203.57</v>
      </c>
      <c r="Q78" s="2" t="n">
        <f aca="false">IFERROR(__xludf.dummyfunction("if($T78&lt;&gt;"""",VALUE(REGEXEXTRACT($T78, Q$1&amp;""[\w &amp;]*, (\d+\.\d+)"")),"""")
"),202.56)</f>
        <v>202.56</v>
      </c>
      <c r="R78" s="2" t="n">
        <f aca="false">IFERROR(__xludf.dummyfunction("if($T78&lt;&gt;"""",VALUE(REGEXEXTRACT($T78, SUBSTITUTE(R$1, ""+"", ""\+"")&amp;""[\w &amp;]*, (\d+\.\d+)"")),"""")"),208.47)</f>
        <v>208.47</v>
      </c>
      <c r="S78" s="2" t="n">
        <f aca="false">IFERROR(__xludf.dummyfunction("if($T78&lt;&gt;"""",VALUE(REGEXEXTRACT($T78, SUBSTITUTE(S$1, ""+"", ""\+"")&amp;""[\w &amp;]*, (\d+\.\d+)"")),"""")"),209.48)</f>
        <v>209.48</v>
      </c>
      <c r="T78" s="5" t="s">
        <v>700</v>
      </c>
    </row>
    <row r="79" customFormat="false" ht="15.75" hidden="false" customHeight="false" outlineLevel="0" collapsed="false">
      <c r="A79" s="4" t="n">
        <f aca="false">IFERROR(__xludf.dummyfunction("""COMPUTED_VALUE"""),45520.6666666667)</f>
        <v>45520.6666666667</v>
      </c>
      <c r="B79" s="2" t="n">
        <f aca="false">IFERROR(__xludf.dummyfunction("""COMPUTED_VALUE"""),211.37)</f>
        <v>211.37</v>
      </c>
      <c r="C79" s="2" t="n">
        <f aca="false">IFERROR(__xludf.dummyfunction("""COMPUTED_VALUE"""),213.98)</f>
        <v>213.98</v>
      </c>
      <c r="D79" s="2" t="n">
        <f aca="false">IFERROR(__xludf.dummyfunction("""COMPUTED_VALUE"""),211.28)</f>
        <v>211.28</v>
      </c>
      <c r="E79" s="2" t="n">
        <f aca="false">IFERROR(__xludf.dummyfunction("""COMPUTED_VALUE"""),212.6)</f>
        <v>212.6</v>
      </c>
      <c r="F79" s="3" t="n">
        <f aca="false">IFERROR(__xludf.dummyfunction("if($T79&lt;&gt;"""",VALUE(REGEXEXTRACT(SUBSTITUTE ($T79,F$1&amp;"" CE"",""""), F$1&amp;""[\w &amp;]*, (\d+\.\d+)"")),"""")
"),210)</f>
        <v>210</v>
      </c>
      <c r="G79" s="3" t="n">
        <f aca="false">IFERROR(__xludf.dummyfunction("if($T79&lt;&gt;"""",VALUE(REGEXEXTRACT($T79, G$1&amp;""[\w &amp;]*, (\d+\.\d+)"")),"""")
"),214)</f>
        <v>214</v>
      </c>
      <c r="H79" s="3" t="n">
        <f aca="false">IFERROR(__xludf.dummyfunction("if($T79&lt;&gt;"""",VALUE(REGEXEXTRACT($T79, H$1&amp;""[\w &amp;]*, (\d+\.\d+)"")),"""")
"),222)</f>
        <v>222</v>
      </c>
      <c r="I79" s="3" t="n">
        <f aca="false">IFERROR(__xludf.dummyfunction("if($T79&lt;&gt;"""",VALUE(REGEXEXTRACT(SUBSTITUTE ($T79,I$1&amp;"" CE"",""""), I$1&amp;""[\w &amp;]*, (\d+\.\d+)"")),"""")
"),210)</f>
        <v>210</v>
      </c>
      <c r="J79" s="3" t="n">
        <f aca="false">IFERROR(__xludf.dummyfunction("if($T79&lt;&gt;"""",VALUE(REGEXEXTRACT($T79, J$1&amp;""[\w &amp;]*, (\d+\.\d+)"")),"""")
"),210)</f>
        <v>210</v>
      </c>
      <c r="K79" s="3" t="n">
        <f aca="false">IFERROR(__xludf.dummyfunction("if($T79&lt;&gt;"""",VALUE(REGEXEXTRACT($T79, K$1&amp;""[\w &amp;]*, (\d+\.\d+)"")),"""")
"),206)</f>
        <v>206</v>
      </c>
      <c r="L79" s="3" t="n">
        <f aca="false">IFERROR(__xludf.dummyfunction("if($T79&lt;&gt;"""",VALUE(REGEXEXTRACT(SUBSTITUTE ($T79,L$1&amp;"" CE"",""""), L$1&amp;""[\w &amp;]*, (\d+\.\d+)"")),"""")
"),213)</f>
        <v>213</v>
      </c>
      <c r="M79" s="3" t="n">
        <f aca="false">IFERROR(__xludf.dummyfunction("if($T79&lt;&gt;"""",VALUE(REGEXEXTRACT($T79, M$1&amp;""[\w &amp;]*, (\d+\.\d+)"")),"""")
"),213)</f>
        <v>213</v>
      </c>
      <c r="N79" s="3" t="n">
        <f aca="false">IFERROR(__xludf.dummyfunction("if($T79&lt;&gt;"""",VALUE(REGEXEXTRACT(SUBSTITUTE ($T79,N$1&amp;"" CE"",""""), N$1&amp;""[\w &amp;]*, (\d+\.\d+)"")),"""")
"),210)</f>
        <v>210</v>
      </c>
      <c r="O79" s="3" t="n">
        <f aca="false">IFERROR(__xludf.dummyfunction("if($T79&lt;&gt;"""",VALUE(REGEXEXTRACT($T79, O$1&amp;""[\w &amp;]*, (\d+\.\d+)"")),"""")
"),210)</f>
        <v>210</v>
      </c>
      <c r="P79" s="2" t="n">
        <f aca="false">IFERROR(__xludf.dummyfunction("if($T79&lt;&gt;"""",VALUE(REGEXEXTRACT($T79, P$1&amp;""[\w &amp;]*, (\d+\.\d+)"")),"""")
"),210.13)</f>
        <v>210.13</v>
      </c>
      <c r="Q79" s="2" t="n">
        <f aca="false">IFERROR(__xludf.dummyfunction("if($T79&lt;&gt;"""",VALUE(REGEXEXTRACT($T79, Q$1&amp;""[\w &amp;]*, (\d+\.\d+)"")),"""")
"),207.77)</f>
        <v>207.77</v>
      </c>
      <c r="R79" s="2" t="n">
        <f aca="false">IFERROR(__xludf.dummyfunction("if($T79&lt;&gt;"""",VALUE(REGEXEXTRACT($T79, SUBSTITUTE(R$1, ""+"", ""\+"")&amp;""[\w &amp;]*, (\d+\.\d+)"")),"""")"),214.87)</f>
        <v>214.87</v>
      </c>
      <c r="S79" s="2" t="n">
        <f aca="false">IFERROR(__xludf.dummyfunction("if($T79&lt;&gt;"""",VALUE(REGEXEXTRACT($T79, SUBSTITUTE(S$1, ""+"", ""\+"")&amp;""[\w &amp;]*, (\d+\.\d+)"")),"""")"),217.23)</f>
        <v>217.23</v>
      </c>
      <c r="T79" s="5" t="s">
        <v>701</v>
      </c>
    </row>
    <row r="80" customFormat="false" ht="15.75" hidden="false" customHeight="false" outlineLevel="0" collapsed="false">
      <c r="A80" s="4" t="n">
        <f aca="false">IFERROR(__xludf.dummyfunction("""COMPUTED_VALUE"""),45523.6666666667)</f>
        <v>45523.6666666667</v>
      </c>
      <c r="B80" s="2" t="n">
        <f aca="false">IFERROR(__xludf.dummyfunction("""COMPUTED_VALUE"""),212.96)</f>
        <v>212.96</v>
      </c>
      <c r="C80" s="2" t="n">
        <f aca="false">IFERROR(__xludf.dummyfunction("""COMPUTED_VALUE"""),215.21)</f>
        <v>215.21</v>
      </c>
      <c r="D80" s="2" t="n">
        <f aca="false">IFERROR(__xludf.dummyfunction("""COMPUTED_VALUE"""),212.82)</f>
        <v>212.82</v>
      </c>
      <c r="E80" s="2" t="n">
        <f aca="false">IFERROR(__xludf.dummyfunction("""COMPUTED_VALUE"""),215.2)</f>
        <v>215.2</v>
      </c>
      <c r="F80" s="3" t="n">
        <f aca="false">IFERROR(__xludf.dummyfunction("if($T80&lt;&gt;"""",VALUE(REGEXEXTRACT(SUBSTITUTE ($T80,F$1&amp;"" CE"",""""), F$1&amp;""[\w &amp;]*, (\d+\.\d+)"")),"""")
"),220)</f>
        <v>220</v>
      </c>
      <c r="G80" s="3" t="n">
        <f aca="false">IFERROR(__xludf.dummyfunction("if($T80&lt;&gt;"""",VALUE(REGEXEXTRACT($T80, G$1&amp;""[\w &amp;]*, (\d+\.\d+)"")),"""")
"),213)</f>
        <v>213</v>
      </c>
      <c r="H80" s="3" t="n">
        <f aca="false">IFERROR(__xludf.dummyfunction("if($T80&lt;&gt;"""",VALUE(REGEXEXTRACT($T80, H$1&amp;""[\w &amp;]*, (\d+\.\d+)"")),"""")
"),225)</f>
        <v>225</v>
      </c>
      <c r="I80" s="3" t="n">
        <f aca="false">IFERROR(__xludf.dummyfunction("if($T80&lt;&gt;"""",VALUE(REGEXEXTRACT(SUBSTITUTE ($T80,I$1&amp;"" CE"",""""), I$1&amp;""[\w &amp;]*, (\d+\.\d+)"")),"""")
"),210)</f>
        <v>210</v>
      </c>
      <c r="J80" s="3" t="n">
        <f aca="false">IFERROR(__xludf.dummyfunction("if($T80&lt;&gt;"""",VALUE(REGEXEXTRACT($T80, J$1&amp;""[\w &amp;]*, (\d+\.\d+)"")),"""")
"),209)</f>
        <v>209</v>
      </c>
      <c r="K80" s="3" t="n">
        <f aca="false">IFERROR(__xludf.dummyfunction("if($T80&lt;&gt;"""",VALUE(REGEXEXTRACT($T80, K$1&amp;""[\w &amp;]*, (\d+\.\d+)"")),"""")
"),205)</f>
        <v>205</v>
      </c>
      <c r="L80" s="3" t="n">
        <f aca="false">IFERROR(__xludf.dummyfunction("if($T80&lt;&gt;"""",VALUE(REGEXEXTRACT(SUBSTITUTE ($T80,L$1&amp;"" CE"",""""), L$1&amp;""[\w &amp;]*, (\d+\.\d+)"")),"""")
"),210)</f>
        <v>210</v>
      </c>
      <c r="M80" s="3" t="n">
        <f aca="false">IFERROR(__xludf.dummyfunction("if($T80&lt;&gt;"""",VALUE(REGEXEXTRACT($T80, M$1&amp;""[\w &amp;]*, (\d+\.\d+)"")),"""")
"),210)</f>
        <v>210</v>
      </c>
      <c r="N80" s="3" t="n">
        <f aca="false">IFERROR(__xludf.dummyfunction("if($T80&lt;&gt;"""",VALUE(REGEXEXTRACT(SUBSTITUTE ($T80,N$1&amp;"" CE"",""""), N$1&amp;""[\w &amp;]*, (\d+\.\d+)"")),"""")
"),210)</f>
        <v>210</v>
      </c>
      <c r="O80" s="3" t="n">
        <f aca="false">IFERROR(__xludf.dummyfunction("if($T80&lt;&gt;"""",VALUE(REGEXEXTRACT($T80, O$1&amp;""[\w &amp;]*, (\d+\.\d+)"")),"""")
"),213)</f>
        <v>213</v>
      </c>
      <c r="P80" s="2" t="n">
        <f aca="false">IFERROR(__xludf.dummyfunction("if($T80&lt;&gt;"""",VALUE(REGEXEXTRACT($T80, P$1&amp;""[\w &amp;]*, (\d+\.\d+)"")),"""")
"),210.38)</f>
        <v>210.38</v>
      </c>
      <c r="Q80" s="2" t="n">
        <f aca="false">IFERROR(__xludf.dummyfunction("if($T80&lt;&gt;"""",VALUE(REGEXEXTRACT($T80, Q$1&amp;""[\w &amp;]*, (\d+\.\d+)"")),"""")
"),209.51)</f>
        <v>209.51</v>
      </c>
      <c r="R80" s="2" t="n">
        <f aca="false">IFERROR(__xludf.dummyfunction("if($T80&lt;&gt;"""",VALUE(REGEXEXTRACT($T80, SUBSTITUTE(R$1, ""+"", ""\+"")&amp;""[\w &amp;]*, (\d+\.\d+)"")),"""")"),214.58)</f>
        <v>214.58</v>
      </c>
      <c r="S80" s="2" t="n">
        <f aca="false">IFERROR(__xludf.dummyfunction("if($T80&lt;&gt;"""",VALUE(REGEXEXTRACT($T80, SUBSTITUTE(S$1, ""+"", ""\+"")&amp;""[\w &amp;]*, (\d+\.\d+)"")),"""")"),215.45)</f>
        <v>215.45</v>
      </c>
      <c r="T80" s="5" t="s">
        <v>702</v>
      </c>
    </row>
    <row r="81" customFormat="false" ht="15.75" hidden="false" customHeight="false" outlineLevel="0" collapsed="false">
      <c r="A81" s="4" t="n">
        <f aca="false">IFERROR(__xludf.dummyfunction("""COMPUTED_VALUE"""),45524.6666666667)</f>
        <v>45524.6666666667</v>
      </c>
      <c r="B81" s="2" t="n">
        <f aca="false">IFERROR(__xludf.dummyfunction("""COMPUTED_VALUE"""),214.89)</f>
        <v>214.89</v>
      </c>
      <c r="C81" s="2" t="n">
        <f aca="false">IFERROR(__xludf.dummyfunction("""COMPUTED_VALUE"""),214.95)</f>
        <v>214.95</v>
      </c>
      <c r="D81" s="2" t="n">
        <f aca="false">IFERROR(__xludf.dummyfunction("""COMPUTED_VALUE"""),212.05)</f>
        <v>212.05</v>
      </c>
      <c r="E81" s="2" t="n">
        <f aca="false">IFERROR(__xludf.dummyfunction("""COMPUTED_VALUE"""),212.69)</f>
        <v>212.69</v>
      </c>
      <c r="F81" s="3" t="n">
        <f aca="false">IFERROR(__xludf.dummyfunction("if($T81&lt;&gt;"""",VALUE(REGEXEXTRACT(SUBSTITUTE ($T81,F$1&amp;"" CE"",""""), F$1&amp;""[\w &amp;]*, (\d+\.\d+)"")),"""")
"),220)</f>
        <v>220</v>
      </c>
      <c r="G81" s="3" t="n">
        <f aca="false">IFERROR(__xludf.dummyfunction("if($T81&lt;&gt;"""",VALUE(REGEXEXTRACT($T81, G$1&amp;""[\w &amp;]*, (\d+\.\d+)"")),"""")
"),215)</f>
        <v>215</v>
      </c>
      <c r="H81" s="3" t="n">
        <f aca="false">IFERROR(__xludf.dummyfunction("if($T81&lt;&gt;"""",VALUE(REGEXEXTRACT($T81, H$1&amp;""[\w &amp;]*, (\d+\.\d+)"")),"""")
"),225)</f>
        <v>225</v>
      </c>
      <c r="I81" s="3" t="n">
        <f aca="false">IFERROR(__xludf.dummyfunction("if($T81&lt;&gt;"""",VALUE(REGEXEXTRACT(SUBSTITUTE ($T81,I$1&amp;"" CE"",""""), I$1&amp;""[\w &amp;]*, (\d+\.\d+)"")),"""")
"),205)</f>
        <v>205</v>
      </c>
      <c r="J81" s="3" t="n">
        <f aca="false">IFERROR(__xludf.dummyfunction("if($T81&lt;&gt;"""",VALUE(REGEXEXTRACT($T81, J$1&amp;""[\w &amp;]*, (\d+\.\d+)"")),"""")
"),212)</f>
        <v>212</v>
      </c>
      <c r="K81" s="3" t="n">
        <f aca="false">IFERROR(__xludf.dummyfunction("if($T81&lt;&gt;"""",VALUE(REGEXEXTRACT($T81, K$1&amp;""[\w &amp;]*, (\d+\.\d+)"")),"""")
"),203)</f>
        <v>203</v>
      </c>
      <c r="L81" s="3" t="n">
        <f aca="false">IFERROR(__xludf.dummyfunction("if($T81&lt;&gt;"""",VALUE(REGEXEXTRACT(SUBSTITUTE ($T81,L$1&amp;"" CE"",""""), L$1&amp;""[\w &amp;]*, (\d+\.\d+)"")),"""")
"),213)</f>
        <v>213</v>
      </c>
      <c r="M81" s="3" t="n">
        <f aca="false">IFERROR(__xludf.dummyfunction("if($T81&lt;&gt;"""",VALUE(REGEXEXTRACT($T81, M$1&amp;""[\w &amp;]*, (\d+\.\d+)"")),"""")
"),213)</f>
        <v>213</v>
      </c>
      <c r="N81" s="3" t="n">
        <f aca="false">IFERROR(__xludf.dummyfunction("if($T81&lt;&gt;"""",VALUE(REGEXEXTRACT(SUBSTITUTE ($T81,N$1&amp;"" CE"",""""), N$1&amp;""[\w &amp;]*, (\d+\.\d+)"")),"""")
"),210)</f>
        <v>210</v>
      </c>
      <c r="O81" s="3" t="n">
        <f aca="false">IFERROR(__xludf.dummyfunction("if($T81&lt;&gt;"""",VALUE(REGEXEXTRACT($T81, O$1&amp;""[\w &amp;]*, (\d+\.\d+)"")),"""")
"),215)</f>
        <v>215</v>
      </c>
      <c r="P81" s="2" t="n">
        <f aca="false">IFERROR(__xludf.dummyfunction("if($T81&lt;&gt;"""",VALUE(REGEXEXTRACT($T81, P$1&amp;""[\w &amp;]*, (\d+\.\d+)"")),"""")
"),213.07)</f>
        <v>213.07</v>
      </c>
      <c r="Q81" s="2" t="n">
        <f aca="false">IFERROR(__xludf.dummyfunction("if($T81&lt;&gt;"""",VALUE(REGEXEXTRACT($T81, Q$1&amp;""[\w &amp;]*, (\d+\.\d+)"")),"""")
"),212.19)</f>
        <v>212.19</v>
      </c>
      <c r="R81" s="2" t="n">
        <f aca="false">IFERROR(__xludf.dummyfunction("if($T81&lt;&gt;"""",VALUE(REGEXEXTRACT($T81, SUBSTITUTE(R$1, ""+"", ""\+"")&amp;""[\w &amp;]*, (\d+\.\d+)"")),"""")"),217.33)</f>
        <v>217.33</v>
      </c>
      <c r="S81" s="2" t="n">
        <f aca="false">IFERROR(__xludf.dummyfunction("if($T81&lt;&gt;"""",VALUE(REGEXEXTRACT($T81, SUBSTITUTE(S$1, ""+"", ""\+"")&amp;""[\w &amp;]*, (\d+\.\d+)"")),"""")"),218.21)</f>
        <v>218.21</v>
      </c>
      <c r="T81" s="5" t="s">
        <v>703</v>
      </c>
    </row>
    <row r="82" customFormat="false" ht="15.75" hidden="false" customHeight="false" outlineLevel="0" collapsed="false">
      <c r="A82" s="4" t="n">
        <f aca="false">IFERROR(__xludf.dummyfunction("""COMPUTED_VALUE"""),45525.6666666667)</f>
        <v>45525.6666666667</v>
      </c>
      <c r="B82" s="2" t="n">
        <f aca="false">IFERROR(__xludf.dummyfunction("""COMPUTED_VALUE"""),214.28)</f>
        <v>214.28</v>
      </c>
      <c r="C82" s="2" t="n">
        <f aca="false">IFERROR(__xludf.dummyfunction("""COMPUTED_VALUE"""),215.66)</f>
        <v>215.66</v>
      </c>
      <c r="D82" s="2" t="n">
        <f aca="false">IFERROR(__xludf.dummyfunction("""COMPUTED_VALUE"""),212.82)</f>
        <v>212.82</v>
      </c>
      <c r="E82" s="2" t="n">
        <f aca="false">IFERROR(__xludf.dummyfunction("""COMPUTED_VALUE"""),215.46)</f>
        <v>215.46</v>
      </c>
      <c r="F82" s="3" t="n">
        <f aca="false">IFERROR(__xludf.dummyfunction("if($T82&lt;&gt;"""",VALUE(REGEXEXTRACT(SUBSTITUTE ($T82,F$1&amp;"" CE"",""""), F$1&amp;""[\w &amp;]*, (\d+\.\d+)"")),"""")
"),220)</f>
        <v>220</v>
      </c>
      <c r="G82" s="3" t="n">
        <f aca="false">IFERROR(__xludf.dummyfunction("if($T82&lt;&gt;"""",VALUE(REGEXEXTRACT($T82, G$1&amp;""[\w &amp;]*, (\d+\.\d+)"")),"""")
"),215)</f>
        <v>215</v>
      </c>
      <c r="H82" s="3" t="n">
        <f aca="false">IFERROR(__xludf.dummyfunction("if($T82&lt;&gt;"""",VALUE(REGEXEXTRACT($T82, H$1&amp;""[\w &amp;]*, (\d+\.\d+)"")),"""")
"),225)</f>
        <v>225</v>
      </c>
      <c r="I82" s="3" t="n">
        <f aca="false">IFERROR(__xludf.dummyfunction("if($T82&lt;&gt;"""",VALUE(REGEXEXTRACT(SUBSTITUTE ($T82,I$1&amp;"" CE"",""""), I$1&amp;""[\w &amp;]*, (\d+\.\d+)"")),"""")
"),210)</f>
        <v>210</v>
      </c>
      <c r="J82" s="3" t="n">
        <f aca="false">IFERROR(__xludf.dummyfunction("if($T82&lt;&gt;"""",VALUE(REGEXEXTRACT($T82, J$1&amp;""[\w &amp;]*, (\d+\.\d+)"")),"""")
"),210)</f>
        <v>210</v>
      </c>
      <c r="K82" s="3" t="n">
        <f aca="false">IFERROR(__xludf.dummyfunction("if($T82&lt;&gt;"""",VALUE(REGEXEXTRACT($T82, K$1&amp;""[\w &amp;]*, (\d+\.\d+)"")),"""")
"),205)</f>
        <v>205</v>
      </c>
      <c r="L82" s="3" t="n">
        <f aca="false">IFERROR(__xludf.dummyfunction("if($T82&lt;&gt;"""",VALUE(REGEXEXTRACT(SUBSTITUTE ($T82,L$1&amp;"" CE"",""""), L$1&amp;""[\w &amp;]*, (\d+\.\d+)"")),"""")
"),212)</f>
        <v>212</v>
      </c>
      <c r="M82" s="3" t="n">
        <f aca="false">IFERROR(__xludf.dummyfunction("if($T82&lt;&gt;"""",VALUE(REGEXEXTRACT($T82, M$1&amp;""[\w &amp;]*, (\d+\.\d+)"")),"""")
"),211)</f>
        <v>211</v>
      </c>
      <c r="N82" s="3" t="n">
        <f aca="false">IFERROR(__xludf.dummyfunction("if($T82&lt;&gt;"""",VALUE(REGEXEXTRACT(SUBSTITUTE ($T82,N$1&amp;"" CE"",""""), N$1&amp;""[\w &amp;]*, (\d+\.\d+)"")),"""")
"),210)</f>
        <v>210</v>
      </c>
      <c r="O82" s="3" t="n">
        <f aca="false">IFERROR(__xludf.dummyfunction("if($T82&lt;&gt;"""",VALUE(REGEXEXTRACT($T82, O$1&amp;""[\w &amp;]*, (\d+\.\d+)"")),"""")
"),210)</f>
        <v>210</v>
      </c>
      <c r="P82" s="2" t="n">
        <f aca="false">IFERROR(__xludf.dummyfunction("if($T82&lt;&gt;"""",VALUE(REGEXEXTRACT($T82, P$1&amp;""[\w &amp;]*, (\d+\.\d+)"")),"""")
"),211.55)</f>
        <v>211.55</v>
      </c>
      <c r="Q82" s="2" t="n">
        <f aca="false">IFERROR(__xludf.dummyfunction("if($T82&lt;&gt;"""",VALUE(REGEXEXTRACT($T82, Q$1&amp;""[\w &amp;]*, (\d+\.\d+)"")),"""")
"),210.6)</f>
        <v>210.6</v>
      </c>
      <c r="R82" s="2" t="n">
        <f aca="false">IFERROR(__xludf.dummyfunction("if($T82&lt;&gt;"""",VALUE(REGEXEXTRACT($T82, SUBSTITUTE(R$1, ""+"", ""\+"")&amp;""[\w &amp;]*, (\d+\.\d+)"")),"""")"),216.15)</f>
        <v>216.15</v>
      </c>
      <c r="S82" s="2" t="n">
        <f aca="false">IFERROR(__xludf.dummyfunction("if($T82&lt;&gt;"""",VALUE(REGEXEXTRACT($T82, SUBSTITUTE(S$1, ""+"", ""\+"")&amp;""[\w &amp;]*, (\d+\.\d+)"")),"""")"),217.1)</f>
        <v>217.1</v>
      </c>
      <c r="T82" s="5" t="s">
        <v>704</v>
      </c>
    </row>
    <row r="83" customFormat="false" ht="15.75" hidden="false" customHeight="false" outlineLevel="0" collapsed="false">
      <c r="A83" s="4" t="n">
        <f aca="false">IFERROR(__xludf.dummyfunction("""COMPUTED_VALUE"""),45526.6666666667)</f>
        <v>45526.6666666667</v>
      </c>
      <c r="B83" s="2" t="n">
        <f aca="false">IFERROR(__xludf.dummyfunction("""COMPUTED_VALUE"""),215.57)</f>
        <v>215.57</v>
      </c>
      <c r="C83" s="2" t="n">
        <f aca="false">IFERROR(__xludf.dummyfunction("""COMPUTED_VALUE"""),216.37)</f>
        <v>216.37</v>
      </c>
      <c r="D83" s="2" t="n">
        <f aca="false">IFERROR(__xludf.dummyfunction("""COMPUTED_VALUE"""),213.13)</f>
        <v>213.13</v>
      </c>
      <c r="E83" s="2" t="n">
        <f aca="false">IFERROR(__xludf.dummyfunction("""COMPUTED_VALUE"""),213.56)</f>
        <v>213.56</v>
      </c>
      <c r="F83" s="3" t="n">
        <f aca="false">IFERROR(__xludf.dummyfunction("if($T83&lt;&gt;"""",VALUE(REGEXEXTRACT(SUBSTITUTE ($T83,F$1&amp;"" CE"",""""), F$1&amp;""[\w &amp;]*, (\d+\.\d+)"")),"""")
"),220)</f>
        <v>220</v>
      </c>
      <c r="G83" s="3" t="n">
        <f aca="false">IFERROR(__xludf.dummyfunction("if($T83&lt;&gt;"""",VALUE(REGEXEXTRACT($T83, G$1&amp;""[\w &amp;]*, (\d+\.\d+)"")),"""")
"),217)</f>
        <v>217</v>
      </c>
      <c r="H83" s="3" t="n">
        <f aca="false">IFERROR(__xludf.dummyfunction("if($T83&lt;&gt;"""",VALUE(REGEXEXTRACT($T83, H$1&amp;""[\w &amp;]*, (\d+\.\d+)"")),"""")
"),225)</f>
        <v>225</v>
      </c>
      <c r="I83" s="3" t="n">
        <f aca="false">IFERROR(__xludf.dummyfunction("if($T83&lt;&gt;"""",VALUE(REGEXEXTRACT(SUBSTITUTE ($T83,I$1&amp;"" CE"",""""), I$1&amp;""[\w &amp;]*, (\d+\.\d+)"")),"""")
"),205)</f>
        <v>205</v>
      </c>
      <c r="J83" s="3" t="n">
        <f aca="false">IFERROR(__xludf.dummyfunction("if($T83&lt;&gt;"""",VALUE(REGEXEXTRACT($T83, J$1&amp;""[\w &amp;]*, (\d+\.\d+)"")),"""")
"),212)</f>
        <v>212</v>
      </c>
      <c r="K83" s="3" t="n">
        <f aca="false">IFERROR(__xludf.dummyfunction("if($T83&lt;&gt;"""",VALUE(REGEXEXTRACT($T83, K$1&amp;""[\w &amp;]*, (\d+\.\d+)"")),"""")
"),203)</f>
        <v>203</v>
      </c>
      <c r="L83" s="3" t="n">
        <f aca="false">IFERROR(__xludf.dummyfunction("if($T83&lt;&gt;"""",VALUE(REGEXEXTRACT(SUBSTITUTE ($T83,L$1&amp;"" CE"",""""), L$1&amp;""[\w &amp;]*, (\d+\.\d+)"")),"""")
"),213)</f>
        <v>213</v>
      </c>
      <c r="M83" s="3" t="n">
        <f aca="false">IFERROR(__xludf.dummyfunction("if($T83&lt;&gt;"""",VALUE(REGEXEXTRACT($T83, M$1&amp;""[\w &amp;]*, (\d+\.\d+)"")),"""")
"),213)</f>
        <v>213</v>
      </c>
      <c r="N83" s="3" t="n">
        <f aca="false">IFERROR(__xludf.dummyfunction("if($T83&lt;&gt;"""",VALUE(REGEXEXTRACT(SUBSTITUTE ($T83,N$1&amp;"" CE"",""""), N$1&amp;""[\w &amp;]*, (\d+\.\d+)"")),"""")
"),220)</f>
        <v>220</v>
      </c>
      <c r="O83" s="3" t="n">
        <f aca="false">IFERROR(__xludf.dummyfunction("if($T83&lt;&gt;"""",VALUE(REGEXEXTRACT($T83, O$1&amp;""[\w &amp;]*, (\d+\.\d+)"")),"""")
"),212)</f>
        <v>212</v>
      </c>
      <c r="P83" s="2" t="n">
        <f aca="false">IFERROR(__xludf.dummyfunction("if($T83&lt;&gt;"""",VALUE(REGEXEXTRACT($T83, P$1&amp;""[\w &amp;]*, (\d+\.\d+)"")),"""")
"),212.98)</f>
        <v>212.98</v>
      </c>
      <c r="Q83" s="2" t="n">
        <f aca="false">IFERROR(__xludf.dummyfunction("if($T83&lt;&gt;"""",VALUE(REGEXEXTRACT($T83, Q$1&amp;""[\w &amp;]*, (\d+\.\d+)"")),"""")
"),212.01)</f>
        <v>212.01</v>
      </c>
      <c r="R83" s="2" t="n">
        <f aca="false">IFERROR(__xludf.dummyfunction("if($T83&lt;&gt;"""",VALUE(REGEXEXTRACT($T83, SUBSTITUTE(R$1, ""+"", ""\+"")&amp;""[\w &amp;]*, (\d+\.\d+)"")),"""")"),217.64)</f>
        <v>217.64</v>
      </c>
      <c r="S83" s="2" t="n">
        <f aca="false">IFERROR(__xludf.dummyfunction("if($T83&lt;&gt;"""",VALUE(REGEXEXTRACT($T83, SUBSTITUTE(S$1, ""+"", ""\+"")&amp;""[\w &amp;]*, (\d+\.\d+)"")),"""")"),218.61)</f>
        <v>218.61</v>
      </c>
      <c r="T83" s="5" t="s">
        <v>705</v>
      </c>
    </row>
    <row r="84" customFormat="false" ht="15.75" hidden="false" customHeight="false" outlineLevel="0" collapsed="false">
      <c r="A84" s="4" t="n">
        <f aca="false">IFERROR(__xludf.dummyfunction("""COMPUTED_VALUE"""),45527.6666666667)</f>
        <v>45527.6666666667</v>
      </c>
      <c r="B84" s="2" t="n">
        <f aca="false">IFERROR(__xludf.dummyfunction("""COMPUTED_VALUE"""),215.18)</f>
        <v>215.18</v>
      </c>
      <c r="C84" s="2" t="n">
        <f aca="false">IFERROR(__xludf.dummyfunction("""COMPUTED_VALUE"""),221.08)</f>
        <v>221.08</v>
      </c>
      <c r="D84" s="2" t="n">
        <f aca="false">IFERROR(__xludf.dummyfunction("""COMPUTED_VALUE"""),214.79)</f>
        <v>214.79</v>
      </c>
      <c r="E84" s="2" t="n">
        <f aca="false">IFERROR(__xludf.dummyfunction("""COMPUTED_VALUE"""),220.38)</f>
        <v>220.38</v>
      </c>
      <c r="F84" s="3" t="n">
        <f aca="false">IFERROR(__xludf.dummyfunction("if($T84&lt;&gt;"""",VALUE(REGEXEXTRACT(SUBSTITUTE ($T84,F$1&amp;"" CE"",""""), F$1&amp;""[\w &amp;]*, (\d+\.\d+)"")),"""")
"),220)</f>
        <v>220</v>
      </c>
      <c r="G84" s="3" t="n">
        <f aca="false">IFERROR(__xludf.dummyfunction("if($T84&lt;&gt;"""",VALUE(REGEXEXTRACT($T84, G$1&amp;""[\w &amp;]*, (\d+\.\d+)"")),"""")
"),215)</f>
        <v>215</v>
      </c>
      <c r="H84" s="3" t="n">
        <f aca="false">IFERROR(__xludf.dummyfunction("if($T84&lt;&gt;"""",VALUE(REGEXEXTRACT($T84, H$1&amp;""[\w &amp;]*, (\d+\.\d+)"")),"""")
"),225)</f>
        <v>225</v>
      </c>
      <c r="I84" s="3" t="n">
        <f aca="false">IFERROR(__xludf.dummyfunction("if($T84&lt;&gt;"""",VALUE(REGEXEXTRACT(SUBSTITUTE ($T84,I$1&amp;"" CE"",""""), I$1&amp;""[\w &amp;]*, (\d+\.\d+)"")),"""")
"),210)</f>
        <v>210</v>
      </c>
      <c r="J84" s="3" t="n">
        <f aca="false">IFERROR(__xludf.dummyfunction("if($T84&lt;&gt;"""",VALUE(REGEXEXTRACT($T84, J$1&amp;""[\w &amp;]*, (\d+\.\d+)"")),"""")
"),212)</f>
        <v>212</v>
      </c>
      <c r="K84" s="3" t="n">
        <f aca="false">IFERROR(__xludf.dummyfunction("if($T84&lt;&gt;"""",VALUE(REGEXEXTRACT($T84, K$1&amp;""[\w &amp;]*, (\d+\.\d+)"")),"""")
"),200)</f>
        <v>200</v>
      </c>
      <c r="L84" s="3" t="n">
        <f aca="false">IFERROR(__xludf.dummyfunction("if($T84&lt;&gt;"""",VALUE(REGEXEXTRACT(SUBSTITUTE ($T84,L$1&amp;"" CE"",""""), L$1&amp;""[\w &amp;]*, (\d+\.\d+)"")),"""")
"),213)</f>
        <v>213</v>
      </c>
      <c r="M84" s="3" t="n">
        <f aca="false">IFERROR(__xludf.dummyfunction("if($T84&lt;&gt;"""",VALUE(REGEXEXTRACT($T84, M$1&amp;""[\w &amp;]*, (\d+\.\d+)"")),"""")
"),212)</f>
        <v>212</v>
      </c>
      <c r="N84" s="3" t="n">
        <f aca="false">IFERROR(__xludf.dummyfunction("if($T84&lt;&gt;"""",VALUE(REGEXEXTRACT(SUBSTITUTE ($T84,N$1&amp;"" CE"",""""), N$1&amp;""[\w &amp;]*, (\d+\.\d+)"")),"""")
"),210)</f>
        <v>210</v>
      </c>
      <c r="O84" s="3" t="n">
        <f aca="false">IFERROR(__xludf.dummyfunction("if($T84&lt;&gt;"""",VALUE(REGEXEXTRACT($T84, O$1&amp;""[\w &amp;]*, (\d+\.\d+)"")),"""")
"),213)</f>
        <v>213</v>
      </c>
      <c r="P84" s="2" t="n">
        <f aca="false">IFERROR(__xludf.dummyfunction("if($T84&lt;&gt;"""",VALUE(REGEXEXTRACT($T84, P$1&amp;""[\w &amp;]*, (\d+\.\d+)"")),"""")
"),212.43)</f>
        <v>212.43</v>
      </c>
      <c r="Q84" s="2" t="n">
        <f aca="false">IFERROR(__xludf.dummyfunction("if($T84&lt;&gt;"""",VALUE(REGEXEXTRACT($T84, Q$1&amp;""[\w &amp;]*, (\d+\.\d+)"")),"""")
"),209.81)</f>
        <v>209.81</v>
      </c>
      <c r="R84" s="2" t="n">
        <f aca="false">IFERROR(__xludf.dummyfunction("if($T84&lt;&gt;"""",VALUE(REGEXEXTRACT($T84, SUBSTITUTE(R$1, ""+"", ""\+"")&amp;""[\w &amp;]*, (\d+\.\d+)"")),"""")"),217.67)</f>
        <v>217.67</v>
      </c>
      <c r="S84" s="2" t="n">
        <f aca="false">IFERROR(__xludf.dummyfunction("if($T84&lt;&gt;"""",VALUE(REGEXEXTRACT($T84, SUBSTITUTE(S$1, ""+"", ""\+"")&amp;""[\w &amp;]*, (\d+\.\d+)"")),"""")"),220.29)</f>
        <v>220.29</v>
      </c>
      <c r="T84" s="5" t="s">
        <v>706</v>
      </c>
    </row>
    <row r="85" customFormat="false" ht="15.75" hidden="false" customHeight="false" outlineLevel="0" collapsed="false">
      <c r="A85" s="4" t="n">
        <f aca="false">IFERROR(__xludf.dummyfunction("""COMPUTED_VALUE"""),45530.6666666667)</f>
        <v>45530.6666666667</v>
      </c>
      <c r="B85" s="2" t="n">
        <f aca="false">IFERROR(__xludf.dummyfunction("""COMPUTED_VALUE"""),221.93)</f>
        <v>221.93</v>
      </c>
      <c r="C85" s="2" t="n">
        <f aca="false">IFERROR(__xludf.dummyfunction("""COMPUTED_VALUE"""),222.45)</f>
        <v>222.45</v>
      </c>
      <c r="D85" s="2" t="n">
        <f aca="false">IFERROR(__xludf.dummyfunction("""COMPUTED_VALUE"""),220.08)</f>
        <v>220.08</v>
      </c>
      <c r="E85" s="2" t="n">
        <f aca="false">IFERROR(__xludf.dummyfunction("""COMPUTED_VALUE"""),220.45)</f>
        <v>220.45</v>
      </c>
      <c r="F85" s="3" t="n">
        <f aca="false">IFERROR(__xludf.dummyfunction("if($T85&lt;&gt;"""",VALUE(REGEXEXTRACT(SUBSTITUTE ($T85,F$1&amp;"" CE"",""""), F$1&amp;""[\w &amp;]*, (\d+\.\d+)"")),"""")
"),220)</f>
        <v>220</v>
      </c>
      <c r="G85" s="3" t="n">
        <f aca="false">IFERROR(__xludf.dummyfunction("if($T85&lt;&gt;"""",VALUE(REGEXEXTRACT($T85, G$1&amp;""[\w &amp;]*, (\d+\.\d+)"")),"""")
"),220)</f>
        <v>220</v>
      </c>
      <c r="H85" s="3" t="n">
        <f aca="false">IFERROR(__xludf.dummyfunction("if($T85&lt;&gt;"""",VALUE(REGEXEXTRACT($T85, H$1&amp;""[\w &amp;]*, (\d+\.\d+)"")),"""")
"),227)</f>
        <v>227</v>
      </c>
      <c r="I85" s="3" t="n">
        <f aca="false">IFERROR(__xludf.dummyfunction("if($T85&lt;&gt;"""",VALUE(REGEXEXTRACT(SUBSTITUTE ($T85,I$1&amp;"" CE"",""""), I$1&amp;""[\w &amp;]*, (\d+\.\d+)"")),"""")
"),210)</f>
        <v>210</v>
      </c>
      <c r="J85" s="3" t="n">
        <f aca="false">IFERROR(__xludf.dummyfunction("if($T85&lt;&gt;"""",VALUE(REGEXEXTRACT($T85, J$1&amp;""[\w &amp;]*, (\d+\.\d+)"")),"""")
"),218)</f>
        <v>218</v>
      </c>
      <c r="K85" s="3" t="n">
        <f aca="false">IFERROR(__xludf.dummyfunction("if($T85&lt;&gt;"""",VALUE(REGEXEXTRACT($T85, K$1&amp;""[\w &amp;]*, (\d+\.\d+)"")),"""")
"),208)</f>
        <v>208</v>
      </c>
      <c r="L85" s="3" t="n">
        <f aca="false">IFERROR(__xludf.dummyfunction("if($T85&lt;&gt;"""",VALUE(REGEXEXTRACT(SUBSTITUTE ($T85,L$1&amp;"" CE"",""""), L$1&amp;""[\w &amp;]*, (\d+\.\d+)"")),"""")
"),216)</f>
        <v>216</v>
      </c>
      <c r="M85" s="3" t="n">
        <f aca="false">IFERROR(__xludf.dummyfunction("if($T85&lt;&gt;"""",VALUE(REGEXEXTRACT($T85, M$1&amp;""[\w &amp;]*, (\d+\.\d+)"")),"""")
"),218)</f>
        <v>218</v>
      </c>
      <c r="N85" s="3" t="n">
        <f aca="false">IFERROR(__xludf.dummyfunction("if($T85&lt;&gt;"""",VALUE(REGEXEXTRACT(SUBSTITUTE ($T85,N$1&amp;"" CE"",""""), N$1&amp;""[\w &amp;]*, (\d+\.\d+)"")),"""")
"),220)</f>
        <v>220</v>
      </c>
      <c r="O85" s="3" t="n">
        <f aca="false">IFERROR(__xludf.dummyfunction("if($T85&lt;&gt;"""",VALUE(REGEXEXTRACT($T85, O$1&amp;""[\w &amp;]*, (\d+\.\d+)"")),"""")
"),220)</f>
        <v>220</v>
      </c>
      <c r="P85" s="2" t="n">
        <f aca="false">IFERROR(__xludf.dummyfunction("if($T85&lt;&gt;"""",VALUE(REGEXEXTRACT($T85, P$1&amp;""[\w &amp;]*, (\d+\.\d+)"")),"""")
"),220.3)</f>
        <v>220.3</v>
      </c>
      <c r="Q85" s="2" t="n">
        <f aca="false">IFERROR(__xludf.dummyfunction("if($T85&lt;&gt;"""",VALUE(REGEXEXTRACT($T85, Q$1&amp;""[\w &amp;]*, (\d+\.\d+)"")),"""")
"),219.48)</f>
        <v>219.48</v>
      </c>
      <c r="R85" s="2" t="n">
        <f aca="false">IFERROR(__xludf.dummyfunction("if($T85&lt;&gt;"""",VALUE(REGEXEXTRACT($T85, SUBSTITUTE(R$1, ""+"", ""\+"")&amp;""[\w &amp;]*, (\d+\.\d+)"")),"""")"),224.26)</f>
        <v>224.26</v>
      </c>
      <c r="S85" s="2" t="n">
        <f aca="false">IFERROR(__xludf.dummyfunction("if($T85&lt;&gt;"""",VALUE(REGEXEXTRACT($T85, SUBSTITUTE(S$1, ""+"", ""\+"")&amp;""[\w &amp;]*, (\d+\.\d+)"")),"""")"),225.08)</f>
        <v>225.08</v>
      </c>
      <c r="T85" s="5" t="s">
        <v>707</v>
      </c>
    </row>
    <row r="86" customFormat="false" ht="15.75" hidden="false" customHeight="false" outlineLevel="0" collapsed="false">
      <c r="A86" s="4" t="n">
        <f aca="false">IFERROR(__xludf.dummyfunction("""COMPUTED_VALUE"""),45531.6666666667)</f>
        <v>45531.6666666667</v>
      </c>
      <c r="B86" s="2" t="n">
        <f aca="false">IFERROR(__xludf.dummyfunction("""COMPUTED_VALUE"""),218.91)</f>
        <v>218.91</v>
      </c>
      <c r="C86" s="2" t="n">
        <f aca="false">IFERROR(__xludf.dummyfunction("""COMPUTED_VALUE"""),219.37)</f>
        <v>219.37</v>
      </c>
      <c r="D86" s="2" t="n">
        <f aca="false">IFERROR(__xludf.dummyfunction("""COMPUTED_VALUE"""),217.71)</f>
        <v>217.71</v>
      </c>
      <c r="E86" s="2" t="n">
        <f aca="false">IFERROR(__xludf.dummyfunction("""COMPUTED_VALUE"""),218.74)</f>
        <v>218.74</v>
      </c>
      <c r="F86" s="3" t="n">
        <f aca="false">IFERROR(__xludf.dummyfunction("if($T86&lt;&gt;"""",VALUE(REGEXEXTRACT(SUBSTITUTE ($T86,F$1&amp;"" CE"",""""), F$1&amp;""[\w &amp;]*, (\d+\.\d+)"")),"""")
"),220)</f>
        <v>220</v>
      </c>
      <c r="G86" s="3" t="n">
        <f aca="false">IFERROR(__xludf.dummyfunction("if($T86&lt;&gt;"""",VALUE(REGEXEXTRACT($T86, G$1&amp;""[\w &amp;]*, (\d+\.\d+)"")),"""")
"),221)</f>
        <v>221</v>
      </c>
      <c r="H86" s="3" t="n">
        <f aca="false">IFERROR(__xludf.dummyfunction("if($T86&lt;&gt;"""",VALUE(REGEXEXTRACT($T86, H$1&amp;""[\w &amp;]*, (\d+\.\d+)"")),"""")
"),228)</f>
        <v>228</v>
      </c>
      <c r="I86" s="3" t="n">
        <f aca="false">IFERROR(__xludf.dummyfunction("if($T86&lt;&gt;"""",VALUE(REGEXEXTRACT(SUBSTITUTE ($T86,I$1&amp;"" CE"",""""), I$1&amp;""[\w &amp;]*, (\d+\.\d+)"")),"""")
"),210)</f>
        <v>210</v>
      </c>
      <c r="J86" s="3" t="n">
        <f aca="false">IFERROR(__xludf.dummyfunction("if($T86&lt;&gt;"""",VALUE(REGEXEXTRACT($T86, J$1&amp;""[\w &amp;]*, (\d+\.\d+)"")),"""")
"),218)</f>
        <v>218</v>
      </c>
      <c r="K86" s="3" t="n">
        <f aca="false">IFERROR(__xludf.dummyfunction("if($T86&lt;&gt;"""",VALUE(REGEXEXTRACT($T86, K$1&amp;""[\w &amp;]*, (\d+\.\d+)"")),"""")
"),208)</f>
        <v>208</v>
      </c>
      <c r="L86" s="3" t="n">
        <f aca="false">IFERROR(__xludf.dummyfunction("if($T86&lt;&gt;"""",VALUE(REGEXEXTRACT(SUBSTITUTE ($T86,L$1&amp;"" CE"",""""), L$1&amp;""[\w &amp;]*, (\d+\.\d+)"")),"""")
"),216)</f>
        <v>216</v>
      </c>
      <c r="M86" s="3" t="n">
        <f aca="false">IFERROR(__xludf.dummyfunction("if($T86&lt;&gt;"""",VALUE(REGEXEXTRACT($T86, M$1&amp;""[\w &amp;]*, (\d+\.\d+)"")),"""")
"),220)</f>
        <v>220</v>
      </c>
      <c r="N86" s="3" t="n">
        <f aca="false">IFERROR(__xludf.dummyfunction("if($T86&lt;&gt;"""",VALUE(REGEXEXTRACT(SUBSTITUTE ($T86,N$1&amp;"" CE"",""""), N$1&amp;""[\w &amp;]*, (\d+\.\d+)"")),"""")
"),220)</f>
        <v>220</v>
      </c>
      <c r="O86" s="3" t="n">
        <f aca="false">IFERROR(__xludf.dummyfunction("if($T86&lt;&gt;"""",VALUE(REGEXEXTRACT($T86, O$1&amp;""[\w &amp;]*, (\d+\.\d+)"")),"""")
"),221)</f>
        <v>221</v>
      </c>
      <c r="P86" s="2" t="n">
        <f aca="false">IFERROR(__xludf.dummyfunction("if($T86&lt;&gt;"""",VALUE(REGEXEXTRACT($T86, P$1&amp;""[\w &amp;]*, (\d+\.\d+)"")),"""")
"),218.26)</f>
        <v>218.26</v>
      </c>
      <c r="Q86" s="2" t="n">
        <f aca="false">IFERROR(__xludf.dummyfunction("if($T86&lt;&gt;"""",VALUE(REGEXEXTRACT($T86, Q$1&amp;""[\w &amp;]*, (\d+\.\d+)"")),"""")
"),217.29)</f>
        <v>217.29</v>
      </c>
      <c r="R86" s="2" t="n">
        <f aca="false">IFERROR(__xludf.dummyfunction("if($T86&lt;&gt;"""",VALUE(REGEXEXTRACT($T86, SUBSTITUTE(R$1, ""+"", ""\+"")&amp;""[\w &amp;]*, (\d+\.\d+)"")),"""")"),222.96)</f>
        <v>222.96</v>
      </c>
      <c r="S86" s="2" t="n">
        <f aca="false">IFERROR(__xludf.dummyfunction("if($T86&lt;&gt;"""",VALUE(REGEXEXTRACT($T86, SUBSTITUTE(S$1, ""+"", ""\+"")&amp;""[\w &amp;]*, (\d+\.\d+)"")),"""")"),223.93)</f>
        <v>223.93</v>
      </c>
      <c r="T86" s="5" t="s">
        <v>708</v>
      </c>
    </row>
    <row r="87" customFormat="false" ht="15.75" hidden="false" customHeight="false" outlineLevel="0" collapsed="false">
      <c r="A87" s="4" t="n">
        <f aca="false">IFERROR(__xludf.dummyfunction("""COMPUTED_VALUE"""),45532.6666666667)</f>
        <v>45532.6666666667</v>
      </c>
      <c r="B87" s="2" t="n">
        <f aca="false">IFERROR(__xludf.dummyfunction("""COMPUTED_VALUE"""),217.87)</f>
        <v>217.87</v>
      </c>
      <c r="C87" s="2" t="n">
        <f aca="false">IFERROR(__xludf.dummyfunction("""COMPUTED_VALUE"""),219.12)</f>
        <v>219.12</v>
      </c>
      <c r="D87" s="2" t="n">
        <f aca="false">IFERROR(__xludf.dummyfunction("""COMPUTED_VALUE"""),216.27)</f>
        <v>216.27</v>
      </c>
      <c r="E87" s="2" t="n">
        <f aca="false">IFERROR(__xludf.dummyfunction("""COMPUTED_VALUE"""),217.26)</f>
        <v>217.26</v>
      </c>
      <c r="F87" s="3" t="n">
        <f aca="false">IFERROR(__xludf.dummyfunction("if($T87&lt;&gt;"""",VALUE(REGEXEXTRACT(SUBSTITUTE ($T87,F$1&amp;"" CE"",""""), F$1&amp;""[\w &amp;]*, (\d+\.\d+)"")),"""")
"),220)</f>
        <v>220</v>
      </c>
      <c r="G87" s="3" t="n">
        <f aca="false">IFERROR(__xludf.dummyfunction("if($T87&lt;&gt;"""",VALUE(REGEXEXTRACT($T87, G$1&amp;""[\w &amp;]*, (\d+\.\d+)"")),"""")
"),219)</f>
        <v>219</v>
      </c>
      <c r="H87" s="3" t="n">
        <f aca="false">IFERROR(__xludf.dummyfunction("if($T87&lt;&gt;"""",VALUE(REGEXEXTRACT($T87, H$1&amp;""[\w &amp;]*, (\d+\.\d+)"")),"""")
"),228)</f>
        <v>228</v>
      </c>
      <c r="I87" s="3" t="n">
        <f aca="false">IFERROR(__xludf.dummyfunction("if($T87&lt;&gt;"""",VALUE(REGEXEXTRACT(SUBSTITUTE ($T87,I$1&amp;"" CE"",""""), I$1&amp;""[\w &amp;]*, (\d+\.\d+)"")),"""")
"),210)</f>
        <v>210</v>
      </c>
      <c r="J87" s="3" t="n">
        <f aca="false">IFERROR(__xludf.dummyfunction("if($T87&lt;&gt;"""",VALUE(REGEXEXTRACT($T87, J$1&amp;""[\w &amp;]*, (\d+\.\d+)"")),"""")
"),217)</f>
        <v>217</v>
      </c>
      <c r="K87" s="3" t="n">
        <f aca="false">IFERROR(__xludf.dummyfunction("if($T87&lt;&gt;"""",VALUE(REGEXEXTRACT($T87, K$1&amp;""[\w &amp;]*, (\d+\.\d+)"")),"""")
"),208)</f>
        <v>208</v>
      </c>
      <c r="L87" s="3" t="n">
        <f aca="false">IFERROR(__xludf.dummyfunction("if($T87&lt;&gt;"""",VALUE(REGEXEXTRACT(SUBSTITUTE ($T87,L$1&amp;"" CE"",""""), L$1&amp;""[\w &amp;]*, (\d+\.\d+)"")),"""")
"),217.5)</f>
        <v>217.5</v>
      </c>
      <c r="M87" s="3" t="n">
        <f aca="false">IFERROR(__xludf.dummyfunction("if($T87&lt;&gt;"""",VALUE(REGEXEXTRACT($T87, M$1&amp;""[\w &amp;]*, (\d+\.\d+)"")),"""")
"),218)</f>
        <v>218</v>
      </c>
      <c r="N87" s="3" t="n">
        <f aca="false">IFERROR(__xludf.dummyfunction("if($T87&lt;&gt;"""",VALUE(REGEXEXTRACT(SUBSTITUTE ($T87,N$1&amp;"" CE"",""""), N$1&amp;""[\w &amp;]*, (\d+\.\d+)"")),"""")
"),220)</f>
        <v>220</v>
      </c>
      <c r="O87" s="3" t="n">
        <f aca="false">IFERROR(__xludf.dummyfunction("if($T87&lt;&gt;"""",VALUE(REGEXEXTRACT($T87, O$1&amp;""[\w &amp;]*, (\d+\.\d+)"")),"""")
"),217)</f>
        <v>217</v>
      </c>
      <c r="P87" s="2" t="n">
        <f aca="false">IFERROR(__xludf.dummyfunction("if($T87&lt;&gt;"""",VALUE(REGEXEXTRACT($T87, P$1&amp;""[\w &amp;]*, (\d+\.\d+)"")),"""")
"),214.82)</f>
        <v>214.82</v>
      </c>
      <c r="Q87" s="2" t="n">
        <f aca="false">IFERROR(__xludf.dummyfunction("if($T87&lt;&gt;"""",VALUE(REGEXEXTRACT($T87, Q$1&amp;""[\w &amp;]*, (\d+\.\d+)"")),"""")
"),213.74)</f>
        <v>213.74</v>
      </c>
      <c r="R87" s="2" t="n">
        <f aca="false">IFERROR(__xludf.dummyfunction("if($T87&lt;&gt;"""",VALUE(REGEXEXTRACT($T87, SUBSTITUTE(R$1, ""+"", ""\+"")&amp;""[\w &amp;]*, (\d+\.\d+)"")),"""")"),220.03)</f>
        <v>220.03</v>
      </c>
      <c r="S87" s="2" t="n">
        <f aca="false">IFERROR(__xludf.dummyfunction("if($T87&lt;&gt;"""",VALUE(REGEXEXTRACT($T87, SUBSTITUTE(S$1, ""+"", ""\+"")&amp;""[\w &amp;]*, (\d+\.\d+)"")),"""")"),221.11)</f>
        <v>221.11</v>
      </c>
      <c r="T87" s="5" t="s">
        <v>709</v>
      </c>
    </row>
    <row r="88" customFormat="false" ht="15.75" hidden="false" customHeight="false" outlineLevel="0" collapsed="false">
      <c r="A88" s="4" t="n">
        <f aca="false">IFERROR(__xludf.dummyfunction("""COMPUTED_VALUE"""),45533.6666666667)</f>
        <v>45533.6666666667</v>
      </c>
      <c r="B88" s="2" t="n">
        <f aca="false">IFERROR(__xludf.dummyfunction("""COMPUTED_VALUE"""),218.78)</f>
        <v>218.78</v>
      </c>
      <c r="C88" s="2" t="n">
        <f aca="false">IFERROR(__xludf.dummyfunction("""COMPUTED_VALUE"""),220.98)</f>
        <v>220.98</v>
      </c>
      <c r="D88" s="2" t="n">
        <f aca="false">IFERROR(__xludf.dummyfunction("""COMPUTED_VALUE"""),217.15)</f>
        <v>217.15</v>
      </c>
      <c r="E88" s="2" t="n">
        <f aca="false">IFERROR(__xludf.dummyfunction("""COMPUTED_VALUE"""),218.81)</f>
        <v>218.81</v>
      </c>
      <c r="F88" s="3" t="n">
        <f aca="false">IFERROR(__xludf.dummyfunction("if($T88&lt;&gt;"""",VALUE(REGEXEXTRACT(SUBSTITUTE ($T88,F$1&amp;"" CE"",""""), F$1&amp;""[\w &amp;]*, (\d+\.\d+)"")),"""")
"),220)</f>
        <v>220</v>
      </c>
      <c r="G88" s="3" t="n">
        <f aca="false">IFERROR(__xludf.dummyfunction("if($T88&lt;&gt;"""",VALUE(REGEXEXTRACT($T88, G$1&amp;""[\w &amp;]*, (\d+\.\d+)"")),"""")
"),219)</f>
        <v>219</v>
      </c>
      <c r="H88" s="3" t="n">
        <f aca="false">IFERROR(__xludf.dummyfunction("if($T88&lt;&gt;"""",VALUE(REGEXEXTRACT($T88, H$1&amp;""[\w &amp;]*, (\d+\.\d+)"")),"""")
"),228)</f>
        <v>228</v>
      </c>
      <c r="I88" s="3" t="n">
        <f aca="false">IFERROR(__xludf.dummyfunction("if($T88&lt;&gt;"""",VALUE(REGEXEXTRACT(SUBSTITUTE ($T88,I$1&amp;"" CE"",""""), I$1&amp;""[\w &amp;]*, (\d+\.\d+)"")),"""")
"),210)</f>
        <v>210</v>
      </c>
      <c r="J88" s="3" t="n">
        <f aca="false">IFERROR(__xludf.dummyfunction("if($T88&lt;&gt;"""",VALUE(REGEXEXTRACT($T88, J$1&amp;""[\w &amp;]*, (\d+\.\d+)"")),"""")
"),215)</f>
        <v>215</v>
      </c>
      <c r="K88" s="3" t="n">
        <f aca="false">IFERROR(__xludf.dummyfunction("if($T88&lt;&gt;"""",VALUE(REGEXEXTRACT($T88, K$1&amp;""[\w &amp;]*, (\d+\.\d+)"")),"""")
"),208)</f>
        <v>208</v>
      </c>
      <c r="L88" s="3" t="n">
        <f aca="false">IFERROR(__xludf.dummyfunction("if($T88&lt;&gt;"""",VALUE(REGEXEXTRACT(SUBSTITUTE ($T88,L$1&amp;"" CE"",""""), L$1&amp;""[\w &amp;]*, (\d+\.\d+)"")),"""")
"),217)</f>
        <v>217</v>
      </c>
      <c r="M88" s="3" t="n">
        <f aca="false">IFERROR(__xludf.dummyfunction("if($T88&lt;&gt;"""",VALUE(REGEXEXTRACT($T88, M$1&amp;""[\w &amp;]*, (\d+\.\d+)"")),"""")
"),216)</f>
        <v>216</v>
      </c>
      <c r="N88" s="3" t="n">
        <f aca="false">IFERROR(__xludf.dummyfunction("if($T88&lt;&gt;"""",VALUE(REGEXEXTRACT(SUBSTITUTE ($T88,N$1&amp;"" CE"",""""), N$1&amp;""[\w &amp;]*, (\d+\.\d+)"")),"""")
"),220)</f>
        <v>220</v>
      </c>
      <c r="O88" s="3" t="n">
        <f aca="false">IFERROR(__xludf.dummyfunction("if($T88&lt;&gt;"""",VALUE(REGEXEXTRACT($T88, O$1&amp;""[\w &amp;]*, (\d+\.\d+)"")),"""")
"),217)</f>
        <v>217</v>
      </c>
      <c r="P88" s="2" t="n">
        <f aca="false">IFERROR(__xludf.dummyfunction("if($T88&lt;&gt;"""",VALUE(REGEXEXTRACT($T88, P$1&amp;""[\w &amp;]*, (\d+\.\d+)"")),"""")
"),216.5)</f>
        <v>216.5</v>
      </c>
      <c r="Q88" s="2" t="n">
        <f aca="false">IFERROR(__xludf.dummyfunction("if($T88&lt;&gt;"""",VALUE(REGEXEXTRACT($T88, Q$1&amp;""[\w &amp;]*, (\d+\.\d+)"")),"""")
"),215.56)</f>
        <v>215.56</v>
      </c>
      <c r="R88" s="2" t="n">
        <f aca="false">IFERROR(__xludf.dummyfunction("if($T88&lt;&gt;"""",VALUE(REGEXEXTRACT($T88, SUBSTITUTE(R$1, ""+"", ""\+"")&amp;""[\w &amp;]*, (\d+\.\d+)"")),"""")"),221.02)</f>
        <v>221.02</v>
      </c>
      <c r="S88" s="2" t="n">
        <f aca="false">IFERROR(__xludf.dummyfunction("if($T88&lt;&gt;"""",VALUE(REGEXEXTRACT($T88, SUBSTITUTE(S$1, ""+"", ""\+"")&amp;""[\w &amp;]*, (\d+\.\d+)"")),"""")"),221.96)</f>
        <v>221.96</v>
      </c>
      <c r="T88" s="5" t="s">
        <v>710</v>
      </c>
    </row>
    <row r="89" customFormat="false" ht="15.75" hidden="false" customHeight="false" outlineLevel="0" collapsed="false">
      <c r="A89" s="4" t="n">
        <f aca="false">IFERROR(__xludf.dummyfunction("""COMPUTED_VALUE"""),45534.6666666667)</f>
        <v>45534.6666666667</v>
      </c>
      <c r="B89" s="2" t="n">
        <f aca="false">IFERROR(__xludf.dummyfunction("""COMPUTED_VALUE"""),219.71)</f>
        <v>219.71</v>
      </c>
      <c r="C89" s="2" t="n">
        <f aca="false">IFERROR(__xludf.dummyfunction("""COMPUTED_VALUE"""),220.5)</f>
        <v>220.5</v>
      </c>
      <c r="D89" s="2" t="n">
        <f aca="false">IFERROR(__xludf.dummyfunction("""COMPUTED_VALUE"""),217.4)</f>
        <v>217.4</v>
      </c>
      <c r="E89" s="2" t="n">
        <f aca="false">IFERROR(__xludf.dummyfunction("""COMPUTED_VALUE"""),220.08)</f>
        <v>220.08</v>
      </c>
      <c r="F89" s="3" t="n">
        <f aca="false">IFERROR(__xludf.dummyfunction("if($T89&lt;&gt;"""",VALUE(REGEXEXTRACT(SUBSTITUTE ($T89,F$1&amp;"" CE"",""""), F$1&amp;""[\w &amp;]*, (\d+\.\d+)"")),"""")
"),220)</f>
        <v>220</v>
      </c>
      <c r="G89" s="3" t="n">
        <f aca="false">IFERROR(__xludf.dummyfunction("if($T89&lt;&gt;"""",VALUE(REGEXEXTRACT($T89, G$1&amp;""[\w &amp;]*, (\d+\.\d+)"")),"""")
"),220)</f>
        <v>220</v>
      </c>
      <c r="H89" s="3" t="n">
        <f aca="false">IFERROR(__xludf.dummyfunction("if($T89&lt;&gt;"""",VALUE(REGEXEXTRACT($T89, H$1&amp;""[\w &amp;]*, (\d+\.\d+)"")),"""")
"),222)</f>
        <v>222</v>
      </c>
      <c r="I89" s="3" t="n">
        <f aca="false">IFERROR(__xludf.dummyfunction("if($T89&lt;&gt;"""",VALUE(REGEXEXTRACT(SUBSTITUTE ($T89,I$1&amp;"" CE"",""""), I$1&amp;""[\w &amp;]*, (\d+\.\d+)"")),"""")
"),210)</f>
        <v>210</v>
      </c>
      <c r="J89" s="3" t="n">
        <f aca="false">IFERROR(__xludf.dummyfunction("if($T89&lt;&gt;"""",VALUE(REGEXEXTRACT($T89, J$1&amp;""[\w &amp;]*, (\d+\.\d+)"")),"""")
"),216)</f>
        <v>216</v>
      </c>
      <c r="K89" s="3" t="n">
        <f aca="false">IFERROR(__xludf.dummyfunction("if($T89&lt;&gt;"""",VALUE(REGEXEXTRACT($T89, K$1&amp;""[\w &amp;]*, (\d+\.\d+)"")),"""")
"),208)</f>
        <v>208</v>
      </c>
      <c r="L89" s="3" t="n">
        <f aca="false">IFERROR(__xludf.dummyfunction("if($T89&lt;&gt;"""",VALUE(REGEXEXTRACT(SUBSTITUTE ($T89,L$1&amp;"" CE"",""""), L$1&amp;""[\w &amp;]*, (\d+\.\d+)"")),"""")
"),217)</f>
        <v>217</v>
      </c>
      <c r="M89" s="3" t="n">
        <f aca="false">IFERROR(__xludf.dummyfunction("if($T89&lt;&gt;"""",VALUE(REGEXEXTRACT($T89, M$1&amp;""[\w &amp;]*, (\d+\.\d+)"")),"""")
"),217)</f>
        <v>217</v>
      </c>
      <c r="N89" s="3" t="n">
        <f aca="false">IFERROR(__xludf.dummyfunction("if($T89&lt;&gt;"""",VALUE(REGEXEXTRACT(SUBSTITUTE ($T89,N$1&amp;"" CE"",""""), N$1&amp;""[\w &amp;]*, (\d+\.\d+)"")),"""")
"),220)</f>
        <v>220</v>
      </c>
      <c r="O89" s="3" t="n">
        <f aca="false">IFERROR(__xludf.dummyfunction("if($T89&lt;&gt;"""",VALUE(REGEXEXTRACT($T89, O$1&amp;""[\w &amp;]*, (\d+\.\d+)"")),"""")
"),220)</f>
        <v>220</v>
      </c>
      <c r="P89" s="2" t="n">
        <f aca="false">IFERROR(__xludf.dummyfunction("if($T89&lt;&gt;"""",VALUE(REGEXEXTRACT($T89, P$1&amp;""[\w &amp;]*, (\d+\.\d+)"")),"""")
"),217.52)</f>
        <v>217.52</v>
      </c>
      <c r="Q89" s="2" t="n">
        <f aca="false">IFERROR(__xludf.dummyfunction("if($T89&lt;&gt;"""",VALUE(REGEXEXTRACT($T89, Q$1&amp;""[\w &amp;]*, (\d+\.\d+)"")),"""")
"),214.54)</f>
        <v>214.54</v>
      </c>
      <c r="R89" s="2" t="n">
        <f aca="false">IFERROR(__xludf.dummyfunction("if($T89&lt;&gt;"""",VALUE(REGEXEXTRACT($T89, SUBSTITUTE(R$1, ""+"", ""\+"")&amp;""[\w &amp;]*, (\d+\.\d+)"")),"""")"),222.34)</f>
        <v>222.34</v>
      </c>
      <c r="S89" s="2" t="n">
        <f aca="false">IFERROR(__xludf.dummyfunction("if($T89&lt;&gt;"""",VALUE(REGEXEXTRACT($T89, SUBSTITUTE(S$1, ""+"", ""\+"")&amp;""[\w &amp;]*, (\d+\.\d+)"")),"""")"),225.32)</f>
        <v>225.32</v>
      </c>
      <c r="T89" s="5" t="s">
        <v>711</v>
      </c>
    </row>
    <row r="90" customFormat="false" ht="15.75" hidden="false" customHeight="false" outlineLevel="0" collapsed="false">
      <c r="A90" s="4" t="n">
        <f aca="false">IFERROR(__xludf.dummyfunction("""COMPUTED_VALUE"""),45538.6666666667)</f>
        <v>45538.6666666667</v>
      </c>
      <c r="B90" s="2" t="n">
        <f aca="false">IFERROR(__xludf.dummyfunction("""COMPUTED_VALUE"""),218.13)</f>
        <v>218.13</v>
      </c>
      <c r="C90" s="2" t="n">
        <f aca="false">IFERROR(__xludf.dummyfunction("""COMPUTED_VALUE"""),219.37)</f>
        <v>219.37</v>
      </c>
      <c r="D90" s="2" t="n">
        <f aca="false">IFERROR(__xludf.dummyfunction("""COMPUTED_VALUE"""),212.91)</f>
        <v>212.91</v>
      </c>
      <c r="E90" s="2" t="n">
        <f aca="false">IFERROR(__xludf.dummyfunction("""COMPUTED_VALUE"""),213.35)</f>
        <v>213.35</v>
      </c>
      <c r="F90" s="3" t="n">
        <f aca="false">IFERROR(__xludf.dummyfunction("if($T90&lt;&gt;"""",VALUE(REGEXEXTRACT(SUBSTITUTE ($T90,F$1&amp;"" CE"",""""), F$1&amp;""[\w &amp;]*, (\d+\.\d+)"")),"""")
"),220)</f>
        <v>220</v>
      </c>
      <c r="G90" s="3" t="n">
        <f aca="false">IFERROR(__xludf.dummyfunction("if($T90&lt;&gt;"""",VALUE(REGEXEXTRACT($T90, G$1&amp;""[\w &amp;]*, (\d+\.\d+)"")),"""")
"),222)</f>
        <v>222</v>
      </c>
      <c r="H90" s="3" t="n">
        <f aca="false">IFERROR(__xludf.dummyfunction("if($T90&lt;&gt;"""",VALUE(REGEXEXTRACT($T90, H$1&amp;""[\w &amp;]*, (\d+\.\d+)"")),"""")
"),228)</f>
        <v>228</v>
      </c>
      <c r="I90" s="3" t="n">
        <f aca="false">IFERROR(__xludf.dummyfunction("if($T90&lt;&gt;"""",VALUE(REGEXEXTRACT(SUBSTITUTE ($T90,I$1&amp;"" CE"",""""), I$1&amp;""[\w &amp;]*, (\d+\.\d+)"")),"""")
"),210)</f>
        <v>210</v>
      </c>
      <c r="J90" s="3" t="n">
        <f aca="false">IFERROR(__xludf.dummyfunction("if($T90&lt;&gt;"""",VALUE(REGEXEXTRACT($T90, J$1&amp;""[\w &amp;]*, (\d+\.\d+)"")),"""")
"),218)</f>
        <v>218</v>
      </c>
      <c r="K90" s="3" t="n">
        <f aca="false">IFERROR(__xludf.dummyfunction("if($T90&lt;&gt;"""",VALUE(REGEXEXTRACT($T90, K$1&amp;""[\w &amp;]*, (\d+\.\d+)"")),"""")
"),208)</f>
        <v>208</v>
      </c>
      <c r="L90" s="3" t="n">
        <f aca="false">IFERROR(__xludf.dummyfunction("if($T90&lt;&gt;"""",VALUE(REGEXEXTRACT(SUBSTITUTE ($T90,L$1&amp;"" CE"",""""), L$1&amp;""[\w &amp;]*, (\d+\.\d+)"")),"""")
"),219)</f>
        <v>219</v>
      </c>
      <c r="M90" s="3" t="n">
        <f aca="false">IFERROR(__xludf.dummyfunction("if($T90&lt;&gt;"""",VALUE(REGEXEXTRACT($T90, M$1&amp;""[\w &amp;]*, (\d+\.\d+)"")),"""")
"),218)</f>
        <v>218</v>
      </c>
      <c r="N90" s="3" t="n">
        <f aca="false">IFERROR(__xludf.dummyfunction("if($T90&lt;&gt;"""",VALUE(REGEXEXTRACT(SUBSTITUTE ($T90,N$1&amp;"" CE"",""""), N$1&amp;""[\w &amp;]*, (\d+\.\d+)"")),"""")
"),220)</f>
        <v>220</v>
      </c>
      <c r="O90" s="3" t="n">
        <f aca="false">IFERROR(__xludf.dummyfunction("if($T90&lt;&gt;"""",VALUE(REGEXEXTRACT($T90, O$1&amp;""[\w &amp;]*, (\d+\.\d+)"")),"""")
"),222)</f>
        <v>222</v>
      </c>
      <c r="P90" s="2" t="n">
        <f aca="false">IFERROR(__xludf.dummyfunction("if($T90&lt;&gt;"""",VALUE(REGEXEXTRACT($T90, P$1&amp;""[\w &amp;]*, (\d+\.\d+)"")),"""")
"),215.95)</f>
        <v>215.95</v>
      </c>
      <c r="Q90" s="2" t="n">
        <f aca="false">IFERROR(__xludf.dummyfunction("if($T90&lt;&gt;"""",VALUE(REGEXEXTRACT($T90, Q$1&amp;""[\w &amp;]*, (\d+\.\d+)"")),"""")
"),215.13)</f>
        <v>215.13</v>
      </c>
      <c r="R90" s="2" t="n">
        <f aca="false">IFERROR(__xludf.dummyfunction("if($T90&lt;&gt;"""",VALUE(REGEXEXTRACT($T90, SUBSTITUTE(R$1, ""+"", ""\+"")&amp;""[\w &amp;]*, (\d+\.\d+)"")),"""")"),219.93)</f>
        <v>219.93</v>
      </c>
      <c r="S90" s="2" t="n">
        <f aca="false">IFERROR(__xludf.dummyfunction("if($T90&lt;&gt;"""",VALUE(REGEXEXTRACT($T90, SUBSTITUTE(S$1, ""+"", ""\+"")&amp;""[\w &amp;]*, (\d+\.\d+)"")),"""")"),220.75)</f>
        <v>220.75</v>
      </c>
      <c r="T90" s="5" t="s">
        <v>712</v>
      </c>
    </row>
    <row r="91" customFormat="false" ht="15.75" hidden="false" customHeight="false" outlineLevel="0" collapsed="false">
      <c r="A91" s="4" t="n">
        <f aca="false">IFERROR(__xludf.dummyfunction("""COMPUTED_VALUE"""),45539.6666666667)</f>
        <v>45539.6666666667</v>
      </c>
      <c r="B91" s="2" t="n">
        <f aca="false">IFERROR(__xludf.dummyfunction("""COMPUTED_VALUE"""),212.76)</f>
        <v>212.76</v>
      </c>
      <c r="C91" s="2" t="n">
        <f aca="false">IFERROR(__xludf.dummyfunction("""COMPUTED_VALUE"""),215.37)</f>
        <v>215.37</v>
      </c>
      <c r="D91" s="2" t="n">
        <f aca="false">IFERROR(__xludf.dummyfunction("""COMPUTED_VALUE"""),211.7)</f>
        <v>211.7</v>
      </c>
      <c r="E91" s="2" t="n">
        <f aca="false">IFERROR(__xludf.dummyfunction("""COMPUTED_VALUE"""),212.99)</f>
        <v>212.99</v>
      </c>
      <c r="F91" s="3" t="n">
        <f aca="false">IFERROR(__xludf.dummyfunction("if($T91&lt;&gt;"""",VALUE(REGEXEXTRACT(SUBSTITUTE ($T91,F$1&amp;"" CE"",""""), F$1&amp;""[\w &amp;]*, (\d+\.\d+)"")),"""")
"),220)</f>
        <v>220</v>
      </c>
      <c r="G91" s="3" t="n">
        <f aca="false">IFERROR(__xludf.dummyfunction("if($T91&lt;&gt;"""",VALUE(REGEXEXTRACT($T91, G$1&amp;""[\w &amp;]*, (\d+\.\d+)"")),"""")
"),218)</f>
        <v>218</v>
      </c>
      <c r="H91" s="3" t="n">
        <f aca="false">IFERROR(__xludf.dummyfunction("if($T91&lt;&gt;"""",VALUE(REGEXEXTRACT($T91, H$1&amp;""[\w &amp;]*, (\d+\.\d+)"")),"""")
"),228)</f>
        <v>228</v>
      </c>
      <c r="I91" s="3" t="n">
        <f aca="false">IFERROR(__xludf.dummyfunction("if($T91&lt;&gt;"""",VALUE(REGEXEXTRACT(SUBSTITUTE ($T91,I$1&amp;"" CE"",""""), I$1&amp;""[\w &amp;]*, (\d+\.\d+)"")),"""")
"),210)</f>
        <v>210</v>
      </c>
      <c r="J91" s="3" t="n">
        <f aca="false">IFERROR(__xludf.dummyfunction("if($T91&lt;&gt;"""",VALUE(REGEXEXTRACT($T91, J$1&amp;""[\w &amp;]*, (\d+\.\d+)"")),"""")
"),217)</f>
        <v>217</v>
      </c>
      <c r="K91" s="3" t="n">
        <f aca="false">IFERROR(__xludf.dummyfunction("if($T91&lt;&gt;"""",VALUE(REGEXEXTRACT($T91, K$1&amp;""[\w &amp;]*, (\d+\.\d+)"")),"""")
"),208)</f>
        <v>208</v>
      </c>
      <c r="L91" s="3" t="n">
        <f aca="false">IFERROR(__xludf.dummyfunction("if($T91&lt;&gt;"""",VALUE(REGEXEXTRACT(SUBSTITUTE ($T91,L$1&amp;"" CE"",""""), L$1&amp;""[\w &amp;]*, (\d+\.\d+)"")),"""")
"),217.5)</f>
        <v>217.5</v>
      </c>
      <c r="M91" s="3" t="n">
        <f aca="false">IFERROR(__xludf.dummyfunction("if($T91&lt;&gt;"""",VALUE(REGEXEXTRACT($T91, M$1&amp;""[\w &amp;]*, (\d+\.\d+)"")),"""")
"),217)</f>
        <v>217</v>
      </c>
      <c r="N91" s="3" t="n">
        <f aca="false">IFERROR(__xludf.dummyfunction("if($T91&lt;&gt;"""",VALUE(REGEXEXTRACT(SUBSTITUTE ($T91,N$1&amp;"" CE"",""""), N$1&amp;""[\w &amp;]*, (\d+\.\d+)"")),"""")
"),210)</f>
        <v>210</v>
      </c>
      <c r="O91" s="3" t="n">
        <f aca="false">IFERROR(__xludf.dummyfunction("if($T91&lt;&gt;"""",VALUE(REGEXEXTRACT($T91, O$1&amp;""[\w &amp;]*, (\d+\.\d+)"")),"""")
"),217)</f>
        <v>217</v>
      </c>
      <c r="P91" s="2" t="n">
        <f aca="false">IFERROR(__xludf.dummyfunction("if($T91&lt;&gt;"""",VALUE(REGEXEXTRACT($T91, P$1&amp;""[\w &amp;]*, (\d+\.\d+)"")),"""")
"),209.73)</f>
        <v>209.73</v>
      </c>
      <c r="Q91" s="2" t="n">
        <f aca="false">IFERROR(__xludf.dummyfunction("if($T91&lt;&gt;"""",VALUE(REGEXEXTRACT($T91, Q$1&amp;""[\w &amp;]*, (\d+\.\d+)"")),"""")
"),208.59)</f>
        <v>208.59</v>
      </c>
      <c r="R91" s="2" t="n">
        <f aca="false">IFERROR(__xludf.dummyfunction("if($T91&lt;&gt;"""",VALUE(REGEXEXTRACT($T91, SUBSTITUTE(R$1, ""+"", ""\+"")&amp;""[\w &amp;]*, (\d+\.\d+)"")),"""")"),215.21)</f>
        <v>215.21</v>
      </c>
      <c r="S91" s="2" t="n">
        <f aca="false">IFERROR(__xludf.dummyfunction("if($T91&lt;&gt;"""",VALUE(REGEXEXTRACT($T91, SUBSTITUTE(S$1, ""+"", ""\+"")&amp;""[\w &amp;]*, (\d+\.\d+)"")),"""")"),216.35)</f>
        <v>216.35</v>
      </c>
      <c r="T91" s="5" t="s">
        <v>713</v>
      </c>
    </row>
    <row r="92" customFormat="false" ht="15.75" hidden="false" customHeight="false" outlineLevel="0" collapsed="false">
      <c r="A92" s="4" t="n">
        <f aca="false">IFERROR(__xludf.dummyfunction("""COMPUTED_VALUE"""),45540.6666666667)</f>
        <v>45540.6666666667</v>
      </c>
      <c r="B92" s="2" t="n">
        <f aca="false">IFERROR(__xludf.dummyfunction("""COMPUTED_VALUE"""),213.54)</f>
        <v>213.54</v>
      </c>
      <c r="C92" s="2" t="n">
        <f aca="false">IFERROR(__xludf.dummyfunction("""COMPUTED_VALUE"""),214.03)</f>
        <v>214.03</v>
      </c>
      <c r="D92" s="2" t="n">
        <f aca="false">IFERROR(__xludf.dummyfunction("""COMPUTED_VALUE"""),210.92)</f>
        <v>210.92</v>
      </c>
      <c r="E92" s="2" t="n">
        <f aca="false">IFERROR(__xludf.dummyfunction("""COMPUTED_VALUE"""),211.93)</f>
        <v>211.93</v>
      </c>
      <c r="F92" s="3" t="n">
        <f aca="false">IFERROR(__xludf.dummyfunction("if($T92&lt;&gt;"""",VALUE(REGEXEXTRACT(SUBSTITUTE ($T92,F$1&amp;"" CE"",""""), F$1&amp;""[\w &amp;]*, (\d+\.\d+)"")),"""")
"),220)</f>
        <v>220</v>
      </c>
      <c r="G92" s="3" t="n">
        <f aca="false">IFERROR(__xludf.dummyfunction("if($T92&lt;&gt;"""",VALUE(REGEXEXTRACT($T92, G$1&amp;""[\w &amp;]*, (\d+\.\d+)"")),"""")
"),215)</f>
        <v>215</v>
      </c>
      <c r="H92" s="3" t="n">
        <f aca="false">IFERROR(__xludf.dummyfunction("if($T92&lt;&gt;"""",VALUE(REGEXEXTRACT($T92, H$1&amp;""[\w &amp;]*, (\d+\.\d+)"")),"""")
"),222)</f>
        <v>222</v>
      </c>
      <c r="I92" s="3" t="n">
        <f aca="false">IFERROR(__xludf.dummyfunction("if($T92&lt;&gt;"""",VALUE(REGEXEXTRACT(SUBSTITUTE ($T92,I$1&amp;"" CE"",""""), I$1&amp;""[\w &amp;]*, (\d+\.\d+)"")),"""")
"),210)</f>
        <v>210</v>
      </c>
      <c r="J92" s="3" t="n">
        <f aca="false">IFERROR(__xludf.dummyfunction("if($T92&lt;&gt;"""",VALUE(REGEXEXTRACT($T92, J$1&amp;""[\w &amp;]*, (\d+\.\d+)"")),"""")
"),210)</f>
        <v>210</v>
      </c>
      <c r="K92" s="3" t="n">
        <f aca="false">IFERROR(__xludf.dummyfunction("if($T92&lt;&gt;"""",VALUE(REGEXEXTRACT($T92, K$1&amp;""[\w &amp;]*, (\d+\.\d+)"")),"""")
"),208)</f>
        <v>208</v>
      </c>
      <c r="L92" s="3" t="n">
        <f aca="false">IFERROR(__xludf.dummyfunction("if($T92&lt;&gt;"""",VALUE(REGEXEXTRACT(SUBSTITUTE ($T92,L$1&amp;"" CE"",""""), L$1&amp;""[\w &amp;]*, (\d+\.\d+)"")),"""")
"),216)</f>
        <v>216</v>
      </c>
      <c r="M92" s="3" t="n">
        <f aca="false">IFERROR(__xludf.dummyfunction("if($T92&lt;&gt;"""",VALUE(REGEXEXTRACT($T92, M$1&amp;""[\w &amp;]*, (\d+\.\d+)"")),"""")
"),214)</f>
        <v>214</v>
      </c>
      <c r="N92" s="3" t="n">
        <f aca="false">IFERROR(__xludf.dummyfunction("if($T92&lt;&gt;"""",VALUE(REGEXEXTRACT(SUBSTITUTE ($T92,N$1&amp;"" CE"",""""), N$1&amp;""[\w &amp;]*, (\d+\.\d+)"")),"""")
"),210)</f>
        <v>210</v>
      </c>
      <c r="O92" s="3" t="n">
        <f aca="false">IFERROR(__xludf.dummyfunction("if($T92&lt;&gt;"""",VALUE(REGEXEXTRACT($T92, O$1&amp;""[\w &amp;]*, (\d+\.\d+)"")),"""")
"),214)</f>
        <v>214</v>
      </c>
      <c r="P92" s="2" t="n">
        <f aca="false">IFERROR(__xludf.dummyfunction("if($T92&lt;&gt;"""",VALUE(REGEXEXTRACT($T92, P$1&amp;""[\w &amp;]*, (\d+\.\d+)"")),"""")
"),210.22)</f>
        <v>210.22</v>
      </c>
      <c r="Q92" s="2" t="n">
        <f aca="false">IFERROR(__xludf.dummyfunction("if($T92&lt;&gt;"""",VALUE(REGEXEXTRACT($T92, Q$1&amp;""[\w &amp;]*, (\d+\.\d+)"")),"""")
"),209.1)</f>
        <v>209.1</v>
      </c>
      <c r="R92" s="2" t="n">
        <f aca="false">IFERROR(__xludf.dummyfunction("if($T92&lt;&gt;"""",VALUE(REGEXEXTRACT($T92, SUBSTITUTE(R$1, ""+"", ""\+"")&amp;""[\w &amp;]*, (\d+\.\d+)"")),"""")"),215.58)</f>
        <v>215.58</v>
      </c>
      <c r="S92" s="2" t="n">
        <f aca="false">IFERROR(__xludf.dummyfunction("if($T92&lt;&gt;"""",VALUE(REGEXEXTRACT($T92, SUBSTITUTE(S$1, ""+"", ""\+"")&amp;""[\w &amp;]*, (\d+\.\d+)"")),"""")"),216.7)</f>
        <v>216.7</v>
      </c>
      <c r="T92" s="5" t="s">
        <v>714</v>
      </c>
    </row>
    <row r="93" customFormat="false" ht="15.75" hidden="false" customHeight="false" outlineLevel="0" collapsed="false">
      <c r="A93" s="4" t="n">
        <f aca="false">IFERROR(__xludf.dummyfunction("""COMPUTED_VALUE"""),45541.6666666667)</f>
        <v>45541.6666666667</v>
      </c>
      <c r="B93" s="2" t="n">
        <f aca="false">IFERROR(__xludf.dummyfunction("""COMPUTED_VALUE"""),211.93)</f>
        <v>211.93</v>
      </c>
      <c r="C93" s="2" t="n">
        <f aca="false">IFERROR(__xludf.dummyfunction("""COMPUTED_VALUE"""),213.19)</f>
        <v>213.19</v>
      </c>
      <c r="D93" s="2" t="n">
        <f aca="false">IFERROR(__xludf.dummyfunction("""COMPUTED_VALUE"""),207.14)</f>
        <v>207.14</v>
      </c>
      <c r="E93" s="2" t="n">
        <f aca="false">IFERROR(__xludf.dummyfunction("""COMPUTED_VALUE"""),207.9)</f>
        <v>207.9</v>
      </c>
      <c r="F93" s="3" t="n">
        <f aca="false">IFERROR(__xludf.dummyfunction("if($T93&lt;&gt;"""",VALUE(REGEXEXTRACT(SUBSTITUTE ($T93,F$1&amp;"" CE"",""""), F$1&amp;""[\w &amp;]*, (\d+\.\d+)"")),"""")
"),220)</f>
        <v>220</v>
      </c>
      <c r="G93" s="3" t="n">
        <f aca="false">IFERROR(__xludf.dummyfunction("if($T93&lt;&gt;"""",VALUE(REGEXEXTRACT($T93, G$1&amp;""[\w &amp;]*, (\d+\.\d+)"")),"""")
"),220)</f>
        <v>220</v>
      </c>
      <c r="H93" s="3" t="n">
        <f aca="false">IFERROR(__xludf.dummyfunction("if($T93&lt;&gt;"""",VALUE(REGEXEXTRACT($T93, H$1&amp;""[\w &amp;]*, (\d+\.\d+)"")),"""")
"),222)</f>
        <v>222</v>
      </c>
      <c r="I93" s="3" t="n">
        <f aca="false">IFERROR(__xludf.dummyfunction("if($T93&lt;&gt;"""",VALUE(REGEXEXTRACT(SUBSTITUTE ($T93,I$1&amp;"" CE"",""""), I$1&amp;""[\w &amp;]*, (\d+\.\d+)"")),"""")
"),210)</f>
        <v>210</v>
      </c>
      <c r="J93" s="3" t="n">
        <f aca="false">IFERROR(__xludf.dummyfunction("if($T93&lt;&gt;"""",VALUE(REGEXEXTRACT($T93, J$1&amp;""[\w &amp;]*, (\d+\.\d+)"")),"""")
"),207)</f>
        <v>207</v>
      </c>
      <c r="K93" s="3" t="n">
        <f aca="false">IFERROR(__xludf.dummyfunction("if($T93&lt;&gt;"""",VALUE(REGEXEXTRACT($T93, K$1&amp;""[\w &amp;]*, (\d+\.\d+)"")),"""")
"),208)</f>
        <v>208</v>
      </c>
      <c r="L93" s="3" t="n">
        <f aca="false">IFERROR(__xludf.dummyfunction("if($T93&lt;&gt;"""",VALUE(REGEXEXTRACT(SUBSTITUTE ($T93,L$1&amp;"" CE"",""""), L$1&amp;""[\w &amp;]*, (\d+\.\d+)"")),"""")
"),213)</f>
        <v>213</v>
      </c>
      <c r="M93" s="3" t="n">
        <f aca="false">IFERROR(__xludf.dummyfunction("if($T93&lt;&gt;"""",VALUE(REGEXEXTRACT($T93, M$1&amp;""[\w &amp;]*, (\d+\.\d+)"")),"""")
"),212)</f>
        <v>212</v>
      </c>
      <c r="N93" s="3" t="n">
        <f aca="false">IFERROR(__xludf.dummyfunction("if($T93&lt;&gt;"""",VALUE(REGEXEXTRACT(SUBSTITUTE ($T93,N$1&amp;"" CE"",""""), N$1&amp;""[\w &amp;]*, (\d+\.\d+)"")),"""")
"),210)</f>
        <v>210</v>
      </c>
      <c r="O93" s="3" t="n">
        <f aca="false">IFERROR(__xludf.dummyfunction("if($T93&lt;&gt;"""",VALUE(REGEXEXTRACT($T93, O$1&amp;""[\w &amp;]*, (\d+\.\d+)"")),"""")
"),215)</f>
        <v>215</v>
      </c>
      <c r="P93" s="2" t="n">
        <f aca="false">IFERROR(__xludf.dummyfunction("if($T93&lt;&gt;"""",VALUE(REGEXEXTRACT($T93, P$1&amp;""[\w &amp;]*, (\d+\.\d+)"")),"""")
"),207.6)</f>
        <v>207.6</v>
      </c>
      <c r="Q93" s="2" t="n">
        <f aca="false">IFERROR(__xludf.dummyfunction("if($T93&lt;&gt;"""",VALUE(REGEXEXTRACT($T93, Q$1&amp;""[\w &amp;]*, (\d+\.\d+)"")),"""")
"),204.53)</f>
        <v>204.53</v>
      </c>
      <c r="R93" s="2" t="n">
        <f aca="false">IFERROR(__xludf.dummyfunction("if($T93&lt;&gt;"""",VALUE(REGEXEXTRACT($T93, SUBSTITUTE(R$1, ""+"", ""\+"")&amp;""[\w &amp;]*, (\d+\.\d+)"")),"""")"),213.74)</f>
        <v>213.74</v>
      </c>
      <c r="S93" s="2" t="n">
        <f aca="false">IFERROR(__xludf.dummyfunction("if($T93&lt;&gt;"""",VALUE(REGEXEXTRACT($T93, SUBSTITUTE(S$1, ""+"", ""\+"")&amp;""[\w &amp;]*, (\d+\.\d+)"")),"""")"),216.81)</f>
        <v>216.81</v>
      </c>
      <c r="T93" s="5" t="s">
        <v>715</v>
      </c>
    </row>
    <row r="94" customFormat="false" ht="15.75" hidden="false" customHeight="false" outlineLevel="0" collapsed="false">
      <c r="A94" s="4" t="n">
        <f aca="false">IFERROR(__xludf.dummyfunction("""COMPUTED_VALUE"""),45544.6666666667)</f>
        <v>45544.6666666667</v>
      </c>
      <c r="B94" s="2" t="n">
        <f aca="false">IFERROR(__xludf.dummyfunction("""COMPUTED_VALUE"""),208.15)</f>
        <v>208.15</v>
      </c>
      <c r="C94" s="2" t="n">
        <f aca="false">IFERROR(__xludf.dummyfunction("""COMPUTED_VALUE"""),210.26)</f>
        <v>210.26</v>
      </c>
      <c r="D94" s="2" t="n">
        <f aca="false">IFERROR(__xludf.dummyfunction("""COMPUTED_VALUE"""),207.52)</f>
        <v>207.52</v>
      </c>
      <c r="E94" s="2" t="n">
        <f aca="false">IFERROR(__xludf.dummyfunction("""COMPUTED_VALUE"""),208.48)</f>
        <v>208.48</v>
      </c>
      <c r="F94" s="3" t="n">
        <f aca="false">IFERROR(__xludf.dummyfunction("if($T94&lt;&gt;"""",VALUE(REGEXEXTRACT(SUBSTITUTE ($T94,F$1&amp;"" CE"",""""), F$1&amp;""[\w &amp;]*, (\d+\.\d+)"")),"""")
"),210)</f>
        <v>210</v>
      </c>
      <c r="G94" s="3" t="n">
        <f aca="false">IFERROR(__xludf.dummyfunction("if($T94&lt;&gt;"""",VALUE(REGEXEXTRACT($T94, G$1&amp;""[\w &amp;]*, (\d+\.\d+)"")),"""")
"),213)</f>
        <v>213</v>
      </c>
      <c r="H94" s="3" t="str">
        <f aca="false">IFERROR(__xludf.dummyfunction("if($T94&lt;&gt;"""",VALUE(REGEXEXTRACT($T94, H$1&amp;""[\w &amp;]*, (\d+\.\d+)"")),"""")
"),"#N/A")</f>
        <v>#N/A</v>
      </c>
      <c r="I94" s="3" t="n">
        <f aca="false">IFERROR(__xludf.dummyfunction("if($T94&lt;&gt;"""",VALUE(REGEXEXTRACT(SUBSTITUTE ($T94,I$1&amp;"" CE"",""""), I$1&amp;""[\w &amp;]*, (\d+\.\d+)"")),"""")
"),210)</f>
        <v>210</v>
      </c>
      <c r="J94" s="3" t="n">
        <f aca="false">IFERROR(__xludf.dummyfunction("if($T94&lt;&gt;"""",VALUE(REGEXEXTRACT($T94, J$1&amp;""[\w &amp;]*, (\d+\.\d+)"")),"""")
"),205)</f>
        <v>205</v>
      </c>
      <c r="K94" s="3" t="n">
        <f aca="false">IFERROR(__xludf.dummyfunction("if($T94&lt;&gt;"""",VALUE(REGEXEXTRACT($T94, K$1&amp;""[\w &amp;]*, (\d+\.\d+)"")),"""")
"),200)</f>
        <v>200</v>
      </c>
      <c r="L94" s="3" t="n">
        <f aca="false">IFERROR(__xludf.dummyfunction("if($T94&lt;&gt;"""",VALUE(REGEXEXTRACT(SUBSTITUTE ($T94,L$1&amp;"" CE"",""""), L$1&amp;""[\w &amp;]*, (\d+\.\d+)"")),"""")
"),216)</f>
        <v>216</v>
      </c>
      <c r="M94" s="3" t="n">
        <f aca="false">IFERROR(__xludf.dummyfunction("if($T94&lt;&gt;"""",VALUE(REGEXEXTRACT($T94, M$1&amp;""[\w &amp;]*, (\d+\.\d+)"")),"""")
"),211)</f>
        <v>211</v>
      </c>
      <c r="N94" s="3" t="n">
        <f aca="false">IFERROR(__xludf.dummyfunction("if($T94&lt;&gt;"""",VALUE(REGEXEXTRACT(SUBSTITUTE ($T94,N$1&amp;"" CE"",""""), N$1&amp;""[\w &amp;]*, (\d+\.\d+)"")),"""")
"),210)</f>
        <v>210</v>
      </c>
      <c r="O94" s="3" t="n">
        <f aca="false">IFERROR(__xludf.dummyfunction("if($T94&lt;&gt;"""",VALUE(REGEXEXTRACT($T94, O$1&amp;""[\w &amp;]*, (\d+\.\d+)"")),"""")
"),210)</f>
        <v>210</v>
      </c>
      <c r="P94" s="2" t="n">
        <f aca="false">IFERROR(__xludf.dummyfunction("if($T94&lt;&gt;"""",VALUE(REGEXEXTRACT($T94, P$1&amp;""[\w &amp;]*, (\d+\.\d+)"")),"""")
"),205.75)</f>
        <v>205.75</v>
      </c>
      <c r="Q94" s="2" t="n">
        <f aca="false">IFERROR(__xludf.dummyfunction("if($T94&lt;&gt;"""",VALUE(REGEXEXTRACT($T94, Q$1&amp;""[\w &amp;]*, (\d+\.\d+)"")),"""")
"),204.67)</f>
        <v>204.67</v>
      </c>
      <c r="R94" s="2" t="n">
        <f aca="false">IFERROR(__xludf.dummyfunction("if($T94&lt;&gt;"""",VALUE(REGEXEXTRACT($T94, SUBSTITUTE(R$1, ""+"", ""\+"")&amp;""[\w &amp;]*, (\d+\.\d+)"")),"""")"),210.95)</f>
        <v>210.95</v>
      </c>
      <c r="S94" s="2" t="n">
        <f aca="false">IFERROR(__xludf.dummyfunction("if($T94&lt;&gt;"""",VALUE(REGEXEXTRACT($T94, SUBSTITUTE(S$1, ""+"", ""\+"")&amp;""[\w &amp;]*, (\d+\.\d+)"")),"""")"),212.03)</f>
        <v>212.03</v>
      </c>
      <c r="T94" s="5" t="s">
        <v>716</v>
      </c>
    </row>
    <row r="95" customFormat="false" ht="15.75" hidden="false" customHeight="false" outlineLevel="0" collapsed="false">
      <c r="A95" s="4" t="n">
        <f aca="false">IFERROR(__xludf.dummyfunction("""COMPUTED_VALUE"""),45545.6666666667)</f>
        <v>45545.6666666667</v>
      </c>
      <c r="B95" s="2" t="n">
        <f aca="false">IFERROR(__xludf.dummyfunction("""COMPUTED_VALUE"""),208.72)</f>
        <v>208.72</v>
      </c>
      <c r="C95" s="2" t="n">
        <f aca="false">IFERROR(__xludf.dummyfunction("""COMPUTED_VALUE"""),208.86)</f>
        <v>208.86</v>
      </c>
      <c r="D95" s="2" t="n">
        <f aca="false">IFERROR(__xludf.dummyfunction("""COMPUTED_VALUE"""),205.79)</f>
        <v>205.79</v>
      </c>
      <c r="E95" s="2" t="n">
        <f aca="false">IFERROR(__xludf.dummyfunction("""COMPUTED_VALUE"""),208.31)</f>
        <v>208.31</v>
      </c>
      <c r="F95" s="3" t="n">
        <f aca="false">IFERROR(__xludf.dummyfunction("if($T95&lt;&gt;"""",VALUE(REGEXEXTRACT(SUBSTITUTE ($T95,F$1&amp;"" CE"",""""), F$1&amp;""[\w &amp;]*, (\d+\.\d+)"")),"""")
"),210)</f>
        <v>210</v>
      </c>
      <c r="G95" s="3" t="n">
        <f aca="false">IFERROR(__xludf.dummyfunction("if($T95&lt;&gt;"""",VALUE(REGEXEXTRACT($T95, G$1&amp;""[\w &amp;]*, (\d+\.\d+)"")),"""")
"),212)</f>
        <v>212</v>
      </c>
      <c r="H95" s="3" t="n">
        <f aca="false">IFERROR(__xludf.dummyfunction("if($T95&lt;&gt;"""",VALUE(REGEXEXTRACT($T95, H$1&amp;""[\w &amp;]*, (\d+\.\d+)"")),"""")
"),228)</f>
        <v>228</v>
      </c>
      <c r="I95" s="3" t="n">
        <f aca="false">IFERROR(__xludf.dummyfunction("if($T95&lt;&gt;"""",VALUE(REGEXEXTRACT(SUBSTITUTE ($T95,I$1&amp;"" CE"",""""), I$1&amp;""[\w &amp;]*, (\d+\.\d+)"")),"""")
"),203)</f>
        <v>203</v>
      </c>
      <c r="J95" s="3" t="n">
        <f aca="false">IFERROR(__xludf.dummyfunction("if($T95&lt;&gt;"""",VALUE(REGEXEXTRACT($T95, J$1&amp;""[\w &amp;]*, (\d+\.\d+)"")),"""")
"),207)</f>
        <v>207</v>
      </c>
      <c r="K95" s="3" t="n">
        <f aca="false">IFERROR(__xludf.dummyfunction("if($T95&lt;&gt;"""",VALUE(REGEXEXTRACT($T95, K$1&amp;""[\w &amp;]*, (\d+\.\d+)"")),"""")
"),203)</f>
        <v>203</v>
      </c>
      <c r="L95" s="3" t="n">
        <f aca="false">IFERROR(__xludf.dummyfunction("if($T95&lt;&gt;"""",VALUE(REGEXEXTRACT(SUBSTITUTE ($T95,L$1&amp;"" CE"",""""), L$1&amp;""[\w &amp;]*, (\d+\.\d+)"")),"""")
"),213)</f>
        <v>213</v>
      </c>
      <c r="M95" s="3" t="n">
        <f aca="false">IFERROR(__xludf.dummyfunction("if($T95&lt;&gt;"""",VALUE(REGEXEXTRACT($T95, M$1&amp;""[\w &amp;]*, (\d+\.\d+)"")),"""")
"),208)</f>
        <v>208</v>
      </c>
      <c r="N95" s="3" t="n">
        <f aca="false">IFERROR(__xludf.dummyfunction("if($T95&lt;&gt;"""",VALUE(REGEXEXTRACT(SUBSTITUTE ($T95,N$1&amp;"" CE"",""""), N$1&amp;""[\w &amp;]*, (\d+\.\d+)"")),"""")
"),210)</f>
        <v>210</v>
      </c>
      <c r="O95" s="3" t="n">
        <f aca="false">IFERROR(__xludf.dummyfunction("if($T95&lt;&gt;"""",VALUE(REGEXEXTRACT($T95, O$1&amp;""[\w &amp;]*, (\d+\.\d+)"")),"""")
"),209)</f>
        <v>209</v>
      </c>
      <c r="P95" s="2" t="n">
        <f aca="false">IFERROR(__xludf.dummyfunction("if($T95&lt;&gt;"""",VALUE(REGEXEXTRACT($T95, P$1&amp;""[\w &amp;]*, (\d+\.\d+)"")),"""")
"),205.4)</f>
        <v>205.4</v>
      </c>
      <c r="Q95" s="2" t="n">
        <f aca="false">IFERROR(__xludf.dummyfunction("if($T95&lt;&gt;"""",VALUE(REGEXEXTRACT($T95, Q$1&amp;""[\w &amp;]*, (\d+\.\d+)"")),"""")
"),204.31)</f>
        <v>204.31</v>
      </c>
      <c r="R95" s="2" t="n">
        <f aca="false">IFERROR(__xludf.dummyfunction("if($T95&lt;&gt;"""",VALUE(REGEXEXTRACT($T95, SUBSTITUTE(R$1, ""+"", ""\+"")&amp;""[\w &amp;]*, (\d+\.\d+)"")),"""")"),210.62)</f>
        <v>210.62</v>
      </c>
      <c r="S95" s="2" t="n">
        <f aca="false">IFERROR(__xludf.dummyfunction("if($T95&lt;&gt;"""",VALUE(REGEXEXTRACT($T95, SUBSTITUTE(S$1, ""+"", ""\+"")&amp;""[\w &amp;]*, (\d+\.\d+)"")),"""")"),211.71)</f>
        <v>211.71</v>
      </c>
      <c r="T95" s="5" t="s">
        <v>717</v>
      </c>
    </row>
    <row r="96" customFormat="false" ht="15.75" hidden="false" customHeight="false" outlineLevel="0" collapsed="false">
      <c r="A96" s="4" t="n">
        <f aca="false">IFERROR(__xludf.dummyfunction("""COMPUTED_VALUE"""),45546.6666666667)</f>
        <v>45546.6666666667</v>
      </c>
      <c r="B96" s="2" t="n">
        <f aca="false">IFERROR(__xludf.dummyfunction("""COMPUTED_VALUE"""),207.47)</f>
        <v>207.47</v>
      </c>
      <c r="C96" s="2" t="n">
        <f aca="false">IFERROR(__xludf.dummyfunction("""COMPUTED_VALUE"""),209.25)</f>
        <v>209.25</v>
      </c>
      <c r="D96" s="2" t="n">
        <f aca="false">IFERROR(__xludf.dummyfunction("""COMPUTED_VALUE"""),204.21)</f>
        <v>204.21</v>
      </c>
      <c r="E96" s="2" t="n">
        <f aca="false">IFERROR(__xludf.dummyfunction("""COMPUTED_VALUE"""),208.92)</f>
        <v>208.92</v>
      </c>
      <c r="F96" s="3" t="n">
        <f aca="false">IFERROR(__xludf.dummyfunction("if($T96&lt;&gt;"""",VALUE(REGEXEXTRACT(SUBSTITUTE ($T96,F$1&amp;"" CE"",""""), F$1&amp;""[\w &amp;]*, (\d+\.\d+)"")),"""")
"),210)</f>
        <v>210</v>
      </c>
      <c r="G96" s="3" t="n">
        <f aca="false">IFERROR(__xludf.dummyfunction("if($T96&lt;&gt;"""",VALUE(REGEXEXTRACT($T96, G$1&amp;""[\w &amp;]*, (\d+\.\d+)"")),"""")
"),210)</f>
        <v>210</v>
      </c>
      <c r="H96" s="3" t="n">
        <f aca="false">IFERROR(__xludf.dummyfunction("if($T96&lt;&gt;"""",VALUE(REGEXEXTRACT($T96, H$1&amp;""[\w &amp;]*, (\d+\.\d+)"")),"""")
"),222)</f>
        <v>222</v>
      </c>
      <c r="I96" s="3" t="n">
        <f aca="false">IFERROR(__xludf.dummyfunction("if($T96&lt;&gt;"""",VALUE(REGEXEXTRACT(SUBSTITUTE ($T96,I$1&amp;"" CE"",""""), I$1&amp;""[\w &amp;]*, (\d+\.\d+)"")),"""")
"),203)</f>
        <v>203</v>
      </c>
      <c r="J96" s="3" t="n">
        <f aca="false">IFERROR(__xludf.dummyfunction("if($T96&lt;&gt;"""",VALUE(REGEXEXTRACT($T96, J$1&amp;""[\w &amp;]*, (\d+\.\d+)"")),"""")
"),206)</f>
        <v>206</v>
      </c>
      <c r="K96" s="3" t="n">
        <f aca="false">IFERROR(__xludf.dummyfunction("if($T96&lt;&gt;"""",VALUE(REGEXEXTRACT($T96, K$1&amp;""[\w &amp;]*, (\d+\.\d+)"")),"""")
"),203)</f>
        <v>203</v>
      </c>
      <c r="L96" s="3" t="n">
        <f aca="false">IFERROR(__xludf.dummyfunction("if($T96&lt;&gt;"""",VALUE(REGEXEXTRACT(SUBSTITUTE ($T96,L$1&amp;"" CE"",""""), L$1&amp;""[\w &amp;]*, (\d+\.\d+)"")),"""")
"),213)</f>
        <v>213</v>
      </c>
      <c r="M96" s="3" t="n">
        <f aca="false">IFERROR(__xludf.dummyfunction("if($T96&lt;&gt;"""",VALUE(REGEXEXTRACT($T96, M$1&amp;""[\w &amp;]*, (\d+\.\d+)"")),"""")
"),207)</f>
        <v>207</v>
      </c>
      <c r="N96" s="3" t="n">
        <f aca="false">IFERROR(__xludf.dummyfunction("if($T96&lt;&gt;"""",VALUE(REGEXEXTRACT(SUBSTITUTE ($T96,N$1&amp;"" CE"",""""), N$1&amp;""[\w &amp;]*, (\d+\.\d+)"")),"""")
"),210)</f>
        <v>210</v>
      </c>
      <c r="O96" s="3" t="n">
        <f aca="false">IFERROR(__xludf.dummyfunction("if($T96&lt;&gt;"""",VALUE(REGEXEXTRACT($T96, O$1&amp;""[\w &amp;]*, (\d+\.\d+)"")),"""")
"),210)</f>
        <v>210</v>
      </c>
      <c r="P96" s="2" t="n">
        <f aca="false">IFERROR(__xludf.dummyfunction("if($T96&lt;&gt;"""",VALUE(REGEXEXTRACT($T96, P$1&amp;""[\w &amp;]*, (\d+\.\d+)"")),"""")
"),204.8)</f>
        <v>204.8</v>
      </c>
      <c r="Q96" s="2" t="n">
        <f aca="false">IFERROR(__xludf.dummyfunction("if($T96&lt;&gt;"""",VALUE(REGEXEXTRACT($T96, Q$1&amp;""[\w &amp;]*, (\d+\.\d+)"")),"""")
"),203.63)</f>
        <v>203.63</v>
      </c>
      <c r="R96" s="2" t="n">
        <f aca="false">IFERROR(__xludf.dummyfunction("if($T96&lt;&gt;"""",VALUE(REGEXEXTRACT($T96, SUBSTITUTE(R$1, ""+"", ""\+"")&amp;""[\w &amp;]*, (\d+\.\d+)"")),"""")"),210.4)</f>
        <v>210.4</v>
      </c>
      <c r="S96" s="2" t="n">
        <f aca="false">IFERROR(__xludf.dummyfunction("if($T96&lt;&gt;"""",VALUE(REGEXEXTRACT($T96, SUBSTITUTE(S$1, ""+"", ""\+"")&amp;""[\w &amp;]*, (\d+\.\d+)"")),"""")"),211.57)</f>
        <v>211.57</v>
      </c>
      <c r="T96" s="5" t="s">
        <v>718</v>
      </c>
    </row>
    <row r="97" customFormat="false" ht="15.75" hidden="false" customHeight="false" outlineLevel="0" collapsed="false">
      <c r="A97" s="4" t="n">
        <f aca="false">IFERROR(__xludf.dummyfunction("""COMPUTED_VALUE"""),45547.6666666667)</f>
        <v>45547.6666666667</v>
      </c>
      <c r="B97" s="2" t="n">
        <f aca="false">IFERROR(__xludf.dummyfunction("""COMPUTED_VALUE"""),209.91)</f>
        <v>209.91</v>
      </c>
      <c r="C97" s="2" t="n">
        <f aca="false">IFERROR(__xludf.dummyfunction("""COMPUTED_VALUE"""),212.78)</f>
        <v>212.78</v>
      </c>
      <c r="D97" s="2" t="n">
        <f aca="false">IFERROR(__xludf.dummyfunction("""COMPUTED_VALUE"""),208.41)</f>
        <v>208.41</v>
      </c>
      <c r="E97" s="2" t="n">
        <f aca="false">IFERROR(__xludf.dummyfunction("""COMPUTED_VALUE"""),211.61)</f>
        <v>211.61</v>
      </c>
      <c r="F97" s="3" t="n">
        <f aca="false">IFERROR(__xludf.dummyfunction("if($T97&lt;&gt;"""",VALUE(REGEXEXTRACT(SUBSTITUTE ($T97,F$1&amp;"" CE"",""""), F$1&amp;""[\w &amp;]*, (\d+\.\d+)"")),"""")
"),210)</f>
        <v>210</v>
      </c>
      <c r="G97" s="3" t="n">
        <f aca="false">IFERROR(__xludf.dummyfunction("if($T97&lt;&gt;"""",VALUE(REGEXEXTRACT($T97, G$1&amp;""[\w &amp;]*, (\d+\.\d+)"")),"""")
"),209)</f>
        <v>209</v>
      </c>
      <c r="H97" s="3" t="n">
        <f aca="false">IFERROR(__xludf.dummyfunction("if($T97&lt;&gt;"""",VALUE(REGEXEXTRACT($T97, H$1&amp;""[\w &amp;]*, (\d+\.\d+)"")),"""")
"),222)</f>
        <v>222</v>
      </c>
      <c r="I97" s="3" t="n">
        <f aca="false">IFERROR(__xludf.dummyfunction("if($T97&lt;&gt;"""",VALUE(REGEXEXTRACT(SUBSTITUTE ($T97,I$1&amp;"" CE"",""""), I$1&amp;""[\w &amp;]*, (\d+\.\d+)"")),"""")
"),210)</f>
        <v>210</v>
      </c>
      <c r="J97" s="3" t="n">
        <f aca="false">IFERROR(__xludf.dummyfunction("if($T97&lt;&gt;"""",VALUE(REGEXEXTRACT($T97, J$1&amp;""[\w &amp;]*, (\d+\.\d+)"")),"""")
"),205)</f>
        <v>205</v>
      </c>
      <c r="K97" s="3" t="n">
        <f aca="false">IFERROR(__xludf.dummyfunction("if($T97&lt;&gt;"""",VALUE(REGEXEXTRACT($T97, K$1&amp;""[\w &amp;]*, (\d+\.\d+)"")),"""")
"),203)</f>
        <v>203</v>
      </c>
      <c r="L97" s="3" t="n">
        <f aca="false">IFERROR(__xludf.dummyfunction("if($T97&lt;&gt;"""",VALUE(REGEXEXTRACT(SUBSTITUTE ($T97,L$1&amp;"" CE"",""""), L$1&amp;""[\w &amp;]*, (\d+\.\d+)"")),"""")
"),213)</f>
        <v>213</v>
      </c>
      <c r="M97" s="3" t="n">
        <f aca="false">IFERROR(__xludf.dummyfunction("if($T97&lt;&gt;"""",VALUE(REGEXEXTRACT($T97, M$1&amp;""[\w &amp;]*, (\d+\.\d+)"")),"""")
"),207)</f>
        <v>207</v>
      </c>
      <c r="N97" s="3" t="n">
        <f aca="false">IFERROR(__xludf.dummyfunction("if($T97&lt;&gt;"""",VALUE(REGEXEXTRACT(SUBSTITUTE ($T97,N$1&amp;"" CE"",""""), N$1&amp;""[\w &amp;]*, (\d+\.\d+)"")),"""")
"),210)</f>
        <v>210</v>
      </c>
      <c r="O97" s="3" t="n">
        <f aca="false">IFERROR(__xludf.dummyfunction("if($T97&lt;&gt;"""",VALUE(REGEXEXTRACT($T97, O$1&amp;""[\w &amp;]*, (\d+\.\d+)"")),"""")
"),209)</f>
        <v>209</v>
      </c>
      <c r="P97" s="2" t="n">
        <f aca="false">IFERROR(__xludf.dummyfunction("if($T97&lt;&gt;"""",VALUE(REGEXEXTRACT($T97, P$1&amp;""[\w &amp;]*, (\d+\.\d+)"")),"""")
"),208.01)</f>
        <v>208.01</v>
      </c>
      <c r="Q97" s="2" t="n">
        <f aca="false">IFERROR(__xludf.dummyfunction("if($T97&lt;&gt;"""",VALUE(REGEXEXTRACT($T97, Q$1&amp;""[\w &amp;]*, (\d+\.\d+)"")),"""")
"),207.07)</f>
        <v>207.07</v>
      </c>
      <c r="R97" s="2" t="n">
        <f aca="false">IFERROR(__xludf.dummyfunction("if($T97&lt;&gt;"""",VALUE(REGEXEXTRACT($T97, SUBSTITUTE(R$1, ""+"", ""\+"")&amp;""[\w &amp;]*, (\d+\.\d+)"")),"""")"),212.53)</f>
        <v>212.53</v>
      </c>
      <c r="S97" s="2" t="n">
        <f aca="false">IFERROR(__xludf.dummyfunction("if($T97&lt;&gt;"""",VALUE(REGEXEXTRACT($T97, SUBSTITUTE(S$1, ""+"", ""\+"")&amp;""[\w &amp;]*, (\d+\.\d+)"")),"""")"),213.47)</f>
        <v>213.47</v>
      </c>
      <c r="T97" s="5" t="s">
        <v>719</v>
      </c>
    </row>
    <row r="98" customFormat="false" ht="15.75" hidden="false" customHeight="false" outlineLevel="0" collapsed="false">
      <c r="A98" s="4" t="n">
        <f aca="false">IFERROR(__xludf.dummyfunction("""COMPUTED_VALUE"""),45548.6666666667)</f>
        <v>45548.6666666667</v>
      </c>
      <c r="B98" s="2" t="n">
        <f aca="false">IFERROR(__xludf.dummyfunction("""COMPUTED_VALUE"""),214.03)</f>
        <v>214.03</v>
      </c>
      <c r="C98" s="2" t="n">
        <f aca="false">IFERROR(__xludf.dummyfunction("""COMPUTED_VALUE"""),217.25)</f>
        <v>217.25</v>
      </c>
      <c r="D98" s="2" t="n">
        <f aca="false">IFERROR(__xludf.dummyfunction("""COMPUTED_VALUE"""),213.94)</f>
        <v>213.94</v>
      </c>
      <c r="E98" s="2" t="n">
        <f aca="false">IFERROR(__xludf.dummyfunction("""COMPUTED_VALUE"""),216.83)</f>
        <v>216.83</v>
      </c>
      <c r="F98" s="3" t="n">
        <f aca="false">IFERROR(__xludf.dummyfunction("if($T98&lt;&gt;"""",VALUE(REGEXEXTRACT(SUBSTITUTE ($T98,F$1&amp;"" CE"",""""), F$1&amp;""[\w &amp;]*, (\d+\.\d+)"")),"""")
"),210)</f>
        <v>210</v>
      </c>
      <c r="G98" s="3" t="n">
        <f aca="false">IFERROR(__xludf.dummyfunction("if($T98&lt;&gt;"""",VALUE(REGEXEXTRACT($T98, G$1&amp;""[\w &amp;]*, (\d+\.\d+)"")),"""")
"),215)</f>
        <v>215</v>
      </c>
      <c r="H98" s="3" t="n">
        <f aca="false">IFERROR(__xludf.dummyfunction("if($T98&lt;&gt;"""",VALUE(REGEXEXTRACT($T98, H$1&amp;""[\w &amp;]*, (\d+\.\d+)"")),"""")
"),222)</f>
        <v>222</v>
      </c>
      <c r="I98" s="3" t="n">
        <f aca="false">IFERROR(__xludf.dummyfunction("if($T98&lt;&gt;"""",VALUE(REGEXEXTRACT(SUBSTITUTE ($T98,I$1&amp;"" CE"",""""), I$1&amp;""[\w &amp;]*, (\d+\.\d+)"")),"""")
"),210)</f>
        <v>210</v>
      </c>
      <c r="J98" s="3" t="n">
        <f aca="false">IFERROR(__xludf.dummyfunction("if($T98&lt;&gt;"""",VALUE(REGEXEXTRACT($T98, J$1&amp;""[\w &amp;]*, (\d+\.\d+)"")),"""")
"),209)</f>
        <v>209</v>
      </c>
      <c r="K98" s="3" t="n">
        <f aca="false">IFERROR(__xludf.dummyfunction("if($T98&lt;&gt;"""",VALUE(REGEXEXTRACT($T98, K$1&amp;""[\w &amp;]*, (\d+\.\d+)"")),"""")
"),203)</f>
        <v>203</v>
      </c>
      <c r="L98" s="3" t="n">
        <f aca="false">IFERROR(__xludf.dummyfunction("if($T98&lt;&gt;"""",VALUE(REGEXEXTRACT(SUBSTITUTE ($T98,L$1&amp;"" CE"",""""), L$1&amp;""[\w &amp;]*, (\d+\.\d+)"")),"""")
"),213)</f>
        <v>213</v>
      </c>
      <c r="M98" s="3" t="n">
        <f aca="false">IFERROR(__xludf.dummyfunction("if($T98&lt;&gt;"""",VALUE(REGEXEXTRACT($T98, M$1&amp;""[\w &amp;]*, (\d+\.\d+)"")),"""")
"),209)</f>
        <v>209</v>
      </c>
      <c r="N98" s="3" t="n">
        <f aca="false">IFERROR(__xludf.dummyfunction("if($T98&lt;&gt;"""",VALUE(REGEXEXTRACT(SUBSTITUTE ($T98,N$1&amp;"" CE"",""""), N$1&amp;""[\w &amp;]*, (\d+\.\d+)"")),"""")
"),210)</f>
        <v>210</v>
      </c>
      <c r="O98" s="3" t="n">
        <f aca="false">IFERROR(__xludf.dummyfunction("if($T98&lt;&gt;"""",VALUE(REGEXEXTRACT($T98, O$1&amp;""[\w &amp;]*, (\d+\.\d+)"")),"""")
"),210)</f>
        <v>210</v>
      </c>
      <c r="P98" s="2" t="n">
        <f aca="false">IFERROR(__xludf.dummyfunction("if($T98&lt;&gt;"""",VALUE(REGEXEXTRACT($T98, P$1&amp;""[\w &amp;]*, (\d+\.\d+)"")),"""")
"),211.18)</f>
        <v>211.18</v>
      </c>
      <c r="Q98" s="2" t="n">
        <f aca="false">IFERROR(__xludf.dummyfunction("if($T98&lt;&gt;"""",VALUE(REGEXEXTRACT($T98, Q$1&amp;""[\w &amp;]*, (\d+\.\d+)"")),"""")
"),208.87)</f>
        <v>208.87</v>
      </c>
      <c r="R98" s="2" t="n">
        <f aca="false">IFERROR(__xludf.dummyfunction("if($T98&lt;&gt;"""",VALUE(REGEXEXTRACT($T98, SUBSTITUTE(R$1, ""+"", ""\+"")&amp;""[\w &amp;]*, (\d+\.\d+)"")),"""")"),216.1)</f>
        <v>216.1</v>
      </c>
      <c r="S98" s="2" t="n">
        <f aca="false">IFERROR(__xludf.dummyfunction("if($T98&lt;&gt;"""",VALUE(REGEXEXTRACT($T98, SUBSTITUTE(S$1, ""+"", ""\+"")&amp;""[\w &amp;]*, (\d+\.\d+)"")),"""")"),218.41)</f>
        <v>218.41</v>
      </c>
      <c r="T98" s="5" t="s">
        <v>720</v>
      </c>
    </row>
    <row r="99" customFormat="false" ht="15.75" hidden="false" customHeight="false" outlineLevel="0" collapsed="false">
      <c r="A99" s="4" t="n">
        <f aca="false">IFERROR(__xludf.dummyfunction("""COMPUTED_VALUE"""),45551.6666666667)</f>
        <v>45551.6666666667</v>
      </c>
      <c r="B99" s="2" t="n">
        <f aca="false">IFERROR(__xludf.dummyfunction("""COMPUTED_VALUE"""),217.63)</f>
        <v>217.63</v>
      </c>
      <c r="C99" s="2" t="n">
        <f aca="false">IFERROR(__xludf.dummyfunction("""COMPUTED_VALUE"""),218.29)</f>
        <v>218.29</v>
      </c>
      <c r="D99" s="2" t="n">
        <f aca="false">IFERROR(__xludf.dummyfunction("""COMPUTED_VALUE"""),216.14)</f>
        <v>216.14</v>
      </c>
      <c r="E99" s="2" t="n">
        <f aca="false">IFERROR(__xludf.dummyfunction("""COMPUTED_VALUE"""),217.61)</f>
        <v>217.61</v>
      </c>
      <c r="F99" s="3" t="n">
        <f aca="false">IFERROR(__xludf.dummyfunction("if($T99&lt;&gt;"""",VALUE(REGEXEXTRACT(SUBSTITUTE ($T99,F$1&amp;"" CE"",""""), F$1&amp;""[\w &amp;]*, (\d+\.\d+)"")),"""")
"),220)</f>
        <v>220</v>
      </c>
      <c r="G99" s="3" t="n">
        <f aca="false">IFERROR(__xludf.dummyfunction("if($T99&lt;&gt;"""",VALUE(REGEXEXTRACT($T99, G$1&amp;""[\w &amp;]*, (\d+\.\d+)"")),"""")
"),216)</f>
        <v>216</v>
      </c>
      <c r="H99" s="3" t="n">
        <f aca="false">IFERROR(__xludf.dummyfunction("if($T99&lt;&gt;"""",VALUE(REGEXEXTRACT($T99, H$1&amp;""[\w &amp;]*, (\d+\.\d+)"")),"""")
"),222)</f>
        <v>222</v>
      </c>
      <c r="I99" s="3" t="n">
        <f aca="false">IFERROR(__xludf.dummyfunction("if($T99&lt;&gt;"""",VALUE(REGEXEXTRACT(SUBSTITUTE ($T99,I$1&amp;"" CE"",""""), I$1&amp;""[\w &amp;]*, (\d+\.\d+)"")),"""")
"),210)</f>
        <v>210</v>
      </c>
      <c r="J99" s="3" t="n">
        <f aca="false">IFERROR(__xludf.dummyfunction("if($T99&lt;&gt;"""",VALUE(REGEXEXTRACT($T99, J$1&amp;""[\w &amp;]*, (\d+\.\d+)"")),"""")
"),215)</f>
        <v>215</v>
      </c>
      <c r="K99" s="3" t="n">
        <f aca="false">IFERROR(__xludf.dummyfunction("if($T99&lt;&gt;"""",VALUE(REGEXEXTRACT($T99, K$1&amp;""[\w &amp;]*, (\d+\.\d+)"")),"""")
"),203)</f>
        <v>203</v>
      </c>
      <c r="L99" s="3" t="n">
        <f aca="false">IFERROR(__xludf.dummyfunction("if($T99&lt;&gt;"""",VALUE(REGEXEXTRACT(SUBSTITUTE ($T99,L$1&amp;"" CE"",""""), L$1&amp;""[\w &amp;]*, (\d+\.\d+)"")),"""")
"),213)</f>
        <v>213</v>
      </c>
      <c r="M99" s="3" t="n">
        <f aca="false">IFERROR(__xludf.dummyfunction("if($T99&lt;&gt;"""",VALUE(REGEXEXTRACT($T99, M$1&amp;""[\w &amp;]*, (\d+\.\d+)"")),"""")
"),215)</f>
        <v>215</v>
      </c>
      <c r="N99" s="3" t="n">
        <f aca="false">IFERROR(__xludf.dummyfunction("if($T99&lt;&gt;"""",VALUE(REGEXEXTRACT(SUBSTITUTE ($T99,N$1&amp;"" CE"",""""), N$1&amp;""[\w &amp;]*, (\d+\.\d+)"")),"""")
"),220)</f>
        <v>220</v>
      </c>
      <c r="O99" s="3" t="n">
        <f aca="false">IFERROR(__xludf.dummyfunction("if($T99&lt;&gt;"""",VALUE(REGEXEXTRACT($T99, O$1&amp;""[\w &amp;]*, (\d+\.\d+)"")),"""")
"),216)</f>
        <v>216</v>
      </c>
      <c r="P99" s="2" t="n">
        <f aca="false">IFERROR(__xludf.dummyfunction("if($T99&lt;&gt;"""",VALUE(REGEXEXTRACT($T99, P$1&amp;""[\w &amp;]*, (\d+\.\d+)"")),"""")
"),214.82)</f>
        <v>214.82</v>
      </c>
      <c r="Q99" s="2" t="n">
        <f aca="false">IFERROR(__xludf.dummyfunction("if($T99&lt;&gt;"""",VALUE(REGEXEXTRACT($T99, Q$1&amp;""[\w &amp;]*, (\d+\.\d+)"")),"""")
"),213.71)</f>
        <v>213.71</v>
      </c>
      <c r="R99" s="2" t="n">
        <f aca="false">IFERROR(__xludf.dummyfunction("if($T99&lt;&gt;"""",VALUE(REGEXEXTRACT($T99, SUBSTITUTE(R$1, ""+"", ""\+"")&amp;""[\w &amp;]*, (\d+\.\d+)"")),"""")"),220.18)</f>
        <v>220.18</v>
      </c>
      <c r="S99" s="2" t="n">
        <f aca="false">IFERROR(__xludf.dummyfunction("if($T99&lt;&gt;"""",VALUE(REGEXEXTRACT($T99, SUBSTITUTE(S$1, ""+"", ""\+"")&amp;""[\w &amp;]*, (\d+\.\d+)"")),"""")"),221.29)</f>
        <v>221.29</v>
      </c>
      <c r="T99" s="5" t="s">
        <v>721</v>
      </c>
    </row>
    <row r="100" customFormat="false" ht="15.75" hidden="false" customHeight="false" outlineLevel="0" collapsed="false">
      <c r="A100" s="4" t="n">
        <f aca="false">IFERROR(__xludf.dummyfunction("""COMPUTED_VALUE"""),45552.6666666667)</f>
        <v>45552.6666666667</v>
      </c>
      <c r="B100" s="2" t="n">
        <f aca="false">IFERROR(__xludf.dummyfunction("""COMPUTED_VALUE"""),219.58)</f>
        <v>219.58</v>
      </c>
      <c r="C100" s="2" t="n">
        <f aca="false">IFERROR(__xludf.dummyfunction("""COMPUTED_VALUE"""),221.8)</f>
        <v>221.8</v>
      </c>
      <c r="D100" s="2" t="n">
        <f aca="false">IFERROR(__xludf.dummyfunction("""COMPUTED_VALUE"""),218.47)</f>
        <v>218.47</v>
      </c>
      <c r="E100" s="2" t="n">
        <f aca="false">IFERROR(__xludf.dummyfunction("""COMPUTED_VALUE"""),219.41)</f>
        <v>219.41</v>
      </c>
      <c r="F100" s="3" t="n">
        <f aca="false">IFERROR(__xludf.dummyfunction("if($T100&lt;&gt;"""",VALUE(REGEXEXTRACT(SUBSTITUTE ($T100,F$1&amp;"" CE"",""""), F$1&amp;""[\w &amp;]*, (\d+\.\d+)"")),"""")
"),220)</f>
        <v>220</v>
      </c>
      <c r="G100" s="3" t="n">
        <f aca="false">IFERROR(__xludf.dummyfunction("if($T100&lt;&gt;"""",VALUE(REGEXEXTRACT($T100, G$1&amp;""[\w &amp;]*, (\d+\.\d+)"")),"""")
"),215)</f>
        <v>215</v>
      </c>
      <c r="H100" s="3" t="n">
        <f aca="false">IFERROR(__xludf.dummyfunction("if($T100&lt;&gt;"""",VALUE(REGEXEXTRACT($T100, H$1&amp;""[\w &amp;]*, (\d+\.\d+)"")),"""")
"),222)</f>
        <v>222</v>
      </c>
      <c r="I100" s="3" t="n">
        <f aca="false">IFERROR(__xludf.dummyfunction("if($T100&lt;&gt;"""",VALUE(REGEXEXTRACT(SUBSTITUTE ($T100,I$1&amp;"" CE"",""""), I$1&amp;""[\w &amp;]*, (\d+\.\d+)"")),"""")
"),210)</f>
        <v>210</v>
      </c>
      <c r="J100" s="3" t="n">
        <f aca="false">IFERROR(__xludf.dummyfunction("if($T100&lt;&gt;"""",VALUE(REGEXEXTRACT($T100, J$1&amp;""[\w &amp;]*, (\d+\.\d+)"")),"""")
"),213)</f>
        <v>213</v>
      </c>
      <c r="K100" s="3" t="n">
        <f aca="false">IFERROR(__xludf.dummyfunction("if($T100&lt;&gt;"""",VALUE(REGEXEXTRACT($T100, K$1&amp;""[\w &amp;]*, (\d+\.\d+)"")),"""")
"),203)</f>
        <v>203</v>
      </c>
      <c r="L100" s="3" t="n">
        <f aca="false">IFERROR(__xludf.dummyfunction("if($T100&lt;&gt;"""",VALUE(REGEXEXTRACT(SUBSTITUTE ($T100,L$1&amp;"" CE"",""""), L$1&amp;""[\w &amp;]*, (\d+\.\d+)"")),"""")
"),213)</f>
        <v>213</v>
      </c>
      <c r="M100" s="3" t="n">
        <f aca="false">IFERROR(__xludf.dummyfunction("if($T100&lt;&gt;"""",VALUE(REGEXEXTRACT($T100, M$1&amp;""[\w &amp;]*, (\d+\.\d+)"")),"""")
"),213)</f>
        <v>213</v>
      </c>
      <c r="N100" s="3" t="n">
        <f aca="false">IFERROR(__xludf.dummyfunction("if($T100&lt;&gt;"""",VALUE(REGEXEXTRACT(SUBSTITUTE ($T100,N$1&amp;"" CE"",""""), N$1&amp;""[\w &amp;]*, (\d+\.\d+)"")),"""")
"),220)</f>
        <v>220</v>
      </c>
      <c r="O100" s="3" t="n">
        <f aca="false">IFERROR(__xludf.dummyfunction("if($T100&lt;&gt;"""",VALUE(REGEXEXTRACT($T100, O$1&amp;""[\w &amp;]*, (\d+\.\d+)"")),"""")
"),215)</f>
        <v>215</v>
      </c>
      <c r="P100" s="2" t="n">
        <f aca="false">IFERROR(__xludf.dummyfunction("if($T100&lt;&gt;"""",VALUE(REGEXEXTRACT($T100, P$1&amp;""[\w &amp;]*, (\d+\.\d+)"")),"""")
"),215.13)</f>
        <v>215.13</v>
      </c>
      <c r="Q100" s="2" t="n">
        <f aca="false">IFERROR(__xludf.dummyfunction("if($T100&lt;&gt;"""",VALUE(REGEXEXTRACT($T100, Q$1&amp;""[\w &amp;]*, (\d+\.\d+)"")),"""")
"),213.92)</f>
        <v>213.92</v>
      </c>
      <c r="R100" s="2" t="n">
        <f aca="false">IFERROR(__xludf.dummyfunction("if($T100&lt;&gt;"""",VALUE(REGEXEXTRACT($T100, SUBSTITUTE(R$1, ""+"", ""\+"")&amp;""[\w &amp;]*, (\d+\.\d+)"")),"""")"),221.01)</f>
        <v>221.01</v>
      </c>
      <c r="S100" s="2" t="n">
        <f aca="false">IFERROR(__xludf.dummyfunction("if($T100&lt;&gt;"""",VALUE(REGEXEXTRACT($T100, SUBSTITUTE(S$1, ""+"", ""\+"")&amp;""[\w &amp;]*, (\d+\.\d+)"")),"""")"),222.22)</f>
        <v>222.22</v>
      </c>
      <c r="T100" s="5" t="s">
        <v>722</v>
      </c>
    </row>
    <row r="101" customFormat="false" ht="15.75" hidden="false" customHeight="false" outlineLevel="0" collapsed="false">
      <c r="A101" s="4" t="n">
        <f aca="false">IFERROR(__xludf.dummyfunction("""COMPUTED_VALUE"""),45553.6666666667)</f>
        <v>45553.6666666667</v>
      </c>
      <c r="B101" s="2" t="n">
        <f aca="false">IFERROR(__xludf.dummyfunction("""COMPUTED_VALUE"""),219.23)</f>
        <v>219.23</v>
      </c>
      <c r="C101" s="2" t="n">
        <f aca="false">IFERROR(__xludf.dummyfunction("""COMPUTED_VALUE"""),224.94)</f>
        <v>224.94</v>
      </c>
      <c r="D101" s="2" t="n">
        <f aca="false">IFERROR(__xludf.dummyfunction("""COMPUTED_VALUE"""),218.25)</f>
        <v>218.25</v>
      </c>
      <c r="E101" s="2" t="n">
        <f aca="false">IFERROR(__xludf.dummyfunction("""COMPUTED_VALUE"""),219.45)</f>
        <v>219.45</v>
      </c>
      <c r="F101" s="3" t="n">
        <f aca="false">IFERROR(__xludf.dummyfunction("if($T101&lt;&gt;"""",VALUE(REGEXEXTRACT(SUBSTITUTE ($T101,F$1&amp;"" CE"",""""), F$1&amp;""[\w &amp;]*, (\d+\.\d+)"")),"""")
"),220)</f>
        <v>220</v>
      </c>
      <c r="G101" s="3" t="n">
        <f aca="false">IFERROR(__xludf.dummyfunction("if($T101&lt;&gt;"""",VALUE(REGEXEXTRACT($T101, G$1&amp;""[\w &amp;]*, (\d+\.\d+)"")),"""")
"),220)</f>
        <v>220</v>
      </c>
      <c r="H101" s="3" t="n">
        <f aca="false">IFERROR(__xludf.dummyfunction("if($T101&lt;&gt;"""",VALUE(REGEXEXTRACT($T101, H$1&amp;""[\w &amp;]*, (\d+\.\d+)"")),"""")
"),228)</f>
        <v>228</v>
      </c>
      <c r="I101" s="3" t="n">
        <f aca="false">IFERROR(__xludf.dummyfunction("if($T101&lt;&gt;"""",VALUE(REGEXEXTRACT(SUBSTITUTE ($T101,I$1&amp;"" CE"",""""), I$1&amp;""[\w &amp;]*, (\d+\.\d+)"")),"""")
"),210)</f>
        <v>210</v>
      </c>
      <c r="J101" s="3" t="n">
        <f aca="false">IFERROR(__xludf.dummyfunction("if($T101&lt;&gt;"""",VALUE(REGEXEXTRACT($T101, J$1&amp;""[\w &amp;]*, (\d+\.\d+)"")),"""")
"),212)</f>
        <v>212</v>
      </c>
      <c r="K101" s="3" t="n">
        <f aca="false">IFERROR(__xludf.dummyfunction("if($T101&lt;&gt;"""",VALUE(REGEXEXTRACT($T101, K$1&amp;""[\w &amp;]*, (\d+\.\d+)"")),"""")
"),205)</f>
        <v>205</v>
      </c>
      <c r="L101" s="3" t="n">
        <f aca="false">IFERROR(__xludf.dummyfunction("if($T101&lt;&gt;"""",VALUE(REGEXEXTRACT(SUBSTITUTE ($T101,L$1&amp;"" CE"",""""), L$1&amp;""[\w &amp;]*, (\d+\.\d+)"")),"""")
"),216)</f>
        <v>216</v>
      </c>
      <c r="M101" s="3" t="n">
        <f aca="false">IFERROR(__xludf.dummyfunction("if($T101&lt;&gt;"""",VALUE(REGEXEXTRACT($T101, M$1&amp;""[\w &amp;]*, (\d+\.\d+)"")),"""")
"),218)</f>
        <v>218</v>
      </c>
      <c r="N101" s="3" t="n">
        <f aca="false">IFERROR(__xludf.dummyfunction("if($T101&lt;&gt;"""",VALUE(REGEXEXTRACT(SUBSTITUTE ($T101,N$1&amp;"" CE"",""""), N$1&amp;""[\w &amp;]*, (\d+\.\d+)"")),"""")
"),220)</f>
        <v>220</v>
      </c>
      <c r="O101" s="3" t="n">
        <f aca="false">IFERROR(__xludf.dummyfunction("if($T101&lt;&gt;"""",VALUE(REGEXEXTRACT($T101, O$1&amp;""[\w &amp;]*, (\d+\.\d+)"")),"""")
"),216)</f>
        <v>216</v>
      </c>
      <c r="P101" s="2" t="n">
        <f aca="false">IFERROR(__xludf.dummyfunction("if($T101&lt;&gt;"""",VALUE(REGEXEXTRACT($T101, P$1&amp;""[\w &amp;]*, (\d+\.\d+)"")),"""")
"),216.34)</f>
        <v>216.34</v>
      </c>
      <c r="Q101" s="2" t="n">
        <f aca="false">IFERROR(__xludf.dummyfunction("if($T101&lt;&gt;"""",VALUE(REGEXEXTRACT($T101, Q$1&amp;""[\w &amp;]*, (\d+\.\d+)"")),"""")
"),215.02)</f>
        <v>215.02</v>
      </c>
      <c r="R101" s="2" t="n">
        <f aca="false">IFERROR(__xludf.dummyfunction("if($T101&lt;&gt;"""",VALUE(REGEXEXTRACT($T101, SUBSTITUTE(R$1, ""+"", ""\+"")&amp;""[\w &amp;]*, (\d+\.\d+)"")),"""")"),222.74)</f>
        <v>222.74</v>
      </c>
      <c r="S101" s="2" t="n">
        <f aca="false">IFERROR(__xludf.dummyfunction("if($T101&lt;&gt;"""",VALUE(REGEXEXTRACT($T101, SUBSTITUTE(S$1, ""+"", ""\+"")&amp;""[\w &amp;]*, (\d+\.\d+)"")),"""")"),224.06)</f>
        <v>224.06</v>
      </c>
      <c r="T101" s="5" t="s">
        <v>723</v>
      </c>
    </row>
    <row r="102" customFormat="false" ht="15.75" hidden="false" customHeight="false" outlineLevel="0" collapsed="false">
      <c r="A102" s="4" t="n">
        <f aca="false">IFERROR(__xludf.dummyfunction("""COMPUTED_VALUE"""),45554.6666666667)</f>
        <v>45554.6666666667</v>
      </c>
      <c r="B102" s="2" t="n">
        <f aca="false">IFERROR(__xludf.dummyfunction("""COMPUTED_VALUE"""),224.66)</f>
        <v>224.66</v>
      </c>
      <c r="C102" s="2" t="n">
        <f aca="false">IFERROR(__xludf.dummyfunction("""COMPUTED_VALUE"""),224.68)</f>
        <v>224.68</v>
      </c>
      <c r="D102" s="2" t="n">
        <f aca="false">IFERROR(__xludf.dummyfunction("""COMPUTED_VALUE"""),221.5)</f>
        <v>221.5</v>
      </c>
      <c r="E102" s="2" t="n">
        <f aca="false">IFERROR(__xludf.dummyfunction("""COMPUTED_VALUE"""),223.97)</f>
        <v>223.97</v>
      </c>
      <c r="F102" s="3" t="n">
        <f aca="false">IFERROR(__xludf.dummyfunction("if($T102&lt;&gt;"""",VALUE(REGEXEXTRACT(SUBSTITUTE ($T102,F$1&amp;"" CE"",""""), F$1&amp;""[\w &amp;]*, (\d+\.\d+)"")),"""")
"),220)</f>
        <v>220</v>
      </c>
      <c r="G102" s="3" t="n">
        <f aca="false">IFERROR(__xludf.dummyfunction("if($T102&lt;&gt;"""",VALUE(REGEXEXTRACT($T102, G$1&amp;""[\w &amp;]*, (\d+\.\d+)"")),"""")
"),220)</f>
        <v>220</v>
      </c>
      <c r="H102" s="3" t="n">
        <f aca="false">IFERROR(__xludf.dummyfunction("if($T102&lt;&gt;"""",VALUE(REGEXEXTRACT($T102, H$1&amp;""[\w &amp;]*, (\d+\.\d+)"")),"""")
"),228)</f>
        <v>228</v>
      </c>
      <c r="I102" s="3" t="n">
        <f aca="false">IFERROR(__xludf.dummyfunction("if($T102&lt;&gt;"""",VALUE(REGEXEXTRACT(SUBSTITUTE ($T102,I$1&amp;"" CE"",""""), I$1&amp;""[\w &amp;]*, (\d+\.\d+)"")),"""")
"),220)</f>
        <v>220</v>
      </c>
      <c r="J102" s="3" t="n">
        <f aca="false">IFERROR(__xludf.dummyfunction("if($T102&lt;&gt;"""",VALUE(REGEXEXTRACT($T102, J$1&amp;""[\w &amp;]*, (\d+\.\d+)"")),"""")
"),214)</f>
        <v>214</v>
      </c>
      <c r="K102" s="3" t="n">
        <f aca="false">IFERROR(__xludf.dummyfunction("if($T102&lt;&gt;"""",VALUE(REGEXEXTRACT($T102, K$1&amp;""[\w &amp;]*, (\d+\.\d+)"")),"""")
"),205)</f>
        <v>205</v>
      </c>
      <c r="L102" s="3" t="n">
        <f aca="false">IFERROR(__xludf.dummyfunction("if($T102&lt;&gt;"""",VALUE(REGEXEXTRACT(SUBSTITUTE ($T102,L$1&amp;"" CE"",""""), L$1&amp;""[\w &amp;]*, (\d+\.\d+)"")),"""")
"),218)</f>
        <v>218</v>
      </c>
      <c r="M102" s="3" t="n">
        <f aca="false">IFERROR(__xludf.dummyfunction("if($T102&lt;&gt;"""",VALUE(REGEXEXTRACT($T102, M$1&amp;""[\w &amp;]*, (\d+\.\d+)"")),"""")
"),218)</f>
        <v>218</v>
      </c>
      <c r="N102" s="3" t="n">
        <f aca="false">IFERROR(__xludf.dummyfunction("if($T102&lt;&gt;"""",VALUE(REGEXEXTRACT(SUBSTITUTE ($T102,N$1&amp;"" CE"",""""), N$1&amp;""[\w &amp;]*, (\d+\.\d+)"")),"""")
"),220)</f>
        <v>220</v>
      </c>
      <c r="O102" s="3" t="n">
        <f aca="false">IFERROR(__xludf.dummyfunction("if($T102&lt;&gt;"""",VALUE(REGEXEXTRACT($T102, O$1&amp;""[\w &amp;]*, (\d+\.\d+)"")),"""")
"),220)</f>
        <v>220</v>
      </c>
      <c r="P102" s="2" t="n">
        <f aca="false">IFERROR(__xludf.dummyfunction("if($T102&lt;&gt;"""",VALUE(REGEXEXTRACT($T102, P$1&amp;""[\w &amp;]*, (\d+\.\d+)"")),"""")
"),223.31)</f>
        <v>223.31</v>
      </c>
      <c r="Q102" s="2" t="n">
        <f aca="false">IFERROR(__xludf.dummyfunction("if($T102&lt;&gt;"""",VALUE(REGEXEXTRACT($T102, Q$1&amp;""[\w &amp;]*, (\d+\.\d+)"")),"""")
"),222.13)</f>
        <v>222.13</v>
      </c>
      <c r="R102" s="2" t="n">
        <f aca="false">IFERROR(__xludf.dummyfunction("if($T102&lt;&gt;"""",VALUE(REGEXEXTRACT($T102, SUBSTITUTE(R$1, ""+"", ""\+"")&amp;""[\w &amp;]*, (\d+\.\d+)"")),"""")"),228.99)</f>
        <v>228.99</v>
      </c>
      <c r="S102" s="2" t="n">
        <f aca="false">IFERROR(__xludf.dummyfunction("if($T102&lt;&gt;"""",VALUE(REGEXEXTRACT($T102, SUBSTITUTE(S$1, ""+"", ""\+"")&amp;""[\w &amp;]*, (\d+\.\d+)"")),"""")"),230.17)</f>
        <v>230.17</v>
      </c>
      <c r="T102" s="5" t="s">
        <v>724</v>
      </c>
    </row>
    <row r="103" customFormat="false" ht="15.75" hidden="false" customHeight="false" outlineLevel="0" collapsed="false">
      <c r="A103" s="4" t="n">
        <f aca="false">IFERROR(__xludf.dummyfunction("""COMPUTED_VALUE"""),45555.6666666667)</f>
        <v>45555.6666666667</v>
      </c>
      <c r="B103" s="2" t="n">
        <f aca="false">IFERROR(__xludf.dummyfunction("""COMPUTED_VALUE"""),223.45)</f>
        <v>223.45</v>
      </c>
      <c r="C103" s="2" t="n">
        <f aca="false">IFERROR(__xludf.dummyfunction("""COMPUTED_VALUE"""),223.46)</f>
        <v>223.46</v>
      </c>
      <c r="D103" s="2" t="n">
        <f aca="false">IFERROR(__xludf.dummyfunction("""COMPUTED_VALUE"""),221.29)</f>
        <v>221.29</v>
      </c>
      <c r="E103" s="2" t="n">
        <f aca="false">IFERROR(__xludf.dummyfunction("""COMPUTED_VALUE"""),221.57)</f>
        <v>221.57</v>
      </c>
      <c r="F103" s="3" t="n">
        <f aca="false">IFERROR(__xludf.dummyfunction("if($T103&lt;&gt;"""",VALUE(REGEXEXTRACT(SUBSTITUTE ($T103,F$1&amp;"" CE"",""""), F$1&amp;""[\w &amp;]*, (\d+\.\d+)"")),"""")
"),225)</f>
        <v>225</v>
      </c>
      <c r="G103" s="3" t="n">
        <f aca="false">IFERROR(__xludf.dummyfunction("if($T103&lt;&gt;"""",VALUE(REGEXEXTRACT($T103, G$1&amp;""[\w &amp;]*, (\d+\.\d+)"")),"""")
"),225)</f>
        <v>225</v>
      </c>
      <c r="H103" s="3" t="n">
        <f aca="false">IFERROR(__xludf.dummyfunction("if($T103&lt;&gt;"""",VALUE(REGEXEXTRACT($T103, H$1&amp;""[\w &amp;]*, (\d+\.\d+)"")),"""")
"),228)</f>
        <v>228</v>
      </c>
      <c r="I103" s="3" t="n">
        <f aca="false">IFERROR(__xludf.dummyfunction("if($T103&lt;&gt;"""",VALUE(REGEXEXTRACT(SUBSTITUTE ($T103,I$1&amp;"" CE"",""""), I$1&amp;""[\w &amp;]*, (\d+\.\d+)"")),"""")
"),220)</f>
        <v>220</v>
      </c>
      <c r="J103" s="3" t="n">
        <f aca="false">IFERROR(__xludf.dummyfunction("if($T103&lt;&gt;"""",VALUE(REGEXEXTRACT($T103, J$1&amp;""[\w &amp;]*, (\d+\.\d+)"")),"""")
"),216)</f>
        <v>216</v>
      </c>
      <c r="K103" s="3" t="n">
        <f aca="false">IFERROR(__xludf.dummyfunction("if($T103&lt;&gt;"""",VALUE(REGEXEXTRACT($T103, K$1&amp;""[\w &amp;]*, (\d+\.\d+)"")),"""")
"),208)</f>
        <v>208</v>
      </c>
      <c r="L103" s="3" t="n">
        <f aca="false">IFERROR(__xludf.dummyfunction("if($T103&lt;&gt;"""",VALUE(REGEXEXTRACT(SUBSTITUTE ($T103,L$1&amp;"" CE"",""""), L$1&amp;""[\w &amp;]*, (\d+\.\d+)"")),"""")
"),218)</f>
        <v>218</v>
      </c>
      <c r="M103" s="3" t="n">
        <f aca="false">IFERROR(__xludf.dummyfunction("if($T103&lt;&gt;"""",VALUE(REGEXEXTRACT($T103, M$1&amp;""[\w &amp;]*, (\d+\.\d+)"")),"""")
"),218)</f>
        <v>218</v>
      </c>
      <c r="N103" s="3" t="n">
        <f aca="false">IFERROR(__xludf.dummyfunction("if($T103&lt;&gt;"""",VALUE(REGEXEXTRACT(SUBSTITUTE ($T103,N$1&amp;"" CE"",""""), N$1&amp;""[\w &amp;]*, (\d+\.\d+)"")),"""")
"),220)</f>
        <v>220</v>
      </c>
      <c r="O103" s="3" t="n">
        <f aca="false">IFERROR(__xludf.dummyfunction("if($T103&lt;&gt;"""",VALUE(REGEXEXTRACT($T103, O$1&amp;""[\w &amp;]*, (\d+\.\d+)"")),"""")
"),220)</f>
        <v>220</v>
      </c>
      <c r="P103" s="2" t="n">
        <f aca="false">IFERROR(__xludf.dummyfunction("if($T103&lt;&gt;"""",VALUE(REGEXEXTRACT($T103, P$1&amp;""[\w &amp;]*, (\d+\.\d+)"")),"""")
"),220.95)</f>
        <v>220.95</v>
      </c>
      <c r="Q103" s="2" t="n">
        <f aca="false">IFERROR(__xludf.dummyfunction("if($T103&lt;&gt;"""",VALUE(REGEXEXTRACT($T103, Q$1&amp;""[\w &amp;]*, (\d+\.\d+)"")),"""")
"),218.47)</f>
        <v>218.47</v>
      </c>
      <c r="R103" s="2" t="n">
        <f aca="false">IFERROR(__xludf.dummyfunction("if($T103&lt;&gt;"""",VALUE(REGEXEXTRACT($T103, SUBSTITUTE(R$1, ""+"", ""\+"")&amp;""[\w &amp;]*, (\d+\.\d+)"")),"""")"),225.89)</f>
        <v>225.89</v>
      </c>
      <c r="S103" s="2" t="n">
        <f aca="false">IFERROR(__xludf.dummyfunction("if($T103&lt;&gt;"""",VALUE(REGEXEXTRACT($T103, SUBSTITUTE(S$1, ""+"", ""\+"")&amp;""[\w &amp;]*, (\d+\.\d+)"")),"""")"),228.37)</f>
        <v>228.37</v>
      </c>
      <c r="T103" s="5" t="s">
        <v>725</v>
      </c>
    </row>
    <row r="104" customFormat="false" ht="15.75" hidden="false" customHeight="false" outlineLevel="0" collapsed="false">
      <c r="A104" s="4" t="n">
        <f aca="false">IFERROR(__xludf.dummyfunction("""COMPUTED_VALUE"""),45558.6666666667)</f>
        <v>45558.6666666667</v>
      </c>
      <c r="B104" s="2" t="n">
        <f aca="false">IFERROR(__xludf.dummyfunction("""COMPUTED_VALUE"""),222.69)</f>
        <v>222.69</v>
      </c>
      <c r="C104" s="2" t="n">
        <f aca="false">IFERROR(__xludf.dummyfunction("""COMPUTED_VALUE"""),223.11)</f>
        <v>223.11</v>
      </c>
      <c r="D104" s="2" t="n">
        <f aca="false">IFERROR(__xludf.dummyfunction("""COMPUTED_VALUE"""),220.02)</f>
        <v>220.02</v>
      </c>
      <c r="E104" s="2" t="n">
        <f aca="false">IFERROR(__xludf.dummyfunction("""COMPUTED_VALUE"""),220.76)</f>
        <v>220.76</v>
      </c>
      <c r="F104" s="3" t="n">
        <f aca="false">IFERROR(__xludf.dummyfunction("if($T104&lt;&gt;"""",VALUE(REGEXEXTRACT(SUBSTITUTE ($T104,F$1&amp;"" CE"",""""), F$1&amp;""[\w &amp;]*, (\d+\.\d+)"")),"""")
"),220)</f>
        <v>220</v>
      </c>
      <c r="G104" s="3" t="n">
        <f aca="false">IFERROR(__xludf.dummyfunction("if($T104&lt;&gt;"""",VALUE(REGEXEXTRACT($T104, G$1&amp;""[\w &amp;]*, (\d+\.\d+)"")),"""")
"),225)</f>
        <v>225</v>
      </c>
      <c r="H104" s="3" t="n">
        <f aca="false">IFERROR(__xludf.dummyfunction("if($T104&lt;&gt;"""",VALUE(REGEXEXTRACT($T104, H$1&amp;""[\w &amp;]*, (\d+\.\d+)"")),"""")
"),228)</f>
        <v>228</v>
      </c>
      <c r="I104" s="3" t="n">
        <f aca="false">IFERROR(__xludf.dummyfunction("if($T104&lt;&gt;"""",VALUE(REGEXEXTRACT(SUBSTITUTE ($T104,I$1&amp;"" CE"",""""), I$1&amp;""[\w &amp;]*, (\d+\.\d+)"")),"""")
"),210)</f>
        <v>210</v>
      </c>
      <c r="J104" s="3" t="n">
        <f aca="false">IFERROR(__xludf.dummyfunction("if($T104&lt;&gt;"""",VALUE(REGEXEXTRACT($T104, J$1&amp;""[\w &amp;]*, (\d+\.\d+)"")),"""")
"),218)</f>
        <v>218</v>
      </c>
      <c r="K104" s="3" t="n">
        <f aca="false">IFERROR(__xludf.dummyfunction("if($T104&lt;&gt;"""",VALUE(REGEXEXTRACT($T104, K$1&amp;""[\w &amp;]*, (\d+\.\d+)"")),"""")
"),208)</f>
        <v>208</v>
      </c>
      <c r="L104" s="3" t="n">
        <f aca="false">IFERROR(__xludf.dummyfunction("if($T104&lt;&gt;"""",VALUE(REGEXEXTRACT(SUBSTITUTE ($T104,L$1&amp;"" CE"",""""), L$1&amp;""[\w &amp;]*, (\d+\.\d+)"")),"""")
"),219)</f>
        <v>219</v>
      </c>
      <c r="M104" s="3" t="n">
        <f aca="false">IFERROR(__xludf.dummyfunction("if($T104&lt;&gt;"""",VALUE(REGEXEXTRACT($T104, M$1&amp;""[\w &amp;]*, (\d+\.\d+)"")),"""")
"),221)</f>
        <v>221</v>
      </c>
      <c r="N104" s="3" t="n">
        <f aca="false">IFERROR(__xludf.dummyfunction("if($T104&lt;&gt;"""",VALUE(REGEXEXTRACT(SUBSTITUTE ($T104,N$1&amp;"" CE"",""""), N$1&amp;""[\w &amp;]*, (\d+\.\d+)"")),"""")
"),220)</f>
        <v>220</v>
      </c>
      <c r="O104" s="3" t="n">
        <f aca="false">IFERROR(__xludf.dummyfunction("if($T104&lt;&gt;"""",VALUE(REGEXEXTRACT($T104, O$1&amp;""[\w &amp;]*, (\d+\.\d+)"")),"""")
"),220)</f>
        <v>220</v>
      </c>
      <c r="P104" s="2" t="n">
        <f aca="false">IFERROR(__xludf.dummyfunction("if($T104&lt;&gt;"""",VALUE(REGEXEXTRACT($T104, P$1&amp;""[\w &amp;]*, (\d+\.\d+)"")),"""")
"),220.55)</f>
        <v>220.55</v>
      </c>
      <c r="Q104" s="2" t="n">
        <f aca="false">IFERROR(__xludf.dummyfunction("if($T104&lt;&gt;"""",VALUE(REGEXEXTRACT($T104, Q$1&amp;""[\w &amp;]*, (\d+\.\d+)"")),"""")
"),219.71)</f>
        <v>219.71</v>
      </c>
      <c r="R104" s="2" t="n">
        <f aca="false">IFERROR(__xludf.dummyfunction("if($T104&lt;&gt;"""",VALUE(REGEXEXTRACT($T104, SUBSTITUTE(R$1, ""+"", ""\+"")&amp;""[\w &amp;]*, (\d+\.\d+)"")),"""")"),224.57)</f>
        <v>224.57</v>
      </c>
      <c r="S104" s="2" t="n">
        <f aca="false">IFERROR(__xludf.dummyfunction("if($T104&lt;&gt;"""",VALUE(REGEXEXTRACT($T104, SUBSTITUTE(S$1, ""+"", ""\+"")&amp;""[\w &amp;]*, (\d+\.\d+)"")),"""")"),225.41)</f>
        <v>225.41</v>
      </c>
      <c r="T104" s="5" t="s">
        <v>726</v>
      </c>
    </row>
    <row r="105" customFormat="false" ht="15.75" hidden="false" customHeight="false" outlineLevel="0" collapsed="false">
      <c r="A105" s="4" t="n">
        <f aca="false">IFERROR(__xludf.dummyfunction("""COMPUTED_VALUE"""),45559.6666666667)</f>
        <v>45559.6666666667</v>
      </c>
      <c r="B105" s="2" t="n">
        <f aca="false">IFERROR(__xludf.dummyfunction("""COMPUTED_VALUE"""),221.63)</f>
        <v>221.63</v>
      </c>
      <c r="C105" s="2" t="n">
        <f aca="false">IFERROR(__xludf.dummyfunction("""COMPUTED_VALUE"""),221.93)</f>
        <v>221.93</v>
      </c>
      <c r="D105" s="2" t="n">
        <f aca="false">IFERROR(__xludf.dummyfunction("""COMPUTED_VALUE"""),219.5)</f>
        <v>219.5</v>
      </c>
      <c r="E105" s="2" t="n">
        <f aca="false">IFERROR(__xludf.dummyfunction("""COMPUTED_VALUE"""),221.13)</f>
        <v>221.13</v>
      </c>
      <c r="F105" s="3" t="n">
        <f aca="false">IFERROR(__xludf.dummyfunction("if($T105&lt;&gt;"""",VALUE(REGEXEXTRACT(SUBSTITUTE ($T105,F$1&amp;"" CE"",""""), F$1&amp;""[\w &amp;]*, (\d+\.\d+)"")),"""")
"),220)</f>
        <v>220</v>
      </c>
      <c r="G105" s="3" t="n">
        <f aca="false">IFERROR(__xludf.dummyfunction("if($T105&lt;&gt;"""",VALUE(REGEXEXTRACT($T105, G$1&amp;""[\w &amp;]*, (\d+\.\d+)"")),"""")
"),221)</f>
        <v>221</v>
      </c>
      <c r="H105" s="3" t="n">
        <f aca="false">IFERROR(__xludf.dummyfunction("if($T105&lt;&gt;"""",VALUE(REGEXEXTRACT($T105, H$1&amp;""[\w &amp;]*, (\d+\.\d+)"")),"""")
"),228)</f>
        <v>228</v>
      </c>
      <c r="I105" s="3" t="n">
        <f aca="false">IFERROR(__xludf.dummyfunction("if($T105&lt;&gt;"""",VALUE(REGEXEXTRACT(SUBSTITUTE ($T105,I$1&amp;"" CE"",""""), I$1&amp;""[\w &amp;]*, (\d+\.\d+)"")),"""")
"),210)</f>
        <v>210</v>
      </c>
      <c r="J105" s="3" t="n">
        <f aca="false">IFERROR(__xludf.dummyfunction("if($T105&lt;&gt;"""",VALUE(REGEXEXTRACT($T105, J$1&amp;""[\w &amp;]*, (\d+\.\d+)"")),"""")
"),219)</f>
        <v>219</v>
      </c>
      <c r="K105" s="3" t="n">
        <f aca="false">IFERROR(__xludf.dummyfunction("if($T105&lt;&gt;"""",VALUE(REGEXEXTRACT($T105, K$1&amp;""[\w &amp;]*, (\d+\.\d+)"")),"""")
"),208)</f>
        <v>208</v>
      </c>
      <c r="L105" s="3" t="n">
        <f aca="false">IFERROR(__xludf.dummyfunction("if($T105&lt;&gt;"""",VALUE(REGEXEXTRACT(SUBSTITUTE ($T105,L$1&amp;"" CE"",""""), L$1&amp;""[\w &amp;]*, (\d+\.\d+)"")),"""")
"),219)</f>
        <v>219</v>
      </c>
      <c r="M105" s="3" t="n">
        <f aca="false">IFERROR(__xludf.dummyfunction("if($T105&lt;&gt;"""",VALUE(REGEXEXTRACT($T105, M$1&amp;""[\w &amp;]*, (\d+\.\d+)"")),"""")
"),220)</f>
        <v>220</v>
      </c>
      <c r="N105" s="3" t="n">
        <f aca="false">IFERROR(__xludf.dummyfunction("if($T105&lt;&gt;"""",VALUE(REGEXEXTRACT(SUBSTITUTE ($T105,N$1&amp;"" CE"",""""), N$1&amp;""[\w &amp;]*, (\d+\.\d+)"")),"""")
"),220)</f>
        <v>220</v>
      </c>
      <c r="O105" s="3" t="n">
        <f aca="false">IFERROR(__xludf.dummyfunction("if($T105&lt;&gt;"""",VALUE(REGEXEXTRACT($T105, O$1&amp;""[\w &amp;]*, (\d+\.\d+)"")),"""")
"),221)</f>
        <v>221</v>
      </c>
      <c r="P105" s="2" t="n">
        <f aca="false">IFERROR(__xludf.dummyfunction("if($T105&lt;&gt;"""",VALUE(REGEXEXTRACT($T105, P$1&amp;""[\w &amp;]*, (\d+\.\d+)"")),"""")
"),219.34)</f>
        <v>219.34</v>
      </c>
      <c r="Q105" s="2" t="n">
        <f aca="false">IFERROR(__xludf.dummyfunction("if($T105&lt;&gt;"""",VALUE(REGEXEXTRACT($T105, Q$1&amp;""[\w &amp;]*, (\d+\.\d+)"")),"""")
"),218.44)</f>
        <v>218.44</v>
      </c>
      <c r="R105" s="2" t="n">
        <f aca="false">IFERROR(__xludf.dummyfunction("if($T105&lt;&gt;"""",VALUE(REGEXEXTRACT($T105, SUBSTITUTE(R$1, ""+"", ""\+"")&amp;""[\w &amp;]*, (\d+\.\d+)"")),"""")"),223.64)</f>
        <v>223.64</v>
      </c>
      <c r="S105" s="2" t="n">
        <f aca="false">IFERROR(__xludf.dummyfunction("if($T105&lt;&gt;"""",VALUE(REGEXEXTRACT($T105, SUBSTITUTE(S$1, ""+"", ""\+"")&amp;""[\w &amp;]*, (\d+\.\d+)"")),"""")"),224.54)</f>
        <v>224.54</v>
      </c>
      <c r="T105" s="5" t="s">
        <v>727</v>
      </c>
    </row>
    <row r="106" customFormat="false" ht="15.75" hidden="false" customHeight="false" outlineLevel="0" collapsed="false">
      <c r="A106" s="4" t="n">
        <f aca="false">IFERROR(__xludf.dummyfunction("""COMPUTED_VALUE"""),45560.6666666667)</f>
        <v>45560.6666666667</v>
      </c>
      <c r="B106" s="2" t="n">
        <f aca="false">IFERROR(__xludf.dummyfunction("""COMPUTED_VALUE"""),220.32)</f>
        <v>220.32</v>
      </c>
      <c r="C106" s="2" t="n">
        <f aca="false">IFERROR(__xludf.dummyfunction("""COMPUTED_VALUE"""),220.61)</f>
        <v>220.61</v>
      </c>
      <c r="D106" s="2" t="n">
        <f aca="false">IFERROR(__xludf.dummyfunction("""COMPUTED_VALUE"""),217.54)</f>
        <v>217.54</v>
      </c>
      <c r="E106" s="2" t="n">
        <f aca="false">IFERROR(__xludf.dummyfunction("""COMPUTED_VALUE"""),217.69)</f>
        <v>217.69</v>
      </c>
      <c r="F106" s="3" t="n">
        <f aca="false">IFERROR(__xludf.dummyfunction("if($T106&lt;&gt;"""",VALUE(REGEXEXTRACT(SUBSTITUTE ($T106,F$1&amp;"" CE"",""""), F$1&amp;""[\w &amp;]*, (\d+\.\d+)"")),"""")
"),220)</f>
        <v>220</v>
      </c>
      <c r="G106" s="3" t="n">
        <f aca="false">IFERROR(__xludf.dummyfunction("if($T106&lt;&gt;"""",VALUE(REGEXEXTRACT($T106, G$1&amp;""[\w &amp;]*, (\d+\.\d+)"")),"""")
"),223)</f>
        <v>223</v>
      </c>
      <c r="H106" s="3" t="n">
        <f aca="false">IFERROR(__xludf.dummyfunction("if($T106&lt;&gt;"""",VALUE(REGEXEXTRACT($T106, H$1&amp;""[\w &amp;]*, (\d+\.\d+)"")),"""")
"),228)</f>
        <v>228</v>
      </c>
      <c r="I106" s="3" t="n">
        <f aca="false">IFERROR(__xludf.dummyfunction("if($T106&lt;&gt;"""",VALUE(REGEXEXTRACT(SUBSTITUTE ($T106,I$1&amp;"" CE"",""""), I$1&amp;""[\w &amp;]*, (\d+\.\d+)"")),"""")
"),220)</f>
        <v>220</v>
      </c>
      <c r="J106" s="3" t="n">
        <f aca="false">IFERROR(__xludf.dummyfunction("if($T106&lt;&gt;"""",VALUE(REGEXEXTRACT($T106, J$1&amp;""[\w &amp;]*, (\d+\.\d+)"")),"""")
"),220)</f>
        <v>220</v>
      </c>
      <c r="K106" s="3" t="n">
        <f aca="false">IFERROR(__xludf.dummyfunction("if($T106&lt;&gt;"""",VALUE(REGEXEXTRACT($T106, K$1&amp;""[\w &amp;]*, (\d+\.\d+)"")),"""")
"),208)</f>
        <v>208</v>
      </c>
      <c r="L106" s="3" t="n">
        <f aca="false">IFERROR(__xludf.dummyfunction("if($T106&lt;&gt;"""",VALUE(REGEXEXTRACT(SUBSTITUTE ($T106,L$1&amp;"" CE"",""""), L$1&amp;""[\w &amp;]*, (\d+\.\d+)"")),"""")
"),219)</f>
        <v>219</v>
      </c>
      <c r="M106" s="3" t="n">
        <f aca="false">IFERROR(__xludf.dummyfunction("if($T106&lt;&gt;"""",VALUE(REGEXEXTRACT($T106, M$1&amp;""[\w &amp;]*, (\d+\.\d+)"")),"""")
"),220)</f>
        <v>220</v>
      </c>
      <c r="N106" s="3" t="n">
        <f aca="false">IFERROR(__xludf.dummyfunction("if($T106&lt;&gt;"""",VALUE(REGEXEXTRACT(SUBSTITUTE ($T106,N$1&amp;"" CE"",""""), N$1&amp;""[\w &amp;]*, (\d+\.\d+)"")),"""")
"),220)</f>
        <v>220</v>
      </c>
      <c r="O106" s="3" t="n">
        <f aca="false">IFERROR(__xludf.dummyfunction("if($T106&lt;&gt;"""",VALUE(REGEXEXTRACT($T106, O$1&amp;""[\w &amp;]*, (\d+\.\d+)"")),"""")
"),222)</f>
        <v>222</v>
      </c>
      <c r="P106" s="2" t="n">
        <f aca="false">IFERROR(__xludf.dummyfunction("if($T106&lt;&gt;"""",VALUE(REGEXEXTRACT($T106, P$1&amp;""[\w &amp;]*, (\d+\.\d+)"")),"""")
"),218.5)</f>
        <v>218.5</v>
      </c>
      <c r="Q106" s="2" t="n">
        <f aca="false">IFERROR(__xludf.dummyfunction("if($T106&lt;&gt;"""",VALUE(REGEXEXTRACT($T106, Q$1&amp;""[\w &amp;]*, (\d+\.\d+)"")),"""")
"),217.63)</f>
        <v>217.63</v>
      </c>
      <c r="R106" s="2" t="n">
        <f aca="false">IFERROR(__xludf.dummyfunction("if($T106&lt;&gt;"""",VALUE(REGEXEXTRACT($T106, SUBSTITUTE(R$1, ""+"", ""\+"")&amp;""[\w &amp;]*, (\d+\.\d+)"")),"""")"),222.66)</f>
        <v>222.66</v>
      </c>
      <c r="S106" s="2" t="n">
        <f aca="false">IFERROR(__xludf.dummyfunction("if($T106&lt;&gt;"""",VALUE(REGEXEXTRACT($T106, SUBSTITUTE(S$1, ""+"", ""\+"")&amp;""[\w &amp;]*, (\d+\.\d+)"")),"""")"),223.53)</f>
        <v>223.53</v>
      </c>
      <c r="T106" s="5" t="s">
        <v>728</v>
      </c>
    </row>
    <row r="107" customFormat="false" ht="15.75" hidden="false" customHeight="false" outlineLevel="0" collapsed="false">
      <c r="A107" s="4" t="n">
        <f aca="false">IFERROR(__xludf.dummyfunction("""COMPUTED_VALUE"""),45561.6666666667)</f>
        <v>45561.6666666667</v>
      </c>
      <c r="B107" s="2" t="n">
        <f aca="false">IFERROR(__xludf.dummyfunction("""COMPUTED_VALUE"""),220.49)</f>
        <v>220.49</v>
      </c>
      <c r="C107" s="2" t="n">
        <f aca="false">IFERROR(__xludf.dummyfunction("""COMPUTED_VALUE"""),221.13)</f>
        <v>221.13</v>
      </c>
      <c r="D107" s="2" t="n">
        <f aca="false">IFERROR(__xludf.dummyfunction("""COMPUTED_VALUE"""),218.38)</f>
        <v>218.38</v>
      </c>
      <c r="E107" s="2" t="n">
        <f aca="false">IFERROR(__xludf.dummyfunction("""COMPUTED_VALUE"""),218.85)</f>
        <v>218.85</v>
      </c>
      <c r="F107" s="3" t="n">
        <f aca="false">IFERROR(__xludf.dummyfunction("if($T107&lt;&gt;"""",VALUE(REGEXEXTRACT(SUBSTITUTE ($T107,F$1&amp;"" CE"",""""), F$1&amp;""[\w &amp;]*, (\d+\.\d+)"")),"""")
"),220)</f>
        <v>220</v>
      </c>
      <c r="G107" s="3" t="n">
        <f aca="false">IFERROR(__xludf.dummyfunction("if($T107&lt;&gt;"""",VALUE(REGEXEXTRACT($T107, G$1&amp;""[\w &amp;]*, (\d+\.\d+)"")),"""")
"),220)</f>
        <v>220</v>
      </c>
      <c r="H107" s="3" t="n">
        <f aca="false">IFERROR(__xludf.dummyfunction("if($T107&lt;&gt;"""",VALUE(REGEXEXTRACT($T107, H$1&amp;""[\w &amp;]*, (\d+\.\d+)"")),"""")
"),228)</f>
        <v>228</v>
      </c>
      <c r="I107" s="3" t="n">
        <f aca="false">IFERROR(__xludf.dummyfunction("if($T107&lt;&gt;"""",VALUE(REGEXEXTRACT(SUBSTITUTE ($T107,I$1&amp;"" CE"",""""), I$1&amp;""[\w &amp;]*, (\d+\.\d+)"")),"""")
"),210)</f>
        <v>210</v>
      </c>
      <c r="J107" s="3" t="n">
        <f aca="false">IFERROR(__xludf.dummyfunction("if($T107&lt;&gt;"""",VALUE(REGEXEXTRACT($T107, J$1&amp;""[\w &amp;]*, (\d+\.\d+)"")),"""")
"),216)</f>
        <v>216</v>
      </c>
      <c r="K107" s="3" t="n">
        <f aca="false">IFERROR(__xludf.dummyfunction("if($T107&lt;&gt;"""",VALUE(REGEXEXTRACT($T107, K$1&amp;""[\w &amp;]*, (\d+\.\d+)"")),"""")
"),208)</f>
        <v>208</v>
      </c>
      <c r="L107" s="3" t="n">
        <f aca="false">IFERROR(__xludf.dummyfunction("if($T107&lt;&gt;"""",VALUE(REGEXEXTRACT(SUBSTITUTE ($T107,L$1&amp;"" CE"",""""), L$1&amp;""[\w &amp;]*, (\d+\.\d+)"")),"""")
"),218)</f>
        <v>218</v>
      </c>
      <c r="M107" s="3" t="n">
        <f aca="false">IFERROR(__xludf.dummyfunction("if($T107&lt;&gt;"""",VALUE(REGEXEXTRACT($T107, M$1&amp;""[\w &amp;]*, (\d+\.\d+)"")),"""")
"),216)</f>
        <v>216</v>
      </c>
      <c r="N107" s="3" t="n">
        <f aca="false">IFERROR(__xludf.dummyfunction("if($T107&lt;&gt;"""",VALUE(REGEXEXTRACT(SUBSTITUTE ($T107,N$1&amp;"" CE"",""""), N$1&amp;""[\w &amp;]*, (\d+\.\d+)"")),"""")
"),220)</f>
        <v>220</v>
      </c>
      <c r="O107" s="3" t="n">
        <f aca="false">IFERROR(__xludf.dummyfunction("if($T107&lt;&gt;"""",VALUE(REGEXEXTRACT($T107, O$1&amp;""[\w &amp;]*, (\d+\.\d+)"")),"""")
"),217)</f>
        <v>217</v>
      </c>
      <c r="P107" s="2" t="n">
        <f aca="false">IFERROR(__xludf.dummyfunction("if($T107&lt;&gt;"""",VALUE(REGEXEXTRACT($T107, P$1&amp;""[\w &amp;]*, (\d+\.\d+)"")),"""")
"),217.7)</f>
        <v>217.7</v>
      </c>
      <c r="Q107" s="2" t="n">
        <f aca="false">IFERROR(__xludf.dummyfunction("if($T107&lt;&gt;"""",VALUE(REGEXEXTRACT($T107, Q$1&amp;""[\w &amp;]*, (\d+\.\d+)"")),"""")
"),216.83)</f>
        <v>216.83</v>
      </c>
      <c r="R107" s="2" t="n">
        <f aca="false">IFERROR(__xludf.dummyfunction("if($T107&lt;&gt;"""",VALUE(REGEXEXTRACT($T107, SUBSTITUTE(R$1, ""+"", ""\+"")&amp;""[\w &amp;]*, (\d+\.\d+)"")),"""")"),221.88)</f>
        <v>221.88</v>
      </c>
      <c r="S107" s="2" t="n">
        <f aca="false">IFERROR(__xludf.dummyfunction("if($T107&lt;&gt;"""",VALUE(REGEXEXTRACT($T107, SUBSTITUTE(S$1, ""+"", ""\+"")&amp;""[\w &amp;]*, (\d+\.\d+)"")),"""")"),222.75)</f>
        <v>222.75</v>
      </c>
      <c r="T107" s="5" t="s">
        <v>729</v>
      </c>
    </row>
    <row r="108" customFormat="false" ht="15.75" hidden="false" customHeight="false" outlineLevel="0" collapsed="false">
      <c r="A108" s="4" t="n">
        <f aca="false">IFERROR(__xludf.dummyfunction("""COMPUTED_VALUE"""),45562.6666666667)</f>
        <v>45562.6666666667</v>
      </c>
      <c r="B108" s="2" t="n">
        <f aca="false">IFERROR(__xludf.dummyfunction("""COMPUTED_VALUE"""),220.86)</f>
        <v>220.86</v>
      </c>
      <c r="C108" s="2" t="n">
        <f aca="false">IFERROR(__xludf.dummyfunction("""COMPUTED_VALUE"""),222.6)</f>
        <v>222.6</v>
      </c>
      <c r="D108" s="2" t="n">
        <f aca="false">IFERROR(__xludf.dummyfunction("""COMPUTED_VALUE"""),219.53)</f>
        <v>219.53</v>
      </c>
      <c r="E108" s="2" t="n">
        <f aca="false">IFERROR(__xludf.dummyfunction("""COMPUTED_VALUE"""),220.33)</f>
        <v>220.33</v>
      </c>
      <c r="F108" s="3" t="n">
        <f aca="false">IFERROR(__xludf.dummyfunction("if($T108&lt;&gt;"""",VALUE(REGEXEXTRACT(SUBSTITUTE ($T108,F$1&amp;"" CE"",""""), F$1&amp;""[\w &amp;]*, (\d+\.\d+)"")),"""")
"),220)</f>
        <v>220</v>
      </c>
      <c r="G108" s="3" t="n">
        <f aca="false">IFERROR(__xludf.dummyfunction("if($T108&lt;&gt;"""",VALUE(REGEXEXTRACT($T108, G$1&amp;""[\w &amp;]*, (\d+\.\d+)"")),"""")
"),221)</f>
        <v>221</v>
      </c>
      <c r="H108" s="3" t="n">
        <f aca="false">IFERROR(__xludf.dummyfunction("if($T108&lt;&gt;"""",VALUE(REGEXEXTRACT($T108, H$1&amp;""[\w &amp;]*, (\d+\.\d+)"")),"""")
"),228)</f>
        <v>228</v>
      </c>
      <c r="I108" s="3" t="n">
        <f aca="false">IFERROR(__xludf.dummyfunction("if($T108&lt;&gt;"""",VALUE(REGEXEXTRACT(SUBSTITUTE ($T108,I$1&amp;"" CE"",""""), I$1&amp;""[\w &amp;]*, (\d+\.\d+)"")),"""")
"),210)</f>
        <v>210</v>
      </c>
      <c r="J108" s="3" t="n">
        <f aca="false">IFERROR(__xludf.dummyfunction("if($T108&lt;&gt;"""",VALUE(REGEXEXTRACT($T108, J$1&amp;""[\w &amp;]*, (\d+\.\d+)"")),"""")
"),217)</f>
        <v>217</v>
      </c>
      <c r="K108" s="3" t="n">
        <f aca="false">IFERROR(__xludf.dummyfunction("if($T108&lt;&gt;"""",VALUE(REGEXEXTRACT($T108, K$1&amp;""[\w &amp;]*, (\d+\.\d+)"")),"""")
"),208)</f>
        <v>208</v>
      </c>
      <c r="L108" s="3" t="n">
        <f aca="false">IFERROR(__xludf.dummyfunction("if($T108&lt;&gt;"""",VALUE(REGEXEXTRACT(SUBSTITUTE ($T108,L$1&amp;"" CE"",""""), L$1&amp;""[\w &amp;]*, (\d+\.\d+)"")),"""")
"),219)</f>
        <v>219</v>
      </c>
      <c r="M108" s="3" t="n">
        <f aca="false">IFERROR(__xludf.dummyfunction("if($T108&lt;&gt;"""",VALUE(REGEXEXTRACT($T108, M$1&amp;""[\w &amp;]*, (\d+\.\d+)"")),"""")
"),219)</f>
        <v>219</v>
      </c>
      <c r="N108" s="3" t="n">
        <f aca="false">IFERROR(__xludf.dummyfunction("if($T108&lt;&gt;"""",VALUE(REGEXEXTRACT(SUBSTITUTE ($T108,N$1&amp;"" CE"",""""), N$1&amp;""[\w &amp;]*, (\d+\.\d+)"")),"""")
"),220)</f>
        <v>220</v>
      </c>
      <c r="O108" s="3" t="n">
        <f aca="false">IFERROR(__xludf.dummyfunction("if($T108&lt;&gt;"""",VALUE(REGEXEXTRACT($T108, O$1&amp;""[\w &amp;]*, (\d+\.\d+)"")),"""")
"),220)</f>
        <v>220</v>
      </c>
      <c r="P108" s="2" t="n">
        <f aca="false">IFERROR(__xludf.dummyfunction("if($T108&lt;&gt;"""",VALUE(REGEXEXTRACT($T108, P$1&amp;""[\w &amp;]*, (\d+\.\d+)"")),"""")
"),217.07)</f>
        <v>217.07</v>
      </c>
      <c r="Q108" s="2" t="n">
        <f aca="false">IFERROR(__xludf.dummyfunction("if($T108&lt;&gt;"""",VALUE(REGEXEXTRACT($T108, Q$1&amp;""[\w &amp;]*, (\d+\.\d+)"")),"""")
"),214.71)</f>
        <v>214.71</v>
      </c>
      <c r="R108" s="2" t="n">
        <f aca="false">IFERROR(__xludf.dummyfunction("if($T108&lt;&gt;"""",VALUE(REGEXEXTRACT($T108, SUBSTITUTE(R$1, ""+"", ""\+"")&amp;""[\w &amp;]*, (\d+\.\d+)"")),"""")"),221.77)</f>
        <v>221.77</v>
      </c>
      <c r="S108" s="2" t="n">
        <f aca="false">IFERROR(__xludf.dummyfunction("if($T108&lt;&gt;"""",VALUE(REGEXEXTRACT($T108, SUBSTITUTE(S$1, ""+"", ""\+"")&amp;""[\w &amp;]*, (\d+\.\d+)"")),"""")"),224.13)</f>
        <v>224.13</v>
      </c>
      <c r="T108" s="5" t="s">
        <v>730</v>
      </c>
    </row>
    <row r="109" customFormat="false" ht="15.75" hidden="false" customHeight="false" outlineLevel="0" collapsed="false">
      <c r="A109" s="4" t="n">
        <f aca="false">IFERROR(__xludf.dummyfunction("""COMPUTED_VALUE"""),45565.6666666667)</f>
        <v>45565.6666666667</v>
      </c>
      <c r="B109" s="2" t="n">
        <f aca="false">IFERROR(__xludf.dummyfunction("""COMPUTED_VALUE"""),219.42)</f>
        <v>219.42</v>
      </c>
      <c r="C109" s="2" t="n">
        <f aca="false">IFERROR(__xludf.dummyfunction("""COMPUTED_VALUE"""),221.59)</f>
        <v>221.59</v>
      </c>
      <c r="D109" s="2" t="n">
        <f aca="false">IFERROR(__xludf.dummyfunction("""COMPUTED_VALUE"""),218.58)</f>
        <v>218.58</v>
      </c>
      <c r="E109" s="2" t="n">
        <f aca="false">IFERROR(__xludf.dummyfunction("""COMPUTED_VALUE"""),220.89)</f>
        <v>220.89</v>
      </c>
      <c r="F109" s="3" t="n">
        <f aca="false">IFERROR(__xludf.dummyfunction("if($T109&lt;&gt;"""",VALUE(REGEXEXTRACT(SUBSTITUTE ($T109,F$1&amp;"" CE"",""""), F$1&amp;""[\w &amp;]*, (\d+\.\d+)"")),"""")
"),220)</f>
        <v>220</v>
      </c>
      <c r="G109" s="3" t="n">
        <f aca="false">IFERROR(__xludf.dummyfunction("if($T109&lt;&gt;"""",VALUE(REGEXEXTRACT($T109, G$1&amp;""[\w &amp;]*, (\d+\.\d+)"")),"""")
"),222)</f>
        <v>222</v>
      </c>
      <c r="H109" s="3" t="n">
        <f aca="false">IFERROR(__xludf.dummyfunction("if($T109&lt;&gt;"""",VALUE(REGEXEXTRACT($T109, H$1&amp;""[\w &amp;]*, (\d+\.\d+)"")),"""")
"),228)</f>
        <v>228</v>
      </c>
      <c r="I109" s="3" t="n">
        <f aca="false">IFERROR(__xludf.dummyfunction("if($T109&lt;&gt;"""",VALUE(REGEXEXTRACT(SUBSTITUTE ($T109,I$1&amp;"" CE"",""""), I$1&amp;""[\w &amp;]*, (\d+\.\d+)"")),"""")
"),210)</f>
        <v>210</v>
      </c>
      <c r="J109" s="3" t="n">
        <f aca="false">IFERROR(__xludf.dummyfunction("if($T109&lt;&gt;"""",VALUE(REGEXEXTRACT($T109, J$1&amp;""[\w &amp;]*, (\d+\.\d+)"")),"""")
"),217)</f>
        <v>217</v>
      </c>
      <c r="K109" s="3" t="n">
        <f aca="false">IFERROR(__xludf.dummyfunction("if($T109&lt;&gt;"""",VALUE(REGEXEXTRACT($T109, K$1&amp;""[\w &amp;]*, (\d+\.\d+)"")),"""")
"),208)</f>
        <v>208</v>
      </c>
      <c r="L109" s="3" t="n">
        <f aca="false">IFERROR(__xludf.dummyfunction("if($T109&lt;&gt;"""",VALUE(REGEXEXTRACT(SUBSTITUTE ($T109,L$1&amp;"" CE"",""""), L$1&amp;""[\w &amp;]*, (\d+\.\d+)"")),"""")
"),219)</f>
        <v>219</v>
      </c>
      <c r="M109" s="3" t="n">
        <f aca="false">IFERROR(__xludf.dummyfunction("if($T109&lt;&gt;"""",VALUE(REGEXEXTRACT($T109, M$1&amp;""[\w &amp;]*, (\d+\.\d+)"")),"""")
"),219)</f>
        <v>219</v>
      </c>
      <c r="N109" s="3" t="n">
        <f aca="false">IFERROR(__xludf.dummyfunction("if($T109&lt;&gt;"""",VALUE(REGEXEXTRACT(SUBSTITUTE ($T109,N$1&amp;"" CE"",""""), N$1&amp;""[\w &amp;]*, (\d+\.\d+)"")),"""")
"),220)</f>
        <v>220</v>
      </c>
      <c r="O109" s="3" t="n">
        <f aca="false">IFERROR(__xludf.dummyfunction("if($T109&lt;&gt;"""",VALUE(REGEXEXTRACT($T109, O$1&amp;""[\w &amp;]*, (\d+\.\d+)"")),"""")
"),220)</f>
        <v>220</v>
      </c>
      <c r="P109" s="2" t="n">
        <f aca="false">IFERROR(__xludf.dummyfunction("if($T109&lt;&gt;"""",VALUE(REGEXEXTRACT($T109, P$1&amp;""[\w &amp;]*, (\d+\.\d+)"")),"""")
"),216.73)</f>
        <v>216.73</v>
      </c>
      <c r="Q109" s="2" t="n">
        <f aca="false">IFERROR(__xludf.dummyfunction("if($T109&lt;&gt;"""",VALUE(REGEXEXTRACT($T109, Q$1&amp;""[\w &amp;]*, (\d+\.\d+)"")),"""")
"),215.78)</f>
        <v>215.78</v>
      </c>
      <c r="R109" s="2" t="n">
        <f aca="false">IFERROR(__xludf.dummyfunction("if($T109&lt;&gt;"""",VALUE(REGEXEXTRACT($T109, SUBSTITUTE(R$1, ""+"", ""\+"")&amp;""[\w &amp;]*, (\d+\.\d+)"")),"""")"),221.35)</f>
        <v>221.35</v>
      </c>
      <c r="S109" s="2" t="n">
        <f aca="false">IFERROR(__xludf.dummyfunction("if($T109&lt;&gt;"""",VALUE(REGEXEXTRACT($T109, SUBSTITUTE(S$1, ""+"", ""\+"")&amp;""[\w &amp;]*, (\d+\.\d+)"")),"""")"),222.3)</f>
        <v>222.3</v>
      </c>
      <c r="T109" s="5" t="s">
        <v>731</v>
      </c>
    </row>
    <row r="110" customFormat="false" ht="15.75" hidden="false" customHeight="false" outlineLevel="0" collapsed="false">
      <c r="A110" s="4" t="n">
        <f aca="false">IFERROR(__xludf.dummyfunction("""COMPUTED_VALUE"""),45566.6666666667)</f>
        <v>45566.6666666667</v>
      </c>
      <c r="B110" s="2" t="n">
        <f aca="false">IFERROR(__xludf.dummyfunction("""COMPUTED_VALUE"""),220.17)</f>
        <v>220.17</v>
      </c>
      <c r="C110" s="2" t="n">
        <f aca="false">IFERROR(__xludf.dummyfunction("""COMPUTED_VALUE"""),220.34)</f>
        <v>220.34</v>
      </c>
      <c r="D110" s="2" t="n">
        <f aca="false">IFERROR(__xludf.dummyfunction("""COMPUTED_VALUE"""),216.3)</f>
        <v>216.3</v>
      </c>
      <c r="E110" s="2" t="n">
        <f aca="false">IFERROR(__xludf.dummyfunction("""COMPUTED_VALUE"""),217.89)</f>
        <v>217.89</v>
      </c>
      <c r="F110" s="3" t="n">
        <f aca="false">IFERROR(__xludf.dummyfunction("if($T110&lt;&gt;"""",VALUE(REGEXEXTRACT(SUBSTITUTE ($T110,F$1&amp;"" CE"",""""), F$1&amp;""[\w &amp;]*, (\d+\.\d+)"")),"""")
"),220)</f>
        <v>220</v>
      </c>
      <c r="G110" s="3" t="n">
        <f aca="false">IFERROR(__xludf.dummyfunction("if($T110&lt;&gt;"""",VALUE(REGEXEXTRACT($T110, G$1&amp;""[\w &amp;]*, (\d+\.\d+)"")),"""")
"),222)</f>
        <v>222</v>
      </c>
      <c r="H110" s="3" t="n">
        <f aca="false">IFERROR(__xludf.dummyfunction("if($T110&lt;&gt;"""",VALUE(REGEXEXTRACT($T110, H$1&amp;""[\w &amp;]*, (\d+\.\d+)"")),"""")
"),228)</f>
        <v>228</v>
      </c>
      <c r="I110" s="3" t="n">
        <f aca="false">IFERROR(__xludf.dummyfunction("if($T110&lt;&gt;"""",VALUE(REGEXEXTRACT(SUBSTITUTE ($T110,I$1&amp;"" CE"",""""), I$1&amp;""[\w &amp;]*, (\d+\.\d+)"")),"""")
"),220)</f>
        <v>220</v>
      </c>
      <c r="J110" s="3" t="n">
        <f aca="false">IFERROR(__xludf.dummyfunction("if($T110&lt;&gt;"""",VALUE(REGEXEXTRACT($T110, J$1&amp;""[\w &amp;]*, (\d+\.\d+)"")),"""")
"),219)</f>
        <v>219</v>
      </c>
      <c r="K110" s="3" t="n">
        <f aca="false">IFERROR(__xludf.dummyfunction("if($T110&lt;&gt;"""",VALUE(REGEXEXTRACT($T110, K$1&amp;""[\w &amp;]*, (\d+\.\d+)"")),"""")
"),207)</f>
        <v>207</v>
      </c>
      <c r="L110" s="3" t="n">
        <f aca="false">IFERROR(__xludf.dummyfunction("if($T110&lt;&gt;"""",VALUE(REGEXEXTRACT(SUBSTITUTE ($T110,L$1&amp;"" CE"",""""), L$1&amp;""[\w &amp;]*, (\d+\.\d+)"")),"""")
"),219)</f>
        <v>219</v>
      </c>
      <c r="M110" s="3" t="n">
        <f aca="false">IFERROR(__xludf.dummyfunction("if($T110&lt;&gt;"""",VALUE(REGEXEXTRACT($T110, M$1&amp;""[\w &amp;]*, (\d+\.\d+)"")),"""")
"),219)</f>
        <v>219</v>
      </c>
      <c r="N110" s="3" t="n">
        <f aca="false">IFERROR(__xludf.dummyfunction("if($T110&lt;&gt;"""",VALUE(REGEXEXTRACT(SUBSTITUTE ($T110,N$1&amp;"" CE"",""""), N$1&amp;""[\w &amp;]*, (\d+\.\d+)"")),"""")
"),220)</f>
        <v>220</v>
      </c>
      <c r="O110" s="3" t="n">
        <f aca="false">IFERROR(__xludf.dummyfunction("if($T110&lt;&gt;"""",VALUE(REGEXEXTRACT($T110, O$1&amp;""[\w &amp;]*, (\d+\.\d+)"")),"""")
"),222)</f>
        <v>222</v>
      </c>
      <c r="P110" s="2" t="n">
        <f aca="false">IFERROR(__xludf.dummyfunction("if($T110&lt;&gt;"""",VALUE(REGEXEXTRACT($T110, P$1&amp;""[\w &amp;]*, (\d+\.\d+)"")),"""")
"),218.33)</f>
        <v>218.33</v>
      </c>
      <c r="Q110" s="2" t="n">
        <f aca="false">IFERROR(__xludf.dummyfunction("if($T110&lt;&gt;"""",VALUE(REGEXEXTRACT($T110, Q$1&amp;""[\w &amp;]*, (\d+\.\d+)"")),"""")
"),217.28)</f>
        <v>217.28</v>
      </c>
      <c r="R110" s="2" t="n">
        <f aca="false">IFERROR(__xludf.dummyfunction("if($T110&lt;&gt;"""",VALUE(REGEXEXTRACT($T110, SUBSTITUTE(R$1, ""+"", ""\+"")&amp;""[\w &amp;]*, (\d+\.\d+)"")),"""")"),223.35)</f>
        <v>223.35</v>
      </c>
      <c r="S110" s="2" t="n">
        <f aca="false">IFERROR(__xludf.dummyfunction("if($T110&lt;&gt;"""",VALUE(REGEXEXTRACT($T110, SUBSTITUTE(S$1, ""+"", ""\+"")&amp;""[\w &amp;]*, (\d+\.\d+)"")),"""")"),224.4)</f>
        <v>224.4</v>
      </c>
      <c r="T110" s="5" t="s">
        <v>732</v>
      </c>
    </row>
    <row r="111" customFormat="false" ht="15.75" hidden="false" customHeight="false" outlineLevel="0" collapsed="false">
      <c r="A111" s="4" t="n">
        <f aca="false">IFERROR(__xludf.dummyfunction("""COMPUTED_VALUE"""),45567.6666666667)</f>
        <v>45567.6666666667</v>
      </c>
      <c r="B111" s="2" t="n">
        <f aca="false">IFERROR(__xludf.dummyfunction("""COMPUTED_VALUE"""),216.99)</f>
        <v>216.99</v>
      </c>
      <c r="C111" s="2" t="n">
        <f aca="false">IFERROR(__xludf.dummyfunction("""COMPUTED_VALUE"""),218.75)</f>
        <v>218.75</v>
      </c>
      <c r="D111" s="2" t="n">
        <f aca="false">IFERROR(__xludf.dummyfunction("""COMPUTED_VALUE"""),216.21)</f>
        <v>216.21</v>
      </c>
      <c r="E111" s="2" t="n">
        <f aca="false">IFERROR(__xludf.dummyfunction("""COMPUTED_VALUE"""),217.59)</f>
        <v>217.59</v>
      </c>
      <c r="F111" s="3" t="n">
        <f aca="false">IFERROR(__xludf.dummyfunction("if($T111&lt;&gt;"""",VALUE(REGEXEXTRACT(SUBSTITUTE ($T111,F$1&amp;"" CE"",""""), F$1&amp;""[\w &amp;]*, (\d+\.\d+)"")),"""")
"),220)</f>
        <v>220</v>
      </c>
      <c r="G111" s="3" t="n">
        <f aca="false">IFERROR(__xludf.dummyfunction("if($T111&lt;&gt;"""",VALUE(REGEXEXTRACT($T111, G$1&amp;""[\w &amp;]*, (\d+\.\d+)"")),"""")
"),219)</f>
        <v>219</v>
      </c>
      <c r="H111" s="3" t="n">
        <f aca="false">IFERROR(__xludf.dummyfunction("if($T111&lt;&gt;"""",VALUE(REGEXEXTRACT($T111, H$1&amp;""[\w &amp;]*, (\d+\.\d+)"")),"""")
"),228)</f>
        <v>228</v>
      </c>
      <c r="I111" s="3" t="n">
        <f aca="false">IFERROR(__xludf.dummyfunction("if($T111&lt;&gt;"""",VALUE(REGEXEXTRACT(SUBSTITUTE ($T111,I$1&amp;"" CE"",""""), I$1&amp;""[\w &amp;]*, (\d+\.\d+)"")),"""")
"),210)</f>
        <v>210</v>
      </c>
      <c r="J111" s="3" t="n">
        <f aca="false">IFERROR(__xludf.dummyfunction("if($T111&lt;&gt;"""",VALUE(REGEXEXTRACT($T111, J$1&amp;""[\w &amp;]*, (\d+\.\d+)"")),"""")
"),216)</f>
        <v>216</v>
      </c>
      <c r="K111" s="3" t="n">
        <f aca="false">IFERROR(__xludf.dummyfunction("if($T111&lt;&gt;"""",VALUE(REGEXEXTRACT($T111, K$1&amp;""[\w &amp;]*, (\d+\.\d+)"")),"""")
"),208)</f>
        <v>208</v>
      </c>
      <c r="L111" s="3" t="n">
        <f aca="false">IFERROR(__xludf.dummyfunction("if($T111&lt;&gt;"""",VALUE(REGEXEXTRACT(SUBSTITUTE ($T111,L$1&amp;"" CE"",""""), L$1&amp;""[\w &amp;]*, (\d+\.\d+)"")),"""")
"),218)</f>
        <v>218</v>
      </c>
      <c r="M111" s="3" t="n">
        <f aca="false">IFERROR(__xludf.dummyfunction("if($T111&lt;&gt;"""",VALUE(REGEXEXTRACT($T111, M$1&amp;""[\w &amp;]*, (\d+\.\d+)"")),"""")
"),218)</f>
        <v>218</v>
      </c>
      <c r="N111" s="3" t="n">
        <f aca="false">IFERROR(__xludf.dummyfunction("if($T111&lt;&gt;"""",VALUE(REGEXEXTRACT(SUBSTITUTE ($T111,N$1&amp;"" CE"",""""), N$1&amp;""[\w &amp;]*, (\d+\.\d+)"")),"""")
"),220)</f>
        <v>220</v>
      </c>
      <c r="O111" s="3" t="n">
        <f aca="false">IFERROR(__xludf.dummyfunction("if($T111&lt;&gt;"""",VALUE(REGEXEXTRACT($T111, O$1&amp;""[\w &amp;]*, (\d+\.\d+)"")),"""")
"),218)</f>
        <v>218</v>
      </c>
      <c r="P111" s="2" t="n">
        <f aca="false">IFERROR(__xludf.dummyfunction("if($T111&lt;&gt;"""",VALUE(REGEXEXTRACT($T111, P$1&amp;""[\w &amp;]*, (\d+\.\d+)"")),"""")
"),214.86)</f>
        <v>214.86</v>
      </c>
      <c r="Q111" s="2" t="n">
        <f aca="false">IFERROR(__xludf.dummyfunction("if($T111&lt;&gt;"""",VALUE(REGEXEXTRACT($T111, Q$1&amp;""[\w &amp;]*, (\d+\.\d+)"")),"""")
"),213.69)</f>
        <v>213.69</v>
      </c>
      <c r="R111" s="2" t="n">
        <f aca="false">IFERROR(__xludf.dummyfunction("if($T111&lt;&gt;"""",VALUE(REGEXEXTRACT($T111, SUBSTITUTE(R$1, ""+"", ""\+"")&amp;""[\w &amp;]*, (\d+\.\d+)"")),"""")"),220.48)</f>
        <v>220.48</v>
      </c>
      <c r="S111" s="2" t="n">
        <f aca="false">IFERROR(__xludf.dummyfunction("if($T111&lt;&gt;"""",VALUE(REGEXEXTRACT($T111, SUBSTITUTE(S$1, ""+"", ""\+"")&amp;""[\w &amp;]*, (\d+\.\d+)"")),"""")"),221.65)</f>
        <v>221.65</v>
      </c>
      <c r="T111" s="5" t="s">
        <v>733</v>
      </c>
    </row>
    <row r="112" customFormat="false" ht="15.75" hidden="false" customHeight="false" outlineLevel="0" collapsed="false">
      <c r="A112" s="4" t="n">
        <f aca="false">IFERROR(__xludf.dummyfunction("""COMPUTED_VALUE"""),45568.6666666667)</f>
        <v>45568.6666666667</v>
      </c>
      <c r="B112" s="2" t="n">
        <f aca="false">IFERROR(__xludf.dummyfunction("""COMPUTED_VALUE"""),216.23)</f>
        <v>216.23</v>
      </c>
      <c r="C112" s="2" t="n">
        <f aca="false">IFERROR(__xludf.dummyfunction("""COMPUTED_VALUE"""),217.23)</f>
        <v>217.23</v>
      </c>
      <c r="D112" s="2" t="n">
        <f aca="false">IFERROR(__xludf.dummyfunction("""COMPUTED_VALUE"""),215.08)</f>
        <v>215.08</v>
      </c>
      <c r="E112" s="2" t="n">
        <f aca="false">IFERROR(__xludf.dummyfunction("""COMPUTED_VALUE"""),216.13)</f>
        <v>216.13</v>
      </c>
      <c r="F112" s="3" t="n">
        <f aca="false">IFERROR(__xludf.dummyfunction("if($T112&lt;&gt;"""",VALUE(REGEXEXTRACT(SUBSTITUTE ($T112,F$1&amp;"" CE"",""""), F$1&amp;""[\w &amp;]*, (\d+\.\d+)"")),"""")
"),220)</f>
        <v>220</v>
      </c>
      <c r="G112" s="3" t="n">
        <f aca="false">IFERROR(__xludf.dummyfunction("if($T112&lt;&gt;"""",VALUE(REGEXEXTRACT($T112, G$1&amp;""[\w &amp;]*, (\d+\.\d+)"")),"""")
"),219)</f>
        <v>219</v>
      </c>
      <c r="H112" s="3" t="n">
        <f aca="false">IFERROR(__xludf.dummyfunction("if($T112&lt;&gt;"""",VALUE(REGEXEXTRACT($T112, H$1&amp;""[\w &amp;]*, (\d+\.\d+)"")),"""")
"),228)</f>
        <v>228</v>
      </c>
      <c r="I112" s="3" t="n">
        <f aca="false">IFERROR(__xludf.dummyfunction("if($T112&lt;&gt;"""",VALUE(REGEXEXTRACT(SUBSTITUTE ($T112,I$1&amp;"" CE"",""""), I$1&amp;""[\w &amp;]*, (\d+\.\d+)"")),"""")
"),210)</f>
        <v>210</v>
      </c>
      <c r="J112" s="3" t="n">
        <f aca="false">IFERROR(__xludf.dummyfunction("if($T112&lt;&gt;"""",VALUE(REGEXEXTRACT($T112, J$1&amp;""[\w &amp;]*, (\d+\.\d+)"")),"""")
"),216)</f>
        <v>216</v>
      </c>
      <c r="K112" s="3" t="n">
        <f aca="false">IFERROR(__xludf.dummyfunction("if($T112&lt;&gt;"""",VALUE(REGEXEXTRACT($T112, K$1&amp;""[\w &amp;]*, (\d+\.\d+)"")),"""")
"),208)</f>
        <v>208</v>
      </c>
      <c r="L112" s="3" t="n">
        <f aca="false">IFERROR(__xludf.dummyfunction("if($T112&lt;&gt;"""",VALUE(REGEXEXTRACT(SUBSTITUTE ($T112,L$1&amp;"" CE"",""""), L$1&amp;""[\w &amp;]*, (\d+\.\d+)"")),"""")
"),218)</f>
        <v>218</v>
      </c>
      <c r="M112" s="3" t="n">
        <f aca="false">IFERROR(__xludf.dummyfunction("if($T112&lt;&gt;"""",VALUE(REGEXEXTRACT($T112, M$1&amp;""[\w &amp;]*, (\d+\.\d+)"")),"""")
"),217)</f>
        <v>217</v>
      </c>
      <c r="N112" s="3" t="n">
        <f aca="false">IFERROR(__xludf.dummyfunction("if($T112&lt;&gt;"""",VALUE(REGEXEXTRACT(SUBSTITUTE ($T112,N$1&amp;"" CE"",""""), N$1&amp;""[\w &amp;]*, (\d+\.\d+)"")),"""")
"),220)</f>
        <v>220</v>
      </c>
      <c r="O112" s="3" t="n">
        <f aca="false">IFERROR(__xludf.dummyfunction("if($T112&lt;&gt;"""",VALUE(REGEXEXTRACT($T112, O$1&amp;""[\w &amp;]*, (\d+\.\d+)"")),"""")
"),217)</f>
        <v>217</v>
      </c>
      <c r="P112" s="2" t="n">
        <f aca="false">IFERROR(__xludf.dummyfunction("if($T112&lt;&gt;"""",VALUE(REGEXEXTRACT($T112, P$1&amp;""[\w &amp;]*, (\d+\.\d+)"")),"""")
"),213.99)</f>
        <v>213.99</v>
      </c>
      <c r="Q112" s="2" t="n">
        <f aca="false">IFERROR(__xludf.dummyfunction("if($T112&lt;&gt;"""",VALUE(REGEXEXTRACT($T112, Q$1&amp;""[\w &amp;]*, (\d+\.\d+)"")),"""")
"),212.96)</f>
        <v>212.96</v>
      </c>
      <c r="R112" s="2" t="n">
        <f aca="false">IFERROR(__xludf.dummyfunction("if($T112&lt;&gt;"""",VALUE(REGEXEXTRACT($T112, SUBSTITUTE(R$1, ""+"", ""\+"")&amp;""[\w &amp;]*, (\d+\.\d+)"")),"""")"),218.97)</f>
        <v>218.97</v>
      </c>
      <c r="S112" s="2" t="n">
        <f aca="false">IFERROR(__xludf.dummyfunction("if($T112&lt;&gt;"""",VALUE(REGEXEXTRACT($T112, SUBSTITUTE(S$1, ""+"", ""\+"")&amp;""[\w &amp;]*, (\d+\.\d+)"")),"""")"),220)</f>
        <v>220</v>
      </c>
      <c r="T112" s="5" t="s">
        <v>734</v>
      </c>
    </row>
    <row r="113" customFormat="false" ht="15.75" hidden="false" customHeight="false" outlineLevel="0" collapsed="false">
      <c r="A113" s="4" t="n">
        <f aca="false">IFERROR(__xludf.dummyfunction("""COMPUTED_VALUE"""),45569.6666666667)</f>
        <v>45569.6666666667</v>
      </c>
      <c r="B113" s="2" t="n">
        <f aca="false">IFERROR(__xludf.dummyfunction("""COMPUTED_VALUE"""),219.29)</f>
        <v>219.29</v>
      </c>
      <c r="C113" s="2" t="n">
        <f aca="false">IFERROR(__xludf.dummyfunction("""COMPUTED_VALUE"""),219.98)</f>
        <v>219.98</v>
      </c>
      <c r="D113" s="2" t="n">
        <f aca="false">IFERROR(__xludf.dummyfunction("""COMPUTED_VALUE"""),217.29)</f>
        <v>217.29</v>
      </c>
      <c r="E113" s="2" t="n">
        <f aca="false">IFERROR(__xludf.dummyfunction("""COMPUTED_VALUE"""),219.15)</f>
        <v>219.15</v>
      </c>
      <c r="F113" s="3" t="n">
        <f aca="false">IFERROR(__xludf.dummyfunction("if($T113&lt;&gt;"""",VALUE(REGEXEXTRACT(SUBSTITUTE ($T113,F$1&amp;"" CE"",""""), F$1&amp;""[\w &amp;]*, (\d+\.\d+)"")),"""")
"),220)</f>
        <v>220</v>
      </c>
      <c r="G113" s="3" t="n">
        <f aca="false">IFERROR(__xludf.dummyfunction("if($T113&lt;&gt;"""",VALUE(REGEXEXTRACT($T113, G$1&amp;""[\w &amp;]*, (\d+\.\d+)"")),"""")
"),216)</f>
        <v>216</v>
      </c>
      <c r="H113" s="3" t="n">
        <f aca="false">IFERROR(__xludf.dummyfunction("if($T113&lt;&gt;"""",VALUE(REGEXEXTRACT($T113, H$1&amp;""[\w &amp;]*, (\d+\.\d+)"")),"""")
"),228)</f>
        <v>228</v>
      </c>
      <c r="I113" s="3" t="n">
        <f aca="false">IFERROR(__xludf.dummyfunction("if($T113&lt;&gt;"""",VALUE(REGEXEXTRACT(SUBSTITUTE ($T113,I$1&amp;"" CE"",""""), I$1&amp;""[\w &amp;]*, (\d+\.\d+)"")),"""")
"),210)</f>
        <v>210</v>
      </c>
      <c r="J113" s="3" t="n">
        <f aca="false">IFERROR(__xludf.dummyfunction("if($T113&lt;&gt;"""",VALUE(REGEXEXTRACT($T113, J$1&amp;""[\w &amp;]*, (\d+\.\d+)"")),"""")
"),218)</f>
        <v>218</v>
      </c>
      <c r="K113" s="3" t="n">
        <f aca="false">IFERROR(__xludf.dummyfunction("if($T113&lt;&gt;"""",VALUE(REGEXEXTRACT($T113, K$1&amp;""[\w &amp;]*, (\d+\.\d+)"")),"""")
"),208)</f>
        <v>208</v>
      </c>
      <c r="L113" s="3" t="n">
        <f aca="false">IFERROR(__xludf.dummyfunction("if($T113&lt;&gt;"""",VALUE(REGEXEXTRACT(SUBSTITUTE ($T113,L$1&amp;"" CE"",""""), L$1&amp;""[\w &amp;]*, (\d+\.\d+)"")),"""")
"),218)</f>
        <v>218</v>
      </c>
      <c r="M113" s="3" t="n">
        <f aca="false">IFERROR(__xludf.dummyfunction("if($T113&lt;&gt;"""",VALUE(REGEXEXTRACT($T113, M$1&amp;""[\w &amp;]*, (\d+\.\d+)"")),"""")
"),218)</f>
        <v>218</v>
      </c>
      <c r="N113" s="3" t="n">
        <f aca="false">IFERROR(__xludf.dummyfunction("if($T113&lt;&gt;"""",VALUE(REGEXEXTRACT(SUBSTITUTE ($T113,N$1&amp;"" CE"",""""), N$1&amp;""[\w &amp;]*, (\d+\.\d+)"")),"""")
"),220)</f>
        <v>220</v>
      </c>
      <c r="O113" s="3" t="n">
        <f aca="false">IFERROR(__xludf.dummyfunction("if($T113&lt;&gt;"""",VALUE(REGEXEXTRACT($T113, O$1&amp;""[\w &amp;]*, (\d+\.\d+)"")),"""")
"),217)</f>
        <v>217</v>
      </c>
      <c r="P113" s="2" t="n">
        <f aca="false">IFERROR(__xludf.dummyfunction("if($T113&lt;&gt;"""",VALUE(REGEXEXTRACT($T113, P$1&amp;""[\w &amp;]*, (\d+\.\d+)"")),"""")
"),214.25)</f>
        <v>214.25</v>
      </c>
      <c r="Q113" s="2" t="n">
        <f aca="false">IFERROR(__xludf.dummyfunction("if($T113&lt;&gt;"""",VALUE(REGEXEXTRACT($T113, Q$1&amp;""[\w &amp;]*, (\d+\.\d+)"")),"""")
"),211.4)</f>
        <v>211.4</v>
      </c>
      <c r="R113" s="2" t="n">
        <f aca="false">IFERROR(__xludf.dummyfunction("if($T113&lt;&gt;"""",VALUE(REGEXEXTRACT($T113, SUBSTITUTE(R$1, ""+"", ""\+"")&amp;""[\w &amp;]*, (\d+\.\d+)"")),"""")"),219.95)</f>
        <v>219.95</v>
      </c>
      <c r="S113" s="2" t="n">
        <f aca="false">IFERROR(__xludf.dummyfunction("if($T113&lt;&gt;"""",VALUE(REGEXEXTRACT($T113, SUBSTITUTE(S$1, ""+"", ""\+"")&amp;""[\w &amp;]*, (\d+\.\d+)"")),"""")"),222.8)</f>
        <v>222.8</v>
      </c>
      <c r="T113" s="5" t="s">
        <v>735</v>
      </c>
    </row>
    <row r="114" customFormat="false" ht="15.75" hidden="false" customHeight="false" outlineLevel="0" collapsed="false">
      <c r="A114" s="4" t="n">
        <f aca="false">IFERROR(__xludf.dummyfunction("""COMPUTED_VALUE"""),45572.6666666667)</f>
        <v>45572.6666666667</v>
      </c>
      <c r="B114" s="2" t="n">
        <f aca="false">IFERROR(__xludf.dummyfunction("""COMPUTED_VALUE"""),218.64)</f>
        <v>218.64</v>
      </c>
      <c r="C114" s="2" t="n">
        <f aca="false">IFERROR(__xludf.dummyfunction("""COMPUTED_VALUE"""),218.66)</f>
        <v>218.66</v>
      </c>
      <c r="D114" s="2" t="n">
        <f aca="false">IFERROR(__xludf.dummyfunction("""COMPUTED_VALUE"""),215.87)</f>
        <v>215.87</v>
      </c>
      <c r="E114" s="2" t="n">
        <f aca="false">IFERROR(__xludf.dummyfunction("""COMPUTED_VALUE"""),217.43)</f>
        <v>217.43</v>
      </c>
      <c r="F114" s="3" t="n">
        <f aca="false">IFERROR(__xludf.dummyfunction("if($T114&lt;&gt;"""",VALUE(REGEXEXTRACT(SUBSTITUTE ($T114,F$1&amp;"" CE"",""""), F$1&amp;""[\w &amp;]*, (\d+\.\d+)"")),"""")
"),220)</f>
        <v>220</v>
      </c>
      <c r="G114" s="3" t="n">
        <f aca="false">IFERROR(__xludf.dummyfunction("if($T114&lt;&gt;"""",VALUE(REGEXEXTRACT($T114, G$1&amp;""[\w &amp;]*, (\d+\.\d+)"")),"""")
"),220)</f>
        <v>220</v>
      </c>
      <c r="H114" s="3" t="n">
        <f aca="false">IFERROR(__xludf.dummyfunction("if($T114&lt;&gt;"""",VALUE(REGEXEXTRACT($T114, H$1&amp;""[\w &amp;]*, (\d+\.\d+)"")),"""")
"),228)</f>
        <v>228</v>
      </c>
      <c r="I114" s="3" t="n">
        <f aca="false">IFERROR(__xludf.dummyfunction("if($T114&lt;&gt;"""",VALUE(REGEXEXTRACT(SUBSTITUTE ($T114,I$1&amp;"" CE"",""""), I$1&amp;""[\w &amp;]*, (\d+\.\d+)"")),"""")
"),220)</f>
        <v>220</v>
      </c>
      <c r="J114" s="3" t="n">
        <f aca="false">IFERROR(__xludf.dummyfunction("if($T114&lt;&gt;"""",VALUE(REGEXEXTRACT($T114, J$1&amp;""[\w &amp;]*, (\d+\.\d+)"")),"""")
"),217)</f>
        <v>217</v>
      </c>
      <c r="K114" s="3" t="n">
        <f aca="false">IFERROR(__xludf.dummyfunction("if($T114&lt;&gt;"""",VALUE(REGEXEXTRACT($T114, K$1&amp;""[\w &amp;]*, (\d+\.\d+)"")),"""")
"),208)</f>
        <v>208</v>
      </c>
      <c r="L114" s="3" t="n">
        <f aca="false">IFERROR(__xludf.dummyfunction("if($T114&lt;&gt;"""",VALUE(REGEXEXTRACT(SUBSTITUTE ($T114,L$1&amp;"" CE"",""""), L$1&amp;""[\w &amp;]*, (\d+\.\d+)"")),"""")
"),218)</f>
        <v>218</v>
      </c>
      <c r="M114" s="3" t="n">
        <f aca="false">IFERROR(__xludf.dummyfunction("if($T114&lt;&gt;"""",VALUE(REGEXEXTRACT($T114, M$1&amp;""[\w &amp;]*, (\d+\.\d+)"")),"""")
"),218)</f>
        <v>218</v>
      </c>
      <c r="N114" s="3" t="n">
        <f aca="false">IFERROR(__xludf.dummyfunction("if($T114&lt;&gt;"""",VALUE(REGEXEXTRACT(SUBSTITUTE ($T114,N$1&amp;"" CE"",""""), N$1&amp;""[\w &amp;]*, (\d+\.\d+)"")),"""")
"),220)</f>
        <v>220</v>
      </c>
      <c r="O114" s="3" t="n">
        <f aca="false">IFERROR(__xludf.dummyfunction("if($T114&lt;&gt;"""",VALUE(REGEXEXTRACT($T114, O$1&amp;""[\w &amp;]*, (\d+\.\d+)"")),"""")
"),218)</f>
        <v>218</v>
      </c>
      <c r="P114" s="2" t="n">
        <f aca="false">IFERROR(__xludf.dummyfunction("if($T114&lt;&gt;"""",VALUE(REGEXEXTRACT($T114, P$1&amp;""[\w &amp;]*, (\d+\.\d+)"")),"""")
"),216.92)</f>
        <v>216.92</v>
      </c>
      <c r="Q114" s="2" t="n">
        <f aca="false">IFERROR(__xludf.dummyfunction("if($T114&lt;&gt;"""",VALUE(REGEXEXTRACT($T114, Q$1&amp;""[\w &amp;]*, (\d+\.\d+)"")),"""")
"),216)</f>
        <v>216</v>
      </c>
      <c r="R114" s="2" t="n">
        <f aca="false">IFERROR(__xludf.dummyfunction("if($T114&lt;&gt;"""",VALUE(REGEXEXTRACT($T114, SUBSTITUTE(R$1, ""+"", ""\+"")&amp;""[\w &amp;]*, (\d+\.\d+)"")),"""")"),221.38)</f>
        <v>221.38</v>
      </c>
      <c r="S114" s="2" t="n">
        <f aca="false">IFERROR(__xludf.dummyfunction("if($T114&lt;&gt;"""",VALUE(REGEXEXTRACT($T114, SUBSTITUTE(S$1, ""+"", ""\+"")&amp;""[\w &amp;]*, (\d+\.\d+)"")),"""")"),222.3)</f>
        <v>222.3</v>
      </c>
      <c r="T114" s="5" t="s">
        <v>736</v>
      </c>
    </row>
    <row r="115" customFormat="false" ht="15.75" hidden="false" customHeight="false" outlineLevel="0" collapsed="false">
      <c r="A115" s="4" t="n">
        <f aca="false">IFERROR(__xludf.dummyfunction("""COMPUTED_VALUE"""),45573.6666666667)</f>
        <v>45573.6666666667</v>
      </c>
      <c r="B115" s="2" t="n">
        <f aca="false">IFERROR(__xludf.dummyfunction("""COMPUTED_VALUE"""),217.63)</f>
        <v>217.63</v>
      </c>
      <c r="C115" s="2" t="n">
        <f aca="false">IFERROR(__xludf.dummyfunction("""COMPUTED_VALUE"""),218.37)</f>
        <v>218.37</v>
      </c>
      <c r="D115" s="2" t="n">
        <f aca="false">IFERROR(__xludf.dummyfunction("""COMPUTED_VALUE"""),216.7)</f>
        <v>216.7</v>
      </c>
      <c r="E115" s="2" t="n">
        <f aca="false">IFERROR(__xludf.dummyfunction("""COMPUTED_VALUE"""),217.58)</f>
        <v>217.58</v>
      </c>
      <c r="F115" s="3" t="n">
        <f aca="false">IFERROR(__xludf.dummyfunction("if($T115&lt;&gt;"""",VALUE(REGEXEXTRACT(SUBSTITUTE ($T115,F$1&amp;"" CE"",""""), F$1&amp;""[\w &amp;]*, (\d+\.\d+)"")),"""")
"),220)</f>
        <v>220</v>
      </c>
      <c r="G115" s="3" t="n">
        <f aca="false">IFERROR(__xludf.dummyfunction("if($T115&lt;&gt;"""",VALUE(REGEXEXTRACT($T115, G$1&amp;""[\w &amp;]*, (\d+\.\d+)"")),"""")
"),221)</f>
        <v>221</v>
      </c>
      <c r="H115" s="3" t="n">
        <f aca="false">IFERROR(__xludf.dummyfunction("if($T115&lt;&gt;"""",VALUE(REGEXEXTRACT($T115, H$1&amp;""[\w &amp;]*, (\d+\.\d+)"")),"""")
"),228)</f>
        <v>228</v>
      </c>
      <c r="I115" s="3" t="n">
        <f aca="false">IFERROR(__xludf.dummyfunction("if($T115&lt;&gt;"""",VALUE(REGEXEXTRACT(SUBSTITUTE ($T115,I$1&amp;"" CE"",""""), I$1&amp;""[\w &amp;]*, (\d+\.\d+)"")),"""")
"),210)</f>
        <v>210</v>
      </c>
      <c r="J115" s="3" t="n">
        <f aca="false">IFERROR(__xludf.dummyfunction("if($T115&lt;&gt;"""",VALUE(REGEXEXTRACT($T115, J$1&amp;""[\w &amp;]*, (\d+\.\d+)"")),"""")
"),214)</f>
        <v>214</v>
      </c>
      <c r="K115" s="3" t="n">
        <f aca="false">IFERROR(__xludf.dummyfunction("if($T115&lt;&gt;"""",VALUE(REGEXEXTRACT($T115, K$1&amp;""[\w &amp;]*, (\d+\.\d+)"")),"""")
"),208)</f>
        <v>208</v>
      </c>
      <c r="L115" s="3" t="n">
        <f aca="false">IFERROR(__xludf.dummyfunction("if($T115&lt;&gt;"""",VALUE(REGEXEXTRACT(SUBSTITUTE ($T115,L$1&amp;"" CE"",""""), L$1&amp;""[\w &amp;]*, (\d+\.\d+)"")),"""")
"),218)</f>
        <v>218</v>
      </c>
      <c r="M115" s="3" t="n">
        <f aca="false">IFERROR(__xludf.dummyfunction("if($T115&lt;&gt;"""",VALUE(REGEXEXTRACT($T115, M$1&amp;""[\w &amp;]*, (\d+\.\d+)"")),"""")
"),217)</f>
        <v>217</v>
      </c>
      <c r="N115" s="3" t="n">
        <f aca="false">IFERROR(__xludf.dummyfunction("if($T115&lt;&gt;"""",VALUE(REGEXEXTRACT(SUBSTITUTE ($T115,N$1&amp;"" CE"",""""), N$1&amp;""[\w &amp;]*, (\d+\.\d+)"")),"""")
"),220)</f>
        <v>220</v>
      </c>
      <c r="O115" s="3" t="n">
        <f aca="false">IFERROR(__xludf.dummyfunction("if($T115&lt;&gt;"""",VALUE(REGEXEXTRACT($T115, O$1&amp;""[\w &amp;]*, (\d+\.\d+)"")),"""")
"),218)</f>
        <v>218</v>
      </c>
      <c r="P115" s="2" t="n">
        <f aca="false">IFERROR(__xludf.dummyfunction("if($T115&lt;&gt;"""",VALUE(REGEXEXTRACT($T115, P$1&amp;""[\w &amp;]*, (\d+\.\d+)"")),"""")
"),214.87)</f>
        <v>214.87</v>
      </c>
      <c r="Q115" s="2" t="n">
        <f aca="false">IFERROR(__xludf.dummyfunction("if($T115&lt;&gt;"""",VALUE(REGEXEXTRACT($T115, Q$1&amp;""[\w &amp;]*, (\d+\.\d+)"")),"""")
"),213.81)</f>
        <v>213.81</v>
      </c>
      <c r="R115" s="2" t="n">
        <f aca="false">IFERROR(__xludf.dummyfunction("if($T115&lt;&gt;"""",VALUE(REGEXEXTRACT($T115, SUBSTITUTE(R$1, ""+"", ""\+"")&amp;""[\w &amp;]*, (\d+\.\d+)"")),"""")"),219.99)</f>
        <v>219.99</v>
      </c>
      <c r="S115" s="2" t="n">
        <f aca="false">IFERROR(__xludf.dummyfunction("if($T115&lt;&gt;"""",VALUE(REGEXEXTRACT($T115, SUBSTITUTE(S$1, ""+"", ""\+"")&amp;""[\w &amp;]*, (\d+\.\d+)"")),"""")"),221.05)</f>
        <v>221.05</v>
      </c>
      <c r="T115" s="5" t="s">
        <v>737</v>
      </c>
    </row>
    <row r="116" customFormat="false" ht="15.75" hidden="false" customHeight="false" outlineLevel="0" collapsed="false">
      <c r="A116" s="4" t="n">
        <f aca="false">IFERROR(__xludf.dummyfunction("""COMPUTED_VALUE"""),45574.6666666667)</f>
        <v>45574.6666666667</v>
      </c>
      <c r="B116" s="2" t="n">
        <f aca="false">IFERROR(__xludf.dummyfunction("""COMPUTED_VALUE"""),217.53)</f>
        <v>217.53</v>
      </c>
      <c r="C116" s="2" t="n">
        <f aca="false">IFERROR(__xludf.dummyfunction("""COMPUTED_VALUE"""),219.61)</f>
        <v>219.61</v>
      </c>
      <c r="D116" s="2" t="n">
        <f aca="false">IFERROR(__xludf.dummyfunction("""COMPUTED_VALUE"""),216.92)</f>
        <v>216.92</v>
      </c>
      <c r="E116" s="2" t="n">
        <f aca="false">IFERROR(__xludf.dummyfunction("""COMPUTED_VALUE"""),218.06)</f>
        <v>218.06</v>
      </c>
      <c r="F116" s="3" t="n">
        <f aca="false">IFERROR(__xludf.dummyfunction("if($T116&lt;&gt;"""",VALUE(REGEXEXTRACT(SUBSTITUTE ($T116,F$1&amp;"" CE"",""""), F$1&amp;""[\w &amp;]*, (\d+\.\d+)"")),"""")
"),220)</f>
        <v>220</v>
      </c>
      <c r="G116" s="3" t="n">
        <f aca="false">IFERROR(__xludf.dummyfunction("if($T116&lt;&gt;"""",VALUE(REGEXEXTRACT($T116, G$1&amp;""[\w &amp;]*, (\d+\.\d+)"")),"""")
"),220)</f>
        <v>220</v>
      </c>
      <c r="H116" s="3" t="n">
        <f aca="false">IFERROR(__xludf.dummyfunction("if($T116&lt;&gt;"""",VALUE(REGEXEXTRACT($T116, H$1&amp;""[\w &amp;]*, (\d+\.\d+)"")),"""")
"),228)</f>
        <v>228</v>
      </c>
      <c r="I116" s="3" t="n">
        <f aca="false">IFERROR(__xludf.dummyfunction("if($T116&lt;&gt;"""",VALUE(REGEXEXTRACT(SUBSTITUTE ($T116,I$1&amp;"" CE"",""""), I$1&amp;""[\w &amp;]*, (\d+\.\d+)"")),"""")
"),220)</f>
        <v>220</v>
      </c>
      <c r="J116" s="3" t="n">
        <f aca="false">IFERROR(__xludf.dummyfunction("if($T116&lt;&gt;"""",VALUE(REGEXEXTRACT($T116, J$1&amp;""[\w &amp;]*, (\d+\.\d+)"")),"""")
"),218)</f>
        <v>218</v>
      </c>
      <c r="K116" s="3" t="n">
        <f aca="false">IFERROR(__xludf.dummyfunction("if($T116&lt;&gt;"""",VALUE(REGEXEXTRACT($T116, K$1&amp;""[\w &amp;]*, (\d+\.\d+)"")),"""")
"),208)</f>
        <v>208</v>
      </c>
      <c r="L116" s="3" t="n">
        <f aca="false">IFERROR(__xludf.dummyfunction("if($T116&lt;&gt;"""",VALUE(REGEXEXTRACT(SUBSTITUTE ($T116,L$1&amp;"" CE"",""""), L$1&amp;""[\w &amp;]*, (\d+\.\d+)"")),"""")
"),218)</f>
        <v>218</v>
      </c>
      <c r="M116" s="3" t="n">
        <f aca="false">IFERROR(__xludf.dummyfunction("if($T116&lt;&gt;"""",VALUE(REGEXEXTRACT($T116, M$1&amp;""[\w &amp;]*, (\d+\.\d+)"")),"""")
"),218)</f>
        <v>218</v>
      </c>
      <c r="N116" s="3" t="n">
        <f aca="false">IFERROR(__xludf.dummyfunction("if($T116&lt;&gt;"""",VALUE(REGEXEXTRACT(SUBSTITUTE ($T116,N$1&amp;"" CE"",""""), N$1&amp;""[\w &amp;]*, (\d+\.\d+)"")),"""")
"),220)</f>
        <v>220</v>
      </c>
      <c r="O116" s="3" t="n">
        <f aca="false">IFERROR(__xludf.dummyfunction("if($T116&lt;&gt;"""",VALUE(REGEXEXTRACT($T116, O$1&amp;""[\w &amp;]*, (\d+\.\d+)"")),"""")
"),218)</f>
        <v>218</v>
      </c>
      <c r="P116" s="2" t="n">
        <f aca="false">IFERROR(__xludf.dummyfunction("if($T116&lt;&gt;"""",VALUE(REGEXEXTRACT($T116, P$1&amp;""[\w &amp;]*, (\d+\.\d+)"")),"""")
"),215.19)</f>
        <v>215.19</v>
      </c>
      <c r="Q116" s="2" t="n">
        <f aca="false">IFERROR(__xludf.dummyfunction("if($T116&lt;&gt;"""",VALUE(REGEXEXTRACT($T116, Q$1&amp;""[\w &amp;]*, (\d+\.\d+)"")),"""")
"),214.2)</f>
        <v>214.2</v>
      </c>
      <c r="R116" s="2" t="n">
        <f aca="false">IFERROR(__xludf.dummyfunction("if($T116&lt;&gt;"""",VALUE(REGEXEXTRACT($T116, SUBSTITUTE(R$1, ""+"", ""\+"")&amp;""[\w &amp;]*, (\d+\.\d+)"")),"""")"),219.97)</f>
        <v>219.97</v>
      </c>
      <c r="S116" s="2" t="n">
        <f aca="false">IFERROR(__xludf.dummyfunction("if($T116&lt;&gt;"""",VALUE(REGEXEXTRACT($T116, SUBSTITUTE(S$1, ""+"", ""\+"")&amp;""[\w &amp;]*, (\d+\.\d+)"")),"""")"),220.96)</f>
        <v>220.96</v>
      </c>
      <c r="T116" s="5" t="s">
        <v>738</v>
      </c>
    </row>
    <row r="117" customFormat="false" ht="15.75" hidden="false" customHeight="false" outlineLevel="0" collapsed="false">
      <c r="A117" s="4" t="n">
        <f aca="false">IFERROR(__xludf.dummyfunction("""COMPUTED_VALUE"""),45575.6666666667)</f>
        <v>45575.6666666667</v>
      </c>
      <c r="B117" s="2" t="n">
        <f aca="false">IFERROR(__xludf.dummyfunction("""COMPUTED_VALUE"""),215.9)</f>
        <v>215.9</v>
      </c>
      <c r="C117" s="2" t="n">
        <f aca="false">IFERROR(__xludf.dummyfunction("""COMPUTED_VALUE"""),216.88)</f>
        <v>216.88</v>
      </c>
      <c r="D117" s="2" t="n">
        <f aca="false">IFERROR(__xludf.dummyfunction("""COMPUTED_VALUE"""),214.6)</f>
        <v>214.6</v>
      </c>
      <c r="E117" s="2" t="n">
        <f aca="false">IFERROR(__xludf.dummyfunction("""COMPUTED_VALUE"""),216.85)</f>
        <v>216.85</v>
      </c>
      <c r="F117" s="3" t="n">
        <f aca="false">IFERROR(__xludf.dummyfunction("if($T117&lt;&gt;"""",VALUE(REGEXEXTRACT(SUBSTITUTE ($T117,F$1&amp;"" CE"",""""), F$1&amp;""[\w &amp;]*, (\d+\.\d+)"")),"""")
"),220)</f>
        <v>220</v>
      </c>
      <c r="G117" s="3" t="n">
        <f aca="false">IFERROR(__xludf.dummyfunction("if($T117&lt;&gt;"""",VALUE(REGEXEXTRACT($T117, G$1&amp;""[\w &amp;]*, (\d+\.\d+)"")),"""")
"),222)</f>
        <v>222</v>
      </c>
      <c r="H117" s="3" t="n">
        <f aca="false">IFERROR(__xludf.dummyfunction("if($T117&lt;&gt;"""",VALUE(REGEXEXTRACT($T117, H$1&amp;""[\w &amp;]*, (\d+\.\d+)"")),"""")
"),228)</f>
        <v>228</v>
      </c>
      <c r="I117" s="3" t="n">
        <f aca="false">IFERROR(__xludf.dummyfunction("if($T117&lt;&gt;"""",VALUE(REGEXEXTRACT(SUBSTITUTE ($T117,I$1&amp;"" CE"",""""), I$1&amp;""[\w &amp;]*, (\d+\.\d+)"")),"""")
"),220)</f>
        <v>220</v>
      </c>
      <c r="J117" s="3" t="n">
        <f aca="false">IFERROR(__xludf.dummyfunction("if($T117&lt;&gt;"""",VALUE(REGEXEXTRACT($T117, J$1&amp;""[\w &amp;]*, (\d+\.\d+)"")),"""")
"),217)</f>
        <v>217</v>
      </c>
      <c r="K117" s="3" t="n">
        <f aca="false">IFERROR(__xludf.dummyfunction("if($T117&lt;&gt;"""",VALUE(REGEXEXTRACT($T117, K$1&amp;""[\w &amp;]*, (\d+\.\d+)"")),"""")
"),213)</f>
        <v>213</v>
      </c>
      <c r="L117" s="3" t="n">
        <f aca="false">IFERROR(__xludf.dummyfunction("if($T117&lt;&gt;"""",VALUE(REGEXEXTRACT(SUBSTITUTE ($T117,L$1&amp;"" CE"",""""), L$1&amp;""[\w &amp;]*, (\d+\.\d+)"")),"""")
"),218)</f>
        <v>218</v>
      </c>
      <c r="M117" s="3" t="n">
        <f aca="false">IFERROR(__xludf.dummyfunction("if($T117&lt;&gt;"""",VALUE(REGEXEXTRACT($T117, M$1&amp;""[\w &amp;]*, (\d+\.\d+)"")),"""")
"),218)</f>
        <v>218</v>
      </c>
      <c r="N117" s="3" t="n">
        <f aca="false">IFERROR(__xludf.dummyfunction("if($T117&lt;&gt;"""",VALUE(REGEXEXTRACT(SUBSTITUTE ($T117,N$1&amp;"" CE"",""""), N$1&amp;""[\w &amp;]*, (\d+\.\d+)"")),"""")
"),220)</f>
        <v>220</v>
      </c>
      <c r="O117" s="3" t="n">
        <f aca="false">IFERROR(__xludf.dummyfunction("if($T117&lt;&gt;"""",VALUE(REGEXEXTRACT($T117, O$1&amp;""[\w &amp;]*, (\d+\.\d+)"")),"""")
"),217)</f>
        <v>217</v>
      </c>
      <c r="P117" s="2" t="n">
        <f aca="false">IFERROR(__xludf.dummyfunction("if($T117&lt;&gt;"""",VALUE(REGEXEXTRACT($T117, P$1&amp;""[\w &amp;]*, (\d+\.\d+)"")),"""")
"),215.72)</f>
        <v>215.72</v>
      </c>
      <c r="Q117" s="2" t="n">
        <f aca="false">IFERROR(__xludf.dummyfunction("if($T117&lt;&gt;"""",VALUE(REGEXEXTRACT($T117, Q$1&amp;""[\w &amp;]*, (\d+\.\d+)"")),"""")
"),214.77)</f>
        <v>214.77</v>
      </c>
      <c r="R117" s="2" t="n">
        <f aca="false">IFERROR(__xludf.dummyfunction("if($T117&lt;&gt;"""",VALUE(REGEXEXTRACT($T117, SUBSTITUTE(R$1, ""+"", ""\+"")&amp;""[\w &amp;]*, (\d+\.\d+)"")),"""")"),220.4)</f>
        <v>220.4</v>
      </c>
      <c r="S117" s="2" t="n">
        <f aca="false">IFERROR(__xludf.dummyfunction("if($T117&lt;&gt;"""",VALUE(REGEXEXTRACT($T117, SUBSTITUTE(S$1, ""+"", ""\+"")&amp;""[\w &amp;]*, (\d+\.\d+)"")),"""")"),221.35)</f>
        <v>221.35</v>
      </c>
      <c r="T117" s="5" t="s">
        <v>739</v>
      </c>
    </row>
    <row r="118" customFormat="false" ht="15.75" hidden="false" customHeight="false" outlineLevel="0" collapsed="false">
      <c r="A118" s="4" t="n">
        <f aca="false">IFERROR(__xludf.dummyfunction("""COMPUTED_VALUE"""),45576.6666666667)</f>
        <v>45576.6666666667</v>
      </c>
      <c r="B118" s="2" t="n">
        <f aca="false">IFERROR(__xludf.dummyfunction("""COMPUTED_VALUE"""),216.77)</f>
        <v>216.77</v>
      </c>
      <c r="C118" s="2" t="n">
        <f aca="false">IFERROR(__xludf.dummyfunction("""COMPUTED_VALUE"""),221.61)</f>
        <v>221.61</v>
      </c>
      <c r="D118" s="2" t="n">
        <f aca="false">IFERROR(__xludf.dummyfunction("""COMPUTED_VALUE"""),216.71)</f>
        <v>216.71</v>
      </c>
      <c r="E118" s="2" t="n">
        <f aca="false">IFERROR(__xludf.dummyfunction("""COMPUTED_VALUE"""),221.26)</f>
        <v>221.26</v>
      </c>
      <c r="F118" s="3" t="n">
        <f aca="false">IFERROR(__xludf.dummyfunction("if($T118&lt;&gt;"""",VALUE(REGEXEXTRACT(SUBSTITUTE ($T118,F$1&amp;"" CE"",""""), F$1&amp;""[\w &amp;]*, (\d+\.\d+)"")),"""")
"),220)</f>
        <v>220</v>
      </c>
      <c r="G118" s="3" t="n">
        <f aca="false">IFERROR(__xludf.dummyfunction("if($T118&lt;&gt;"""",VALUE(REGEXEXTRACT($T118, G$1&amp;""[\w &amp;]*, (\d+\.\d+)"")),"""")
"),220)</f>
        <v>220</v>
      </c>
      <c r="H118" s="3" t="n">
        <f aca="false">IFERROR(__xludf.dummyfunction("if($T118&lt;&gt;"""",VALUE(REGEXEXTRACT($T118, H$1&amp;""[\w &amp;]*, (\d+\.\d+)"")),"""")
"),228)</f>
        <v>228</v>
      </c>
      <c r="I118" s="3" t="n">
        <f aca="false">IFERROR(__xludf.dummyfunction("if($T118&lt;&gt;"""",VALUE(REGEXEXTRACT(SUBSTITUTE ($T118,I$1&amp;"" CE"",""""), I$1&amp;""[\w &amp;]*, (\d+\.\d+)"")),"""")
"),220)</f>
        <v>220</v>
      </c>
      <c r="J118" s="3" t="n">
        <f aca="false">IFERROR(__xludf.dummyfunction("if($T118&lt;&gt;"""",VALUE(REGEXEXTRACT($T118, J$1&amp;""[\w &amp;]*, (\d+\.\d+)"")),"""")
"),215)</f>
        <v>215</v>
      </c>
      <c r="K118" s="3" t="n">
        <f aca="false">IFERROR(__xludf.dummyfunction("if($T118&lt;&gt;"""",VALUE(REGEXEXTRACT($T118, K$1&amp;""[\w &amp;]*, (\d+\.\d+)"")),"""")
"),213)</f>
        <v>213</v>
      </c>
      <c r="L118" s="3" t="n">
        <f aca="false">IFERROR(__xludf.dummyfunction("if($T118&lt;&gt;"""",VALUE(REGEXEXTRACT(SUBSTITUTE ($T118,L$1&amp;"" CE"",""""), L$1&amp;""[\w &amp;]*, (\d+\.\d+)"")),"""")
"),216)</f>
        <v>216</v>
      </c>
      <c r="M118" s="3" t="n">
        <f aca="false">IFERROR(__xludf.dummyfunction("if($T118&lt;&gt;"""",VALUE(REGEXEXTRACT($T118, M$1&amp;""[\w &amp;]*, (\d+\.\d+)"")),"""")
"),216)</f>
        <v>216</v>
      </c>
      <c r="N118" s="3" t="n">
        <f aca="false">IFERROR(__xludf.dummyfunction("if($T118&lt;&gt;"""",VALUE(REGEXEXTRACT(SUBSTITUTE ($T118,N$1&amp;"" CE"",""""), N$1&amp;""[\w &amp;]*, (\d+\.\d+)"")),"""")
"),215)</f>
        <v>215</v>
      </c>
      <c r="O118" s="3" t="n">
        <f aca="false">IFERROR(__xludf.dummyfunction("if($T118&lt;&gt;"""",VALUE(REGEXEXTRACT($T118, O$1&amp;""[\w &amp;]*, (\d+\.\d+)"")),"""")
"),215)</f>
        <v>215</v>
      </c>
      <c r="P118" s="2" t="n">
        <f aca="false">IFERROR(__xludf.dummyfunction("if($T118&lt;&gt;"""",VALUE(REGEXEXTRACT($T118, P$1&amp;""[\w &amp;]*, (\d+\.\d+)"")),"""")
"),214.55)</f>
        <v>214.55</v>
      </c>
      <c r="Q118" s="2" t="n">
        <f aca="false">IFERROR(__xludf.dummyfunction("if($T118&lt;&gt;"""",VALUE(REGEXEXTRACT($T118, Q$1&amp;""[\w &amp;]*, (\d+\.\d+)"")),"""")
"),212.31)</f>
        <v>212.31</v>
      </c>
      <c r="R118" s="2" t="n">
        <f aca="false">IFERROR(__xludf.dummyfunction("if($T118&lt;&gt;"""",VALUE(REGEXEXTRACT($T118, SUBSTITUTE(R$1, ""+"", ""\+"")&amp;""[\w &amp;]*, (\d+\.\d+)"")),"""")"),219.15)</f>
        <v>219.15</v>
      </c>
      <c r="S118" s="2" t="n">
        <f aca="false">IFERROR(__xludf.dummyfunction("if($T118&lt;&gt;"""",VALUE(REGEXEXTRACT($T118, SUBSTITUTE(S$1, ""+"", ""\+"")&amp;""[\w &amp;]*, (\d+\.\d+)"")),"""")"),221.39)</f>
        <v>221.39</v>
      </c>
      <c r="T118" s="5" t="s">
        <v>740</v>
      </c>
    </row>
    <row r="119" customFormat="false" ht="15.75" hidden="false" customHeight="false" outlineLevel="0" collapsed="false">
      <c r="A119" s="4" t="n">
        <f aca="false">IFERROR(__xludf.dummyfunction("""COMPUTED_VALUE"""),45579.6666666667)</f>
        <v>45579.6666666667</v>
      </c>
      <c r="B119" s="2" t="n">
        <f aca="false">IFERROR(__xludf.dummyfunction("""COMPUTED_VALUE"""),221.45)</f>
        <v>221.45</v>
      </c>
      <c r="C119" s="2" t="n">
        <f aca="false">IFERROR(__xludf.dummyfunction("""COMPUTED_VALUE"""),223.11)</f>
        <v>223.11</v>
      </c>
      <c r="D119" s="2" t="n">
        <f aca="false">IFERROR(__xludf.dummyfunction("""COMPUTED_VALUE"""),220.43)</f>
        <v>220.43</v>
      </c>
      <c r="E119" s="2" t="n">
        <f aca="false">IFERROR(__xludf.dummyfunction("""COMPUTED_VALUE"""),222.89)</f>
        <v>222.89</v>
      </c>
      <c r="F119" s="3" t="n">
        <f aca="false">IFERROR(__xludf.dummyfunction("if($T119&lt;&gt;"""",VALUE(REGEXEXTRACT(SUBSTITUTE ($T119,F$1&amp;"" CE"",""""), F$1&amp;""[\w &amp;]*, (\d+\.\d+)"")),"""")
"),220)</f>
        <v>220</v>
      </c>
      <c r="G119" s="3" t="n">
        <f aca="false">IFERROR(__xludf.dummyfunction("if($T119&lt;&gt;"""",VALUE(REGEXEXTRACT($T119, G$1&amp;""[\w &amp;]*, (\d+\.\d+)"")),"""")
"),222)</f>
        <v>222</v>
      </c>
      <c r="H119" s="3" t="n">
        <f aca="false">IFERROR(__xludf.dummyfunction("if($T119&lt;&gt;"""",VALUE(REGEXEXTRACT($T119, H$1&amp;""[\w &amp;]*, (\d+\.\d+)"")),"""")
"),228)</f>
        <v>228</v>
      </c>
      <c r="I119" s="3" t="n">
        <f aca="false">IFERROR(__xludf.dummyfunction("if($T119&lt;&gt;"""",VALUE(REGEXEXTRACT(SUBSTITUTE ($T119,I$1&amp;"" CE"",""""), I$1&amp;""[\w &amp;]*, (\d+\.\d+)"")),"""")
"),220)</f>
        <v>220</v>
      </c>
      <c r="J119" s="3" t="n">
        <f aca="false">IFERROR(__xludf.dummyfunction("if($T119&lt;&gt;"""",VALUE(REGEXEXTRACT($T119, J$1&amp;""[\w &amp;]*, (\d+\.\d+)"")),"""")
"),218)</f>
        <v>218</v>
      </c>
      <c r="K119" s="3" t="n">
        <f aca="false">IFERROR(__xludf.dummyfunction("if($T119&lt;&gt;"""",VALUE(REGEXEXTRACT($T119, K$1&amp;""[\w &amp;]*, (\d+\.\d+)"")),"""")
"),205)</f>
        <v>205</v>
      </c>
      <c r="L119" s="3" t="n">
        <f aca="false">IFERROR(__xludf.dummyfunction("if($T119&lt;&gt;"""",VALUE(REGEXEXTRACT(SUBSTITUTE ($T119,L$1&amp;"" CE"",""""), L$1&amp;""[\w &amp;]*, (\d+\.\d+)"")),"""")
"),219)</f>
        <v>219</v>
      </c>
      <c r="M119" s="3" t="n">
        <f aca="false">IFERROR(__xludf.dummyfunction("if($T119&lt;&gt;"""",VALUE(REGEXEXTRACT($T119, M$1&amp;""[\w &amp;]*, (\d+\.\d+)"")),"""")
"),220)</f>
        <v>220</v>
      </c>
      <c r="N119" s="3" t="n">
        <f aca="false">IFERROR(__xludf.dummyfunction("if($T119&lt;&gt;"""",VALUE(REGEXEXTRACT(SUBSTITUTE ($T119,N$1&amp;"" CE"",""""), N$1&amp;""[\w &amp;]*, (\d+\.\d+)"")),"""")
"),220)</f>
        <v>220</v>
      </c>
      <c r="O119" s="3" t="n">
        <f aca="false">IFERROR(__xludf.dummyfunction("if($T119&lt;&gt;"""",VALUE(REGEXEXTRACT($T119, O$1&amp;""[\w &amp;]*, (\d+\.\d+)"")),"""")
"),218)</f>
        <v>218</v>
      </c>
      <c r="P119" s="2" t="n">
        <f aca="false">IFERROR(__xludf.dummyfunction("if($T119&lt;&gt;"""",VALUE(REGEXEXTRACT($T119, P$1&amp;""[\w &amp;]*, (\d+\.\d+)"")),"""")
"),219.19)</f>
        <v>219.19</v>
      </c>
      <c r="Q119" s="2" t="n">
        <f aca="false">IFERROR(__xludf.dummyfunction("if($T119&lt;&gt;"""",VALUE(REGEXEXTRACT($T119, Q$1&amp;""[\w &amp;]*, (\d+\.\d+)"")),"""")
"),218.33)</f>
        <v>218.33</v>
      </c>
      <c r="R119" s="2" t="n">
        <f aca="false">IFERROR(__xludf.dummyfunction("if($T119&lt;&gt;"""",VALUE(REGEXEXTRACT($T119, SUBSTITUTE(R$1, ""+"", ""\+"")&amp;""[\w &amp;]*, (\d+\.\d+)"")),"""")"),223.33)</f>
        <v>223.33</v>
      </c>
      <c r="S119" s="2" t="n">
        <f aca="false">IFERROR(__xludf.dummyfunction("if($T119&lt;&gt;"""",VALUE(REGEXEXTRACT($T119, SUBSTITUTE(S$1, ""+"", ""\+"")&amp;""[\w &amp;]*, (\d+\.\d+)"")),"""")"),224.19)</f>
        <v>224.19</v>
      </c>
      <c r="T119" s="5" t="s">
        <v>741</v>
      </c>
    </row>
    <row r="120" customFormat="false" ht="15.75" hidden="false" customHeight="false" outlineLevel="0" collapsed="false">
      <c r="A120" s="4" t="n">
        <f aca="false">IFERROR(__xludf.dummyfunction("""COMPUTED_VALUE"""),45580.6666666667)</f>
        <v>45580.6666666667</v>
      </c>
      <c r="B120" s="2" t="n">
        <f aca="false">IFERROR(__xludf.dummyfunction("""COMPUTED_VALUE"""),222.57)</f>
        <v>222.57</v>
      </c>
      <c r="C120" s="2" t="n">
        <f aca="false">IFERROR(__xludf.dummyfunction("""COMPUTED_VALUE"""),225.5)</f>
        <v>225.5</v>
      </c>
      <c r="D120" s="2" t="n">
        <f aca="false">IFERROR(__xludf.dummyfunction("""COMPUTED_VALUE"""),221.98)</f>
        <v>221.98</v>
      </c>
      <c r="E120" s="2" t="n">
        <f aca="false">IFERROR(__xludf.dummyfunction("""COMPUTED_VALUE"""),223.07)</f>
        <v>223.07</v>
      </c>
      <c r="F120" s="3" t="n">
        <f aca="false">IFERROR(__xludf.dummyfunction("if($T120&lt;&gt;"""",VALUE(REGEXEXTRACT(SUBSTITUTE ($T120,F$1&amp;"" CE"",""""), F$1&amp;""[\w &amp;]*, (\d+\.\d+)"")),"""")
"),225)</f>
        <v>225</v>
      </c>
      <c r="G120" s="3" t="n">
        <f aca="false">IFERROR(__xludf.dummyfunction("if($T120&lt;&gt;"""",VALUE(REGEXEXTRACT($T120, G$1&amp;""[\w &amp;]*, (\d+\.\d+)"")),"""")
"),224)</f>
        <v>224</v>
      </c>
      <c r="H120" s="3" t="n">
        <f aca="false">IFERROR(__xludf.dummyfunction("if($T120&lt;&gt;"""",VALUE(REGEXEXTRACT($T120, H$1&amp;""[\w &amp;]*, (\d+\.\d+)"")),"""")
"),228)</f>
        <v>228</v>
      </c>
      <c r="I120" s="3" t="n">
        <f aca="false">IFERROR(__xludf.dummyfunction("if($T120&lt;&gt;"""",VALUE(REGEXEXTRACT(SUBSTITUTE ($T120,I$1&amp;"" CE"",""""), I$1&amp;""[\w &amp;]*, (\d+\.\d+)"")),"""")
"),220)</f>
        <v>220</v>
      </c>
      <c r="J120" s="3" t="n">
        <f aca="false">IFERROR(__xludf.dummyfunction("if($T120&lt;&gt;"""",VALUE(REGEXEXTRACT($T120, J$1&amp;""[\w &amp;]*, (\d+\.\d+)"")),"""")
"),220)</f>
        <v>220</v>
      </c>
      <c r="K120" s="3" t="n">
        <f aca="false">IFERROR(__xludf.dummyfunction("if($T120&lt;&gt;"""",VALUE(REGEXEXTRACT($T120, K$1&amp;""[\w &amp;]*, (\d+\.\d+)"")),"""")
"),205)</f>
        <v>205</v>
      </c>
      <c r="L120" s="3" t="n">
        <f aca="false">IFERROR(__xludf.dummyfunction("if($T120&lt;&gt;"""",VALUE(REGEXEXTRACT(SUBSTITUTE ($T120,L$1&amp;"" CE"",""""), L$1&amp;""[\w &amp;]*, (\d+\.\d+)"")),"""")
"),219)</f>
        <v>219</v>
      </c>
      <c r="M120" s="3" t="n">
        <f aca="false">IFERROR(__xludf.dummyfunction("if($T120&lt;&gt;"""",VALUE(REGEXEXTRACT($T120, M$1&amp;""[\w &amp;]*, (\d+\.\d+)"")),"""")
"),220)</f>
        <v>220</v>
      </c>
      <c r="N120" s="3" t="n">
        <f aca="false">IFERROR(__xludf.dummyfunction("if($T120&lt;&gt;"""",VALUE(REGEXEXTRACT(SUBSTITUTE ($T120,N$1&amp;"" CE"",""""), N$1&amp;""[\w &amp;]*, (\d+\.\d+)"")),"""")
"),220)</f>
        <v>220</v>
      </c>
      <c r="O120" s="3" t="n">
        <f aca="false">IFERROR(__xludf.dummyfunction("if($T120&lt;&gt;"""",VALUE(REGEXEXTRACT($T120, O$1&amp;""[\w &amp;]*, (\d+\.\d+)"")),"""")
"),222)</f>
        <v>222</v>
      </c>
      <c r="P120" s="2" t="n">
        <f aca="false">IFERROR(__xludf.dummyfunction("if($T120&lt;&gt;"""",VALUE(REGEXEXTRACT($T120, P$1&amp;""[\w &amp;]*, (\d+\.\d+)"")),"""")
"),220.68)</f>
        <v>220.68</v>
      </c>
      <c r="Q120" s="2" t="n">
        <f aca="false">IFERROR(__xludf.dummyfunction("if($T120&lt;&gt;"""",VALUE(REGEXEXTRACT($T120, Q$1&amp;""[\w &amp;]*, (\d+\.\d+)"")),"""")
"),219.77)</f>
        <v>219.77</v>
      </c>
      <c r="R120" s="2" t="n">
        <f aca="false">IFERROR(__xludf.dummyfunction("if($T120&lt;&gt;"""",VALUE(REGEXEXTRACT($T120, SUBSTITUTE(R$1, ""+"", ""\+"")&amp;""[\w &amp;]*, (\d+\.\d+)"")),"""")"),225.1)</f>
        <v>225.1</v>
      </c>
      <c r="S120" s="2" t="n">
        <f aca="false">IFERROR(__xludf.dummyfunction("if($T120&lt;&gt;"""",VALUE(REGEXEXTRACT($T120, SUBSTITUTE(S$1, ""+"", ""\+"")&amp;""[\w &amp;]*, (\d+\.\d+)"")),"""")"),226.01)</f>
        <v>226.01</v>
      </c>
      <c r="T120" s="5" t="s">
        <v>742</v>
      </c>
    </row>
    <row r="121" customFormat="false" ht="15.75" hidden="false" customHeight="false" outlineLevel="0" collapsed="false">
      <c r="A121" s="4" t="n">
        <f aca="false">IFERROR(__xludf.dummyfunction("""COMPUTED_VALUE"""),45581.6666666667)</f>
        <v>45581.6666666667</v>
      </c>
      <c r="B121" s="2" t="n">
        <f aca="false">IFERROR(__xludf.dummyfunction("""COMPUTED_VALUE"""),224.89)</f>
        <v>224.89</v>
      </c>
      <c r="C121" s="2" t="n">
        <f aca="false">IFERROR(__xludf.dummyfunction("""COMPUTED_VALUE"""),227.17)</f>
        <v>227.17</v>
      </c>
      <c r="D121" s="2" t="n">
        <f aca="false">IFERROR(__xludf.dummyfunction("""COMPUTED_VALUE"""),224.39)</f>
        <v>224.39</v>
      </c>
      <c r="E121" s="2" t="n">
        <f aca="false">IFERROR(__xludf.dummyfunction("""COMPUTED_VALUE"""),226.74)</f>
        <v>226.74</v>
      </c>
      <c r="F121" s="3" t="n">
        <f aca="false">IFERROR(__xludf.dummyfunction("if($T121&lt;&gt;"""",VALUE(REGEXEXTRACT(SUBSTITUTE ($T121,F$1&amp;"" CE"",""""), F$1&amp;""[\w &amp;]*, (\d+\.\d+)"")),"""")
"),225)</f>
        <v>225</v>
      </c>
      <c r="G121" s="3" t="n">
        <f aca="false">IFERROR(__xludf.dummyfunction("if($T121&lt;&gt;"""",VALUE(REGEXEXTRACT($T121, G$1&amp;""[\w &amp;]*, (\d+\.\d+)"")),"""")
"),224)</f>
        <v>224</v>
      </c>
      <c r="H121" s="3" t="n">
        <f aca="false">IFERROR(__xludf.dummyfunction("if($T121&lt;&gt;"""",VALUE(REGEXEXTRACT($T121, H$1&amp;""[\w &amp;]*, (\d+\.\d+)"")),"""")
"),228)</f>
        <v>228</v>
      </c>
      <c r="I121" s="3" t="n">
        <f aca="false">IFERROR(__xludf.dummyfunction("if($T121&lt;&gt;"""",VALUE(REGEXEXTRACT(SUBSTITUTE ($T121,I$1&amp;"" CE"",""""), I$1&amp;""[\w &amp;]*, (\d+\.\d+)"")),"""")
"),220)</f>
        <v>220</v>
      </c>
      <c r="J121" s="3" t="n">
        <f aca="false">IFERROR(__xludf.dummyfunction("if($T121&lt;&gt;"""",VALUE(REGEXEXTRACT($T121, J$1&amp;""[\w &amp;]*, (\d+\.\d+)"")),"""")
"),222)</f>
        <v>222</v>
      </c>
      <c r="K121" s="3" t="n">
        <f aca="false">IFERROR(__xludf.dummyfunction("if($T121&lt;&gt;"""",VALUE(REGEXEXTRACT($T121, K$1&amp;""[\w &amp;]*, (\d+\.\d+)"")),"""")
"),205)</f>
        <v>205</v>
      </c>
      <c r="L121" s="3" t="n">
        <f aca="false">IFERROR(__xludf.dummyfunction("if($T121&lt;&gt;"""",VALUE(REGEXEXTRACT(SUBSTITUTE ($T121,L$1&amp;"" CE"",""""), L$1&amp;""[\w &amp;]*, (\d+\.\d+)"")),"""")
"),219)</f>
        <v>219</v>
      </c>
      <c r="M121" s="3" t="n">
        <f aca="false">IFERROR(__xludf.dummyfunction("if($T121&lt;&gt;"""",VALUE(REGEXEXTRACT($T121, M$1&amp;""[\w &amp;]*, (\d+\.\d+)"")),"""")
"),222)</f>
        <v>222</v>
      </c>
      <c r="N121" s="3" t="n">
        <f aca="false">IFERROR(__xludf.dummyfunction("if($T121&lt;&gt;"""",VALUE(REGEXEXTRACT(SUBSTITUTE ($T121,N$1&amp;"" CE"",""""), N$1&amp;""[\w &amp;]*, (\d+\.\d+)"")),"""")
"),220)</f>
        <v>220</v>
      </c>
      <c r="O121" s="3" t="n">
        <f aca="false">IFERROR(__xludf.dummyfunction("if($T121&lt;&gt;"""",VALUE(REGEXEXTRACT($T121, O$1&amp;""[\w &amp;]*, (\d+\.\d+)"")),"""")
"),224)</f>
        <v>224</v>
      </c>
      <c r="P121" s="2" t="n">
        <f aca="false">IFERROR(__xludf.dummyfunction("if($T121&lt;&gt;"""",VALUE(REGEXEXTRACT($T121, P$1&amp;""[\w &amp;]*, (\d+\.\d+)"")),"""")
"),220.82)</f>
        <v>220.82</v>
      </c>
      <c r="Q121" s="2" t="n">
        <f aca="false">IFERROR(__xludf.dummyfunction("if($T121&lt;&gt;"""",VALUE(REGEXEXTRACT($T121, Q$1&amp;""[\w &amp;]*, (\d+\.\d+)"")),"""")
"),219.89)</f>
        <v>219.89</v>
      </c>
      <c r="R121" s="2" t="n">
        <f aca="false">IFERROR(__xludf.dummyfunction("if($T121&lt;&gt;"""",VALUE(REGEXEXTRACT($T121, SUBSTITUTE(R$1, ""+"", ""\+"")&amp;""[\w &amp;]*, (\d+\.\d+)"")),"""")"),225.32)</f>
        <v>225.32</v>
      </c>
      <c r="S121" s="2" t="n">
        <f aca="false">IFERROR(__xludf.dummyfunction("if($T121&lt;&gt;"""",VALUE(REGEXEXTRACT($T121, SUBSTITUTE(S$1, ""+"", ""\+"")&amp;""[\w &amp;]*, (\d+\.\d+)"")),"""")"),226.25)</f>
        <v>226.25</v>
      </c>
      <c r="T121" s="5" t="s">
        <v>743</v>
      </c>
    </row>
    <row r="122" customFormat="false" ht="15.75" hidden="false" customHeight="false" outlineLevel="0" collapsed="false">
      <c r="A122" s="4" t="n">
        <f aca="false">IFERROR(__xludf.dummyfunction("""COMPUTED_VALUE"""),45582.6666666667)</f>
        <v>45582.6666666667</v>
      </c>
      <c r="B122" s="2" t="n">
        <f aca="false">IFERROR(__xludf.dummyfunction("""COMPUTED_VALUE"""),226.91)</f>
        <v>226.91</v>
      </c>
      <c r="C122" s="2" t="n">
        <f aca="false">IFERROR(__xludf.dummyfunction("""COMPUTED_VALUE"""),226.96)</f>
        <v>226.96</v>
      </c>
      <c r="D122" s="2" t="n">
        <f aca="false">IFERROR(__xludf.dummyfunction("""COMPUTED_VALUE"""),224.91)</f>
        <v>224.91</v>
      </c>
      <c r="E122" s="2" t="n">
        <f aca="false">IFERROR(__xludf.dummyfunction("""COMPUTED_VALUE"""),226.12)</f>
        <v>226.12</v>
      </c>
      <c r="F122" s="3" t="n">
        <f aca="false">IFERROR(__xludf.dummyfunction("if($T122&lt;&gt;"""",VALUE(REGEXEXTRACT(SUBSTITUTE ($T122,F$1&amp;"" CE"",""""), F$1&amp;""[\w &amp;]*, (\d+\.\d+)"")),"""")
"),225)</f>
        <v>225</v>
      </c>
      <c r="G122" s="3" t="n">
        <f aca="false">IFERROR(__xludf.dummyfunction("if($T122&lt;&gt;"""",VALUE(REGEXEXTRACT($T122, G$1&amp;""[\w &amp;]*, (\d+\.\d+)"")),"""")
"),228)</f>
        <v>228</v>
      </c>
      <c r="H122" s="3" t="n">
        <f aca="false">IFERROR(__xludf.dummyfunction("if($T122&lt;&gt;"""",VALUE(REGEXEXTRACT($T122, H$1&amp;""[\w &amp;]*, (\d+\.\d+)"")),"""")
"),232)</f>
        <v>232</v>
      </c>
      <c r="I122" s="3" t="n">
        <f aca="false">IFERROR(__xludf.dummyfunction("if($T122&lt;&gt;"""",VALUE(REGEXEXTRACT(SUBSTITUTE ($T122,I$1&amp;"" CE"",""""), I$1&amp;""[\w &amp;]*, (\d+\.\d+)"")),"""")
"),225)</f>
        <v>225</v>
      </c>
      <c r="J122" s="3" t="n">
        <f aca="false">IFERROR(__xludf.dummyfunction("if($T122&lt;&gt;"""",VALUE(REGEXEXTRACT($T122, J$1&amp;""[\w &amp;]*, (\d+\.\d+)"")),"""")
"),225)</f>
        <v>225</v>
      </c>
      <c r="K122" s="3" t="n">
        <f aca="false">IFERROR(__xludf.dummyfunction("if($T122&lt;&gt;"""",VALUE(REGEXEXTRACT($T122, K$1&amp;""[\w &amp;]*, (\d+\.\d+)"")),"""")
"),207)</f>
        <v>207</v>
      </c>
      <c r="L122" s="3" t="n">
        <f aca="false">IFERROR(__xludf.dummyfunction("if($T122&lt;&gt;"""",VALUE(REGEXEXTRACT(SUBSTITUTE ($T122,L$1&amp;"" CE"",""""), L$1&amp;""[\w &amp;]*, (\d+\.\d+)"")),"""")
"),219)</f>
        <v>219</v>
      </c>
      <c r="M122" s="3" t="n">
        <f aca="false">IFERROR(__xludf.dummyfunction("if($T122&lt;&gt;"""",VALUE(REGEXEXTRACT($T122, M$1&amp;""[\w &amp;]*, (\d+\.\d+)"")),"""")
"),226)</f>
        <v>226</v>
      </c>
      <c r="N122" s="3" t="n">
        <f aca="false">IFERROR(__xludf.dummyfunction("if($T122&lt;&gt;"""",VALUE(REGEXEXTRACT(SUBSTITUTE ($T122,N$1&amp;"" CE"",""""), N$1&amp;""[\w &amp;]*, (\d+\.\d+)"")),"""")
"),230)</f>
        <v>230</v>
      </c>
      <c r="O122" s="3" t="n">
        <f aca="false">IFERROR(__xludf.dummyfunction("if($T122&lt;&gt;"""",VALUE(REGEXEXTRACT($T122, O$1&amp;""[\w &amp;]*, (\d+\.\d+)"")),"""")
"),225)</f>
        <v>225</v>
      </c>
      <c r="P122" s="2" t="n">
        <f aca="false">IFERROR(__xludf.dummyfunction("if($T122&lt;&gt;"""",VALUE(REGEXEXTRACT($T122, P$1&amp;""[\w &amp;]*, (\d+\.\d+)"")),"""")
"),224.42)</f>
        <v>224.42</v>
      </c>
      <c r="Q122" s="2" t="n">
        <f aca="false">IFERROR(__xludf.dummyfunction("if($T122&lt;&gt;"""",VALUE(REGEXEXTRACT($T122, Q$1&amp;""[\w &amp;]*, (\d+\.\d+)"")),"""")
"),223.46)</f>
        <v>223.46</v>
      </c>
      <c r="R122" s="2" t="n">
        <f aca="false">IFERROR(__xludf.dummyfunction("if($T122&lt;&gt;"""",VALUE(REGEXEXTRACT($T122, SUBSTITUTE(R$1, ""+"", ""\+"")&amp;""[\w &amp;]*, (\d+\.\d+)"")),"""")"),229.06)</f>
        <v>229.06</v>
      </c>
      <c r="S122" s="2" t="n">
        <f aca="false">IFERROR(__xludf.dummyfunction("if($T122&lt;&gt;"""",VALUE(REGEXEXTRACT($T122, SUBSTITUTE(S$1, ""+"", ""\+"")&amp;""[\w &amp;]*, (\d+\.\d+)"")),"""")"),230.02)</f>
        <v>230.02</v>
      </c>
      <c r="T122" s="5" t="s">
        <v>744</v>
      </c>
    </row>
    <row r="123" customFormat="false" ht="15.75" hidden="false" customHeight="false" outlineLevel="0" collapsed="false">
      <c r="A123" s="4" t="n">
        <f aca="false">IFERROR(__xludf.dummyfunction("""COMPUTED_VALUE"""),45583.6666666667)</f>
        <v>45583.6666666667</v>
      </c>
      <c r="B123" s="2" t="n">
        <f aca="false">IFERROR(__xludf.dummyfunction("""COMPUTED_VALUE"""),226.66)</f>
        <v>226.66</v>
      </c>
      <c r="C123" s="2" t="n">
        <f aca="false">IFERROR(__xludf.dummyfunction("""COMPUTED_VALUE"""),227.03)</f>
        <v>227.03</v>
      </c>
      <c r="D123" s="2" t="n">
        <f aca="false">IFERROR(__xludf.dummyfunction("""COMPUTED_VALUE"""),225.39)</f>
        <v>225.39</v>
      </c>
      <c r="E123" s="2" t="n">
        <f aca="false">IFERROR(__xludf.dummyfunction("""COMPUTED_VALUE"""),225.65)</f>
        <v>225.65</v>
      </c>
      <c r="F123" s="3" t="n">
        <f aca="false">IFERROR(__xludf.dummyfunction("if($T123&lt;&gt;"""",VALUE(REGEXEXTRACT(SUBSTITUTE ($T123,F$1&amp;"" CE"",""""), F$1&amp;""[\w &amp;]*, (\d+\.\d+)"")),"""")
"),225)</f>
        <v>225</v>
      </c>
      <c r="G123" s="3" t="n">
        <f aca="false">IFERROR(__xludf.dummyfunction("if($T123&lt;&gt;"""",VALUE(REGEXEXTRACT($T123, G$1&amp;""[\w &amp;]*, (\d+\.\d+)"")),"""")
"),225)</f>
        <v>225</v>
      </c>
      <c r="H123" s="3" t="n">
        <f aca="false">IFERROR(__xludf.dummyfunction("if($T123&lt;&gt;"""",VALUE(REGEXEXTRACT($T123, H$1&amp;""[\w &amp;]*, (\d+\.\d+)"")),"""")
"),227)</f>
        <v>227</v>
      </c>
      <c r="I123" s="3" t="n">
        <f aca="false">IFERROR(__xludf.dummyfunction("if($T123&lt;&gt;"""",VALUE(REGEXEXTRACT(SUBSTITUTE ($T123,I$1&amp;"" CE"",""""), I$1&amp;""[\w &amp;]*, (\d+\.\d+)"")),"""")
"),225)</f>
        <v>225</v>
      </c>
      <c r="J123" s="3" t="n">
        <f aca="false">IFERROR(__xludf.dummyfunction("if($T123&lt;&gt;"""",VALUE(REGEXEXTRACT($T123, J$1&amp;""[\w &amp;]*, (\d+\.\d+)"")),"""")
"),218)</f>
        <v>218</v>
      </c>
      <c r="K123" s="3" t="n">
        <f aca="false">IFERROR(__xludf.dummyfunction("if($T123&lt;&gt;"""",VALUE(REGEXEXTRACT($T123, K$1&amp;""[\w &amp;]*, (\d+\.\d+)"")),"""")
"),207)</f>
        <v>207</v>
      </c>
      <c r="L123" s="3" t="n">
        <f aca="false">IFERROR(__xludf.dummyfunction("if($T123&lt;&gt;"""",VALUE(REGEXEXTRACT(SUBSTITUTE ($T123,L$1&amp;"" CE"",""""), L$1&amp;""[\w &amp;]*, (\d+\.\d+)"")),"""")
"),219)</f>
        <v>219</v>
      </c>
      <c r="M123" s="3" t="n">
        <f aca="false">IFERROR(__xludf.dummyfunction("if($T123&lt;&gt;"""",VALUE(REGEXEXTRACT($T123, M$1&amp;""[\w &amp;]*, (\d+\.\d+)"")),"""")
"),219)</f>
        <v>219</v>
      </c>
      <c r="N123" s="3" t="n">
        <f aca="false">IFERROR(__xludf.dummyfunction("if($T123&lt;&gt;"""",VALUE(REGEXEXTRACT(SUBSTITUTE ($T123,N$1&amp;"" CE"",""""), N$1&amp;""[\w &amp;]*, (\d+\.\d+)"")),"""")
"),225)</f>
        <v>225</v>
      </c>
      <c r="O123" s="3" t="n">
        <f aca="false">IFERROR(__xludf.dummyfunction("if($T123&lt;&gt;"""",VALUE(REGEXEXTRACT($T123, O$1&amp;""[\w &amp;]*, (\d+\.\d+)"")),"""")
"),225)</f>
        <v>225</v>
      </c>
      <c r="P123" s="2" t="n">
        <f aca="false">IFERROR(__xludf.dummyfunction("if($T123&lt;&gt;"""",VALUE(REGEXEXTRACT($T123, P$1&amp;""[\w &amp;]*, (\d+\.\d+)"")),"""")
"),223.88)</f>
        <v>223.88</v>
      </c>
      <c r="Q123" s="2" t="n">
        <f aca="false">IFERROR(__xludf.dummyfunction("if($T123&lt;&gt;"""",VALUE(REGEXEXTRACT($T123, Q$1&amp;""[\w &amp;]*, (\d+\.\d+)"")),"""")
"),221.64)</f>
        <v>221.64</v>
      </c>
      <c r="R123" s="2" t="n">
        <f aca="false">IFERROR(__xludf.dummyfunction("if($T123&lt;&gt;"""",VALUE(REGEXEXTRACT($T123, SUBSTITUTE(R$1, ""+"", ""\+"")&amp;""[\w &amp;]*, (\d+\.\d+)"")),"""")"),228.36)</f>
        <v>228.36</v>
      </c>
      <c r="S123" s="2" t="n">
        <f aca="false">IFERROR(__xludf.dummyfunction("if($T123&lt;&gt;"""",VALUE(REGEXEXTRACT($T123, SUBSTITUTE(S$1, ""+"", ""\+"")&amp;""[\w &amp;]*, (\d+\.\d+)"")),"""")"),230.6)</f>
        <v>230.6</v>
      </c>
      <c r="T123" s="5" t="s">
        <v>745</v>
      </c>
    </row>
    <row r="124" customFormat="false" ht="15.75" hidden="false" customHeight="false" outlineLevel="0" collapsed="false">
      <c r="A124" s="4" t="n">
        <f aca="false">IFERROR(__xludf.dummyfunction("""COMPUTED_VALUE"""),45586.6666666667)</f>
        <v>45586.6666666667</v>
      </c>
      <c r="B124" s="2" t="n">
        <f aca="false">IFERROR(__xludf.dummyfunction("""COMPUTED_VALUE"""),225.63)</f>
        <v>225.63</v>
      </c>
      <c r="C124" s="2" t="n">
        <f aca="false">IFERROR(__xludf.dummyfunction("""COMPUTED_VALUE"""),225.69)</f>
        <v>225.69</v>
      </c>
      <c r="D124" s="2" t="n">
        <f aca="false">IFERROR(__xludf.dummyfunction("""COMPUTED_VALUE"""),221.53)</f>
        <v>221.53</v>
      </c>
      <c r="E124" s="2" t="n">
        <f aca="false">IFERROR(__xludf.dummyfunction("""COMPUTED_VALUE"""),222.1)</f>
        <v>222.1</v>
      </c>
      <c r="F124" s="3" t="n">
        <f aca="false">IFERROR(__xludf.dummyfunction("if($T124&lt;&gt;"""",VALUE(REGEXEXTRACT(SUBSTITUTE ($T124,F$1&amp;"" CE"",""""), F$1&amp;""[\w &amp;]*, (\d+\.\d+)"")),"""")
"),230)</f>
        <v>230</v>
      </c>
      <c r="G124" s="3" t="n">
        <f aca="false">IFERROR(__xludf.dummyfunction("if($T124&lt;&gt;"""",VALUE(REGEXEXTRACT($T124, G$1&amp;""[\w &amp;]*, (\d+\.\d+)"")),"""")
"),227)</f>
        <v>227</v>
      </c>
      <c r="H124" s="3" t="n">
        <f aca="false">IFERROR(__xludf.dummyfunction("if($T124&lt;&gt;"""",VALUE(REGEXEXTRACT($T124, H$1&amp;""[\w &amp;]*, (\d+\.\d+)"")),"""")
"),232)</f>
        <v>232</v>
      </c>
      <c r="I124" s="3" t="n">
        <f aca="false">IFERROR(__xludf.dummyfunction("if($T124&lt;&gt;"""",VALUE(REGEXEXTRACT(SUBSTITUTE ($T124,I$1&amp;"" CE"",""""), I$1&amp;""[\w &amp;]*, (\d+\.\d+)"")),"""")
"),210)</f>
        <v>210</v>
      </c>
      <c r="J124" s="3" t="n">
        <f aca="false">IFERROR(__xludf.dummyfunction("if($T124&lt;&gt;"""",VALUE(REGEXEXTRACT($T124, J$1&amp;""[\w &amp;]*, (\d+\.\d+)"")),"""")
"),224)</f>
        <v>224</v>
      </c>
      <c r="K124" s="3" t="n">
        <f aca="false">IFERROR(__xludf.dummyfunction("if($T124&lt;&gt;"""",VALUE(REGEXEXTRACT($T124, K$1&amp;""[\w &amp;]*, (\d+\.\d+)"")),"""")
"),212)</f>
        <v>212</v>
      </c>
      <c r="L124" s="3" t="n">
        <f aca="false">IFERROR(__xludf.dummyfunction("if($T124&lt;&gt;"""",VALUE(REGEXEXTRACT(SUBSTITUTE ($T124,L$1&amp;"" CE"",""""), L$1&amp;""[\w &amp;]*, (\d+\.\d+)"")),"""")
"),224)</f>
        <v>224</v>
      </c>
      <c r="M124" s="3" t="n">
        <f aca="false">IFERROR(__xludf.dummyfunction("if($T124&lt;&gt;"""",VALUE(REGEXEXTRACT($T124, M$1&amp;""[\w &amp;]*, (\d+\.\d+)"")),"""")
"),225)</f>
        <v>225</v>
      </c>
      <c r="N124" s="3" t="n">
        <f aca="false">IFERROR(__xludf.dummyfunction("if($T124&lt;&gt;"""",VALUE(REGEXEXTRACT(SUBSTITUTE ($T124,N$1&amp;"" CE"",""""), N$1&amp;""[\w &amp;]*, (\d+\.\d+)"")),"""")
"),230)</f>
        <v>230</v>
      </c>
      <c r="O124" s="3" t="n">
        <f aca="false">IFERROR(__xludf.dummyfunction("if($T124&lt;&gt;"""",VALUE(REGEXEXTRACT($T124, O$1&amp;""[\w &amp;]*, (\d+\.\d+)"")),"""")
"),225)</f>
        <v>225</v>
      </c>
      <c r="P124" s="2" t="n">
        <f aca="false">IFERROR(__xludf.dummyfunction("if($T124&lt;&gt;"""",VALUE(REGEXEXTRACT($T124, P$1&amp;""[\w &amp;]*, (\d+\.\d+)"")),"""")
"),223.62)</f>
        <v>223.62</v>
      </c>
      <c r="Q124" s="2" t="n">
        <f aca="false">IFERROR(__xludf.dummyfunction("if($T124&lt;&gt;"""",VALUE(REGEXEXTRACT($T124, Q$1&amp;""[\w &amp;]*, (\d+\.\d+)"")),"""")
"),222.78)</f>
        <v>222.78</v>
      </c>
      <c r="R124" s="2" t="n">
        <f aca="false">IFERROR(__xludf.dummyfunction("if($T124&lt;&gt;"""",VALUE(REGEXEXTRACT($T124, SUBSTITUTE(R$1, ""+"", ""\+"")&amp;""[\w &amp;]*, (\d+\.\d+)"")),"""")"),227.68)</f>
        <v>227.68</v>
      </c>
      <c r="S124" s="2" t="n">
        <f aca="false">IFERROR(__xludf.dummyfunction("if($T124&lt;&gt;"""",VALUE(REGEXEXTRACT($T124, SUBSTITUTE(S$1, ""+"", ""\+"")&amp;""[\w &amp;]*, (\d+\.\d+)"")),"""")"),228.52)</f>
        <v>228.52</v>
      </c>
      <c r="T124" s="5" t="s">
        <v>746</v>
      </c>
    </row>
    <row r="125" customFormat="false" ht="15.75" hidden="false" customHeight="false" outlineLevel="0" collapsed="false">
      <c r="A125" s="4" t="n">
        <f aca="false">IFERROR(__xludf.dummyfunction("""COMPUTED_VALUE"""),45587.6666666667)</f>
        <v>45587.6666666667</v>
      </c>
      <c r="B125" s="2" t="n">
        <f aca="false">IFERROR(__xludf.dummyfunction("""COMPUTED_VALUE"""),221.47)</f>
        <v>221.47</v>
      </c>
      <c r="C125" s="2" t="n">
        <f aca="false">IFERROR(__xludf.dummyfunction("""COMPUTED_VALUE"""),221.83)</f>
        <v>221.83</v>
      </c>
      <c r="D125" s="2" t="n">
        <f aca="false">IFERROR(__xludf.dummyfunction("""COMPUTED_VALUE"""),220.3)</f>
        <v>220.3</v>
      </c>
      <c r="E125" s="2" t="n">
        <f aca="false">IFERROR(__xludf.dummyfunction("""COMPUTED_VALUE"""),221.26)</f>
        <v>221.26</v>
      </c>
      <c r="F125" s="3" t="n">
        <f aca="false">IFERROR(__xludf.dummyfunction("if($T125&lt;&gt;"""",VALUE(REGEXEXTRACT(SUBSTITUTE ($T125,F$1&amp;"" CE"",""""), F$1&amp;""[\w &amp;]*, (\d+\.\d+)"")),"""")
"),223)</f>
        <v>223</v>
      </c>
      <c r="G125" s="3" t="n">
        <f aca="false">IFERROR(__xludf.dummyfunction("if($T125&lt;&gt;"""",VALUE(REGEXEXTRACT($T125, G$1&amp;""[\w &amp;]*, (\d+\.\d+)"")),"""")
"),223)</f>
        <v>223</v>
      </c>
      <c r="H125" s="3" t="n">
        <f aca="false">IFERROR(__xludf.dummyfunction("if($T125&lt;&gt;"""",VALUE(REGEXEXTRACT($T125, H$1&amp;""[\w &amp;]*, (\d+\.\d+)"")),"""")
"),232)</f>
        <v>232</v>
      </c>
      <c r="I125" s="3" t="n">
        <f aca="false">IFERROR(__xludf.dummyfunction("if($T125&lt;&gt;"""",VALUE(REGEXEXTRACT(SUBSTITUTE ($T125,I$1&amp;"" CE"",""""), I$1&amp;""[\w &amp;]*, (\d+\.\d+)"")),"""")
"),210)</f>
        <v>210</v>
      </c>
      <c r="J125" s="3" t="n">
        <f aca="false">IFERROR(__xludf.dummyfunction("if($T125&lt;&gt;"""",VALUE(REGEXEXTRACT($T125, J$1&amp;""[\w &amp;]*, (\d+\.\d+)"")),"""")
"),221)</f>
        <v>221</v>
      </c>
      <c r="K125" s="3" t="n">
        <f aca="false">IFERROR(__xludf.dummyfunction("if($T125&lt;&gt;"""",VALUE(REGEXEXTRACT($T125, K$1&amp;""[\w &amp;]*, (\d+\.\d+)"")),"""")
"),217)</f>
        <v>217</v>
      </c>
      <c r="L125" s="3" t="n">
        <f aca="false">IFERROR(__xludf.dummyfunction("if($T125&lt;&gt;"""",VALUE(REGEXEXTRACT(SUBSTITUTE ($T125,L$1&amp;"" CE"",""""), L$1&amp;""[\w &amp;]*, (\d+\.\d+)"")),"""")
"),222.5)</f>
        <v>222.5</v>
      </c>
      <c r="M125" s="3" t="n">
        <f aca="false">IFERROR(__xludf.dummyfunction("if($T125&lt;&gt;"""",VALUE(REGEXEXTRACT($T125, M$1&amp;""[\w &amp;]*, (\d+\.\d+)"")),"""")
"),221)</f>
        <v>221</v>
      </c>
      <c r="N125" s="3" t="n">
        <f aca="false">IFERROR(__xludf.dummyfunction("if($T125&lt;&gt;"""",VALUE(REGEXEXTRACT(SUBSTITUTE ($T125,N$1&amp;"" CE"",""""), N$1&amp;""[\w &amp;]*, (\d+\.\d+)"")),"""")
"),220)</f>
        <v>220</v>
      </c>
      <c r="O125" s="3" t="n">
        <f aca="false">IFERROR(__xludf.dummyfunction("if($T125&lt;&gt;"""",VALUE(REGEXEXTRACT($T125, O$1&amp;""[\w &amp;]*, (\d+\.\d+)"")),"""")
"),223)</f>
        <v>223</v>
      </c>
      <c r="P125" s="2" t="n">
        <f aca="false">IFERROR(__xludf.dummyfunction("if($T125&lt;&gt;"""",VALUE(REGEXEXTRACT($T125, P$1&amp;""[\w &amp;]*, (\d+\.\d+)"")),"""")
"),219.79)</f>
        <v>219.79</v>
      </c>
      <c r="Q125" s="2" t="n">
        <f aca="false">IFERROR(__xludf.dummyfunction("if($T125&lt;&gt;"""",VALUE(REGEXEXTRACT($T125, Q$1&amp;""[\w &amp;]*, (\d+\.\d+)"")),"""")
"),218.84)</f>
        <v>218.84</v>
      </c>
      <c r="R125" s="2" t="n">
        <f aca="false">IFERROR(__xludf.dummyfunction("if($T125&lt;&gt;"""",VALUE(REGEXEXTRACT($T125, SUBSTITUTE(R$1, ""+"", ""\+"")&amp;""[\w &amp;]*, (\d+\.\d+)"")),"""")"),224.41)</f>
        <v>224.41</v>
      </c>
      <c r="S125" s="2" t="n">
        <f aca="false">IFERROR(__xludf.dummyfunction("if($T125&lt;&gt;"""",VALUE(REGEXEXTRACT($T125, SUBSTITUTE(S$1, ""+"", ""\+"")&amp;""[\w &amp;]*, (\d+\.\d+)"")),"""")"),225.36)</f>
        <v>225.36</v>
      </c>
      <c r="T125" s="5" t="s">
        <v>747</v>
      </c>
    </row>
    <row r="126" customFormat="false" ht="15.75" hidden="false" customHeight="false" outlineLevel="0" collapsed="false">
      <c r="A126" s="4" t="n">
        <f aca="false">IFERROR(__xludf.dummyfunction("""COMPUTED_VALUE"""),45588.6666666667)</f>
        <v>45588.6666666667</v>
      </c>
      <c r="B126" s="2" t="n">
        <f aca="false">IFERROR(__xludf.dummyfunction("""COMPUTED_VALUE"""),220.03)</f>
        <v>220.03</v>
      </c>
      <c r="C126" s="2" t="n">
        <f aca="false">IFERROR(__xludf.dummyfunction("""COMPUTED_VALUE"""),220.8)</f>
        <v>220.8</v>
      </c>
      <c r="D126" s="2" t="n">
        <f aca="false">IFERROR(__xludf.dummyfunction("""COMPUTED_VALUE"""),217.37)</f>
        <v>217.37</v>
      </c>
      <c r="E126" s="2" t="n">
        <f aca="false">IFERROR(__xludf.dummyfunction("""COMPUTED_VALUE"""),219.24)</f>
        <v>219.24</v>
      </c>
      <c r="F126" s="3" t="n">
        <f aca="false">IFERROR(__xludf.dummyfunction("if($T126&lt;&gt;"""",VALUE(REGEXEXTRACT(SUBSTITUTE ($T126,F$1&amp;"" CE"",""""), F$1&amp;""[\w &amp;]*, (\d+\.\d+)"")),"""")
"),230)</f>
        <v>230</v>
      </c>
      <c r="G126" s="3" t="n">
        <f aca="false">IFERROR(__xludf.dummyfunction("if($T126&lt;&gt;"""",VALUE(REGEXEXTRACT($T126, G$1&amp;""[\w &amp;]*, (\d+\.\d+)"")),"""")
"),222)</f>
        <v>222</v>
      </c>
      <c r="H126" s="3" t="n">
        <f aca="false">IFERROR(__xludf.dummyfunction("if($T126&lt;&gt;"""",VALUE(REGEXEXTRACT($T126, H$1&amp;""[\w &amp;]*, (\d+\.\d+)"")),"""")
"),232)</f>
        <v>232</v>
      </c>
      <c r="I126" s="3" t="n">
        <f aca="false">IFERROR(__xludf.dummyfunction("if($T126&lt;&gt;"""",VALUE(REGEXEXTRACT(SUBSTITUTE ($T126,I$1&amp;"" CE"",""""), I$1&amp;""[\w &amp;]*, (\d+\.\d+)"")),"""")
"),210)</f>
        <v>210</v>
      </c>
      <c r="J126" s="3" t="n">
        <f aca="false">IFERROR(__xludf.dummyfunction("if($T126&lt;&gt;"""",VALUE(REGEXEXTRACT($T126, J$1&amp;""[\w &amp;]*, (\d+\.\d+)"")),"""")
"),220)</f>
        <v>220</v>
      </c>
      <c r="K126" s="3" t="n">
        <f aca="false">IFERROR(__xludf.dummyfunction("if($T126&lt;&gt;"""",VALUE(REGEXEXTRACT($T126, K$1&amp;""[\w &amp;]*, (\d+\.\d+)"")),"""")
"),217)</f>
        <v>217</v>
      </c>
      <c r="L126" s="3" t="n">
        <f aca="false">IFERROR(__xludf.dummyfunction("if($T126&lt;&gt;"""",VALUE(REGEXEXTRACT(SUBSTITUTE ($T126,L$1&amp;"" CE"",""""), L$1&amp;""[\w &amp;]*, (\d+\.\d+)"")),"""")
"),221)</f>
        <v>221</v>
      </c>
      <c r="M126" s="3" t="n">
        <f aca="false">IFERROR(__xludf.dummyfunction("if($T126&lt;&gt;"""",VALUE(REGEXEXTRACT($T126, M$1&amp;""[\w &amp;]*, (\d+\.\d+)"")),"""")
"),220)</f>
        <v>220</v>
      </c>
      <c r="N126" s="3" t="n">
        <f aca="false">IFERROR(__xludf.dummyfunction("if($T126&lt;&gt;"""",VALUE(REGEXEXTRACT(SUBSTITUTE ($T126,N$1&amp;"" CE"",""""), N$1&amp;""[\w &amp;]*, (\d+\.\d+)"")),"""")
"),220)</f>
        <v>220</v>
      </c>
      <c r="O126" s="3" t="n">
        <f aca="false">IFERROR(__xludf.dummyfunction("if($T126&lt;&gt;"""",VALUE(REGEXEXTRACT($T126, O$1&amp;""[\w &amp;]*, (\d+\.\d+)"")),"""")
"),221)</f>
        <v>221</v>
      </c>
      <c r="P126" s="2" t="n">
        <f aca="false">IFERROR(__xludf.dummyfunction("if($T126&lt;&gt;"""",VALUE(REGEXEXTRACT($T126, P$1&amp;""[\w &amp;]*, (\d+\.\d+)"")),"""")
"),219.01)</f>
        <v>219.01</v>
      </c>
      <c r="Q126" s="2" t="n">
        <f aca="false">IFERROR(__xludf.dummyfunction("if($T126&lt;&gt;"""",VALUE(REGEXEXTRACT($T126, Q$1&amp;""[\w &amp;]*, (\d+\.\d+)"")),"""")
"),218.07)</f>
        <v>218.07</v>
      </c>
      <c r="R126" s="2" t="n">
        <f aca="false">IFERROR(__xludf.dummyfunction("if($T126&lt;&gt;"""",VALUE(REGEXEXTRACT($T126, SUBSTITUTE(R$1, ""+"", ""\+"")&amp;""[\w &amp;]*, (\d+\.\d+)"")),"""")"),223.51)</f>
        <v>223.51</v>
      </c>
      <c r="S126" s="2" t="n">
        <f aca="false">IFERROR(__xludf.dummyfunction("if($T126&lt;&gt;"""",VALUE(REGEXEXTRACT($T126, SUBSTITUTE(S$1, ""+"", ""\+"")&amp;""[\w &amp;]*, (\d+\.\d+)"")),"""")"),224.45)</f>
        <v>224.45</v>
      </c>
      <c r="T126" s="5" t="s">
        <v>748</v>
      </c>
    </row>
    <row r="127" customFormat="false" ht="15.75" hidden="false" customHeight="false" outlineLevel="0" collapsed="false">
      <c r="A127" s="4" t="n">
        <f aca="false">IFERROR(__xludf.dummyfunction("""COMPUTED_VALUE"""),45589.6666666667)</f>
        <v>45589.6666666667</v>
      </c>
      <c r="B127" s="2" t="n">
        <f aca="false">IFERROR(__xludf.dummyfunction("""COMPUTED_VALUE"""),220.43)</f>
        <v>220.43</v>
      </c>
      <c r="C127" s="2" t="n">
        <f aca="false">IFERROR(__xludf.dummyfunction("""COMPUTED_VALUE"""),221.04)</f>
        <v>221.04</v>
      </c>
      <c r="D127" s="2" t="n">
        <f aca="false">IFERROR(__xludf.dummyfunction("""COMPUTED_VALUE"""),218.53)</f>
        <v>218.53</v>
      </c>
      <c r="E127" s="2" t="n">
        <f aca="false">IFERROR(__xludf.dummyfunction("""COMPUTED_VALUE"""),219.72)</f>
        <v>219.72</v>
      </c>
      <c r="F127" s="3" t="n">
        <f aca="false">IFERROR(__xludf.dummyfunction("if($T127&lt;&gt;"""",VALUE(REGEXEXTRACT(SUBSTITUTE ($T127,F$1&amp;"" CE"",""""), F$1&amp;""[\w &amp;]*, (\d+\.\d+)"")),"""")
"),230)</f>
        <v>230</v>
      </c>
      <c r="G127" s="3" t="n">
        <f aca="false">IFERROR(__xludf.dummyfunction("if($T127&lt;&gt;"""",VALUE(REGEXEXTRACT($T127, G$1&amp;""[\w &amp;]*, (\d+\.\d+)"")),"""")
"),220)</f>
        <v>220</v>
      </c>
      <c r="H127" s="3" t="n">
        <f aca="false">IFERROR(__xludf.dummyfunction("if($T127&lt;&gt;"""",VALUE(REGEXEXTRACT($T127, H$1&amp;""[\w &amp;]*, (\d+\.\d+)"")),"""")
"),232)</f>
        <v>232</v>
      </c>
      <c r="I127" s="3" t="n">
        <f aca="false">IFERROR(__xludf.dummyfunction("if($T127&lt;&gt;"""",VALUE(REGEXEXTRACT(SUBSTITUTE ($T127,I$1&amp;"" CE"",""""), I$1&amp;""[\w &amp;]*, (\d+\.\d+)"")),"""")
"),220)</f>
        <v>220</v>
      </c>
      <c r="J127" s="3" t="n">
        <f aca="false">IFERROR(__xludf.dummyfunction("if($T127&lt;&gt;"""",VALUE(REGEXEXTRACT($T127, J$1&amp;""[\w &amp;]*, (\d+\.\d+)"")),"""")
"),217)</f>
        <v>217</v>
      </c>
      <c r="K127" s="3" t="n">
        <f aca="false">IFERROR(__xludf.dummyfunction("if($T127&lt;&gt;"""",VALUE(REGEXEXTRACT($T127, K$1&amp;""[\w &amp;]*, (\d+\.\d+)"")),"""")
"),212)</f>
        <v>212</v>
      </c>
      <c r="L127" s="3" t="n">
        <f aca="false">IFERROR(__xludf.dummyfunction("if($T127&lt;&gt;"""",VALUE(REGEXEXTRACT(SUBSTITUTE ($T127,L$1&amp;"" CE"",""""), L$1&amp;""[\w &amp;]*, (\d+\.\d+)"")),"""")
"),221)</f>
        <v>221</v>
      </c>
      <c r="M127" s="3" t="n">
        <f aca="false">IFERROR(__xludf.dummyfunction("if($T127&lt;&gt;"""",VALUE(REGEXEXTRACT($T127, M$1&amp;""[\w &amp;]*, (\d+\.\d+)"")),"""")
"),218)</f>
        <v>218</v>
      </c>
      <c r="N127" s="3" t="n">
        <f aca="false">IFERROR(__xludf.dummyfunction("if($T127&lt;&gt;"""",VALUE(REGEXEXTRACT(SUBSTITUTE ($T127,N$1&amp;"" CE"",""""), N$1&amp;""[\w &amp;]*, (\d+\.\d+)"")),"""")
"),220)</f>
        <v>220</v>
      </c>
      <c r="O127" s="3" t="n">
        <f aca="false">IFERROR(__xludf.dummyfunction("if($T127&lt;&gt;"""",VALUE(REGEXEXTRACT($T127, O$1&amp;""[\w &amp;]*, (\d+\.\d+)"")),"""")
"),219)</f>
        <v>219</v>
      </c>
      <c r="P127" s="2" t="n">
        <f aca="false">IFERROR(__xludf.dummyfunction("if($T127&lt;&gt;"""",VALUE(REGEXEXTRACT($T127, P$1&amp;""[\w &amp;]*, (\d+\.\d+)"")),"""")
"),216.99)</f>
        <v>216.99</v>
      </c>
      <c r="Q127" s="2" t="n">
        <f aca="false">IFERROR(__xludf.dummyfunction("if($T127&lt;&gt;"""",VALUE(REGEXEXTRACT($T127, Q$1&amp;""[\w &amp;]*, (\d+\.\d+)"")),"""")
"),216.05)</f>
        <v>216.05</v>
      </c>
      <c r="R127" s="2" t="n">
        <f aca="false">IFERROR(__xludf.dummyfunction("if($T127&lt;&gt;"""",VALUE(REGEXEXTRACT($T127, SUBSTITUTE(R$1, ""+"", ""\+"")&amp;""[\w &amp;]*, (\d+\.\d+)"")),"""")"),221.49)</f>
        <v>221.49</v>
      </c>
      <c r="S127" s="2" t="n">
        <f aca="false">IFERROR(__xludf.dummyfunction("if($T127&lt;&gt;"""",VALUE(REGEXEXTRACT($T127, SUBSTITUTE(S$1, ""+"", ""\+"")&amp;""[\w &amp;]*, (\d+\.\d+)"")),"""")"),222.43)</f>
        <v>222.43</v>
      </c>
      <c r="T127" s="5" t="s">
        <v>749</v>
      </c>
    </row>
    <row r="128" customFormat="false" ht="15.75" hidden="false" customHeight="false" outlineLevel="0" collapsed="false">
      <c r="A128" s="4" t="n">
        <f aca="false">IFERROR(__xludf.dummyfunction("""COMPUTED_VALUE"""),45590.6666666667)</f>
        <v>45590.6666666667</v>
      </c>
      <c r="B128" s="2" t="n">
        <f aca="false">IFERROR(__xludf.dummyfunction("""COMPUTED_VALUE"""),221.31)</f>
        <v>221.31</v>
      </c>
      <c r="C128" s="2" t="n">
        <f aca="false">IFERROR(__xludf.dummyfunction("""COMPUTED_VALUE"""),221.97)</f>
        <v>221.97</v>
      </c>
      <c r="D128" s="2" t="n">
        <f aca="false">IFERROR(__xludf.dummyfunction("""COMPUTED_VALUE"""),218.52)</f>
        <v>218.52</v>
      </c>
      <c r="E128" s="2" t="n">
        <f aca="false">IFERROR(__xludf.dummyfunction("""COMPUTED_VALUE"""),218.89)</f>
        <v>218.89</v>
      </c>
      <c r="F128" s="3" t="n">
        <f aca="false">IFERROR(__xludf.dummyfunction("if($T128&lt;&gt;"""",VALUE(REGEXEXTRACT(SUBSTITUTE ($T128,F$1&amp;"" CE"",""""), F$1&amp;""[\w &amp;]*, (\d+\.\d+)"")),"""")
"),220)</f>
        <v>220</v>
      </c>
      <c r="G128" s="3" t="n">
        <f aca="false">IFERROR(__xludf.dummyfunction("if($T128&lt;&gt;"""",VALUE(REGEXEXTRACT($T128, G$1&amp;""[\w &amp;]*, (\d+\.\d+)"")),"""")
"),222)</f>
        <v>222</v>
      </c>
      <c r="H128" s="3" t="n">
        <f aca="false">IFERROR(__xludf.dummyfunction("if($T128&lt;&gt;"""",VALUE(REGEXEXTRACT($T128, H$1&amp;""[\w &amp;]*, (\d+\.\d+)"")),"""")
"),232)</f>
        <v>232</v>
      </c>
      <c r="I128" s="3" t="n">
        <f aca="false">IFERROR(__xludf.dummyfunction("if($T128&lt;&gt;"""",VALUE(REGEXEXTRACT(SUBSTITUTE ($T128,I$1&amp;"" CE"",""""), I$1&amp;""[\w &amp;]*, (\d+\.\d+)"")),"""")
"),220)</f>
        <v>220</v>
      </c>
      <c r="J128" s="3" t="n">
        <f aca="false">IFERROR(__xludf.dummyfunction("if($T128&lt;&gt;"""",VALUE(REGEXEXTRACT($T128, J$1&amp;""[\w &amp;]*, (\d+\.\d+)"")),"""")
"),220)</f>
        <v>220</v>
      </c>
      <c r="K128" s="3" t="n">
        <f aca="false">IFERROR(__xludf.dummyfunction("if($T128&lt;&gt;"""",VALUE(REGEXEXTRACT($T128, K$1&amp;""[\w &amp;]*, (\d+\.\d+)"")),"""")
"),217)</f>
        <v>217</v>
      </c>
      <c r="L128" s="3" t="n">
        <f aca="false">IFERROR(__xludf.dummyfunction("if($T128&lt;&gt;"""",VALUE(REGEXEXTRACT(SUBSTITUTE ($T128,L$1&amp;"" CE"",""""), L$1&amp;""[\w &amp;]*, (\d+\.\d+)"")),"""")
"),221)</f>
        <v>221</v>
      </c>
      <c r="M128" s="3" t="n">
        <f aca="false">IFERROR(__xludf.dummyfunction("if($T128&lt;&gt;"""",VALUE(REGEXEXTRACT($T128, M$1&amp;""[\w &amp;]*, (\d+\.\d+)"")),"""")
"),221)</f>
        <v>221</v>
      </c>
      <c r="N128" s="3" t="n">
        <f aca="false">IFERROR(__xludf.dummyfunction("if($T128&lt;&gt;"""",VALUE(REGEXEXTRACT(SUBSTITUTE ($T128,N$1&amp;"" CE"",""""), N$1&amp;""[\w &amp;]*, (\d+\.\d+)"")),"""")
"),220)</f>
        <v>220</v>
      </c>
      <c r="O128" s="3" t="n">
        <f aca="false">IFERROR(__xludf.dummyfunction("if($T128&lt;&gt;"""",VALUE(REGEXEXTRACT($T128, O$1&amp;""[\w &amp;]*, (\d+\.\d+)"")),"""")
"),220)</f>
        <v>220</v>
      </c>
      <c r="P128" s="2" t="n">
        <f aca="false">IFERROR(__xludf.dummyfunction("if($T128&lt;&gt;"""",VALUE(REGEXEXTRACT($T128, P$1&amp;""[\w &amp;]*, (\d+\.\d+)"")),"""")
"),217.24)</f>
        <v>217.24</v>
      </c>
      <c r="Q128" s="2" t="n">
        <f aca="false">IFERROR(__xludf.dummyfunction("if($T128&lt;&gt;"""",VALUE(REGEXEXTRACT($T128, Q$1&amp;""[\w &amp;]*, (\d+\.\d+)"")),"""")
"),214.75)</f>
        <v>214.75</v>
      </c>
      <c r="R128" s="2" t="n">
        <f aca="false">IFERROR(__xludf.dummyfunction("if($T128&lt;&gt;"""",VALUE(REGEXEXTRACT($T128, SUBSTITUTE(R$1, ""+"", ""\+"")&amp;""[\w &amp;]*, (\d+\.\d+)"")),"""")"),222.2)</f>
        <v>222.2</v>
      </c>
      <c r="S128" s="2" t="n">
        <f aca="false">IFERROR(__xludf.dummyfunction("if($T128&lt;&gt;"""",VALUE(REGEXEXTRACT($T128, SUBSTITUTE(S$1, ""+"", ""\+"")&amp;""[\w &amp;]*, (\d+\.\d+)"")),"""")"),224.69)</f>
        <v>224.69</v>
      </c>
      <c r="T128" s="5" t="s">
        <v>750</v>
      </c>
    </row>
    <row r="129" customFormat="false" ht="15.75" hidden="false" customHeight="false" outlineLevel="0" collapsed="false">
      <c r="A129" s="4" t="n">
        <f aca="false">IFERROR(__xludf.dummyfunction("""COMPUTED_VALUE"""),45593.6666666667)</f>
        <v>45593.6666666667</v>
      </c>
      <c r="B129" s="2" t="n">
        <f aca="false">IFERROR(__xludf.dummyfunction("""COMPUTED_VALUE"""),220.79)</f>
        <v>220.79</v>
      </c>
      <c r="C129" s="2" t="n">
        <f aca="false">IFERROR(__xludf.dummyfunction("""COMPUTED_VALUE"""),222.97)</f>
        <v>222.97</v>
      </c>
      <c r="D129" s="2" t="n">
        <f aca="false">IFERROR(__xludf.dummyfunction("""COMPUTED_VALUE"""),220.48)</f>
        <v>220.48</v>
      </c>
      <c r="E129" s="2" t="n">
        <f aca="false">IFERROR(__xludf.dummyfunction("""COMPUTED_VALUE"""),222.46)</f>
        <v>222.46</v>
      </c>
      <c r="F129" s="3" t="n">
        <f aca="false">IFERROR(__xludf.dummyfunction("if($T129&lt;&gt;"""",VALUE(REGEXEXTRACT(SUBSTITUTE ($T129,F$1&amp;"" CE"",""""), F$1&amp;""[\w &amp;]*, (\d+\.\d+)"")),"""")
"),230)</f>
        <v>230</v>
      </c>
      <c r="G129" s="3" t="n">
        <f aca="false">IFERROR(__xludf.dummyfunction("if($T129&lt;&gt;"""",VALUE(REGEXEXTRACT($T129, G$1&amp;""[\w &amp;]*, (\d+\.\d+)"")),"""")
"),221)</f>
        <v>221</v>
      </c>
      <c r="H129" s="3" t="n">
        <f aca="false">IFERROR(__xludf.dummyfunction("if($T129&lt;&gt;"""",VALUE(REGEXEXTRACT($T129, H$1&amp;""[\w &amp;]*, (\d+\.\d+)"")),"""")
"),232)</f>
        <v>232</v>
      </c>
      <c r="I129" s="3" t="n">
        <f aca="false">IFERROR(__xludf.dummyfunction("if($T129&lt;&gt;"""",VALUE(REGEXEXTRACT(SUBSTITUTE ($T129,I$1&amp;"" CE"",""""), I$1&amp;""[\w &amp;]*, (\d+\.\d+)"")),"""")
"),210)</f>
        <v>210</v>
      </c>
      <c r="J129" s="3" t="n">
        <f aca="false">IFERROR(__xludf.dummyfunction("if($T129&lt;&gt;"""",VALUE(REGEXEXTRACT($T129, J$1&amp;""[\w &amp;]*, (\d+\.\d+)"")),"""")
"),220)</f>
        <v>220</v>
      </c>
      <c r="K129" s="3" t="n">
        <f aca="false">IFERROR(__xludf.dummyfunction("if($T129&lt;&gt;"""",VALUE(REGEXEXTRACT($T129, K$1&amp;""[\w &amp;]*, (\d+\.\d+)"")),"""")
"),208)</f>
        <v>208</v>
      </c>
      <c r="L129" s="3" t="n">
        <f aca="false">IFERROR(__xludf.dummyfunction("if($T129&lt;&gt;"""",VALUE(REGEXEXTRACT(SUBSTITUTE ($T129,L$1&amp;"" CE"",""""), L$1&amp;""[\w &amp;]*, (\d+\.\d+)"")),"""")
"),220)</f>
        <v>220</v>
      </c>
      <c r="M129" s="3" t="n">
        <f aca="false">IFERROR(__xludf.dummyfunction("if($T129&lt;&gt;"""",VALUE(REGEXEXTRACT($T129, M$1&amp;""[\w &amp;]*, (\d+\.\d+)"")),"""")
"),220)</f>
        <v>220</v>
      </c>
      <c r="N129" s="3" t="n">
        <f aca="false">IFERROR(__xludf.dummyfunction("if($T129&lt;&gt;"""",VALUE(REGEXEXTRACT(SUBSTITUTE ($T129,N$1&amp;"" CE"",""""), N$1&amp;""[\w &amp;]*, (\d+\.\d+)"")),"""")
"),220)</f>
        <v>220</v>
      </c>
      <c r="O129" s="3" t="n">
        <f aca="false">IFERROR(__xludf.dummyfunction("if($T129&lt;&gt;"""",VALUE(REGEXEXTRACT($T129, O$1&amp;""[\w &amp;]*, (\d+\.\d+)"")),"""")
"),220)</f>
        <v>220</v>
      </c>
      <c r="P129" s="2" t="n">
        <f aca="false">IFERROR(__xludf.dummyfunction("if($T129&lt;&gt;"""",VALUE(REGEXEXTRACT($T129, P$1&amp;""[\w &amp;]*, (\d+\.\d+)"")),"""")
"),216.48)</f>
        <v>216.48</v>
      </c>
      <c r="Q129" s="2" t="n">
        <f aca="false">IFERROR(__xludf.dummyfunction("if($T129&lt;&gt;"""",VALUE(REGEXEXTRACT($T129, Q$1&amp;""[\w &amp;]*, (\d+\.\d+)"")),"""")
"),215.48)</f>
        <v>215.48</v>
      </c>
      <c r="R129" s="2" t="n">
        <f aca="false">IFERROR(__xludf.dummyfunction("if($T129&lt;&gt;"""",VALUE(REGEXEXTRACT($T129, SUBSTITUTE(R$1, ""+"", ""\+"")&amp;""[\w &amp;]*, (\d+\.\d+)"")),"""")"),221.3)</f>
        <v>221.3</v>
      </c>
      <c r="S129" s="2" t="n">
        <f aca="false">IFERROR(__xludf.dummyfunction("if($T129&lt;&gt;"""",VALUE(REGEXEXTRACT($T129, SUBSTITUTE(S$1, ""+"", ""\+"")&amp;""[\w &amp;]*, (\d+\.\d+)"")),"""")"),222.3)</f>
        <v>222.3</v>
      </c>
      <c r="T129" s="5" t="s">
        <v>751</v>
      </c>
    </row>
    <row r="130" customFormat="false" ht="15.75" hidden="false" customHeight="false" outlineLevel="0" collapsed="false">
      <c r="A130" s="4" t="n">
        <f aca="false">IFERROR(__xludf.dummyfunction("""COMPUTED_VALUE"""),45594.6666666667)</f>
        <v>45594.6666666667</v>
      </c>
      <c r="B130" s="2" t="n">
        <f aca="false">IFERROR(__xludf.dummyfunction("""COMPUTED_VALUE"""),220.74)</f>
        <v>220.74</v>
      </c>
      <c r="C130" s="2" t="n">
        <f aca="false">IFERROR(__xludf.dummyfunction("""COMPUTED_VALUE"""),221.9)</f>
        <v>221.9</v>
      </c>
      <c r="D130" s="2" t="n">
        <f aca="false">IFERROR(__xludf.dummyfunction("""COMPUTED_VALUE"""),219.97)</f>
        <v>219.97</v>
      </c>
      <c r="E130" s="2" t="n">
        <f aca="false">IFERROR(__xludf.dummyfunction("""COMPUTED_VALUE"""),221.74)</f>
        <v>221.74</v>
      </c>
      <c r="F130" s="3" t="n">
        <f aca="false">IFERROR(__xludf.dummyfunction("if($T130&lt;&gt;"""",VALUE(REGEXEXTRACT(SUBSTITUTE ($T130,F$1&amp;"" CE"",""""), F$1&amp;""[\w &amp;]*, (\d+\.\d+)"")),"""")
"),225)</f>
        <v>225</v>
      </c>
      <c r="G130" s="3" t="n">
        <f aca="false">IFERROR(__xludf.dummyfunction("if($T130&lt;&gt;"""",VALUE(REGEXEXTRACT($T130, G$1&amp;""[\w &amp;]*, (\d+\.\d+)"")),"""")
"),224)</f>
        <v>224</v>
      </c>
      <c r="H130" s="3" t="n">
        <f aca="false">IFERROR(__xludf.dummyfunction("if($T130&lt;&gt;"""",VALUE(REGEXEXTRACT($T130, H$1&amp;""[\w &amp;]*, (\d+\.\d+)"")),"""")
"),232)</f>
        <v>232</v>
      </c>
      <c r="I130" s="3" t="n">
        <f aca="false">IFERROR(__xludf.dummyfunction("if($T130&lt;&gt;"""",VALUE(REGEXEXTRACT(SUBSTITUTE ($T130,I$1&amp;"" CE"",""""), I$1&amp;""[\w &amp;]*, (\d+\.\d+)"")),"""")
"),210)</f>
        <v>210</v>
      </c>
      <c r="J130" s="3" t="n">
        <f aca="false">IFERROR(__xludf.dummyfunction("if($T130&lt;&gt;"""",VALUE(REGEXEXTRACT($T130, J$1&amp;""[\w &amp;]*, (\d+\.\d+)"")),"""")
"),221)</f>
        <v>221</v>
      </c>
      <c r="K130" s="3" t="n">
        <f aca="false">IFERROR(__xludf.dummyfunction("if($T130&lt;&gt;"""",VALUE(REGEXEXTRACT($T130, K$1&amp;""[\w &amp;]*, (\d+\.\d+)"")),"""")
"),208)</f>
        <v>208</v>
      </c>
      <c r="L130" s="3" t="n">
        <f aca="false">IFERROR(__xludf.dummyfunction("if($T130&lt;&gt;"""",VALUE(REGEXEXTRACT(SUBSTITUTE ($T130,L$1&amp;"" CE"",""""), L$1&amp;""[\w &amp;]*, (\d+\.\d+)"")),"""")
"),221)</f>
        <v>221</v>
      </c>
      <c r="M130" s="3" t="n">
        <f aca="false">IFERROR(__xludf.dummyfunction("if($T130&lt;&gt;"""",VALUE(REGEXEXTRACT($T130, M$1&amp;""[\w &amp;]*, (\d+\.\d+)"")),"""")
"),222)</f>
        <v>222</v>
      </c>
      <c r="N130" s="3" t="n">
        <f aca="false">IFERROR(__xludf.dummyfunction("if($T130&lt;&gt;"""",VALUE(REGEXEXTRACT(SUBSTITUTE ($T130,N$1&amp;"" CE"",""""), N$1&amp;""[\w &amp;]*, (\d+\.\d+)"")),"""")
"),220)</f>
        <v>220</v>
      </c>
      <c r="O130" s="3" t="n">
        <f aca="false">IFERROR(__xludf.dummyfunction("if($T130&lt;&gt;"""",VALUE(REGEXEXTRACT($T130, O$1&amp;""[\w &amp;]*, (\d+\.\d+)"")),"""")
"),222)</f>
        <v>222</v>
      </c>
      <c r="P130" s="2" t="n">
        <f aca="false">IFERROR(__xludf.dummyfunction("if($T130&lt;&gt;"""",VALUE(REGEXEXTRACT($T130, P$1&amp;""[\w &amp;]*, (\d+\.\d+)"")),"""")
"),219.72)</f>
        <v>219.72</v>
      </c>
      <c r="Q130" s="2" t="n">
        <f aca="false">IFERROR(__xludf.dummyfunction("if($T130&lt;&gt;"""",VALUE(REGEXEXTRACT($T130, Q$1&amp;""[\w &amp;]*, (\d+\.\d+)"")),"""")
"),218.58)</f>
        <v>218.58</v>
      </c>
      <c r="R130" s="2" t="n">
        <f aca="false">IFERROR(__xludf.dummyfunction("if($T130&lt;&gt;"""",VALUE(REGEXEXTRACT($T130, SUBSTITUTE(R$1, ""+"", ""\+"")&amp;""[\w &amp;]*, (\d+\.\d+)"")),"""")"),225.2)</f>
        <v>225.2</v>
      </c>
      <c r="S130" s="2" t="n">
        <f aca="false">IFERROR(__xludf.dummyfunction("if($T130&lt;&gt;"""",VALUE(REGEXEXTRACT($T130, SUBSTITUTE(S$1, ""+"", ""\+"")&amp;""[\w &amp;]*, (\d+\.\d+)"")),"""")"),226.34)</f>
        <v>226.34</v>
      </c>
      <c r="T130" s="5" t="s">
        <v>752</v>
      </c>
    </row>
    <row r="131" customFormat="false" ht="15.75" hidden="false" customHeight="false" outlineLevel="0" collapsed="false">
      <c r="A131" s="4" t="n">
        <f aca="false">IFERROR(__xludf.dummyfunction("""COMPUTED_VALUE"""),45595.6666666667)</f>
        <v>45595.6666666667</v>
      </c>
      <c r="B131" s="2" t="n">
        <f aca="false">IFERROR(__xludf.dummyfunction("""COMPUTED_VALUE"""),221.07)</f>
        <v>221.07</v>
      </c>
      <c r="C131" s="2" t="n">
        <f aca="false">IFERROR(__xludf.dummyfunction("""COMPUTED_VALUE"""),224.48)</f>
        <v>224.48</v>
      </c>
      <c r="D131" s="2" t="n">
        <f aca="false">IFERROR(__xludf.dummyfunction("""COMPUTED_VALUE"""),220.9)</f>
        <v>220.9</v>
      </c>
      <c r="E131" s="2" t="n">
        <f aca="false">IFERROR(__xludf.dummyfunction("""COMPUTED_VALUE"""),221.44)</f>
        <v>221.44</v>
      </c>
      <c r="F131" s="3" t="n">
        <f aca="false">IFERROR(__xludf.dummyfunction("if($T131&lt;&gt;"""",VALUE(REGEXEXTRACT(SUBSTITUTE ($T131,F$1&amp;"" CE"",""""), F$1&amp;""[\w &amp;]*, (\d+\.\d+)"")),"""")
"),225)</f>
        <v>225</v>
      </c>
      <c r="G131" s="3" t="n">
        <f aca="false">IFERROR(__xludf.dummyfunction("if($T131&lt;&gt;"""",VALUE(REGEXEXTRACT($T131, G$1&amp;""[\w &amp;]*, (\d+\.\d+)"")),"""")
"),224)</f>
        <v>224</v>
      </c>
      <c r="H131" s="3" t="n">
        <f aca="false">IFERROR(__xludf.dummyfunction("if($T131&lt;&gt;"""",VALUE(REGEXEXTRACT($T131, H$1&amp;""[\w &amp;]*, (\d+\.\d+)"")),"""")
"),232)</f>
        <v>232</v>
      </c>
      <c r="I131" s="3" t="n">
        <f aca="false">IFERROR(__xludf.dummyfunction("if($T131&lt;&gt;"""",VALUE(REGEXEXTRACT(SUBSTITUTE ($T131,I$1&amp;"" CE"",""""), I$1&amp;""[\w &amp;]*, (\d+\.\d+)"")),"""")
"),210)</f>
        <v>210</v>
      </c>
      <c r="J131" s="3" t="n">
        <f aca="false">IFERROR(__xludf.dummyfunction("if($T131&lt;&gt;"""",VALUE(REGEXEXTRACT($T131, J$1&amp;""[\w &amp;]*, (\d+\.\d+)"")),"""")
"),219)</f>
        <v>219</v>
      </c>
      <c r="K131" s="3" t="n">
        <f aca="false">IFERROR(__xludf.dummyfunction("if($T131&lt;&gt;"""",VALUE(REGEXEXTRACT($T131, K$1&amp;""[\w &amp;]*, (\d+\.\d+)"")),"""")
"),208)</f>
        <v>208</v>
      </c>
      <c r="L131" s="3" t="n">
        <f aca="false">IFERROR(__xludf.dummyfunction("if($T131&lt;&gt;"""",VALUE(REGEXEXTRACT(SUBSTITUTE ($T131,L$1&amp;"" CE"",""""), L$1&amp;""[\w &amp;]*, (\d+\.\d+)"")),"""")
"),220)</f>
        <v>220</v>
      </c>
      <c r="M131" s="3" t="n">
        <f aca="false">IFERROR(__xludf.dummyfunction("if($T131&lt;&gt;"""",VALUE(REGEXEXTRACT($T131, M$1&amp;""[\w &amp;]*, (\d+\.\d+)"")),"""")
"),220)</f>
        <v>220</v>
      </c>
      <c r="N131" s="3" t="n">
        <f aca="false">IFERROR(__xludf.dummyfunction("if($T131&lt;&gt;"""",VALUE(REGEXEXTRACT(SUBSTITUTE ($T131,N$1&amp;"" CE"",""""), N$1&amp;""[\w &amp;]*, (\d+\.\d+)"")),"""")
"),220)</f>
        <v>220</v>
      </c>
      <c r="O131" s="3" t="n">
        <f aca="false">IFERROR(__xludf.dummyfunction("if($T131&lt;&gt;"""",VALUE(REGEXEXTRACT($T131, O$1&amp;""[\w &amp;]*, (\d+\.\d+)"")),"""")
"),221)</f>
        <v>221</v>
      </c>
      <c r="P131" s="2" t="n">
        <f aca="false">IFERROR(__xludf.dummyfunction("if($T131&lt;&gt;"""",VALUE(REGEXEXTRACT($T131, P$1&amp;""[\w &amp;]*, (\d+\.\d+)"")),"""")
"),218.91)</f>
        <v>218.91</v>
      </c>
      <c r="Q131" s="2" t="n">
        <f aca="false">IFERROR(__xludf.dummyfunction("if($T131&lt;&gt;"""",VALUE(REGEXEXTRACT($T131, Q$1&amp;""[\w &amp;]*, (\d+\.\d+)"")),"""")
"),217.74)</f>
        <v>217.74</v>
      </c>
      <c r="R131" s="2" t="n">
        <f aca="false">IFERROR(__xludf.dummyfunction("if($T131&lt;&gt;"""",VALUE(REGEXEXTRACT($T131, SUBSTITUTE(R$1, ""+"", ""\+"")&amp;""[\w &amp;]*, (\d+\.\d+)"")),"""")"),224.57)</f>
        <v>224.57</v>
      </c>
      <c r="S131" s="2" t="n">
        <f aca="false">IFERROR(__xludf.dummyfunction("if($T131&lt;&gt;"""",VALUE(REGEXEXTRACT($T131, SUBSTITUTE(S$1, ""+"", ""\+"")&amp;""[\w &amp;]*, (\d+\.\d+)"")),"""")"),225.74)</f>
        <v>225.74</v>
      </c>
      <c r="T131" s="5" t="s">
        <v>753</v>
      </c>
    </row>
    <row r="132" customFormat="false" ht="15.75" hidden="false" customHeight="false" outlineLevel="0" collapsed="false">
      <c r="A132" s="4" t="n">
        <f aca="false">IFERROR(__xludf.dummyfunction("""COMPUTED_VALUE"""),45596.6666666667)</f>
        <v>45596.6666666667</v>
      </c>
      <c r="B132" s="2" t="n">
        <f aca="false">IFERROR(__xludf.dummyfunction("""COMPUTED_VALUE"""),221.22)</f>
        <v>221.22</v>
      </c>
      <c r="C132" s="2" t="n">
        <f aca="false">IFERROR(__xludf.dummyfunction("""COMPUTED_VALUE"""),221.77)</f>
        <v>221.77</v>
      </c>
      <c r="D132" s="2" t="n">
        <f aca="false">IFERROR(__xludf.dummyfunction("""COMPUTED_VALUE"""),217.63)</f>
        <v>217.63</v>
      </c>
      <c r="E132" s="2" t="n">
        <f aca="false">IFERROR(__xludf.dummyfunction("""COMPUTED_VALUE"""),217.76)</f>
        <v>217.76</v>
      </c>
      <c r="F132" s="3" t="n">
        <f aca="false">IFERROR(__xludf.dummyfunction("if($T132&lt;&gt;"""",VALUE(REGEXEXTRACT(SUBSTITUTE ($T132,F$1&amp;"" CE"",""""), F$1&amp;""[\w &amp;]*, (\d+\.\d+)"")),"""")
"),225)</f>
        <v>225</v>
      </c>
      <c r="G132" s="3" t="n">
        <f aca="false">IFERROR(__xludf.dummyfunction("if($T132&lt;&gt;"""",VALUE(REGEXEXTRACT($T132, G$1&amp;""[\w &amp;]*, (\d+\.\d+)"")),"""")
"),224)</f>
        <v>224</v>
      </c>
      <c r="H132" s="3" t="n">
        <f aca="false">IFERROR(__xludf.dummyfunction("if($T132&lt;&gt;"""",VALUE(REGEXEXTRACT($T132, H$1&amp;""[\w &amp;]*, (\d+\.\d+)"")),"""")
"),232)</f>
        <v>232</v>
      </c>
      <c r="I132" s="3" t="n">
        <f aca="false">IFERROR(__xludf.dummyfunction("if($T132&lt;&gt;"""",VALUE(REGEXEXTRACT(SUBSTITUTE ($T132,I$1&amp;"" CE"",""""), I$1&amp;""[\w &amp;]*, (\d+\.\d+)"")),"""")
"),210)</f>
        <v>210</v>
      </c>
      <c r="J132" s="3" t="n">
        <f aca="false">IFERROR(__xludf.dummyfunction("if($T132&lt;&gt;"""",VALUE(REGEXEXTRACT($T132, J$1&amp;""[\w &amp;]*, (\d+\.\d+)"")),"""")
"),220)</f>
        <v>220</v>
      </c>
      <c r="K132" s="3" t="n">
        <f aca="false">IFERROR(__xludf.dummyfunction("if($T132&lt;&gt;"""",VALUE(REGEXEXTRACT($T132, K$1&amp;""[\w &amp;]*, (\d+\.\d+)"")),"""")
"),208)</f>
        <v>208</v>
      </c>
      <c r="L132" s="3" t="n">
        <f aca="false">IFERROR(__xludf.dummyfunction("if($T132&lt;&gt;"""",VALUE(REGEXEXTRACT(SUBSTITUTE ($T132,L$1&amp;"" CE"",""""), L$1&amp;""[\w &amp;]*, (\d+\.\d+)"")),"""")
"),222.5)</f>
        <v>222.5</v>
      </c>
      <c r="M132" s="3" t="n">
        <f aca="false">IFERROR(__xludf.dummyfunction("if($T132&lt;&gt;"""",VALUE(REGEXEXTRACT($T132, M$1&amp;""[\w &amp;]*, (\d+\.\d+)"")),"""")
"),222)</f>
        <v>222</v>
      </c>
      <c r="N132" s="3" t="n">
        <f aca="false">IFERROR(__xludf.dummyfunction("if($T132&lt;&gt;"""",VALUE(REGEXEXTRACT(SUBSTITUTE ($T132,N$1&amp;"" CE"",""""), N$1&amp;""[\w &amp;]*, (\d+\.\d+)"")),"""")
"),220)</f>
        <v>220</v>
      </c>
      <c r="O132" s="3" t="n">
        <f aca="false">IFERROR(__xludf.dummyfunction("if($T132&lt;&gt;"""",VALUE(REGEXEXTRACT($T132, O$1&amp;""[\w &amp;]*, (\d+\.\d+)"")),"""")
"),220)</f>
        <v>220</v>
      </c>
      <c r="P132" s="2" t="n">
        <f aca="false">IFERROR(__xludf.dummyfunction("if($T132&lt;&gt;"""",VALUE(REGEXEXTRACT($T132, P$1&amp;""[\w &amp;]*, (\d+\.\d+)"")),"""")
"),218.6)</f>
        <v>218.6</v>
      </c>
      <c r="Q132" s="2" t="n">
        <f aca="false">IFERROR(__xludf.dummyfunction("if($T132&lt;&gt;"""",VALUE(REGEXEXTRACT($T132, Q$1&amp;""[\w &amp;]*, (\d+\.\d+)"")),"""")
"),217.46)</f>
        <v>217.46</v>
      </c>
      <c r="R132" s="2" t="n">
        <f aca="false">IFERROR(__xludf.dummyfunction("if($T132&lt;&gt;"""",VALUE(REGEXEXTRACT($T132, SUBSTITUTE(R$1, ""+"", ""\+"")&amp;""[\w &amp;]*, (\d+\.\d+)"")),"""")"),224.28)</f>
        <v>224.28</v>
      </c>
      <c r="S132" s="2" t="n">
        <f aca="false">IFERROR(__xludf.dummyfunction("if($T132&lt;&gt;"""",VALUE(REGEXEXTRACT($T132, SUBSTITUTE(S$1, ""+"", ""\+"")&amp;""[\w &amp;]*, (\d+\.\d+)"")),"""")"),225.42)</f>
        <v>225.42</v>
      </c>
      <c r="T132" s="5" t="s">
        <v>754</v>
      </c>
    </row>
    <row r="133" customFormat="false" ht="15.75" hidden="false" customHeight="false" outlineLevel="0" collapsed="false">
      <c r="A133" s="4" t="n">
        <f aca="false">IFERROR(__xludf.dummyfunction("""COMPUTED_VALUE"""),45597.6666666667)</f>
        <v>45597.6666666667</v>
      </c>
      <c r="B133" s="2" t="n">
        <f aca="false">IFERROR(__xludf.dummyfunction("""COMPUTED_VALUE"""),219.5)</f>
        <v>219.5</v>
      </c>
      <c r="C133" s="2" t="n">
        <f aca="false">IFERROR(__xludf.dummyfunction("""COMPUTED_VALUE"""),220.97)</f>
        <v>220.97</v>
      </c>
      <c r="D133" s="2" t="n">
        <f aca="false">IFERROR(__xludf.dummyfunction("""COMPUTED_VALUE"""),218.34)</f>
        <v>218.34</v>
      </c>
      <c r="E133" s="2" t="n">
        <f aca="false">IFERROR(__xludf.dummyfunction("""COMPUTED_VALUE"""),218.98)</f>
        <v>218.98</v>
      </c>
      <c r="F133" s="3" t="n">
        <f aca="false">IFERROR(__xludf.dummyfunction("if($T133&lt;&gt;"""",VALUE(REGEXEXTRACT(SUBSTITUTE ($T133,F$1&amp;"" CE"",""""), F$1&amp;""[\w &amp;]*, (\d+\.\d+)"")),"""")
"),230)</f>
        <v>230</v>
      </c>
      <c r="G133" s="3" t="n">
        <f aca="false">IFERROR(__xludf.dummyfunction("if($T133&lt;&gt;"""",VALUE(REGEXEXTRACT($T133, G$1&amp;""[\w &amp;]*, (\d+\.\d+)"")),"""")
"),225)</f>
        <v>225</v>
      </c>
      <c r="H133" s="3" t="n">
        <f aca="false">IFERROR(__xludf.dummyfunction("if($T133&lt;&gt;"""",VALUE(REGEXEXTRACT($T133, H$1&amp;""[\w &amp;]*, (\d+\.\d+)"")),"""")
"),233)</f>
        <v>233</v>
      </c>
      <c r="I133" s="3" t="n">
        <f aca="false">IFERROR(__xludf.dummyfunction("if($T133&lt;&gt;"""",VALUE(REGEXEXTRACT(SUBSTITUTE ($T133,I$1&amp;"" CE"",""""), I$1&amp;""[\w &amp;]*, (\d+\.\d+)"")),"""")
"),210)</f>
        <v>210</v>
      </c>
      <c r="J133" s="3" t="n">
        <f aca="false">IFERROR(__xludf.dummyfunction("if($T133&lt;&gt;"""",VALUE(REGEXEXTRACT($T133, J$1&amp;""[\w &amp;]*, (\d+\.\d+)"")),"""")
"),215)</f>
        <v>215</v>
      </c>
      <c r="K133" s="3" t="n">
        <f aca="false">IFERROR(__xludf.dummyfunction("if($T133&lt;&gt;"""",VALUE(REGEXEXTRACT($T133, K$1&amp;""[\w &amp;]*, (\d+\.\d+)"")),"""")
"),212)</f>
        <v>212</v>
      </c>
      <c r="L133" s="3" t="n">
        <f aca="false">IFERROR(__xludf.dummyfunction("if($T133&lt;&gt;"""",VALUE(REGEXEXTRACT(SUBSTITUTE ($T133,L$1&amp;"" CE"",""""), L$1&amp;""[\w &amp;]*, (\d+\.\d+)"")),"""")
"),220)</f>
        <v>220</v>
      </c>
      <c r="M133" s="3" t="n">
        <f aca="false">IFERROR(__xludf.dummyfunction("if($T133&lt;&gt;"""",VALUE(REGEXEXTRACT($T133, M$1&amp;""[\w &amp;]*, (\d+\.\d+)"")),"""")
"),220)</f>
        <v>220</v>
      </c>
      <c r="N133" s="3" t="n">
        <f aca="false">IFERROR(__xludf.dummyfunction("if($T133&lt;&gt;"""",VALUE(REGEXEXTRACT(SUBSTITUTE ($T133,N$1&amp;"" CE"",""""), N$1&amp;""[\w &amp;]*, (\d+\.\d+)"")),"""")
"),220)</f>
        <v>220</v>
      </c>
      <c r="O133" s="3" t="n">
        <f aca="false">IFERROR(__xludf.dummyfunction("if($T133&lt;&gt;"""",VALUE(REGEXEXTRACT($T133, O$1&amp;""[\w &amp;]*, (\d+\.\d+)"")),"""")
"),220)</f>
        <v>220</v>
      </c>
      <c r="P133" s="2" t="n">
        <f aca="false">IFERROR(__xludf.dummyfunction("if($T133&lt;&gt;"""",VALUE(REGEXEXTRACT($T133, P$1&amp;""[\w &amp;]*, (\d+\.\d+)"")),"""")
"),214.42)</f>
        <v>214.42</v>
      </c>
      <c r="Q133" s="2" t="n">
        <f aca="false">IFERROR(__xludf.dummyfunction("if($T133&lt;&gt;"""",VALUE(REGEXEXTRACT($T133, Q$1&amp;""[\w &amp;]*, (\d+\.\d+)"")),"""")
"),211.11)</f>
        <v>211.11</v>
      </c>
      <c r="R133" s="2" t="n">
        <f aca="false">IFERROR(__xludf.dummyfunction("if($T133&lt;&gt;"""",VALUE(REGEXEXTRACT($T133, SUBSTITUTE(R$1, ""+"", ""\+"")&amp;""[\w &amp;]*, (\d+\.\d+)"")),"""")"),221.1)</f>
        <v>221.1</v>
      </c>
      <c r="S133" s="2" t="n">
        <f aca="false">IFERROR(__xludf.dummyfunction("if($T133&lt;&gt;"""",VALUE(REGEXEXTRACT($T133, SUBSTITUTE(S$1, ""+"", ""\+"")&amp;""[\w &amp;]*, (\d+\.\d+)"")),"""")"),224.41)</f>
        <v>224.41</v>
      </c>
      <c r="T133" s="5" t="s">
        <v>755</v>
      </c>
    </row>
    <row r="134" customFormat="false" ht="15.75" hidden="false" customHeight="false" outlineLevel="0" collapsed="false">
      <c r="A134" s="4" t="n">
        <f aca="false">IFERROR(__xludf.dummyfunction("""COMPUTED_VALUE"""),45600.6666666667)</f>
        <v>45600.6666666667</v>
      </c>
      <c r="B134" s="2" t="n">
        <f aca="false">IFERROR(__xludf.dummyfunction("""COMPUTED_VALUE"""),218.5)</f>
        <v>218.5</v>
      </c>
      <c r="C134" s="2" t="n">
        <f aca="false">IFERROR(__xludf.dummyfunction("""COMPUTED_VALUE"""),221.74)</f>
        <v>221.74</v>
      </c>
      <c r="D134" s="2" t="n">
        <f aca="false">IFERROR(__xludf.dummyfunction("""COMPUTED_VALUE"""),217.84)</f>
        <v>217.84</v>
      </c>
      <c r="E134" s="2" t="n">
        <f aca="false">IFERROR(__xludf.dummyfunction("""COMPUTED_VALUE"""),220.09)</f>
        <v>220.09</v>
      </c>
      <c r="F134" s="3" t="n">
        <f aca="false">IFERROR(__xludf.dummyfunction("if($T134&lt;&gt;"""",VALUE(REGEXEXTRACT(SUBSTITUTE ($T134,F$1&amp;"" CE"",""""), F$1&amp;""[\w &amp;]*, (\d+\.\d+)"")),"""")
"),230)</f>
        <v>230</v>
      </c>
      <c r="G134" s="3" t="n">
        <f aca="false">IFERROR(__xludf.dummyfunction("if($T134&lt;&gt;"""",VALUE(REGEXEXTRACT($T134, G$1&amp;""[\w &amp;]*, (\d+\.\d+)"")),"""")
"),222)</f>
        <v>222</v>
      </c>
      <c r="H134" s="3" t="n">
        <f aca="false">IFERROR(__xludf.dummyfunction("if($T134&lt;&gt;"""",VALUE(REGEXEXTRACT($T134, H$1&amp;""[\w &amp;]*, (\d+\.\d+)"")),"""")
"),233)</f>
        <v>233</v>
      </c>
      <c r="I134" s="3" t="n">
        <f aca="false">IFERROR(__xludf.dummyfunction("if($T134&lt;&gt;"""",VALUE(REGEXEXTRACT(SUBSTITUTE ($T134,I$1&amp;"" CE"",""""), I$1&amp;""[\w &amp;]*, (\d+\.\d+)"")),"""")
"),210)</f>
        <v>210</v>
      </c>
      <c r="J134" s="3" t="n">
        <f aca="false">IFERROR(__xludf.dummyfunction("if($T134&lt;&gt;"""",VALUE(REGEXEXTRACT($T134, J$1&amp;""[\w &amp;]*, (\d+\.\d+)"")),"""")
"),219)</f>
        <v>219</v>
      </c>
      <c r="K134" s="3" t="n">
        <f aca="false">IFERROR(__xludf.dummyfunction("if($T134&lt;&gt;"""",VALUE(REGEXEXTRACT($T134, K$1&amp;""[\w &amp;]*, (\d+\.\d+)"")),"""")
"),208)</f>
        <v>208</v>
      </c>
      <c r="L134" s="3" t="n">
        <f aca="false">IFERROR(__xludf.dummyfunction("if($T134&lt;&gt;"""",VALUE(REGEXEXTRACT(SUBSTITUTE ($T134,L$1&amp;"" CE"",""""), L$1&amp;""[\w &amp;]*, (\d+\.\d+)"")),"""")
"),219)</f>
        <v>219</v>
      </c>
      <c r="M134" s="3" t="n">
        <f aca="false">IFERROR(__xludf.dummyfunction("if($T134&lt;&gt;"""",VALUE(REGEXEXTRACT($T134, M$1&amp;""[\w &amp;]*, (\d+\.\d+)"")),"""")
"),219)</f>
        <v>219</v>
      </c>
      <c r="N134" s="3" t="n">
        <f aca="false">IFERROR(__xludf.dummyfunction("if($T134&lt;&gt;"""",VALUE(REGEXEXTRACT(SUBSTITUTE ($T134,N$1&amp;"" CE"",""""), N$1&amp;""[\w &amp;]*, (\d+\.\d+)"")),"""")
"),210)</f>
        <v>210</v>
      </c>
      <c r="O134" s="3" t="n">
        <f aca="false">IFERROR(__xludf.dummyfunction("if($T134&lt;&gt;"""",VALUE(REGEXEXTRACT($T134, O$1&amp;""[\w &amp;]*, (\d+\.\d+)"")),"""")
"),219)</f>
        <v>219</v>
      </c>
      <c r="P134" s="2" t="n">
        <f aca="false">IFERROR(__xludf.dummyfunction("if($T134&lt;&gt;"""",VALUE(REGEXEXTRACT($T134, P$1&amp;""[\w &amp;]*, (\d+\.\d+)"")),"""")
"),215.95)</f>
        <v>215.95</v>
      </c>
      <c r="Q134" s="2" t="n">
        <f aca="false">IFERROR(__xludf.dummyfunction("if($T134&lt;&gt;"""",VALUE(REGEXEXTRACT($T134, Q$1&amp;""[\w &amp;]*, (\d+\.\d+)"")),"""")
"),214.69)</f>
        <v>214.69</v>
      </c>
      <c r="R134" s="2" t="n">
        <f aca="false">IFERROR(__xludf.dummyfunction("if($T134&lt;&gt;"""",VALUE(REGEXEXTRACT($T134, SUBSTITUTE(R$1, ""+"", ""\+"")&amp;""[\w &amp;]*, (\d+\.\d+)"")),"""")"),222.01)</f>
        <v>222.01</v>
      </c>
      <c r="S134" s="2" t="n">
        <f aca="false">IFERROR(__xludf.dummyfunction("if($T134&lt;&gt;"""",VALUE(REGEXEXTRACT($T134, SUBSTITUTE(S$1, ""+"", ""\+"")&amp;""[\w &amp;]*, (\d+\.\d+)"")),"""")"),223.27)</f>
        <v>223.27</v>
      </c>
      <c r="T134" s="5" t="s">
        <v>756</v>
      </c>
    </row>
    <row r="135" customFormat="false" ht="15.75" hidden="false" customHeight="false" outlineLevel="0" collapsed="false">
      <c r="A135" s="4" t="n">
        <f aca="false">IFERROR(__xludf.dummyfunction("""COMPUTED_VALUE"""),45601.6666666667)</f>
        <v>45601.6666666667</v>
      </c>
      <c r="B135" s="2" t="n">
        <f aca="false">IFERROR(__xludf.dummyfunction("""COMPUTED_VALUE"""),219.34)</f>
        <v>219.34</v>
      </c>
      <c r="C135" s="2" t="n">
        <f aca="false">IFERROR(__xludf.dummyfunction("""COMPUTED_VALUE"""),224.29)</f>
        <v>224.29</v>
      </c>
      <c r="D135" s="2" t="n">
        <f aca="false">IFERROR(__xludf.dummyfunction("""COMPUTED_VALUE"""),219.06)</f>
        <v>219.06</v>
      </c>
      <c r="E135" s="2" t="n">
        <f aca="false">IFERROR(__xludf.dummyfunction("""COMPUTED_VALUE"""),224.23)</f>
        <v>224.23</v>
      </c>
      <c r="F135" s="3" t="n">
        <f aca="false">IFERROR(__xludf.dummyfunction("if($T135&lt;&gt;"""",VALUE(REGEXEXTRACT(SUBSTITUTE ($T135,F$1&amp;"" CE"",""""), F$1&amp;""[\w &amp;]*, (\d+\.\d+)"")),"""")
"),230)</f>
        <v>230</v>
      </c>
      <c r="G135" s="3" t="n">
        <f aca="false">IFERROR(__xludf.dummyfunction("if($T135&lt;&gt;"""",VALUE(REGEXEXTRACT($T135, G$1&amp;""[\w &amp;]*, (\d+\.\d+)"")),"""")
"),222)</f>
        <v>222</v>
      </c>
      <c r="H135" s="3" t="n">
        <f aca="false">IFERROR(__xludf.dummyfunction("if($T135&lt;&gt;"""",VALUE(REGEXEXTRACT($T135, H$1&amp;""[\w &amp;]*, (\d+\.\d+)"")),"""")
"),233)</f>
        <v>233</v>
      </c>
      <c r="I135" s="3" t="n">
        <f aca="false">IFERROR(__xludf.dummyfunction("if($T135&lt;&gt;"""",VALUE(REGEXEXTRACT(SUBSTITUTE ($T135,I$1&amp;"" CE"",""""), I$1&amp;""[\w &amp;]*, (\d+\.\d+)"")),"""")
"),210)</f>
        <v>210</v>
      </c>
      <c r="J135" s="3" t="n">
        <f aca="false">IFERROR(__xludf.dummyfunction("if($T135&lt;&gt;"""",VALUE(REGEXEXTRACT($T135, J$1&amp;""[\w &amp;]*, (\d+\.\d+)"")),"""")
"),217)</f>
        <v>217</v>
      </c>
      <c r="K135" s="3" t="n">
        <f aca="false">IFERROR(__xludf.dummyfunction("if($T135&lt;&gt;"""",VALUE(REGEXEXTRACT($T135, K$1&amp;""[\w &amp;]*, (\d+\.\d+)"")),"""")
"),207)</f>
        <v>207</v>
      </c>
      <c r="L135" s="3" t="n">
        <f aca="false">IFERROR(__xludf.dummyfunction("if($T135&lt;&gt;"""",VALUE(REGEXEXTRACT(SUBSTITUTE ($T135,L$1&amp;"" CE"",""""), L$1&amp;""[\w &amp;]*, (\d+\.\d+)"")),"""")
"),220)</f>
        <v>220</v>
      </c>
      <c r="M135" s="3" t="n">
        <f aca="false">IFERROR(__xludf.dummyfunction("if($T135&lt;&gt;"""",VALUE(REGEXEXTRACT($T135, M$1&amp;""[\w &amp;]*, (\d+\.\d+)"")),"""")
"),220)</f>
        <v>220</v>
      </c>
      <c r="N135" s="3" t="n">
        <f aca="false">IFERROR(__xludf.dummyfunction("if($T135&lt;&gt;"""",VALUE(REGEXEXTRACT(SUBSTITUTE ($T135,N$1&amp;"" CE"",""""), N$1&amp;""[\w &amp;]*, (\d+\.\d+)"")),"""")
"),210)</f>
        <v>210</v>
      </c>
      <c r="O135" s="3" t="n">
        <f aca="false">IFERROR(__xludf.dummyfunction("if($T135&lt;&gt;"""",VALUE(REGEXEXTRACT($T135, O$1&amp;""[\w &amp;]*, (\d+\.\d+)"")),"""")
"),220)</f>
        <v>220</v>
      </c>
      <c r="P135" s="2" t="n">
        <f aca="false">IFERROR(__xludf.dummyfunction("if($T135&lt;&gt;"""",VALUE(REGEXEXTRACT($T135, P$1&amp;""[\w &amp;]*, (\d+\.\d+)"")),"""")
"),216.45)</f>
        <v>216.45</v>
      </c>
      <c r="Q135" s="2" t="n">
        <f aca="false">IFERROR(__xludf.dummyfunction("if($T135&lt;&gt;"""",VALUE(REGEXEXTRACT($T135, Q$1&amp;""[\w &amp;]*, (\d+\.\d+)"")),"""")
"),214.95)</f>
        <v>214.95</v>
      </c>
      <c r="R135" s="2" t="n">
        <f aca="false">IFERROR(__xludf.dummyfunction("if($T135&lt;&gt;"""",VALUE(REGEXEXTRACT($T135, SUBSTITUTE(R$1, ""+"", ""\+"")&amp;""[\w &amp;]*, (\d+\.\d+)"")),"""")"),223.73)</f>
        <v>223.73</v>
      </c>
      <c r="S135" s="2" t="n">
        <f aca="false">IFERROR(__xludf.dummyfunction("if($T135&lt;&gt;"""",VALUE(REGEXEXTRACT($T135, SUBSTITUTE(S$1, ""+"", ""\+"")&amp;""[\w &amp;]*, (\d+\.\d+)"")),"""")"),225.23)</f>
        <v>225.23</v>
      </c>
      <c r="T135" s="5" t="s">
        <v>757</v>
      </c>
    </row>
    <row r="136" customFormat="false" ht="15.75" hidden="false" customHeight="false" outlineLevel="0" collapsed="false">
      <c r="A136" s="4" t="n">
        <f aca="false">IFERROR(__xludf.dummyfunction("""COMPUTED_VALUE"""),45602.6666666667)</f>
        <v>45602.6666666667</v>
      </c>
      <c r="B136" s="2" t="n">
        <f aca="false">IFERROR(__xludf.dummyfunction("""COMPUTED_VALUE"""),236.59)</f>
        <v>236.59</v>
      </c>
      <c r="C136" s="2" t="n">
        <f aca="false">IFERROR(__xludf.dummyfunction("""COMPUTED_VALUE"""),237.58)</f>
        <v>237.58</v>
      </c>
      <c r="D136" s="2" t="n">
        <f aca="false">IFERROR(__xludf.dummyfunction("""COMPUTED_VALUE"""),232.75)</f>
        <v>232.75</v>
      </c>
      <c r="E136" s="2" t="n">
        <f aca="false">IFERROR(__xludf.dummyfunction("""COMPUTED_VALUE"""),237.22)</f>
        <v>237.22</v>
      </c>
      <c r="F136" s="3" t="n">
        <f aca="false">IFERROR(__xludf.dummyfunction("if($T136&lt;&gt;"""",VALUE(REGEXEXTRACT(SUBSTITUTE ($T136,F$1&amp;"" CE"",""""), F$1&amp;""[\w &amp;]*, (\d+\.\d+)"")),"""")
"),230)</f>
        <v>230</v>
      </c>
      <c r="G136" s="3" t="n">
        <f aca="false">IFERROR(__xludf.dummyfunction("if($T136&lt;&gt;"""",VALUE(REGEXEXTRACT($T136, G$1&amp;""[\w &amp;]*, (\d+\.\d+)"")),"""")
"),227)</f>
        <v>227</v>
      </c>
      <c r="H136" s="3" t="n">
        <f aca="false">IFERROR(__xludf.dummyfunction("if($T136&lt;&gt;"""",VALUE(REGEXEXTRACT($T136, H$1&amp;""[\w &amp;]*, (\d+\.\d+)"")),"""")
"),233)</f>
        <v>233</v>
      </c>
      <c r="I136" s="3" t="n">
        <f aca="false">IFERROR(__xludf.dummyfunction("if($T136&lt;&gt;"""",VALUE(REGEXEXTRACT(SUBSTITUTE ($T136,I$1&amp;"" CE"",""""), I$1&amp;""[\w &amp;]*, (\d+\.\d+)"")),"""")
"),210)</f>
        <v>210</v>
      </c>
      <c r="J136" s="3" t="n">
        <f aca="false">IFERROR(__xludf.dummyfunction("if($T136&lt;&gt;"""",VALUE(REGEXEXTRACT($T136, J$1&amp;""[\w &amp;]*, (\d+\.\d+)"")),"""")
"),215)</f>
        <v>215</v>
      </c>
      <c r="K136" s="3" t="n">
        <f aca="false">IFERROR(__xludf.dummyfunction("if($T136&lt;&gt;"""",VALUE(REGEXEXTRACT($T136, K$1&amp;""[\w &amp;]*, (\d+\.\d+)"")),"""")
"),208)</f>
        <v>208</v>
      </c>
      <c r="L136" s="3" t="n">
        <f aca="false">IFERROR(__xludf.dummyfunction("if($T136&lt;&gt;"""",VALUE(REGEXEXTRACT(SUBSTITUTE ($T136,L$1&amp;"" CE"",""""), L$1&amp;""[\w &amp;]*, (\d+\.\d+)"")),"""")
"),221)</f>
        <v>221</v>
      </c>
      <c r="M136" s="3" t="n">
        <f aca="false">IFERROR(__xludf.dummyfunction("if($T136&lt;&gt;"""",VALUE(REGEXEXTRACT($T136, M$1&amp;""[\w &amp;]*, (\d+\.\d+)"")),"""")
"),222)</f>
        <v>222</v>
      </c>
      <c r="N136" s="3" t="n">
        <f aca="false">IFERROR(__xludf.dummyfunction("if($T136&lt;&gt;"""",VALUE(REGEXEXTRACT(SUBSTITUTE ($T136,N$1&amp;"" CE"",""""), N$1&amp;""[\w &amp;]*, (\d+\.\d+)"")),"""")
"),230)</f>
        <v>230</v>
      </c>
      <c r="O136" s="3" t="n">
        <f aca="false">IFERROR(__xludf.dummyfunction("if($T136&lt;&gt;"""",VALUE(REGEXEXTRACT($T136, O$1&amp;""[\w &amp;]*, (\d+\.\d+)"")),"""")
"),227)</f>
        <v>227</v>
      </c>
      <c r="P136" s="2" t="n">
        <f aca="false">IFERROR(__xludf.dummyfunction("if($T136&lt;&gt;"""",VALUE(REGEXEXTRACT($T136, P$1&amp;""[\w &amp;]*, (\d+\.\d+)"")),"""")
"),220.19)</f>
        <v>220.19</v>
      </c>
      <c r="Q136" s="2" t="n">
        <f aca="false">IFERROR(__xludf.dummyfunction("if($T136&lt;&gt;"""",VALUE(REGEXEXTRACT($T136, Q$1&amp;""[\w &amp;]*, (\d+\.\d+)"")),"""")
"),218.52)</f>
        <v>218.52</v>
      </c>
      <c r="R136" s="2" t="n">
        <f aca="false">IFERROR(__xludf.dummyfunction("if($T136&lt;&gt;"""",VALUE(REGEXEXTRACT($T136, SUBSTITUTE(R$1, ""+"", ""\+"")&amp;""[\w &amp;]*, (\d+\.\d+)"")),"""")"),228.27)</f>
        <v>228.27</v>
      </c>
      <c r="S136" s="2" t="n">
        <f aca="false">IFERROR(__xludf.dummyfunction("if($T136&lt;&gt;"""",VALUE(REGEXEXTRACT($T136, SUBSTITUTE(S$1, ""+"", ""\+"")&amp;""[\w &amp;]*, (\d+\.\d+)"")),"""")"),229.94)</f>
        <v>229.94</v>
      </c>
      <c r="T136" s="5" t="s">
        <v>758</v>
      </c>
    </row>
    <row r="137" customFormat="false" ht="15.75" hidden="false" customHeight="false" outlineLevel="0" collapsed="false">
      <c r="A137" s="4" t="n">
        <f aca="false">IFERROR(__xludf.dummyfunction("""COMPUTED_VALUE"""),45603.6666666667)</f>
        <v>45603.6666666667</v>
      </c>
      <c r="B137" s="2" t="n">
        <f aca="false">IFERROR(__xludf.dummyfunction("""COMPUTED_VALUE"""),236.89)</f>
        <v>236.89</v>
      </c>
      <c r="C137" s="2" t="n">
        <f aca="false">IFERROR(__xludf.dummyfunction("""COMPUTED_VALUE"""),238.49)</f>
        <v>238.49</v>
      </c>
      <c r="D137" s="2" t="n">
        <f aca="false">IFERROR(__xludf.dummyfunction("""COMPUTED_VALUE"""),235.4)</f>
        <v>235.4</v>
      </c>
      <c r="E137" s="2" t="n">
        <f aca="false">IFERROR(__xludf.dummyfunction("""COMPUTED_VALUE"""),236.38)</f>
        <v>236.38</v>
      </c>
      <c r="F137" s="3" t="n">
        <f aca="false">IFERROR(__xludf.dummyfunction("if($T137&lt;&gt;"""",VALUE(REGEXEXTRACT(SUBSTITUTE ($T137,F$1&amp;"" CE"",""""), F$1&amp;""[\w &amp;]*, (\d+\.\d+)"")),"""")
"),230)</f>
        <v>230</v>
      </c>
      <c r="G137" s="3" t="n">
        <f aca="false">IFERROR(__xludf.dummyfunction("if($T137&lt;&gt;"""",VALUE(REGEXEXTRACT($T137, G$1&amp;""[\w &amp;]*, (\d+\.\d+)"")),"""")
"),240)</f>
        <v>240</v>
      </c>
      <c r="H137" s="3" t="n">
        <f aca="false">IFERROR(__xludf.dummyfunction("if($T137&lt;&gt;"""",VALUE(REGEXEXTRACT($T137, H$1&amp;""[\w &amp;]*, (\d+\.\d+)"")),"""")
"),242)</f>
        <v>242</v>
      </c>
      <c r="I137" s="3" t="n">
        <f aca="false">IFERROR(__xludf.dummyfunction("if($T137&lt;&gt;"""",VALUE(REGEXEXTRACT(SUBSTITUTE ($T137,I$1&amp;"" CE"",""""), I$1&amp;""[\w &amp;]*, (\d+\.\d+)"")),"""")
"),225)</f>
        <v>225</v>
      </c>
      <c r="J137" s="3" t="n">
        <f aca="false">IFERROR(__xludf.dummyfunction("if($T137&lt;&gt;"""",VALUE(REGEXEXTRACT($T137, J$1&amp;""[\w &amp;]*, (\d+\.\d+)"")),"""")
"),234)</f>
        <v>234</v>
      </c>
      <c r="K137" s="3" t="str">
        <f aca="false">IFERROR(__xludf.dummyfunction("if($T137&lt;&gt;"""",VALUE(REGEXEXTRACT($T137, K$1&amp;""[\w &amp;]*, (\d+\.\d+)"")),"""")
"),"#N/A")</f>
        <v>#N/A</v>
      </c>
      <c r="L137" s="3" t="n">
        <f aca="false">IFERROR(__xludf.dummyfunction("if($T137&lt;&gt;"""",VALUE(REGEXEXTRACT(SUBSTITUTE ($T137,L$1&amp;"" CE"",""""), L$1&amp;""[\w &amp;]*, (\d+\.\d+)"")),"""")
"),223)</f>
        <v>223</v>
      </c>
      <c r="M137" s="3" t="n">
        <f aca="false">IFERROR(__xludf.dummyfunction("if($T137&lt;&gt;"""",VALUE(REGEXEXTRACT($T137, M$1&amp;""[\w &amp;]*, (\d+\.\d+)"")),"""")
"),234)</f>
        <v>234</v>
      </c>
      <c r="N137" s="3" t="n">
        <f aca="false">IFERROR(__xludf.dummyfunction("if($T137&lt;&gt;"""",VALUE(REGEXEXTRACT(SUBSTITUTE ($T137,N$1&amp;"" CE"",""""), N$1&amp;""[\w &amp;]*, (\d+\.\d+)"")),"""")
"),230)</f>
        <v>230</v>
      </c>
      <c r="O137" s="3" t="n">
        <f aca="false">IFERROR(__xludf.dummyfunction("if($T137&lt;&gt;"""",VALUE(REGEXEXTRACT($T137, O$1&amp;""[\w &amp;]*, (\d+\.\d+)"")),"""")
"),240)</f>
        <v>240</v>
      </c>
      <c r="P137" s="2" t="n">
        <f aca="false">IFERROR(__xludf.dummyfunction("if($T137&lt;&gt;"""",VALUE(REGEXEXTRACT($T137, P$1&amp;""[\w &amp;]*, (\d+\.\d+)"")),"""")
"),234.4)</f>
        <v>234.4</v>
      </c>
      <c r="Q137" s="2" t="n">
        <f aca="false">IFERROR(__xludf.dummyfunction("if($T137&lt;&gt;"""",VALUE(REGEXEXTRACT($T137, Q$1&amp;""[\w &amp;]*, (\d+\.\d+)"")),"""")
"),233.23)</f>
        <v>233.23</v>
      </c>
      <c r="R137" s="2" t="n">
        <f aca="false">IFERROR(__xludf.dummyfunction("if($T137&lt;&gt;"""",VALUE(REGEXEXTRACT($T137, SUBSTITUTE(R$1, ""+"", ""\+"")&amp;""[\w &amp;]*, (\d+\.\d+)"")),"""")"),240.04)</f>
        <v>240.04</v>
      </c>
      <c r="S137" s="2" t="n">
        <f aca="false">IFERROR(__xludf.dummyfunction("if($T137&lt;&gt;"""",VALUE(REGEXEXTRACT($T137, SUBSTITUTE(S$1, ""+"", ""\+"")&amp;""[\w &amp;]*, (\d+\.\d+)"")),"""")"),241.21)</f>
        <v>241.21</v>
      </c>
      <c r="T137" s="5" t="s">
        <v>759</v>
      </c>
    </row>
    <row r="138" customFormat="false" ht="15.75" hidden="false" customHeight="false" outlineLevel="0" collapsed="false">
      <c r="A138" s="4" t="n">
        <f aca="false">IFERROR(__xludf.dummyfunction("""COMPUTED_VALUE"""),45604.6666666667)</f>
        <v>45604.6666666667</v>
      </c>
      <c r="B138" s="2" t="n">
        <f aca="false">IFERROR(__xludf.dummyfunction("""COMPUTED_VALUE"""),235.93)</f>
        <v>235.93</v>
      </c>
      <c r="C138" s="2" t="n">
        <f aca="false">IFERROR(__xludf.dummyfunction("""COMPUTED_VALUE"""),238.47)</f>
        <v>238.47</v>
      </c>
      <c r="D138" s="2" t="n">
        <f aca="false">IFERROR(__xludf.dummyfunction("""COMPUTED_VALUE"""),235.65)</f>
        <v>235.65</v>
      </c>
      <c r="E138" s="2" t="n">
        <f aca="false">IFERROR(__xludf.dummyfunction("""COMPUTED_VALUE"""),238.12)</f>
        <v>238.12</v>
      </c>
      <c r="F138" s="3" t="n">
        <f aca="false">IFERROR(__xludf.dummyfunction("if($T138&lt;&gt;"""",VALUE(REGEXEXTRACT(SUBSTITUTE ($T138,F$1&amp;"" CE"",""""), F$1&amp;""[\w &amp;]*, (\d+\.\d+)"")),"""")
"),230)</f>
        <v>230</v>
      </c>
      <c r="G138" s="3" t="n">
        <f aca="false">IFERROR(__xludf.dummyfunction("if($T138&lt;&gt;"""",VALUE(REGEXEXTRACT($T138, G$1&amp;""[\w &amp;]*, (\d+\.\d+)"")),"""")
"),240)</f>
        <v>240</v>
      </c>
      <c r="H138" s="3" t="n">
        <f aca="false">IFERROR(__xludf.dummyfunction("if($T138&lt;&gt;"""",VALUE(REGEXEXTRACT($T138, H$1&amp;""[\w &amp;]*, (\d+\.\d+)"")),"""")
"),243)</f>
        <v>243</v>
      </c>
      <c r="I138" s="3" t="n">
        <f aca="false">IFERROR(__xludf.dummyfunction("if($T138&lt;&gt;"""",VALUE(REGEXEXTRACT(SUBSTITUTE ($T138,I$1&amp;"" CE"",""""), I$1&amp;""[\w &amp;]*, (\d+\.\d+)"")),"""")
"),225)</f>
        <v>225</v>
      </c>
      <c r="J138" s="3" t="n">
        <f aca="false">IFERROR(__xludf.dummyfunction("if($T138&lt;&gt;"""",VALUE(REGEXEXTRACT($T138, J$1&amp;""[\w &amp;]*, (\d+\.\d+)"")),"""")
"),233)</f>
        <v>233</v>
      </c>
      <c r="K138" s="3" t="n">
        <f aca="false">IFERROR(__xludf.dummyfunction("if($T138&lt;&gt;"""",VALUE(REGEXEXTRACT($T138, K$1&amp;""[\w &amp;]*, (\d+\.\d+)"")),"""")
"),223)</f>
        <v>223</v>
      </c>
      <c r="L138" s="3" t="n">
        <f aca="false">IFERROR(__xludf.dummyfunction("if($T138&lt;&gt;"""",VALUE(REGEXEXTRACT(SUBSTITUTE ($T138,L$1&amp;"" CE"",""""), L$1&amp;""[\w &amp;]*, (\d+\.\d+)"")),"""")
"),226)</f>
        <v>226</v>
      </c>
      <c r="M138" s="3" t="n">
        <f aca="false">IFERROR(__xludf.dummyfunction("if($T138&lt;&gt;"""",VALUE(REGEXEXTRACT($T138, M$1&amp;""[\w &amp;]*, (\d+\.\d+)"")),"""")
"),233)</f>
        <v>233</v>
      </c>
      <c r="N138" s="3" t="n">
        <f aca="false">IFERROR(__xludf.dummyfunction("if($T138&lt;&gt;"""",VALUE(REGEXEXTRACT(SUBSTITUTE ($T138,N$1&amp;"" CE"",""""), N$1&amp;""[\w &amp;]*, (\d+\.\d+)"")),"""")
"),230)</f>
        <v>230</v>
      </c>
      <c r="O138" s="3" t="n">
        <f aca="false">IFERROR(__xludf.dummyfunction("if($T138&lt;&gt;"""",VALUE(REGEXEXTRACT($T138, O$1&amp;""[\w &amp;]*, (\d+\.\d+)"")),"""")
"),235)</f>
        <v>235</v>
      </c>
      <c r="P138" s="2" t="n">
        <f aca="false">IFERROR(__xludf.dummyfunction("if($T138&lt;&gt;"""",VALUE(REGEXEXTRACT($T138, P$1&amp;""[\w &amp;]*, (\d+\.\d+)"")),"""")
"),233.94)</f>
        <v>233.94</v>
      </c>
      <c r="Q138" s="2" t="n">
        <f aca="false">IFERROR(__xludf.dummyfunction("if($T138&lt;&gt;"""",VALUE(REGEXEXTRACT($T138, Q$1&amp;""[\w &amp;]*, (\d+\.\d+)"")),"""")
"),231.5)</f>
        <v>231.5</v>
      </c>
      <c r="R138" s="2" t="n">
        <f aca="false">IFERROR(__xludf.dummyfunction("if($T138&lt;&gt;"""",VALUE(REGEXEXTRACT($T138, SUBSTITUTE(R$1, ""+"", ""\+"")&amp;""[\w &amp;]*, (\d+\.\d+)"")),"""")"),238.82)</f>
        <v>238.82</v>
      </c>
      <c r="S138" s="2" t="n">
        <f aca="false">IFERROR(__xludf.dummyfunction("if($T138&lt;&gt;"""",VALUE(REGEXEXTRACT($T138, SUBSTITUTE(S$1, ""+"", ""\+"")&amp;""[\w &amp;]*, (\d+\.\d+)"")),"""")"),241.26)</f>
        <v>241.26</v>
      </c>
      <c r="T138" s="5" t="s">
        <v>760</v>
      </c>
    </row>
    <row r="139" customFormat="false" ht="15.75" hidden="false" customHeight="false" outlineLevel="0" collapsed="false">
      <c r="A139" s="4" t="n">
        <f aca="false">IFERROR(__xludf.dummyfunction("""COMPUTED_VALUE"""),45607.6666666667)</f>
        <v>45607.6666666667</v>
      </c>
      <c r="B139" s="2" t="n">
        <f aca="false">IFERROR(__xludf.dummyfunction("""COMPUTED_VALUE"""),240.52)</f>
        <v>240.52</v>
      </c>
      <c r="C139" s="2" t="n">
        <f aca="false">IFERROR(__xludf.dummyfunction("""COMPUTED_VALUE"""),242.39)</f>
        <v>242.39</v>
      </c>
      <c r="D139" s="2" t="n">
        <f aca="false">IFERROR(__xludf.dummyfunction("""COMPUTED_VALUE"""),239.85)</f>
        <v>239.85</v>
      </c>
      <c r="E139" s="2" t="n">
        <f aca="false">IFERROR(__xludf.dummyfunction("""COMPUTED_VALUE"""),241.7)</f>
        <v>241.7</v>
      </c>
      <c r="F139" s="3" t="n">
        <f aca="false">IFERROR(__xludf.dummyfunction("if($T139&lt;&gt;"""",VALUE(REGEXEXTRACT(SUBSTITUTE ($T139,F$1&amp;"" CE"",""""), F$1&amp;""[\w &amp;]*, (\d+\.\d+)"")),"""")
"),230)</f>
        <v>230</v>
      </c>
      <c r="G139" s="3" t="n">
        <f aca="false">IFERROR(__xludf.dummyfunction("if($T139&lt;&gt;"""",VALUE(REGEXEXTRACT($T139, G$1&amp;""[\w &amp;]*, (\d+\.\d+)"")),"""")
"),240)</f>
        <v>240</v>
      </c>
      <c r="H139" s="3" t="n">
        <f aca="false">IFERROR(__xludf.dummyfunction("if($T139&lt;&gt;"""",VALUE(REGEXEXTRACT($T139, H$1&amp;""[\w &amp;]*, (\d+\.\d+)"")),"""")
"),243)</f>
        <v>243</v>
      </c>
      <c r="I139" s="3" t="n">
        <f aca="false">IFERROR(__xludf.dummyfunction("if($T139&lt;&gt;"""",VALUE(REGEXEXTRACT(SUBSTITUTE ($T139,I$1&amp;"" CE"",""""), I$1&amp;""[\w &amp;]*, (\d+\.\d+)"")),"""")
"),225)</f>
        <v>225</v>
      </c>
      <c r="J139" s="3" t="n">
        <f aca="false">IFERROR(__xludf.dummyfunction("if($T139&lt;&gt;"""",VALUE(REGEXEXTRACT($T139, J$1&amp;""[\w &amp;]*, (\d+\.\d+)"")),"""")
"),237)</f>
        <v>237</v>
      </c>
      <c r="K139" s="3" t="n">
        <f aca="false">IFERROR(__xludf.dummyfunction("if($T139&lt;&gt;"""",VALUE(REGEXEXTRACT($T139, K$1&amp;""[\w &amp;]*, (\d+\.\d+)"")),"""")
"),223)</f>
        <v>223</v>
      </c>
      <c r="L139" s="3" t="n">
        <f aca="false">IFERROR(__xludf.dummyfunction("if($T139&lt;&gt;"""",VALUE(REGEXEXTRACT(SUBSTITUTE ($T139,L$1&amp;"" CE"",""""), L$1&amp;""[\w &amp;]*, (\d+\.\d+)"")),"""")
"),227)</f>
        <v>227</v>
      </c>
      <c r="M139" s="3" t="n">
        <f aca="false">IFERROR(__xludf.dummyfunction("if($T139&lt;&gt;"""",VALUE(REGEXEXTRACT($T139, M$1&amp;""[\w &amp;]*, (\d+\.\d+)"")),"""")
"),237)</f>
        <v>237</v>
      </c>
      <c r="N139" s="3" t="n">
        <f aca="false">IFERROR(__xludf.dummyfunction("if($T139&lt;&gt;"""",VALUE(REGEXEXTRACT(SUBSTITUTE ($T139,N$1&amp;"" CE"",""""), N$1&amp;""[\w &amp;]*, (\d+\.\d+)"")),"""")
"),240)</f>
        <v>240</v>
      </c>
      <c r="O139" s="3" t="n">
        <f aca="false">IFERROR(__xludf.dummyfunction("if($T139&lt;&gt;"""",VALUE(REGEXEXTRACT($T139, O$1&amp;""[\w &amp;]*, (\d+\.\d+)"")),"""")
"),237)</f>
        <v>237</v>
      </c>
      <c r="P139" s="2" t="n">
        <f aca="false">IFERROR(__xludf.dummyfunction("if($T139&lt;&gt;"""",VALUE(REGEXEXTRACT($T139, P$1&amp;""[\w &amp;]*, (\d+\.\d+)"")),"""")
"),235.9)</f>
        <v>235.9</v>
      </c>
      <c r="Q139" s="2" t="n">
        <f aca="false">IFERROR(__xludf.dummyfunction("if($T139&lt;&gt;"""",VALUE(REGEXEXTRACT($T139, Q$1&amp;""[\w &amp;]*, (\d+\.\d+)"")),"""")
"),234.99)</f>
        <v>234.99</v>
      </c>
      <c r="R139" s="2" t="n">
        <f aca="false">IFERROR(__xludf.dummyfunction("if($T139&lt;&gt;"""",VALUE(REGEXEXTRACT($T139, SUBSTITUTE(R$1, ""+"", ""\+"")&amp;""[\w &amp;]*, (\d+\.\d+)"")),"""")"),240.34)</f>
        <v>240.34</v>
      </c>
      <c r="S139" s="2" t="n">
        <f aca="false">IFERROR(__xludf.dummyfunction("if($T139&lt;&gt;"""",VALUE(REGEXEXTRACT($T139, SUBSTITUTE(S$1, ""+"", ""\+"")&amp;""[\w &amp;]*, (\d+\.\d+)"")),"""")"),241.25)</f>
        <v>241.25</v>
      </c>
      <c r="T139" s="5" t="s">
        <v>761</v>
      </c>
    </row>
    <row r="140" customFormat="false" ht="15.75" hidden="false" customHeight="false" outlineLevel="0" collapsed="false">
      <c r="A140" s="4" t="n">
        <f aca="false">IFERROR(__xludf.dummyfunction("""COMPUTED_VALUE"""),45608.6666666667)</f>
        <v>45608.6666666667</v>
      </c>
      <c r="B140" s="2" t="n">
        <f aca="false">IFERROR(__xludf.dummyfunction("""COMPUTED_VALUE"""),239.96)</f>
        <v>239.96</v>
      </c>
      <c r="C140" s="2" t="n">
        <f aca="false">IFERROR(__xludf.dummyfunction("""COMPUTED_VALUE"""),241.79)</f>
        <v>241.79</v>
      </c>
      <c r="D140" s="2" t="n">
        <f aca="false">IFERROR(__xludf.dummyfunction("""COMPUTED_VALUE"""),236.56)</f>
        <v>236.56</v>
      </c>
      <c r="E140" s="2" t="n">
        <f aca="false">IFERROR(__xludf.dummyfunction("""COMPUTED_VALUE"""),237.46)</f>
        <v>237.46</v>
      </c>
      <c r="F140" s="3" t="n">
        <f aca="false">IFERROR(__xludf.dummyfunction("if($T140&lt;&gt;"""",VALUE(REGEXEXTRACT(SUBSTITUTE ($T140,F$1&amp;"" CE"",""""), F$1&amp;""[\w &amp;]*, (\d+\.\d+)"")),"""")
"),245)</f>
        <v>245</v>
      </c>
      <c r="G140" s="3" t="n">
        <f aca="false">IFERROR(__xludf.dummyfunction("if($T140&lt;&gt;"""",VALUE(REGEXEXTRACT($T140, G$1&amp;""[\w &amp;]*, (\d+\.\d+)"")),"""")
"),244)</f>
        <v>244</v>
      </c>
      <c r="H140" s="3" t="n">
        <f aca="false">IFERROR(__xludf.dummyfunction("if($T140&lt;&gt;"""",VALUE(REGEXEXTRACT($T140, H$1&amp;""[\w &amp;]*, (\d+\.\d+)"")),"""")
"),247)</f>
        <v>247</v>
      </c>
      <c r="I140" s="3" t="n">
        <f aca="false">IFERROR(__xludf.dummyfunction("if($T140&lt;&gt;"""",VALUE(REGEXEXTRACT(SUBSTITUTE ($T140,I$1&amp;"" CE"",""""), I$1&amp;""[\w &amp;]*, (\d+\.\d+)"")),"""")
"),229)</f>
        <v>229</v>
      </c>
      <c r="J140" s="3" t="n">
        <f aca="false">IFERROR(__xludf.dummyfunction("if($T140&lt;&gt;"""",VALUE(REGEXEXTRACT($T140, J$1&amp;""[\w &amp;]*, (\d+\.\d+)"")),"""")
"),240)</f>
        <v>240</v>
      </c>
      <c r="K140" s="3" t="n">
        <f aca="false">IFERROR(__xludf.dummyfunction("if($T140&lt;&gt;"""",VALUE(REGEXEXTRACT($T140, K$1&amp;""[\w &amp;]*, (\d+\.\d+)"")),"""")
"),225)</f>
        <v>225</v>
      </c>
      <c r="L140" s="3" t="n">
        <f aca="false">IFERROR(__xludf.dummyfunction("if($T140&lt;&gt;"""",VALUE(REGEXEXTRACT(SUBSTITUTE ($T140,L$1&amp;"" CE"",""""), L$1&amp;""[\w &amp;]*, (\d+\.\d+)"")),"""")
"),229)</f>
        <v>229</v>
      </c>
      <c r="M140" s="3" t="n">
        <f aca="false">IFERROR(__xludf.dummyfunction("if($T140&lt;&gt;"""",VALUE(REGEXEXTRACT($T140, M$1&amp;""[\w &amp;]*, (\d+\.\d+)"")),"""")
"),240)</f>
        <v>240</v>
      </c>
      <c r="N140" s="3" t="n">
        <f aca="false">IFERROR(__xludf.dummyfunction("if($T140&lt;&gt;"""",VALUE(REGEXEXTRACT(SUBSTITUTE ($T140,N$1&amp;"" CE"",""""), N$1&amp;""[\w &amp;]*, (\d+\.\d+)"")),"""")
"),240)</f>
        <v>240</v>
      </c>
      <c r="O140" s="3" t="n">
        <f aca="false">IFERROR(__xludf.dummyfunction("if($T140&lt;&gt;"""",VALUE(REGEXEXTRACT($T140, O$1&amp;""[\w &amp;]*, (\d+\.\d+)"")),"""")
"),241)</f>
        <v>241</v>
      </c>
      <c r="P140" s="2" t="n">
        <f aca="false">IFERROR(__xludf.dummyfunction("if($T140&lt;&gt;"""",VALUE(REGEXEXTRACT($T140, P$1&amp;""[\w &amp;]*, (\d+\.\d+)"")),"""")
"),239.39)</f>
        <v>239.39</v>
      </c>
      <c r="Q140" s="2" t="n">
        <f aca="false">IFERROR(__xludf.dummyfunction("if($T140&lt;&gt;"""",VALUE(REGEXEXTRACT($T140, Q$1&amp;""[\w &amp;]*, (\d+\.\d+)"")),"""")
"),238.43)</f>
        <v>238.43</v>
      </c>
      <c r="R140" s="2" t="n">
        <f aca="false">IFERROR(__xludf.dummyfunction("if($T140&lt;&gt;"""",VALUE(REGEXEXTRACT($T140, SUBSTITUTE(R$1, ""+"", ""\+"")&amp;""[\w &amp;]*, (\d+\.\d+)"")),"""")"),244.01)</f>
        <v>244.01</v>
      </c>
      <c r="S140" s="2" t="n">
        <f aca="false">IFERROR(__xludf.dummyfunction("if($T140&lt;&gt;"""",VALUE(REGEXEXTRACT($T140, SUBSTITUTE(S$1, ""+"", ""\+"")&amp;""[\w &amp;]*, (\d+\.\d+)"")),"""")"),244.97)</f>
        <v>244.97</v>
      </c>
      <c r="T140" s="5" t="s">
        <v>762</v>
      </c>
    </row>
    <row r="141" customFormat="false" ht="15.75" hidden="false" customHeight="false" outlineLevel="0" collapsed="false">
      <c r="A141" s="4" t="n">
        <f aca="false">IFERROR(__xludf.dummyfunction("""COMPUTED_VALUE"""),45609.6666666667)</f>
        <v>45609.6666666667</v>
      </c>
      <c r="B141" s="2" t="n">
        <f aca="false">IFERROR(__xludf.dummyfunction("""COMPUTED_VALUE"""),238.95)</f>
        <v>238.95</v>
      </c>
      <c r="C141" s="2" t="n">
        <f aca="false">IFERROR(__xludf.dummyfunction("""COMPUTED_VALUE"""),239.88)</f>
        <v>239.88</v>
      </c>
      <c r="D141" s="2" t="n">
        <f aca="false">IFERROR(__xludf.dummyfunction("""COMPUTED_VALUE"""),234.83)</f>
        <v>234.83</v>
      </c>
      <c r="E141" s="2" t="n">
        <f aca="false">IFERROR(__xludf.dummyfunction("""COMPUTED_VALUE"""),235.11)</f>
        <v>235.11</v>
      </c>
      <c r="F141" s="3" t="n">
        <f aca="false">IFERROR(__xludf.dummyfunction("if($T141&lt;&gt;"""",VALUE(REGEXEXTRACT(SUBSTITUTE ($T141,F$1&amp;"" CE"",""""), F$1&amp;""[\w &amp;]*, (\d+\.\d+)"")),"""")
"),230)</f>
        <v>230</v>
      </c>
      <c r="G141" s="3" t="n">
        <f aca="false">IFERROR(__xludf.dummyfunction("if($T141&lt;&gt;"""",VALUE(REGEXEXTRACT($T141, G$1&amp;""[\w &amp;]*, (\d+\.\d+)"")),"""")
"),240)</f>
        <v>240</v>
      </c>
      <c r="H141" s="3" t="n">
        <f aca="false">IFERROR(__xludf.dummyfunction("if($T141&lt;&gt;"""",VALUE(REGEXEXTRACT($T141, H$1&amp;""[\w &amp;]*, (\d+\.\d+)"")),"""")
"),243)</f>
        <v>243</v>
      </c>
      <c r="I141" s="3" t="n">
        <f aca="false">IFERROR(__xludf.dummyfunction("if($T141&lt;&gt;"""",VALUE(REGEXEXTRACT(SUBSTITUTE ($T141,I$1&amp;"" CE"",""""), I$1&amp;""[\w &amp;]*, (\d+\.\d+)"")),"""")
"),230)</f>
        <v>230</v>
      </c>
      <c r="J141" s="3" t="n">
        <f aca="false">IFERROR(__xludf.dummyfunction("if($T141&lt;&gt;"""",VALUE(REGEXEXTRACT($T141, J$1&amp;""[\w &amp;]*, (\d+\.\d+)"")),"""")
"),235)</f>
        <v>235</v>
      </c>
      <c r="K141" s="3" t="n">
        <f aca="false">IFERROR(__xludf.dummyfunction("if($T141&lt;&gt;"""",VALUE(REGEXEXTRACT($T141, K$1&amp;""[\w &amp;]*, (\d+\.\d+)"")),"""")
"),223)</f>
        <v>223</v>
      </c>
      <c r="L141" s="3" t="n">
        <f aca="false">IFERROR(__xludf.dummyfunction("if($T141&lt;&gt;"""",VALUE(REGEXEXTRACT(SUBSTITUTE ($T141,L$1&amp;"" CE"",""""), L$1&amp;""[\w &amp;]*, (\d+\.\d+)"")),"""")
"),236)</f>
        <v>236</v>
      </c>
      <c r="M141" s="3" t="n">
        <f aca="false">IFERROR(__xludf.dummyfunction("if($T141&lt;&gt;"""",VALUE(REGEXEXTRACT($T141, M$1&amp;""[\w &amp;]*, (\d+\.\d+)"")),"""")
"),237)</f>
        <v>237</v>
      </c>
      <c r="N141" s="3" t="n">
        <f aca="false">IFERROR(__xludf.dummyfunction("if($T141&lt;&gt;"""",VALUE(REGEXEXTRACT(SUBSTITUTE ($T141,N$1&amp;"" CE"",""""), N$1&amp;""[\w &amp;]*, (\d+\.\d+)"")),"""")
"),235)</f>
        <v>235</v>
      </c>
      <c r="O141" s="3" t="n">
        <f aca="false">IFERROR(__xludf.dummyfunction("if($T141&lt;&gt;"""",VALUE(REGEXEXTRACT($T141, O$1&amp;""[\w &amp;]*, (\d+\.\d+)"")),"""")
"),235)</f>
        <v>235</v>
      </c>
      <c r="P141" s="2" t="n">
        <f aca="false">IFERROR(__xludf.dummyfunction("if($T141&lt;&gt;"""",VALUE(REGEXEXTRACT($T141, P$1&amp;""[\w &amp;]*, (\d+\.\d+)"")),"""")
"),234.89)</f>
        <v>234.89</v>
      </c>
      <c r="Q141" s="2" t="n">
        <f aca="false">IFERROR(__xludf.dummyfunction("if($T141&lt;&gt;"""",VALUE(REGEXEXTRACT($T141, Q$1&amp;""[\w &amp;]*, (\d+\.\d+)"")),"""")
"),233.82)</f>
        <v>233.82</v>
      </c>
      <c r="R141" s="2" t="n">
        <f aca="false">IFERROR(__xludf.dummyfunction("if($T141&lt;&gt;"""",VALUE(REGEXEXTRACT($T141, SUBSTITUTE(R$1, ""+"", ""\+"")&amp;""[\w &amp;]*, (\d+\.\d+)"")),"""")"),240.03)</f>
        <v>240.03</v>
      </c>
      <c r="S141" s="2" t="n">
        <f aca="false">IFERROR(__xludf.dummyfunction("if($T141&lt;&gt;"""",VALUE(REGEXEXTRACT($T141, SUBSTITUTE(S$1, ""+"", ""\+"")&amp;""[\w &amp;]*, (\d+\.\d+)"")),"""")"),241.1)</f>
        <v>241.1</v>
      </c>
      <c r="T141" s="5" t="s">
        <v>763</v>
      </c>
    </row>
    <row r="142" customFormat="false" ht="15.75" hidden="false" customHeight="false" outlineLevel="0" collapsed="false">
      <c r="A142" s="4" t="n">
        <f aca="false">IFERROR(__xludf.dummyfunction("""COMPUTED_VALUE"""),45610.6666666667)</f>
        <v>45610.6666666667</v>
      </c>
      <c r="B142" s="2" t="n">
        <f aca="false">IFERROR(__xludf.dummyfunction("""COMPUTED_VALUE"""),235.95)</f>
        <v>235.95</v>
      </c>
      <c r="C142" s="2" t="n">
        <f aca="false">IFERROR(__xludf.dummyfunction("""COMPUTED_VALUE"""),236.43)</f>
        <v>236.43</v>
      </c>
      <c r="D142" s="2" t="n">
        <f aca="false">IFERROR(__xludf.dummyfunction("""COMPUTED_VALUE"""),231.21)</f>
        <v>231.21</v>
      </c>
      <c r="E142" s="2" t="n">
        <f aca="false">IFERROR(__xludf.dummyfunction("""COMPUTED_VALUE"""),231.94)</f>
        <v>231.94</v>
      </c>
      <c r="F142" s="3" t="n">
        <f aca="false">IFERROR(__xludf.dummyfunction("if($T142&lt;&gt;"""",VALUE(REGEXEXTRACT(SUBSTITUTE ($T142,F$1&amp;"" CE"",""""), F$1&amp;""[\w &amp;]*, (\d+\.\d+)"")),"""")
"),230)</f>
        <v>230</v>
      </c>
      <c r="G142" s="3" t="n">
        <f aca="false">IFERROR(__xludf.dummyfunction("if($T142&lt;&gt;"""",VALUE(REGEXEXTRACT($T142, G$1&amp;""[\w &amp;]*, (\d+\.\d+)"")),"""")
"),236)</f>
        <v>236</v>
      </c>
      <c r="H142" s="3" t="n">
        <f aca="false">IFERROR(__xludf.dummyfunction("if($T142&lt;&gt;"""",VALUE(REGEXEXTRACT($T142, H$1&amp;""[\w &amp;]*, (\d+\.\d+)"")),"""")
"),242)</f>
        <v>242</v>
      </c>
      <c r="I142" s="3" t="n">
        <f aca="false">IFERROR(__xludf.dummyfunction("if($T142&lt;&gt;"""",VALUE(REGEXEXTRACT(SUBSTITUTE ($T142,I$1&amp;"" CE"",""""), I$1&amp;""[\w &amp;]*, (\d+\.\d+)"")),"""")
"),230)</f>
        <v>230</v>
      </c>
      <c r="J142" s="3" t="n">
        <f aca="false">IFERROR(__xludf.dummyfunction("if($T142&lt;&gt;"""",VALUE(REGEXEXTRACT($T142, J$1&amp;""[\w &amp;]*, (\d+\.\d+)"")),"""")
"),234)</f>
        <v>234</v>
      </c>
      <c r="K142" s="3" t="n">
        <f aca="false">IFERROR(__xludf.dummyfunction("if($T142&lt;&gt;"""",VALUE(REGEXEXTRACT($T142, K$1&amp;""[\w &amp;]*, (\d+\.\d+)"")),"""")
"),232)</f>
        <v>232</v>
      </c>
      <c r="L142" s="3" t="n">
        <f aca="false">IFERROR(__xludf.dummyfunction("if($T142&lt;&gt;"""",VALUE(REGEXEXTRACT(SUBSTITUTE ($T142,L$1&amp;"" CE"",""""), L$1&amp;""[\w &amp;]*, (\d+\.\d+)"")),"""")
"),237.5)</f>
        <v>237.5</v>
      </c>
      <c r="M142" s="3" t="n">
        <f aca="false">IFERROR(__xludf.dummyfunction("if($T142&lt;&gt;"""",VALUE(REGEXEXTRACT($T142, M$1&amp;""[\w &amp;]*, (\d+\.\d+)"")),"""")
"),234)</f>
        <v>234</v>
      </c>
      <c r="N142" s="3" t="n">
        <f aca="false">IFERROR(__xludf.dummyfunction("if($T142&lt;&gt;"""",VALUE(REGEXEXTRACT(SUBSTITUTE ($T142,N$1&amp;"" CE"",""""), N$1&amp;""[\w &amp;]*, (\d+\.\d+)"")),"""")
"),230)</f>
        <v>230</v>
      </c>
      <c r="O142" s="3" t="n">
        <f aca="false">IFERROR(__xludf.dummyfunction("if($T142&lt;&gt;"""",VALUE(REGEXEXTRACT($T142, O$1&amp;""[\w &amp;]*, (\d+\.\d+)"")),"""")
"),236)</f>
        <v>236</v>
      </c>
      <c r="P142" s="2" t="n">
        <f aca="false">IFERROR(__xludf.dummyfunction("if($T142&lt;&gt;"""",VALUE(REGEXEXTRACT($T142, P$1&amp;""[\w &amp;]*, (\d+\.\d+)"")),"""")
"),232.67)</f>
        <v>232.67</v>
      </c>
      <c r="Q142" s="2" t="n">
        <f aca="false">IFERROR(__xludf.dummyfunction("if($T142&lt;&gt;"""",VALUE(REGEXEXTRACT($T142, Q$1&amp;""[\w &amp;]*, (\d+\.\d+)"")),"""")
"),231.66)</f>
        <v>231.66</v>
      </c>
      <c r="R142" s="2" t="n">
        <f aca="false">IFERROR(__xludf.dummyfunction("if($T142&lt;&gt;"""",VALUE(REGEXEXTRACT($T142, SUBSTITUTE(R$1, ""+"", ""\+"")&amp;""[\w &amp;]*, (\d+\.\d+)"")),"""")"),237.55)</f>
        <v>237.55</v>
      </c>
      <c r="S142" s="2" t="n">
        <f aca="false">IFERROR(__xludf.dummyfunction("if($T142&lt;&gt;"""",VALUE(REGEXEXTRACT($T142, SUBSTITUTE(S$1, ""+"", ""\+"")&amp;""[\w &amp;]*, (\d+\.\d+)"")),"""")"),238.56)</f>
        <v>238.56</v>
      </c>
      <c r="T142" s="5" t="s">
        <v>764</v>
      </c>
    </row>
    <row r="143" customFormat="false" ht="15.75" hidden="false" customHeight="false" outlineLevel="0" collapsed="false">
      <c r="A143" s="4" t="n">
        <f aca="false">IFERROR(__xludf.dummyfunction("""COMPUTED_VALUE"""),45611.6666666667)</f>
        <v>45611.6666666667</v>
      </c>
      <c r="B143" s="2" t="n">
        <f aca="false">IFERROR(__xludf.dummyfunction("""COMPUTED_VALUE"""),232.22)</f>
        <v>232.22</v>
      </c>
      <c r="C143" s="2" t="n">
        <f aca="false">IFERROR(__xludf.dummyfunction("""COMPUTED_VALUE"""),232.29)</f>
        <v>232.29</v>
      </c>
      <c r="D143" s="2" t="n">
        <f aca="false">IFERROR(__xludf.dummyfunction("""COMPUTED_VALUE"""),227.81)</f>
        <v>227.81</v>
      </c>
      <c r="E143" s="2" t="n">
        <f aca="false">IFERROR(__xludf.dummyfunction("""COMPUTED_VALUE"""),228.48)</f>
        <v>228.48</v>
      </c>
      <c r="F143" s="3" t="n">
        <f aca="false">IFERROR(__xludf.dummyfunction("if($T143&lt;&gt;"""",VALUE(REGEXEXTRACT(SUBSTITUTE ($T143,F$1&amp;"" CE"",""""), F$1&amp;""[\w &amp;]*, (\d+\.\d+)"")),"""")
"),230)</f>
        <v>230</v>
      </c>
      <c r="G143" s="3" t="n">
        <f aca="false">IFERROR(__xludf.dummyfunction("if($T143&lt;&gt;"""",VALUE(REGEXEXTRACT($T143, G$1&amp;""[\w &amp;]*, (\d+\.\d+)"")),"""")
"),225)</f>
        <v>225</v>
      </c>
      <c r="H143" s="3" t="n">
        <f aca="false">IFERROR(__xludf.dummyfunction("if($T143&lt;&gt;"""",VALUE(REGEXEXTRACT($T143, H$1&amp;""[\w &amp;]*, (\d+\.\d+)"")),"""")
"),242)</f>
        <v>242</v>
      </c>
      <c r="I143" s="3" t="n">
        <f aca="false">IFERROR(__xludf.dummyfunction("if($T143&lt;&gt;"""",VALUE(REGEXEXTRACT(SUBSTITUTE ($T143,I$1&amp;"" CE"",""""), I$1&amp;""[\w &amp;]*, (\d+\.\d+)"")),"""")
"),230)</f>
        <v>230</v>
      </c>
      <c r="J143" s="3" t="n">
        <f aca="false">IFERROR(__xludf.dummyfunction("if($T143&lt;&gt;"""",VALUE(REGEXEXTRACT($T143, J$1&amp;""[\w &amp;]*, (\d+\.\d+)"")),"""")
"),234)</f>
        <v>234</v>
      </c>
      <c r="K143" s="3" t="n">
        <f aca="false">IFERROR(__xludf.dummyfunction("if($T143&lt;&gt;"""",VALUE(REGEXEXTRACT($T143, K$1&amp;""[\w &amp;]*, (\d+\.\d+)"")),"""")
"),223)</f>
        <v>223</v>
      </c>
      <c r="L143" s="3" t="n">
        <f aca="false">IFERROR(__xludf.dummyfunction("if($T143&lt;&gt;"""",VALUE(REGEXEXTRACT(SUBSTITUTE ($T143,L$1&amp;"" CE"",""""), L$1&amp;""[\w &amp;]*, (\d+\.\d+)"")),"""")
"),234)</f>
        <v>234</v>
      </c>
      <c r="M143" s="3" t="n">
        <f aca="false">IFERROR(__xludf.dummyfunction("if($T143&lt;&gt;"""",VALUE(REGEXEXTRACT($T143, M$1&amp;""[\w &amp;]*, (\d+\.\d+)"")),"""")
"),224)</f>
        <v>224</v>
      </c>
      <c r="N143" s="3" t="n">
        <f aca="false">IFERROR(__xludf.dummyfunction("if($T143&lt;&gt;"""",VALUE(REGEXEXTRACT(SUBSTITUTE ($T143,N$1&amp;"" CE"",""""), N$1&amp;""[\w &amp;]*, (\d+\.\d+)"")),"""")
"),230)</f>
        <v>230</v>
      </c>
      <c r="O143" s="3" t="n">
        <f aca="false">IFERROR(__xludf.dummyfunction("if($T143&lt;&gt;"""",VALUE(REGEXEXTRACT($T143, O$1&amp;""[\w &amp;]*, (\d+\.\d+)"")),"""")
"),230)</f>
        <v>230</v>
      </c>
      <c r="P143" s="2" t="n">
        <f aca="false">IFERROR(__xludf.dummyfunction("if($T143&lt;&gt;"""",VALUE(REGEXEXTRACT($T143, P$1&amp;""[\w &amp;]*, (\d+\.\d+)"")),"""")
"),229.52)</f>
        <v>229.52</v>
      </c>
      <c r="Q143" s="2" t="n">
        <f aca="false">IFERROR(__xludf.dummyfunction("if($T143&lt;&gt;"""",VALUE(REGEXEXTRACT($T143, Q$1&amp;""[\w &amp;]*, (\d+\.\d+)"")),"""")
"),227.11)</f>
        <v>227.11</v>
      </c>
      <c r="R143" s="2" t="n">
        <f aca="false">IFERROR(__xludf.dummyfunction("if($T143&lt;&gt;"""",VALUE(REGEXEXTRACT($T143, SUBSTITUTE(R$1, ""+"", ""\+"")&amp;""[\w &amp;]*, (\d+\.\d+)"")),"""")"),234.36)</f>
        <v>234.36</v>
      </c>
      <c r="S143" s="2" t="n">
        <f aca="false">IFERROR(__xludf.dummyfunction("if($T143&lt;&gt;"""",VALUE(REGEXEXTRACT($T143, SUBSTITUTE(S$1, ""+"", ""\+"")&amp;""[\w &amp;]*, (\d+\.\d+)"")),"""")"),236.77)</f>
        <v>236.77</v>
      </c>
      <c r="T143" s="5" t="s">
        <v>765</v>
      </c>
    </row>
    <row r="144" customFormat="false" ht="15.75" hidden="false" customHeight="false" outlineLevel="0" collapsed="false">
      <c r="A144" s="4" t="n">
        <f aca="false">IFERROR(__xludf.dummyfunction("""COMPUTED_VALUE"""),45614.6666666667)</f>
        <v>45614.6666666667</v>
      </c>
      <c r="B144" s="2" t="n">
        <f aca="false">IFERROR(__xludf.dummyfunction("""COMPUTED_VALUE"""),229.22)</f>
        <v>229.22</v>
      </c>
      <c r="C144" s="2" t="n">
        <f aca="false">IFERROR(__xludf.dummyfunction("""COMPUTED_VALUE"""),230.6)</f>
        <v>230.6</v>
      </c>
      <c r="D144" s="2" t="n">
        <f aca="false">IFERROR(__xludf.dummyfunction("""COMPUTED_VALUE"""),228.13)</f>
        <v>228.13</v>
      </c>
      <c r="E144" s="2" t="n">
        <f aca="false">IFERROR(__xludf.dummyfunction("""COMPUTED_VALUE"""),228.93)</f>
        <v>228.93</v>
      </c>
      <c r="F144" s="3" t="n">
        <f aca="false">IFERROR(__xludf.dummyfunction("if($T144&lt;&gt;"""",VALUE(REGEXEXTRACT(SUBSTITUTE ($T144,F$1&amp;"" CE"",""""), F$1&amp;""[\w &amp;]*, (\d+\.\d+)"")),"""")
"),230)</f>
        <v>230</v>
      </c>
      <c r="G144" s="3" t="n">
        <f aca="false">IFERROR(__xludf.dummyfunction("if($T144&lt;&gt;"""",VALUE(REGEXEXTRACT($T144, G$1&amp;""[\w &amp;]*, (\d+\.\d+)"")),"""")
"),232)</f>
        <v>232</v>
      </c>
      <c r="H144" s="3" t="n">
        <f aca="false">IFERROR(__xludf.dummyfunction("if($T144&lt;&gt;"""",VALUE(REGEXEXTRACT($T144, H$1&amp;""[\w &amp;]*, (\d+\.\d+)"")),"""")
"),242)</f>
        <v>242</v>
      </c>
      <c r="I144" s="3" t="n">
        <f aca="false">IFERROR(__xludf.dummyfunction("if($T144&lt;&gt;"""",VALUE(REGEXEXTRACT(SUBSTITUTE ($T144,I$1&amp;"" CE"",""""), I$1&amp;""[\w &amp;]*, (\d+\.\d+)"")),"""")
"),225)</f>
        <v>225</v>
      </c>
      <c r="J144" s="3" t="n">
        <f aca="false">IFERROR(__xludf.dummyfunction("if($T144&lt;&gt;"""",VALUE(REGEXEXTRACT($T144, J$1&amp;""[\w &amp;]*, (\d+\.\d+)"")),"""")
"),228)</f>
        <v>228</v>
      </c>
      <c r="K144" s="3" t="n">
        <f aca="false">IFERROR(__xludf.dummyfunction("if($T144&lt;&gt;"""",VALUE(REGEXEXTRACT($T144, K$1&amp;""[\w &amp;]*, (\d+\.\d+)"")),"""")
"),223)</f>
        <v>223</v>
      </c>
      <c r="L144" s="3" t="n">
        <f aca="false">IFERROR(__xludf.dummyfunction("if($T144&lt;&gt;"""",VALUE(REGEXEXTRACT(SUBSTITUTE ($T144,L$1&amp;"" CE"",""""), L$1&amp;""[\w &amp;]*, (\d+\.\d+)"")),"""")
"),230)</f>
        <v>230</v>
      </c>
      <c r="M144" s="3" t="n">
        <f aca="false">IFERROR(__xludf.dummyfunction("if($T144&lt;&gt;"""",VALUE(REGEXEXTRACT($T144, M$1&amp;""[\w &amp;]*, (\d+\.\d+)"")),"""")
"),230)</f>
        <v>230</v>
      </c>
      <c r="N144" s="3" t="n">
        <f aca="false">IFERROR(__xludf.dummyfunction("if($T144&lt;&gt;"""",VALUE(REGEXEXTRACT(SUBSTITUTE ($T144,N$1&amp;"" CE"",""""), N$1&amp;""[\w &amp;]*, (\d+\.\d+)"")),"""")
"),230)</f>
        <v>230</v>
      </c>
      <c r="O144" s="3" t="n">
        <f aca="false">IFERROR(__xludf.dummyfunction("if($T144&lt;&gt;"""",VALUE(REGEXEXTRACT($T144, O$1&amp;""[\w &amp;]*, (\d+\.\d+)"")),"""")
"),228)</f>
        <v>228</v>
      </c>
      <c r="P144" s="2" t="n">
        <f aca="false">IFERROR(__xludf.dummyfunction("if($T144&lt;&gt;"""",VALUE(REGEXEXTRACT($T144, P$1&amp;""[\w &amp;]*, (\d+\.\d+)"")),"""")
"),226.19)</f>
        <v>226.19</v>
      </c>
      <c r="Q144" s="2" t="n">
        <f aca="false">IFERROR(__xludf.dummyfunction("if($T144&lt;&gt;"""",VALUE(REGEXEXTRACT($T144, Q$1&amp;""[\w &amp;]*, (\d+\.\d+)"")),"""")
"),225.25)</f>
        <v>225.25</v>
      </c>
      <c r="R144" s="2" t="n">
        <f aca="false">IFERROR(__xludf.dummyfunction("if($T144&lt;&gt;"""",VALUE(REGEXEXTRACT($T144, SUBSTITUTE(R$1, ""+"", ""\+"")&amp;""[\w &amp;]*, (\d+\.\d+)"")),"""")"),230.77)</f>
        <v>230.77</v>
      </c>
      <c r="S144" s="2" t="n">
        <f aca="false">IFERROR(__xludf.dummyfunction("if($T144&lt;&gt;"""",VALUE(REGEXEXTRACT($T144, SUBSTITUTE(S$1, ""+"", ""\+"")&amp;""[\w &amp;]*, (\d+\.\d+)"")),"""")"),231.71)</f>
        <v>231.71</v>
      </c>
      <c r="T144" s="5" t="s">
        <v>766</v>
      </c>
    </row>
    <row r="145" customFormat="false" ht="15.75" hidden="false" customHeight="false" outlineLevel="0" collapsed="false">
      <c r="A145" s="4" t="n">
        <f aca="false">IFERROR(__xludf.dummyfunction("""COMPUTED_VALUE"""),45615.6666666667)</f>
        <v>45615.6666666667</v>
      </c>
      <c r="B145" s="2" t="n">
        <f aca="false">IFERROR(__xludf.dummyfunction("""COMPUTED_VALUE"""),226.59)</f>
        <v>226.59</v>
      </c>
      <c r="C145" s="2" t="n">
        <f aca="false">IFERROR(__xludf.dummyfunction("""COMPUTED_VALUE"""),230.82)</f>
        <v>230.82</v>
      </c>
      <c r="D145" s="2" t="n">
        <f aca="false">IFERROR(__xludf.dummyfunction("""COMPUTED_VALUE"""),226.4)</f>
        <v>226.4</v>
      </c>
      <c r="E145" s="2" t="n">
        <f aca="false">IFERROR(__xludf.dummyfunction("""COMPUTED_VALUE"""),230.63)</f>
        <v>230.63</v>
      </c>
      <c r="F145" s="3" t="n">
        <f aca="false">IFERROR(__xludf.dummyfunction("if($T145&lt;&gt;"""",VALUE(REGEXEXTRACT(SUBSTITUTE ($T145,F$1&amp;"" CE"",""""), F$1&amp;""[\w &amp;]*, (\d+\.\d+)"")),"""")
"),230)</f>
        <v>230</v>
      </c>
      <c r="G145" s="3" t="n">
        <f aca="false">IFERROR(__xludf.dummyfunction("if($T145&lt;&gt;"""",VALUE(REGEXEXTRACT($T145, G$1&amp;""[\w &amp;]*, (\d+\.\d+)"")),"""")
"),229)</f>
        <v>229</v>
      </c>
      <c r="H145" s="3" t="n">
        <f aca="false">IFERROR(__xludf.dummyfunction("if($T145&lt;&gt;"""",VALUE(REGEXEXTRACT($T145, H$1&amp;""[\w &amp;]*, (\d+\.\d+)"")),"""")
"),242)</f>
        <v>242</v>
      </c>
      <c r="I145" s="3" t="n">
        <f aca="false">IFERROR(__xludf.dummyfunction("if($T145&lt;&gt;"""",VALUE(REGEXEXTRACT(SUBSTITUTE ($T145,I$1&amp;"" CE"",""""), I$1&amp;""[\w &amp;]*, (\d+\.\d+)"")),"""")
"),225)</f>
        <v>225</v>
      </c>
      <c r="J145" s="3" t="n">
        <f aca="false">IFERROR(__xludf.dummyfunction("if($T145&lt;&gt;"""",VALUE(REGEXEXTRACT($T145, J$1&amp;""[\w &amp;]*, (\d+\.\d+)"")),"""")
"),228)</f>
        <v>228</v>
      </c>
      <c r="K145" s="3" t="n">
        <f aca="false">IFERROR(__xludf.dummyfunction("if($T145&lt;&gt;"""",VALUE(REGEXEXTRACT($T145, K$1&amp;""[\w &amp;]*, (\d+\.\d+)"")),"""")
"),223)</f>
        <v>223</v>
      </c>
      <c r="L145" s="3" t="n">
        <f aca="false">IFERROR(__xludf.dummyfunction("if($T145&lt;&gt;"""",VALUE(REGEXEXTRACT(SUBSTITUTE ($T145,L$1&amp;"" CE"",""""), L$1&amp;""[\w &amp;]*, (\d+\.\d+)"")),"""")
"),230)</f>
        <v>230</v>
      </c>
      <c r="M145" s="3" t="n">
        <f aca="false">IFERROR(__xludf.dummyfunction("if($T145&lt;&gt;"""",VALUE(REGEXEXTRACT($T145, M$1&amp;""[\w &amp;]*, (\d+\.\d+)"")),"""")
"),228)</f>
        <v>228</v>
      </c>
      <c r="N145" s="3" t="n">
        <f aca="false">IFERROR(__xludf.dummyfunction("if($T145&lt;&gt;"""",VALUE(REGEXEXTRACT(SUBSTITUTE ($T145,N$1&amp;"" CE"",""""), N$1&amp;""[\w &amp;]*, (\d+\.\d+)"")),"""")
"),230)</f>
        <v>230</v>
      </c>
      <c r="O145" s="3" t="n">
        <f aca="false">IFERROR(__xludf.dummyfunction("if($T145&lt;&gt;"""",VALUE(REGEXEXTRACT($T145, O$1&amp;""[\w &amp;]*, (\d+\.\d+)"")),"""")
"),229)</f>
        <v>229</v>
      </c>
      <c r="P145" s="2" t="n">
        <f aca="false">IFERROR(__xludf.dummyfunction("if($T145&lt;&gt;"""",VALUE(REGEXEXTRACT($T145, P$1&amp;""[\w &amp;]*, (\d+\.\d+)"")),"""")
"),226.66)</f>
        <v>226.66</v>
      </c>
      <c r="Q145" s="2" t="n">
        <f aca="false">IFERROR(__xludf.dummyfunction("if($T145&lt;&gt;"""",VALUE(REGEXEXTRACT($T145, Q$1&amp;""[\w &amp;]*, (\d+\.\d+)"")),"""")
"),225.73)</f>
        <v>225.73</v>
      </c>
      <c r="R145" s="2" t="n">
        <f aca="false">IFERROR(__xludf.dummyfunction("if($T145&lt;&gt;"""",VALUE(REGEXEXTRACT($T145, SUBSTITUTE(R$1, ""+"", ""\+"")&amp;""[\w &amp;]*, (\d+\.\d+)"")),"""")"),231.2)</f>
        <v>231.2</v>
      </c>
      <c r="S145" s="2" t="n">
        <f aca="false">IFERROR(__xludf.dummyfunction("if($T145&lt;&gt;"""",VALUE(REGEXEXTRACT($T145, SUBSTITUTE(S$1, ""+"", ""\+"")&amp;""[\w &amp;]*, (\d+\.\d+)"")),"""")"),232.13)</f>
        <v>232.13</v>
      </c>
      <c r="T145" s="5" t="s">
        <v>767</v>
      </c>
    </row>
    <row r="146" customFormat="false" ht="15.75" hidden="false" customHeight="false" outlineLevel="0" collapsed="false">
      <c r="A146" s="4" t="n">
        <f aca="false">IFERROR(__xludf.dummyfunction("""COMPUTED_VALUE"""),45616.6666666667)</f>
        <v>45616.6666666667</v>
      </c>
      <c r="B146" s="2" t="n">
        <f aca="false">IFERROR(__xludf.dummyfunction("""COMPUTED_VALUE"""),230.23)</f>
        <v>230.23</v>
      </c>
      <c r="C146" s="2" t="n">
        <f aca="false">IFERROR(__xludf.dummyfunction("""COMPUTED_VALUE"""),230.93)</f>
        <v>230.93</v>
      </c>
      <c r="D146" s="2" t="n">
        <f aca="false">IFERROR(__xludf.dummyfunction("""COMPUTED_VALUE"""),228.04)</f>
        <v>228.04</v>
      </c>
      <c r="E146" s="2" t="n">
        <f aca="false">IFERROR(__xludf.dummyfunction("""COMPUTED_VALUE"""),230.93)</f>
        <v>230.93</v>
      </c>
      <c r="F146" s="3" t="n">
        <f aca="false">IFERROR(__xludf.dummyfunction("if($T146&lt;&gt;"""",VALUE(REGEXEXTRACT(SUBSTITUTE ($T146,F$1&amp;"" CE"",""""), F$1&amp;""[\w &amp;]*, (\d+\.\d+)"")),"""")
"),230)</f>
        <v>230</v>
      </c>
      <c r="G146" s="3" t="n">
        <f aca="false">IFERROR(__xludf.dummyfunction("if($T146&lt;&gt;"""",VALUE(REGEXEXTRACT($T146, G$1&amp;""[\w &amp;]*, (\d+\.\d+)"")),"""")
"),232)</f>
        <v>232</v>
      </c>
      <c r="H146" s="3" t="n">
        <f aca="false">IFERROR(__xludf.dummyfunction("if($T146&lt;&gt;"""",VALUE(REGEXEXTRACT($T146, H$1&amp;""[\w &amp;]*, (\d+\.\d+)"")),"""")
"),242)</f>
        <v>242</v>
      </c>
      <c r="I146" s="3" t="n">
        <f aca="false">IFERROR(__xludf.dummyfunction("if($T146&lt;&gt;"""",VALUE(REGEXEXTRACT(SUBSTITUTE ($T146,I$1&amp;"" CE"",""""), I$1&amp;""[\w &amp;]*, (\d+\.\d+)"")),"""")
"),225)</f>
        <v>225</v>
      </c>
      <c r="J146" s="3" t="n">
        <f aca="false">IFERROR(__xludf.dummyfunction("if($T146&lt;&gt;"""",VALUE(REGEXEXTRACT($T146, J$1&amp;""[\w &amp;]*, (\d+\.\d+)"")),"""")
"),229)</f>
        <v>229</v>
      </c>
      <c r="K146" s="3" t="n">
        <f aca="false">IFERROR(__xludf.dummyfunction("if($T146&lt;&gt;"""",VALUE(REGEXEXTRACT($T146, K$1&amp;""[\w &amp;]*, (\d+\.\d+)"")),"""")
"),223)</f>
        <v>223</v>
      </c>
      <c r="L146" s="3" t="n">
        <f aca="false">IFERROR(__xludf.dummyfunction("if($T146&lt;&gt;"""",VALUE(REGEXEXTRACT(SUBSTITUTE ($T146,L$1&amp;"" CE"",""""), L$1&amp;""[\w &amp;]*, (\d+\.\d+)"")),"""")
"),230)</f>
        <v>230</v>
      </c>
      <c r="M146" s="3" t="n">
        <f aca="false">IFERROR(__xludf.dummyfunction("if($T146&lt;&gt;"""",VALUE(REGEXEXTRACT($T146, M$1&amp;""[\w &amp;]*, (\d+\.\d+)"")),"""")
"),229)</f>
        <v>229</v>
      </c>
      <c r="N146" s="3" t="n">
        <f aca="false">IFERROR(__xludf.dummyfunction("if($T146&lt;&gt;"""",VALUE(REGEXEXTRACT(SUBSTITUTE ($T146,N$1&amp;"" CE"",""""), N$1&amp;""[\w &amp;]*, (\d+\.\d+)"")),"""")
"),230)</f>
        <v>230</v>
      </c>
      <c r="O146" s="3" t="n">
        <f aca="false">IFERROR(__xludf.dummyfunction("if($T146&lt;&gt;"""",VALUE(REGEXEXTRACT($T146, O$1&amp;""[\w &amp;]*, (\d+\.\d+)"")),"""")
"),230)</f>
        <v>230</v>
      </c>
      <c r="P146" s="2" t="n">
        <f aca="false">IFERROR(__xludf.dummyfunction("if($T146&lt;&gt;"""",VALUE(REGEXEXTRACT($T146, P$1&amp;""[\w &amp;]*, (\d+\.\d+)"")),"""")
"),228.46)</f>
        <v>228.46</v>
      </c>
      <c r="Q146" s="2" t="n">
        <f aca="false">IFERROR(__xludf.dummyfunction("if($T146&lt;&gt;"""",VALUE(REGEXEXTRACT($T146, Q$1&amp;""[\w &amp;]*, (\d+\.\d+)"")),"""")
"),227.56)</f>
        <v>227.56</v>
      </c>
      <c r="R146" s="2" t="n">
        <f aca="false">IFERROR(__xludf.dummyfunction("if($T146&lt;&gt;"""",VALUE(REGEXEXTRACT($T146, SUBSTITUTE(R$1, ""+"", ""\+"")&amp;""[\w &amp;]*, (\d+\.\d+)"")),"""")"),232.8)</f>
        <v>232.8</v>
      </c>
      <c r="S146" s="2" t="n">
        <f aca="false">IFERROR(__xludf.dummyfunction("if($T146&lt;&gt;"""",VALUE(REGEXEXTRACT($T146, SUBSTITUTE(S$1, ""+"", ""\+"")&amp;""[\w &amp;]*, (\d+\.\d+)"")),"""")"),233.7)</f>
        <v>233.7</v>
      </c>
      <c r="T146" s="5" t="s">
        <v>768</v>
      </c>
    </row>
    <row r="147" customFormat="false" ht="15.75" hidden="false" customHeight="false" outlineLevel="0" collapsed="false">
      <c r="A147" s="4" t="n">
        <f aca="false">IFERROR(__xludf.dummyfunction("""COMPUTED_VALUE"""),45617.6666666667)</f>
        <v>45617.6666666667</v>
      </c>
      <c r="B147" s="2" t="n">
        <f aca="false">IFERROR(__xludf.dummyfunction("""COMPUTED_VALUE"""),232.16)</f>
        <v>232.16</v>
      </c>
      <c r="C147" s="2" t="n">
        <f aca="false">IFERROR(__xludf.dummyfunction("""COMPUTED_VALUE"""),235.57)</f>
        <v>235.57</v>
      </c>
      <c r="D147" s="2" t="n">
        <f aca="false">IFERROR(__xludf.dummyfunction("""COMPUTED_VALUE"""),231.11)</f>
        <v>231.11</v>
      </c>
      <c r="E147" s="2" t="n">
        <f aca="false">IFERROR(__xludf.dummyfunction("""COMPUTED_VALUE"""),234.44)</f>
        <v>234.44</v>
      </c>
      <c r="F147" s="3" t="n">
        <f aca="false">IFERROR(__xludf.dummyfunction("if($T147&lt;&gt;"""",VALUE(REGEXEXTRACT(SUBSTITUTE ($T147,F$1&amp;"" CE"",""""), F$1&amp;""[\w &amp;]*, (\d+\.\d+)"")),"""")
"),230)</f>
        <v>230</v>
      </c>
      <c r="G147" s="3" t="n">
        <f aca="false">IFERROR(__xludf.dummyfunction("if($T147&lt;&gt;"""",VALUE(REGEXEXTRACT($T147, G$1&amp;""[\w &amp;]*, (\d+\.\d+)"")),"""")
"),231)</f>
        <v>231</v>
      </c>
      <c r="H147" s="3" t="n">
        <f aca="false">IFERROR(__xludf.dummyfunction("if($T147&lt;&gt;"""",VALUE(REGEXEXTRACT($T147, H$1&amp;""[\w &amp;]*, (\d+\.\d+)"")),"""")
"),242)</f>
        <v>242</v>
      </c>
      <c r="I147" s="3" t="n">
        <f aca="false">IFERROR(__xludf.dummyfunction("if($T147&lt;&gt;"""",VALUE(REGEXEXTRACT(SUBSTITUTE ($T147,I$1&amp;"" CE"",""""), I$1&amp;""[\w &amp;]*, (\d+\.\d+)"")),"""")
"),230)</f>
        <v>230</v>
      </c>
      <c r="J147" s="3" t="n">
        <f aca="false">IFERROR(__xludf.dummyfunction("if($T147&lt;&gt;"""",VALUE(REGEXEXTRACT($T147, J$1&amp;""[\w &amp;]*, (\d+\.\d+)"")),"""")
"),228)</f>
        <v>228</v>
      </c>
      <c r="K147" s="3" t="n">
        <f aca="false">IFERROR(__xludf.dummyfunction("if($T147&lt;&gt;"""",VALUE(REGEXEXTRACT($T147, K$1&amp;""[\w &amp;]*, (\d+\.\d+)"")),"""")
"),223)</f>
        <v>223</v>
      </c>
      <c r="L147" s="3" t="n">
        <f aca="false">IFERROR(__xludf.dummyfunction("if($T147&lt;&gt;"""",VALUE(REGEXEXTRACT(SUBSTITUTE ($T147,L$1&amp;"" CE"",""""), L$1&amp;""[\w &amp;]*, (\d+\.\d+)"")),"""")
"),230)</f>
        <v>230</v>
      </c>
      <c r="M147" s="3" t="n">
        <f aca="false">IFERROR(__xludf.dummyfunction("if($T147&lt;&gt;"""",VALUE(REGEXEXTRACT($T147, M$1&amp;""[\w &amp;]*, (\d+\.\d+)"")),"""")
"),229)</f>
        <v>229</v>
      </c>
      <c r="N147" s="3" t="n">
        <f aca="false">IFERROR(__xludf.dummyfunction("if($T147&lt;&gt;"""",VALUE(REGEXEXTRACT(SUBSTITUTE ($T147,N$1&amp;"" CE"",""""), N$1&amp;""[\w &amp;]*, (\d+\.\d+)"")),"""")
"),230)</f>
        <v>230</v>
      </c>
      <c r="O147" s="3" t="n">
        <f aca="false">IFERROR(__xludf.dummyfunction("if($T147&lt;&gt;"""",VALUE(REGEXEXTRACT($T147, O$1&amp;""[\w &amp;]*, (\d+\.\d+)"")),"""")
"),231)</f>
        <v>231</v>
      </c>
      <c r="P147" s="2" t="n">
        <f aca="false">IFERROR(__xludf.dummyfunction("if($T147&lt;&gt;"""",VALUE(REGEXEXTRACT($T147, P$1&amp;""[\w &amp;]*, (\d+\.\d+)"")),"""")
"),228.73)</f>
        <v>228.73</v>
      </c>
      <c r="Q147" s="2" t="n">
        <f aca="false">IFERROR(__xludf.dummyfunction("if($T147&lt;&gt;"""",VALUE(REGEXEXTRACT($T147, Q$1&amp;""[\w &amp;]*, (\d+\.\d+)"")),"""")
"),227.82)</f>
        <v>227.82</v>
      </c>
      <c r="R147" s="2" t="n">
        <f aca="false">IFERROR(__xludf.dummyfunction("if($T147&lt;&gt;"""",VALUE(REGEXEXTRACT($T147, SUBSTITUTE(R$1, ""+"", ""\+"")&amp;""[\w &amp;]*, (\d+\.\d+)"")),"""")"),233.13)</f>
        <v>233.13</v>
      </c>
      <c r="S147" s="2" t="n">
        <f aca="false">IFERROR(__xludf.dummyfunction("if($T147&lt;&gt;"""",VALUE(REGEXEXTRACT($T147, SUBSTITUTE(S$1, ""+"", ""\+"")&amp;""[\w &amp;]*, (\d+\.\d+)"")),"""")"),234.04)</f>
        <v>234.04</v>
      </c>
      <c r="T147" s="5" t="s">
        <v>769</v>
      </c>
    </row>
    <row r="148" customFormat="false" ht="15.75" hidden="false" customHeight="false" outlineLevel="0" collapsed="false">
      <c r="A148" s="4" t="n">
        <f aca="false">IFERROR(__xludf.dummyfunction("""COMPUTED_VALUE"""),45618.6666666667)</f>
        <v>45618.6666666667</v>
      </c>
      <c r="B148" s="2" t="n">
        <f aca="false">IFERROR(__xludf.dummyfunction("""COMPUTED_VALUE"""),235.64)</f>
        <v>235.64</v>
      </c>
      <c r="C148" s="2" t="n">
        <f aca="false">IFERROR(__xludf.dummyfunction("""COMPUTED_VALUE"""),239.24)</f>
        <v>239.24</v>
      </c>
      <c r="D148" s="2" t="n">
        <f aca="false">IFERROR(__xludf.dummyfunction("""COMPUTED_VALUE"""),235.33)</f>
        <v>235.33</v>
      </c>
      <c r="E148" s="2" t="n">
        <f aca="false">IFERROR(__xludf.dummyfunction("""COMPUTED_VALUE"""),238.77)</f>
        <v>238.77</v>
      </c>
      <c r="F148" s="3" t="n">
        <f aca="false">IFERROR(__xludf.dummyfunction("if($T148&lt;&gt;"""",VALUE(REGEXEXTRACT(SUBSTITUTE ($T148,F$1&amp;"" CE"",""""), F$1&amp;""[\w &amp;]*, (\d+\.\d+)"")),"""")
"),230)</f>
        <v>230</v>
      </c>
      <c r="G148" s="3" t="n">
        <f aca="false">IFERROR(__xludf.dummyfunction("if($T148&lt;&gt;"""",VALUE(REGEXEXTRACT($T148, G$1&amp;""[\w &amp;]*, (\d+\.\d+)"")),"""")
"),235)</f>
        <v>235</v>
      </c>
      <c r="H148" s="3" t="n">
        <f aca="false">IFERROR(__xludf.dummyfunction("if($T148&lt;&gt;"""",VALUE(REGEXEXTRACT($T148, H$1&amp;""[\w &amp;]*, (\d+\.\d+)"")),"""")
"),242)</f>
        <v>242</v>
      </c>
      <c r="I148" s="3" t="n">
        <f aca="false">IFERROR(__xludf.dummyfunction("if($T148&lt;&gt;"""",VALUE(REGEXEXTRACT(SUBSTITUTE ($T148,I$1&amp;"" CE"",""""), I$1&amp;""[\w &amp;]*, (\d+\.\d+)"")),"""")
"),230)</f>
        <v>230</v>
      </c>
      <c r="J148" s="3" t="n">
        <f aca="false">IFERROR(__xludf.dummyfunction("if($T148&lt;&gt;"""",VALUE(REGEXEXTRACT($T148, J$1&amp;""[\w &amp;]*, (\d+\.\d+)"")),"""")
"),230)</f>
        <v>230</v>
      </c>
      <c r="K148" s="3" t="n">
        <f aca="false">IFERROR(__xludf.dummyfunction("if($T148&lt;&gt;"""",VALUE(REGEXEXTRACT($T148, K$1&amp;""[\w &amp;]*, (\d+\.\d+)"")),"""")
"),223)</f>
        <v>223</v>
      </c>
      <c r="L148" s="3" t="n">
        <f aca="false">IFERROR(__xludf.dummyfunction("if($T148&lt;&gt;"""",VALUE(REGEXEXTRACT(SUBSTITUTE ($T148,L$1&amp;"" CE"",""""), L$1&amp;""[\w &amp;]*, (\d+\.\d+)"")),"""")
"),232.5)</f>
        <v>232.5</v>
      </c>
      <c r="M148" s="3" t="n">
        <f aca="false">IFERROR(__xludf.dummyfunction("if($T148&lt;&gt;"""",VALUE(REGEXEXTRACT($T148, M$1&amp;""[\w &amp;]*, (\d+\.\d+)"")),"""")
"),232.5)</f>
        <v>232.5</v>
      </c>
      <c r="N148" s="3" t="n">
        <f aca="false">IFERROR(__xludf.dummyfunction("if($T148&lt;&gt;"""",VALUE(REGEXEXTRACT(SUBSTITUTE ($T148,N$1&amp;"" CE"",""""), N$1&amp;""[\w &amp;]*, (\d+\.\d+)"")),"""")
"),230)</f>
        <v>230</v>
      </c>
      <c r="O148" s="3" t="n">
        <f aca="false">IFERROR(__xludf.dummyfunction("if($T148&lt;&gt;"""",VALUE(REGEXEXTRACT($T148, O$1&amp;""[\w &amp;]*, (\d+\.\d+)"")),"""")
"),235)</f>
        <v>235</v>
      </c>
      <c r="P148" s="2" t="n">
        <f aca="false">IFERROR(__xludf.dummyfunction("if($T148&lt;&gt;"""",VALUE(REGEXEXTRACT($T148, P$1&amp;""[\w &amp;]*, (\d+\.\d+)"")),"""")
"),231.96)</f>
        <v>231.96</v>
      </c>
      <c r="Q148" s="2" t="n">
        <f aca="false">IFERROR(__xludf.dummyfunction("if($T148&lt;&gt;"""",VALUE(REGEXEXTRACT($T148, Q$1&amp;""[\w &amp;]*, (\d+\.\d+)"")),"""")
"),229.48)</f>
        <v>229.48</v>
      </c>
      <c r="R148" s="2" t="n">
        <f aca="false">IFERROR(__xludf.dummyfunction("if($T148&lt;&gt;"""",VALUE(REGEXEXTRACT($T148, SUBSTITUTE(R$1, ""+"", ""\+"")&amp;""[\w &amp;]*, (\d+\.\d+)"")),"""")"),236.92)</f>
        <v>236.92</v>
      </c>
      <c r="S148" s="2" t="n">
        <f aca="false">IFERROR(__xludf.dummyfunction("if($T148&lt;&gt;"""",VALUE(REGEXEXTRACT($T148, SUBSTITUTE(S$1, ""+"", ""\+"")&amp;""[\w &amp;]*, (\d+\.\d+)"")),"""")"),239.4)</f>
        <v>239.4</v>
      </c>
      <c r="T148" s="5" t="s">
        <v>770</v>
      </c>
    </row>
    <row r="149" customFormat="false" ht="15.75" hidden="false" customHeight="false" outlineLevel="0" collapsed="false">
      <c r="A149" s="4" t="n">
        <f aca="false">IFERROR(__xludf.dummyfunction("""COMPUTED_VALUE"""),45621.6666666667)</f>
        <v>45621.6666666667</v>
      </c>
      <c r="B149" s="2" t="n">
        <f aca="false">IFERROR(__xludf.dummyfunction("""COMPUTED_VALUE"""),241.49)</f>
        <v>241.49</v>
      </c>
      <c r="C149" s="2" t="n">
        <f aca="false">IFERROR(__xludf.dummyfunction("""COMPUTED_VALUE"""),244.98)</f>
        <v>244.98</v>
      </c>
      <c r="D149" s="2" t="n">
        <f aca="false">IFERROR(__xludf.dummyfunction("""COMPUTED_VALUE"""),241.39)</f>
        <v>241.39</v>
      </c>
      <c r="E149" s="2" t="n">
        <f aca="false">IFERROR(__xludf.dummyfunction("""COMPUTED_VALUE"""),242.4)</f>
        <v>242.4</v>
      </c>
      <c r="F149" s="3" t="n">
        <f aca="false">IFERROR(__xludf.dummyfunction("if($T149&lt;&gt;"""",VALUE(REGEXEXTRACT(SUBSTITUTE ($T149,F$1&amp;"" CE"",""""), F$1&amp;""[\w &amp;]*, (\d+\.\d+)"")),"""")
"),240)</f>
        <v>240</v>
      </c>
      <c r="G149" s="3" t="n">
        <f aca="false">IFERROR(__xludf.dummyfunction("if($T149&lt;&gt;"""",VALUE(REGEXEXTRACT($T149, G$1&amp;""[\w &amp;]*, (\d+\.\d+)"")),"""")
"),240)</f>
        <v>240</v>
      </c>
      <c r="H149" s="3" t="n">
        <f aca="false">IFERROR(__xludf.dummyfunction("if($T149&lt;&gt;"""",VALUE(REGEXEXTRACT($T149, H$1&amp;""[\w &amp;]*, (\d+\.\d+)"")),"""")
"),242)</f>
        <v>242</v>
      </c>
      <c r="I149" s="3" t="n">
        <f aca="false">IFERROR(__xludf.dummyfunction("if($T149&lt;&gt;"""",VALUE(REGEXEXTRACT(SUBSTITUTE ($T149,I$1&amp;"" CE"",""""), I$1&amp;""[\w &amp;]*, (\d+\.\d+)"")),"""")
"),230)</f>
        <v>230</v>
      </c>
      <c r="J149" s="3" t="n">
        <f aca="false">IFERROR(__xludf.dummyfunction("if($T149&lt;&gt;"""",VALUE(REGEXEXTRACT($T149, J$1&amp;""[\w &amp;]*, (\d+\.\d+)"")),"""")
"),237)</f>
        <v>237</v>
      </c>
      <c r="K149" s="3" t="n">
        <f aca="false">IFERROR(__xludf.dummyfunction("if($T149&lt;&gt;"""",VALUE(REGEXEXTRACT($T149, K$1&amp;""[\w &amp;]*, (\d+\.\d+)"")),"""")
"),223)</f>
        <v>223</v>
      </c>
      <c r="L149" s="3" t="n">
        <f aca="false">IFERROR(__xludf.dummyfunction("if($T149&lt;&gt;"""",VALUE(REGEXEXTRACT(SUBSTITUTE ($T149,L$1&amp;"" CE"",""""), L$1&amp;""[\w &amp;]*, (\d+\.\d+)"")),"""")
"),233)</f>
        <v>233</v>
      </c>
      <c r="M149" s="3" t="n">
        <f aca="false">IFERROR(__xludf.dummyfunction("if($T149&lt;&gt;"""",VALUE(REGEXEXTRACT($T149, M$1&amp;""[\w &amp;]*, (\d+\.\d+)"")),"""")
"),237)</f>
        <v>237</v>
      </c>
      <c r="N149" s="3" t="n">
        <f aca="false">IFERROR(__xludf.dummyfunction("if($T149&lt;&gt;"""",VALUE(REGEXEXTRACT(SUBSTITUTE ($T149,N$1&amp;"" CE"",""""), N$1&amp;""[\w &amp;]*, (\d+\.\d+)"")),"""")
"),240)</f>
        <v>240</v>
      </c>
      <c r="O149" s="3" t="n">
        <f aca="false">IFERROR(__xludf.dummyfunction("if($T149&lt;&gt;"""",VALUE(REGEXEXTRACT($T149, O$1&amp;""[\w &amp;]*, (\d+\.\d+)"")),"""")
"),240)</f>
        <v>240</v>
      </c>
      <c r="P149" s="2" t="n">
        <f aca="false">IFERROR(__xludf.dummyfunction("if($T149&lt;&gt;"""",VALUE(REGEXEXTRACT($T149, P$1&amp;""[\w &amp;]*, (\d+\.\d+)"")),"""")
"),236.6)</f>
        <v>236.6</v>
      </c>
      <c r="Q149" s="2" t="n">
        <f aca="false">IFERROR(__xludf.dummyfunction("if($T149&lt;&gt;"""",VALUE(REGEXEXTRACT($T149, Q$1&amp;""[\w &amp;]*, (\d+\.\d+)"")),"""")
"),235.69)</f>
        <v>235.69</v>
      </c>
      <c r="R149" s="2" t="n">
        <f aca="false">IFERROR(__xludf.dummyfunction("if($T149&lt;&gt;"""",VALUE(REGEXEXTRACT($T149, SUBSTITUTE(R$1, ""+"", ""\+"")&amp;""[\w &amp;]*, (\d+\.\d+)"")),"""")"),240.94)</f>
        <v>240.94</v>
      </c>
      <c r="S149" s="2" t="n">
        <f aca="false">IFERROR(__xludf.dummyfunction("if($T149&lt;&gt;"""",VALUE(REGEXEXTRACT($T149, SUBSTITUTE(S$1, ""+"", ""\+"")&amp;""[\w &amp;]*, (\d+\.\d+)"")),"""")"),241.85)</f>
        <v>241.85</v>
      </c>
      <c r="T149" s="5" t="s">
        <v>771</v>
      </c>
    </row>
    <row r="150" customFormat="false" ht="15.75" hidden="false" customHeight="false" outlineLevel="0" collapsed="false">
      <c r="A150" s="4" t="n">
        <f aca="false">IFERROR(__xludf.dummyfunction("""COMPUTED_VALUE"""),45622.6666666667)</f>
        <v>45622.6666666667</v>
      </c>
      <c r="B150" s="2" t="n">
        <f aca="false">IFERROR(__xludf.dummyfunction("""COMPUTED_VALUE"""),241.18)</f>
        <v>241.18</v>
      </c>
      <c r="C150" s="2" t="n">
        <f aca="false">IFERROR(__xludf.dummyfunction("""COMPUTED_VALUE"""),241.61)</f>
        <v>241.61</v>
      </c>
      <c r="D150" s="2" t="n">
        <f aca="false">IFERROR(__xludf.dummyfunction("""COMPUTED_VALUE"""),239.43)</f>
        <v>239.43</v>
      </c>
      <c r="E150" s="2" t="n">
        <f aca="false">IFERROR(__xludf.dummyfunction("""COMPUTED_VALUE"""),240.62)</f>
        <v>240.62</v>
      </c>
      <c r="F150" s="3" t="n">
        <f aca="false">IFERROR(__xludf.dummyfunction("if($T150&lt;&gt;"""",VALUE(REGEXEXTRACT(SUBSTITUTE ($T150,F$1&amp;"" CE"",""""), F$1&amp;""[\w &amp;]*, (\d+\.\d+)"")),"""")
"),250)</f>
        <v>250</v>
      </c>
      <c r="G150" s="3" t="n">
        <f aca="false">IFERROR(__xludf.dummyfunction("if($T150&lt;&gt;"""",VALUE(REGEXEXTRACT($T150, G$1&amp;""[\w &amp;]*, (\d+\.\d+)"")),"""")
"),243)</f>
        <v>243</v>
      </c>
      <c r="H150" s="3" t="n">
        <f aca="false">IFERROR(__xludf.dummyfunction("if($T150&lt;&gt;"""",VALUE(REGEXEXTRACT($T150, H$1&amp;""[\w &amp;]*, (\d+\.\d+)"")),"""")
"),252)</f>
        <v>252</v>
      </c>
      <c r="I150" s="3" t="n">
        <f aca="false">IFERROR(__xludf.dummyfunction("if($T150&lt;&gt;"""",VALUE(REGEXEXTRACT(SUBSTITUTE ($T150,I$1&amp;"" CE"",""""), I$1&amp;""[\w &amp;]*, (\d+\.\d+)"")),"""")
"),230)</f>
        <v>230</v>
      </c>
      <c r="J150" s="3" t="n">
        <f aca="false">IFERROR(__xludf.dummyfunction("if($T150&lt;&gt;"""",VALUE(REGEXEXTRACT($T150, J$1&amp;""[\w &amp;]*, (\d+\.\d+)"")),"""")
"),242)</f>
        <v>242</v>
      </c>
      <c r="K150" s="3" t="n">
        <f aca="false">IFERROR(__xludf.dummyfunction("if($T150&lt;&gt;"""",VALUE(REGEXEXTRACT($T150, K$1&amp;""[\w &amp;]*, (\d+\.\d+)"")),"""")
"),223)</f>
        <v>223</v>
      </c>
      <c r="L150" s="3" t="n">
        <f aca="false">IFERROR(__xludf.dummyfunction("if($T150&lt;&gt;"""",VALUE(REGEXEXTRACT(SUBSTITUTE ($T150,L$1&amp;"" CE"",""""), L$1&amp;""[\w &amp;]*, (\d+\.\d+)"")),"""")
"),239)</f>
        <v>239</v>
      </c>
      <c r="M150" s="3" t="n">
        <f aca="false">IFERROR(__xludf.dummyfunction("if($T150&lt;&gt;"""",VALUE(REGEXEXTRACT($T150, M$1&amp;""[\w &amp;]*, (\d+\.\d+)"")),"""")
"),242)</f>
        <v>242</v>
      </c>
      <c r="N150" s="3" t="n">
        <f aca="false">IFERROR(__xludf.dummyfunction("if($T150&lt;&gt;"""",VALUE(REGEXEXTRACT(SUBSTITUTE ($T150,N$1&amp;"" CE"",""""), N$1&amp;""[\w &amp;]*, (\d+\.\d+)"")),"""")
"),240)</f>
        <v>240</v>
      </c>
      <c r="O150" s="3" t="n">
        <f aca="false">IFERROR(__xludf.dummyfunction("if($T150&lt;&gt;"""",VALUE(REGEXEXTRACT($T150, O$1&amp;""[\w &amp;]*, (\d+\.\d+)"")),"""")
"),243)</f>
        <v>243</v>
      </c>
      <c r="P150" s="2" t="n">
        <f aca="false">IFERROR(__xludf.dummyfunction("if($T150&lt;&gt;"""",VALUE(REGEXEXTRACT($T150, P$1&amp;""[\w &amp;]*, (\d+\.\d+)"")),"""")
"),240.04)</f>
        <v>240.04</v>
      </c>
      <c r="Q150" s="2" t="n">
        <f aca="false">IFERROR(__xludf.dummyfunction("if($T150&lt;&gt;"""",VALUE(REGEXEXTRACT($T150, Q$1&amp;""[\w &amp;]*, (\d+\.\d+)"")),"""")
"),239.07)</f>
        <v>239.07</v>
      </c>
      <c r="R150" s="2" t="n">
        <f aca="false">IFERROR(__xludf.dummyfunction("if($T150&lt;&gt;"""",VALUE(REGEXEXTRACT($T150, SUBSTITUTE(R$1, ""+"", ""\+"")&amp;""[\w &amp;]*, (\d+\.\d+)"")),"""")"),244.76)</f>
        <v>244.76</v>
      </c>
      <c r="S150" s="2" t="n">
        <f aca="false">IFERROR(__xludf.dummyfunction("if($T150&lt;&gt;"""",VALUE(REGEXEXTRACT($T150, SUBSTITUTE(S$1, ""+"", ""\+"")&amp;""[\w &amp;]*, (\d+\.\d+)"")),"""")"),245.73)</f>
        <v>245.73</v>
      </c>
      <c r="T150" s="5" t="s">
        <v>772</v>
      </c>
    </row>
    <row r="151" customFormat="false" ht="15.75" hidden="false" customHeight="false" outlineLevel="0" collapsed="false">
      <c r="A151" s="4" t="n">
        <f aca="false">IFERROR(__xludf.dummyfunction("""COMPUTED_VALUE"""),45623.6666666667)</f>
        <v>45623.6666666667</v>
      </c>
      <c r="B151" s="2" t="n">
        <f aca="false">IFERROR(__xludf.dummyfunction("""COMPUTED_VALUE"""),242.01)</f>
        <v>242.01</v>
      </c>
      <c r="C151" s="2" t="n">
        <f aca="false">IFERROR(__xludf.dummyfunction("""COMPUTED_VALUE"""),243.69)</f>
        <v>243.69</v>
      </c>
      <c r="D151" s="2" t="n">
        <f aca="false">IFERROR(__xludf.dummyfunction("""COMPUTED_VALUE"""),240.44)</f>
        <v>240.44</v>
      </c>
      <c r="E151" s="2" t="n">
        <f aca="false">IFERROR(__xludf.dummyfunction("""COMPUTED_VALUE"""),240.95)</f>
        <v>240.95</v>
      </c>
      <c r="F151" s="3" t="n">
        <f aca="false">IFERROR(__xludf.dummyfunction("if($T151&lt;&gt;"""",VALUE(REGEXEXTRACT(SUBSTITUTE ($T151,F$1&amp;"" CE"",""""), F$1&amp;""[\w &amp;]*, (\d+\.\d+)"")),"""")
"),240)</f>
        <v>240</v>
      </c>
      <c r="G151" s="3" t="n">
        <f aca="false">IFERROR(__xludf.dummyfunction("if($T151&lt;&gt;"""",VALUE(REGEXEXTRACT($T151, G$1&amp;""[\w &amp;]*, (\d+\.\d+)"")),"""")
"),242)</f>
        <v>242</v>
      </c>
      <c r="H151" s="3" t="n">
        <f aca="false">IFERROR(__xludf.dummyfunction("if($T151&lt;&gt;"""",VALUE(REGEXEXTRACT($T151, H$1&amp;""[\w &amp;]*, (\d+\.\d+)"")),"""")
"),252)</f>
        <v>252</v>
      </c>
      <c r="I151" s="3" t="n">
        <f aca="false">IFERROR(__xludf.dummyfunction("if($T151&lt;&gt;"""",VALUE(REGEXEXTRACT(SUBSTITUTE ($T151,I$1&amp;"" CE"",""""), I$1&amp;""[\w &amp;]*, (\d+\.\d+)"")),"""")
"),230)</f>
        <v>230</v>
      </c>
      <c r="J151" s="3" t="n">
        <f aca="false">IFERROR(__xludf.dummyfunction("if($T151&lt;&gt;"""",VALUE(REGEXEXTRACT($T151, J$1&amp;""[\w &amp;]*, (\d+\.\d+)"")),"""")
"),240)</f>
        <v>240</v>
      </c>
      <c r="K151" s="3" t="n">
        <f aca="false">IFERROR(__xludf.dummyfunction("if($T151&lt;&gt;"""",VALUE(REGEXEXTRACT($T151, K$1&amp;""[\w &amp;]*, (\d+\.\d+)"")),"""")
"),223)</f>
        <v>223</v>
      </c>
      <c r="L151" s="3" t="n">
        <f aca="false">IFERROR(__xludf.dummyfunction("if($T151&lt;&gt;"""",VALUE(REGEXEXTRACT(SUBSTITUTE ($T151,L$1&amp;"" CE"",""""), L$1&amp;""[\w &amp;]*, (\d+\.\d+)"")),"""")
"),239)</f>
        <v>239</v>
      </c>
      <c r="M151" s="3" t="n">
        <f aca="false">IFERROR(__xludf.dummyfunction("if($T151&lt;&gt;"""",VALUE(REGEXEXTRACT($T151, M$1&amp;""[\w &amp;]*, (\d+\.\d+)"")),"""")
"),240)</f>
        <v>240</v>
      </c>
      <c r="N151" s="3" t="n">
        <f aca="false">IFERROR(__xludf.dummyfunction("if($T151&lt;&gt;"""",VALUE(REGEXEXTRACT(SUBSTITUTE ($T151,N$1&amp;"" CE"",""""), N$1&amp;""[\w &amp;]*, (\d+\.\d+)"")),"""")
"),240)</f>
        <v>240</v>
      </c>
      <c r="O151" s="3" t="n">
        <f aca="false">IFERROR(__xludf.dummyfunction("if($T151&lt;&gt;"""",VALUE(REGEXEXTRACT($T151, O$1&amp;""[\w &amp;]*, (\d+\.\d+)"")),"""")
"),240)</f>
        <v>240</v>
      </c>
      <c r="P151" s="2" t="n">
        <f aca="false">IFERROR(__xludf.dummyfunction("if($T151&lt;&gt;"""",VALUE(REGEXEXTRACT($T151, P$1&amp;""[\w &amp;]*, (\d+\.\d+)"")),"""")
"),238.38)</f>
        <v>238.38</v>
      </c>
      <c r="Q151" s="2" t="n">
        <f aca="false">IFERROR(__xludf.dummyfunction("if($T151&lt;&gt;"""",VALUE(REGEXEXTRACT($T151, Q$1&amp;""[\w &amp;]*, (\d+\.\d+)"")),"""")
"),236.74)</f>
        <v>236.74</v>
      </c>
      <c r="R151" s="2" t="n">
        <f aca="false">IFERROR(__xludf.dummyfunction("if($T151&lt;&gt;"""",VALUE(REGEXEXTRACT($T151, SUBSTITUTE(R$1, ""+"", ""\+"")&amp;""[\w &amp;]*, (\d+\.\d+)"")),"""")"),242.86)</f>
        <v>242.86</v>
      </c>
      <c r="S151" s="2" t="n">
        <f aca="false">IFERROR(__xludf.dummyfunction("if($T151&lt;&gt;"""",VALUE(REGEXEXTRACT($T151, SUBSTITUTE(S$1, ""+"", ""\+"")&amp;""[\w &amp;]*, (\d+\.\d+)"")),"""")"),244.5)</f>
        <v>244.5</v>
      </c>
      <c r="T151" s="5" t="s">
        <v>773</v>
      </c>
    </row>
    <row r="152" customFormat="false" ht="15.75" hidden="false" customHeight="false" outlineLevel="0" collapsed="false">
      <c r="A152" s="4" t="n">
        <f aca="false">IFERROR(__xludf.dummyfunction("""COMPUTED_VALUE"""),45625.5520833333)</f>
        <v>45625.5520833333</v>
      </c>
      <c r="B152" s="2" t="n">
        <f aca="false">IFERROR(__xludf.dummyfunction("""COMPUTED_VALUE"""),242.37)</f>
        <v>242.37</v>
      </c>
      <c r="C152" s="2" t="n">
        <f aca="false">IFERROR(__xludf.dummyfunction("""COMPUTED_VALUE"""),243.48)</f>
        <v>243.48</v>
      </c>
      <c r="D152" s="2" t="n">
        <f aca="false">IFERROR(__xludf.dummyfunction("""COMPUTED_VALUE"""),241.54)</f>
        <v>241.54</v>
      </c>
      <c r="E152" s="2" t="n">
        <f aca="false">IFERROR(__xludf.dummyfunction("""COMPUTED_VALUE"""),241.87)</f>
        <v>241.87</v>
      </c>
      <c r="F152" s="3" t="n">
        <f aca="false">IFERROR(__xludf.dummyfunction("if($T152&lt;&gt;"""",VALUE(REGEXEXTRACT(SUBSTITUTE ($T152,F$1&amp;"" CE"",""""), F$1&amp;""[\w &amp;]*, (\d+\.\d+)"")),"""")
"),240)</f>
        <v>240</v>
      </c>
      <c r="G152" s="3" t="n">
        <f aca="false">IFERROR(__xludf.dummyfunction("if($T152&lt;&gt;"""",VALUE(REGEXEXTRACT($T152, G$1&amp;""[\w &amp;]*, (\d+\.\d+)"")),"""")
"),245)</f>
        <v>245</v>
      </c>
      <c r="H152" s="3" t="n">
        <f aca="false">IFERROR(__xludf.dummyfunction("if($T152&lt;&gt;"""",VALUE(REGEXEXTRACT($T152, H$1&amp;""[\w &amp;]*, (\d+\.\d+)"")),"""")
"),252)</f>
        <v>252</v>
      </c>
      <c r="I152" s="3" t="n">
        <f aca="false">IFERROR(__xludf.dummyfunction("if($T152&lt;&gt;"""",VALUE(REGEXEXTRACT(SUBSTITUTE ($T152,I$1&amp;"" CE"",""""), I$1&amp;""[\w &amp;]*, (\d+\.\d+)"")),"""")
"),230)</f>
        <v>230</v>
      </c>
      <c r="J152" s="3" t="n">
        <f aca="false">IFERROR(__xludf.dummyfunction("if($T152&lt;&gt;"""",VALUE(REGEXEXTRACT($T152, J$1&amp;""[\w &amp;]*, (\d+\.\d+)"")),"""")
"),238)</f>
        <v>238</v>
      </c>
      <c r="K152" s="3" t="n">
        <f aca="false">IFERROR(__xludf.dummyfunction("if($T152&lt;&gt;"""",VALUE(REGEXEXTRACT($T152, K$1&amp;""[\w &amp;]*, (\d+\.\d+)"")),"""")
"),223)</f>
        <v>223</v>
      </c>
      <c r="L152" s="3" t="n">
        <f aca="false">IFERROR(__xludf.dummyfunction("if($T152&lt;&gt;"""",VALUE(REGEXEXTRACT(SUBSTITUTE ($T152,L$1&amp;"" CE"",""""), L$1&amp;""[\w &amp;]*, (\d+\.\d+)"")),"""")
"),239)</f>
        <v>239</v>
      </c>
      <c r="M152" s="3" t="n">
        <f aca="false">IFERROR(__xludf.dummyfunction("if($T152&lt;&gt;"""",VALUE(REGEXEXTRACT($T152, M$1&amp;""[\w &amp;]*, (\d+\.\d+)"")),"""")
"),241)</f>
        <v>241</v>
      </c>
      <c r="N152" s="3" t="n">
        <f aca="false">IFERROR(__xludf.dummyfunction("if($T152&lt;&gt;"""",VALUE(REGEXEXTRACT(SUBSTITUTE ($T152,N$1&amp;"" CE"",""""), N$1&amp;""[\w &amp;]*, (\d+\.\d+)"")),"""")
"),240)</f>
        <v>240</v>
      </c>
      <c r="O152" s="3" t="n">
        <f aca="false">IFERROR(__xludf.dummyfunction("if($T152&lt;&gt;"""",VALUE(REGEXEXTRACT($T152, O$1&amp;""[\w &amp;]*, (\d+\.\d+)"")),"""")
"),240)</f>
        <v>240</v>
      </c>
      <c r="P152" s="2" t="n">
        <f aca="false">IFERROR(__xludf.dummyfunction("if($T152&lt;&gt;"""",VALUE(REGEXEXTRACT($T152, P$1&amp;""[\w &amp;]*, (\d+\.\d+)"")),"""")
"),238.6)</f>
        <v>238.6</v>
      </c>
      <c r="Q152" s="2" t="n">
        <f aca="false">IFERROR(__xludf.dummyfunction("if($T152&lt;&gt;"""",VALUE(REGEXEXTRACT($T152, Q$1&amp;""[\w &amp;]*, (\d+\.\d+)"")),"""")
"),236.26)</f>
        <v>236.26</v>
      </c>
      <c r="R152" s="2" t="n">
        <f aca="false">IFERROR(__xludf.dummyfunction("if($T152&lt;&gt;"""",VALUE(REGEXEXTRACT($T152, SUBSTITUTE(R$1, ""+"", ""\+"")&amp;""[\w &amp;]*, (\d+\.\d+)"")),"""")"),243.3)</f>
        <v>243.3</v>
      </c>
      <c r="S152" s="2" t="n">
        <f aca="false">IFERROR(__xludf.dummyfunction("if($T152&lt;&gt;"""",VALUE(REGEXEXTRACT($T152, SUBSTITUTE(S$1, ""+"", ""\+"")&amp;""[\w &amp;]*, (\d+\.\d+)"")),"""")"),245.64)</f>
        <v>245.64</v>
      </c>
      <c r="T152" s="5" t="s">
        <v>774</v>
      </c>
    </row>
    <row r="153" customFormat="false" ht="15.75" hidden="false" customHeight="false" outlineLevel="0" collapsed="false">
      <c r="A153" s="4" t="n">
        <f aca="false">IFERROR(__xludf.dummyfunction("""COMPUTED_VALUE"""),45628.6666666667)</f>
        <v>45628.6666666667</v>
      </c>
      <c r="B153" s="2" t="n">
        <f aca="false">IFERROR(__xludf.dummyfunction("""COMPUTED_VALUE"""),242.24)</f>
        <v>242.24</v>
      </c>
      <c r="C153" s="2" t="n">
        <f aca="false">IFERROR(__xludf.dummyfunction("""COMPUTED_VALUE"""),242.66)</f>
        <v>242.66</v>
      </c>
      <c r="D153" s="2" t="n">
        <f aca="false">IFERROR(__xludf.dummyfunction("""COMPUTED_VALUE"""),240.01)</f>
        <v>240.01</v>
      </c>
      <c r="E153" s="2" t="n">
        <f aca="false">IFERROR(__xludf.dummyfunction("""COMPUTED_VALUE"""),241.75)</f>
        <v>241.75</v>
      </c>
      <c r="F153" s="3" t="n">
        <f aca="false">IFERROR(__xludf.dummyfunction("if($T153&lt;&gt;"""",VALUE(REGEXEXTRACT(SUBSTITUTE ($T153,F$1&amp;"" CE"",""""), F$1&amp;""[\w &amp;]*, (\d+\.\d+)"")),"""")
"),250)</f>
        <v>250</v>
      </c>
      <c r="G153" s="3" t="n">
        <f aca="false">IFERROR(__xludf.dummyfunction("if($T153&lt;&gt;"""",VALUE(REGEXEXTRACT($T153, G$1&amp;""[\w &amp;]*, (\d+\.\d+)"")),"""")
"),244)</f>
        <v>244</v>
      </c>
      <c r="H153" s="3" t="n">
        <f aca="false">IFERROR(__xludf.dummyfunction("if($T153&lt;&gt;"""",VALUE(REGEXEXTRACT($T153, H$1&amp;""[\w &amp;]*, (\d+\.\d+)"")),"""")
"),252)</f>
        <v>252</v>
      </c>
      <c r="I153" s="3" t="n">
        <f aca="false">IFERROR(__xludf.dummyfunction("if($T153&lt;&gt;"""",VALUE(REGEXEXTRACT(SUBSTITUTE ($T153,I$1&amp;"" CE"",""""), I$1&amp;""[\w &amp;]*, (\d+\.\d+)"")),"""")
"),230)</f>
        <v>230</v>
      </c>
      <c r="J153" s="3" t="n">
        <f aca="false">IFERROR(__xludf.dummyfunction("if($T153&lt;&gt;"""",VALUE(REGEXEXTRACT($T153, J$1&amp;""[\w &amp;]*, (\d+\.\d+)"")),"""")
"),240)</f>
        <v>240</v>
      </c>
      <c r="K153" s="3" t="n">
        <f aca="false">IFERROR(__xludf.dummyfunction("if($T153&lt;&gt;"""",VALUE(REGEXEXTRACT($T153, K$1&amp;""[\w &amp;]*, (\d+\.\d+)"")),"""")
"),223)</f>
        <v>223</v>
      </c>
      <c r="L153" s="3" t="n">
        <f aca="false">IFERROR(__xludf.dummyfunction("if($T153&lt;&gt;"""",VALUE(REGEXEXTRACT(SUBSTITUTE ($T153,L$1&amp;"" CE"",""""), L$1&amp;""[\w &amp;]*, (\d+\.\d+)"")),"""")
"),239)</f>
        <v>239</v>
      </c>
      <c r="M153" s="3" t="n">
        <f aca="false">IFERROR(__xludf.dummyfunction("if($T153&lt;&gt;"""",VALUE(REGEXEXTRACT($T153, M$1&amp;""[\w &amp;]*, (\d+\.\d+)"")),"""")
"),241)</f>
        <v>241</v>
      </c>
      <c r="N153" s="3" t="n">
        <f aca="false">IFERROR(__xludf.dummyfunction("if($T153&lt;&gt;"""",VALUE(REGEXEXTRACT(SUBSTITUTE ($T153,N$1&amp;"" CE"",""""), N$1&amp;""[\w &amp;]*, (\d+\.\d+)"")),"""")
"),240)</f>
        <v>240</v>
      </c>
      <c r="O153" s="3" t="n">
        <f aca="false">IFERROR(__xludf.dummyfunction("if($T153&lt;&gt;"""",VALUE(REGEXEXTRACT($T153, O$1&amp;""[\w &amp;]*, (\d+\.\d+)"")),"""")
"),242)</f>
        <v>242</v>
      </c>
      <c r="P153" s="2" t="n">
        <f aca="false">IFERROR(__xludf.dummyfunction("if($T153&lt;&gt;"""",VALUE(REGEXEXTRACT($T153, P$1&amp;""[\w &amp;]*, (\d+\.\d+)"")),"""")
"),239.51)</f>
        <v>239.51</v>
      </c>
      <c r="Q153" s="2" t="n">
        <f aca="false">IFERROR(__xludf.dummyfunction("if($T153&lt;&gt;"""",VALUE(REGEXEXTRACT($T153, Q$1&amp;""[\w &amp;]*, (\d+\.\d+)"")),"""")
"),238.53)</f>
        <v>238.53</v>
      </c>
      <c r="R153" s="2" t="n">
        <f aca="false">IFERROR(__xludf.dummyfunction("if($T153&lt;&gt;"""",VALUE(REGEXEXTRACT($T153, SUBSTITUTE(R$1, ""+"", ""\+"")&amp;""[\w &amp;]*, (\d+\.\d+)"")),"""")"),244.23)</f>
        <v>244.23</v>
      </c>
      <c r="S153" s="2" t="n">
        <f aca="false">IFERROR(__xludf.dummyfunction("if($T153&lt;&gt;"""",VALUE(REGEXEXTRACT($T153, SUBSTITUTE(S$1, ""+"", ""\+"")&amp;""[\w &amp;]*, (\d+\.\d+)"")),"""")"),245.21)</f>
        <v>245.21</v>
      </c>
      <c r="T153" s="5" t="s">
        <v>775</v>
      </c>
    </row>
    <row r="154" customFormat="false" ht="15.75" hidden="false" customHeight="false" outlineLevel="0" collapsed="false">
      <c r="A154" s="4" t="n">
        <f aca="false">IFERROR(__xludf.dummyfunction("""COMPUTED_VALUE"""),45629.6666666667)</f>
        <v>45629.6666666667</v>
      </c>
      <c r="B154" s="2" t="n">
        <f aca="false">IFERROR(__xludf.dummyfunction("""COMPUTED_VALUE"""),241.54)</f>
        <v>241.54</v>
      </c>
      <c r="C154" s="2" t="n">
        <f aca="false">IFERROR(__xludf.dummyfunction("""COMPUTED_VALUE"""),242.14)</f>
        <v>242.14</v>
      </c>
      <c r="D154" s="2" t="n">
        <f aca="false">IFERROR(__xludf.dummyfunction("""COMPUTED_VALUE"""),239.37)</f>
        <v>239.37</v>
      </c>
      <c r="E154" s="2" t="n">
        <f aca="false">IFERROR(__xludf.dummyfunction("""COMPUTED_VALUE"""),240.03)</f>
        <v>240.03</v>
      </c>
      <c r="F154" s="3" t="n">
        <f aca="false">IFERROR(__xludf.dummyfunction("if($T154&lt;&gt;"""",VALUE(REGEXEXTRACT(SUBSTITUTE ($T154,F$1&amp;"" CE"",""""), F$1&amp;""[\w &amp;]*, (\d+\.\d+)"")),"""")
"),250)</f>
        <v>250</v>
      </c>
      <c r="G154" s="3" t="n">
        <f aca="false">IFERROR(__xludf.dummyfunction("if($T154&lt;&gt;"""",VALUE(REGEXEXTRACT($T154, G$1&amp;""[\w &amp;]*, (\d+\.\d+)"")),"""")
"),242)</f>
        <v>242</v>
      </c>
      <c r="H154" s="3" t="n">
        <f aca="false">IFERROR(__xludf.dummyfunction("if($T154&lt;&gt;"""",VALUE(REGEXEXTRACT($T154, H$1&amp;""[\w &amp;]*, (\d+\.\d+)"")),"""")
"),252)</f>
        <v>252</v>
      </c>
      <c r="I154" s="3" t="n">
        <f aca="false">IFERROR(__xludf.dummyfunction("if($T154&lt;&gt;"""",VALUE(REGEXEXTRACT(SUBSTITUTE ($T154,I$1&amp;"" CE"",""""), I$1&amp;""[\w &amp;]*, (\d+\.\d+)"")),"""")
"),230)</f>
        <v>230</v>
      </c>
      <c r="J154" s="3" t="n">
        <f aca="false">IFERROR(__xludf.dummyfunction("if($T154&lt;&gt;"""",VALUE(REGEXEXTRACT($T154, J$1&amp;""[\w &amp;]*, (\d+\.\d+)"")),"""")
"),240)</f>
        <v>240</v>
      </c>
      <c r="K154" s="3" t="n">
        <f aca="false">IFERROR(__xludf.dummyfunction("if($T154&lt;&gt;"""",VALUE(REGEXEXTRACT($T154, K$1&amp;""[\w &amp;]*, (\d+\.\d+)"")),"""")
"),225)</f>
        <v>225</v>
      </c>
      <c r="L154" s="3" t="n">
        <f aca="false">IFERROR(__xludf.dummyfunction("if($T154&lt;&gt;"""",VALUE(REGEXEXTRACT(SUBSTITUTE ($T154,L$1&amp;"" CE"",""""), L$1&amp;""[\w &amp;]*, (\d+\.\d+)"")),"""")
"),239)</f>
        <v>239</v>
      </c>
      <c r="M154" s="3" t="n">
        <f aca="false">IFERROR(__xludf.dummyfunction("if($T154&lt;&gt;"""",VALUE(REGEXEXTRACT($T154, M$1&amp;""[\w &amp;]*, (\d+\.\d+)"")),"""")
"),240)</f>
        <v>240</v>
      </c>
      <c r="N154" s="3" t="n">
        <f aca="false">IFERROR(__xludf.dummyfunction("if($T154&lt;&gt;"""",VALUE(REGEXEXTRACT(SUBSTITUTE ($T154,N$1&amp;"" CE"",""""), N$1&amp;""[\w &amp;]*, (\d+\.\d+)"")),"""")
"),240)</f>
        <v>240</v>
      </c>
      <c r="O154" s="3" t="n">
        <f aca="false">IFERROR(__xludf.dummyfunction("if($T154&lt;&gt;"""",VALUE(REGEXEXTRACT($T154, O$1&amp;""[\w &amp;]*, (\d+\.\d+)"")),"""")
"),242)</f>
        <v>242</v>
      </c>
      <c r="P154" s="2" t="n">
        <f aca="false">IFERROR(__xludf.dummyfunction("if($T154&lt;&gt;"""",VALUE(REGEXEXTRACT($T154, P$1&amp;""[\w &amp;]*, (\d+\.\d+)"")),"""")
"),239.19)</f>
        <v>239.19</v>
      </c>
      <c r="Q154" s="2" t="n">
        <f aca="false">IFERROR(__xludf.dummyfunction("if($T154&lt;&gt;"""",VALUE(REGEXEXTRACT($T154, Q$1&amp;""[\w &amp;]*, (\d+\.\d+)"")),"""")
"),238.13)</f>
        <v>238.13</v>
      </c>
      <c r="R154" s="2" t="n">
        <f aca="false">IFERROR(__xludf.dummyfunction("if($T154&lt;&gt;"""",VALUE(REGEXEXTRACT($T154, SUBSTITUTE(R$1, ""+"", ""\+"")&amp;""[\w &amp;]*, (\d+\.\d+)"")),"""")"),244.31)</f>
        <v>244.31</v>
      </c>
      <c r="S154" s="2" t="n">
        <f aca="false">IFERROR(__xludf.dummyfunction("if($T154&lt;&gt;"""",VALUE(REGEXEXTRACT($T154, SUBSTITUTE(S$1, ""+"", ""\+"")&amp;""[\w &amp;]*, (\d+\.\d+)"")),"""")"),245.37)</f>
        <v>245.37</v>
      </c>
      <c r="T154" s="5" t="s">
        <v>776</v>
      </c>
    </row>
    <row r="155" customFormat="false" ht="15.75" hidden="false" customHeight="false" outlineLevel="0" collapsed="false">
      <c r="A155" s="4" t="n">
        <f aca="false">IFERROR(__xludf.dummyfunction("""COMPUTED_VALUE"""),45630.6666666667)</f>
        <v>45630.6666666667</v>
      </c>
      <c r="B155" s="2" t="n">
        <f aca="false">IFERROR(__xludf.dummyfunction("""COMPUTED_VALUE"""),240.28)</f>
        <v>240.28</v>
      </c>
      <c r="C155" s="2" t="n">
        <f aca="false">IFERROR(__xludf.dummyfunction("""COMPUTED_VALUE"""),241.67)</f>
        <v>241.67</v>
      </c>
      <c r="D155" s="2" t="n">
        <f aca="false">IFERROR(__xludf.dummyfunction("""COMPUTED_VALUE"""),239.21)</f>
        <v>239.21</v>
      </c>
      <c r="E155" s="2" t="n">
        <f aca="false">IFERROR(__xludf.dummyfunction("""COMPUTED_VALUE"""),240.89)</f>
        <v>240.89</v>
      </c>
      <c r="F155" s="3" t="n">
        <f aca="false">IFERROR(__xludf.dummyfunction("if($T155&lt;&gt;"""",VALUE(REGEXEXTRACT(SUBSTITUTE ($T155,F$1&amp;"" CE"",""""), F$1&amp;""[\w &amp;]*, (\d+\.\d+)"")),"""")
"),240)</f>
        <v>240</v>
      </c>
      <c r="G155" s="3" t="n">
        <f aca="false">IFERROR(__xludf.dummyfunction("if($T155&lt;&gt;"""",VALUE(REGEXEXTRACT($T155, G$1&amp;""[\w &amp;]*, (\d+\.\d+)"")),"""")
"),242)</f>
        <v>242</v>
      </c>
      <c r="H155" s="3" t="n">
        <f aca="false">IFERROR(__xludf.dummyfunction("if($T155&lt;&gt;"""",VALUE(REGEXEXTRACT($T155, H$1&amp;""[\w &amp;]*, (\d+\.\d+)"")),"""")
"),252)</f>
        <v>252</v>
      </c>
      <c r="I155" s="3" t="n">
        <f aca="false">IFERROR(__xludf.dummyfunction("if($T155&lt;&gt;"""",VALUE(REGEXEXTRACT(SUBSTITUTE ($T155,I$1&amp;"" CE"",""""), I$1&amp;""[\w &amp;]*, (\d+\.\d+)"")),"""")
"),230)</f>
        <v>230</v>
      </c>
      <c r="J155" s="3" t="n">
        <f aca="false">IFERROR(__xludf.dummyfunction("if($T155&lt;&gt;"""",VALUE(REGEXEXTRACT($T155, J$1&amp;""[\w &amp;]*, (\d+\.\d+)"")),"""")
"),238)</f>
        <v>238</v>
      </c>
      <c r="K155" s="3" t="n">
        <f aca="false">IFERROR(__xludf.dummyfunction("if($T155&lt;&gt;"""",VALUE(REGEXEXTRACT($T155, K$1&amp;""[\w &amp;]*, (\d+\.\d+)"")),"""")
"),223)</f>
        <v>223</v>
      </c>
      <c r="L155" s="3" t="n">
        <f aca="false">IFERROR(__xludf.dummyfunction("if($T155&lt;&gt;"""",VALUE(REGEXEXTRACT(SUBSTITUTE ($T155,L$1&amp;"" CE"",""""), L$1&amp;""[\w &amp;]*, (\d+\.\d+)"")),"""")
"),239)</f>
        <v>239</v>
      </c>
      <c r="M155" s="3" t="n">
        <f aca="false">IFERROR(__xludf.dummyfunction("if($T155&lt;&gt;"""",VALUE(REGEXEXTRACT($T155, M$1&amp;""[\w &amp;]*, (\d+\.\d+)"")),"""")
"),239)</f>
        <v>239</v>
      </c>
      <c r="N155" s="3" t="n">
        <f aca="false">IFERROR(__xludf.dummyfunction("if($T155&lt;&gt;"""",VALUE(REGEXEXTRACT(SUBSTITUTE ($T155,N$1&amp;"" CE"",""""), N$1&amp;""[\w &amp;]*, (\d+\.\d+)"")),"""")
"),240)</f>
        <v>240</v>
      </c>
      <c r="O155" s="3" t="n">
        <f aca="false">IFERROR(__xludf.dummyfunction("if($T155&lt;&gt;"""",VALUE(REGEXEXTRACT($T155, O$1&amp;""[\w &amp;]*, (\d+\.\d+)"")),"""")
"),240)</f>
        <v>240</v>
      </c>
      <c r="P155" s="2" t="n">
        <f aca="false">IFERROR(__xludf.dummyfunction("if($T155&lt;&gt;"""",VALUE(REGEXEXTRACT($T155, P$1&amp;""[\w &amp;]*, (\d+\.\d+)"")),"""")
"),237.59)</f>
        <v>237.59</v>
      </c>
      <c r="Q155" s="2" t="n">
        <f aca="false">IFERROR(__xludf.dummyfunction("if($T155&lt;&gt;"""",VALUE(REGEXEXTRACT($T155, Q$1&amp;""[\w &amp;]*, (\d+\.\d+)"")),"""")
"),236.58)</f>
        <v>236.58</v>
      </c>
      <c r="R155" s="2" t="n">
        <f aca="false">IFERROR(__xludf.dummyfunction("if($T155&lt;&gt;"""",VALUE(REGEXEXTRACT($T155, SUBSTITUTE(R$1, ""+"", ""\+"")&amp;""[\w &amp;]*, (\d+\.\d+)"")),"""")"),242.47)</f>
        <v>242.47</v>
      </c>
      <c r="S155" s="2" t="n">
        <f aca="false">IFERROR(__xludf.dummyfunction("if($T155&lt;&gt;"""",VALUE(REGEXEXTRACT($T155, SUBSTITUTE(S$1, ""+"", ""\+"")&amp;""[\w &amp;]*, (\d+\.\d+)"")),"""")"),243.48)</f>
        <v>243.48</v>
      </c>
      <c r="T155" s="5" t="s">
        <v>777</v>
      </c>
    </row>
    <row r="156" customFormat="false" ht="15.75" hidden="false" customHeight="false" outlineLevel="0" collapsed="false">
      <c r="A156" s="4" t="n">
        <f aca="false">IFERROR(__xludf.dummyfunction("""COMPUTED_VALUE"""),45631.6666666667)</f>
        <v>45631.6666666667</v>
      </c>
      <c r="B156" s="2" t="n">
        <f aca="false">IFERROR(__xludf.dummyfunction("""COMPUTED_VALUE"""),240.52)</f>
        <v>240.52</v>
      </c>
      <c r="C156" s="2" t="n">
        <f aca="false">IFERROR(__xludf.dummyfunction("""COMPUTED_VALUE"""),240.86)</f>
        <v>240.86</v>
      </c>
      <c r="D156" s="2" t="n">
        <f aca="false">IFERROR(__xludf.dummyfunction("""COMPUTED_VALUE"""),237.74)</f>
        <v>237.74</v>
      </c>
      <c r="E156" s="2" t="n">
        <f aca="false">IFERROR(__xludf.dummyfunction("""COMPUTED_VALUE"""),238.08)</f>
        <v>238.08</v>
      </c>
      <c r="F156" s="3" t="n">
        <f aca="false">IFERROR(__xludf.dummyfunction("if($T156&lt;&gt;"""",VALUE(REGEXEXTRACT(SUBSTITUTE ($T156,F$1&amp;"" CE"",""""), F$1&amp;""[\w &amp;]*, (\d+\.\d+)"")),"""")
"),240)</f>
        <v>240</v>
      </c>
      <c r="G156" s="3" t="n">
        <f aca="false">IFERROR(__xludf.dummyfunction("if($T156&lt;&gt;"""",VALUE(REGEXEXTRACT($T156, G$1&amp;""[\w &amp;]*, (\d+\.\d+)"")),"""")
"),243)</f>
        <v>243</v>
      </c>
      <c r="H156" s="3" t="n">
        <f aca="false">IFERROR(__xludf.dummyfunction("if($T156&lt;&gt;"""",VALUE(REGEXEXTRACT($T156, H$1&amp;""[\w &amp;]*, (\d+\.\d+)"")),"""")
"),252)</f>
        <v>252</v>
      </c>
      <c r="I156" s="3" t="n">
        <f aca="false">IFERROR(__xludf.dummyfunction("if($T156&lt;&gt;"""",VALUE(REGEXEXTRACT(SUBSTITUTE ($T156,I$1&amp;"" CE"",""""), I$1&amp;""[\w &amp;]*, (\d+\.\d+)"")),"""")
"),230)</f>
        <v>230</v>
      </c>
      <c r="J156" s="3" t="n">
        <f aca="false">IFERROR(__xludf.dummyfunction("if($T156&lt;&gt;"""",VALUE(REGEXEXTRACT($T156, J$1&amp;""[\w &amp;]*, (\d+\.\d+)"")),"""")
"),238)</f>
        <v>238</v>
      </c>
      <c r="K156" s="3" t="n">
        <f aca="false">IFERROR(__xludf.dummyfunction("if($T156&lt;&gt;"""",VALUE(REGEXEXTRACT($T156, K$1&amp;""[\w &amp;]*, (\d+\.\d+)"")),"""")
"),225)</f>
        <v>225</v>
      </c>
      <c r="L156" s="3" t="n">
        <f aca="false">IFERROR(__xludf.dummyfunction("if($T156&lt;&gt;"""",VALUE(REGEXEXTRACT(SUBSTITUTE ($T156,L$1&amp;"" CE"",""""), L$1&amp;""[\w &amp;]*, (\d+\.\d+)"")),"""")
"),239)</f>
        <v>239</v>
      </c>
      <c r="M156" s="3" t="n">
        <f aca="false">IFERROR(__xludf.dummyfunction("if($T156&lt;&gt;"""",VALUE(REGEXEXTRACT($T156, M$1&amp;""[\w &amp;]*, (\d+\.\d+)"")),"""")
"),239)</f>
        <v>239</v>
      </c>
      <c r="N156" s="3" t="n">
        <f aca="false">IFERROR(__xludf.dummyfunction("if($T156&lt;&gt;"""",VALUE(REGEXEXTRACT(SUBSTITUTE ($T156,N$1&amp;"" CE"",""""), N$1&amp;""[\w &amp;]*, (\d+\.\d+)"")),"""")
"),240)</f>
        <v>240</v>
      </c>
      <c r="O156" s="3" t="n">
        <f aca="false">IFERROR(__xludf.dummyfunction("if($T156&lt;&gt;"""",VALUE(REGEXEXTRACT($T156, O$1&amp;""[\w &amp;]*, (\d+\.\d+)"")),"""")
"),241)</f>
        <v>241</v>
      </c>
      <c r="P156" s="2" t="n">
        <f aca="false">IFERROR(__xludf.dummyfunction("if($T156&lt;&gt;"""",VALUE(REGEXEXTRACT($T156, P$1&amp;""[\w &amp;]*, (\d+\.\d+)"")),"""")
"),238.59)</f>
        <v>238.59</v>
      </c>
      <c r="Q156" s="2" t="n">
        <f aca="false">IFERROR(__xludf.dummyfunction("if($T156&lt;&gt;"""",VALUE(REGEXEXTRACT($T156, Q$1&amp;""[\w &amp;]*, (\d+\.\d+)"")),"""")
"),237.64)</f>
        <v>237.64</v>
      </c>
      <c r="R156" s="2" t="n">
        <f aca="false">IFERROR(__xludf.dummyfunction("if($T156&lt;&gt;"""",VALUE(REGEXEXTRACT($T156, SUBSTITUTE(R$1, ""+"", ""\+"")&amp;""[\w &amp;]*, (\d+\.\d+)"")),"""")"),243.19)</f>
        <v>243.19</v>
      </c>
      <c r="S156" s="2" t="n">
        <f aca="false">IFERROR(__xludf.dummyfunction("if($T156&lt;&gt;"""",VALUE(REGEXEXTRACT($T156, SUBSTITUTE(S$1, ""+"", ""\+"")&amp;""[\w &amp;]*, (\d+\.\d+)"")),"""")"),244.14)</f>
        <v>244.14</v>
      </c>
      <c r="T156" s="5" t="s">
        <v>778</v>
      </c>
    </row>
    <row r="157" customFormat="false" ht="15.75" hidden="false" customHeight="false" outlineLevel="0" collapsed="false">
      <c r="A157" s="4" t="n">
        <f aca="false">IFERROR(__xludf.dummyfunction("""COMPUTED_VALUE"""),45632.6666666667)</f>
        <v>45632.6666666667</v>
      </c>
      <c r="B157" s="2" t="n">
        <f aca="false">IFERROR(__xludf.dummyfunction("""COMPUTED_VALUE"""),239.79)</f>
        <v>239.79</v>
      </c>
      <c r="C157" s="2" t="n">
        <f aca="false">IFERROR(__xludf.dummyfunction("""COMPUTED_VALUE"""),239.89)</f>
        <v>239.89</v>
      </c>
      <c r="D157" s="2" t="n">
        <f aca="false">IFERROR(__xludf.dummyfunction("""COMPUTED_VALUE"""),238.38)</f>
        <v>238.38</v>
      </c>
      <c r="E157" s="2" t="n">
        <f aca="false">IFERROR(__xludf.dummyfunction("""COMPUTED_VALUE"""),238.93)</f>
        <v>238.93</v>
      </c>
      <c r="F157" s="3" t="n">
        <f aca="false">IFERROR(__xludf.dummyfunction("if($T157&lt;&gt;"""",VALUE(REGEXEXTRACT(SUBSTITUTE ($T157,F$1&amp;"" CE"",""""), F$1&amp;""[\w &amp;]*, (\d+\.\d+)"")),"""")
"),240)</f>
        <v>240</v>
      </c>
      <c r="G157" s="3" t="n">
        <f aca="false">IFERROR(__xludf.dummyfunction("if($T157&lt;&gt;"""",VALUE(REGEXEXTRACT($T157, G$1&amp;""[\w &amp;]*, (\d+\.\d+)"")),"""")
"),240)</f>
        <v>240</v>
      </c>
      <c r="H157" s="3" t="n">
        <f aca="false">IFERROR(__xludf.dummyfunction("if($T157&lt;&gt;"""",VALUE(REGEXEXTRACT($T157, H$1&amp;""[\w &amp;]*, (\d+\.\d+)"")),"""")
"),252)</f>
        <v>252</v>
      </c>
      <c r="I157" s="3" t="n">
        <f aca="false">IFERROR(__xludf.dummyfunction("if($T157&lt;&gt;"""",VALUE(REGEXEXTRACT(SUBSTITUTE ($T157,I$1&amp;"" CE"",""""), I$1&amp;""[\w &amp;]*, (\d+\.\d+)"")),"""")
"),230)</f>
        <v>230</v>
      </c>
      <c r="J157" s="3" t="n">
        <f aca="false">IFERROR(__xludf.dummyfunction("if($T157&lt;&gt;"""",VALUE(REGEXEXTRACT($T157, J$1&amp;""[\w &amp;]*, (\d+\.\d+)"")),"""")
"),235)</f>
        <v>235</v>
      </c>
      <c r="K157" s="3" t="n">
        <f aca="false">IFERROR(__xludf.dummyfunction("if($T157&lt;&gt;"""",VALUE(REGEXEXTRACT($T157, K$1&amp;""[\w &amp;]*, (\d+\.\d+)"")),"""")
"),223)</f>
        <v>223</v>
      </c>
      <c r="L157" s="3" t="n">
        <f aca="false">IFERROR(__xludf.dummyfunction("if($T157&lt;&gt;"""",VALUE(REGEXEXTRACT(SUBSTITUTE ($T157,L$1&amp;"" CE"",""""), L$1&amp;""[\w &amp;]*, (\d+\.\d+)"")),"""")
"),239)</f>
        <v>239</v>
      </c>
      <c r="M157" s="3" t="n">
        <f aca="false">IFERROR(__xludf.dummyfunction("if($T157&lt;&gt;"""",VALUE(REGEXEXTRACT($T157, M$1&amp;""[\w &amp;]*, (\d+\.\d+)"")),"""")
"),238)</f>
        <v>238</v>
      </c>
      <c r="N157" s="3" t="n">
        <f aca="false">IFERROR(__xludf.dummyfunction("if($T157&lt;&gt;"""",VALUE(REGEXEXTRACT(SUBSTITUTE ($T157,N$1&amp;"" CE"",""""), N$1&amp;""[\w &amp;]*, (\d+\.\d+)"")),"""")
"),240)</f>
        <v>240</v>
      </c>
      <c r="O157" s="3" t="n">
        <f aca="false">IFERROR(__xludf.dummyfunction("if($T157&lt;&gt;"""",VALUE(REGEXEXTRACT($T157, O$1&amp;""[\w &amp;]*, (\d+\.\d+)"")),"""")
"),240)</f>
        <v>240</v>
      </c>
      <c r="P157" s="2" t="n">
        <f aca="false">IFERROR(__xludf.dummyfunction("if($T157&lt;&gt;"""",VALUE(REGEXEXTRACT($T157, P$1&amp;""[\w &amp;]*, (\d+\.\d+)"")),"""")
"),235.44)</f>
        <v>235.44</v>
      </c>
      <c r="Q157" s="2" t="n">
        <f aca="false">IFERROR(__xludf.dummyfunction("if($T157&lt;&gt;"""",VALUE(REGEXEXTRACT($T157, Q$1&amp;""[\w &amp;]*, (\d+\.\d+)"")),"""")
"),232.79)</f>
        <v>232.79</v>
      </c>
      <c r="R157" s="2" t="n">
        <f aca="false">IFERROR(__xludf.dummyfunction("if($T157&lt;&gt;"""",VALUE(REGEXEXTRACT($T157, SUBSTITUTE(R$1, ""+"", ""\+"")&amp;""[\w &amp;]*, (\d+\.\d+)"")),"""")"),240.72)</f>
        <v>240.72</v>
      </c>
      <c r="S157" s="2" t="n">
        <f aca="false">IFERROR(__xludf.dummyfunction("if($T157&lt;&gt;"""",VALUE(REGEXEXTRACT($T157, SUBSTITUTE(S$1, ""+"", ""\+"")&amp;""[\w &amp;]*, (\d+\.\d+)"")),"""")"),243.37)</f>
        <v>243.37</v>
      </c>
      <c r="T157" s="5" t="s">
        <v>779</v>
      </c>
    </row>
    <row r="158" customFormat="false" ht="15.75" hidden="false" customHeight="false" outlineLevel="0" collapsed="false">
      <c r="A158" s="4" t="n">
        <f aca="false">IFERROR(__xludf.dummyfunction("""COMPUTED_VALUE"""),45635.6666666667)</f>
        <v>45635.6666666667</v>
      </c>
      <c r="B158" s="2" t="n">
        <f aca="false">IFERROR(__xludf.dummyfunction("""COMPUTED_VALUE"""),240.55)</f>
        <v>240.55</v>
      </c>
      <c r="C158" s="2" t="n">
        <f aca="false">IFERROR(__xludf.dummyfunction("""COMPUTED_VALUE"""),241.38)</f>
        <v>241.38</v>
      </c>
      <c r="D158" s="2" t="n">
        <f aca="false">IFERROR(__xludf.dummyfunction("""COMPUTED_VALUE"""),237.65)</f>
        <v>237.65</v>
      </c>
      <c r="E158" s="2" t="n">
        <f aca="false">IFERROR(__xludf.dummyfunction("""COMPUTED_VALUE"""),237.73)</f>
        <v>237.73</v>
      </c>
      <c r="F158" s="3" t="n">
        <f aca="false">IFERROR(__xludf.dummyfunction("if($T158&lt;&gt;"""",VALUE(REGEXEXTRACT(SUBSTITUTE ($T158,F$1&amp;"" CE"",""""), F$1&amp;""[\w &amp;]*, (\d+\.\d+)"")),"""")
"),240)</f>
        <v>240</v>
      </c>
      <c r="G158" s="3" t="n">
        <f aca="false">IFERROR(__xludf.dummyfunction("if($T158&lt;&gt;"""",VALUE(REGEXEXTRACT($T158, G$1&amp;""[\w &amp;]*, (\d+\.\d+)"")),"""")
"),241)</f>
        <v>241</v>
      </c>
      <c r="H158" s="3" t="n">
        <f aca="false">IFERROR(__xludf.dummyfunction("if($T158&lt;&gt;"""",VALUE(REGEXEXTRACT($T158, H$1&amp;""[\w &amp;]*, (\d+\.\d+)"")),"""")
"),252)</f>
        <v>252</v>
      </c>
      <c r="I158" s="3" t="n">
        <f aca="false">IFERROR(__xludf.dummyfunction("if($T158&lt;&gt;"""",VALUE(REGEXEXTRACT(SUBSTITUTE ($T158,I$1&amp;"" CE"",""""), I$1&amp;""[\w &amp;]*, (\d+\.\d+)"")),"""")
"),230)</f>
        <v>230</v>
      </c>
      <c r="J158" s="3" t="n">
        <f aca="false">IFERROR(__xludf.dummyfunction("if($T158&lt;&gt;"""",VALUE(REGEXEXTRACT($T158, J$1&amp;""[\w &amp;]*, (\d+\.\d+)"")),"""")
"),238)</f>
        <v>238</v>
      </c>
      <c r="K158" s="3" t="n">
        <f aca="false">IFERROR(__xludf.dummyfunction("if($T158&lt;&gt;"""",VALUE(REGEXEXTRACT($T158, K$1&amp;""[\w &amp;]*, (\d+\.\d+)"")),"""")
"),227)</f>
        <v>227</v>
      </c>
      <c r="L158" s="3" t="n">
        <f aca="false">IFERROR(__xludf.dummyfunction("if($T158&lt;&gt;"""",VALUE(REGEXEXTRACT(SUBSTITUTE ($T158,L$1&amp;"" CE"",""""), L$1&amp;""[\w &amp;]*, (\d+\.\d+)"")),"""")
"),239)</f>
        <v>239</v>
      </c>
      <c r="M158" s="3" t="n">
        <f aca="false">IFERROR(__xludf.dummyfunction("if($T158&lt;&gt;"""",VALUE(REGEXEXTRACT($T158, M$1&amp;""[\w &amp;]*, (\d+\.\d+)"")),"""")
"),238)</f>
        <v>238</v>
      </c>
      <c r="N158" s="3" t="n">
        <f aca="false">IFERROR(__xludf.dummyfunction("if($T158&lt;&gt;"""",VALUE(REGEXEXTRACT(SUBSTITUTE ($T158,N$1&amp;"" CE"",""""), N$1&amp;""[\w &amp;]*, (\d+\.\d+)"")),"""")
"),240)</f>
        <v>240</v>
      </c>
      <c r="O158" s="3" t="n">
        <f aca="false">IFERROR(__xludf.dummyfunction("if($T158&lt;&gt;"""",VALUE(REGEXEXTRACT($T158, O$1&amp;""[\w &amp;]*, (\d+\.\d+)"")),"""")
"),241)</f>
        <v>241</v>
      </c>
      <c r="P158" s="2" t="n">
        <f aca="false">IFERROR(__xludf.dummyfunction("if($T158&lt;&gt;"""",VALUE(REGEXEXTRACT($T158, P$1&amp;""[\w &amp;]*, (\d+\.\d+)"")),"""")
"),236.79)</f>
        <v>236.79</v>
      </c>
      <c r="Q158" s="2" t="n">
        <f aca="false">IFERROR(__xludf.dummyfunction("if($T158&lt;&gt;"""",VALUE(REGEXEXTRACT($T158, Q$1&amp;""[\w &amp;]*, (\d+\.\d+)"")),"""")
"),235.91)</f>
        <v>235.91</v>
      </c>
      <c r="R158" s="2" t="n">
        <f aca="false">IFERROR(__xludf.dummyfunction("if($T158&lt;&gt;"""",VALUE(REGEXEXTRACT($T158, SUBSTITUTE(R$1, ""+"", ""\+"")&amp;""[\w &amp;]*, (\d+\.\d+)"")),"""")"),241.07)</f>
        <v>241.07</v>
      </c>
      <c r="S158" s="2" t="n">
        <f aca="false">IFERROR(__xludf.dummyfunction("if($T158&lt;&gt;"""",VALUE(REGEXEXTRACT($T158, SUBSTITUTE(S$1, ""+"", ""\+"")&amp;""[\w &amp;]*, (\d+\.\d+)"")),"""")"),241.95)</f>
        <v>241.95</v>
      </c>
      <c r="T158" s="5" t="s">
        <v>780</v>
      </c>
    </row>
    <row r="159" customFormat="false" ht="15.75" hidden="false" customHeight="false" outlineLevel="0" collapsed="false">
      <c r="A159" s="4" t="n">
        <f aca="false">IFERROR(__xludf.dummyfunction("""COMPUTED_VALUE"""),45636.6666666667)</f>
        <v>45636.6666666667</v>
      </c>
      <c r="B159" s="2" t="n">
        <f aca="false">IFERROR(__xludf.dummyfunction("""COMPUTED_VALUE"""),237.58)</f>
        <v>237.58</v>
      </c>
      <c r="C159" s="2" t="n">
        <f aca="false">IFERROR(__xludf.dummyfunction("""COMPUTED_VALUE"""),238.82)</f>
        <v>238.82</v>
      </c>
      <c r="D159" s="2" t="n">
        <f aca="false">IFERROR(__xludf.dummyfunction("""COMPUTED_VALUE"""),235.92)</f>
        <v>235.92</v>
      </c>
      <c r="E159" s="2" t="n">
        <f aca="false">IFERROR(__xludf.dummyfunction("""COMPUTED_VALUE"""),236.7)</f>
        <v>236.7</v>
      </c>
      <c r="F159" s="3" t="n">
        <f aca="false">IFERROR(__xludf.dummyfunction("if($T159&lt;&gt;"""",VALUE(REGEXEXTRACT(SUBSTITUTE ($T159,F$1&amp;"" CE"",""""), F$1&amp;""[\w &amp;]*, (\d+\.\d+)"")),"""")
"),240)</f>
        <v>240</v>
      </c>
      <c r="G159" s="3" t="n">
        <f aca="false">IFERROR(__xludf.dummyfunction("if($T159&lt;&gt;"""",VALUE(REGEXEXTRACT($T159, G$1&amp;""[\w &amp;]*, (\d+\.\d+)"")),"""")
"),239)</f>
        <v>239</v>
      </c>
      <c r="H159" s="3" t="n">
        <f aca="false">IFERROR(__xludf.dummyfunction("if($T159&lt;&gt;"""",VALUE(REGEXEXTRACT($T159, H$1&amp;""[\w &amp;]*, (\d+\.\d+)"")),"""")
"),252)</f>
        <v>252</v>
      </c>
      <c r="I159" s="3" t="n">
        <f aca="false">IFERROR(__xludf.dummyfunction("if($T159&lt;&gt;"""",VALUE(REGEXEXTRACT(SUBSTITUTE ($T159,I$1&amp;"" CE"",""""), I$1&amp;""[\w &amp;]*, (\d+\.\d+)"")),"""")
"),230)</f>
        <v>230</v>
      </c>
      <c r="J159" s="3" t="n">
        <f aca="false">IFERROR(__xludf.dummyfunction("if($T159&lt;&gt;"""",VALUE(REGEXEXTRACT($T159, J$1&amp;""[\w &amp;]*, (\d+\.\d+)"")),"""")
"),235)</f>
        <v>235</v>
      </c>
      <c r="K159" s="3" t="n">
        <f aca="false">IFERROR(__xludf.dummyfunction("if($T159&lt;&gt;"""",VALUE(REGEXEXTRACT($T159, K$1&amp;""[\w &amp;]*, (\d+\.\d+)"")),"""")
"),227)</f>
        <v>227</v>
      </c>
      <c r="L159" s="3" t="n">
        <f aca="false">IFERROR(__xludf.dummyfunction("if($T159&lt;&gt;"""",VALUE(REGEXEXTRACT(SUBSTITUTE ($T159,L$1&amp;"" CE"",""""), L$1&amp;""[\w &amp;]*, (\d+\.\d+)"")),"""")
"),238)</f>
        <v>238</v>
      </c>
      <c r="M159" s="3" t="n">
        <f aca="false">IFERROR(__xludf.dummyfunction("if($T159&lt;&gt;"""",VALUE(REGEXEXTRACT($T159, M$1&amp;""[\w &amp;]*, (\d+\.\d+)"")),"""")
"),237)</f>
        <v>237</v>
      </c>
      <c r="N159" s="3" t="n">
        <f aca="false">IFERROR(__xludf.dummyfunction("if($T159&lt;&gt;"""",VALUE(REGEXEXTRACT(SUBSTITUTE ($T159,N$1&amp;"" CE"",""""), N$1&amp;""[\w &amp;]*, (\d+\.\d+)"")),"""")
"),235)</f>
        <v>235</v>
      </c>
      <c r="O159" s="3" t="n">
        <f aca="false">IFERROR(__xludf.dummyfunction("if($T159&lt;&gt;"""",VALUE(REGEXEXTRACT($T159, O$1&amp;""[\w &amp;]*, (\d+\.\d+)"")),"""")
"),239)</f>
        <v>239</v>
      </c>
      <c r="P159" s="2" t="n">
        <f aca="false">IFERROR(__xludf.dummyfunction("if($T159&lt;&gt;"""",VALUE(REGEXEXTRACT($T159, P$1&amp;""[\w &amp;]*, (\d+\.\d+)"")),"""")
"),235.26)</f>
        <v>235.26</v>
      </c>
      <c r="Q159" s="2" t="n">
        <f aca="false">IFERROR(__xludf.dummyfunction("if($T159&lt;&gt;"""",VALUE(REGEXEXTRACT($T159, Q$1&amp;""[\w &amp;]*, (\d+\.\d+)"")),"""")
"),234.24)</f>
        <v>234.24</v>
      </c>
      <c r="R159" s="2" t="n">
        <f aca="false">IFERROR(__xludf.dummyfunction("if($T159&lt;&gt;"""",VALUE(REGEXEXTRACT($T159, SUBSTITUTE(R$1, ""+"", ""\+"")&amp;""[\w &amp;]*, (\d+\.\d+)"")),"""")"),240.2)</f>
        <v>240.2</v>
      </c>
      <c r="S159" s="2" t="n">
        <f aca="false">IFERROR(__xludf.dummyfunction("if($T159&lt;&gt;"""",VALUE(REGEXEXTRACT($T159, SUBSTITUTE(S$1, ""+"", ""\+"")&amp;""[\w &amp;]*, (\d+\.\d+)"")),"""")"),241.22)</f>
        <v>241.22</v>
      </c>
      <c r="T159" s="5" t="s">
        <v>781</v>
      </c>
    </row>
    <row r="160" customFormat="false" ht="15.75" hidden="false" customHeight="false" outlineLevel="0" collapsed="false">
      <c r="A160" s="4" t="n">
        <f aca="false">IFERROR(__xludf.dummyfunction("""COMPUTED_VALUE"""),45637.6666666667)</f>
        <v>45637.6666666667</v>
      </c>
      <c r="B160" s="2" t="n">
        <f aca="false">IFERROR(__xludf.dummyfunction("""COMPUTED_VALUE"""),238.71)</f>
        <v>238.71</v>
      </c>
      <c r="C160" s="2" t="n">
        <f aca="false">IFERROR(__xludf.dummyfunction("""COMPUTED_VALUE"""),239.29)</f>
        <v>239.29</v>
      </c>
      <c r="D160" s="2" t="n">
        <f aca="false">IFERROR(__xludf.dummyfunction("""COMPUTED_VALUE"""),236.83)</f>
        <v>236.83</v>
      </c>
      <c r="E160" s="2" t="n">
        <f aca="false">IFERROR(__xludf.dummyfunction("""COMPUTED_VALUE"""),237.77)</f>
        <v>237.77</v>
      </c>
      <c r="F160" s="3" t="n">
        <f aca="false">IFERROR(__xludf.dummyfunction("if($T160&lt;&gt;"""",VALUE(REGEXEXTRACT(SUBSTITUTE ($T160,F$1&amp;"" CE"",""""), F$1&amp;""[\w &amp;]*, (\d+\.\d+)"")),"""")
"),240)</f>
        <v>240</v>
      </c>
      <c r="G160" s="3" t="n">
        <f aca="false">IFERROR(__xludf.dummyfunction("if($T160&lt;&gt;"""",VALUE(REGEXEXTRACT($T160, G$1&amp;""[\w &amp;]*, (\d+\.\d+)"")),"""")
"),240)</f>
        <v>240</v>
      </c>
      <c r="H160" s="3" t="n">
        <f aca="false">IFERROR(__xludf.dummyfunction("if($T160&lt;&gt;"""",VALUE(REGEXEXTRACT($T160, H$1&amp;""[\w &amp;]*, (\d+\.\d+)"")),"""")
"),242)</f>
        <v>242</v>
      </c>
      <c r="I160" s="3" t="n">
        <f aca="false">IFERROR(__xludf.dummyfunction("if($T160&lt;&gt;"""",VALUE(REGEXEXTRACT(SUBSTITUTE ($T160,I$1&amp;"" CE"",""""), I$1&amp;""[\w &amp;]*, (\d+\.\d+)"")),"""")
"),230)</f>
        <v>230</v>
      </c>
      <c r="J160" s="3" t="n">
        <f aca="false">IFERROR(__xludf.dummyfunction("if($T160&lt;&gt;"""",VALUE(REGEXEXTRACT($T160, J$1&amp;""[\w &amp;]*, (\d+\.\d+)"")),"""")
"),235)</f>
        <v>235</v>
      </c>
      <c r="K160" s="3" t="n">
        <f aca="false">IFERROR(__xludf.dummyfunction("if($T160&lt;&gt;"""",VALUE(REGEXEXTRACT($T160, K$1&amp;""[\w &amp;]*, (\d+\.\d+)"")),"""")
"),223)</f>
        <v>223</v>
      </c>
      <c r="L160" s="3" t="n">
        <f aca="false">IFERROR(__xludf.dummyfunction("if($T160&lt;&gt;"""",VALUE(REGEXEXTRACT(SUBSTITUTE ($T160,L$1&amp;"" CE"",""""), L$1&amp;""[\w &amp;]*, (\d+\.\d+)"")),"""")
"),238)</f>
        <v>238</v>
      </c>
      <c r="M160" s="3" t="n">
        <f aca="false">IFERROR(__xludf.dummyfunction("if($T160&lt;&gt;"""",VALUE(REGEXEXTRACT($T160, M$1&amp;""[\w &amp;]*, (\d+\.\d+)"")),"""")
"),236)</f>
        <v>236</v>
      </c>
      <c r="N160" s="3" t="n">
        <f aca="false">IFERROR(__xludf.dummyfunction("if($T160&lt;&gt;"""",VALUE(REGEXEXTRACT(SUBSTITUTE ($T160,N$1&amp;"" CE"",""""), N$1&amp;""[\w &amp;]*, (\d+\.\d+)"")),"""")
"),230)</f>
        <v>230</v>
      </c>
      <c r="O160" s="3" t="n">
        <f aca="false">IFERROR(__xludf.dummyfunction("if($T160&lt;&gt;"""",VALUE(REGEXEXTRACT($T160, O$1&amp;""[\w &amp;]*, (\d+\.\d+)"")),"""")
"),236)</f>
        <v>236</v>
      </c>
      <c r="P160" s="2" t="n">
        <f aca="false">IFERROR(__xludf.dummyfunction("if($T160&lt;&gt;"""",VALUE(REGEXEXTRACT($T160, P$1&amp;""[\w &amp;]*, (\d+\.\d+)"")),"""")
"),234.02)</f>
        <v>234.02</v>
      </c>
      <c r="Q160" s="2" t="n">
        <f aca="false">IFERROR(__xludf.dummyfunction("if($T160&lt;&gt;"""",VALUE(REGEXEXTRACT($T160, Q$1&amp;""[\w &amp;]*, (\d+\.\d+)"")),"""")
"),232.9)</f>
        <v>232.9</v>
      </c>
      <c r="R160" s="2" t="n">
        <f aca="false">IFERROR(__xludf.dummyfunction("if($T160&lt;&gt;"""",VALUE(REGEXEXTRACT($T160, SUBSTITUTE(R$1, ""+"", ""\+"")&amp;""[\w &amp;]*, (\d+\.\d+)"")),"""")"),239.38)</f>
        <v>239.38</v>
      </c>
      <c r="S160" s="2" t="n">
        <f aca="false">IFERROR(__xludf.dummyfunction("if($T160&lt;&gt;"""",VALUE(REGEXEXTRACT($T160, SUBSTITUTE(S$1, ""+"", ""\+"")&amp;""[\w &amp;]*, (\d+\.\d+)"")),"""")"),240.5)</f>
        <v>240.5</v>
      </c>
      <c r="T160" s="5" t="s">
        <v>782</v>
      </c>
    </row>
    <row r="161" customFormat="false" ht="15.75" hidden="false" customHeight="false" outlineLevel="0" collapsed="false">
      <c r="A161" s="4" t="n">
        <f aca="false">IFERROR(__xludf.dummyfunction("""COMPUTED_VALUE"""),45638.6666666667)</f>
        <v>45638.6666666667</v>
      </c>
      <c r="B161" s="2" t="n">
        <f aca="false">IFERROR(__xludf.dummyfunction("""COMPUTED_VALUE"""),237.16)</f>
        <v>237.16</v>
      </c>
      <c r="C161" s="2" t="n">
        <f aca="false">IFERROR(__xludf.dummyfunction("""COMPUTED_VALUE"""),237.65)</f>
        <v>237.65</v>
      </c>
      <c r="D161" s="2" t="n">
        <f aca="false">IFERROR(__xludf.dummyfunction("""COMPUTED_VALUE"""),234.35)</f>
        <v>234.35</v>
      </c>
      <c r="E161" s="2" t="n">
        <f aca="false">IFERROR(__xludf.dummyfunction("""COMPUTED_VALUE"""),234.68)</f>
        <v>234.68</v>
      </c>
      <c r="F161" s="3" t="n">
        <f aca="false">IFERROR(__xludf.dummyfunction("if($T161&lt;&gt;"""",VALUE(REGEXEXTRACT(SUBSTITUTE ($T161,F$1&amp;"" CE"",""""), F$1&amp;""[\w &amp;]*, (\d+\.\d+)"")),"""")
"),240)</f>
        <v>240</v>
      </c>
      <c r="G161" s="3" t="n">
        <f aca="false">IFERROR(__xludf.dummyfunction("if($T161&lt;&gt;"""",VALUE(REGEXEXTRACT($T161, G$1&amp;""[\w &amp;]*, (\d+\.\d+)"")),"""")
"),240)</f>
        <v>240</v>
      </c>
      <c r="H161" s="3" t="n">
        <f aca="false">IFERROR(__xludf.dummyfunction("if($T161&lt;&gt;"""",VALUE(REGEXEXTRACT($T161, H$1&amp;""[\w &amp;]*, (\d+\.\d+)"")),"""")
"),242)</f>
        <v>242</v>
      </c>
      <c r="I161" s="3" t="n">
        <f aca="false">IFERROR(__xludf.dummyfunction("if($T161&lt;&gt;"""",VALUE(REGEXEXTRACT(SUBSTITUTE ($T161,I$1&amp;"" CE"",""""), I$1&amp;""[\w &amp;]*, (\d+\.\d+)"")),"""")
"),230)</f>
        <v>230</v>
      </c>
      <c r="J161" s="3" t="n">
        <f aca="false">IFERROR(__xludf.dummyfunction("if($T161&lt;&gt;"""",VALUE(REGEXEXTRACT($T161, J$1&amp;""[\w &amp;]*, (\d+\.\d+)"")),"""")
"),236)</f>
        <v>236</v>
      </c>
      <c r="K161" s="3" t="n">
        <f aca="false">IFERROR(__xludf.dummyfunction("if($T161&lt;&gt;"""",VALUE(REGEXEXTRACT($T161, K$1&amp;""[\w &amp;]*, (\d+\.\d+)"")),"""")
"),227)</f>
        <v>227</v>
      </c>
      <c r="L161" s="3" t="n">
        <f aca="false">IFERROR(__xludf.dummyfunction("if($T161&lt;&gt;"""",VALUE(REGEXEXTRACT(SUBSTITUTE ($T161,L$1&amp;"" CE"",""""), L$1&amp;""[\w &amp;]*, (\d+\.\d+)"")),"""")
"),238)</f>
        <v>238</v>
      </c>
      <c r="M161" s="3" t="n">
        <f aca="false">IFERROR(__xludf.dummyfunction("if($T161&lt;&gt;"""",VALUE(REGEXEXTRACT($T161, M$1&amp;""[\w &amp;]*, (\d+\.\d+)"")),"""")
"),237)</f>
        <v>237</v>
      </c>
      <c r="N161" s="3" t="n">
        <f aca="false">IFERROR(__xludf.dummyfunction("if($T161&lt;&gt;"""",VALUE(REGEXEXTRACT(SUBSTITUTE ($T161,N$1&amp;"" CE"",""""), N$1&amp;""[\w &amp;]*, (\d+\.\d+)"")),"""")
"),240)</f>
        <v>240</v>
      </c>
      <c r="O161" s="3" t="n">
        <f aca="false">IFERROR(__xludf.dummyfunction("if($T161&lt;&gt;"""",VALUE(REGEXEXTRACT($T161, O$1&amp;""[\w &amp;]*, (\d+\.\d+)"")),"""")
"),238)</f>
        <v>238</v>
      </c>
      <c r="P161" s="2" t="n">
        <f aca="false">IFERROR(__xludf.dummyfunction("if($T161&lt;&gt;"""",VALUE(REGEXEXTRACT($T161, P$1&amp;""[\w &amp;]*, (\d+\.\d+)"")),"""")
"),235.63)</f>
        <v>235.63</v>
      </c>
      <c r="Q161" s="2" t="n">
        <f aca="false">IFERROR(__xludf.dummyfunction("if($T161&lt;&gt;"""",VALUE(REGEXEXTRACT($T161, Q$1&amp;""[\w &amp;]*, (\d+\.\d+)"")),"""")
"),234.78)</f>
        <v>234.78</v>
      </c>
      <c r="R161" s="2" t="n">
        <f aca="false">IFERROR(__xludf.dummyfunction("if($T161&lt;&gt;"""",VALUE(REGEXEXTRACT($T161, SUBSTITUTE(R$1, ""+"", ""\+"")&amp;""[\w &amp;]*, (\d+\.\d+)"")),"""")"),239.91)</f>
        <v>239.91</v>
      </c>
      <c r="S161" s="2" t="n">
        <f aca="false">IFERROR(__xludf.dummyfunction("if($T161&lt;&gt;"""",VALUE(REGEXEXTRACT($T161, SUBSTITUTE(S$1, ""+"", ""\+"")&amp;""[\w &amp;]*, (\d+\.\d+)"")),"""")"),240.76)</f>
        <v>240.76</v>
      </c>
      <c r="T161" s="5" t="s">
        <v>783</v>
      </c>
    </row>
    <row r="162" customFormat="false" ht="15.75" hidden="false" customHeight="false" outlineLevel="0" collapsed="false">
      <c r="A162" s="4" t="n">
        <f aca="false">IFERROR(__xludf.dummyfunction("""COMPUTED_VALUE"""),45639.6666666667)</f>
        <v>45639.6666666667</v>
      </c>
      <c r="B162" s="2" t="n">
        <f aca="false">IFERROR(__xludf.dummyfunction("""COMPUTED_VALUE"""),234.37)</f>
        <v>234.37</v>
      </c>
      <c r="C162" s="2" t="n">
        <f aca="false">IFERROR(__xludf.dummyfunction("""COMPUTED_VALUE"""),234.86)</f>
        <v>234.86</v>
      </c>
      <c r="D162" s="2" t="n">
        <f aca="false">IFERROR(__xludf.dummyfunction("""COMPUTED_VALUE"""),231.88)</f>
        <v>231.88</v>
      </c>
      <c r="E162" s="2" t="n">
        <f aca="false">IFERROR(__xludf.dummyfunction("""COMPUTED_VALUE"""),233.07)</f>
        <v>233.07</v>
      </c>
      <c r="F162" s="3" t="n">
        <f aca="false">IFERROR(__xludf.dummyfunction("if($T162&lt;&gt;"""",VALUE(REGEXEXTRACT(SUBSTITUTE ($T162,F$1&amp;"" CE"",""""), F$1&amp;""[\w &amp;]*, (\d+\.\d+)"")),"""")
"),230)</f>
        <v>230</v>
      </c>
      <c r="G162" s="3" t="n">
        <f aca="false">IFERROR(__xludf.dummyfunction("if($T162&lt;&gt;"""",VALUE(REGEXEXTRACT($T162, G$1&amp;""[\w &amp;]*, (\d+\.\d+)"")),"""")
"),239)</f>
        <v>239</v>
      </c>
      <c r="H162" s="3" t="n">
        <f aca="false">IFERROR(__xludf.dummyfunction("if($T162&lt;&gt;"""",VALUE(REGEXEXTRACT($T162, H$1&amp;""[\w &amp;]*, (\d+\.\d+)"")),"""")
"),242)</f>
        <v>242</v>
      </c>
      <c r="I162" s="3" t="n">
        <f aca="false">IFERROR(__xludf.dummyfunction("if($T162&lt;&gt;"""",VALUE(REGEXEXTRACT(SUBSTITUTE ($T162,I$1&amp;"" CE"",""""), I$1&amp;""[\w &amp;]*, (\d+\.\d+)"")),"""")
"),230)</f>
        <v>230</v>
      </c>
      <c r="J162" s="3" t="n">
        <f aca="false">IFERROR(__xludf.dummyfunction("if($T162&lt;&gt;"""",VALUE(REGEXEXTRACT($T162, J$1&amp;""[\w &amp;]*, (\d+\.\d+)"")),"""")
"),233)</f>
        <v>233</v>
      </c>
      <c r="K162" s="3" t="n">
        <f aca="false">IFERROR(__xludf.dummyfunction("if($T162&lt;&gt;"""",VALUE(REGEXEXTRACT($T162, K$1&amp;""[\w &amp;]*, (\d+\.\d+)"")),"""")
"),227)</f>
        <v>227</v>
      </c>
      <c r="L162" s="3" t="n">
        <f aca="false">IFERROR(__xludf.dummyfunction("if($T162&lt;&gt;"""",VALUE(REGEXEXTRACT(SUBSTITUTE ($T162,L$1&amp;"" CE"",""""), L$1&amp;""[\w &amp;]*, (\d+\.\d+)"")),"""")
"),234)</f>
        <v>234</v>
      </c>
      <c r="M162" s="3" t="n">
        <f aca="false">IFERROR(__xludf.dummyfunction("if($T162&lt;&gt;"""",VALUE(REGEXEXTRACT($T162, M$1&amp;""[\w &amp;]*, (\d+\.\d+)"")),"""")
"),234)</f>
        <v>234</v>
      </c>
      <c r="N162" s="3" t="n">
        <f aca="false">IFERROR(__xludf.dummyfunction("if($T162&lt;&gt;"""",VALUE(REGEXEXTRACT(SUBSTITUTE ($T162,N$1&amp;"" CE"",""""), N$1&amp;""[\w &amp;]*, (\d+\.\d+)"")),"""")
"),230)</f>
        <v>230</v>
      </c>
      <c r="O162" s="3" t="n">
        <f aca="false">IFERROR(__xludf.dummyfunction("if($T162&lt;&gt;"""",VALUE(REGEXEXTRACT($T162, O$1&amp;""[\w &amp;]*, (\d+\.\d+)"")),"""")
"),235)</f>
        <v>235</v>
      </c>
      <c r="P162" s="2" t="n">
        <f aca="false">IFERROR(__xludf.dummyfunction("if($T162&lt;&gt;"""",VALUE(REGEXEXTRACT($T162, P$1&amp;""[\w &amp;]*, (\d+\.\d+)"")),"""")
"),232.3)</f>
        <v>232.3</v>
      </c>
      <c r="Q162" s="2" t="n">
        <f aca="false">IFERROR(__xludf.dummyfunction("if($T162&lt;&gt;"""",VALUE(REGEXEXTRACT($T162, Q$1&amp;""[\w &amp;]*, (\d+\.\d+)"")),"""")
"),229.92)</f>
        <v>229.92</v>
      </c>
      <c r="R162" s="2" t="n">
        <f aca="false">IFERROR(__xludf.dummyfunction("if($T162&lt;&gt;"""",VALUE(REGEXEXTRACT($T162, SUBSTITUTE(R$1, ""+"", ""\+"")&amp;""[\w &amp;]*, (\d+\.\d+)"")),"""")"),237.06)</f>
        <v>237.06</v>
      </c>
      <c r="S162" s="2" t="n">
        <f aca="false">IFERROR(__xludf.dummyfunction("if($T162&lt;&gt;"""",VALUE(REGEXEXTRACT($T162, SUBSTITUTE(S$1, ""+"", ""\+"")&amp;""[\w &amp;]*, (\d+\.\d+)"")),"""")"),239.44)</f>
        <v>239.44</v>
      </c>
      <c r="T162" s="5" t="s">
        <v>784</v>
      </c>
    </row>
    <row r="163" customFormat="false" ht="15.75" hidden="false" customHeight="false" outlineLevel="0" collapsed="false">
      <c r="A163" s="4" t="n">
        <f aca="false">IFERROR(__xludf.dummyfunction("""COMPUTED_VALUE"""),45642.6666666667)</f>
        <v>45642.6666666667</v>
      </c>
      <c r="B163" s="2" t="n">
        <f aca="false">IFERROR(__xludf.dummyfunction("""COMPUTED_VALUE"""),232.91)</f>
        <v>232.91</v>
      </c>
      <c r="C163" s="2" t="n">
        <f aca="false">IFERROR(__xludf.dummyfunction("""COMPUTED_VALUE"""),235.63)</f>
        <v>235.63</v>
      </c>
      <c r="D163" s="2" t="n">
        <f aca="false">IFERROR(__xludf.dummyfunction("""COMPUTED_VALUE"""),232.35)</f>
        <v>232.35</v>
      </c>
      <c r="E163" s="2" t="n">
        <f aca="false">IFERROR(__xludf.dummyfunction("""COMPUTED_VALUE"""),234.44)</f>
        <v>234.44</v>
      </c>
      <c r="F163" s="3" t="n">
        <f aca="false">IFERROR(__xludf.dummyfunction("if($T163&lt;&gt;"""",VALUE(REGEXEXTRACT(SUBSTITUTE ($T163,F$1&amp;"" CE"",""""), F$1&amp;""[\w &amp;]*, (\d+\.\d+)"")),"""")
"),230)</f>
        <v>230</v>
      </c>
      <c r="G163" s="3" t="n">
        <f aca="false">IFERROR(__xludf.dummyfunction("if($T163&lt;&gt;"""",VALUE(REGEXEXTRACT($T163, G$1&amp;""[\w &amp;]*, (\d+\.\d+)"")),"""")
"),234)</f>
        <v>234</v>
      </c>
      <c r="H163" s="3" t="n">
        <f aca="false">IFERROR(__xludf.dummyfunction("if($T163&lt;&gt;"""",VALUE(REGEXEXTRACT($T163, H$1&amp;""[\w &amp;]*, (\d+\.\d+)"")),"""")
"),242)</f>
        <v>242</v>
      </c>
      <c r="I163" s="3" t="n">
        <f aca="false">IFERROR(__xludf.dummyfunction("if($T163&lt;&gt;"""",VALUE(REGEXEXTRACT(SUBSTITUTE ($T163,I$1&amp;"" CE"",""""), I$1&amp;""[\w &amp;]*, (\d+\.\d+)"")),"""")
"),230)</f>
        <v>230</v>
      </c>
      <c r="J163" s="3" t="n">
        <f aca="false">IFERROR(__xludf.dummyfunction("if($T163&lt;&gt;"""",VALUE(REGEXEXTRACT($T163, J$1&amp;""[\w &amp;]*, (\d+\.\d+)"")),"""")
"),230)</f>
        <v>230</v>
      </c>
      <c r="K163" s="3" t="n">
        <f aca="false">IFERROR(__xludf.dummyfunction("if($T163&lt;&gt;"""",VALUE(REGEXEXTRACT($T163, K$1&amp;""[\w &amp;]*, (\d+\.\d+)"")),"""")
"),227)</f>
        <v>227</v>
      </c>
      <c r="L163" s="3" t="n">
        <f aca="false">IFERROR(__xludf.dummyfunction("if($T163&lt;&gt;"""",VALUE(REGEXEXTRACT(SUBSTITUTE ($T163,L$1&amp;"" CE"",""""), L$1&amp;""[\w &amp;]*, (\d+\.\d+)"")),"""")
"),232.5)</f>
        <v>232.5</v>
      </c>
      <c r="M163" s="3" t="n">
        <f aca="false">IFERROR(__xludf.dummyfunction("if($T163&lt;&gt;"""",VALUE(REGEXEXTRACT($T163, M$1&amp;""[\w &amp;]*, (\d+\.\d+)"")),"""")
"),232)</f>
        <v>232</v>
      </c>
      <c r="N163" s="3" t="n">
        <f aca="false">IFERROR(__xludf.dummyfunction("if($T163&lt;&gt;"""",VALUE(REGEXEXTRACT(SUBSTITUTE ($T163,N$1&amp;"" CE"",""""), N$1&amp;""[\w &amp;]*, (\d+\.\d+)"")),"""")
"),230)</f>
        <v>230</v>
      </c>
      <c r="O163" s="3" t="n">
        <f aca="false">IFERROR(__xludf.dummyfunction("if($T163&lt;&gt;"""",VALUE(REGEXEXTRACT($T163, O$1&amp;""[\w &amp;]*, (\d+\.\d+)"")),"""")
"),233)</f>
        <v>233</v>
      </c>
      <c r="P163" s="2" t="n">
        <f aca="false">IFERROR(__xludf.dummyfunction("if($T163&lt;&gt;"""",VALUE(REGEXEXTRACT($T163, P$1&amp;""[\w &amp;]*, (\d+\.\d+)"")),"""")
"),230.97)</f>
        <v>230.97</v>
      </c>
      <c r="Q163" s="2" t="n">
        <f aca="false">IFERROR(__xludf.dummyfunction("if($T163&lt;&gt;"""",VALUE(REGEXEXTRACT($T163, Q$1&amp;""[\w &amp;]*, (\d+\.\d+)"")),"""")
"),230.1)</f>
        <v>230.1</v>
      </c>
      <c r="R163" s="2" t="n">
        <f aca="false">IFERROR(__xludf.dummyfunction("if($T163&lt;&gt;"""",VALUE(REGEXEXTRACT($T163, SUBSTITUTE(R$1, ""+"", ""\+"")&amp;""[\w &amp;]*, (\d+\.\d+)"")),"""")"),235.17)</f>
        <v>235.17</v>
      </c>
      <c r="S163" s="2" t="n">
        <f aca="false">IFERROR(__xludf.dummyfunction("if($T163&lt;&gt;"""",VALUE(REGEXEXTRACT($T163, SUBSTITUTE(S$1, ""+"", ""\+"")&amp;""[\w &amp;]*, (\d+\.\d+)"")),"""")"),236.04)</f>
        <v>236.04</v>
      </c>
      <c r="T163" s="5" t="s">
        <v>785</v>
      </c>
    </row>
    <row r="164" customFormat="false" ht="15.75" hidden="false" customHeight="false" outlineLevel="0" collapsed="false">
      <c r="A164" s="4" t="n">
        <f aca="false">IFERROR(__xludf.dummyfunction("""COMPUTED_VALUE"""),45643.6666666667)</f>
        <v>45643.6666666667</v>
      </c>
      <c r="B164" s="2" t="n">
        <f aca="false">IFERROR(__xludf.dummyfunction("""COMPUTED_VALUE"""),232.67)</f>
        <v>232.67</v>
      </c>
      <c r="C164" s="2" t="n">
        <f aca="false">IFERROR(__xludf.dummyfunction("""COMPUTED_VALUE"""),233.44)</f>
        <v>233.44</v>
      </c>
      <c r="D164" s="2" t="n">
        <f aca="false">IFERROR(__xludf.dummyfunction("""COMPUTED_VALUE"""),230.55)</f>
        <v>230.55</v>
      </c>
      <c r="E164" s="2" t="n">
        <f aca="false">IFERROR(__xludf.dummyfunction("""COMPUTED_VALUE"""),231.07)</f>
        <v>231.07</v>
      </c>
      <c r="F164" s="3" t="n">
        <f aca="false">IFERROR(__xludf.dummyfunction("if($T164&lt;&gt;"""",VALUE(REGEXEXTRACT(SUBSTITUTE ($T164,F$1&amp;"" CE"",""""), F$1&amp;""[\w &amp;]*, (\d+\.\d+)"")),"""")
"),230)</f>
        <v>230</v>
      </c>
      <c r="G164" s="3" t="n">
        <f aca="false">IFERROR(__xludf.dummyfunction("if($T164&lt;&gt;"""",VALUE(REGEXEXTRACT($T164, G$1&amp;""[\w &amp;]*, (\d+\.\d+)"")),"""")
"),235)</f>
        <v>235</v>
      </c>
      <c r="H164" s="3" t="n">
        <f aca="false">IFERROR(__xludf.dummyfunction("if($T164&lt;&gt;"""",VALUE(REGEXEXTRACT($T164, H$1&amp;""[\w &amp;]*, (\d+\.\d+)"")),"""")
"),242)</f>
        <v>242</v>
      </c>
      <c r="I164" s="3" t="n">
        <f aca="false">IFERROR(__xludf.dummyfunction("if($T164&lt;&gt;"""",VALUE(REGEXEXTRACT(SUBSTITUTE ($T164,I$1&amp;"" CE"",""""), I$1&amp;""[\w &amp;]*, (\d+\.\d+)"")),"""")
"),230)</f>
        <v>230</v>
      </c>
      <c r="J164" s="3" t="n">
        <f aca="false">IFERROR(__xludf.dummyfunction("if($T164&lt;&gt;"""",VALUE(REGEXEXTRACT($T164, J$1&amp;""[\w &amp;]*, (\d+\.\d+)"")),"""")
"),233)</f>
        <v>233</v>
      </c>
      <c r="K164" s="3" t="n">
        <f aca="false">IFERROR(__xludf.dummyfunction("if($T164&lt;&gt;"""",VALUE(REGEXEXTRACT($T164, K$1&amp;""[\w &amp;]*, (\d+\.\d+)"")),"""")
"),227)</f>
        <v>227</v>
      </c>
      <c r="L164" s="3" t="n">
        <f aca="false">IFERROR(__xludf.dummyfunction("if($T164&lt;&gt;"""",VALUE(REGEXEXTRACT(SUBSTITUTE ($T164,L$1&amp;"" CE"",""""), L$1&amp;""[\w &amp;]*, (\d+\.\d+)"")),"""")
"),233)</f>
        <v>233</v>
      </c>
      <c r="M164" s="3" t="n">
        <f aca="false">IFERROR(__xludf.dummyfunction("if($T164&lt;&gt;"""",VALUE(REGEXEXTRACT($T164, M$1&amp;""[\w &amp;]*, (\d+\.\d+)"")),"""")
"),233)</f>
        <v>233</v>
      </c>
      <c r="N164" s="3" t="n">
        <f aca="false">IFERROR(__xludf.dummyfunction("if($T164&lt;&gt;"""",VALUE(REGEXEXTRACT(SUBSTITUTE ($T164,N$1&amp;"" CE"",""""), N$1&amp;""[\w &amp;]*, (\d+\.\d+)"")),"""")
"),230)</f>
        <v>230</v>
      </c>
      <c r="O164" s="3" t="n">
        <f aca="false">IFERROR(__xludf.dummyfunction("if($T164&lt;&gt;"""",VALUE(REGEXEXTRACT($T164, O$1&amp;""[\w &amp;]*, (\d+\.\d+)"")),"""")
"),235)</f>
        <v>235</v>
      </c>
      <c r="P164" s="2" t="n">
        <f aca="false">IFERROR(__xludf.dummyfunction("if($T164&lt;&gt;"""",VALUE(REGEXEXTRACT($T164, P$1&amp;""[\w &amp;]*, (\d+\.\d+)"")),"""")
"),231.83)</f>
        <v>231.83</v>
      </c>
      <c r="Q164" s="2" t="n">
        <f aca="false">IFERROR(__xludf.dummyfunction("if($T164&lt;&gt;"""",VALUE(REGEXEXTRACT($T164, Q$1&amp;""[\w &amp;]*, (\d+\.\d+)"")),"""")
"),230.75)</f>
        <v>230.75</v>
      </c>
      <c r="R164" s="2" t="n">
        <f aca="false">IFERROR(__xludf.dummyfunction("if($T164&lt;&gt;"""",VALUE(REGEXEXTRACT($T164, SUBSTITUTE(R$1, ""+"", ""\+"")&amp;""[\w &amp;]*, (\d+\.\d+)"")),"""")"),237.05)</f>
        <v>237.05</v>
      </c>
      <c r="S164" s="2" t="n">
        <f aca="false">IFERROR(__xludf.dummyfunction("if($T164&lt;&gt;"""",VALUE(REGEXEXTRACT($T164, SUBSTITUTE(S$1, ""+"", ""\+"")&amp;""[\w &amp;]*, (\d+\.\d+)"")),"""")"),238.13)</f>
        <v>238.13</v>
      </c>
      <c r="T164" s="5" t="s">
        <v>786</v>
      </c>
    </row>
    <row r="165" customFormat="false" ht="15.75" hidden="false" customHeight="false" outlineLevel="0" collapsed="false">
      <c r="A165" s="4" t="n">
        <f aca="false">IFERROR(__xludf.dummyfunction("""COMPUTED_VALUE"""),45644.6666666667)</f>
        <v>45644.6666666667</v>
      </c>
      <c r="B165" s="2" t="n">
        <f aca="false">IFERROR(__xludf.dummyfunction("""COMPUTED_VALUE"""),232.24)</f>
        <v>232.24</v>
      </c>
      <c r="C165" s="2" t="n">
        <f aca="false">IFERROR(__xludf.dummyfunction("""COMPUTED_VALUE"""),233.08)</f>
        <v>233.08</v>
      </c>
      <c r="D165" s="2" t="n">
        <f aca="false">IFERROR(__xludf.dummyfunction("""COMPUTED_VALUE"""),218.92)</f>
        <v>218.92</v>
      </c>
      <c r="E165" s="2" t="n">
        <f aca="false">IFERROR(__xludf.dummyfunction("""COMPUTED_VALUE"""),220.84)</f>
        <v>220.84</v>
      </c>
      <c r="F165" s="3" t="n">
        <f aca="false">IFERROR(__xludf.dummyfunction("if($T165&lt;&gt;"""",VALUE(REGEXEXTRACT(SUBSTITUTE ($T165,F$1&amp;"" CE"",""""), F$1&amp;""[\w &amp;]*, (\d+\.\d+)"")),"""")
"),230)</f>
        <v>230</v>
      </c>
      <c r="G165" s="3" t="n">
        <f aca="false">IFERROR(__xludf.dummyfunction("if($T165&lt;&gt;"""",VALUE(REGEXEXTRACT($T165, G$1&amp;""[\w &amp;]*, (\d+\.\d+)"")),"""")
"),235)</f>
        <v>235</v>
      </c>
      <c r="H165" s="3" t="n">
        <f aca="false">IFERROR(__xludf.dummyfunction("if($T165&lt;&gt;"""",VALUE(REGEXEXTRACT($T165, H$1&amp;""[\w &amp;]*, (\d+\.\d+)"")),"""")
"),242)</f>
        <v>242</v>
      </c>
      <c r="I165" s="3" t="n">
        <f aca="false">IFERROR(__xludf.dummyfunction("if($T165&lt;&gt;"""",VALUE(REGEXEXTRACT(SUBSTITUTE ($T165,I$1&amp;"" CE"",""""), I$1&amp;""[\w &amp;]*, (\d+\.\d+)"")),"""")
"),230)</f>
        <v>230</v>
      </c>
      <c r="J165" s="3" t="n">
        <f aca="false">IFERROR(__xludf.dummyfunction("if($T165&lt;&gt;"""",VALUE(REGEXEXTRACT($T165, J$1&amp;""[\w &amp;]*, (\d+\.\d+)"")),"""")
"),232)</f>
        <v>232</v>
      </c>
      <c r="K165" s="3" t="n">
        <f aca="false">IFERROR(__xludf.dummyfunction("if($T165&lt;&gt;"""",VALUE(REGEXEXTRACT($T165, K$1&amp;""[\w &amp;]*, (\d+\.\d+)"")),"""")
"),227)</f>
        <v>227</v>
      </c>
      <c r="L165" s="3" t="n">
        <f aca="false">IFERROR(__xludf.dummyfunction("if($T165&lt;&gt;"""",VALUE(REGEXEXTRACT(SUBSTITUTE ($T165,L$1&amp;"" CE"",""""), L$1&amp;""[\w &amp;]*, (\d+\.\d+)"")),"""")
"),232.5)</f>
        <v>232.5</v>
      </c>
      <c r="M165" s="3" t="n">
        <f aca="false">IFERROR(__xludf.dummyfunction("if($T165&lt;&gt;"""",VALUE(REGEXEXTRACT($T165, M$1&amp;""[\w &amp;]*, (\d+\.\d+)"")),"""")
"),232)</f>
        <v>232</v>
      </c>
      <c r="N165" s="3" t="n">
        <f aca="false">IFERROR(__xludf.dummyfunction("if($T165&lt;&gt;"""",VALUE(REGEXEXTRACT(SUBSTITUTE ($T165,N$1&amp;"" CE"",""""), N$1&amp;""[\w &amp;]*, (\d+\.\d+)"")),"""")
"),230)</f>
        <v>230</v>
      </c>
      <c r="O165" s="3" t="n">
        <f aca="false">IFERROR(__xludf.dummyfunction("if($T165&lt;&gt;"""",VALUE(REGEXEXTRACT($T165, O$1&amp;""[\w &amp;]*, (\d+\.\d+)"")),"""")
"),232)</f>
        <v>232</v>
      </c>
      <c r="P165" s="2" t="n">
        <f aca="false">IFERROR(__xludf.dummyfunction("if($T165&lt;&gt;"""",VALUE(REGEXEXTRACT($T165, P$1&amp;""[\w &amp;]*, (\d+\.\d+)"")),"""")
"),228.32)</f>
        <v>228.32</v>
      </c>
      <c r="Q165" s="2" t="n">
        <f aca="false">IFERROR(__xludf.dummyfunction("if($T165&lt;&gt;"""",VALUE(REGEXEXTRACT($T165, Q$1&amp;""[\w &amp;]*, (\d+\.\d+)"")),"""")
"),227.18)</f>
        <v>227.18</v>
      </c>
      <c r="R165" s="2" t="n">
        <f aca="false">IFERROR(__xludf.dummyfunction("if($T165&lt;&gt;"""",VALUE(REGEXEXTRACT($T165, SUBSTITUTE(R$1, ""+"", ""\+"")&amp;""[\w &amp;]*, (\d+\.\d+)"")),"""")"),233.82)</f>
        <v>233.82</v>
      </c>
      <c r="S165" s="2" t="n">
        <f aca="false">IFERROR(__xludf.dummyfunction("if($T165&lt;&gt;"""",VALUE(REGEXEXTRACT($T165, SUBSTITUTE(S$1, ""+"", ""\+"")&amp;""[\w &amp;]*, (\d+\.\d+)"")),"""")"),234.96)</f>
        <v>234.96</v>
      </c>
      <c r="T165" s="5" t="s">
        <v>787</v>
      </c>
    </row>
    <row r="166" customFormat="false" ht="15.75" hidden="false" customHeight="false" outlineLevel="0" collapsed="false">
      <c r="A166" s="4" t="n">
        <f aca="false">IFERROR(__xludf.dummyfunction("""COMPUTED_VALUE"""),45645.6666666667)</f>
        <v>45645.6666666667</v>
      </c>
      <c r="B166" s="2" t="n">
        <f aca="false">IFERROR(__xludf.dummyfunction("""COMPUTED_VALUE"""),223.25)</f>
        <v>223.25</v>
      </c>
      <c r="C166" s="2" t="n">
        <f aca="false">IFERROR(__xludf.dummyfunction("""COMPUTED_VALUE"""),224.43)</f>
        <v>224.43</v>
      </c>
      <c r="D166" s="2" t="n">
        <f aca="false">IFERROR(__xludf.dummyfunction("""COMPUTED_VALUE"""),219.33)</f>
        <v>219.33</v>
      </c>
      <c r="E166" s="2" t="n">
        <f aca="false">IFERROR(__xludf.dummyfunction("""COMPUTED_VALUE"""),219.86)</f>
        <v>219.86</v>
      </c>
      <c r="F166" s="3" t="n">
        <f aca="false">IFERROR(__xludf.dummyfunction("if($T166&lt;&gt;"""",VALUE(REGEXEXTRACT(SUBSTITUTE ($T166,F$1&amp;"" CE"",""""), F$1&amp;""[\w &amp;]*, (\d+\.\d+)"")),"""")
"),230)</f>
        <v>230</v>
      </c>
      <c r="G166" s="3" t="n">
        <f aca="false">IFERROR(__xludf.dummyfunction("if($T166&lt;&gt;"""",VALUE(REGEXEXTRACT($T166, G$1&amp;""[\w &amp;]*, (\d+\.\d+)"")),"""")
"),232)</f>
        <v>232</v>
      </c>
      <c r="H166" s="3" t="n">
        <f aca="false">IFERROR(__xludf.dummyfunction("if($T166&lt;&gt;"""",VALUE(REGEXEXTRACT($T166, H$1&amp;""[\w &amp;]*, (\d+\.\d+)"")),"""")
"),242)</f>
        <v>242</v>
      </c>
      <c r="I166" s="3" t="n">
        <f aca="false">IFERROR(__xludf.dummyfunction("if($T166&lt;&gt;"""",VALUE(REGEXEXTRACT(SUBSTITUTE ($T166,I$1&amp;"" CE"",""""), I$1&amp;""[\w &amp;]*, (\d+\.\d+)"")),"""")
"),225)</f>
        <v>225</v>
      </c>
      <c r="J166" s="3" t="n">
        <f aca="false">IFERROR(__xludf.dummyfunction("if($T166&lt;&gt;"""",VALUE(REGEXEXTRACT($T166, J$1&amp;""[\w &amp;]*, (\d+\.\d+)"")),"""")
"),224)</f>
        <v>224</v>
      </c>
      <c r="K166" s="3" t="n">
        <f aca="false">IFERROR(__xludf.dummyfunction("if($T166&lt;&gt;"""",VALUE(REGEXEXTRACT($T166, K$1&amp;""[\w &amp;]*, (\d+\.\d+)"")),"""")
"),223)</f>
        <v>223</v>
      </c>
      <c r="L166" s="3" t="n">
        <f aca="false">IFERROR(__xludf.dummyfunction("if($T166&lt;&gt;"""",VALUE(REGEXEXTRACT(SUBSTITUTE ($T166,L$1&amp;"" CE"",""""), L$1&amp;""[\w &amp;]*, (\d+\.\d+)"")),"""")
"),232.5)</f>
        <v>232.5</v>
      </c>
      <c r="M166" s="3" t="n">
        <f aca="false">IFERROR(__xludf.dummyfunction("if($T166&lt;&gt;"""",VALUE(REGEXEXTRACT($T166, M$1&amp;""[\w &amp;]*, (\d+\.\d+)"")),"""")
"),225)</f>
        <v>225</v>
      </c>
      <c r="N166" s="3" t="n">
        <f aca="false">IFERROR(__xludf.dummyfunction("if($T166&lt;&gt;"""",VALUE(REGEXEXTRACT(SUBSTITUTE ($T166,N$1&amp;"" CE"",""""), N$1&amp;""[\w &amp;]*, (\d+\.\d+)"")),"""")
"),230)</f>
        <v>230</v>
      </c>
      <c r="O166" s="3" t="n">
        <f aca="false">IFERROR(__xludf.dummyfunction("if($T166&lt;&gt;"""",VALUE(REGEXEXTRACT($T166, O$1&amp;""[\w &amp;]*, (\d+\.\d+)"")),"""")
"),224)</f>
        <v>224</v>
      </c>
      <c r="P166" s="2" t="n">
        <f aca="false">IFERROR(__xludf.dummyfunction("if($T166&lt;&gt;"""",VALUE(REGEXEXTRACT($T166, P$1&amp;""[\w &amp;]*, (\d+\.\d+)"")),"""")
"),217.65)</f>
        <v>217.65</v>
      </c>
      <c r="Q166" s="2" t="n">
        <f aca="false">IFERROR(__xludf.dummyfunction("if($T166&lt;&gt;"""",VALUE(REGEXEXTRACT($T166, Q$1&amp;""[\w &amp;]*, (\d+\.\d+)"")),"""")
"),216.32)</f>
        <v>216.32</v>
      </c>
      <c r="R166" s="2" t="n">
        <f aca="false">IFERROR(__xludf.dummyfunction("if($T166&lt;&gt;"""",VALUE(REGEXEXTRACT($T166, SUBSTITUTE(R$1, ""+"", ""\+"")&amp;""[\w &amp;]*, (\d+\.\d+)"")),"""")"),224.03)</f>
        <v>224.03</v>
      </c>
      <c r="S166" s="2" t="n">
        <f aca="false">IFERROR(__xludf.dummyfunction("if($T166&lt;&gt;"""",VALUE(REGEXEXTRACT($T166, SUBSTITUTE(S$1, ""+"", ""\+"")&amp;""[\w &amp;]*, (\d+\.\d+)"")),"""")"),225.36)</f>
        <v>225.36</v>
      </c>
      <c r="T166" s="5" t="s">
        <v>788</v>
      </c>
    </row>
    <row r="167" customFormat="false" ht="15.75" hidden="false" customHeight="false" outlineLevel="0" collapsed="false">
      <c r="A167" s="4" t="n">
        <f aca="false">IFERROR(__xludf.dummyfunction("""COMPUTED_VALUE"""),45646.6666666667)</f>
        <v>45646.6666666667</v>
      </c>
      <c r="B167" s="2" t="n">
        <f aca="false">IFERROR(__xludf.dummyfunction("""COMPUTED_VALUE"""),218.6)</f>
        <v>218.6</v>
      </c>
      <c r="C167" s="2" t="n">
        <f aca="false">IFERROR(__xludf.dummyfunction("""COMPUTED_VALUE"""),224.66)</f>
        <v>224.66</v>
      </c>
      <c r="D167" s="2" t="n">
        <f aca="false">IFERROR(__xludf.dummyfunction("""COMPUTED_VALUE"""),218.07)</f>
        <v>218.07</v>
      </c>
      <c r="E167" s="2" t="n">
        <f aca="false">IFERROR(__xludf.dummyfunction("""COMPUTED_VALUE"""),221.92)</f>
        <v>221.92</v>
      </c>
      <c r="F167" s="3" t="n">
        <f aca="false">IFERROR(__xludf.dummyfunction("if($T167&lt;&gt;"""",VALUE(REGEXEXTRACT(SUBSTITUTE ($T167,F$1&amp;"" CE"",""""), F$1&amp;""[\w &amp;]*, (\d+\.\d+)"")),"""")
"),230)</f>
        <v>230</v>
      </c>
      <c r="G167" s="3" t="n">
        <f aca="false">IFERROR(__xludf.dummyfunction("if($T167&lt;&gt;"""",VALUE(REGEXEXTRACT($T167, G$1&amp;""[\w &amp;]*, (\d+\.\d+)"")),"""")
"),230)</f>
        <v>230</v>
      </c>
      <c r="H167" s="3" t="n">
        <f aca="false">IFERROR(__xludf.dummyfunction("if($T167&lt;&gt;"""",VALUE(REGEXEXTRACT($T167, H$1&amp;""[\w &amp;]*, (\d+\.\d+)"")),"""")
"),242)</f>
        <v>242</v>
      </c>
      <c r="I167" s="3" t="n">
        <f aca="false">IFERROR(__xludf.dummyfunction("if($T167&lt;&gt;"""",VALUE(REGEXEXTRACT(SUBSTITUTE ($T167,I$1&amp;"" CE"",""""), I$1&amp;""[\w &amp;]*, (\d+\.\d+)"")),"""")
"),220)</f>
        <v>220</v>
      </c>
      <c r="J167" s="3" t="n">
        <f aca="false">IFERROR(__xludf.dummyfunction("if($T167&lt;&gt;"""",VALUE(REGEXEXTRACT($T167, J$1&amp;""[\w &amp;]*, (\d+\.\d+)"")),"""")
"),220)</f>
        <v>220</v>
      </c>
      <c r="K167" s="3" t="n">
        <f aca="false">IFERROR(__xludf.dummyfunction("if($T167&lt;&gt;"""",VALUE(REGEXEXTRACT($T167, K$1&amp;""[\w &amp;]*, (\d+\.\d+)"")),"""")
"),218)</f>
        <v>218</v>
      </c>
      <c r="L167" s="3" t="n">
        <f aca="false">IFERROR(__xludf.dummyfunction("if($T167&lt;&gt;"""",VALUE(REGEXEXTRACT(SUBSTITUTE ($T167,L$1&amp;"" CE"",""""), L$1&amp;""[\w &amp;]*, (\d+\.\d+)"")),"""")
"),232.5)</f>
        <v>232.5</v>
      </c>
      <c r="M167" s="3" t="n">
        <f aca="false">IFERROR(__xludf.dummyfunction("if($T167&lt;&gt;"""",VALUE(REGEXEXTRACT($T167, M$1&amp;""[\w &amp;]*, (\d+\.\d+)"")),"""")
"),229)</f>
        <v>229</v>
      </c>
      <c r="N167" s="3" t="n">
        <f aca="false">IFERROR(__xludf.dummyfunction("if($T167&lt;&gt;"""",VALUE(REGEXEXTRACT(SUBSTITUTE ($T167,N$1&amp;"" CE"",""""), N$1&amp;""[\w &amp;]*, (\d+\.\d+)"")),"""")
"),220)</f>
        <v>220</v>
      </c>
      <c r="O167" s="3" t="n">
        <f aca="false">IFERROR(__xludf.dummyfunction("if($T167&lt;&gt;"""",VALUE(REGEXEXTRACT($T167, O$1&amp;""[\w &amp;]*, (\d+\.\d+)"")),"""")
"),220)</f>
        <v>220</v>
      </c>
      <c r="P167" s="2" t="n">
        <f aca="false">IFERROR(__xludf.dummyfunction("if($T167&lt;&gt;"""",VALUE(REGEXEXTRACT($T167, P$1&amp;""[\w &amp;]*, (\d+\.\d+)"")),"""")
"),216.89)</f>
        <v>216.89</v>
      </c>
      <c r="Q167" s="2" t="n">
        <f aca="false">IFERROR(__xludf.dummyfunction("if($T167&lt;&gt;"""",VALUE(REGEXEXTRACT($T167, Q$1&amp;""[\w &amp;]*, (\d+\.\d+)"")),"""")
"),213.91)</f>
        <v>213.91</v>
      </c>
      <c r="R167" s="2" t="n">
        <f aca="false">IFERROR(__xludf.dummyfunction("if($T167&lt;&gt;"""",VALUE(REGEXEXTRACT($T167, SUBSTITUTE(R$1, ""+"", ""\+"")&amp;""[\w &amp;]*, (\d+\.\d+)"")),"""")"),222.83)</f>
        <v>222.83</v>
      </c>
      <c r="S167" s="2" t="n">
        <f aca="false">IFERROR(__xludf.dummyfunction("if($T167&lt;&gt;"""",VALUE(REGEXEXTRACT($T167, SUBSTITUTE(S$1, ""+"", ""\+"")&amp;""[\w &amp;]*, (\d+\.\d+)"")),"""")"),225.81)</f>
        <v>225.81</v>
      </c>
      <c r="T167" s="5" t="s">
        <v>789</v>
      </c>
    </row>
    <row r="168" customFormat="false" ht="15.75" hidden="false" customHeight="false" outlineLevel="0" collapsed="false">
      <c r="A168" s="4" t="n">
        <f aca="false">IFERROR(__xludf.dummyfunction("""COMPUTED_VALUE"""),45649.6666666667)</f>
        <v>45649.6666666667</v>
      </c>
      <c r="B168" s="2" t="n">
        <f aca="false">IFERROR(__xludf.dummyfunction("""COMPUTED_VALUE"""),221.74)</f>
        <v>221.74</v>
      </c>
      <c r="C168" s="2" t="n">
        <f aca="false">IFERROR(__xludf.dummyfunction("""COMPUTED_VALUE"""),222.4)</f>
        <v>222.4</v>
      </c>
      <c r="D168" s="2" t="n">
        <f aca="false">IFERROR(__xludf.dummyfunction("""COMPUTED_VALUE"""),219.38)</f>
        <v>219.38</v>
      </c>
      <c r="E168" s="2" t="n">
        <f aca="false">IFERROR(__xludf.dummyfunction("""COMPUTED_VALUE"""),221.41)</f>
        <v>221.41</v>
      </c>
      <c r="F168" s="3" t="n">
        <f aca="false">IFERROR(__xludf.dummyfunction("if($T168&lt;&gt;"""",VALUE(REGEXEXTRACT(SUBSTITUTE ($T168,F$1&amp;"" CE"",""""), F$1&amp;""[\w &amp;]*, (\d+\.\d+)"")),"""")
"),230)</f>
        <v>230</v>
      </c>
      <c r="G168" s="3" t="n">
        <f aca="false">IFERROR(__xludf.dummyfunction("if($T168&lt;&gt;"""",VALUE(REGEXEXTRACT($T168, G$1&amp;""[\w &amp;]*, (\d+\.\d+)"")),"""")
"),225)</f>
        <v>225</v>
      </c>
      <c r="H168" s="3" t="n">
        <f aca="false">IFERROR(__xludf.dummyfunction("if($T168&lt;&gt;"""",VALUE(REGEXEXTRACT($T168, H$1&amp;""[\w &amp;]*, (\d+\.\d+)"")),"""")
"),242)</f>
        <v>242</v>
      </c>
      <c r="I168" s="3" t="n">
        <f aca="false">IFERROR(__xludf.dummyfunction("if($T168&lt;&gt;"""",VALUE(REGEXEXTRACT(SUBSTITUTE ($T168,I$1&amp;"" CE"",""""), I$1&amp;""[\w &amp;]*, (\d+\.\d+)"")),"""")
"),230)</f>
        <v>230</v>
      </c>
      <c r="J168" s="3" t="n">
        <f aca="false">IFERROR(__xludf.dummyfunction("if($T168&lt;&gt;"""",VALUE(REGEXEXTRACT($T168, J$1&amp;""[\w &amp;]*, (\d+\.\d+)"")),"""")
"),220)</f>
        <v>220</v>
      </c>
      <c r="K168" s="3" t="n">
        <f aca="false">IFERROR(__xludf.dummyfunction("if($T168&lt;&gt;"""",VALUE(REGEXEXTRACT($T168, K$1&amp;""[\w &amp;]*, (\d+\.\d+)"")),"""")
"),207)</f>
        <v>207</v>
      </c>
      <c r="L168" s="3" t="n">
        <f aca="false">IFERROR(__xludf.dummyfunction("if($T168&lt;&gt;"""",VALUE(REGEXEXTRACT(SUBSTITUTE ($T168,L$1&amp;"" CE"",""""), L$1&amp;""[\w &amp;]*, (\d+\.\d+)"")),"""")
"),232.5)</f>
        <v>232.5</v>
      </c>
      <c r="M168" s="3" t="n">
        <f aca="false">IFERROR(__xludf.dummyfunction("if($T168&lt;&gt;"""",VALUE(REGEXEXTRACT($T168, M$1&amp;""[\w &amp;]*, (\d+\.\d+)"")),"""")
"),221)</f>
        <v>221</v>
      </c>
      <c r="N168" s="3" t="n">
        <f aca="false">IFERROR(__xludf.dummyfunction("if($T168&lt;&gt;"""",VALUE(REGEXEXTRACT(SUBSTITUTE ($T168,N$1&amp;"" CE"",""""), N$1&amp;""[\w &amp;]*, (\d+\.\d+)"")),"""")
"),230)</f>
        <v>230</v>
      </c>
      <c r="O168" s="3" t="n">
        <f aca="false">IFERROR(__xludf.dummyfunction("if($T168&lt;&gt;"""",VALUE(REGEXEXTRACT($T168, O$1&amp;""[\w &amp;]*, (\d+\.\d+)"")),"""")
"),225)</f>
        <v>225</v>
      </c>
      <c r="P168" s="2" t="n">
        <f aca="false">IFERROR(__xludf.dummyfunction("if($T168&lt;&gt;"""",VALUE(REGEXEXTRACT($T168, P$1&amp;""[\w &amp;]*, (\d+\.\d+)"")),"""")
"),219.53)</f>
        <v>219.53</v>
      </c>
      <c r="Q168" s="2" t="n">
        <f aca="false">IFERROR(__xludf.dummyfunction("if($T168&lt;&gt;"""",VALUE(REGEXEXTRACT($T168, Q$1&amp;""[\w &amp;]*, (\d+\.\d+)"")),"""")
"),218.55)</f>
        <v>218.55</v>
      </c>
      <c r="R168" s="2" t="n">
        <f aca="false">IFERROR(__xludf.dummyfunction("if($T168&lt;&gt;"""",VALUE(REGEXEXTRACT($T168, SUBSTITUTE(R$1, ""+"", ""\+"")&amp;""[\w &amp;]*, (\d+\.\d+)"")),"""")"),224.31)</f>
        <v>224.31</v>
      </c>
      <c r="S168" s="2" t="n">
        <f aca="false">IFERROR(__xludf.dummyfunction("if($T168&lt;&gt;"""",VALUE(REGEXEXTRACT($T168, SUBSTITUTE(S$1, ""+"", ""\+"")&amp;""[\w &amp;]*, (\d+\.\d+)"")),"""")"),225.29)</f>
        <v>225.29</v>
      </c>
      <c r="T168" s="5" t="s">
        <v>790</v>
      </c>
    </row>
    <row r="169" customFormat="false" ht="15.75" hidden="false" customHeight="false" outlineLevel="0" collapsed="false">
      <c r="A169" s="4" t="n">
        <f aca="false">IFERROR(__xludf.dummyfunction("""COMPUTED_VALUE"""),45650.5416666667)</f>
        <v>45650.5416666667</v>
      </c>
      <c r="B169" s="2" t="n">
        <f aca="false">IFERROR(__xludf.dummyfunction("""COMPUTED_VALUE"""),222.02)</f>
        <v>222.02</v>
      </c>
      <c r="C169" s="2" t="n">
        <f aca="false">IFERROR(__xludf.dummyfunction("""COMPUTED_VALUE"""),223.63)</f>
        <v>223.63</v>
      </c>
      <c r="D169" s="2" t="n">
        <f aca="false">IFERROR(__xludf.dummyfunction("""COMPUTED_VALUE"""),220.48)</f>
        <v>220.48</v>
      </c>
      <c r="E169" s="2" t="n">
        <f aca="false">IFERROR(__xludf.dummyfunction("""COMPUTED_VALUE"""),223.39)</f>
        <v>223.39</v>
      </c>
      <c r="F169" s="3" t="n">
        <f aca="false">IFERROR(__xludf.dummyfunction("if($T169&lt;&gt;"""",VALUE(REGEXEXTRACT(SUBSTITUTE ($T169,F$1&amp;"" CE"",""""), F$1&amp;""[\w &amp;]*, (\d+\.\d+)"")),"""")
"),230)</f>
        <v>230</v>
      </c>
      <c r="G169" s="3" t="n">
        <f aca="false">IFERROR(__xludf.dummyfunction("if($T169&lt;&gt;"""",VALUE(REGEXEXTRACT($T169, G$1&amp;""[\w &amp;]*, (\d+\.\d+)"")),"""")
"),222)</f>
        <v>222</v>
      </c>
      <c r="H169" s="3" t="n">
        <f aca="false">IFERROR(__xludf.dummyfunction("if($T169&lt;&gt;"""",VALUE(REGEXEXTRACT($T169, H$1&amp;""[\w &amp;]*, (\d+\.\d+)"")),"""")
"),242)</f>
        <v>242</v>
      </c>
      <c r="I169" s="3" t="n">
        <f aca="false">IFERROR(__xludf.dummyfunction("if($T169&lt;&gt;"""",VALUE(REGEXEXTRACT(SUBSTITUTE ($T169,I$1&amp;"" CE"",""""), I$1&amp;""[\w &amp;]*, (\d+\.\d+)"")),"""")
"),230)</f>
        <v>230</v>
      </c>
      <c r="J169" s="3" t="n">
        <f aca="false">IFERROR(__xludf.dummyfunction("if($T169&lt;&gt;"""",VALUE(REGEXEXTRACT($T169, J$1&amp;""[\w &amp;]*, (\d+\.\d+)"")),"""")
"),220)</f>
        <v>220</v>
      </c>
      <c r="K169" s="3" t="n">
        <f aca="false">IFERROR(__xludf.dummyfunction("if($T169&lt;&gt;"""",VALUE(REGEXEXTRACT($T169, K$1&amp;""[\w &amp;]*, (\d+\.\d+)"")),"""")
"),205)</f>
        <v>205</v>
      </c>
      <c r="L169" s="3" t="n">
        <f aca="false">IFERROR(__xludf.dummyfunction("if($T169&lt;&gt;"""",VALUE(REGEXEXTRACT(SUBSTITUTE ($T169,L$1&amp;"" CE"",""""), L$1&amp;""[\w &amp;]*, (\d+\.\d+)"")),"""")
"),232)</f>
        <v>232</v>
      </c>
      <c r="M169" s="3" t="n">
        <f aca="false">IFERROR(__xludf.dummyfunction("if($T169&lt;&gt;"""",VALUE(REGEXEXTRACT($T169, M$1&amp;""[\w &amp;]*, (\d+\.\d+)"")),"""")
"),220)</f>
        <v>220</v>
      </c>
      <c r="N169" s="3" t="n">
        <f aca="false">IFERROR(__xludf.dummyfunction("if($T169&lt;&gt;"""",VALUE(REGEXEXTRACT(SUBSTITUTE ($T169,N$1&amp;"" CE"",""""), N$1&amp;""[\w &amp;]*, (\d+\.\d+)"")),"""")
"),220)</f>
        <v>220</v>
      </c>
      <c r="O169" s="3" t="n">
        <f aca="false">IFERROR(__xludf.dummyfunction("if($T169&lt;&gt;"""",VALUE(REGEXEXTRACT($T169, O$1&amp;""[\w &amp;]*, (\d+\.\d+)"")),"""")
"),222)</f>
        <v>222</v>
      </c>
      <c r="P169" s="2" t="n">
        <f aca="false">IFERROR(__xludf.dummyfunction("if($T169&lt;&gt;"""",VALUE(REGEXEXTRACT($T169, P$1&amp;""[\w &amp;]*, (\d+\.\d+)"")),"""")
"),219.12)</f>
        <v>219.12</v>
      </c>
      <c r="Q169" s="2" t="n">
        <f aca="false">IFERROR(__xludf.dummyfunction("if($T169&lt;&gt;"""",VALUE(REGEXEXTRACT($T169, Q$1&amp;""[\w &amp;]*, (\d+\.\d+)"")),"""")
"),217.45)</f>
        <v>217.45</v>
      </c>
      <c r="R169" s="2" t="n">
        <f aca="false">IFERROR(__xludf.dummyfunction("if($T169&lt;&gt;"""",VALUE(REGEXEXTRACT($T169, SUBSTITUTE(R$1, ""+"", ""\+"")&amp;""[\w &amp;]*, (\d+\.\d+)"")),"""")"),223.7)</f>
        <v>223.7</v>
      </c>
      <c r="S169" s="2" t="n">
        <f aca="false">IFERROR(__xludf.dummyfunction("if($T169&lt;&gt;"""",VALUE(REGEXEXTRACT($T169, SUBSTITUTE(S$1, ""+"", ""\+"")&amp;""[\w &amp;]*, (\d+\.\d+)"")),"""")"),225.37)</f>
        <v>225.37</v>
      </c>
      <c r="T169" s="5" t="s">
        <v>791</v>
      </c>
    </row>
    <row r="170" customFormat="false" ht="15.75" hidden="false" customHeight="false" outlineLevel="0" collapsed="false">
      <c r="A170" s="4" t="n">
        <f aca="false">IFERROR(__xludf.dummyfunction("""COMPUTED_VALUE"""),45652.6666666667)</f>
        <v>45652.6666666667</v>
      </c>
      <c r="B170" s="2" t="n">
        <f aca="false">IFERROR(__xludf.dummyfunction("""COMPUTED_VALUE"""),222.42)</f>
        <v>222.42</v>
      </c>
      <c r="C170" s="2" t="n">
        <f aca="false">IFERROR(__xludf.dummyfunction("""COMPUTED_VALUE"""),226.14)</f>
        <v>226.14</v>
      </c>
      <c r="D170" s="2" t="n">
        <f aca="false">IFERROR(__xludf.dummyfunction("""COMPUTED_VALUE"""),221.47)</f>
        <v>221.47</v>
      </c>
      <c r="E170" s="2" t="n">
        <f aca="false">IFERROR(__xludf.dummyfunction("""COMPUTED_VALUE"""),225.68)</f>
        <v>225.68</v>
      </c>
      <c r="F170" s="3" t="n">
        <f aca="false">IFERROR(__xludf.dummyfunction("if($T170&lt;&gt;"""",VALUE(REGEXEXTRACT(SUBSTITUTE ($T170,F$1&amp;"" CE"",""""), F$1&amp;""[\w &amp;]*, (\d+\.\d+)"")),"""")
"),230)</f>
        <v>230</v>
      </c>
      <c r="G170" s="3" t="n">
        <f aca="false">IFERROR(__xludf.dummyfunction("if($T170&lt;&gt;"""",VALUE(REGEXEXTRACT($T170, G$1&amp;""[\w &amp;]*, (\d+\.\d+)"")),"""")
"),225)</f>
        <v>225</v>
      </c>
      <c r="H170" s="3" t="str">
        <f aca="false">IFERROR(__xludf.dummyfunction("if($T170&lt;&gt;"""",VALUE(REGEXEXTRACT($T170, H$1&amp;""[\w &amp;]*, (\d+\.\d+)"")),"""")
"),"#N/A")</f>
        <v>#N/A</v>
      </c>
      <c r="I170" s="3" t="n">
        <f aca="false">IFERROR(__xludf.dummyfunction("if($T170&lt;&gt;"""",VALUE(REGEXEXTRACT(SUBSTITUTE ($T170,I$1&amp;"" CE"",""""), I$1&amp;""[\w &amp;]*, (\d+\.\d+)"")),"""")
"),230)</f>
        <v>230</v>
      </c>
      <c r="J170" s="3" t="n">
        <f aca="false">IFERROR(__xludf.dummyfunction("if($T170&lt;&gt;"""",VALUE(REGEXEXTRACT($T170, J$1&amp;""[\w &amp;]*, (\d+\.\d+)"")),"""")
"),221)</f>
        <v>221</v>
      </c>
      <c r="K170" s="3" t="n">
        <f aca="false">IFERROR(__xludf.dummyfunction("if($T170&lt;&gt;"""",VALUE(REGEXEXTRACT($T170, K$1&amp;""[\w &amp;]*, (\d+\.\d+)"")),"""")
"),207)</f>
        <v>207</v>
      </c>
      <c r="L170" s="3" t="n">
        <f aca="false">IFERROR(__xludf.dummyfunction("if($T170&lt;&gt;"""",VALUE(REGEXEXTRACT(SUBSTITUTE ($T170,L$1&amp;"" CE"",""""), L$1&amp;""[\w &amp;]*, (\d+\.\d+)"")),"""")
"),232)</f>
        <v>232</v>
      </c>
      <c r="M170" s="3" t="n">
        <f aca="false">IFERROR(__xludf.dummyfunction("if($T170&lt;&gt;"""",VALUE(REGEXEXTRACT($T170, M$1&amp;""[\w &amp;]*, (\d+\.\d+)"")),"""")
"),222)</f>
        <v>222</v>
      </c>
      <c r="N170" s="3" t="n">
        <f aca="false">IFERROR(__xludf.dummyfunction("if($T170&lt;&gt;"""",VALUE(REGEXEXTRACT(SUBSTITUTE ($T170,N$1&amp;"" CE"",""""), N$1&amp;""[\w &amp;]*, (\d+\.\d+)"")),"""")
"),225)</f>
        <v>225</v>
      </c>
      <c r="O170" s="3" t="n">
        <f aca="false">IFERROR(__xludf.dummyfunction("if($T170&lt;&gt;"""",VALUE(REGEXEXTRACT($T170, O$1&amp;""[\w &amp;]*, (\d+\.\d+)"")),"""")
"),225)</f>
        <v>225</v>
      </c>
      <c r="P170" s="2" t="n">
        <f aca="false">IFERROR(__xludf.dummyfunction("if($T170&lt;&gt;"""",VALUE(REGEXEXTRACT($T170, P$1&amp;""[\w &amp;]*, (\d+\.\d+)"")),"""")
"),221.62)</f>
        <v>221.62</v>
      </c>
      <c r="Q170" s="2" t="n">
        <f aca="false">IFERROR(__xludf.dummyfunction("if($T170&lt;&gt;"""",VALUE(REGEXEXTRACT($T170, Q$1&amp;""[\w &amp;]*, (\d+\.\d+)"")),"""")
"),220.89)</f>
        <v>220.89</v>
      </c>
      <c r="R170" s="2" t="n">
        <f aca="false">IFERROR(__xludf.dummyfunction("if($T170&lt;&gt;"""",VALUE(REGEXEXTRACT($T170, SUBSTITUTE(R$1, ""+"", ""\+"")&amp;""[\w &amp;]*, (\d+\.\d+)"")),"""")"),225.16)</f>
        <v>225.16</v>
      </c>
      <c r="S170" s="2" t="n">
        <f aca="false">IFERROR(__xludf.dummyfunction("if($T170&lt;&gt;"""",VALUE(REGEXEXTRACT($T170, SUBSTITUTE(S$1, ""+"", ""\+"")&amp;""[\w &amp;]*, (\d+\.\d+)"")),"""")"),225.89)</f>
        <v>225.89</v>
      </c>
      <c r="T170" s="5" t="s">
        <v>792</v>
      </c>
    </row>
    <row r="171" customFormat="false" ht="15.75" hidden="false" customHeight="false" outlineLevel="0" collapsed="false">
      <c r="A171" s="4" t="n">
        <f aca="false">IFERROR(__xludf.dummyfunction("""COMPUTED_VALUE"""),45653.6666666667)</f>
        <v>45653.6666666667</v>
      </c>
      <c r="B171" s="2" t="n">
        <f aca="false">IFERROR(__xludf.dummyfunction("""COMPUTED_VALUE"""),224.29)</f>
        <v>224.29</v>
      </c>
      <c r="C171" s="2" t="n">
        <f aca="false">IFERROR(__xludf.dummyfunction("""COMPUTED_VALUE"""),225.44)</f>
        <v>225.44</v>
      </c>
      <c r="D171" s="2" t="n">
        <f aca="false">IFERROR(__xludf.dummyfunction("""COMPUTED_VALUE"""),220.2)</f>
        <v>220.2</v>
      </c>
      <c r="E171" s="2" t="n">
        <f aca="false">IFERROR(__xludf.dummyfunction("""COMPUTED_VALUE"""),222.39)</f>
        <v>222.39</v>
      </c>
      <c r="F171" s="3" t="n">
        <f aca="false">IFERROR(__xludf.dummyfunction("if($T171&lt;&gt;"""",VALUE(REGEXEXTRACT(SUBSTITUTE ($T171,F$1&amp;"" CE"",""""), F$1&amp;""[\w &amp;]*, (\d+\.\d+)"")),"""")
"),230)</f>
        <v>230</v>
      </c>
      <c r="G171" s="3" t="n">
        <f aca="false">IFERROR(__xludf.dummyfunction("if($T171&lt;&gt;"""",VALUE(REGEXEXTRACT($T171, G$1&amp;""[\w &amp;]*, (\d+\.\d+)"")),"""")
"),225)</f>
        <v>225</v>
      </c>
      <c r="H171" s="3" t="n">
        <f aca="false">IFERROR(__xludf.dummyfunction("if($T171&lt;&gt;"""",VALUE(REGEXEXTRACT($T171, H$1&amp;""[\w &amp;]*, (\d+\.\d+)"")),"""")
"),242)</f>
        <v>242</v>
      </c>
      <c r="I171" s="3" t="n">
        <f aca="false">IFERROR(__xludf.dummyfunction("if($T171&lt;&gt;"""",VALUE(REGEXEXTRACT(SUBSTITUTE ($T171,I$1&amp;"" CE"",""""), I$1&amp;""[\w &amp;]*, (\d+\.\d+)"")),"""")
"),230)</f>
        <v>230</v>
      </c>
      <c r="J171" s="3" t="n">
        <f aca="false">IFERROR(__xludf.dummyfunction("if($T171&lt;&gt;"""",VALUE(REGEXEXTRACT($T171, J$1&amp;""[\w &amp;]*, (\d+\.\d+)"")),"""")
"),220)</f>
        <v>220</v>
      </c>
      <c r="K171" s="3" t="n">
        <f aca="false">IFERROR(__xludf.dummyfunction("if($T171&lt;&gt;"""",VALUE(REGEXEXTRACT($T171, K$1&amp;""[\w &amp;]*, (\d+\.\d+)"")),"""")
"),207)</f>
        <v>207</v>
      </c>
      <c r="L171" s="3" t="n">
        <f aca="false">IFERROR(__xludf.dummyfunction("if($T171&lt;&gt;"""",VALUE(REGEXEXTRACT(SUBSTITUTE ($T171,L$1&amp;"" CE"",""""), L$1&amp;""[\w &amp;]*, (\d+\.\d+)"")),"""")
"),224)</f>
        <v>224</v>
      </c>
      <c r="M171" s="3" t="n">
        <f aca="false">IFERROR(__xludf.dummyfunction("if($T171&lt;&gt;"""",VALUE(REGEXEXTRACT($T171, M$1&amp;""[\w &amp;]*, (\d+\.\d+)"")),"""")
"),223)</f>
        <v>223</v>
      </c>
      <c r="N171" s="3" t="n">
        <f aca="false">IFERROR(__xludf.dummyfunction("if($T171&lt;&gt;"""",VALUE(REGEXEXTRACT(SUBSTITUTE ($T171,N$1&amp;"" CE"",""""), N$1&amp;""[\w &amp;]*, (\d+\.\d+)"")),"""")
"),230)</f>
        <v>230</v>
      </c>
      <c r="O171" s="3" t="n">
        <f aca="false">IFERROR(__xludf.dummyfunction("if($T171&lt;&gt;"""",VALUE(REGEXEXTRACT($T171, O$1&amp;""[\w &amp;]*, (\d+\.\d+)"")),"""")
"),225)</f>
        <v>225</v>
      </c>
      <c r="P171" s="2" t="n">
        <f aca="false">IFERROR(__xludf.dummyfunction("if($T171&lt;&gt;"""",VALUE(REGEXEXTRACT($T171, P$1&amp;""[\w &amp;]*, (\d+\.\d+)"")),"""")
"),223.49)</f>
        <v>223.49</v>
      </c>
      <c r="Q171" s="2" t="n">
        <f aca="false">IFERROR(__xludf.dummyfunction("if($T171&lt;&gt;"""",VALUE(REGEXEXTRACT($T171, Q$1&amp;""[\w &amp;]*, (\d+\.\d+)"")),"""")
"),221.31)</f>
        <v>221.31</v>
      </c>
      <c r="R171" s="2" t="n">
        <f aca="false">IFERROR(__xludf.dummyfunction("if($T171&lt;&gt;"""",VALUE(REGEXEXTRACT($T171, SUBSTITUTE(R$1, ""+"", ""\+"")&amp;""[\w &amp;]*, (\d+\.\d+)"")),"""")"),227.87)</f>
        <v>227.87</v>
      </c>
      <c r="S171" s="2" t="n">
        <f aca="false">IFERROR(__xludf.dummyfunction("if($T171&lt;&gt;"""",VALUE(REGEXEXTRACT($T171, SUBSTITUTE(S$1, ""+"", ""\+"")&amp;""[\w &amp;]*, (\d+\.\d+)"")),"""")"),230.05)</f>
        <v>230.05</v>
      </c>
      <c r="T171" s="5" t="s">
        <v>793</v>
      </c>
    </row>
    <row r="172" customFormat="false" ht="15.75" hidden="false" customHeight="false" outlineLevel="0" collapsed="false">
      <c r="A172" s="4" t="n">
        <f aca="false">IFERROR(__xludf.dummyfunction("""COMPUTED_VALUE"""),45656.6666666667)</f>
        <v>45656.6666666667</v>
      </c>
      <c r="B172" s="2" t="n">
        <f aca="false">IFERROR(__xludf.dummyfunction("""COMPUTED_VALUE"""),220.67)</f>
        <v>220.67</v>
      </c>
      <c r="C172" s="2" t="n">
        <f aca="false">IFERROR(__xludf.dummyfunction("""COMPUTED_VALUE"""),221.81)</f>
        <v>221.81</v>
      </c>
      <c r="D172" s="2" t="n">
        <f aca="false">IFERROR(__xludf.dummyfunction("""COMPUTED_VALUE"""),217.85)</f>
        <v>217.85</v>
      </c>
      <c r="E172" s="2" t="n">
        <f aca="false">IFERROR(__xludf.dummyfunction("""COMPUTED_VALUE"""),220.68)</f>
        <v>220.68</v>
      </c>
      <c r="F172" s="3" t="n">
        <f aca="false">IFERROR(__xludf.dummyfunction("if($T172&lt;&gt;"""",VALUE(REGEXEXTRACT(SUBSTITUTE ($T172,F$1&amp;"" CE"",""""), F$1&amp;""[\w &amp;]*, (\d+\.\d+)"")),"""")
"),230)</f>
        <v>230</v>
      </c>
      <c r="G172" s="3" t="n">
        <f aca="false">IFERROR(__xludf.dummyfunction("if($T172&lt;&gt;"""",VALUE(REGEXEXTRACT($T172, G$1&amp;""[\w &amp;]*, (\d+\.\d+)"")),"""")
"),227)</f>
        <v>227</v>
      </c>
      <c r="H172" s="3" t="str">
        <f aca="false">IFERROR(__xludf.dummyfunction("if($T172&lt;&gt;"""",VALUE(REGEXEXTRACT($T172, H$1&amp;""[\w &amp;]*, (\d+\.\d+)"")),"""")
"),"#N/A")</f>
        <v>#N/A</v>
      </c>
      <c r="I172" s="3" t="n">
        <f aca="false">IFERROR(__xludf.dummyfunction("if($T172&lt;&gt;"""",VALUE(REGEXEXTRACT(SUBSTITUTE ($T172,I$1&amp;"" CE"",""""), I$1&amp;""[\w &amp;]*, (\d+\.\d+)"")),"""")
"),230)</f>
        <v>230</v>
      </c>
      <c r="J172" s="3" t="n">
        <f aca="false">IFERROR(__xludf.dummyfunction("if($T172&lt;&gt;"""",VALUE(REGEXEXTRACT($T172, J$1&amp;""[\w &amp;]*, (\d+\.\d+)"")),"""")
"),220)</f>
        <v>220</v>
      </c>
      <c r="K172" s="3" t="n">
        <f aca="false">IFERROR(__xludf.dummyfunction("if($T172&lt;&gt;"""",VALUE(REGEXEXTRACT($T172, K$1&amp;""[\w &amp;]*, (\d+\.\d+)"")),"""")
"),207)</f>
        <v>207</v>
      </c>
      <c r="L172" s="3" t="n">
        <f aca="false">IFERROR(__xludf.dummyfunction("if($T172&lt;&gt;"""",VALUE(REGEXEXTRACT(SUBSTITUTE ($T172,L$1&amp;"" CE"",""""), L$1&amp;""[\w &amp;]*, (\d+\.\d+)"")),"""")
"),232)</f>
        <v>232</v>
      </c>
      <c r="M172" s="3" t="n">
        <f aca="false">IFERROR(__xludf.dummyfunction("if($T172&lt;&gt;"""",VALUE(REGEXEXTRACT($T172, M$1&amp;""[\w &amp;]*, (\d+\.\d+)"")),"""")
"),220)</f>
        <v>220</v>
      </c>
      <c r="N172" s="3" t="n">
        <f aca="false">IFERROR(__xludf.dummyfunction("if($T172&lt;&gt;"""",VALUE(REGEXEXTRACT(SUBSTITUTE ($T172,N$1&amp;"" CE"",""""), N$1&amp;""[\w &amp;]*, (\d+\.\d+)"")),"""")
"),220)</f>
        <v>220</v>
      </c>
      <c r="O172" s="3" t="n">
        <f aca="false">IFERROR(__xludf.dummyfunction("if($T172&lt;&gt;"""",VALUE(REGEXEXTRACT($T172, O$1&amp;""[\w &amp;]*, (\d+\.\d+)"")),"""")
"),222)</f>
        <v>222</v>
      </c>
      <c r="P172" s="2" t="n">
        <f aca="false">IFERROR(__xludf.dummyfunction("if($T172&lt;&gt;"""",VALUE(REGEXEXTRACT($T172, P$1&amp;""[\w &amp;]*, (\d+\.\d+)"")),"""")
"),220.27)</f>
        <v>220.27</v>
      </c>
      <c r="Q172" s="2" t="n">
        <f aca="false">IFERROR(__xludf.dummyfunction("if($T172&lt;&gt;"""",VALUE(REGEXEXTRACT($T172, Q$1&amp;""[\w &amp;]*, (\d+\.\d+)"")),"""")
"),219.39)</f>
        <v>219.39</v>
      </c>
      <c r="R172" s="2" t="n">
        <f aca="false">IFERROR(__xludf.dummyfunction("if($T172&lt;&gt;"""",VALUE(REGEXEXTRACT($T172, SUBSTITUTE(R$1, ""+"", ""\+"")&amp;""[\w &amp;]*, (\d+\.\d+)"")),"""")"),224.51)</f>
        <v>224.51</v>
      </c>
      <c r="S172" s="2" t="n">
        <f aca="false">IFERROR(__xludf.dummyfunction("if($T172&lt;&gt;"""",VALUE(REGEXEXTRACT($T172, SUBSTITUTE(S$1, ""+"", ""\+"")&amp;""[\w &amp;]*, (\d+\.\d+)"")),"""")"),225.39)</f>
        <v>225.39</v>
      </c>
      <c r="T172" s="5" t="s">
        <v>794</v>
      </c>
    </row>
    <row r="173" customFormat="false" ht="15.75" hidden="false" customHeight="false" outlineLevel="0" collapsed="false">
      <c r="A173" s="4" t="n">
        <f aca="false">IFERROR(__xludf.dummyfunction("""COMPUTED_VALUE"""),45657.6666666667)</f>
        <v>45657.6666666667</v>
      </c>
      <c r="B173" s="2" t="n">
        <f aca="false">IFERROR(__xludf.dummyfunction("""COMPUTED_VALUE"""),222.12)</f>
        <v>222.12</v>
      </c>
      <c r="C173" s="2" t="n">
        <f aca="false">IFERROR(__xludf.dummyfunction("""COMPUTED_VALUE"""),223.28)</f>
        <v>223.28</v>
      </c>
      <c r="D173" s="2" t="n">
        <f aca="false">IFERROR(__xludf.dummyfunction("""COMPUTED_VALUE"""),220.15)</f>
        <v>220.15</v>
      </c>
      <c r="E173" s="2" t="n">
        <f aca="false">IFERROR(__xludf.dummyfunction("""COMPUTED_VALUE"""),220.96)</f>
        <v>220.96</v>
      </c>
      <c r="F173" s="3" t="n">
        <f aca="false">IFERROR(__xludf.dummyfunction("if($T173&lt;&gt;"""",VALUE(REGEXEXTRACT(SUBSTITUTE ($T173,F$1&amp;"" CE"",""""), F$1&amp;""[\w &amp;]*, (\d+\.\d+)"")),"""")
"),220)</f>
        <v>220</v>
      </c>
      <c r="G173" s="3" t="n">
        <f aca="false">IFERROR(__xludf.dummyfunction("if($T173&lt;&gt;"""",VALUE(REGEXEXTRACT($T173, G$1&amp;""[\w &amp;]*, (\d+\.\d+)"")),"""")
"),225)</f>
        <v>225</v>
      </c>
      <c r="H173" s="3" t="str">
        <f aca="false">IFERROR(__xludf.dummyfunction("if($T173&lt;&gt;"""",VALUE(REGEXEXTRACT($T173, H$1&amp;""[\w &amp;]*, (\d+\.\d+)"")),"""")
"),"#N/A")</f>
        <v>#N/A</v>
      </c>
      <c r="I173" s="3" t="n">
        <f aca="false">IFERROR(__xludf.dummyfunction("if($T173&lt;&gt;"""",VALUE(REGEXEXTRACT(SUBSTITUTE ($T173,I$1&amp;"" CE"",""""), I$1&amp;""[\w &amp;]*, (\d+\.\d+)"")),"""")
"),220)</f>
        <v>220</v>
      </c>
      <c r="J173" s="3" t="n">
        <f aca="false">IFERROR(__xludf.dummyfunction("if($T173&lt;&gt;"""",VALUE(REGEXEXTRACT($T173, J$1&amp;""[\w &amp;]*, (\d+\.\d+)"")),"""")
"),220)</f>
        <v>220</v>
      </c>
      <c r="K173" s="3" t="n">
        <f aca="false">IFERROR(__xludf.dummyfunction("if($T173&lt;&gt;"""",VALUE(REGEXEXTRACT($T173, K$1&amp;""[\w &amp;]*, (\d+\.\d+)"")),"""")
"),207)</f>
        <v>207</v>
      </c>
      <c r="L173" s="3" t="n">
        <f aca="false">IFERROR(__xludf.dummyfunction("if($T173&lt;&gt;"""",VALUE(REGEXEXTRACT(SUBSTITUTE ($T173,L$1&amp;"" CE"",""""), L$1&amp;""[\w &amp;]*, (\d+\.\d+)"")),"""")
"),232)</f>
        <v>232</v>
      </c>
      <c r="M173" s="3" t="n">
        <f aca="false">IFERROR(__xludf.dummyfunction("if($T173&lt;&gt;"""",VALUE(REGEXEXTRACT($T173, M$1&amp;""[\w &amp;]*, (\d+\.\d+)"")),"""")
"),220)</f>
        <v>220</v>
      </c>
      <c r="N173" s="3" t="n">
        <f aca="false">IFERROR(__xludf.dummyfunction("if($T173&lt;&gt;"""",VALUE(REGEXEXTRACT(SUBSTITUTE ($T173,N$1&amp;"" CE"",""""), N$1&amp;""[\w &amp;]*, (\d+\.\d+)"")),"""")
"),220)</f>
        <v>220</v>
      </c>
      <c r="O173" s="3" t="n">
        <f aca="false">IFERROR(__xludf.dummyfunction("if($T173&lt;&gt;"""",VALUE(REGEXEXTRACT($T173, O$1&amp;""[\w &amp;]*, (\d+\.\d+)"")),"""")
"),220)</f>
        <v>220</v>
      </c>
      <c r="P173" s="2" t="n">
        <f aca="false">IFERROR(__xludf.dummyfunction("if($T173&lt;&gt;"""",VALUE(REGEXEXTRACT($T173, P$1&amp;""[\w &amp;]*, (\d+\.\d+)"")),"""")
"),218.37)</f>
        <v>218.37</v>
      </c>
      <c r="Q173" s="2" t="n">
        <f aca="false">IFERROR(__xludf.dummyfunction("if($T173&lt;&gt;"""",VALUE(REGEXEXTRACT($T173, Q$1&amp;""[\w &amp;]*, (\d+\.\d+)"")),"""")
"),216.69)</f>
        <v>216.69</v>
      </c>
      <c r="R173" s="2" t="n">
        <f aca="false">IFERROR(__xludf.dummyfunction("if($T173&lt;&gt;"""",VALUE(REGEXEXTRACT($T173, SUBSTITUTE(R$1, ""+"", ""\+"")&amp;""[\w &amp;]*, (\d+\.\d+)"")),"""")"),222.99)</f>
        <v>222.99</v>
      </c>
      <c r="S173" s="2" t="n">
        <f aca="false">IFERROR(__xludf.dummyfunction("if($T173&lt;&gt;"""",VALUE(REGEXEXTRACT($T173, SUBSTITUTE(S$1, ""+"", ""\+"")&amp;""[\w &amp;]*, (\d+\.\d+)"")),"""")"),224.67)</f>
        <v>224.67</v>
      </c>
      <c r="T173" s="5" t="s">
        <v>795</v>
      </c>
    </row>
    <row r="174" customFormat="false" ht="15.75" hidden="false" customHeight="false" outlineLevel="0" collapsed="false">
      <c r="A174" s="4" t="n">
        <f aca="false">IFERROR(__xludf.dummyfunction("""COMPUTED_VALUE"""),45659.6666666667)</f>
        <v>45659.6666666667</v>
      </c>
      <c r="B174" s="2" t="n">
        <f aca="false">IFERROR(__xludf.dummyfunction("""COMPUTED_VALUE"""),222.93)</f>
        <v>222.93</v>
      </c>
      <c r="C174" s="2" t="n">
        <f aca="false">IFERROR(__xludf.dummyfunction("""COMPUTED_VALUE"""),224.37)</f>
        <v>224.37</v>
      </c>
      <c r="D174" s="2" t="n">
        <f aca="false">IFERROR(__xludf.dummyfunction("""COMPUTED_VALUE"""),219.6)</f>
        <v>219.6</v>
      </c>
      <c r="E174" s="2" t="n">
        <f aca="false">IFERROR(__xludf.dummyfunction("""COMPUTED_VALUE"""),221.14)</f>
        <v>221.14</v>
      </c>
      <c r="F174" s="3" t="n">
        <f aca="false">IFERROR(__xludf.dummyfunction("if($T174&lt;&gt;"""",VALUE(REGEXEXTRACT(SUBSTITUTE ($T174,F$1&amp;"" CE"",""""), F$1&amp;""[\w &amp;]*, (\d+\.\d+)"")),"""")
"),230)</f>
        <v>230</v>
      </c>
      <c r="G174" s="3" t="n">
        <f aca="false">IFERROR(__xludf.dummyfunction("if($T174&lt;&gt;"""",VALUE(REGEXEXTRACT($T174, G$1&amp;""[\w &amp;]*, (\d+\.\d+)"")),"""")
"),226)</f>
        <v>226</v>
      </c>
      <c r="H174" s="3" t="n">
        <f aca="false">IFERROR(__xludf.dummyfunction("if($T174&lt;&gt;"""",VALUE(REGEXEXTRACT($T174, H$1&amp;""[\w &amp;]*, (\d+\.\d+)"")),"""")
"),243)</f>
        <v>243</v>
      </c>
      <c r="I174" s="3" t="n">
        <f aca="false">IFERROR(__xludf.dummyfunction("if($T174&lt;&gt;"""",VALUE(REGEXEXTRACT(SUBSTITUTE ($T174,I$1&amp;"" CE"",""""), I$1&amp;""[\w &amp;]*, (\d+\.\d+)"")),"""")
"),230)</f>
        <v>230</v>
      </c>
      <c r="J174" s="3" t="n">
        <f aca="false">IFERROR(__xludf.dummyfunction("if($T174&lt;&gt;"""",VALUE(REGEXEXTRACT($T174, J$1&amp;""[\w &amp;]*, (\d+\.\d+)"")),"""")
"),222)</f>
        <v>222</v>
      </c>
      <c r="K174" s="3" t="n">
        <f aca="false">IFERROR(__xludf.dummyfunction("if($T174&lt;&gt;"""",VALUE(REGEXEXTRACT($T174, K$1&amp;""[\w &amp;]*, (\d+\.\d+)"")),"""")
"),207)</f>
        <v>207</v>
      </c>
      <c r="L174" s="3" t="n">
        <f aca="false">IFERROR(__xludf.dummyfunction("if($T174&lt;&gt;"""",VALUE(REGEXEXTRACT(SUBSTITUTE ($T174,L$1&amp;"" CE"",""""), L$1&amp;""[\w &amp;]*, (\d+\.\d+)"")),"""")
"),229)</f>
        <v>229</v>
      </c>
      <c r="M174" s="3" t="n">
        <f aca="false">IFERROR(__xludf.dummyfunction("if($T174&lt;&gt;"""",VALUE(REGEXEXTRACT($T174, M$1&amp;""[\w &amp;]*, (\d+\.\d+)"")),"""")
"),222)</f>
        <v>222</v>
      </c>
      <c r="N174" s="3" t="n">
        <f aca="false">IFERROR(__xludf.dummyfunction("if($T174&lt;&gt;"""",VALUE(REGEXEXTRACT(SUBSTITUTE ($T174,N$1&amp;"" CE"",""""), N$1&amp;""[\w &amp;]*, (\d+\.\d+)"")),"""")
"),230)</f>
        <v>230</v>
      </c>
      <c r="O174" s="3" t="n">
        <f aca="false">IFERROR(__xludf.dummyfunction("if($T174&lt;&gt;"""",VALUE(REGEXEXTRACT($T174, O$1&amp;""[\w &amp;]*, (\d+\.\d+)"")),"""")
"),226)</f>
        <v>226</v>
      </c>
      <c r="P174" s="2" t="n">
        <f aca="false">IFERROR(__xludf.dummyfunction("if($T174&lt;&gt;"""",VALUE(REGEXEXTRACT($T174, P$1&amp;""[\w &amp;]*, (\d+\.\d+)"")),"""")
"),222.35)</f>
        <v>222.35</v>
      </c>
      <c r="Q174" s="2" t="n">
        <f aca="false">IFERROR(__xludf.dummyfunction("if($T174&lt;&gt;"""",VALUE(REGEXEXTRACT($T174, Q$1&amp;""[\w &amp;]*, (\d+\.\d+)"")),"""")
"),221.48)</f>
        <v>221.48</v>
      </c>
      <c r="R174" s="2" t="n">
        <f aca="false">IFERROR(__xludf.dummyfunction("if($T174&lt;&gt;"""",VALUE(REGEXEXTRACT($T174, SUBSTITUTE(R$1, ""+"", ""\+"")&amp;""[\w &amp;]*, (\d+\.\d+)"")),"""")"),226.51)</f>
        <v>226.51</v>
      </c>
      <c r="S174" s="2" t="n">
        <f aca="false">IFERROR(__xludf.dummyfunction("if($T174&lt;&gt;"""",VALUE(REGEXEXTRACT($T174, SUBSTITUTE(S$1, ""+"", ""\+"")&amp;""[\w &amp;]*, (\d+\.\d+)"")),"""")"),227.38)</f>
        <v>227.38</v>
      </c>
      <c r="T174" s="5" t="s">
        <v>796</v>
      </c>
    </row>
    <row r="175" customFormat="false" ht="15.75" hidden="false" customHeight="false" outlineLevel="0" collapsed="false">
      <c r="A175" s="4" t="n">
        <f aca="false">IFERROR(__xludf.dummyfunction("""COMPUTED_VALUE"""),45660.6666666667)</f>
        <v>45660.6666666667</v>
      </c>
      <c r="B175" s="2" t="n">
        <f aca="false">IFERROR(__xludf.dummyfunction("""COMPUTED_VALUE"""),222.07)</f>
        <v>222.07</v>
      </c>
      <c r="C175" s="2" t="n">
        <f aca="false">IFERROR(__xludf.dummyfunction("""COMPUTED_VALUE"""),224.82)</f>
        <v>224.82</v>
      </c>
      <c r="D175" s="2" t="n">
        <f aca="false">IFERROR(__xludf.dummyfunction("""COMPUTED_VALUE"""),221.38)</f>
        <v>221.38</v>
      </c>
      <c r="E175" s="2" t="n">
        <f aca="false">IFERROR(__xludf.dummyfunction("""COMPUTED_VALUE"""),224.43)</f>
        <v>224.43</v>
      </c>
      <c r="F175" s="3" t="n">
        <f aca="false">IFERROR(__xludf.dummyfunction("if($T175&lt;&gt;"""",VALUE(REGEXEXTRACT(SUBSTITUTE ($T175,F$1&amp;"" CE"",""""), F$1&amp;""[\w &amp;]*, (\d+\.\d+)"")),"""")
"),230)</f>
        <v>230</v>
      </c>
      <c r="G175" s="3" t="n">
        <f aca="false">IFERROR(__xludf.dummyfunction("if($T175&lt;&gt;"""",VALUE(REGEXEXTRACT($T175, G$1&amp;""[\w &amp;]*, (\d+\.\d+)"")),"""")
"),224)</f>
        <v>224</v>
      </c>
      <c r="H175" s="3" t="n">
        <f aca="false">IFERROR(__xludf.dummyfunction("if($T175&lt;&gt;"""",VALUE(REGEXEXTRACT($T175, H$1&amp;""[\w &amp;]*, (\d+\.\d+)"")),"""")
"),243)</f>
        <v>243</v>
      </c>
      <c r="I175" s="3" t="n">
        <f aca="false">IFERROR(__xludf.dummyfunction("if($T175&lt;&gt;"""",VALUE(REGEXEXTRACT(SUBSTITUTE ($T175,I$1&amp;"" CE"",""""), I$1&amp;""[\w &amp;]*, (\d+\.\d+)"")),"""")
"),220)</f>
        <v>220</v>
      </c>
      <c r="J175" s="3" t="n">
        <f aca="false">IFERROR(__xludf.dummyfunction("if($T175&lt;&gt;"""",VALUE(REGEXEXTRACT($T175, J$1&amp;""[\w &amp;]*, (\d+\.\d+)"")),"""")
"),221)</f>
        <v>221</v>
      </c>
      <c r="K175" s="3" t="n">
        <f aca="false">IFERROR(__xludf.dummyfunction("if($T175&lt;&gt;"""",VALUE(REGEXEXTRACT($T175, K$1&amp;""[\w &amp;]*, (\d+\.\d+)"")),"""")
"),205)</f>
        <v>205</v>
      </c>
      <c r="L175" s="3" t="n">
        <f aca="false">IFERROR(__xludf.dummyfunction("if($T175&lt;&gt;"""",VALUE(REGEXEXTRACT(SUBSTITUTE ($T175,L$1&amp;"" CE"",""""), L$1&amp;""[\w &amp;]*, (\d+\.\d+)"")),"""")
"),232)</f>
        <v>232</v>
      </c>
      <c r="M175" s="3" t="n">
        <f aca="false">IFERROR(__xludf.dummyfunction("if($T175&lt;&gt;"""",VALUE(REGEXEXTRACT($T175, M$1&amp;""[\w &amp;]*, (\d+\.\d+)"")),"""")
"),221)</f>
        <v>221</v>
      </c>
      <c r="N175" s="3" t="n">
        <f aca="false">IFERROR(__xludf.dummyfunction("if($T175&lt;&gt;"""",VALUE(REGEXEXTRACT(SUBSTITUTE ($T175,N$1&amp;"" CE"",""""), N$1&amp;""[\w &amp;]*, (\d+\.\d+)"")),"""")
"),220)</f>
        <v>220</v>
      </c>
      <c r="O175" s="3" t="n">
        <f aca="false">IFERROR(__xludf.dummyfunction("if($T175&lt;&gt;"""",VALUE(REGEXEXTRACT($T175, O$1&amp;""[\w &amp;]*, (\d+\.\d+)"")),"""")
"),221)</f>
        <v>221</v>
      </c>
      <c r="P175" s="2" t="n">
        <f aca="false">IFERROR(__xludf.dummyfunction("if($T175&lt;&gt;"""",VALUE(REGEXEXTRACT($T175, P$1&amp;""[\w &amp;]*, (\d+\.\d+)"")),"""")
"),218.79)</f>
        <v>218.79</v>
      </c>
      <c r="Q175" s="2" t="n">
        <f aca="false">IFERROR(__xludf.dummyfunction("if($T175&lt;&gt;"""",VALUE(REGEXEXTRACT($T175, Q$1&amp;""[\w &amp;]*, (\d+\.\d+)"")),"""")
"),216.44)</f>
        <v>216.44</v>
      </c>
      <c r="R175" s="2" t="n">
        <f aca="false">IFERROR(__xludf.dummyfunction("if($T175&lt;&gt;"""",VALUE(REGEXEXTRACT($T175, SUBSTITUTE(R$1, ""+"", ""\+"")&amp;""[\w &amp;]*, (\d+\.\d+)"")),"""")"),223.49)</f>
        <v>223.49</v>
      </c>
      <c r="S175" s="2" t="n">
        <f aca="false">IFERROR(__xludf.dummyfunction("if($T175&lt;&gt;"""",VALUE(REGEXEXTRACT($T175, SUBSTITUTE(S$1, ""+"", ""\+"")&amp;""[\w &amp;]*, (\d+\.\d+)"")),"""")"),225.84)</f>
        <v>225.84</v>
      </c>
      <c r="T175" s="5" t="s">
        <v>797</v>
      </c>
    </row>
    <row r="176" customFormat="false" ht="15.75" hidden="false" customHeight="false" outlineLevel="0" collapsed="false">
      <c r="A176" s="4" t="n">
        <f aca="false">IFERROR(__xludf.dummyfunction("""COMPUTED_VALUE"""),45663.6666666667)</f>
        <v>45663.6666666667</v>
      </c>
      <c r="B176" s="2" t="n">
        <f aca="false">IFERROR(__xludf.dummyfunction("""COMPUTED_VALUE"""),225.76)</f>
        <v>225.76</v>
      </c>
      <c r="C176" s="2" t="n">
        <f aca="false">IFERROR(__xludf.dummyfunction("""COMPUTED_VALUE"""),227.17)</f>
        <v>227.17</v>
      </c>
      <c r="D176" s="2" t="n">
        <f aca="false">IFERROR(__xludf.dummyfunction("""COMPUTED_VALUE"""),224.14)</f>
        <v>224.14</v>
      </c>
      <c r="E176" s="2" t="n">
        <f aca="false">IFERROR(__xludf.dummyfunction("""COMPUTED_VALUE"""),224.52)</f>
        <v>224.52</v>
      </c>
      <c r="F176" s="3" t="n">
        <f aca="false">IFERROR(__xludf.dummyfunction("if($T176&lt;&gt;"""",VALUE(REGEXEXTRACT(SUBSTITUTE ($T176,F$1&amp;"" CE"",""""), F$1&amp;""[\w &amp;]*, (\d+\.\d+)"")),"""")
"),230)</f>
        <v>230</v>
      </c>
      <c r="G176" s="3" t="n">
        <f aca="false">IFERROR(__xludf.dummyfunction("if($T176&lt;&gt;"""",VALUE(REGEXEXTRACT($T176, G$1&amp;""[\w &amp;]*, (\d+\.\d+)"")),"""")
"),223)</f>
        <v>223</v>
      </c>
      <c r="H176" s="3" t="str">
        <f aca="false">IFERROR(__xludf.dummyfunction("if($T176&lt;&gt;"""",VALUE(REGEXEXTRACT($T176, H$1&amp;""[\w &amp;]*, (\d+\.\d+)"")),"""")
"),"#N/A")</f>
        <v>#N/A</v>
      </c>
      <c r="I176" s="3" t="n">
        <f aca="false">IFERROR(__xludf.dummyfunction("if($T176&lt;&gt;"""",VALUE(REGEXEXTRACT(SUBSTITUTE ($T176,I$1&amp;"" CE"",""""), I$1&amp;""[\w &amp;]*, (\d+\.\d+)"")),"""")
"),220)</f>
        <v>220</v>
      </c>
      <c r="J176" s="3" t="n">
        <f aca="false">IFERROR(__xludf.dummyfunction("if($T176&lt;&gt;"""",VALUE(REGEXEXTRACT($T176, J$1&amp;""[\w &amp;]*, (\d+\.\d+)"")),"""")
"),217)</f>
        <v>217</v>
      </c>
      <c r="K176" s="3" t="n">
        <f aca="false">IFERROR(__xludf.dummyfunction("if($T176&lt;&gt;"""",VALUE(REGEXEXTRACT($T176, K$1&amp;""[\w &amp;]*, (\d+\.\d+)"")),"""")
"),207)</f>
        <v>207</v>
      </c>
      <c r="L176" s="3" t="n">
        <f aca="false">IFERROR(__xludf.dummyfunction("if($T176&lt;&gt;"""",VALUE(REGEXEXTRACT(SUBSTITUTE ($T176,L$1&amp;"" CE"",""""), L$1&amp;""[\w &amp;]*, (\d+\.\d+)"")),"""")
"),232)</f>
        <v>232</v>
      </c>
      <c r="M176" s="3" t="n">
        <f aca="false">IFERROR(__xludf.dummyfunction("if($T176&lt;&gt;"""",VALUE(REGEXEXTRACT($T176, M$1&amp;""[\w &amp;]*, (\d+\.\d+)"")),"""")
"),220)</f>
        <v>220</v>
      </c>
      <c r="N176" s="3" t="n">
        <f aca="false">IFERROR(__xludf.dummyfunction("if($T176&lt;&gt;"""",VALUE(REGEXEXTRACT(SUBSTITUTE ($T176,N$1&amp;"" CE"",""""), N$1&amp;""[\w &amp;]*, (\d+\.\d+)"")),"""")
"),220)</f>
        <v>220</v>
      </c>
      <c r="O176" s="3" t="n">
        <f aca="false">IFERROR(__xludf.dummyfunction("if($T176&lt;&gt;"""",VALUE(REGEXEXTRACT($T176, O$1&amp;""[\w &amp;]*, (\d+\.\d+)"")),"""")
"),223)</f>
        <v>223</v>
      </c>
      <c r="P176" s="2" t="n">
        <f aca="false">IFERROR(__xludf.dummyfunction("if($T176&lt;&gt;"""",VALUE(REGEXEXTRACT($T176, P$1&amp;""[\w &amp;]*, (\d+\.\d+)"")),"""")
"),218.85)</f>
        <v>218.85</v>
      </c>
      <c r="Q176" s="2" t="n">
        <f aca="false">IFERROR(__xludf.dummyfunction("if($T176&lt;&gt;"""",VALUE(REGEXEXTRACT($T176, Q$1&amp;""[\w &amp;]*, (\d+\.\d+)"")),"""")
"),217.97)</f>
        <v>217.97</v>
      </c>
      <c r="R176" s="2" t="n">
        <f aca="false">IFERROR(__xludf.dummyfunction("if($T176&lt;&gt;"""",VALUE(REGEXEXTRACT($T176, SUBSTITUTE(R$1, ""+"", ""\+"")&amp;""[\w &amp;]*, (\d+\.\d+)"")),"""")"),223.07)</f>
        <v>223.07</v>
      </c>
      <c r="S176" s="2" t="n">
        <f aca="false">IFERROR(__xludf.dummyfunction("if($T176&lt;&gt;"""",VALUE(REGEXEXTRACT($T176, SUBSTITUTE(S$1, ""+"", ""\+"")&amp;""[\w &amp;]*, (\d+\.\d+)"")),"""")"),223.95)</f>
        <v>223.95</v>
      </c>
      <c r="T176" s="5" t="s">
        <v>798</v>
      </c>
    </row>
    <row r="177" customFormat="false" ht="15.75" hidden="false" customHeight="false" outlineLevel="0" collapsed="false">
      <c r="A177" s="4" t="n">
        <f aca="false">IFERROR(__xludf.dummyfunction("""COMPUTED_VALUE"""),45664.6666666667)</f>
        <v>45664.6666666667</v>
      </c>
      <c r="B177" s="2" t="n">
        <f aca="false">IFERROR(__xludf.dummyfunction("""COMPUTED_VALUE"""),225.58)</f>
        <v>225.58</v>
      </c>
      <c r="C177" s="2" t="n">
        <f aca="false">IFERROR(__xludf.dummyfunction("""COMPUTED_VALUE"""),226.52)</f>
        <v>226.52</v>
      </c>
      <c r="D177" s="2" t="n">
        <f aca="false">IFERROR(__xludf.dummyfunction("""COMPUTED_VALUE"""),221.38)</f>
        <v>221.38</v>
      </c>
      <c r="E177" s="2" t="n">
        <f aca="false">IFERROR(__xludf.dummyfunction("""COMPUTED_VALUE"""),222.72)</f>
        <v>222.72</v>
      </c>
      <c r="F177" s="3" t="n">
        <f aca="false">IFERROR(__xludf.dummyfunction("if($T177&lt;&gt;"""",VALUE(REGEXEXTRACT(SUBSTITUTE ($T177,F$1&amp;"" CE"",""""), F$1&amp;""[\w &amp;]*, (\d+\.\d+)"")),"""")
"),230)</f>
        <v>230</v>
      </c>
      <c r="G177" s="3" t="n">
        <f aca="false">IFERROR(__xludf.dummyfunction("if($T177&lt;&gt;"""",VALUE(REGEXEXTRACT($T177, G$1&amp;""[\w &amp;]*, (\d+\.\d+)"")),"""")
"),226)</f>
        <v>226</v>
      </c>
      <c r="H177" s="3" t="n">
        <f aca="false">IFERROR(__xludf.dummyfunction("if($T177&lt;&gt;"""",VALUE(REGEXEXTRACT($T177, H$1&amp;""[\w &amp;]*, (\d+\.\d+)"")),"""")
"),243)</f>
        <v>243</v>
      </c>
      <c r="I177" s="3" t="n">
        <f aca="false">IFERROR(__xludf.dummyfunction("if($T177&lt;&gt;"""",VALUE(REGEXEXTRACT(SUBSTITUTE ($T177,I$1&amp;"" CE"",""""), I$1&amp;""[\w &amp;]*, (\d+\.\d+)"")),"""")
"),230)</f>
        <v>230</v>
      </c>
      <c r="J177" s="3" t="n">
        <f aca="false">IFERROR(__xludf.dummyfunction("if($T177&lt;&gt;"""",VALUE(REGEXEXTRACT($T177, J$1&amp;""[\w &amp;]*, (\d+\.\d+)"")),"""")
"),221)</f>
        <v>221</v>
      </c>
      <c r="K177" s="3" t="n">
        <f aca="false">IFERROR(__xludf.dummyfunction("if($T177&lt;&gt;"""",VALUE(REGEXEXTRACT($T177, K$1&amp;""[\w &amp;]*, (\d+\.\d+)"")),"""")
"),207)</f>
        <v>207</v>
      </c>
      <c r="L177" s="3" t="n">
        <f aca="false">IFERROR(__xludf.dummyfunction("if($T177&lt;&gt;"""",VALUE(REGEXEXTRACT(SUBSTITUTE ($T177,L$1&amp;"" CE"",""""), L$1&amp;""[\w &amp;]*, (\d+\.\d+)"")),"""")
"),229)</f>
        <v>229</v>
      </c>
      <c r="M177" s="3" t="n">
        <f aca="false">IFERROR(__xludf.dummyfunction("if($T177&lt;&gt;"""",VALUE(REGEXEXTRACT($T177, M$1&amp;""[\w &amp;]*, (\d+\.\d+)"")),"""")
"),223)</f>
        <v>223</v>
      </c>
      <c r="N177" s="3" t="n">
        <f aca="false">IFERROR(__xludf.dummyfunction("if($T177&lt;&gt;"""",VALUE(REGEXEXTRACT(SUBSTITUTE ($T177,N$1&amp;"" CE"",""""), N$1&amp;""[\w &amp;]*, (\d+\.\d+)"")),"""")
"),230)</f>
        <v>230</v>
      </c>
      <c r="O177" s="3" t="n">
        <f aca="false">IFERROR(__xludf.dummyfunction("if($T177&lt;&gt;"""",VALUE(REGEXEXTRACT($T177, O$1&amp;""[\w &amp;]*, (\d+\.\d+)"")),"""")
"),226)</f>
        <v>226</v>
      </c>
      <c r="P177" s="2" t="n">
        <f aca="false">IFERROR(__xludf.dummyfunction("if($T177&lt;&gt;"""",VALUE(REGEXEXTRACT($T177, P$1&amp;""[\w &amp;]*, (\d+\.\d+)"")),"""")
"),222.26)</f>
        <v>222.26</v>
      </c>
      <c r="Q177" s="2" t="n">
        <f aca="false">IFERROR(__xludf.dummyfunction("if($T177&lt;&gt;"""",VALUE(REGEXEXTRACT($T177, Q$1&amp;""[\w &amp;]*, (\d+\.\d+)"")),"""")
"),221.32)</f>
        <v>221.32</v>
      </c>
      <c r="R177" s="2" t="n">
        <f aca="false">IFERROR(__xludf.dummyfunction("if($T177&lt;&gt;"""",VALUE(REGEXEXTRACT($T177, SUBSTITUTE(R$1, ""+"", ""\+"")&amp;""[\w &amp;]*, (\d+\.\d+)"")),"""")"),226.78)</f>
        <v>226.78</v>
      </c>
      <c r="S177" s="2" t="n">
        <f aca="false">IFERROR(__xludf.dummyfunction("if($T177&lt;&gt;"""",VALUE(REGEXEXTRACT($T177, SUBSTITUTE(S$1, ""+"", ""\+"")&amp;""[\w &amp;]*, (\d+\.\d+)"")),"""")"),227.72)</f>
        <v>227.72</v>
      </c>
      <c r="T177" s="5" t="s">
        <v>799</v>
      </c>
    </row>
    <row r="178" customFormat="false" ht="15.75" hidden="false" customHeight="false" outlineLevel="0" collapsed="false">
      <c r="A178" s="4" t="n">
        <f aca="false">IFERROR(__xludf.dummyfunction("""COMPUTED_VALUE"""),45665.6666666667)</f>
        <v>45665.6666666667</v>
      </c>
      <c r="B178" s="2" t="n">
        <f aca="false">IFERROR(__xludf.dummyfunction("""COMPUTED_VALUE"""),220.9)</f>
        <v>220.9</v>
      </c>
      <c r="C178" s="2" t="n">
        <f aca="false">IFERROR(__xludf.dummyfunction("""COMPUTED_VALUE"""),222.31)</f>
        <v>222.31</v>
      </c>
      <c r="D178" s="2" t="n">
        <f aca="false">IFERROR(__xludf.dummyfunction("""COMPUTED_VALUE"""),219.01)</f>
        <v>219.01</v>
      </c>
      <c r="E178" s="2" t="n">
        <f aca="false">IFERROR(__xludf.dummyfunction("""COMPUTED_VALUE"""),221.71)</f>
        <v>221.71</v>
      </c>
      <c r="F178" s="3" t="n">
        <f aca="false">IFERROR(__xludf.dummyfunction("if($T178&lt;&gt;"""",VALUE(REGEXEXTRACT(SUBSTITUTE ($T178,F$1&amp;"" CE"",""""), F$1&amp;""[\w &amp;]*, (\d+\.\d+)"")),"""")
"),230)</f>
        <v>230</v>
      </c>
      <c r="G178" s="3" t="n">
        <f aca="false">IFERROR(__xludf.dummyfunction("if($T178&lt;&gt;"""",VALUE(REGEXEXTRACT($T178, G$1&amp;""[\w &amp;]*, (\d+\.\d+)"")),"""")
"),225)</f>
        <v>225</v>
      </c>
      <c r="H178" s="3" t="str">
        <f aca="false">IFERROR(__xludf.dummyfunction("if($T178&lt;&gt;"""",VALUE(REGEXEXTRACT($T178, H$1&amp;""[\w &amp;]*, (\d+\.\d+)"")),"""")
"),"#N/A")</f>
        <v>#N/A</v>
      </c>
      <c r="I178" s="3" t="n">
        <f aca="false">IFERROR(__xludf.dummyfunction("if($T178&lt;&gt;"""",VALUE(REGEXEXTRACT(SUBSTITUTE ($T178,I$1&amp;"" CE"",""""), I$1&amp;""[\w &amp;]*, (\d+\.\d+)"")),"""")
"),220)</f>
        <v>220</v>
      </c>
      <c r="J178" s="3" t="n">
        <f aca="false">IFERROR(__xludf.dummyfunction("if($T178&lt;&gt;"""",VALUE(REGEXEXTRACT($T178, J$1&amp;""[\w &amp;]*, (\d+\.\d+)"")),"""")
"),220)</f>
        <v>220</v>
      </c>
      <c r="K178" s="3" t="n">
        <f aca="false">IFERROR(__xludf.dummyfunction("if($T178&lt;&gt;"""",VALUE(REGEXEXTRACT($T178, K$1&amp;""[\w &amp;]*, (\d+\.\d+)"")),"""")
"),217)</f>
        <v>217</v>
      </c>
      <c r="L178" s="3" t="n">
        <f aca="false">IFERROR(__xludf.dummyfunction("if($T178&lt;&gt;"""",VALUE(REGEXEXTRACT(SUBSTITUTE ($T178,L$1&amp;"" CE"",""""), L$1&amp;""[\w &amp;]*, (\d+\.\d+)"")),"""")
"),229)</f>
        <v>229</v>
      </c>
      <c r="M178" s="3" t="n">
        <f aca="false">IFERROR(__xludf.dummyfunction("if($T178&lt;&gt;"""",VALUE(REGEXEXTRACT($T178, M$1&amp;""[\w &amp;]*, (\d+\.\d+)"")),"""")
"),223)</f>
        <v>223</v>
      </c>
      <c r="N178" s="3" t="n">
        <f aca="false">IFERROR(__xludf.dummyfunction("if($T178&lt;&gt;"""",VALUE(REGEXEXTRACT(SUBSTITUTE ($T178,N$1&amp;"" CE"",""""), N$1&amp;""[\w &amp;]*, (\d+\.\d+)"")),"""")
"),220)</f>
        <v>220</v>
      </c>
      <c r="O178" s="3" t="n">
        <f aca="false">IFERROR(__xludf.dummyfunction("if($T178&lt;&gt;"""",VALUE(REGEXEXTRACT($T178, O$1&amp;""[\w &amp;]*, (\d+\.\d+)"")),"""")
"),222)</f>
        <v>222</v>
      </c>
      <c r="P178" s="2" t="n">
        <f aca="false">IFERROR(__xludf.dummyfunction("if($T178&lt;&gt;"""",VALUE(REGEXEXTRACT($T178, P$1&amp;""[\w &amp;]*, (\d+\.\d+)"")),"""")
"),220.49)</f>
        <v>220.49</v>
      </c>
      <c r="Q178" s="2" t="n">
        <f aca="false">IFERROR(__xludf.dummyfunction("if($T178&lt;&gt;"""",VALUE(REGEXEXTRACT($T178, Q$1&amp;""[\w &amp;]*, (\d+\.\d+)"")),"""")
"),219.56)</f>
        <v>219.56</v>
      </c>
      <c r="R178" s="2" t="n">
        <f aca="false">IFERROR(__xludf.dummyfunction("if($T178&lt;&gt;"""",VALUE(REGEXEXTRACT($T178, SUBSTITUTE(R$1, ""+"", ""\+"")&amp;""[\w &amp;]*, (\d+\.\d+)"")),"""")"),224.95)</f>
        <v>224.95</v>
      </c>
      <c r="S178" s="2" t="n">
        <f aca="false">IFERROR(__xludf.dummyfunction("if($T178&lt;&gt;"""",VALUE(REGEXEXTRACT($T178, SUBSTITUTE(S$1, ""+"", ""\+"")&amp;""[\w &amp;]*, (\d+\.\d+)"")),"""")"),225.88)</f>
        <v>225.88</v>
      </c>
      <c r="T178" s="5" t="s">
        <v>800</v>
      </c>
    </row>
    <row r="179" customFormat="false" ht="15.75" hidden="false" customHeight="false" outlineLevel="0" collapsed="false">
      <c r="A179" s="4" t="n">
        <f aca="false">IFERROR(__xludf.dummyfunction("""COMPUTED_VALUE"""),45667.6666666667)</f>
        <v>45667.6666666667</v>
      </c>
      <c r="B179" s="2" t="n">
        <f aca="false">IFERROR(__xludf.dummyfunction("""COMPUTED_VALUE"""),218.31)</f>
        <v>218.31</v>
      </c>
      <c r="C179" s="2" t="n">
        <f aca="false">IFERROR(__xludf.dummyfunction("""COMPUTED_VALUE"""),218.71)</f>
        <v>218.71</v>
      </c>
      <c r="D179" s="2" t="n">
        <f aca="false">IFERROR(__xludf.dummyfunction("""COMPUTED_VALUE"""),215.31)</f>
        <v>215.31</v>
      </c>
      <c r="E179" s="2" t="n">
        <f aca="false">IFERROR(__xludf.dummyfunction("""COMPUTED_VALUE"""),216.83)</f>
        <v>216.83</v>
      </c>
      <c r="F179" s="3" t="n">
        <f aca="false">IFERROR(__xludf.dummyfunction("if($T179&lt;&gt;"""",VALUE(REGEXEXTRACT(SUBSTITUTE ($T179,F$1&amp;"" CE"",""""), F$1&amp;""[\w &amp;]*, (\d+\.\d+)"")),"""")
"),230)</f>
        <v>230</v>
      </c>
      <c r="G179" s="3" t="n">
        <f aca="false">IFERROR(__xludf.dummyfunction("if($T179&lt;&gt;"""",VALUE(REGEXEXTRACT($T179, G$1&amp;""[\w &amp;]*, (\d+\.\d+)"")),"""")
"),223)</f>
        <v>223</v>
      </c>
      <c r="H179" s="3" t="n">
        <f aca="false">IFERROR(__xludf.dummyfunction("if($T179&lt;&gt;"""",VALUE(REGEXEXTRACT($T179, H$1&amp;""[\w &amp;]*, (\d+\.\d+)"")),"""")
"),245)</f>
        <v>245</v>
      </c>
      <c r="I179" s="3" t="n">
        <f aca="false">IFERROR(__xludf.dummyfunction("if($T179&lt;&gt;"""",VALUE(REGEXEXTRACT(SUBSTITUTE ($T179,I$1&amp;"" CE"",""""), I$1&amp;""[\w &amp;]*, (\d+\.\d+)"")),"""")
"),220)</f>
        <v>220</v>
      </c>
      <c r="J179" s="3" t="n">
        <f aca="false">IFERROR(__xludf.dummyfunction("if($T179&lt;&gt;"""",VALUE(REGEXEXTRACT($T179, J$1&amp;""[\w &amp;]*, (\d+\.\d+)"")),"""")
"),216)</f>
        <v>216</v>
      </c>
      <c r="K179" s="3" t="n">
        <f aca="false">IFERROR(__xludf.dummyfunction("if($T179&lt;&gt;"""",VALUE(REGEXEXTRACT($T179, K$1&amp;""[\w &amp;]*, (\d+\.\d+)"")),"""")
"),207)</f>
        <v>207</v>
      </c>
      <c r="L179" s="3" t="n">
        <f aca="false">IFERROR(__xludf.dummyfunction("if($T179&lt;&gt;"""",VALUE(REGEXEXTRACT(SUBSTITUTE ($T179,L$1&amp;"" CE"",""""), L$1&amp;""[\w &amp;]*, (\d+\.\d+)"")),"""")
"),229)</f>
        <v>229</v>
      </c>
      <c r="M179" s="3" t="n">
        <f aca="false">IFERROR(__xludf.dummyfunction("if($T179&lt;&gt;"""",VALUE(REGEXEXTRACT($T179, M$1&amp;""[\w &amp;]*, (\d+\.\d+)"")),"""")
"),220)</f>
        <v>220</v>
      </c>
      <c r="N179" s="3" t="n">
        <f aca="false">IFERROR(__xludf.dummyfunction("if($T179&lt;&gt;"""",VALUE(REGEXEXTRACT(SUBSTITUTE ($T179,N$1&amp;"" CE"",""""), N$1&amp;""[\w &amp;]*, (\d+\.\d+)"")),"""")
"),220)</f>
        <v>220</v>
      </c>
      <c r="O179" s="3" t="n">
        <f aca="false">IFERROR(__xludf.dummyfunction("if($T179&lt;&gt;"""",VALUE(REGEXEXTRACT($T179, O$1&amp;""[\w &amp;]*, (\d+\.\d+)"")),"""")
"),225)</f>
        <v>225</v>
      </c>
      <c r="P179" s="2" t="n">
        <f aca="false">IFERROR(__xludf.dummyfunction("if($T179&lt;&gt;"""",VALUE(REGEXEXTRACT($T179, P$1&amp;""[\w &amp;]*, (\d+\.\d+)"")),"""")
"),219.23)</f>
        <v>219.23</v>
      </c>
      <c r="Q179" s="2" t="n">
        <f aca="false">IFERROR(__xludf.dummyfunction("if($T179&lt;&gt;"""",VALUE(REGEXEXTRACT($T179, Q$1&amp;""[\w &amp;]*, (\d+\.\d+)"")),"""")
"),216.83)</f>
        <v>216.83</v>
      </c>
      <c r="R179" s="2" t="n">
        <f aca="false">IFERROR(__xludf.dummyfunction("if($T179&lt;&gt;"""",VALUE(REGEXEXTRACT($T179, SUBSTITUTE(R$1, ""+"", ""\+"")&amp;""[\w &amp;]*, (\d+\.\d+)"")),"""")"),224.19)</f>
        <v>224.19</v>
      </c>
      <c r="S179" s="2" t="n">
        <f aca="false">IFERROR(__xludf.dummyfunction("if($T179&lt;&gt;"""",VALUE(REGEXEXTRACT($T179, SUBSTITUTE(S$1, ""+"", ""\+"")&amp;""[\w &amp;]*, (\d+\.\d+)"")),"""")"),226.59)</f>
        <v>226.59</v>
      </c>
      <c r="T179" s="5" t="s">
        <v>801</v>
      </c>
    </row>
    <row r="180" customFormat="false" ht="15.75" hidden="false" customHeight="false" outlineLevel="0" collapsed="false">
      <c r="A180" s="4" t="n">
        <f aca="false">IFERROR(__xludf.dummyfunction("""COMPUTED_VALUE"""),45670.6666666667)</f>
        <v>45670.6666666667</v>
      </c>
      <c r="B180" s="2" t="n">
        <f aca="false">IFERROR(__xludf.dummyfunction("""COMPUTED_VALUE"""),214.5)</f>
        <v>214.5</v>
      </c>
      <c r="C180" s="2" t="n">
        <f aca="false">IFERROR(__xludf.dummyfunction("""COMPUTED_VALUE"""),217.52)</f>
        <v>217.52</v>
      </c>
      <c r="D180" s="2" t="n">
        <f aca="false">IFERROR(__xludf.dummyfunction("""COMPUTED_VALUE"""),213.97)</f>
        <v>213.97</v>
      </c>
      <c r="E180" s="2" t="n">
        <f aca="false">IFERROR(__xludf.dummyfunction("""COMPUTED_VALUE"""),217.25)</f>
        <v>217.25</v>
      </c>
      <c r="F180" s="3" t="n">
        <f aca="false">IFERROR(__xludf.dummyfunction("if($T180&lt;&gt;"""",VALUE(REGEXEXTRACT(SUBSTITUTE ($T180,F$1&amp;"" CE"",""""), F$1&amp;""[\w &amp;]*, (\d+\.\d+)"")),"""")
"),220)</f>
        <v>220</v>
      </c>
      <c r="G180" s="3" t="n">
        <f aca="false">IFERROR(__xludf.dummyfunction("if($T180&lt;&gt;"""",VALUE(REGEXEXTRACT($T180, G$1&amp;""[\w &amp;]*, (\d+\.\d+)"")),"""")
"),217)</f>
        <v>217</v>
      </c>
      <c r="H180" s="3" t="str">
        <f aca="false">IFERROR(__xludf.dummyfunction("if($T180&lt;&gt;"""",VALUE(REGEXEXTRACT($T180, H$1&amp;""[\w &amp;]*, (\d+\.\d+)"")),"""")
"),"#N/A")</f>
        <v>#N/A</v>
      </c>
      <c r="I180" s="3" t="n">
        <f aca="false">IFERROR(__xludf.dummyfunction("if($T180&lt;&gt;"""",VALUE(REGEXEXTRACT(SUBSTITUTE ($T180,I$1&amp;"" CE"",""""), I$1&amp;""[\w &amp;]*, (\d+\.\d+)"")),"""")
"),220)</f>
        <v>220</v>
      </c>
      <c r="J180" s="3" t="n">
        <f aca="false">IFERROR(__xludf.dummyfunction("if($T180&lt;&gt;"""",VALUE(REGEXEXTRACT($T180, J$1&amp;""[\w &amp;]*, (\d+\.\d+)"")),"""")
"),215)</f>
        <v>215</v>
      </c>
      <c r="K180" s="3" t="n">
        <f aca="false">IFERROR(__xludf.dummyfunction("if($T180&lt;&gt;"""",VALUE(REGEXEXTRACT($T180, K$1&amp;""[\w &amp;]*, (\d+\.\d+)"")),"""")
"),205)</f>
        <v>205</v>
      </c>
      <c r="L180" s="3" t="n">
        <f aca="false">IFERROR(__xludf.dummyfunction("if($T180&lt;&gt;"""",VALUE(REGEXEXTRACT(SUBSTITUTE ($T180,L$1&amp;"" CE"",""""), L$1&amp;""[\w &amp;]*, (\d+\.\d+)"")),"""")
"),229)</f>
        <v>229</v>
      </c>
      <c r="M180" s="3" t="n">
        <f aca="false">IFERROR(__xludf.dummyfunction("if($T180&lt;&gt;"""",VALUE(REGEXEXTRACT($T180, M$1&amp;""[\w &amp;]*, (\d+\.\d+)"")),"""")
"),216)</f>
        <v>216</v>
      </c>
      <c r="N180" s="3" t="n">
        <f aca="false">IFERROR(__xludf.dummyfunction("if($T180&lt;&gt;"""",VALUE(REGEXEXTRACT(SUBSTITUTE ($T180,N$1&amp;"" CE"",""""), N$1&amp;""[\w &amp;]*, (\d+\.\d+)"")),"""")
"),220)</f>
        <v>220</v>
      </c>
      <c r="O180" s="3" t="n">
        <f aca="false">IFERROR(__xludf.dummyfunction("if($T180&lt;&gt;"""",VALUE(REGEXEXTRACT($T180, O$1&amp;""[\w &amp;]*, (\d+\.\d+)"")),"""")
"),220)</f>
        <v>220</v>
      </c>
      <c r="P180" s="2" t="n">
        <f aca="false">IFERROR(__xludf.dummyfunction("if($T180&lt;&gt;"""",VALUE(REGEXEXTRACT($T180, P$1&amp;""[\w &amp;]*, (\d+\.\d+)"")),"""")
"),214.39)</f>
        <v>214.39</v>
      </c>
      <c r="Q180" s="2" t="n">
        <f aca="false">IFERROR(__xludf.dummyfunction("if($T180&lt;&gt;"""",VALUE(REGEXEXTRACT($T180, Q$1&amp;""[\w &amp;]*, (\d+\.\d+)"")),"""")
"),213.38)</f>
        <v>213.38</v>
      </c>
      <c r="R180" s="2" t="n">
        <f aca="false">IFERROR(__xludf.dummyfunction("if($T180&lt;&gt;"""",VALUE(REGEXEXTRACT($T180, SUBSTITUTE(R$1, ""+"", ""\+"")&amp;""[\w &amp;]*, (\d+\.\d+)"")),"""")"),219.27)</f>
        <v>219.27</v>
      </c>
      <c r="S180" s="2" t="n">
        <f aca="false">IFERROR(__xludf.dummyfunction("if($T180&lt;&gt;"""",VALUE(REGEXEXTRACT($T180, SUBSTITUTE(S$1, ""+"", ""\+"")&amp;""[\w &amp;]*, (\d+\.\d+)"")),"""")"),220.28)</f>
        <v>220.28</v>
      </c>
      <c r="T180" s="5" t="s">
        <v>802</v>
      </c>
    </row>
    <row r="181" customFormat="false" ht="15.75" hidden="false" customHeight="false" outlineLevel="0" collapsed="false">
      <c r="A181" s="4" t="n">
        <f aca="false">IFERROR(__xludf.dummyfunction("""COMPUTED_VALUE"""),45671.6666666667)</f>
        <v>45671.6666666667</v>
      </c>
      <c r="B181" s="2" t="n">
        <f aca="false">IFERROR(__xludf.dummyfunction("""COMPUTED_VALUE"""),219.18)</f>
        <v>219.18</v>
      </c>
      <c r="C181" s="2" t="n">
        <f aca="false">IFERROR(__xludf.dummyfunction("""COMPUTED_VALUE"""),220.23)</f>
        <v>220.23</v>
      </c>
      <c r="D181" s="2" t="n">
        <f aca="false">IFERROR(__xludf.dummyfunction("""COMPUTED_VALUE"""),217.22)</f>
        <v>217.22</v>
      </c>
      <c r="E181" s="2" t="n">
        <f aca="false">IFERROR(__xludf.dummyfunction("""COMPUTED_VALUE"""),219.72)</f>
        <v>219.72</v>
      </c>
      <c r="F181" s="3" t="n">
        <f aca="false">IFERROR(__xludf.dummyfunction("if($T181&lt;&gt;"""",VALUE(REGEXEXTRACT(SUBSTITUTE ($T181,F$1&amp;"" CE"",""""), F$1&amp;""[\w &amp;]*, (\d+\.\d+)"")),"""")
"),220)</f>
        <v>220</v>
      </c>
      <c r="G181" s="3" t="n">
        <f aca="false">IFERROR(__xludf.dummyfunction("if($T181&lt;&gt;"""",VALUE(REGEXEXTRACT($T181, G$1&amp;""[\w &amp;]*, (\d+\.\d+)"")),"""")
"),221)</f>
        <v>221</v>
      </c>
      <c r="H181" s="3" t="str">
        <f aca="false">IFERROR(__xludf.dummyfunction("if($T181&lt;&gt;"""",VALUE(REGEXEXTRACT($T181, H$1&amp;""[\w &amp;]*, (\d+\.\d+)"")),"""")
"),"#N/A")</f>
        <v>#N/A</v>
      </c>
      <c r="I181" s="3" t="n">
        <f aca="false">IFERROR(__xludf.dummyfunction("if($T181&lt;&gt;"""",VALUE(REGEXEXTRACT(SUBSTITUTE ($T181,I$1&amp;"" CE"",""""), I$1&amp;""[\w &amp;]*, (\d+\.\d+)"")),"""")
"),220)</f>
        <v>220</v>
      </c>
      <c r="J181" s="3" t="n">
        <f aca="false">IFERROR(__xludf.dummyfunction("if($T181&lt;&gt;"""",VALUE(REGEXEXTRACT($T181, J$1&amp;""[\w &amp;]*, (\d+\.\d+)"")),"""")
"),214)</f>
        <v>214</v>
      </c>
      <c r="K181" s="3" t="n">
        <f aca="false">IFERROR(__xludf.dummyfunction("if($T181&lt;&gt;"""",VALUE(REGEXEXTRACT($T181, K$1&amp;""[\w &amp;]*, (\d+\.\d+)"")),"""")
"),205)</f>
        <v>205</v>
      </c>
      <c r="L181" s="3" t="n">
        <f aca="false">IFERROR(__xludf.dummyfunction("if($T181&lt;&gt;"""",VALUE(REGEXEXTRACT(SUBSTITUTE ($T181,L$1&amp;"" CE"",""""), L$1&amp;""[\w &amp;]*, (\d+\.\d+)"")),"""")
"),229)</f>
        <v>229</v>
      </c>
      <c r="M181" s="3" t="n">
        <f aca="false">IFERROR(__xludf.dummyfunction("if($T181&lt;&gt;"""",VALUE(REGEXEXTRACT($T181, M$1&amp;""[\w &amp;]*, (\d+\.\d+)"")),"""")
"),215)</f>
        <v>215</v>
      </c>
      <c r="N181" s="3" t="n">
        <f aca="false">IFERROR(__xludf.dummyfunction("if($T181&lt;&gt;"""",VALUE(REGEXEXTRACT(SUBSTITUTE ($T181,N$1&amp;"" CE"",""""), N$1&amp;""[\w &amp;]*, (\d+\.\d+)"")),"""")
"),220)</f>
        <v>220</v>
      </c>
      <c r="O181" s="3" t="n">
        <f aca="false">IFERROR(__xludf.dummyfunction("if($T181&lt;&gt;"""",VALUE(REGEXEXTRACT($T181, O$1&amp;""[\w &amp;]*, (\d+\.\d+)"")),"""")
"),220)</f>
        <v>220</v>
      </c>
      <c r="P181" s="2" t="n">
        <f aca="false">IFERROR(__xludf.dummyfunction("if($T181&lt;&gt;"""",VALUE(REGEXEXTRACT($T181, P$1&amp;""[\w &amp;]*, (\d+\.\d+)"")),"""")
"),214.38)</f>
        <v>214.38</v>
      </c>
      <c r="Q181" s="2" t="n">
        <f aca="false">IFERROR(__xludf.dummyfunction("if($T181&lt;&gt;"""",VALUE(REGEXEXTRACT($T181, Q$1&amp;""[\w &amp;]*, (\d+\.\d+)"")),"""")
"),213.19)</f>
        <v>213.19</v>
      </c>
      <c r="R181" s="2" t="n">
        <f aca="false">IFERROR(__xludf.dummyfunction("if($T181&lt;&gt;"""",VALUE(REGEXEXTRACT($T181, SUBSTITUTE(R$1, ""+"", ""\+"")&amp;""[\w &amp;]*, (\d+\.\d+)"")),"""")"),220.12)</f>
        <v>220.12</v>
      </c>
      <c r="S181" s="2" t="n">
        <f aca="false">IFERROR(__xludf.dummyfunction("if($T181&lt;&gt;"""",VALUE(REGEXEXTRACT($T181, SUBSTITUTE(S$1, ""+"", ""\+"")&amp;""[\w &amp;]*, (\d+\.\d+)"")),"""")"),221.31)</f>
        <v>221.31</v>
      </c>
      <c r="T181" s="5" t="s">
        <v>803</v>
      </c>
    </row>
    <row r="182" customFormat="false" ht="15.75" hidden="false" customHeight="false" outlineLevel="0" collapsed="false">
      <c r="A182" s="4" t="n">
        <f aca="false">IFERROR(__xludf.dummyfunction("""COMPUTED_VALUE"""),45672.6666666667)</f>
        <v>45672.6666666667</v>
      </c>
      <c r="B182" s="2" t="n">
        <f aca="false">IFERROR(__xludf.dummyfunction("""COMPUTED_VALUE"""),225.44)</f>
        <v>225.44</v>
      </c>
      <c r="C182" s="2" t="n">
        <f aca="false">IFERROR(__xludf.dummyfunction("""COMPUTED_VALUE"""),225.58)</f>
        <v>225.58</v>
      </c>
      <c r="D182" s="2" t="n">
        <f aca="false">IFERROR(__xludf.dummyfunction("""COMPUTED_VALUE"""),223)</f>
        <v>223</v>
      </c>
      <c r="E182" s="2" t="n">
        <f aca="false">IFERROR(__xludf.dummyfunction("""COMPUTED_VALUE"""),224.04)</f>
        <v>224.04</v>
      </c>
      <c r="F182" s="3" t="n">
        <f aca="false">IFERROR(__xludf.dummyfunction("if($T182&lt;&gt;"""",VALUE(REGEXEXTRACT(SUBSTITUTE ($T182,F$1&amp;"" CE"",""""), F$1&amp;""[\w &amp;]*, (\d+\.\d+)"")),"""")
"),220)</f>
        <v>220</v>
      </c>
      <c r="G182" s="3" t="n">
        <f aca="false">IFERROR(__xludf.dummyfunction("if($T182&lt;&gt;"""",VALUE(REGEXEXTRACT($T182, G$1&amp;""[\w &amp;]*, (\d+\.\d+)"")),"""")
"),222)</f>
        <v>222</v>
      </c>
      <c r="H182" s="3" t="n">
        <f aca="false">IFERROR(__xludf.dummyfunction("if($T182&lt;&gt;"""",VALUE(REGEXEXTRACT($T182, H$1&amp;""[\w &amp;]*, (\d+\.\d+)"")),"""")
"),245)</f>
        <v>245</v>
      </c>
      <c r="I182" s="3" t="n">
        <f aca="false">IFERROR(__xludf.dummyfunction("if($T182&lt;&gt;"""",VALUE(REGEXEXTRACT(SUBSTITUTE ($T182,I$1&amp;"" CE"",""""), I$1&amp;""[\w &amp;]*, (\d+\.\d+)"")),"""")
"),220)</f>
        <v>220</v>
      </c>
      <c r="J182" s="3" t="n">
        <f aca="false">IFERROR(__xludf.dummyfunction("if($T182&lt;&gt;"""",VALUE(REGEXEXTRACT($T182, J$1&amp;""[\w &amp;]*, (\d+\.\d+)"")),"""")
"),217)</f>
        <v>217</v>
      </c>
      <c r="K182" s="3" t="n">
        <f aca="false">IFERROR(__xludf.dummyfunction("if($T182&lt;&gt;"""",VALUE(REGEXEXTRACT($T182, K$1&amp;""[\w &amp;]*, (\d+\.\d+)"")),"""")
"),207)</f>
        <v>207</v>
      </c>
      <c r="L182" s="3" t="n">
        <f aca="false">IFERROR(__xludf.dummyfunction("if($T182&lt;&gt;"""",VALUE(REGEXEXTRACT(SUBSTITUTE ($T182,L$1&amp;"" CE"",""""), L$1&amp;""[\w &amp;]*, (\d+\.\d+)"")),"""")
"),229)</f>
        <v>229</v>
      </c>
      <c r="M182" s="3" t="n">
        <f aca="false">IFERROR(__xludf.dummyfunction("if($T182&lt;&gt;"""",VALUE(REGEXEXTRACT($T182, M$1&amp;""[\w &amp;]*, (\d+\.\d+)"")),"""")
"),217)</f>
        <v>217</v>
      </c>
      <c r="N182" s="3" t="n">
        <f aca="false">IFERROR(__xludf.dummyfunction("if($T182&lt;&gt;"""",VALUE(REGEXEXTRACT(SUBSTITUTE ($T182,N$1&amp;"" CE"",""""), N$1&amp;""[\w &amp;]*, (\d+\.\d+)"")),"""")
"),220)</f>
        <v>220</v>
      </c>
      <c r="O182" s="3" t="n">
        <f aca="false">IFERROR(__xludf.dummyfunction("if($T182&lt;&gt;"""",VALUE(REGEXEXTRACT($T182, O$1&amp;""[\w &amp;]*, (\d+\.\d+)"")),"""")
"),222)</f>
        <v>222</v>
      </c>
      <c r="P182" s="2" t="n">
        <f aca="false">IFERROR(__xludf.dummyfunction("if($T182&lt;&gt;"""",VALUE(REGEXEXTRACT($T182, P$1&amp;""[\w &amp;]*, (\d+\.\d+)"")),"""")
"),216.78)</f>
        <v>216.78</v>
      </c>
      <c r="Q182" s="2" t="n">
        <f aca="false">IFERROR(__xludf.dummyfunction("if($T182&lt;&gt;"""",VALUE(REGEXEXTRACT($T182, Q$1&amp;""[\w &amp;]*, (\d+\.\d+)"")),"""")
"),215.56)</f>
        <v>215.56</v>
      </c>
      <c r="R182" s="2" t="n">
        <f aca="false">IFERROR(__xludf.dummyfunction("if($T182&lt;&gt;"""",VALUE(REGEXEXTRACT($T182, SUBSTITUTE(R$1, ""+"", ""\+"")&amp;""[\w &amp;]*, (\d+\.\d+)"")),"""")"),222.66)</f>
        <v>222.66</v>
      </c>
      <c r="S182" s="2" t="n">
        <f aca="false">IFERROR(__xludf.dummyfunction("if($T182&lt;&gt;"""",VALUE(REGEXEXTRACT($T182, SUBSTITUTE(S$1, ""+"", ""\+"")&amp;""[\w &amp;]*, (\d+\.\d+)"")),"""")"),223.88)</f>
        <v>223.88</v>
      </c>
      <c r="T182" s="5" t="s">
        <v>804</v>
      </c>
    </row>
    <row r="183" customFormat="false" ht="15.75" hidden="false" customHeight="false" outlineLevel="0" collapsed="false">
      <c r="A183" s="4" t="n">
        <f aca="false">IFERROR(__xludf.dummyfunction("""COMPUTED_VALUE"""),45673.6666666667)</f>
        <v>45673.6666666667</v>
      </c>
      <c r="B183" s="2" t="n">
        <f aca="false">IFERROR(__xludf.dummyfunction("""COMPUTED_VALUE"""),224.15)</f>
        <v>224.15</v>
      </c>
      <c r="C183" s="2" t="n">
        <f aca="false">IFERROR(__xludf.dummyfunction("""COMPUTED_VALUE"""),225.23)</f>
        <v>225.23</v>
      </c>
      <c r="D183" s="2" t="n">
        <f aca="false">IFERROR(__xludf.dummyfunction("""COMPUTED_VALUE"""),222.71)</f>
        <v>222.71</v>
      </c>
      <c r="E183" s="2" t="n">
        <f aca="false">IFERROR(__xludf.dummyfunction("""COMPUTED_VALUE"""),224.49)</f>
        <v>224.49</v>
      </c>
      <c r="F183" s="3" t="n">
        <f aca="false">IFERROR(__xludf.dummyfunction("if($T183&lt;&gt;"""",VALUE(REGEXEXTRACT(SUBSTITUTE ($T183,F$1&amp;"" CE"",""""), F$1&amp;""[\w &amp;]*, (\d+\.\d+)"")),"""")
"),225)</f>
        <v>225</v>
      </c>
      <c r="G183" s="3" t="n">
        <f aca="false">IFERROR(__xludf.dummyfunction("if($T183&lt;&gt;"""",VALUE(REGEXEXTRACT($T183, G$1&amp;""[\w &amp;]*, (\d+\.\d+)"")),"""")
"),224)</f>
        <v>224</v>
      </c>
      <c r="H183" s="3" t="n">
        <f aca="false">IFERROR(__xludf.dummyfunction("if($T183&lt;&gt;"""",VALUE(REGEXEXTRACT($T183, H$1&amp;""[\w &amp;]*, (\d+\.\d+)"")),"""")
"),232)</f>
        <v>232</v>
      </c>
      <c r="I183" s="3" t="n">
        <f aca="false">IFERROR(__xludf.dummyfunction("if($T183&lt;&gt;"""",VALUE(REGEXEXTRACT(SUBSTITUTE ($T183,I$1&amp;"" CE"",""""), I$1&amp;""[\w &amp;]*, (\d+\.\d+)"")),"""")
"),225)</f>
        <v>225</v>
      </c>
      <c r="J183" s="3" t="n">
        <f aca="false">IFERROR(__xludf.dummyfunction("if($T183&lt;&gt;"""",VALUE(REGEXEXTRACT($T183, J$1&amp;""[\w &amp;]*, (\d+\.\d+)"")),"""")
"),222)</f>
        <v>222</v>
      </c>
      <c r="K183" s="3" t="n">
        <f aca="false">IFERROR(__xludf.dummyfunction("if($T183&lt;&gt;"""",VALUE(REGEXEXTRACT($T183, K$1&amp;""[\w &amp;]*, (\d+\.\d+)"")),"""")
"),207)</f>
        <v>207</v>
      </c>
      <c r="L183" s="3" t="n">
        <f aca="false">IFERROR(__xludf.dummyfunction("if($T183&lt;&gt;"""",VALUE(REGEXEXTRACT(SUBSTITUTE ($T183,L$1&amp;"" CE"",""""), L$1&amp;""[\w &amp;]*, (\d+\.\d+)"")),"""")
"),229)</f>
        <v>229</v>
      </c>
      <c r="M183" s="3" t="n">
        <f aca="false">IFERROR(__xludf.dummyfunction("if($T183&lt;&gt;"""",VALUE(REGEXEXTRACT($T183, M$1&amp;""[\w &amp;]*, (\d+\.\d+)"")),"""")
"),223)</f>
        <v>223</v>
      </c>
      <c r="N183" s="3" t="n">
        <f aca="false">IFERROR(__xludf.dummyfunction("if($T183&lt;&gt;"""",VALUE(REGEXEXTRACT(SUBSTITUTE ($T183,N$1&amp;"" CE"",""""), N$1&amp;""[\w &amp;]*, (\d+\.\d+)"")),"""")
"),225)</f>
        <v>225</v>
      </c>
      <c r="O183" s="3" t="n">
        <f aca="false">IFERROR(__xludf.dummyfunction("if($T183&lt;&gt;"""",VALUE(REGEXEXTRACT($T183, O$1&amp;""[\w &amp;]*, (\d+\.\d+)"")),"""")
"),224)</f>
        <v>224</v>
      </c>
      <c r="P183" s="2" t="n">
        <f aca="false">IFERROR(__xludf.dummyfunction("if($T183&lt;&gt;"""",VALUE(REGEXEXTRACT($T183, P$1&amp;""[\w &amp;]*, (\d+\.\d+)"")),"""")
"),221.82)</f>
        <v>221.82</v>
      </c>
      <c r="Q183" s="2" t="n">
        <f aca="false">IFERROR(__xludf.dummyfunction("if($T183&lt;&gt;"""",VALUE(REGEXEXTRACT($T183, Q$1&amp;""[\w &amp;]*, (\d+\.\d+)"")),"""")
"),220.89)</f>
        <v>220.89</v>
      </c>
      <c r="R183" s="2" t="n">
        <f aca="false">IFERROR(__xludf.dummyfunction("if($T183&lt;&gt;"""",VALUE(REGEXEXTRACT($T183, SUBSTITUTE(R$1, ""+"", ""\+"")&amp;""[\w &amp;]*, (\d+\.\d+)"")),"""")"),226.26)</f>
        <v>226.26</v>
      </c>
      <c r="S183" s="2" t="n">
        <f aca="false">IFERROR(__xludf.dummyfunction("if($T183&lt;&gt;"""",VALUE(REGEXEXTRACT($T183, SUBSTITUTE(S$1, ""+"", ""\+"")&amp;""[\w &amp;]*, (\d+\.\d+)"")),"""")"),227.19)</f>
        <v>227.19</v>
      </c>
      <c r="T183" s="5" t="s">
        <v>805</v>
      </c>
    </row>
    <row r="184" customFormat="false" ht="15.75" hidden="false" customHeight="false" outlineLevel="0" collapsed="false">
      <c r="A184" s="4" t="n">
        <f aca="false">IFERROR(__xludf.dummyfunction("""COMPUTED_VALUE"""),45674.6666666667)</f>
        <v>45674.6666666667</v>
      </c>
      <c r="B184" s="2" t="n">
        <f aca="false">IFERROR(__xludf.dummyfunction("""COMPUTED_VALUE"""),226.93)</f>
        <v>226.93</v>
      </c>
      <c r="C184" s="2" t="n">
        <f aca="false">IFERROR(__xludf.dummyfunction("""COMPUTED_VALUE"""),226.97)</f>
        <v>226.97</v>
      </c>
      <c r="D184" s="2" t="n">
        <f aca="false">IFERROR(__xludf.dummyfunction("""COMPUTED_VALUE"""),224.67)</f>
        <v>224.67</v>
      </c>
      <c r="E184" s="2" t="n">
        <f aca="false">IFERROR(__xludf.dummyfunction("""COMPUTED_VALUE"""),225.46)</f>
        <v>225.46</v>
      </c>
      <c r="F184" s="3" t="n">
        <f aca="false">IFERROR(__xludf.dummyfunction("if($T184&lt;&gt;"""",VALUE(REGEXEXTRACT(SUBSTITUTE ($T184,F$1&amp;"" CE"",""""), F$1&amp;""[\w &amp;]*, (\d+\.\d+)"")),"""")
"),225)</f>
        <v>225</v>
      </c>
      <c r="G184" s="3" t="n">
        <f aca="false">IFERROR(__xludf.dummyfunction("if($T184&lt;&gt;"""",VALUE(REGEXEXTRACT($T184, G$1&amp;""[\w &amp;]*, (\d+\.\d+)"")),"""")
"),230)</f>
        <v>230</v>
      </c>
      <c r="H184" s="3" t="n">
        <f aca="false">IFERROR(__xludf.dummyfunction("if($T184&lt;&gt;"""",VALUE(REGEXEXTRACT($T184, H$1&amp;""[\w &amp;]*, (\d+\.\d+)"")),"""")
"),233)</f>
        <v>233</v>
      </c>
      <c r="I184" s="3" t="n">
        <f aca="false">IFERROR(__xludf.dummyfunction("if($T184&lt;&gt;"""",VALUE(REGEXEXTRACT(SUBSTITUTE ($T184,I$1&amp;"" CE"",""""), I$1&amp;""[\w &amp;]*, (\d+\.\d+)"")),"""")
"),225)</f>
        <v>225</v>
      </c>
      <c r="J184" s="3" t="n">
        <f aca="false">IFERROR(__xludf.dummyfunction("if($T184&lt;&gt;"""",VALUE(REGEXEXTRACT($T184, J$1&amp;""[\w &amp;]*, (\d+\.\d+)"")),"""")
"),223)</f>
        <v>223</v>
      </c>
      <c r="K184" s="3" t="n">
        <f aca="false">IFERROR(__xludf.dummyfunction("if($T184&lt;&gt;"""",VALUE(REGEXEXTRACT($T184, K$1&amp;""[\w &amp;]*, (\d+\.\d+)"")),"""")
"),220)</f>
        <v>220</v>
      </c>
      <c r="L184" s="3" t="n">
        <f aca="false">IFERROR(__xludf.dummyfunction("if($T184&lt;&gt;"""",VALUE(REGEXEXTRACT(SUBSTITUTE ($T184,L$1&amp;"" CE"",""""), L$1&amp;""[\w &amp;]*, (\d+\.\d+)"")),"""")
"),227)</f>
        <v>227</v>
      </c>
      <c r="M184" s="3" t="n">
        <f aca="false">IFERROR(__xludf.dummyfunction("if($T184&lt;&gt;"""",VALUE(REGEXEXTRACT($T184, M$1&amp;""[\w &amp;]*, (\d+\.\d+)"")),"""")
"),227)</f>
        <v>227</v>
      </c>
      <c r="N184" s="3" t="n">
        <f aca="false">IFERROR(__xludf.dummyfunction("if($T184&lt;&gt;"""",VALUE(REGEXEXTRACT(SUBSTITUTE ($T184,N$1&amp;"" CE"",""""), N$1&amp;""[\w &amp;]*, (\d+\.\d+)"")),"""")
"),225)</f>
        <v>225</v>
      </c>
      <c r="O184" s="3" t="n">
        <f aca="false">IFERROR(__xludf.dummyfunction("if($T184&lt;&gt;"""",VALUE(REGEXEXTRACT($T184, O$1&amp;""[\w &amp;]*, (\d+\.\d+)"")),"""")
"),225)</f>
        <v>225</v>
      </c>
      <c r="P184" s="2" t="n">
        <f aca="false">IFERROR(__xludf.dummyfunction("if($T184&lt;&gt;"""",VALUE(REGEXEXTRACT($T184, P$1&amp;""[\w &amp;]*, (\d+\.\d+)"")),"""")
"),222.26)</f>
        <v>222.26</v>
      </c>
      <c r="Q184" s="2" t="n">
        <f aca="false">IFERROR(__xludf.dummyfunction("if($T184&lt;&gt;"""",VALUE(REGEXEXTRACT($T184, Q$1&amp;""[\w &amp;]*, (\d+\.\d+)"")),"""")
"),219.51)</f>
        <v>219.51</v>
      </c>
      <c r="R184" s="2" t="n">
        <f aca="false">IFERROR(__xludf.dummyfunction("if($T184&lt;&gt;"""",VALUE(REGEXEXTRACT($T184, SUBSTITUTE(R$1, ""+"", ""\+"")&amp;""[\w &amp;]*, (\d+\.\d+)"")),"""")"),226.72)</f>
        <v>226.72</v>
      </c>
      <c r="S184" s="2" t="n">
        <f aca="false">IFERROR(__xludf.dummyfunction("if($T184&lt;&gt;"""",VALUE(REGEXEXTRACT($T184, SUBSTITUTE(S$1, ""+"", ""\+"")&amp;""[\w &amp;]*, (\d+\.\d+)"")),"""")"),229.47)</f>
        <v>229.47</v>
      </c>
      <c r="T184" s="5" t="s">
        <v>806</v>
      </c>
    </row>
    <row r="185" customFormat="false" ht="15.75" hidden="false" customHeight="false" outlineLevel="0" collapsed="false">
      <c r="A185" s="4" t="n">
        <f aca="false">IFERROR(__xludf.dummyfunction("""COMPUTED_VALUE"""),45678.6666666667)</f>
        <v>45678.6666666667</v>
      </c>
      <c r="B185" s="2" t="n">
        <f aca="false">IFERROR(__xludf.dummyfunction("""COMPUTED_VALUE"""),227.52)</f>
        <v>227.52</v>
      </c>
      <c r="C185" s="2" t="n">
        <f aca="false">IFERROR(__xludf.dummyfunction("""COMPUTED_VALUE"""),229.89)</f>
        <v>229.89</v>
      </c>
      <c r="D185" s="2" t="n">
        <f aca="false">IFERROR(__xludf.dummyfunction("""COMPUTED_VALUE"""),226.99)</f>
        <v>226.99</v>
      </c>
      <c r="E185" s="2" t="n">
        <f aca="false">IFERROR(__xludf.dummyfunction("""COMPUTED_VALUE"""),229.79)</f>
        <v>229.79</v>
      </c>
      <c r="F185" s="3" t="n">
        <f aca="false">IFERROR(__xludf.dummyfunction("if($T185&lt;&gt;"""",VALUE(REGEXEXTRACT(SUBSTITUTE ($T185,F$1&amp;"" CE"",""""), F$1&amp;""[\w &amp;]*, (\d+\.\d+)"")),"""")
"),230)</f>
        <v>230</v>
      </c>
      <c r="G185" s="3" t="n">
        <f aca="false">IFERROR(__xludf.dummyfunction("if($T185&lt;&gt;"""",VALUE(REGEXEXTRACT($T185, G$1&amp;""[\w &amp;]*, (\d+\.\d+)"")),"""")
"),230)</f>
        <v>230</v>
      </c>
      <c r="H185" s="3" t="n">
        <f aca="false">IFERROR(__xludf.dummyfunction("if($T185&lt;&gt;"""",VALUE(REGEXEXTRACT($T185, H$1&amp;""[\w &amp;]*, (\d+\.\d+)"")),"""")
"),233)</f>
        <v>233</v>
      </c>
      <c r="I185" s="3" t="n">
        <f aca="false">IFERROR(__xludf.dummyfunction("if($T185&lt;&gt;"""",VALUE(REGEXEXTRACT(SUBSTITUTE ($T185,I$1&amp;"" CE"",""""), I$1&amp;""[\w &amp;]*, (\d+\.\d+)"")),"""")
"),215)</f>
        <v>215</v>
      </c>
      <c r="J185" s="3" t="n">
        <f aca="false">IFERROR(__xludf.dummyfunction("if($T185&lt;&gt;"""",VALUE(REGEXEXTRACT($T185, J$1&amp;""[\w &amp;]*, (\d+\.\d+)"")),"""")
"),223)</f>
        <v>223</v>
      </c>
      <c r="K185" s="3" t="n">
        <f aca="false">IFERROR(__xludf.dummyfunction("if($T185&lt;&gt;"""",VALUE(REGEXEXTRACT($T185, K$1&amp;""[\w &amp;]*, (\d+\.\d+)"")),"""")
"),212)</f>
        <v>212</v>
      </c>
      <c r="L185" s="3" t="n">
        <f aca="false">IFERROR(__xludf.dummyfunction("if($T185&lt;&gt;"""",VALUE(REGEXEXTRACT(SUBSTITUTE ($T185,L$1&amp;"" CE"",""""), L$1&amp;""[\w &amp;]*, (\d+\.\d+)"")),"""")
"),224)</f>
        <v>224</v>
      </c>
      <c r="M185" s="3" t="n">
        <f aca="false">IFERROR(__xludf.dummyfunction("if($T185&lt;&gt;"""",VALUE(REGEXEXTRACT($T185, M$1&amp;""[\w &amp;]*, (\d+\.\d+)"")),"""")
"),224)</f>
        <v>224</v>
      </c>
      <c r="N185" s="3" t="n">
        <f aca="false">IFERROR(__xludf.dummyfunction("if($T185&lt;&gt;"""",VALUE(REGEXEXTRACT(SUBSTITUTE ($T185,N$1&amp;"" CE"",""""), N$1&amp;""[\w &amp;]*, (\d+\.\d+)"")),"""")
"),230)</f>
        <v>230</v>
      </c>
      <c r="O185" s="3" t="n">
        <f aca="false">IFERROR(__xludf.dummyfunction("if($T185&lt;&gt;"""",VALUE(REGEXEXTRACT($T185, O$1&amp;""[\w &amp;]*, (\d+\.\d+)"")),"""")
"),226)</f>
        <v>226</v>
      </c>
      <c r="P185" s="2" t="n">
        <f aca="false">IFERROR(__xludf.dummyfunction("if($T185&lt;&gt;"""",VALUE(REGEXEXTRACT($T185, P$1&amp;""[\w &amp;]*, (\d+\.\d+)"")),"""")
"),223.52)</f>
        <v>223.52</v>
      </c>
      <c r="Q185" s="2" t="n">
        <f aca="false">IFERROR(__xludf.dummyfunction("if($T185&lt;&gt;"""",VALUE(REGEXEXTRACT($T185, Q$1&amp;""[\w &amp;]*, (\d+\.\d+)"")),"""")
"),222.72)</f>
        <v>222.72</v>
      </c>
      <c r="R185" s="2" t="n">
        <f aca="false">IFERROR(__xludf.dummyfunction("if($T185&lt;&gt;"""",VALUE(REGEXEXTRACT($T185, SUBSTITUTE(R$1, ""+"", ""\+"")&amp;""[\w &amp;]*, (\d+\.\d+)"")),"""")"),227.4)</f>
        <v>227.4</v>
      </c>
      <c r="S185" s="2" t="n">
        <f aca="false">IFERROR(__xludf.dummyfunction("if($T185&lt;&gt;"""",VALUE(REGEXEXTRACT($T185, SUBSTITUTE(S$1, ""+"", ""\+"")&amp;""[\w &amp;]*, (\d+\.\d+)"")),"""")"),228.2)</f>
        <v>228.2</v>
      </c>
      <c r="T185" s="5" t="s">
        <v>807</v>
      </c>
    </row>
    <row r="186" customFormat="false" ht="15.75" hidden="false" customHeight="false" outlineLevel="0" collapsed="false">
      <c r="A186" s="4" t="n">
        <f aca="false">IFERROR(__xludf.dummyfunction("""COMPUTED_VALUE"""),45679.6666666667)</f>
        <v>45679.6666666667</v>
      </c>
      <c r="B186" s="2" t="n">
        <f aca="false">IFERROR(__xludf.dummyfunction("""COMPUTED_VALUE"""),229.35)</f>
        <v>229.35</v>
      </c>
      <c r="C186" s="2" t="n">
        <f aca="false">IFERROR(__xludf.dummyfunction("""COMPUTED_VALUE"""),229.85)</f>
        <v>229.85</v>
      </c>
      <c r="D186" s="2" t="n">
        <f aca="false">IFERROR(__xludf.dummyfunction("""COMPUTED_VALUE"""),227.83)</f>
        <v>227.83</v>
      </c>
      <c r="E186" s="2" t="n">
        <f aca="false">IFERROR(__xludf.dummyfunction("""COMPUTED_VALUE"""),228.29)</f>
        <v>228.29</v>
      </c>
      <c r="F186" s="3" t="n">
        <f aca="false">IFERROR(__xludf.dummyfunction("if($T186&lt;&gt;"""",VALUE(REGEXEXTRACT(SUBSTITUTE ($T186,F$1&amp;"" CE"",""""), F$1&amp;""[\w &amp;]*, (\d+\.\d+)"")),"""")
"),230)</f>
        <v>230</v>
      </c>
      <c r="G186" s="3" t="n">
        <f aca="false">IFERROR(__xludf.dummyfunction("if($T186&lt;&gt;"""",VALUE(REGEXEXTRACT($T186, G$1&amp;""[\w &amp;]*, (\d+\.\d+)"")),"""")
"),230)</f>
        <v>230</v>
      </c>
      <c r="H186" s="3" t="n">
        <f aca="false">IFERROR(__xludf.dummyfunction("if($T186&lt;&gt;"""",VALUE(REGEXEXTRACT($T186, H$1&amp;""[\w &amp;]*, (\d+\.\d+)"")),"""")
"),233)</f>
        <v>233</v>
      </c>
      <c r="I186" s="3" t="n">
        <f aca="false">IFERROR(__xludf.dummyfunction("if($T186&lt;&gt;"""",VALUE(REGEXEXTRACT(SUBSTITUTE ($T186,I$1&amp;"" CE"",""""), I$1&amp;""[\w &amp;]*, (\d+\.\d+)"")),"""")
"),220)</f>
        <v>220</v>
      </c>
      <c r="J186" s="3" t="n">
        <f aca="false">IFERROR(__xludf.dummyfunction("if($T186&lt;&gt;"""",VALUE(REGEXEXTRACT($T186, J$1&amp;""[\w &amp;]*, (\d+\.\d+)"")),"""")
"),227)</f>
        <v>227</v>
      </c>
      <c r="K186" s="3" t="n">
        <f aca="false">IFERROR(__xludf.dummyfunction("if($T186&lt;&gt;"""",VALUE(REGEXEXTRACT($T186, K$1&amp;""[\w &amp;]*, (\d+\.\d+)"")),"""")
"),212)</f>
        <v>212</v>
      </c>
      <c r="L186" s="3" t="n">
        <f aca="false">IFERROR(__xludf.dummyfunction("if($T186&lt;&gt;"""",VALUE(REGEXEXTRACT(SUBSTITUTE ($T186,L$1&amp;"" CE"",""""), L$1&amp;""[\w &amp;]*, (\d+\.\d+)"")),"""")
"),224)</f>
        <v>224</v>
      </c>
      <c r="M186" s="3" t="n">
        <f aca="false">IFERROR(__xludf.dummyfunction("if($T186&lt;&gt;"""",VALUE(REGEXEXTRACT($T186, M$1&amp;""[\w &amp;]*, (\d+\.\d+)"")),"""")
"),228)</f>
        <v>228</v>
      </c>
      <c r="N186" s="3" t="n">
        <f aca="false">IFERROR(__xludf.dummyfunction("if($T186&lt;&gt;"""",VALUE(REGEXEXTRACT(SUBSTITUTE ($T186,N$1&amp;"" CE"",""""), N$1&amp;""[\w &amp;]*, (\d+\.\d+)"")),"""")
"),230)</f>
        <v>230</v>
      </c>
      <c r="O186" s="3" t="n">
        <f aca="false">IFERROR(__xludf.dummyfunction("if($T186&lt;&gt;"""",VALUE(REGEXEXTRACT($T186, O$1&amp;""[\w &amp;]*, (\d+\.\d+)"")),"""")
"),229)</f>
        <v>229</v>
      </c>
      <c r="P186" s="2" t="n">
        <f aca="false">IFERROR(__xludf.dummyfunction("if($T186&lt;&gt;"""",VALUE(REGEXEXTRACT($T186, P$1&amp;""[\w &amp;]*, (\d+\.\d+)"")),"""")
"),227.61)</f>
        <v>227.61</v>
      </c>
      <c r="Q186" s="2" t="n">
        <f aca="false">IFERROR(__xludf.dummyfunction("if($T186&lt;&gt;"""",VALUE(REGEXEXTRACT($T186, Q$1&amp;""[\w &amp;]*, (\d+\.\d+)"")),"""")
"),226.71)</f>
        <v>226.71</v>
      </c>
      <c r="R186" s="2" t="n">
        <f aca="false">IFERROR(__xludf.dummyfunction("if($T186&lt;&gt;"""",VALUE(REGEXEXTRACT($T186, SUBSTITUTE(R$1, ""+"", ""\+"")&amp;""[\w &amp;]*, (\d+\.\d+)"")),"""")"),231.97)</f>
        <v>231.97</v>
      </c>
      <c r="S186" s="2" t="n">
        <f aca="false">IFERROR(__xludf.dummyfunction("if($T186&lt;&gt;"""",VALUE(REGEXEXTRACT($T186, SUBSTITUTE(S$1, ""+"", ""\+"")&amp;""[\w &amp;]*, (\d+\.\d+)"")),"""")"),232.87)</f>
        <v>232.87</v>
      </c>
      <c r="T186" s="5" t="s">
        <v>808</v>
      </c>
    </row>
    <row r="187" customFormat="false" ht="15.75" hidden="false" customHeight="false" outlineLevel="0" collapsed="false">
      <c r="A187" s="4" t="n">
        <f aca="false">IFERROR(__xludf.dummyfunction("""COMPUTED_VALUE"""),45680.6666666667)</f>
        <v>45680.6666666667</v>
      </c>
      <c r="B187" s="2" t="n">
        <f aca="false">IFERROR(__xludf.dummyfunction("""COMPUTED_VALUE"""),226.93)</f>
        <v>226.93</v>
      </c>
      <c r="C187" s="2" t="n">
        <f aca="false">IFERROR(__xludf.dummyfunction("""COMPUTED_VALUE"""),229.35)</f>
        <v>229.35</v>
      </c>
      <c r="D187" s="2" t="n">
        <f aca="false">IFERROR(__xludf.dummyfunction("""COMPUTED_VALUE"""),226.55)</f>
        <v>226.55</v>
      </c>
      <c r="E187" s="2" t="n">
        <f aca="false">IFERROR(__xludf.dummyfunction("""COMPUTED_VALUE"""),229.33)</f>
        <v>229.33</v>
      </c>
      <c r="F187" s="3" t="n">
        <f aca="false">IFERROR(__xludf.dummyfunction("if($T187&lt;&gt;"""",VALUE(REGEXEXTRACT(SUBSTITUTE ($T187,F$1&amp;"" CE"",""""), F$1&amp;""[\w &amp;]*, (\d+\.\d+)"")),"""")
"),230)</f>
        <v>230</v>
      </c>
      <c r="G187" s="3" t="n">
        <f aca="false">IFERROR(__xludf.dummyfunction("if($T187&lt;&gt;"""",VALUE(REGEXEXTRACT($T187, G$1&amp;""[\w &amp;]*, (\d+\.\d+)"")),"""")
"),229)</f>
        <v>229</v>
      </c>
      <c r="H187" s="3" t="n">
        <f aca="false">IFERROR(__xludf.dummyfunction("if($T187&lt;&gt;"""",VALUE(REGEXEXTRACT($T187, H$1&amp;""[\w &amp;]*, (\d+\.\d+)"")),"""")
"),233)</f>
        <v>233</v>
      </c>
      <c r="I187" s="3" t="n">
        <f aca="false">IFERROR(__xludf.dummyfunction("if($T187&lt;&gt;"""",VALUE(REGEXEXTRACT(SUBSTITUTE ($T187,I$1&amp;"" CE"",""""), I$1&amp;""[\w &amp;]*, (\d+\.\d+)"")),"""")
"),220)</f>
        <v>220</v>
      </c>
      <c r="J187" s="3" t="n">
        <f aca="false">IFERROR(__xludf.dummyfunction("if($T187&lt;&gt;"""",VALUE(REGEXEXTRACT($T187, J$1&amp;""[\w &amp;]*, (\d+\.\d+)"")),"""")
"),225)</f>
        <v>225</v>
      </c>
      <c r="K187" s="3" t="n">
        <f aca="false">IFERROR(__xludf.dummyfunction("if($T187&lt;&gt;"""",VALUE(REGEXEXTRACT($T187, K$1&amp;""[\w &amp;]*, (\d+\.\d+)"")),"""")
"),212)</f>
        <v>212</v>
      </c>
      <c r="L187" s="3" t="n">
        <f aca="false">IFERROR(__xludf.dummyfunction("if($T187&lt;&gt;"""",VALUE(REGEXEXTRACT(SUBSTITUTE ($T187,L$1&amp;"" CE"",""""), L$1&amp;""[\w &amp;]*, (\d+\.\d+)"")),"""")
"),227.5)</f>
        <v>227.5</v>
      </c>
      <c r="M187" s="3" t="n">
        <f aca="false">IFERROR(__xludf.dummyfunction("if($T187&lt;&gt;"""",VALUE(REGEXEXTRACT($T187, M$1&amp;""[\w &amp;]*, (\d+\.\d+)"")),"""")
"),227)</f>
        <v>227</v>
      </c>
      <c r="N187" s="3" t="n">
        <f aca="false">IFERROR(__xludf.dummyfunction("if($T187&lt;&gt;"""",VALUE(REGEXEXTRACT(SUBSTITUTE ($T187,N$1&amp;"" CE"",""""), N$1&amp;""[\w &amp;]*, (\d+\.\d+)"")),"""")
"),230)</f>
        <v>230</v>
      </c>
      <c r="O187" s="3" t="n">
        <f aca="false">IFERROR(__xludf.dummyfunction("if($T187&lt;&gt;"""",VALUE(REGEXEXTRACT($T187, O$1&amp;""[\w &amp;]*, (\d+\.\d+)"")),"""")
"),228)</f>
        <v>228</v>
      </c>
      <c r="P187" s="2" t="n">
        <f aca="false">IFERROR(__xludf.dummyfunction("if($T187&lt;&gt;"""",VALUE(REGEXEXTRACT($T187, P$1&amp;""[\w &amp;]*, (\d+\.\d+)"")),"""")
"),226.32)</f>
        <v>226.32</v>
      </c>
      <c r="Q187" s="2" t="n">
        <f aca="false">IFERROR(__xludf.dummyfunction("if($T187&lt;&gt;"""",VALUE(REGEXEXTRACT($T187, Q$1&amp;""[\w &amp;]*, (\d+\.\d+)"")),"""")
"),225.54)</f>
        <v>225.54</v>
      </c>
      <c r="R187" s="2" t="n">
        <f aca="false">IFERROR(__xludf.dummyfunction("if($T187&lt;&gt;"""",VALUE(REGEXEXTRACT($T187, SUBSTITUTE(R$1, ""+"", ""\+"")&amp;""[\w &amp;]*, (\d+\.\d+)"")),"""")"),230.26)</f>
        <v>230.26</v>
      </c>
      <c r="S187" s="2" t="n">
        <f aca="false">IFERROR(__xludf.dummyfunction("if($T187&lt;&gt;"""",VALUE(REGEXEXTRACT($T187, SUBSTITUTE(S$1, ""+"", ""\+"")&amp;""[\w &amp;]*, (\d+\.\d+)"")),"""")"),231.04)</f>
        <v>231.04</v>
      </c>
      <c r="T187" s="5" t="s">
        <v>809</v>
      </c>
    </row>
    <row r="188" customFormat="false" ht="15.75" hidden="false" customHeight="false" outlineLevel="0" collapsed="false">
      <c r="A188" s="4" t="n">
        <f aca="false">IFERROR(__xludf.dummyfunction("""COMPUTED_VALUE"""),45681.6666666667)</f>
        <v>45681.6666666667</v>
      </c>
      <c r="B188" s="2" t="n">
        <f aca="false">IFERROR(__xludf.dummyfunction("""COMPUTED_VALUE"""),228.82)</f>
        <v>228.82</v>
      </c>
      <c r="C188" s="2" t="n">
        <f aca="false">IFERROR(__xludf.dummyfunction("""COMPUTED_VALUE"""),230.23)</f>
        <v>230.23</v>
      </c>
      <c r="D188" s="2" t="n">
        <f aca="false">IFERROR(__xludf.dummyfunction("""COMPUTED_VALUE"""),228.04)</f>
        <v>228.04</v>
      </c>
      <c r="E188" s="2" t="n">
        <f aca="false">IFERROR(__xludf.dummyfunction("""COMPUTED_VALUE"""),228.69)</f>
        <v>228.69</v>
      </c>
      <c r="F188" s="3" t="n">
        <f aca="false">IFERROR(__xludf.dummyfunction("if($T188&lt;&gt;"""",VALUE(REGEXEXTRACT(SUBSTITUTE ($T188,F$1&amp;"" CE"",""""), F$1&amp;""[\w &amp;]*, (\d+\.\d+)"")),"""")
"),230)</f>
        <v>230</v>
      </c>
      <c r="G188" s="3" t="n">
        <f aca="false">IFERROR(__xludf.dummyfunction("if($T188&lt;&gt;"""",VALUE(REGEXEXTRACT($T188, G$1&amp;""[\w &amp;]*, (\d+\.\d+)"")),"""")
"),230)</f>
        <v>230</v>
      </c>
      <c r="H188" s="3" t="n">
        <f aca="false">IFERROR(__xludf.dummyfunction("if($T188&lt;&gt;"""",VALUE(REGEXEXTRACT($T188, H$1&amp;""[\w &amp;]*, (\d+\.\d+)"")),"""")
"),233)</f>
        <v>233</v>
      </c>
      <c r="I188" s="3" t="n">
        <f aca="false">IFERROR(__xludf.dummyfunction("if($T188&lt;&gt;"""",VALUE(REGEXEXTRACT(SUBSTITUTE ($T188,I$1&amp;"" CE"",""""), I$1&amp;""[\w &amp;]*, (\d+\.\d+)"")),"""")
"),220)</f>
        <v>220</v>
      </c>
      <c r="J188" s="3" t="n">
        <f aca="false">IFERROR(__xludf.dummyfunction("if($T188&lt;&gt;"""",VALUE(REGEXEXTRACT($T188, J$1&amp;""[\w &amp;]*, (\d+\.\d+)"")),"""")
"),227.5)</f>
        <v>227.5</v>
      </c>
      <c r="K188" s="3" t="n">
        <f aca="false">IFERROR(__xludf.dummyfunction("if($T188&lt;&gt;"""",VALUE(REGEXEXTRACT($T188, K$1&amp;""[\w &amp;]*, (\d+\.\d+)"")),"""")
"),212)</f>
        <v>212</v>
      </c>
      <c r="L188" s="3" t="n">
        <f aca="false">IFERROR(__xludf.dummyfunction("if($T188&lt;&gt;"""",VALUE(REGEXEXTRACT(SUBSTITUTE ($T188,L$1&amp;"" CE"",""""), L$1&amp;""[\w &amp;]*, (\d+\.\d+)"")),"""")
"),228)</f>
        <v>228</v>
      </c>
      <c r="M188" s="3" t="n">
        <f aca="false">IFERROR(__xludf.dummyfunction("if($T188&lt;&gt;"""",VALUE(REGEXEXTRACT($T188, M$1&amp;""[\w &amp;]*, (\d+\.\d+)"")),"""")
"),228)</f>
        <v>228</v>
      </c>
      <c r="N188" s="3" t="n">
        <f aca="false">IFERROR(__xludf.dummyfunction("if($T188&lt;&gt;"""",VALUE(REGEXEXTRACT(SUBSTITUTE ($T188,N$1&amp;"" CE"",""""), N$1&amp;""[\w &amp;]*, (\d+\.\d+)"")),"""")
"),230)</f>
        <v>230</v>
      </c>
      <c r="O188" s="3" t="n">
        <f aca="false">IFERROR(__xludf.dummyfunction("if($T188&lt;&gt;"""",VALUE(REGEXEXTRACT($T188, O$1&amp;""[\w &amp;]*, (\d+\.\d+)"")),"""")
"),230)</f>
        <v>230</v>
      </c>
      <c r="P188" s="2" t="n">
        <f aca="false">IFERROR(__xludf.dummyfunction("if($T188&lt;&gt;"""",VALUE(REGEXEXTRACT($T188, P$1&amp;""[\w &amp;]*, (\d+\.\d+)"")),"""")
"),227.19)</f>
        <v>227.19</v>
      </c>
      <c r="Q188" s="2" t="n">
        <f aca="false">IFERROR(__xludf.dummyfunction("if($T188&lt;&gt;"""",VALUE(REGEXEXTRACT($T188, Q$1&amp;""[\w &amp;]*, (\d+\.\d+)"")),"""")
"),225.05)</f>
        <v>225.05</v>
      </c>
      <c r="R188" s="2" t="n">
        <f aca="false">IFERROR(__xludf.dummyfunction("if($T188&lt;&gt;"""",VALUE(REGEXEXTRACT($T188, SUBSTITUTE(R$1, ""+"", ""\+"")&amp;""[\w &amp;]*, (\d+\.\d+)"")),"""")"),231.47)</f>
        <v>231.47</v>
      </c>
      <c r="S188" s="2" t="n">
        <f aca="false">IFERROR(__xludf.dummyfunction("if($T188&lt;&gt;"""",VALUE(REGEXEXTRACT($T188, SUBSTITUTE(S$1, ""+"", ""\+"")&amp;""[\w &amp;]*, (\d+\.\d+)"")),"""")"),233.61)</f>
        <v>233.61</v>
      </c>
      <c r="T188" s="5" t="s">
        <v>810</v>
      </c>
    </row>
    <row r="189" customFormat="false" ht="15.75" hidden="false" customHeight="false" outlineLevel="0" collapsed="false">
      <c r="A189" s="4" t="n">
        <f aca="false">IFERROR(__xludf.dummyfunction("""COMPUTED_VALUE"""),45684.6666666667)</f>
        <v>45684.6666666667</v>
      </c>
      <c r="B189" s="2" t="n">
        <f aca="false">IFERROR(__xludf.dummyfunction("""COMPUTED_VALUE"""),226.71)</f>
        <v>226.71</v>
      </c>
      <c r="C189" s="2" t="n">
        <f aca="false">IFERROR(__xludf.dummyfunction("""COMPUTED_VALUE"""),229.62)</f>
        <v>229.62</v>
      </c>
      <c r="D189" s="2" t="n">
        <f aca="false">IFERROR(__xludf.dummyfunction("""COMPUTED_VALUE"""),225.21)</f>
        <v>225.21</v>
      </c>
      <c r="E189" s="2" t="n">
        <f aca="false">IFERROR(__xludf.dummyfunction("""COMPUTED_VALUE"""),226.5)</f>
        <v>226.5</v>
      </c>
      <c r="F189" s="3" t="n">
        <f aca="false">IFERROR(__xludf.dummyfunction("if($T189&lt;&gt;"""",VALUE(REGEXEXTRACT(SUBSTITUTE ($T189,F$1&amp;"" CE"",""""), F$1&amp;""[\w &amp;]*, (\d+\.\d+)"")),"""")
"),235)</f>
        <v>235</v>
      </c>
      <c r="G189" s="3" t="n">
        <f aca="false">IFERROR(__xludf.dummyfunction("if($T189&lt;&gt;"""",VALUE(REGEXEXTRACT($T189, G$1&amp;""[\w &amp;]*, (\d+\.\d+)"")),"""")
"),230)</f>
        <v>230</v>
      </c>
      <c r="H189" s="3" t="n">
        <f aca="false">IFERROR(__xludf.dummyfunction("if($T189&lt;&gt;"""",VALUE(REGEXEXTRACT($T189, H$1&amp;""[\w &amp;]*, (\d+\.\d+)"")),"""")
"),238)</f>
        <v>238</v>
      </c>
      <c r="I189" s="3" t="n">
        <f aca="false">IFERROR(__xludf.dummyfunction("if($T189&lt;&gt;"""",VALUE(REGEXEXTRACT(SUBSTITUTE ($T189,I$1&amp;"" CE"",""""), I$1&amp;""[\w &amp;]*, (\d+\.\d+)"")),"""")
"),220)</f>
        <v>220</v>
      </c>
      <c r="J189" s="3" t="n">
        <f aca="false">IFERROR(__xludf.dummyfunction("if($T189&lt;&gt;"""",VALUE(REGEXEXTRACT($T189, J$1&amp;""[\w &amp;]*, (\d+\.\d+)"")),"""")
"),226)</f>
        <v>226</v>
      </c>
      <c r="K189" s="3" t="n">
        <f aca="false">IFERROR(__xludf.dummyfunction("if($T189&lt;&gt;"""",VALUE(REGEXEXTRACT($T189, K$1&amp;""[\w &amp;]*, (\d+\.\d+)"")),"""")
"),217)</f>
        <v>217</v>
      </c>
      <c r="L189" s="3" t="n">
        <f aca="false">IFERROR(__xludf.dummyfunction("if($T189&lt;&gt;"""",VALUE(REGEXEXTRACT(SUBSTITUTE ($T189,L$1&amp;"" CE"",""""), L$1&amp;""[\w &amp;]*, (\d+\.\d+)"")),"""")
"),229)</f>
        <v>229</v>
      </c>
      <c r="M189" s="3" t="n">
        <f aca="false">IFERROR(__xludf.dummyfunction("if($T189&lt;&gt;"""",VALUE(REGEXEXTRACT($T189, M$1&amp;""[\w &amp;]*, (\d+\.\d+)"")),"""")
"),229)</f>
        <v>229</v>
      </c>
      <c r="N189" s="3" t="n">
        <f aca="false">IFERROR(__xludf.dummyfunction("if($T189&lt;&gt;"""",VALUE(REGEXEXTRACT(SUBSTITUTE ($T189,N$1&amp;"" CE"",""""), N$1&amp;""[\w &amp;]*, (\d+\.\d+)"")),"""")
"),230)</f>
        <v>230</v>
      </c>
      <c r="O189" s="3" t="n">
        <f aca="false">IFERROR(__xludf.dummyfunction("if($T189&lt;&gt;"""",VALUE(REGEXEXTRACT($T189, O$1&amp;""[\w &amp;]*, (\d+\.\d+)"")),"""")
"),229)</f>
        <v>229</v>
      </c>
      <c r="P189" s="2" t="n">
        <f aca="false">IFERROR(__xludf.dummyfunction("if($T189&lt;&gt;"""",VALUE(REGEXEXTRACT($T189, P$1&amp;""[\w &amp;]*, (\d+\.\d+)"")),"""")
"),226.71)</f>
        <v>226.71</v>
      </c>
      <c r="Q189" s="2" t="n">
        <f aca="false">IFERROR(__xludf.dummyfunction("if($T189&lt;&gt;"""",VALUE(REGEXEXTRACT($T189, Q$1&amp;""[\w &amp;]*, (\d+\.\d+)"")),"""")
"),225.89)</f>
        <v>225.89</v>
      </c>
      <c r="R189" s="2" t="n">
        <f aca="false">IFERROR(__xludf.dummyfunction("if($T189&lt;&gt;"""",VALUE(REGEXEXTRACT($T189, SUBSTITUTE(R$1, ""+"", ""\+"")&amp;""[\w &amp;]*, (\d+\.\d+)"")),"""")"),230.67)</f>
        <v>230.67</v>
      </c>
      <c r="S189" s="2" t="n">
        <f aca="false">IFERROR(__xludf.dummyfunction("if($T189&lt;&gt;"""",VALUE(REGEXEXTRACT($T189, SUBSTITUTE(S$1, ""+"", ""\+"")&amp;""[\w &amp;]*, (\d+\.\d+)"")),"""")"),231.49)</f>
        <v>231.49</v>
      </c>
      <c r="T189" s="5" t="s">
        <v>811</v>
      </c>
    </row>
    <row r="190" customFormat="false" ht="15.75" hidden="false" customHeight="false" outlineLevel="0" collapsed="false">
      <c r="A190" s="4" t="n">
        <f aca="false">IFERROR(__xludf.dummyfunction("""COMPUTED_VALUE"""),45685.6666666667)</f>
        <v>45685.6666666667</v>
      </c>
      <c r="B190" s="2" t="n">
        <f aca="false">IFERROR(__xludf.dummyfunction("""COMPUTED_VALUE"""),226.74)</f>
        <v>226.74</v>
      </c>
      <c r="C190" s="2" t="n">
        <f aca="false">IFERROR(__xludf.dummyfunction("""COMPUTED_VALUE"""),227.56)</f>
        <v>227.56</v>
      </c>
      <c r="D190" s="2" t="n">
        <f aca="false">IFERROR(__xludf.dummyfunction("""COMPUTED_VALUE"""),225.18)</f>
        <v>225.18</v>
      </c>
      <c r="E190" s="2" t="n">
        <f aca="false">IFERROR(__xludf.dummyfunction("""COMPUTED_VALUE"""),226.75)</f>
        <v>226.75</v>
      </c>
      <c r="F190" s="3" t="n">
        <f aca="false">IFERROR(__xludf.dummyfunction("if($T190&lt;&gt;"""",VALUE(REGEXEXTRACT(SUBSTITUTE ($T190,F$1&amp;"" CE"",""""), F$1&amp;""[\w &amp;]*, (\d+\.\d+)"")),"""")
"),235)</f>
        <v>235</v>
      </c>
      <c r="G190" s="3" t="n">
        <f aca="false">IFERROR(__xludf.dummyfunction("if($T190&lt;&gt;"""",VALUE(REGEXEXTRACT($T190, G$1&amp;""[\w &amp;]*, (\d+\.\d+)"")),"""")
"),230)</f>
        <v>230</v>
      </c>
      <c r="H190" s="3" t="n">
        <f aca="false">IFERROR(__xludf.dummyfunction("if($T190&lt;&gt;"""",VALUE(REGEXEXTRACT($T190, H$1&amp;""[\w &amp;]*, (\d+\.\d+)"")),"""")
"),238)</f>
        <v>238</v>
      </c>
      <c r="I190" s="3" t="n">
        <f aca="false">IFERROR(__xludf.dummyfunction("if($T190&lt;&gt;"""",VALUE(REGEXEXTRACT(SUBSTITUTE ($T190,I$1&amp;"" CE"",""""), I$1&amp;""[\w &amp;]*, (\d+\.\d+)"")),"""")
"),220)</f>
        <v>220</v>
      </c>
      <c r="J190" s="3" t="n">
        <f aca="false">IFERROR(__xludf.dummyfunction("if($T190&lt;&gt;"""",VALUE(REGEXEXTRACT($T190, J$1&amp;""[\w &amp;]*, (\d+\.\d+)"")),"""")
"),224)</f>
        <v>224</v>
      </c>
      <c r="K190" s="3" t="n">
        <f aca="false">IFERROR(__xludf.dummyfunction("if($T190&lt;&gt;"""",VALUE(REGEXEXTRACT($T190, K$1&amp;""[\w &amp;]*, (\d+\.\d+)"")),"""")
"),212)</f>
        <v>212</v>
      </c>
      <c r="L190" s="3" t="n">
        <f aca="false">IFERROR(__xludf.dummyfunction("if($T190&lt;&gt;"""",VALUE(REGEXEXTRACT(SUBSTITUTE ($T190,L$1&amp;"" CE"",""""), L$1&amp;""[\w &amp;]*, (\d+\.\d+)"")),"""")
"),227)</f>
        <v>227</v>
      </c>
      <c r="M190" s="3" t="n">
        <f aca="false">IFERROR(__xludf.dummyfunction("if($T190&lt;&gt;"""",VALUE(REGEXEXTRACT($T190, M$1&amp;""[\w &amp;]*, (\d+\.\d+)"")),"""")
"),225)</f>
        <v>225</v>
      </c>
      <c r="N190" s="3" t="n">
        <f aca="false">IFERROR(__xludf.dummyfunction("if($T190&lt;&gt;"""",VALUE(REGEXEXTRACT(SUBSTITUTE ($T190,N$1&amp;"" CE"",""""), N$1&amp;""[\w &amp;]*, (\d+\.\d+)"")),"""")
"),220)</f>
        <v>220</v>
      </c>
      <c r="O190" s="3" t="n">
        <f aca="false">IFERROR(__xludf.dummyfunction("if($T190&lt;&gt;"""",VALUE(REGEXEXTRACT($T190, O$1&amp;""[\w &amp;]*, (\d+\.\d+)"")),"""")
"),226)</f>
        <v>226</v>
      </c>
      <c r="P190" s="2" t="n">
        <f aca="false">IFERROR(__xludf.dummyfunction("if($T190&lt;&gt;"""",VALUE(REGEXEXTRACT($T190, P$1&amp;""[\w &amp;]*, (\d+\.\d+)"")),"""")
"),224.08)</f>
        <v>224.08</v>
      </c>
      <c r="Q190" s="2" t="n">
        <f aca="false">IFERROR(__xludf.dummyfunction("if($T190&lt;&gt;"""",VALUE(REGEXEXTRACT($T190, Q$1&amp;""[\w &amp;]*, (\d+\.\d+)"")),"""")
"),223.07)</f>
        <v>223.07</v>
      </c>
      <c r="R190" s="2" t="n">
        <f aca="false">IFERROR(__xludf.dummyfunction("if($T190&lt;&gt;"""",VALUE(REGEXEXTRACT($T190, SUBSTITUTE(R$1, ""+"", ""\+"")&amp;""[\w &amp;]*, (\d+\.\d+)"")),"""")"),228.92)</f>
        <v>228.92</v>
      </c>
      <c r="S190" s="2" t="n">
        <f aca="false">IFERROR(__xludf.dummyfunction("if($T190&lt;&gt;"""",VALUE(REGEXEXTRACT($T190, SUBSTITUTE(S$1, ""+"", ""\+"")&amp;""[\w &amp;]*, (\d+\.\d+)"")),"""")"),229.93)</f>
        <v>229.93</v>
      </c>
      <c r="T190" s="5" t="s">
        <v>812</v>
      </c>
    </row>
    <row r="191" customFormat="false" ht="15.75" hidden="false" customHeight="false" outlineLevel="0" collapsed="false">
      <c r="A191" s="4" t="n">
        <f aca="false">IFERROR(__xludf.dummyfunction("""COMPUTED_VALUE"""),45686.6666666667)</f>
        <v>45686.6666666667</v>
      </c>
      <c r="B191" s="2" t="n">
        <f aca="false">IFERROR(__xludf.dummyfunction("""COMPUTED_VALUE"""),226.68)</f>
        <v>226.68</v>
      </c>
      <c r="C191" s="2" t="n">
        <f aca="false">IFERROR(__xludf.dummyfunction("""COMPUTED_VALUE"""),228.22)</f>
        <v>228.22</v>
      </c>
      <c r="D191" s="2" t="n">
        <f aca="false">IFERROR(__xludf.dummyfunction("""COMPUTED_VALUE"""),224.58)</f>
        <v>224.58</v>
      </c>
      <c r="E191" s="2" t="n">
        <f aca="false">IFERROR(__xludf.dummyfunction("""COMPUTED_VALUE"""),226.23)</f>
        <v>226.23</v>
      </c>
      <c r="F191" s="3" t="n">
        <f aca="false">IFERROR(__xludf.dummyfunction("if($T191&lt;&gt;"""",VALUE(REGEXEXTRACT(SUBSTITUTE ($T191,F$1&amp;"" CE"",""""), F$1&amp;""[\w &amp;]*, (\d+\.\d+)"")),"""")
"),235)</f>
        <v>235</v>
      </c>
      <c r="G191" s="3" t="n">
        <f aca="false">IFERROR(__xludf.dummyfunction("if($T191&lt;&gt;"""",VALUE(REGEXEXTRACT($T191, G$1&amp;""[\w &amp;]*, (\d+\.\d+)"")),"""")
"),230)</f>
        <v>230</v>
      </c>
      <c r="H191" s="3" t="n">
        <f aca="false">IFERROR(__xludf.dummyfunction("if($T191&lt;&gt;"""",VALUE(REGEXEXTRACT($T191, H$1&amp;""[\w &amp;]*, (\d+\.\d+)"")),"""")
"),233)</f>
        <v>233</v>
      </c>
      <c r="I191" s="3" t="n">
        <f aca="false">IFERROR(__xludf.dummyfunction("if($T191&lt;&gt;"""",VALUE(REGEXEXTRACT(SUBSTITUTE ($T191,I$1&amp;"" CE"",""""), I$1&amp;""[\w &amp;]*, (\d+\.\d+)"")),"""")
"),220)</f>
        <v>220</v>
      </c>
      <c r="J191" s="3" t="n">
        <f aca="false">IFERROR(__xludf.dummyfunction("if($T191&lt;&gt;"""",VALUE(REGEXEXTRACT($T191, J$1&amp;""[\w &amp;]*, (\d+\.\d+)"")),"""")
"),226)</f>
        <v>226</v>
      </c>
      <c r="K191" s="3" t="n">
        <f aca="false">IFERROR(__xludf.dummyfunction("if($T191&lt;&gt;"""",VALUE(REGEXEXTRACT($T191, K$1&amp;""[\w &amp;]*, (\d+\.\d+)"")),"""")
"),212)</f>
        <v>212</v>
      </c>
      <c r="L191" s="3" t="n">
        <f aca="false">IFERROR(__xludf.dummyfunction("if($T191&lt;&gt;"""",VALUE(REGEXEXTRACT(SUBSTITUTE ($T191,L$1&amp;"" CE"",""""), L$1&amp;""[\w &amp;]*, (\d+\.\d+)"")),"""")
"),227)</f>
        <v>227</v>
      </c>
      <c r="M191" s="3" t="n">
        <f aca="false">IFERROR(__xludf.dummyfunction("if($T191&lt;&gt;"""",VALUE(REGEXEXTRACT($T191, M$1&amp;""[\w &amp;]*, (\d+\.\d+)"")),"""")
"),229)</f>
        <v>229</v>
      </c>
      <c r="N191" s="3" t="n">
        <f aca="false">IFERROR(__xludf.dummyfunction("if($T191&lt;&gt;"""",VALUE(REGEXEXTRACT(SUBSTITUTE ($T191,N$1&amp;"" CE"",""""), N$1&amp;""[\w &amp;]*, (\d+\.\d+)"")),"""")
"),230)</f>
        <v>230</v>
      </c>
      <c r="O191" s="3" t="n">
        <f aca="false">IFERROR(__xludf.dummyfunction("if($T191&lt;&gt;"""",VALUE(REGEXEXTRACT($T191, O$1&amp;""[\w &amp;]*, (\d+\.\d+)"")),"""")
"),228)</f>
        <v>228</v>
      </c>
      <c r="P191" s="2" t="n">
        <f aca="false">IFERROR(__xludf.dummyfunction("if($T191&lt;&gt;"""",VALUE(REGEXEXTRACT($T191, P$1&amp;""[\w &amp;]*, (\d+\.\d+)"")),"""")
"),224.44)</f>
        <v>224.44</v>
      </c>
      <c r="Q191" s="2" t="n">
        <f aca="false">IFERROR(__xludf.dummyfunction("if($T191&lt;&gt;"""",VALUE(REGEXEXTRACT($T191, Q$1&amp;""[\w &amp;]*, (\d+\.\d+)"")),"""")
"),223.48)</f>
        <v>223.48</v>
      </c>
      <c r="R191" s="2" t="n">
        <f aca="false">IFERROR(__xludf.dummyfunction("if($T191&lt;&gt;"""",VALUE(REGEXEXTRACT($T191, SUBSTITUTE(R$1, ""+"", ""\+"")&amp;""[\w &amp;]*, (\d+\.\d+)"")),"""")"),229.06)</f>
        <v>229.06</v>
      </c>
      <c r="S191" s="2" t="n">
        <f aca="false">IFERROR(__xludf.dummyfunction("if($T191&lt;&gt;"""",VALUE(REGEXEXTRACT($T191, SUBSTITUTE(S$1, ""+"", ""\+"")&amp;""[\w &amp;]*, (\d+\.\d+)"")),"""")"),230.02)</f>
        <v>230.02</v>
      </c>
      <c r="T191" s="5" t="s">
        <v>813</v>
      </c>
    </row>
    <row r="192" customFormat="false" ht="15.75" hidden="false" customHeight="false" outlineLevel="0" collapsed="false">
      <c r="A192" s="4" t="n">
        <f aca="false">IFERROR(__xludf.dummyfunction("""COMPUTED_VALUE"""),45687.6666666667)</f>
        <v>45687.6666666667</v>
      </c>
      <c r="B192" s="2" t="n">
        <f aca="false">IFERROR(__xludf.dummyfunction("""COMPUTED_VALUE"""),228.52)</f>
        <v>228.52</v>
      </c>
      <c r="C192" s="2" t="n">
        <f aca="false">IFERROR(__xludf.dummyfunction("""COMPUTED_VALUE"""),230.05)</f>
        <v>230.05</v>
      </c>
      <c r="D192" s="2" t="n">
        <f aca="false">IFERROR(__xludf.dummyfunction("""COMPUTED_VALUE"""),226.92)</f>
        <v>226.92</v>
      </c>
      <c r="E192" s="2" t="n">
        <f aca="false">IFERROR(__xludf.dummyfunction("""COMPUTED_VALUE"""),228.53)</f>
        <v>228.53</v>
      </c>
      <c r="F192" s="3" t="n">
        <f aca="false">IFERROR(__xludf.dummyfunction("if($T192&lt;&gt;"""",VALUE(REGEXEXTRACT(SUBSTITUTE ($T192,F$1&amp;"" CE"",""""), F$1&amp;""[\w &amp;]*, (\d+\.\d+)"")),"""")
"),235)</f>
        <v>235</v>
      </c>
      <c r="G192" s="3" t="n">
        <f aca="false">IFERROR(__xludf.dummyfunction("if($T192&lt;&gt;"""",VALUE(REGEXEXTRACT($T192, G$1&amp;""[\w &amp;]*, (\d+\.\d+)"")),"""")
"),230)</f>
        <v>230</v>
      </c>
      <c r="H192" s="3" t="n">
        <f aca="false">IFERROR(__xludf.dummyfunction("if($T192&lt;&gt;"""",VALUE(REGEXEXTRACT($T192, H$1&amp;""[\w &amp;]*, (\d+\.\d+)"")),"""")
"),233)</f>
        <v>233</v>
      </c>
      <c r="I192" s="3" t="n">
        <f aca="false">IFERROR(__xludf.dummyfunction("if($T192&lt;&gt;"""",VALUE(REGEXEXTRACT(SUBSTITUTE ($T192,I$1&amp;"" CE"",""""), I$1&amp;""[\w &amp;]*, (\d+\.\d+)"")),"""")
"),220)</f>
        <v>220</v>
      </c>
      <c r="J192" s="3" t="n">
        <f aca="false">IFERROR(__xludf.dummyfunction("if($T192&lt;&gt;"""",VALUE(REGEXEXTRACT($T192, J$1&amp;""[\w &amp;]*, (\d+\.\d+)"")),"""")
"),223)</f>
        <v>223</v>
      </c>
      <c r="K192" s="3" t="n">
        <f aca="false">IFERROR(__xludf.dummyfunction("if($T192&lt;&gt;"""",VALUE(REGEXEXTRACT($T192, K$1&amp;""[\w &amp;]*, (\d+\.\d+)"")),"""")
"),212)</f>
        <v>212</v>
      </c>
      <c r="L192" s="3" t="n">
        <f aca="false">IFERROR(__xludf.dummyfunction("if($T192&lt;&gt;"""",VALUE(REGEXEXTRACT(SUBSTITUTE ($T192,L$1&amp;"" CE"",""""), L$1&amp;""[\w &amp;]*, (\d+\.\d+)"")),"""")
"),226)</f>
        <v>226</v>
      </c>
      <c r="M192" s="3" t="n">
        <f aca="false">IFERROR(__xludf.dummyfunction("if($T192&lt;&gt;"""",VALUE(REGEXEXTRACT($T192, M$1&amp;""[\w &amp;]*, (\d+\.\d+)"")),"""")
"),227)</f>
        <v>227</v>
      </c>
      <c r="N192" s="3" t="n">
        <f aca="false">IFERROR(__xludf.dummyfunction("if($T192&lt;&gt;"""",VALUE(REGEXEXTRACT(SUBSTITUTE ($T192,N$1&amp;"" CE"",""""), N$1&amp;""[\w &amp;]*, (\d+\.\d+)"")),"""")
"),230)</f>
        <v>230</v>
      </c>
      <c r="O192" s="3" t="n">
        <f aca="false">IFERROR(__xludf.dummyfunction("if($T192&lt;&gt;"""",VALUE(REGEXEXTRACT($T192, O$1&amp;""[\w &amp;]*, (\d+\.\d+)"")),"""")
"),230)</f>
        <v>230</v>
      </c>
      <c r="P192" s="2" t="n">
        <f aca="false">IFERROR(__xludf.dummyfunction("if($T192&lt;&gt;"""",VALUE(REGEXEXTRACT($T192, P$1&amp;""[\w &amp;]*, (\d+\.\d+)"")),"""")
"),224.09)</f>
        <v>224.09</v>
      </c>
      <c r="Q192" s="2" t="n">
        <f aca="false">IFERROR(__xludf.dummyfunction("if($T192&lt;&gt;"""",VALUE(REGEXEXTRACT($T192, Q$1&amp;""[\w &amp;]*, (\d+\.\d+)"")),"""")
"),223.2)</f>
        <v>223.2</v>
      </c>
      <c r="R192" s="2" t="n">
        <f aca="false">IFERROR(__xludf.dummyfunction("if($T192&lt;&gt;"""",VALUE(REGEXEXTRACT($T192, SUBSTITUTE(R$1, ""+"", ""\+"")&amp;""[\w &amp;]*, (\d+\.\d+)"")),"""")"),228.37)</f>
        <v>228.37</v>
      </c>
      <c r="S192" s="2" t="n">
        <f aca="false">IFERROR(__xludf.dummyfunction("if($T192&lt;&gt;"""",VALUE(REGEXEXTRACT($T192, SUBSTITUTE(S$1, ""+"", ""\+"")&amp;""[\w &amp;]*, (\d+\.\d+)"")),"""")"),229.26)</f>
        <v>229.26</v>
      </c>
      <c r="T192" s="5" t="s">
        <v>814</v>
      </c>
    </row>
    <row r="193" customFormat="false" ht="15.75" hidden="false" customHeight="false" outlineLevel="0" collapsed="false">
      <c r="A193" s="4" t="n">
        <f aca="false">IFERROR(__xludf.dummyfunction("""COMPUTED_VALUE"""),45688.6666666667)</f>
        <v>45688.6666666667</v>
      </c>
      <c r="B193" s="2" t="n">
        <f aca="false">IFERROR(__xludf.dummyfunction("""COMPUTED_VALUE"""),228.75)</f>
        <v>228.75</v>
      </c>
      <c r="C193" s="2" t="n">
        <f aca="false">IFERROR(__xludf.dummyfunction("""COMPUTED_VALUE"""),230.32)</f>
        <v>230.32</v>
      </c>
      <c r="D193" s="2" t="n">
        <f aca="false">IFERROR(__xludf.dummyfunction("""COMPUTED_VALUE"""),225.54)</f>
        <v>225.54</v>
      </c>
      <c r="E193" s="2" t="n">
        <f aca="false">IFERROR(__xludf.dummyfunction("""COMPUTED_VALUE"""),226.48)</f>
        <v>226.48</v>
      </c>
      <c r="F193" s="3" t="n">
        <f aca="false">IFERROR(__xludf.dummyfunction("if($T193&lt;&gt;"""",VALUE(REGEXEXTRACT(SUBSTITUTE ($T193,F$1&amp;"" CE"",""""), F$1&amp;""[\w &amp;]*, (\d+\.\d+)"")),"""")
"),230)</f>
        <v>230</v>
      </c>
      <c r="G193" s="3" t="n">
        <f aca="false">IFERROR(__xludf.dummyfunction("if($T193&lt;&gt;"""",VALUE(REGEXEXTRACT($T193, G$1&amp;""[\w &amp;]*, (\d+\.\d+)"")),"""")
"),230)</f>
        <v>230</v>
      </c>
      <c r="H193" s="3" t="n">
        <f aca="false">IFERROR(__xludf.dummyfunction("if($T193&lt;&gt;"""",VALUE(REGEXEXTRACT($T193, H$1&amp;""[\w &amp;]*, (\d+\.\d+)"")),"""")
"),233)</f>
        <v>233</v>
      </c>
      <c r="I193" s="3" t="n">
        <f aca="false">IFERROR(__xludf.dummyfunction("if($T193&lt;&gt;"""",VALUE(REGEXEXTRACT(SUBSTITUTE ($T193,I$1&amp;"" CE"",""""), I$1&amp;""[\w &amp;]*, (\d+\.\d+)"")),"""")
"),220)</f>
        <v>220</v>
      </c>
      <c r="J193" s="3" t="n">
        <f aca="false">IFERROR(__xludf.dummyfunction("if($T193&lt;&gt;"""",VALUE(REGEXEXTRACT($T193, J$1&amp;""[\w &amp;]*, (\d+\.\d+)"")),"""")
"),225)</f>
        <v>225</v>
      </c>
      <c r="K193" s="3" t="n">
        <f aca="false">IFERROR(__xludf.dummyfunction("if($T193&lt;&gt;"""",VALUE(REGEXEXTRACT($T193, K$1&amp;""[\w &amp;]*, (\d+\.\d+)"")),"""")
"),223)</f>
        <v>223</v>
      </c>
      <c r="L193" s="3" t="n">
        <f aca="false">IFERROR(__xludf.dummyfunction("if($T193&lt;&gt;"""",VALUE(REGEXEXTRACT(SUBSTITUTE ($T193,L$1&amp;"" CE"",""""), L$1&amp;""[\w &amp;]*, (\d+\.\d+)"")),"""")
"),227.5)</f>
        <v>227.5</v>
      </c>
      <c r="M193" s="3" t="n">
        <f aca="false">IFERROR(__xludf.dummyfunction("if($T193&lt;&gt;"""",VALUE(REGEXEXTRACT($T193, M$1&amp;""[\w &amp;]*, (\d+\.\d+)"")),"""")
"),229)</f>
        <v>229</v>
      </c>
      <c r="N193" s="3" t="n">
        <f aca="false">IFERROR(__xludf.dummyfunction("if($T193&lt;&gt;"""",VALUE(REGEXEXTRACT(SUBSTITUTE ($T193,N$1&amp;"" CE"",""""), N$1&amp;""[\w &amp;]*, (\d+\.\d+)"")),"""")
"),225)</f>
        <v>225</v>
      </c>
      <c r="O193" s="3" t="n">
        <f aca="false">IFERROR(__xludf.dummyfunction("if($T193&lt;&gt;"""",VALUE(REGEXEXTRACT($T193, O$1&amp;""[\w &amp;]*, (\d+\.\d+)"")),"""")
"),225)</f>
        <v>225</v>
      </c>
      <c r="P193" s="2" t="n">
        <f aca="false">IFERROR(__xludf.dummyfunction("if($T193&lt;&gt;"""",VALUE(REGEXEXTRACT($T193, P$1&amp;""[\w &amp;]*, (\d+\.\d+)"")),"""")
"),226.04)</f>
        <v>226.04</v>
      </c>
      <c r="Q193" s="2" t="n">
        <f aca="false">IFERROR(__xludf.dummyfunction("if($T193&lt;&gt;"""",VALUE(REGEXEXTRACT($T193, Q$1&amp;""[\w &amp;]*, (\d+\.\d+)"")),"""")
"),223.64)</f>
        <v>223.64</v>
      </c>
      <c r="R193" s="2" t="n">
        <f aca="false">IFERROR(__xludf.dummyfunction("if($T193&lt;&gt;"""",VALUE(REGEXEXTRACT($T193, SUBSTITUTE(R$1, ""+"", ""\+"")&amp;""[\w &amp;]*, (\d+\.\d+)"")),"""")"),231.02)</f>
        <v>231.02</v>
      </c>
      <c r="S193" s="2" t="n">
        <f aca="false">IFERROR(__xludf.dummyfunction("if($T193&lt;&gt;"""",VALUE(REGEXEXTRACT($T193, SUBSTITUTE(S$1, ""+"", ""\+"")&amp;""[\w &amp;]*, (\d+\.\d+)"")),"""")"),233.42)</f>
        <v>233.42</v>
      </c>
      <c r="T193" s="5" t="s">
        <v>815</v>
      </c>
    </row>
    <row r="194" customFormat="false" ht="15.75" hidden="false" customHeight="false" outlineLevel="0" collapsed="false">
      <c r="A194" s="4" t="n">
        <f aca="false">IFERROR(__xludf.dummyfunction("""COMPUTED_VALUE"""),45691.6666666667)</f>
        <v>45691.6666666667</v>
      </c>
      <c r="B194" s="2" t="n">
        <f aca="false">IFERROR(__xludf.dummyfunction("""COMPUTED_VALUE"""),221.51)</f>
        <v>221.51</v>
      </c>
      <c r="C194" s="2" t="n">
        <f aca="false">IFERROR(__xludf.dummyfunction("""COMPUTED_VALUE"""),225.55)</f>
        <v>225.55</v>
      </c>
      <c r="D194" s="2" t="n">
        <f aca="false">IFERROR(__xludf.dummyfunction("""COMPUTED_VALUE"""),220.67)</f>
        <v>220.67</v>
      </c>
      <c r="E194" s="2" t="n">
        <f aca="false">IFERROR(__xludf.dummyfunction("""COMPUTED_VALUE"""),223.83)</f>
        <v>223.83</v>
      </c>
      <c r="F194" s="3" t="n">
        <f aca="false">IFERROR(__xludf.dummyfunction("if($T194&lt;&gt;"""",VALUE(REGEXEXTRACT(SUBSTITUTE ($T194,F$1&amp;"" CE"",""""), F$1&amp;""[\w &amp;]*, (\d+\.\d+)"")),"""")
"),235)</f>
        <v>235</v>
      </c>
      <c r="G194" s="3" t="n">
        <f aca="false">IFERROR(__xludf.dummyfunction("if($T194&lt;&gt;"""",VALUE(REGEXEXTRACT($T194, G$1&amp;""[\w &amp;]*, (\d+\.\d+)"")),"""")
"),230)</f>
        <v>230</v>
      </c>
      <c r="H194" s="3" t="n">
        <f aca="false">IFERROR(__xludf.dummyfunction("if($T194&lt;&gt;"""",VALUE(REGEXEXTRACT($T194, H$1&amp;""[\w &amp;]*, (\d+\.\d+)"")),"""")
"),238)</f>
        <v>238</v>
      </c>
      <c r="I194" s="3" t="n">
        <f aca="false">IFERROR(__xludf.dummyfunction("if($T194&lt;&gt;"""",VALUE(REGEXEXTRACT(SUBSTITUTE ($T194,I$1&amp;"" CE"",""""), I$1&amp;""[\w &amp;]*, (\d+\.\d+)"")),"""")
"),223)</f>
        <v>223</v>
      </c>
      <c r="J194" s="3" t="n">
        <f aca="false">IFERROR(__xludf.dummyfunction("if($T194&lt;&gt;"""",VALUE(REGEXEXTRACT($T194, J$1&amp;""[\w &amp;]*, (\d+\.\d+)"")),"""")
"),223)</f>
        <v>223</v>
      </c>
      <c r="K194" s="3" t="n">
        <f aca="false">IFERROR(__xludf.dummyfunction("if($T194&lt;&gt;"""",VALUE(REGEXEXTRACT($T194, K$1&amp;""[\w &amp;]*, (\d+\.\d+)"")),"""")
"),222)</f>
        <v>222</v>
      </c>
      <c r="L194" s="3" t="n">
        <f aca="false">IFERROR(__xludf.dummyfunction("if($T194&lt;&gt;"""",VALUE(REGEXEXTRACT(SUBSTITUTE ($T194,L$1&amp;"" CE"",""""), L$1&amp;""[\w &amp;]*, (\d+\.\d+)"")),"""")
"),228)</f>
        <v>228</v>
      </c>
      <c r="M194" s="3" t="n">
        <f aca="false">IFERROR(__xludf.dummyfunction("if($T194&lt;&gt;"""",VALUE(REGEXEXTRACT($T194, M$1&amp;""[\w &amp;]*, (\d+\.\d+)"")),"""")
"),227)</f>
        <v>227</v>
      </c>
      <c r="N194" s="3" t="n">
        <f aca="false">IFERROR(__xludf.dummyfunction("if($T194&lt;&gt;"""",VALUE(REGEXEXTRACT(SUBSTITUTE ($T194,N$1&amp;"" CE"",""""), N$1&amp;""[\w &amp;]*, (\d+\.\d+)"")),"""")
"),225)</f>
        <v>225</v>
      </c>
      <c r="O194" s="3" t="n">
        <f aca="false">IFERROR(__xludf.dummyfunction("if($T194&lt;&gt;"""",VALUE(REGEXEXTRACT($T194, O$1&amp;""[\w &amp;]*, (\d+\.\d+)"")),"""")
"),223)</f>
        <v>223</v>
      </c>
      <c r="P194" s="2" t="n">
        <f aca="false">IFERROR(__xludf.dummyfunction("if($T194&lt;&gt;"""",VALUE(REGEXEXTRACT($T194, P$1&amp;""[\w &amp;]*, (\d+\.\d+)"")),"""")
"),223.93)</f>
        <v>223.93</v>
      </c>
      <c r="Q194" s="2" t="n">
        <f aca="false">IFERROR(__xludf.dummyfunction("if($T194&lt;&gt;"""",VALUE(REGEXEXTRACT($T194, Q$1&amp;""[\w &amp;]*, (\d+\.\d+)"")),"""")
"),222.87)</f>
        <v>222.87</v>
      </c>
      <c r="R194" s="2" t="n">
        <f aca="false">IFERROR(__xludf.dummyfunction("if($T194&lt;&gt;"""",VALUE(REGEXEXTRACT($T194, SUBSTITUTE(R$1, ""+"", ""\+"")&amp;""[\w &amp;]*, (\d+\.\d+)"")),"""")"),229.03)</f>
        <v>229.03</v>
      </c>
      <c r="S194" s="2" t="n">
        <f aca="false">IFERROR(__xludf.dummyfunction("if($T194&lt;&gt;"""",VALUE(REGEXEXTRACT($T194, SUBSTITUTE(S$1, ""+"", ""\+"")&amp;""[\w &amp;]*, (\d+\.\d+)"")),"""")"),230.09)</f>
        <v>230.09</v>
      </c>
      <c r="T194" s="5" t="s">
        <v>816</v>
      </c>
    </row>
    <row r="195" customFormat="false" ht="15.75" hidden="false" customHeight="false" outlineLevel="0" collapsed="false">
      <c r="A195" s="4" t="n">
        <f aca="false">IFERROR(__xludf.dummyfunction("""COMPUTED_VALUE"""),45692.6666666667)</f>
        <v>45692.6666666667</v>
      </c>
      <c r="B195" s="2" t="n">
        <f aca="false">IFERROR(__xludf.dummyfunction("""COMPUTED_VALUE"""),223.6)</f>
        <v>223.6</v>
      </c>
      <c r="C195" s="2" t="n">
        <f aca="false">IFERROR(__xludf.dummyfunction("""COMPUTED_VALUE"""),227.13)</f>
        <v>227.13</v>
      </c>
      <c r="D195" s="2" t="n">
        <f aca="false">IFERROR(__xludf.dummyfunction("""COMPUTED_VALUE"""),223.21)</f>
        <v>223.21</v>
      </c>
      <c r="E195" s="2" t="n">
        <f aca="false">IFERROR(__xludf.dummyfunction("""COMPUTED_VALUE"""),226.93)</f>
        <v>226.93</v>
      </c>
      <c r="F195" s="3" t="n">
        <f aca="false">IFERROR(__xludf.dummyfunction("if($T195&lt;&gt;"""",VALUE(REGEXEXTRACT(SUBSTITUTE ($T195,F$1&amp;"" CE"",""""), F$1&amp;""[\w &amp;]*, (\d+\.\d+)"")),"""")
"),235)</f>
        <v>235</v>
      </c>
      <c r="G195" s="3" t="n">
        <f aca="false">IFERROR(__xludf.dummyfunction("if($T195&lt;&gt;"""",VALUE(REGEXEXTRACT($T195, G$1&amp;""[\w &amp;]*, (\d+\.\d+)"")),"""")
"),229)</f>
        <v>229</v>
      </c>
      <c r="H195" s="3" t="n">
        <f aca="false">IFERROR(__xludf.dummyfunction("if($T195&lt;&gt;"""",VALUE(REGEXEXTRACT($T195, H$1&amp;""[\w &amp;]*, (\d+\.\d+)"")),"""")
"),238)</f>
        <v>238</v>
      </c>
      <c r="I195" s="3" t="n">
        <f aca="false">IFERROR(__xludf.dummyfunction("if($T195&lt;&gt;"""",VALUE(REGEXEXTRACT(SUBSTITUTE ($T195,I$1&amp;"" CE"",""""), I$1&amp;""[\w &amp;]*, (\d+\.\d+)"")),"""")
"),220)</f>
        <v>220</v>
      </c>
      <c r="J195" s="3" t="n">
        <f aca="false">IFERROR(__xludf.dummyfunction("if($T195&lt;&gt;"""",VALUE(REGEXEXTRACT($T195, J$1&amp;""[\w &amp;]*, (\d+\.\d+)"")),"""")
"),224)</f>
        <v>224</v>
      </c>
      <c r="K195" s="3" t="n">
        <f aca="false">IFERROR(__xludf.dummyfunction("if($T195&lt;&gt;"""",VALUE(REGEXEXTRACT($T195, K$1&amp;""[\w &amp;]*, (\d+\.\d+)"")),"""")
"),213)</f>
        <v>213</v>
      </c>
      <c r="L195" s="3" t="n">
        <f aca="false">IFERROR(__xludf.dummyfunction("if($T195&lt;&gt;"""",VALUE(REGEXEXTRACT(SUBSTITUTE ($T195,L$1&amp;"" CE"",""""), L$1&amp;""[\w &amp;]*, (\d+\.\d+)"")),"""")
"),226)</f>
        <v>226</v>
      </c>
      <c r="M195" s="3" t="n">
        <f aca="false">IFERROR(__xludf.dummyfunction("if($T195&lt;&gt;"""",VALUE(REGEXEXTRACT($T195, M$1&amp;""[\w &amp;]*, (\d+\.\d+)"")),"""")
"),226)</f>
        <v>226</v>
      </c>
      <c r="N195" s="3" t="n">
        <f aca="false">IFERROR(__xludf.dummyfunction("if($T195&lt;&gt;"""",VALUE(REGEXEXTRACT(SUBSTITUTE ($T195,N$1&amp;"" CE"",""""), N$1&amp;""[\w &amp;]*, (\d+\.\d+)"")),"""")
"),220)</f>
        <v>220</v>
      </c>
      <c r="O195" s="3" t="n">
        <f aca="false">IFERROR(__xludf.dummyfunction("if($T195&lt;&gt;"""",VALUE(REGEXEXTRACT($T195, O$1&amp;""[\w &amp;]*, (\d+\.\d+)"")),"""")
"),227)</f>
        <v>227</v>
      </c>
      <c r="P195" s="2" t="n">
        <f aca="false">IFERROR(__xludf.dummyfunction("if($T195&lt;&gt;"""",VALUE(REGEXEXTRACT($T195, P$1&amp;""[\w &amp;]*, (\d+\.\d+)"")),"""")
"),224.51)</f>
        <v>224.51</v>
      </c>
      <c r="Q195" s="2" t="n">
        <f aca="false">IFERROR(__xludf.dummyfunction("if($T195&lt;&gt;"""",VALUE(REGEXEXTRACT($T195, Q$1&amp;""[\w &amp;]*, (\d+\.\d+)"")),"""")
"),223.5)</f>
        <v>223.5</v>
      </c>
      <c r="R195" s="2" t="n">
        <f aca="false">IFERROR(__xludf.dummyfunction("if($T195&lt;&gt;"""",VALUE(REGEXEXTRACT($T195, SUBSTITUTE(R$1, ""+"", ""\+"")&amp;""[\w &amp;]*, (\d+\.\d+)"")),"""")"),229.35)</f>
        <v>229.35</v>
      </c>
      <c r="S195" s="2" t="n">
        <f aca="false">IFERROR(__xludf.dummyfunction("if($T195&lt;&gt;"""",VALUE(REGEXEXTRACT($T195, SUBSTITUTE(S$1, ""+"", ""\+"")&amp;""[\w &amp;]*, (\d+\.\d+)"")),"""")"),230.36)</f>
        <v>230.36</v>
      </c>
      <c r="T195" s="5" t="s">
        <v>817</v>
      </c>
    </row>
    <row r="196" customFormat="false" ht="15.75" hidden="false" customHeight="false" outlineLevel="0" collapsed="false">
      <c r="A196" s="4" t="n">
        <f aca="false">IFERROR(__xludf.dummyfunction("""COMPUTED_VALUE"""),45693.6666666667)</f>
        <v>45693.6666666667</v>
      </c>
      <c r="B196" s="2" t="n">
        <f aca="false">IFERROR(__xludf.dummyfunction("""COMPUTED_VALUE"""),228.06)</f>
        <v>228.06</v>
      </c>
      <c r="C196" s="2" t="n">
        <f aca="false">IFERROR(__xludf.dummyfunction("""COMPUTED_VALUE"""),229.5)</f>
        <v>229.5</v>
      </c>
      <c r="D196" s="2" t="n">
        <f aca="false">IFERROR(__xludf.dummyfunction("""COMPUTED_VALUE"""),226.89)</f>
        <v>226.89</v>
      </c>
      <c r="E196" s="2" t="n">
        <f aca="false">IFERROR(__xludf.dummyfunction("""COMPUTED_VALUE"""),229.4)</f>
        <v>229.4</v>
      </c>
      <c r="F196" s="3" t="n">
        <f aca="false">IFERROR(__xludf.dummyfunction("if($T196&lt;&gt;"""",VALUE(REGEXEXTRACT(SUBSTITUTE ($T196,F$1&amp;"" CE"",""""), F$1&amp;""[\w &amp;]*, (\d+\.\d+)"")),"""")
"),235)</f>
        <v>235</v>
      </c>
      <c r="G196" s="3" t="n">
        <f aca="false">IFERROR(__xludf.dummyfunction("if($T196&lt;&gt;"""",VALUE(REGEXEXTRACT($T196, G$1&amp;""[\w &amp;]*, (\d+\.\d+)"")),"""")
"),226)</f>
        <v>226</v>
      </c>
      <c r="H196" s="3" t="n">
        <f aca="false">IFERROR(__xludf.dummyfunction("if($T196&lt;&gt;"""",VALUE(REGEXEXTRACT($T196, H$1&amp;""[\w &amp;]*, (\d+\.\d+)"")),"""")
"),238)</f>
        <v>238</v>
      </c>
      <c r="I196" s="3" t="n">
        <f aca="false">IFERROR(__xludf.dummyfunction("if($T196&lt;&gt;"""",VALUE(REGEXEXTRACT(SUBSTITUTE ($T196,I$1&amp;"" CE"",""""), I$1&amp;""[\w &amp;]*, (\d+\.\d+)"")),"""")
"),220)</f>
        <v>220</v>
      </c>
      <c r="J196" s="3" t="n">
        <f aca="false">IFERROR(__xludf.dummyfunction("if($T196&lt;&gt;"""",VALUE(REGEXEXTRACT($T196, J$1&amp;""[\w &amp;]*, (\d+\.\d+)"")),"""")
"),225)</f>
        <v>225</v>
      </c>
      <c r="K196" s="3" t="n">
        <f aca="false">IFERROR(__xludf.dummyfunction("if($T196&lt;&gt;"""",VALUE(REGEXEXTRACT($T196, K$1&amp;""[\w &amp;]*, (\d+\.\d+)"")),"""")
"),218)</f>
        <v>218</v>
      </c>
      <c r="L196" s="3" t="n">
        <f aca="false">IFERROR(__xludf.dummyfunction("if($T196&lt;&gt;"""",VALUE(REGEXEXTRACT(SUBSTITUTE ($T196,L$1&amp;"" CE"",""""), L$1&amp;""[\w &amp;]*, (\d+\.\d+)"")),"""")
"),226)</f>
        <v>226</v>
      </c>
      <c r="M196" s="3" t="n">
        <f aca="false">IFERROR(__xludf.dummyfunction("if($T196&lt;&gt;"""",VALUE(REGEXEXTRACT($T196, M$1&amp;""[\w &amp;]*, (\d+\.\d+)"")),"""")
"),225)</f>
        <v>225</v>
      </c>
      <c r="N196" s="3" t="n">
        <f aca="false">IFERROR(__xludf.dummyfunction("if($T196&lt;&gt;"""",VALUE(REGEXEXTRACT(SUBSTITUTE ($T196,N$1&amp;"" CE"",""""), N$1&amp;""[\w &amp;]*, (\d+\.\d+)"")),"""")
"),220)</f>
        <v>220</v>
      </c>
      <c r="O196" s="3" t="n">
        <f aca="false">IFERROR(__xludf.dummyfunction("if($T196&lt;&gt;"""",VALUE(REGEXEXTRACT($T196, O$1&amp;""[\w &amp;]*, (\d+\.\d+)"")),"""")
"),225)</f>
        <v>225</v>
      </c>
      <c r="P196" s="2" t="n">
        <f aca="false">IFERROR(__xludf.dummyfunction("if($T196&lt;&gt;"""",VALUE(REGEXEXTRACT($T196, P$1&amp;""[\w &amp;]*, (\d+\.\d+)"")),"""")
"),221.03)</f>
        <v>221.03</v>
      </c>
      <c r="Q196" s="2" t="n">
        <f aca="false">IFERROR(__xludf.dummyfunction("if($T196&lt;&gt;"""",VALUE(REGEXEXTRACT($T196, Q$1&amp;""[\w &amp;]*, (\d+\.\d+)"")),"""")
"),219.87)</f>
        <v>219.87</v>
      </c>
      <c r="R196" s="2" t="n">
        <f aca="false">IFERROR(__xludf.dummyfunction("if($T196&lt;&gt;"""",VALUE(REGEXEXTRACT($T196, SUBSTITUTE(R$1, ""+"", ""\+"")&amp;""[\w &amp;]*, (\d+\.\d+)"")),"""")"),226.63)</f>
        <v>226.63</v>
      </c>
      <c r="S196" s="2" t="n">
        <f aca="false">IFERROR(__xludf.dummyfunction("if($T196&lt;&gt;"""",VALUE(REGEXEXTRACT($T196, SUBSTITUTE(S$1, ""+"", ""\+"")&amp;""[\w &amp;]*, (\d+\.\d+)"")),"""")"),227.79)</f>
        <v>227.79</v>
      </c>
      <c r="T196" s="5" t="s">
        <v>818</v>
      </c>
    </row>
    <row r="197" customFormat="false" ht="15.75" hidden="false" customHeight="false" outlineLevel="0" collapsed="false">
      <c r="A197" s="4" t="n">
        <f aca="false">IFERROR(__xludf.dummyfunction("""COMPUTED_VALUE"""),45694.6666666667)</f>
        <v>45694.6666666667</v>
      </c>
      <c r="B197" s="2" t="n">
        <f aca="false">IFERROR(__xludf.dummyfunction("""COMPUTED_VALUE"""),230.51)</f>
        <v>230.51</v>
      </c>
      <c r="C197" s="2" t="n">
        <f aca="false">IFERROR(__xludf.dummyfunction("""COMPUTED_VALUE"""),230.7)</f>
        <v>230.7</v>
      </c>
      <c r="D197" s="2" t="n">
        <f aca="false">IFERROR(__xludf.dummyfunction("""COMPUTED_VALUE"""),227.3)</f>
        <v>227.3</v>
      </c>
      <c r="E197" s="2" t="n">
        <f aca="false">IFERROR(__xludf.dummyfunction("""COMPUTED_VALUE"""),228.65)</f>
        <v>228.65</v>
      </c>
      <c r="F197" s="3" t="n">
        <f aca="false">IFERROR(__xludf.dummyfunction("if($T197&lt;&gt;"""",VALUE(REGEXEXTRACT(SUBSTITUTE ($T197,F$1&amp;"" CE"",""""), F$1&amp;""[\w &amp;]*, (\d+\.\d+)"")),"""")
"),235)</f>
        <v>235</v>
      </c>
      <c r="G197" s="3" t="n">
        <f aca="false">IFERROR(__xludf.dummyfunction("if($T197&lt;&gt;"""",VALUE(REGEXEXTRACT($T197, G$1&amp;""[\w &amp;]*, (\d+\.\d+)"")),"""")
"),230)</f>
        <v>230</v>
      </c>
      <c r="H197" s="3" t="n">
        <f aca="false">IFERROR(__xludf.dummyfunction("if($T197&lt;&gt;"""",VALUE(REGEXEXTRACT($T197, H$1&amp;""[\w &amp;]*, (\d+\.\d+)"")),"""")
"),240)</f>
        <v>240</v>
      </c>
      <c r="I197" s="3" t="n">
        <f aca="false">IFERROR(__xludf.dummyfunction("if($T197&lt;&gt;"""",VALUE(REGEXEXTRACT(SUBSTITUTE ($T197,I$1&amp;"" CE"",""""), I$1&amp;""[\w &amp;]*, (\d+\.\d+)"")),"""")
"),218)</f>
        <v>218</v>
      </c>
      <c r="J197" s="3" t="n">
        <f aca="false">IFERROR(__xludf.dummyfunction("if($T197&lt;&gt;"""",VALUE(REGEXEXTRACT($T197, J$1&amp;""[\w &amp;]*, (\d+\.\d+)"")),"""")
"),227)</f>
        <v>227</v>
      </c>
      <c r="K197" s="3" t="n">
        <f aca="false">IFERROR(__xludf.dummyfunction("if($T197&lt;&gt;"""",VALUE(REGEXEXTRACT($T197, K$1&amp;""[\w &amp;]*, (\d+\.\d+)"")),"""")
"),217)</f>
        <v>217</v>
      </c>
      <c r="L197" s="3" t="n">
        <f aca="false">IFERROR(__xludf.dummyfunction("if($T197&lt;&gt;"""",VALUE(REGEXEXTRACT(SUBSTITUTE ($T197,L$1&amp;"" CE"",""""), L$1&amp;""[\w &amp;]*, (\d+\.\d+)"")),"""")
"),228)</f>
        <v>228</v>
      </c>
      <c r="M197" s="3" t="n">
        <f aca="false">IFERROR(__xludf.dummyfunction("if($T197&lt;&gt;"""",VALUE(REGEXEXTRACT($T197, M$1&amp;""[\w &amp;]*, (\d+\.\d+)"")),"""")
"),228)</f>
        <v>228</v>
      </c>
      <c r="N197" s="3" t="n">
        <f aca="false">IFERROR(__xludf.dummyfunction("if($T197&lt;&gt;"""",VALUE(REGEXEXTRACT(SUBSTITUTE ($T197,N$1&amp;"" CE"",""""), N$1&amp;""[\w &amp;]*, (\d+\.\d+)"")),"""")
"),230)</f>
        <v>230</v>
      </c>
      <c r="O197" s="3" t="n">
        <f aca="false">IFERROR(__xludf.dummyfunction("if($T197&lt;&gt;"""",VALUE(REGEXEXTRACT($T197, O$1&amp;""[\w &amp;]*, (\d+\.\d+)"")),"""")
"),230)</f>
        <v>230</v>
      </c>
      <c r="P197" s="2" t="n">
        <f aca="false">IFERROR(__xludf.dummyfunction("if($T197&lt;&gt;"""",VALUE(REGEXEXTRACT($T197, P$1&amp;""[\w &amp;]*, (\d+\.\d+)"")),"""")
"),227.26)</f>
        <v>227.26</v>
      </c>
      <c r="Q197" s="2" t="n">
        <f aca="false">IFERROR(__xludf.dummyfunction("if($T197&lt;&gt;"""",VALUE(REGEXEXTRACT($T197, Q$1&amp;""[\w &amp;]*, (\d+\.\d+)"")),"""")
"),226.38)</f>
        <v>226.38</v>
      </c>
      <c r="R197" s="2" t="n">
        <f aca="false">IFERROR(__xludf.dummyfunction("if($T197&lt;&gt;"""",VALUE(REGEXEXTRACT($T197, SUBSTITUTE(R$1, ""+"", ""\+"")&amp;""[\w &amp;]*, (\d+\.\d+)"")),"""")"),231.54)</f>
        <v>231.54</v>
      </c>
      <c r="S197" s="2" t="n">
        <f aca="false">IFERROR(__xludf.dummyfunction("if($T197&lt;&gt;"""",VALUE(REGEXEXTRACT($T197, SUBSTITUTE(S$1, ""+"", ""\+"")&amp;""[\w &amp;]*, (\d+\.\d+)"")),"""")"),232.42)</f>
        <v>232.42</v>
      </c>
      <c r="T197" s="5" t="s">
        <v>819</v>
      </c>
    </row>
    <row r="198" customFormat="false" ht="15.75" hidden="false" customHeight="false" outlineLevel="0" collapsed="false">
      <c r="A198" s="4" t="n">
        <f aca="false">IFERROR(__xludf.dummyfunction("""COMPUTED_VALUE"""),45695.6666666667)</f>
        <v>45695.6666666667</v>
      </c>
      <c r="B198" s="2" t="n">
        <f aca="false">IFERROR(__xludf.dummyfunction("""COMPUTED_VALUE"""),228.85)</f>
        <v>228.85</v>
      </c>
      <c r="C198" s="2" t="n">
        <f aca="false">IFERROR(__xludf.dummyfunction("""COMPUTED_VALUE"""),229.25)</f>
        <v>229.25</v>
      </c>
      <c r="D198" s="2" t="n">
        <f aca="false">IFERROR(__xludf.dummyfunction("""COMPUTED_VALUE"""),225.58)</f>
        <v>225.58</v>
      </c>
      <c r="E198" s="2" t="n">
        <f aca="false">IFERROR(__xludf.dummyfunction("""COMPUTED_VALUE"""),226)</f>
        <v>226</v>
      </c>
      <c r="F198" s="3" t="n">
        <f aca="false">IFERROR(__xludf.dummyfunction("if($T198&lt;&gt;"""",VALUE(REGEXEXTRACT(SUBSTITUTE ($T198,F$1&amp;"" CE"",""""), F$1&amp;""[\w &amp;]*, (\d+\.\d+)"")),"""")
"),235)</f>
        <v>235</v>
      </c>
      <c r="G198" s="3" t="n">
        <f aca="false">IFERROR(__xludf.dummyfunction("if($T198&lt;&gt;"""",VALUE(REGEXEXTRACT($T198, G$1&amp;""[\w &amp;]*, (\d+\.\d+)"")),"""")
"),234)</f>
        <v>234</v>
      </c>
      <c r="H198" s="3" t="n">
        <f aca="false">IFERROR(__xludf.dummyfunction("if($T198&lt;&gt;"""",VALUE(REGEXEXTRACT($T198, H$1&amp;""[\w &amp;]*, (\d+\.\d+)"")),"""")
"),240)</f>
        <v>240</v>
      </c>
      <c r="I198" s="3" t="n">
        <f aca="false">IFERROR(__xludf.dummyfunction("if($T198&lt;&gt;"""",VALUE(REGEXEXTRACT(SUBSTITUTE ($T198,I$1&amp;"" CE"",""""), I$1&amp;""[\w &amp;]*, (\d+\.\d+)"")),"""")
"),226)</f>
        <v>226</v>
      </c>
      <c r="J198" s="3" t="n">
        <f aca="false">IFERROR(__xludf.dummyfunction("if($T198&lt;&gt;"""",VALUE(REGEXEXTRACT($T198, J$1&amp;""[\w &amp;]*, (\d+\.\d+)"")),"""")
"),226)</f>
        <v>226</v>
      </c>
      <c r="K198" s="3" t="n">
        <f aca="false">IFERROR(__xludf.dummyfunction("if($T198&lt;&gt;"""",VALUE(REGEXEXTRACT($T198, K$1&amp;""[\w &amp;]*, (\d+\.\d+)"")),"""")
"),218)</f>
        <v>218</v>
      </c>
      <c r="L198" s="3" t="n">
        <f aca="false">IFERROR(__xludf.dummyfunction("if($T198&lt;&gt;"""",VALUE(REGEXEXTRACT(SUBSTITUTE ($T198,L$1&amp;"" CE"",""""), L$1&amp;""[\w &amp;]*, (\d+\.\d+)"")),"""")
"),228)</f>
        <v>228</v>
      </c>
      <c r="M198" s="3" t="n">
        <f aca="false">IFERROR(__xludf.dummyfunction("if($T198&lt;&gt;"""",VALUE(REGEXEXTRACT($T198, M$1&amp;""[\w &amp;]*, (\d+\.\d+)"")),"""")
"),228)</f>
        <v>228</v>
      </c>
      <c r="N198" s="3" t="n">
        <f aca="false">IFERROR(__xludf.dummyfunction("if($T198&lt;&gt;"""",VALUE(REGEXEXTRACT(SUBSTITUTE ($T198,N$1&amp;"" CE"",""""), N$1&amp;""[\w &amp;]*, (\d+\.\d+)"")),"""")
"),225)</f>
        <v>225</v>
      </c>
      <c r="O198" s="3" t="n">
        <f aca="false">IFERROR(__xludf.dummyfunction("if($T198&lt;&gt;"""",VALUE(REGEXEXTRACT($T198, O$1&amp;""[\w &amp;]*, (\d+\.\d+)"")),"""")
"),226)</f>
        <v>226</v>
      </c>
      <c r="P198" s="2" t="n">
        <f aca="false">IFERROR(__xludf.dummyfunction("if($T198&lt;&gt;"""",VALUE(REGEXEXTRACT($T198, P$1&amp;""[\w &amp;]*, (\d+\.\d+)"")),"""")
"),226.15)</f>
        <v>226.15</v>
      </c>
      <c r="Q198" s="2" t="n">
        <f aca="false">IFERROR(__xludf.dummyfunction("if($T198&lt;&gt;"""",VALUE(REGEXEXTRACT($T198, Q$1&amp;""[\w &amp;]*, (\d+\.\d+)"")),"""")
"),223.76)</f>
        <v>223.76</v>
      </c>
      <c r="R198" s="2" t="n">
        <f aca="false">IFERROR(__xludf.dummyfunction("if($T198&lt;&gt;"""",VALUE(REGEXEXTRACT($T198, SUBSTITUTE(R$1, ""+"", ""\+"")&amp;""[\w &amp;]*, (\d+\.\d+)"")),"""")"),231.15)</f>
        <v>231.15</v>
      </c>
      <c r="S198" s="2" t="n">
        <f aca="false">IFERROR(__xludf.dummyfunction("if($T198&lt;&gt;"""",VALUE(REGEXEXTRACT($T198, SUBSTITUTE(S$1, ""+"", ""\+"")&amp;""[\w &amp;]*, (\d+\.\d+)"")),"""")"),233.54)</f>
        <v>233.54</v>
      </c>
      <c r="T198" s="5" t="s">
        <v>820</v>
      </c>
    </row>
    <row r="199" customFormat="false" ht="15.75" hidden="false" customHeight="false" outlineLevel="0" collapsed="false">
      <c r="A199" s="4"/>
      <c r="B199" s="2"/>
      <c r="C199" s="2"/>
      <c r="D199" s="2"/>
      <c r="E199" s="2"/>
      <c r="F199" s="3" t="n">
        <f aca="false">IFERROR(__xludf.dummyfunction("if($T199&lt;&gt;"""",VALUE(REGEXEXTRACT(SUBSTITUTE ($T199,F$1&amp;"" CE"",""""), F$1&amp;""[\w &amp;]*, (\d+\.\d+)"")),"""")
"),230)</f>
        <v>230</v>
      </c>
      <c r="G199" s="3" t="n">
        <f aca="false">IFERROR(__xludf.dummyfunction("if($T199&lt;&gt;"""",VALUE(REGEXEXTRACT($T199, G$1&amp;""[\w &amp;]*, (\d+\.\d+)"")),"""")
"),230)</f>
        <v>230</v>
      </c>
      <c r="H199" s="3" t="n">
        <f aca="false">IFERROR(__xludf.dummyfunction("if($T199&lt;&gt;"""",VALUE(REGEXEXTRACT($T199, H$1&amp;""[\w &amp;]*, (\d+\.\d+)"")),"""")
"),233)</f>
        <v>233</v>
      </c>
      <c r="I199" s="3" t="n">
        <f aca="false">IFERROR(__xludf.dummyfunction("if($T199&lt;&gt;"""",VALUE(REGEXEXTRACT(SUBSTITUTE ($T199,I$1&amp;"" CE"",""""), I$1&amp;""[\w &amp;]*, (\d+\.\d+)"")),"""")
"),215)</f>
        <v>215</v>
      </c>
      <c r="J199" s="3" t="n">
        <f aca="false">IFERROR(__xludf.dummyfunction("if($T199&lt;&gt;"""",VALUE(REGEXEXTRACT($T199, J$1&amp;""[\w &amp;]*, (\d+\.\d+)"")),"""")
"),223)</f>
        <v>223</v>
      </c>
      <c r="K199" s="3" t="n">
        <f aca="false">IFERROR(__xludf.dummyfunction("if($T199&lt;&gt;"""",VALUE(REGEXEXTRACT($T199, K$1&amp;""[\w &amp;]*, (\d+\.\d+)"")),"""")
"),212)</f>
        <v>212</v>
      </c>
      <c r="L199" s="3" t="n">
        <f aca="false">IFERROR(__xludf.dummyfunction("if($T199&lt;&gt;"""",VALUE(REGEXEXTRACT(SUBSTITUTE ($T199,L$1&amp;"" CE"",""""), L$1&amp;""[\w &amp;]*, (\d+\.\d+)"")),"""")
"),224)</f>
        <v>224</v>
      </c>
      <c r="M199" s="3" t="n">
        <f aca="false">IFERROR(__xludf.dummyfunction("if($T199&lt;&gt;"""",VALUE(REGEXEXTRACT($T199, M$1&amp;""[\w &amp;]*, (\d+\.\d+)"")),"""")
"),224)</f>
        <v>224</v>
      </c>
      <c r="N199" s="3" t="n">
        <f aca="false">IFERROR(__xludf.dummyfunction("if($T199&lt;&gt;"""",VALUE(REGEXEXTRACT(SUBSTITUTE ($T199,N$1&amp;"" CE"",""""), N$1&amp;""[\w &amp;]*, (\d+\.\d+)"")),"""")
"),230)</f>
        <v>230</v>
      </c>
      <c r="O199" s="3" t="n">
        <f aca="false">IFERROR(__xludf.dummyfunction("if($T199&lt;&gt;"""",VALUE(REGEXEXTRACT($T199, O$1&amp;""[\w &amp;]*, (\d+\.\d+)"")),"""")
"),226)</f>
        <v>226</v>
      </c>
      <c r="P199" s="2" t="n">
        <f aca="false">IFERROR(__xludf.dummyfunction("if($T199&lt;&gt;"""",VALUE(REGEXEXTRACT($T199, P$1&amp;""[\w &amp;]*, (\d+\.\d+)"")),"""")
"),222.72)</f>
        <v>222.72</v>
      </c>
      <c r="Q199" s="2" t="n">
        <f aca="false">IFERROR(__xludf.dummyfunction("if($T199&lt;&gt;"""",VALUE(REGEXEXTRACT($T199, Q$1&amp;""[\w &amp;]*, (\d+\.\d+)"")),"""")
"),222.1)</f>
        <v>222.1</v>
      </c>
      <c r="R199" s="2" t="n">
        <f aca="false">IFERROR(__xludf.dummyfunction("if($T199&lt;&gt;"""",VALUE(REGEXEXTRACT($T199, SUBSTITUTE(R$1, ""+"", ""\+"")&amp;""[\w &amp;]*, (\d+\.\d+)"")),"""")"),228.2)</f>
        <v>228.2</v>
      </c>
      <c r="S199" s="2" t="n">
        <f aca="false">IFERROR(__xludf.dummyfunction("if($T199&lt;&gt;"""",VALUE(REGEXEXTRACT($T199, SUBSTITUTE(S$1, ""+"", ""\+"")&amp;""[\w &amp;]*, (\d+\.\d+)"")),"""")"),228.82)</f>
        <v>228.82</v>
      </c>
      <c r="T199" s="5" t="s">
        <v>821</v>
      </c>
    </row>
    <row r="200" customFormat="false" ht="15.75" hidden="false" customHeight="false" outlineLevel="0" collapsed="false">
      <c r="A200" s="4"/>
      <c r="B200" s="2"/>
      <c r="C200" s="2"/>
      <c r="D200" s="2"/>
      <c r="E200" s="2"/>
      <c r="F200" s="3" t="n">
        <f aca="false">IFERROR(__xludf.dummyfunction("if($T200&lt;&gt;"""",VALUE(REGEXEXTRACT(SUBSTITUTE ($T200,F$1&amp;"" CE"",""""), F$1&amp;""[\w &amp;]*, (\d+\.\d+)"")),"""")
"),225)</f>
        <v>225</v>
      </c>
      <c r="G200" s="3" t="n">
        <f aca="false">IFERROR(__xludf.dummyfunction("if($T200&lt;&gt;"""",VALUE(REGEXEXTRACT($T200, G$1&amp;""[\w &amp;]*, (\d+\.\d+)"")),"""")
"),230)</f>
        <v>230</v>
      </c>
      <c r="H200" s="3" t="n">
        <f aca="false">IFERROR(__xludf.dummyfunction("if($T200&lt;&gt;"""",VALUE(REGEXEXTRACT($T200, H$1&amp;""[\w &amp;]*, (\d+\.\d+)"")),"""")
"),233)</f>
        <v>233</v>
      </c>
      <c r="I200" s="3" t="n">
        <f aca="false">IFERROR(__xludf.dummyfunction("if($T200&lt;&gt;"""",VALUE(REGEXEXTRACT(SUBSTITUTE ($T200,I$1&amp;"" CE"",""""), I$1&amp;""[\w &amp;]*, (\d+\.\d+)"")),"""")
"),225)</f>
        <v>225</v>
      </c>
      <c r="J200" s="3" t="n">
        <f aca="false">IFERROR(__xludf.dummyfunction("if($T200&lt;&gt;"""",VALUE(REGEXEXTRACT($T200, J$1&amp;""[\w &amp;]*, (\d+\.\d+)"")),"""")
"),223)</f>
        <v>223</v>
      </c>
      <c r="K200" s="3" t="n">
        <f aca="false">IFERROR(__xludf.dummyfunction("if($T200&lt;&gt;"""",VALUE(REGEXEXTRACT($T200, K$1&amp;""[\w &amp;]*, (\d+\.\d+)"")),"""")
"),220)</f>
        <v>220</v>
      </c>
      <c r="L200" s="3" t="n">
        <f aca="false">IFERROR(__xludf.dummyfunction("if($T200&lt;&gt;"""",VALUE(REGEXEXTRACT(SUBSTITUTE ($T200,L$1&amp;"" CE"",""""), L$1&amp;""[\w &amp;]*, (\d+\.\d+)"")),"""")
"),227)</f>
        <v>227</v>
      </c>
      <c r="M200" s="3" t="n">
        <f aca="false">IFERROR(__xludf.dummyfunction("if($T200&lt;&gt;"""",VALUE(REGEXEXTRACT($T200, M$1&amp;""[\w &amp;]*, (\d+\.\d+)"")),"""")
"),227)</f>
        <v>227</v>
      </c>
      <c r="N200" s="3" t="n">
        <f aca="false">IFERROR(__xludf.dummyfunction("if($T200&lt;&gt;"""",VALUE(REGEXEXTRACT(SUBSTITUTE ($T200,N$1&amp;"" CE"",""""), N$1&amp;""[\w &amp;]*, (\d+\.\d+)"")),"""")
"),225)</f>
        <v>225</v>
      </c>
      <c r="O200" s="3" t="n">
        <f aca="false">IFERROR(__xludf.dummyfunction("if($T200&lt;&gt;"""",VALUE(REGEXEXTRACT($T200, O$1&amp;""[\w &amp;]*, (\d+\.\d+)"")),"""")
"),225)</f>
        <v>225</v>
      </c>
      <c r="P200" s="2" t="n">
        <f aca="false">IFERROR(__xludf.dummyfunction("if($T200&lt;&gt;"""",VALUE(REGEXEXTRACT($T200, P$1&amp;""[\w &amp;]*, (\d+\.\d+)"")),"""")
"),222.26)</f>
        <v>222.26</v>
      </c>
      <c r="Q200" s="2" t="n">
        <f aca="false">IFERROR(__xludf.dummyfunction("if($T200&lt;&gt;"""",VALUE(REGEXEXTRACT($T200, Q$1&amp;""[\w &amp;]*, (\d+\.\d+)"")),"""")
"),219.51)</f>
        <v>219.51</v>
      </c>
      <c r="R200" s="2" t="n">
        <f aca="false">IFERROR(__xludf.dummyfunction("if($T200&lt;&gt;"""",VALUE(REGEXEXTRACT($T200, SUBSTITUTE(R$1, ""+"", ""\+"")&amp;""[\w &amp;]*, (\d+\.\d+)"")),"""")"),226.72)</f>
        <v>226.72</v>
      </c>
      <c r="S200" s="2" t="n">
        <f aca="false">IFERROR(__xludf.dummyfunction("if($T200&lt;&gt;"""",VALUE(REGEXEXTRACT($T200, SUBSTITUTE(S$1, ""+"", ""\+"")&amp;""[\w &amp;]*, (\d+\.\d+)"")),"""")"),229.47)</f>
        <v>229.47</v>
      </c>
      <c r="T200" s="5" t="s">
        <v>822</v>
      </c>
    </row>
    <row r="201" customFormat="false" ht="15.75" hidden="false" customHeight="false" outlineLevel="0" collapsed="false">
      <c r="A201" s="4"/>
      <c r="B201" s="2"/>
      <c r="C201" s="2"/>
      <c r="D201" s="2"/>
      <c r="E201" s="2"/>
      <c r="F201" s="3" t="n">
        <f aca="false">IFERROR(__xludf.dummyfunction("if($T201&lt;&gt;"""",VALUE(REGEXEXTRACT(SUBSTITUTE ($T201,F$1&amp;"" CE"",""""), F$1&amp;""[\w &amp;]*, (\d+\.\d+)"")),"""")
"),230)</f>
        <v>230</v>
      </c>
      <c r="G201" s="3" t="n">
        <f aca="false">IFERROR(__xludf.dummyfunction("if($T201&lt;&gt;"""",VALUE(REGEXEXTRACT($T201, G$1&amp;""[\w &amp;]*, (\d+\.\d+)"")),"""")
"),223)</f>
        <v>223</v>
      </c>
      <c r="H201" s="3" t="n">
        <f aca="false">IFERROR(__xludf.dummyfunction("if($T201&lt;&gt;"""",VALUE(REGEXEXTRACT($T201, H$1&amp;""[\w &amp;]*, (\d+\.\d+)"")),"""")
"),245)</f>
        <v>245</v>
      </c>
      <c r="I201" s="3" t="n">
        <f aca="false">IFERROR(__xludf.dummyfunction("if($T201&lt;&gt;"""",VALUE(REGEXEXTRACT(SUBSTITUTE ($T201,I$1&amp;"" CE"",""""), I$1&amp;""[\w &amp;]*, (\d+\.\d+)"")),"""")
"),220)</f>
        <v>220</v>
      </c>
      <c r="J201" s="3" t="n">
        <f aca="false">IFERROR(__xludf.dummyfunction("if($T201&lt;&gt;"""",VALUE(REGEXEXTRACT($T201, J$1&amp;""[\w &amp;]*, (\d+\.\d+)"")),"""")
"),220)</f>
        <v>220</v>
      </c>
      <c r="K201" s="3" t="n">
        <f aca="false">IFERROR(__xludf.dummyfunction("if($T201&lt;&gt;"""",VALUE(REGEXEXTRACT($T201, K$1&amp;""[\w &amp;]*, (\d+\.\d+)"")),"""")
"),207)</f>
        <v>207</v>
      </c>
      <c r="L201" s="3" t="n">
        <f aca="false">IFERROR(__xludf.dummyfunction("if($T201&lt;&gt;"""",VALUE(REGEXEXTRACT(SUBSTITUTE ($T201,L$1&amp;"" CE"",""""), L$1&amp;""[\w &amp;]*, (\d+\.\d+)"")),"""")
"),229)</f>
        <v>229</v>
      </c>
      <c r="M201" s="3" t="n">
        <f aca="false">IFERROR(__xludf.dummyfunction("if($T201&lt;&gt;"""",VALUE(REGEXEXTRACT($T201, M$1&amp;""[\w &amp;]*, (\d+\.\d+)"")),"""")
"),222)</f>
        <v>222</v>
      </c>
      <c r="N201" s="3" t="n">
        <f aca="false">IFERROR(__xludf.dummyfunction("if($T201&lt;&gt;"""",VALUE(REGEXEXTRACT(SUBSTITUTE ($T201,N$1&amp;"" CE"",""""), N$1&amp;""[\w &amp;]*, (\d+\.\d+)"")),"""")
"),220)</f>
        <v>220</v>
      </c>
      <c r="O201" s="3" t="n">
        <f aca="false">IFERROR(__xludf.dummyfunction("if($T201&lt;&gt;"""",VALUE(REGEXEXTRACT($T201, O$1&amp;""[\w &amp;]*, (\d+\.\d+)"")),"""")
"),223)</f>
        <v>223</v>
      </c>
      <c r="P201" s="2" t="n">
        <f aca="false">IFERROR(__xludf.dummyfunction("if($T201&lt;&gt;"""",VALUE(REGEXEXTRACT($T201, P$1&amp;""[\w &amp;]*, (\d+\.\d+)"")),"""")
"),219.23)</f>
        <v>219.23</v>
      </c>
      <c r="Q201" s="2" t="n">
        <f aca="false">IFERROR(__xludf.dummyfunction("if($T201&lt;&gt;"""",VALUE(REGEXEXTRACT($T201, Q$1&amp;""[\w &amp;]*, (\d+\.\d+)"")),"""")
"),218.13)</f>
        <v>218.13</v>
      </c>
      <c r="R201" s="2" t="n">
        <f aca="false">IFERROR(__xludf.dummyfunction("if($T201&lt;&gt;"""",VALUE(REGEXEXTRACT($T201, SUBSTITUTE(R$1, ""+"", ""\+"")&amp;""[\w &amp;]*, (\d+\.\d+)"")),"""")"),224.19)</f>
        <v>224.19</v>
      </c>
      <c r="S201" s="2" t="n">
        <f aca="false">IFERROR(__xludf.dummyfunction("if($T201&lt;&gt;"""",VALUE(REGEXEXTRACT($T201, SUBSTITUTE(S$1, ""+"", ""\+"")&amp;""[\w &amp;]*, (\d+\.\d+)"")),"""")"),225.29)</f>
        <v>225.29</v>
      </c>
      <c r="T201" s="5" t="s">
        <v>823</v>
      </c>
    </row>
    <row r="202" customFormat="false" ht="15.75" hidden="false" customHeight="false" outlineLevel="0" collapsed="false">
      <c r="A202" s="4"/>
      <c r="B202" s="2"/>
      <c r="C202" s="2"/>
      <c r="D202" s="2"/>
      <c r="E202" s="2"/>
      <c r="F202" s="3" t="n">
        <f aca="false">IFERROR(__xludf.dummyfunction("if($T202&lt;&gt;"""",VALUE(REGEXEXTRACT(SUBSTITUTE ($T202,F$1&amp;"" CE"",""""), F$1&amp;""[\w &amp;]*, (\d+\.\d+)"")),"""")
"),230)</f>
        <v>230</v>
      </c>
      <c r="G202" s="3" t="n">
        <f aca="false">IFERROR(__xludf.dummyfunction("if($T202&lt;&gt;"""",VALUE(REGEXEXTRACT($T202, G$1&amp;""[\w &amp;]*, (\d+\.\d+)"")),"""")
"),225)</f>
        <v>225</v>
      </c>
      <c r="H202" s="3" t="n">
        <f aca="false">IFERROR(__xludf.dummyfunction("if($T202&lt;&gt;"""",VALUE(REGEXEXTRACT($T202, H$1&amp;""[\w &amp;]*, (\d+\.\d+)"")),"""")
"),243)</f>
        <v>243</v>
      </c>
      <c r="I202" s="3" t="n">
        <f aca="false">IFERROR(__xludf.dummyfunction("if($T202&lt;&gt;"""",VALUE(REGEXEXTRACT(SUBSTITUTE ($T202,I$1&amp;"" CE"",""""), I$1&amp;""[\w &amp;]*, (\d+\.\d+)"")),"""")
"),220)</f>
        <v>220</v>
      </c>
      <c r="J202" s="3" t="n">
        <f aca="false">IFERROR(__xludf.dummyfunction("if($T202&lt;&gt;"""",VALUE(REGEXEXTRACT($T202, J$1&amp;""[\w &amp;]*, (\d+\.\d+)"")),"""")
"),217)</f>
        <v>217</v>
      </c>
      <c r="K202" s="3" t="n">
        <f aca="false">IFERROR(__xludf.dummyfunction("if($T202&lt;&gt;"""",VALUE(REGEXEXTRACT($T202, K$1&amp;""[\w &amp;]*, (\d+\.\d+)"")),"""")
"),207)</f>
        <v>207</v>
      </c>
      <c r="L202" s="3" t="n">
        <f aca="false">IFERROR(__xludf.dummyfunction("if($T202&lt;&gt;"""",VALUE(REGEXEXTRACT(SUBSTITUTE ($T202,L$1&amp;"" CE"",""""), L$1&amp;""[\w &amp;]*, (\d+\.\d+)"")),"""")
"),232)</f>
        <v>232</v>
      </c>
      <c r="M202" s="3" t="n">
        <f aca="false">IFERROR(__xludf.dummyfunction("if($T202&lt;&gt;"""",VALUE(REGEXEXTRACT($T202, M$1&amp;""[\w &amp;]*, (\d+\.\d+)"")),"""")
"),218)</f>
        <v>218</v>
      </c>
      <c r="N202" s="3" t="n">
        <f aca="false">IFERROR(__xludf.dummyfunction("if($T202&lt;&gt;"""",VALUE(REGEXEXTRACT(SUBSTITUTE ($T202,N$1&amp;"" CE"",""""), N$1&amp;""[\w &amp;]*, (\d+\.\d+)"")),"""")
"),220)</f>
        <v>220</v>
      </c>
      <c r="O202" s="3" t="n">
        <f aca="false">IFERROR(__xludf.dummyfunction("if($T202&lt;&gt;"""",VALUE(REGEXEXTRACT($T202, O$1&amp;""[\w &amp;]*, (\d+\.\d+)"")),"""")
"),220)</f>
        <v>220</v>
      </c>
      <c r="P202" s="2" t="n">
        <f aca="false">IFERROR(__xludf.dummyfunction("if($T202&lt;&gt;"""",VALUE(REGEXEXTRACT($T202, P$1&amp;""[\w &amp;]*, (\d+\.\d+)"")),"""")
"),217.6)</f>
        <v>217.6</v>
      </c>
      <c r="Q202" s="2" t="n">
        <f aca="false">IFERROR(__xludf.dummyfunction("if($T202&lt;&gt;"""",VALUE(REGEXEXTRACT($T202, Q$1&amp;""[\w &amp;]*, (\d+\.\d+)"")),"""")
"),216.84)</f>
        <v>216.84</v>
      </c>
      <c r="R202" s="2" t="n">
        <f aca="false">IFERROR(__xludf.dummyfunction("if($T202&lt;&gt;"""",VALUE(REGEXEXTRACT($T202, SUBSTITUTE(R$1, ""+"", ""\+"")&amp;""[\w &amp;]*, (\d+\.\d+)"")),"""")"),224.32)</f>
        <v>224.32</v>
      </c>
      <c r="S202" s="2" t="n">
        <f aca="false">IFERROR(__xludf.dummyfunction("if($T202&lt;&gt;"""",VALUE(REGEXEXTRACT($T202, SUBSTITUTE(S$1, ""+"", ""\+"")&amp;""[\w &amp;]*, (\d+\.\d+)"")),"""")"),225.08)</f>
        <v>225.08</v>
      </c>
      <c r="T202" s="5" t="s">
        <v>824</v>
      </c>
    </row>
    <row r="203" customFormat="false" ht="15.75" hidden="false" customHeight="false" outlineLevel="0" collapsed="false">
      <c r="A203" s="4"/>
      <c r="B203" s="2"/>
      <c r="C203" s="2"/>
      <c r="D203" s="2"/>
      <c r="E203" s="2"/>
      <c r="F203" s="3" t="str">
        <f aca="false">IFERROR(__xludf.dummyfunction("if($T203&lt;&gt;"""",VALUE(REGEXEXTRACT(SUBSTITUTE ($T203,F$1&amp;"" CE"",""""), F$1&amp;""[\w &amp;]*, (\d+\.\d+)"")),"""")
"),"")</f>
        <v/>
      </c>
      <c r="G203" s="3" t="str">
        <f aca="false">IFERROR(__xludf.dummyfunction("if($T203&lt;&gt;"""",VALUE(REGEXEXTRACT($T203, G$1&amp;""[\w &amp;]*, (\d+\.\d+)"")),"""")
"),"")</f>
        <v/>
      </c>
      <c r="H203" s="3" t="str">
        <f aca="false">IFERROR(__xludf.dummyfunction("if($T203&lt;&gt;"""",VALUE(REGEXEXTRACT($T203, H$1&amp;""[\w &amp;]*, (\d+\.\d+)"")),"""")
"),"")</f>
        <v/>
      </c>
      <c r="I203" s="3" t="str">
        <f aca="false">IFERROR(__xludf.dummyfunction("if($T203&lt;&gt;"""",VALUE(REGEXEXTRACT(SUBSTITUTE ($T203,I$1&amp;"" CE"",""""), I$1&amp;""[\w &amp;]*, (\d+\.\d+)"")),"""")
"),"")</f>
        <v/>
      </c>
      <c r="J203" s="3" t="str">
        <f aca="false">IFERROR(__xludf.dummyfunction("if($T203&lt;&gt;"""",VALUE(REGEXEXTRACT($T203, J$1&amp;""[\w &amp;]*, (\d+\.\d+)"")),"""")
"),"")</f>
        <v/>
      </c>
      <c r="K203" s="3" t="str">
        <f aca="false">IFERROR(__xludf.dummyfunction("if($T203&lt;&gt;"""",VALUE(REGEXEXTRACT($T203, K$1&amp;""[\w &amp;]*, (\d+\.\d+)"")),"""")
"),"")</f>
        <v/>
      </c>
      <c r="L203" s="3" t="str">
        <f aca="false">IFERROR(__xludf.dummyfunction("if($T203&lt;&gt;"""",VALUE(REGEXEXTRACT(SUBSTITUTE ($T203,L$1&amp;"" CE"",""""), L$1&amp;""[\w &amp;]*, (\d+\.\d+)"")),"""")
"),"")</f>
        <v/>
      </c>
      <c r="M203" s="3" t="str">
        <f aca="false">IFERROR(__xludf.dummyfunction("if($T203&lt;&gt;"""",VALUE(REGEXEXTRACT($T203, M$1&amp;""[\w &amp;]*, (\d+\.\d+)"")),"""")
"),"")</f>
        <v/>
      </c>
      <c r="N203" s="3" t="str">
        <f aca="false">IFERROR(__xludf.dummyfunction("if($T203&lt;&gt;"""",VALUE(REGEXEXTRACT(SUBSTITUTE ($T203,N$1&amp;"" CE"",""""), N$1&amp;""[\w &amp;]*, (\d+\.\d+)"")),"""")
"),"")</f>
        <v/>
      </c>
      <c r="O203" s="3" t="str">
        <f aca="false">IFERROR(__xludf.dummyfunction("if($T203&lt;&gt;"""",VALUE(REGEXEXTRACT($T203, O$1&amp;""[\w &amp;]*, (\d+\.\d+)"")),"""")
"),"")</f>
        <v/>
      </c>
      <c r="P203" s="2" t="str">
        <f aca="false">IFERROR(__xludf.dummyfunction("if($T203&lt;&gt;"""",VALUE(REGEXEXTRACT($T203, P$1&amp;""[\w &amp;]*, (\d+\.\d+)"")),"""")
"),"")</f>
        <v/>
      </c>
      <c r="Q203" s="2" t="str">
        <f aca="false">IFERROR(__xludf.dummyfunction("if($T203&lt;&gt;"""",VALUE(REGEXEXTRACT($T203, Q$1&amp;""[\w &amp;]*, (\d+\.\d+)"")),"""")
"),"")</f>
        <v/>
      </c>
      <c r="R203" s="2" t="str">
        <f aca="false">IFERROR(__xludf.dummyfunction("if($T203&lt;&gt;"""",VALUE(REGEXEXTRACT($T203, SUBSTITUTE(R$1, ""+"", ""\+"")&amp;""[\w &amp;]*, (\d+\.\d+)"")),"""")"),"")</f>
        <v/>
      </c>
      <c r="S203" s="2" t="str">
        <f aca="false">IFERROR(__xludf.dummyfunction("if($T203&lt;&gt;"""",VALUE(REGEXEXTRACT($T203, SUBSTITUTE(S$1, ""+"", ""\+"")&amp;""[\w &amp;]*, (\d+\.\d+)"")),"""")"),"")</f>
        <v/>
      </c>
      <c r="T203" s="5"/>
    </row>
    <row r="204" customFormat="false" ht="15.75" hidden="false" customHeight="false" outlineLevel="0" collapsed="false">
      <c r="A204" s="4"/>
      <c r="B204" s="2"/>
      <c r="C204" s="2"/>
      <c r="D204" s="2"/>
      <c r="E204" s="2"/>
      <c r="F204" s="3" t="str">
        <f aca="false">IFERROR(__xludf.dummyfunction("if($T204&lt;&gt;"""",VALUE(REGEXEXTRACT(SUBSTITUTE ($T204,F$1&amp;"" CE"",""""), F$1&amp;""[\w &amp;]*, (\d+\.\d+)"")),"""")
"),"")</f>
        <v/>
      </c>
      <c r="G204" s="3" t="str">
        <f aca="false">IFERROR(__xludf.dummyfunction("if($T204&lt;&gt;"""",VALUE(REGEXEXTRACT($T204, G$1&amp;""[\w &amp;]*, (\d+\.\d+)"")),"""")
"),"")</f>
        <v/>
      </c>
      <c r="H204" s="3" t="str">
        <f aca="false">IFERROR(__xludf.dummyfunction("if($T204&lt;&gt;"""",VALUE(REGEXEXTRACT($T204, H$1&amp;""[\w &amp;]*, (\d+\.\d+)"")),"""")
"),"")</f>
        <v/>
      </c>
      <c r="I204" s="3" t="str">
        <f aca="false">IFERROR(__xludf.dummyfunction("if($T204&lt;&gt;"""",VALUE(REGEXEXTRACT(SUBSTITUTE ($T204,I$1&amp;"" CE"",""""), I$1&amp;""[\w &amp;]*, (\d+\.\d+)"")),"""")
"),"")</f>
        <v/>
      </c>
      <c r="J204" s="3" t="str">
        <f aca="false">IFERROR(__xludf.dummyfunction("if($T204&lt;&gt;"""",VALUE(REGEXEXTRACT($T204, J$1&amp;""[\w &amp;]*, (\d+\.\d+)"")),"""")
"),"")</f>
        <v/>
      </c>
      <c r="K204" s="3" t="str">
        <f aca="false">IFERROR(__xludf.dummyfunction("if($T204&lt;&gt;"""",VALUE(REGEXEXTRACT($T204, K$1&amp;""[\w &amp;]*, (\d+\.\d+)"")),"""")
"),"")</f>
        <v/>
      </c>
      <c r="L204" s="3" t="str">
        <f aca="false">IFERROR(__xludf.dummyfunction("if($T204&lt;&gt;"""",VALUE(REGEXEXTRACT(SUBSTITUTE ($T204,L$1&amp;"" CE"",""""), L$1&amp;""[\w &amp;]*, (\d+\.\d+)"")),"""")
"),"")</f>
        <v/>
      </c>
      <c r="M204" s="3" t="str">
        <f aca="false">IFERROR(__xludf.dummyfunction("if($T204&lt;&gt;"""",VALUE(REGEXEXTRACT($T204, M$1&amp;""[\w &amp;]*, (\d+\.\d+)"")),"""")
"),"")</f>
        <v/>
      </c>
      <c r="N204" s="3" t="str">
        <f aca="false">IFERROR(__xludf.dummyfunction("if($T204&lt;&gt;"""",VALUE(REGEXEXTRACT(SUBSTITUTE ($T204,N$1&amp;"" CE"",""""), N$1&amp;""[\w &amp;]*, (\d+\.\d+)"")),"""")
"),"")</f>
        <v/>
      </c>
      <c r="O204" s="3" t="str">
        <f aca="false">IFERROR(__xludf.dummyfunction("if($T204&lt;&gt;"""",VALUE(REGEXEXTRACT($T204, O$1&amp;""[\w &amp;]*, (\d+\.\d+)"")),"""")
"),"")</f>
        <v/>
      </c>
      <c r="P204" s="2" t="str">
        <f aca="false">IFERROR(__xludf.dummyfunction("if($T204&lt;&gt;"""",VALUE(REGEXEXTRACT($T204, P$1&amp;""[\w &amp;]*, (\d+\.\d+)"")),"""")
"),"")</f>
        <v/>
      </c>
      <c r="Q204" s="2" t="str">
        <f aca="false">IFERROR(__xludf.dummyfunction("if($T204&lt;&gt;"""",VALUE(REGEXEXTRACT($T204, Q$1&amp;""[\w &amp;]*, (\d+\.\d+)"")),"""")
"),"")</f>
        <v/>
      </c>
      <c r="R204" s="2" t="str">
        <f aca="false">IFERROR(__xludf.dummyfunction("if($T204&lt;&gt;"""",VALUE(REGEXEXTRACT($T204, SUBSTITUTE(R$1, ""+"", ""\+"")&amp;""[\w &amp;]*, (\d+\.\d+)"")),"""")"),"")</f>
        <v/>
      </c>
      <c r="S204" s="2" t="str">
        <f aca="false">IFERROR(__xludf.dummyfunction("if($T204&lt;&gt;"""",VALUE(REGEXEXTRACT($T204, SUBSTITUTE(S$1, ""+"", ""\+"")&amp;""[\w &amp;]*, (\d+\.\d+)"")),"""")"),"")</f>
        <v/>
      </c>
      <c r="T204" s="5"/>
    </row>
    <row r="205" customFormat="false" ht="15.75" hidden="false" customHeight="false" outlineLevel="0" collapsed="false">
      <c r="A205" s="4"/>
      <c r="B205" s="2"/>
      <c r="C205" s="2"/>
      <c r="D205" s="2"/>
      <c r="E205" s="2"/>
      <c r="F205" s="3" t="str">
        <f aca="false">IFERROR(__xludf.dummyfunction("if($T205&lt;&gt;"""",VALUE(REGEXEXTRACT(SUBSTITUTE ($T205,F$1&amp;"" CE"",""""), F$1&amp;""[\w &amp;]*, (\d+\.\d+)"")),"""")
"),"")</f>
        <v/>
      </c>
      <c r="G205" s="3" t="str">
        <f aca="false">IFERROR(__xludf.dummyfunction("if($T205&lt;&gt;"""",VALUE(REGEXEXTRACT($T205, G$1&amp;""[\w &amp;]*, (\d+\.\d+)"")),"""")
"),"")</f>
        <v/>
      </c>
      <c r="H205" s="3" t="str">
        <f aca="false">IFERROR(__xludf.dummyfunction("if($T205&lt;&gt;"""",VALUE(REGEXEXTRACT($T205, H$1&amp;""[\w &amp;]*, (\d+\.\d+)"")),"""")
"),"")</f>
        <v/>
      </c>
      <c r="I205" s="3" t="str">
        <f aca="false">IFERROR(__xludf.dummyfunction("if($T205&lt;&gt;"""",VALUE(REGEXEXTRACT(SUBSTITUTE ($T205,I$1&amp;"" CE"",""""), I$1&amp;""[\w &amp;]*, (\d+\.\d+)"")),"""")
"),"")</f>
        <v/>
      </c>
      <c r="J205" s="3" t="str">
        <f aca="false">IFERROR(__xludf.dummyfunction("if($T205&lt;&gt;"""",VALUE(REGEXEXTRACT($T205, J$1&amp;""[\w &amp;]*, (\d+\.\d+)"")),"""")
"),"")</f>
        <v/>
      </c>
      <c r="K205" s="3" t="str">
        <f aca="false">IFERROR(__xludf.dummyfunction("if($T205&lt;&gt;"""",VALUE(REGEXEXTRACT($T205, K$1&amp;""[\w &amp;]*, (\d+\.\d+)"")),"""")
"),"")</f>
        <v/>
      </c>
      <c r="L205" s="3" t="str">
        <f aca="false">IFERROR(__xludf.dummyfunction("if($T205&lt;&gt;"""",VALUE(REGEXEXTRACT(SUBSTITUTE ($T205,L$1&amp;"" CE"",""""), L$1&amp;""[\w &amp;]*, (\d+\.\d+)"")),"""")
"),"")</f>
        <v/>
      </c>
      <c r="M205" s="3" t="str">
        <f aca="false">IFERROR(__xludf.dummyfunction("if($T205&lt;&gt;"""",VALUE(REGEXEXTRACT($T205, M$1&amp;""[\w &amp;]*, (\d+\.\d+)"")),"""")
"),"")</f>
        <v/>
      </c>
      <c r="N205" s="3" t="str">
        <f aca="false">IFERROR(__xludf.dummyfunction("if($T205&lt;&gt;"""",VALUE(REGEXEXTRACT(SUBSTITUTE ($T205,N$1&amp;"" CE"",""""), N$1&amp;""[\w &amp;]*, (\d+\.\d+)"")),"""")
"),"")</f>
        <v/>
      </c>
      <c r="O205" s="3" t="str">
        <f aca="false">IFERROR(__xludf.dummyfunction("if($T205&lt;&gt;"""",VALUE(REGEXEXTRACT($T205, O$1&amp;""[\w &amp;]*, (\d+\.\d+)"")),"""")
"),"")</f>
        <v/>
      </c>
      <c r="P205" s="2" t="str">
        <f aca="false">IFERROR(__xludf.dummyfunction("if($T205&lt;&gt;"""",VALUE(REGEXEXTRACT($T205, P$1&amp;""[\w &amp;]*, (\d+\.\d+)"")),"""")
"),"")</f>
        <v/>
      </c>
      <c r="Q205" s="2" t="str">
        <f aca="false">IFERROR(__xludf.dummyfunction("if($T205&lt;&gt;"""",VALUE(REGEXEXTRACT($T205, Q$1&amp;""[\w &amp;]*, (\d+\.\d+)"")),"""")
"),"")</f>
        <v/>
      </c>
      <c r="R205" s="2" t="str">
        <f aca="false">IFERROR(__xludf.dummyfunction("if($T205&lt;&gt;"""",VALUE(REGEXEXTRACT($T205, SUBSTITUTE(R$1, ""+"", ""\+"")&amp;""[\w &amp;]*, (\d+\.\d+)"")),"""")"),"")</f>
        <v/>
      </c>
      <c r="S205" s="2" t="str">
        <f aca="false">IFERROR(__xludf.dummyfunction("if($T205&lt;&gt;"""",VALUE(REGEXEXTRACT($T205, SUBSTITUTE(S$1, ""+"", ""\+"")&amp;""[\w &amp;]*, (\d+\.\d+)"")),"""")"),"")</f>
        <v/>
      </c>
      <c r="T205" s="5"/>
    </row>
    <row r="206" customFormat="false" ht="15.75" hidden="false" customHeight="false" outlineLevel="0" collapsed="false">
      <c r="A206" s="4"/>
      <c r="B206" s="2"/>
      <c r="C206" s="2"/>
      <c r="D206" s="2"/>
      <c r="E206" s="2"/>
      <c r="F206" s="3" t="str">
        <f aca="false">IFERROR(__xludf.dummyfunction("if($T206&lt;&gt;"""",VALUE(REGEXEXTRACT(SUBSTITUTE ($T206,F$1&amp;"" CE"",""""), F$1&amp;""[\w &amp;]*, (\d+\.\d+)"")),"""")
"),"")</f>
        <v/>
      </c>
      <c r="G206" s="3" t="str">
        <f aca="false">IFERROR(__xludf.dummyfunction("if($T206&lt;&gt;"""",VALUE(REGEXEXTRACT($T206, G$1&amp;""[\w &amp;]*, (\d+\.\d+)"")),"""")
"),"")</f>
        <v/>
      </c>
      <c r="H206" s="3" t="str">
        <f aca="false">IFERROR(__xludf.dummyfunction("if($T206&lt;&gt;"""",VALUE(REGEXEXTRACT($T206, H$1&amp;""[\w &amp;]*, (\d+\.\d+)"")),"""")
"),"")</f>
        <v/>
      </c>
      <c r="I206" s="3" t="str">
        <f aca="false">IFERROR(__xludf.dummyfunction("if($T206&lt;&gt;"""",VALUE(REGEXEXTRACT(SUBSTITUTE ($T206,I$1&amp;"" CE"",""""), I$1&amp;""[\w &amp;]*, (\d+\.\d+)"")),"""")
"),"")</f>
        <v/>
      </c>
      <c r="J206" s="3" t="str">
        <f aca="false">IFERROR(__xludf.dummyfunction("if($T206&lt;&gt;"""",VALUE(REGEXEXTRACT($T206, J$1&amp;""[\w &amp;]*, (\d+\.\d+)"")),"""")
"),"")</f>
        <v/>
      </c>
      <c r="K206" s="3" t="str">
        <f aca="false">IFERROR(__xludf.dummyfunction("if($T206&lt;&gt;"""",VALUE(REGEXEXTRACT($T206, K$1&amp;""[\w &amp;]*, (\d+\.\d+)"")),"""")
"),"")</f>
        <v/>
      </c>
      <c r="L206" s="3" t="str">
        <f aca="false">IFERROR(__xludf.dummyfunction("if($T206&lt;&gt;"""",VALUE(REGEXEXTRACT(SUBSTITUTE ($T206,L$1&amp;"" CE"",""""), L$1&amp;""[\w &amp;]*, (\d+\.\d+)"")),"""")
"),"")</f>
        <v/>
      </c>
      <c r="M206" s="3" t="str">
        <f aca="false">IFERROR(__xludf.dummyfunction("if($T206&lt;&gt;"""",VALUE(REGEXEXTRACT($T206, M$1&amp;""[\w &amp;]*, (\d+\.\d+)"")),"""")
"),"")</f>
        <v/>
      </c>
      <c r="N206" s="3" t="str">
        <f aca="false">IFERROR(__xludf.dummyfunction("if($T206&lt;&gt;"""",VALUE(REGEXEXTRACT(SUBSTITUTE ($T206,N$1&amp;"" CE"",""""), N$1&amp;""[\w &amp;]*, (\d+\.\d+)"")),"""")
"),"")</f>
        <v/>
      </c>
      <c r="O206" s="3" t="str">
        <f aca="false">IFERROR(__xludf.dummyfunction("if($T206&lt;&gt;"""",VALUE(REGEXEXTRACT($T206, O$1&amp;""[\w &amp;]*, (\d+\.\d+)"")),"""")
"),"")</f>
        <v/>
      </c>
      <c r="P206" s="2" t="str">
        <f aca="false">IFERROR(__xludf.dummyfunction("if($T206&lt;&gt;"""",VALUE(REGEXEXTRACT($T206, P$1&amp;""[\w &amp;]*, (\d+\.\d+)"")),"""")
"),"")</f>
        <v/>
      </c>
      <c r="Q206" s="2" t="str">
        <f aca="false">IFERROR(__xludf.dummyfunction("if($T206&lt;&gt;"""",VALUE(REGEXEXTRACT($T206, Q$1&amp;""[\w &amp;]*, (\d+\.\d+)"")),"""")
"),"")</f>
        <v/>
      </c>
      <c r="R206" s="2" t="str">
        <f aca="false">IFERROR(__xludf.dummyfunction("if($T206&lt;&gt;"""",VALUE(REGEXEXTRACT($T206, SUBSTITUTE(R$1, ""+"", ""\+"")&amp;""[\w &amp;]*, (\d+\.\d+)"")),"""")"),"")</f>
        <v/>
      </c>
      <c r="S206" s="2" t="str">
        <f aca="false">IFERROR(__xludf.dummyfunction("if($T206&lt;&gt;"""",VALUE(REGEXEXTRACT($T206, SUBSTITUTE(S$1, ""+"", ""\+"")&amp;""[\w &amp;]*, (\d+\.\d+)"")),"""")"),"")</f>
        <v/>
      </c>
      <c r="T206" s="5"/>
    </row>
    <row r="207" customFormat="false" ht="15.75" hidden="false" customHeight="false" outlineLevel="0" collapsed="false">
      <c r="A207" s="4"/>
      <c r="B207" s="2"/>
      <c r="C207" s="2"/>
      <c r="D207" s="2"/>
      <c r="E207" s="2"/>
      <c r="F207" s="3" t="str">
        <f aca="false">IFERROR(__xludf.dummyfunction("if($T207&lt;&gt;"""",VALUE(REGEXEXTRACT(SUBSTITUTE ($T207,F$1&amp;"" CE"",""""), F$1&amp;""[\w &amp;]*, (\d+\.\d+)"")),"""")
"),"")</f>
        <v/>
      </c>
      <c r="G207" s="3" t="str">
        <f aca="false">IFERROR(__xludf.dummyfunction("if($T207&lt;&gt;"""",VALUE(REGEXEXTRACT($T207, G$1&amp;""[\w &amp;]*, (\d+\.\d+)"")),"""")
"),"")</f>
        <v/>
      </c>
      <c r="H207" s="3" t="str">
        <f aca="false">IFERROR(__xludf.dummyfunction("if($T207&lt;&gt;"""",VALUE(REGEXEXTRACT($T207, H$1&amp;""[\w &amp;]*, (\d+\.\d+)"")),"""")
"),"")</f>
        <v/>
      </c>
      <c r="I207" s="3" t="str">
        <f aca="false">IFERROR(__xludf.dummyfunction("if($T207&lt;&gt;"""",VALUE(REGEXEXTRACT(SUBSTITUTE ($T207,I$1&amp;"" CE"",""""), I$1&amp;""[\w &amp;]*, (\d+\.\d+)"")),"""")
"),"")</f>
        <v/>
      </c>
      <c r="J207" s="3" t="str">
        <f aca="false">IFERROR(__xludf.dummyfunction("if($T207&lt;&gt;"""",VALUE(REGEXEXTRACT($T207, J$1&amp;""[\w &amp;]*, (\d+\.\d+)"")),"""")
"),"")</f>
        <v/>
      </c>
      <c r="K207" s="3" t="str">
        <f aca="false">IFERROR(__xludf.dummyfunction("if($T207&lt;&gt;"""",VALUE(REGEXEXTRACT($T207, K$1&amp;""[\w &amp;]*, (\d+\.\d+)"")),"""")
"),"")</f>
        <v/>
      </c>
      <c r="L207" s="3" t="str">
        <f aca="false">IFERROR(__xludf.dummyfunction("if($T207&lt;&gt;"""",VALUE(REGEXEXTRACT(SUBSTITUTE ($T207,L$1&amp;"" CE"",""""), L$1&amp;""[\w &amp;]*, (\d+\.\d+)"")),"""")
"),"")</f>
        <v/>
      </c>
      <c r="M207" s="3" t="str">
        <f aca="false">IFERROR(__xludf.dummyfunction("if($T207&lt;&gt;"""",VALUE(REGEXEXTRACT($T207, M$1&amp;""[\w &amp;]*, (\d+\.\d+)"")),"""")
"),"")</f>
        <v/>
      </c>
      <c r="N207" s="3" t="str">
        <f aca="false">IFERROR(__xludf.dummyfunction("if($T207&lt;&gt;"""",VALUE(REGEXEXTRACT(SUBSTITUTE ($T207,N$1&amp;"" CE"",""""), N$1&amp;""[\w &amp;]*, (\d+\.\d+)"")),"""")
"),"")</f>
        <v/>
      </c>
      <c r="O207" s="3" t="str">
        <f aca="false">IFERROR(__xludf.dummyfunction("if($T207&lt;&gt;"""",VALUE(REGEXEXTRACT($T207, O$1&amp;""[\w &amp;]*, (\d+\.\d+)"")),"""")
"),"")</f>
        <v/>
      </c>
      <c r="P207" s="2" t="str">
        <f aca="false">IFERROR(__xludf.dummyfunction("if($T207&lt;&gt;"""",VALUE(REGEXEXTRACT($T207, P$1&amp;""[\w &amp;]*, (\d+\.\d+)"")),"""")
"),"")</f>
        <v/>
      </c>
      <c r="Q207" s="2" t="str">
        <f aca="false">IFERROR(__xludf.dummyfunction("if($T207&lt;&gt;"""",VALUE(REGEXEXTRACT($T207, Q$1&amp;""[\w &amp;]*, (\d+\.\d+)"")),"""")
"),"")</f>
        <v/>
      </c>
      <c r="R207" s="2" t="str">
        <f aca="false">IFERROR(__xludf.dummyfunction("if($T207&lt;&gt;"""",VALUE(REGEXEXTRACT($T207, SUBSTITUTE(R$1, ""+"", ""\+"")&amp;""[\w &amp;]*, (\d+\.\d+)"")),"""")"),"")</f>
        <v/>
      </c>
      <c r="S207" s="2" t="str">
        <f aca="false">IFERROR(__xludf.dummyfunction("if($T207&lt;&gt;"""",VALUE(REGEXEXTRACT($T207, SUBSTITUTE(S$1, ""+"", ""\+"")&amp;""[\w &amp;]*, (\d+\.\d+)"")),"""")"),"")</f>
        <v/>
      </c>
      <c r="T207" s="5"/>
    </row>
    <row r="208" customFormat="false" ht="15.75" hidden="false" customHeight="false" outlineLevel="0" collapsed="false">
      <c r="A208" s="4"/>
      <c r="B208" s="2"/>
      <c r="C208" s="2"/>
      <c r="D208" s="2"/>
      <c r="E208" s="2"/>
      <c r="F208" s="3" t="str">
        <f aca="false">IFERROR(__xludf.dummyfunction("if($T208&lt;&gt;"""",VALUE(REGEXEXTRACT(SUBSTITUTE ($T208,F$1&amp;"" CE"",""""), F$1&amp;""[\w &amp;]*, (\d+\.\d+)"")),"""")
"),"")</f>
        <v/>
      </c>
      <c r="G208" s="3" t="str">
        <f aca="false">IFERROR(__xludf.dummyfunction("if($T208&lt;&gt;"""",VALUE(REGEXEXTRACT($T208, G$1&amp;""[\w &amp;]*, (\d+\.\d+)"")),"""")
"),"")</f>
        <v/>
      </c>
      <c r="H208" s="3" t="str">
        <f aca="false">IFERROR(__xludf.dummyfunction("if($T208&lt;&gt;"""",VALUE(REGEXEXTRACT($T208, H$1&amp;""[\w &amp;]*, (\d+\.\d+)"")),"""")
"),"")</f>
        <v/>
      </c>
      <c r="I208" s="3" t="str">
        <f aca="false">IFERROR(__xludf.dummyfunction("if($T208&lt;&gt;"""",VALUE(REGEXEXTRACT(SUBSTITUTE ($T208,I$1&amp;"" CE"",""""), I$1&amp;""[\w &amp;]*, (\d+\.\d+)"")),"""")
"),"")</f>
        <v/>
      </c>
      <c r="J208" s="3" t="str">
        <f aca="false">IFERROR(__xludf.dummyfunction("if($T208&lt;&gt;"""",VALUE(REGEXEXTRACT($T208, J$1&amp;""[\w &amp;]*, (\d+\.\d+)"")),"""")
"),"")</f>
        <v/>
      </c>
      <c r="K208" s="3" t="str">
        <f aca="false">IFERROR(__xludf.dummyfunction("if($T208&lt;&gt;"""",VALUE(REGEXEXTRACT($T208, K$1&amp;""[\w &amp;]*, (\d+\.\d+)"")),"""")
"),"")</f>
        <v/>
      </c>
      <c r="L208" s="3" t="str">
        <f aca="false">IFERROR(__xludf.dummyfunction("if($T208&lt;&gt;"""",VALUE(REGEXEXTRACT(SUBSTITUTE ($T208,L$1&amp;"" CE"",""""), L$1&amp;""[\w &amp;]*, (\d+\.\d+)"")),"""")
"),"")</f>
        <v/>
      </c>
      <c r="M208" s="3" t="str">
        <f aca="false">IFERROR(__xludf.dummyfunction("if($T208&lt;&gt;"""",VALUE(REGEXEXTRACT($T208, M$1&amp;""[\w &amp;]*, (\d+\.\d+)"")),"""")
"),"")</f>
        <v/>
      </c>
      <c r="N208" s="3" t="str">
        <f aca="false">IFERROR(__xludf.dummyfunction("if($T208&lt;&gt;"""",VALUE(REGEXEXTRACT(SUBSTITUTE ($T208,N$1&amp;"" CE"",""""), N$1&amp;""[\w &amp;]*, (\d+\.\d+)"")),"""")
"),"")</f>
        <v/>
      </c>
      <c r="O208" s="3" t="str">
        <f aca="false">IFERROR(__xludf.dummyfunction("if($T208&lt;&gt;"""",VALUE(REGEXEXTRACT($T208, O$1&amp;""[\w &amp;]*, (\d+\.\d+)"")),"""")
"),"")</f>
        <v/>
      </c>
      <c r="P208" s="2" t="str">
        <f aca="false">IFERROR(__xludf.dummyfunction("if($T208&lt;&gt;"""",VALUE(REGEXEXTRACT($T208, P$1&amp;""[\w &amp;]*, (\d+\.\d+)"")),"""")
"),"")</f>
        <v/>
      </c>
      <c r="Q208" s="2" t="str">
        <f aca="false">IFERROR(__xludf.dummyfunction("if($T208&lt;&gt;"""",VALUE(REGEXEXTRACT($T208, Q$1&amp;""[\w &amp;]*, (\d+\.\d+)"")),"""")
"),"")</f>
        <v/>
      </c>
      <c r="R208" s="2" t="str">
        <f aca="false">IFERROR(__xludf.dummyfunction("if($T208&lt;&gt;"""",VALUE(REGEXEXTRACT($T208, SUBSTITUTE(R$1, ""+"", ""\+"")&amp;""[\w &amp;]*, (\d+\.\d+)"")),"""")"),"")</f>
        <v/>
      </c>
      <c r="S208" s="2" t="str">
        <f aca="false">IFERROR(__xludf.dummyfunction("if($T208&lt;&gt;"""",VALUE(REGEXEXTRACT($T208, SUBSTITUTE(S$1, ""+"", ""\+"")&amp;""[\w &amp;]*, (\d+\.\d+)"")),"""")"),"")</f>
        <v/>
      </c>
      <c r="T208" s="5"/>
    </row>
    <row r="209" customFormat="false" ht="15.75" hidden="false" customHeight="false" outlineLevel="0" collapsed="false">
      <c r="A209" s="4"/>
      <c r="B209" s="2"/>
      <c r="C209" s="2"/>
      <c r="D209" s="2"/>
      <c r="E209" s="2"/>
      <c r="F209" s="3" t="str">
        <f aca="false">IFERROR(__xludf.dummyfunction("if($T209&lt;&gt;"""",VALUE(REGEXEXTRACT(SUBSTITUTE ($T209,F$1&amp;"" CE"",""""), F$1&amp;""[\w &amp;]*, (\d+\.\d+)"")),"""")
"),"")</f>
        <v/>
      </c>
      <c r="G209" s="3" t="str">
        <f aca="false">IFERROR(__xludf.dummyfunction("if($T209&lt;&gt;"""",VALUE(REGEXEXTRACT($T209, G$1&amp;""[\w &amp;]*, (\d+\.\d+)"")),"""")
"),"")</f>
        <v/>
      </c>
      <c r="H209" s="3" t="str">
        <f aca="false">IFERROR(__xludf.dummyfunction("if($T209&lt;&gt;"""",VALUE(REGEXEXTRACT($T209, H$1&amp;""[\w &amp;]*, (\d+\.\d+)"")),"""")
"),"")</f>
        <v/>
      </c>
      <c r="I209" s="3" t="str">
        <f aca="false">IFERROR(__xludf.dummyfunction("if($T209&lt;&gt;"""",VALUE(REGEXEXTRACT(SUBSTITUTE ($T209,I$1&amp;"" CE"",""""), I$1&amp;""[\w &amp;]*, (\d+\.\d+)"")),"""")
"),"")</f>
        <v/>
      </c>
      <c r="J209" s="3" t="str">
        <f aca="false">IFERROR(__xludf.dummyfunction("if($T209&lt;&gt;"""",VALUE(REGEXEXTRACT($T209, J$1&amp;""[\w &amp;]*, (\d+\.\d+)"")),"""")
"),"")</f>
        <v/>
      </c>
      <c r="K209" s="3" t="str">
        <f aca="false">IFERROR(__xludf.dummyfunction("if($T209&lt;&gt;"""",VALUE(REGEXEXTRACT($T209, K$1&amp;""[\w &amp;]*, (\d+\.\d+)"")),"""")
"),"")</f>
        <v/>
      </c>
      <c r="L209" s="3" t="str">
        <f aca="false">IFERROR(__xludf.dummyfunction("if($T209&lt;&gt;"""",VALUE(REGEXEXTRACT(SUBSTITUTE ($T209,L$1&amp;"" CE"",""""), L$1&amp;""[\w &amp;]*, (\d+\.\d+)"")),"""")
"),"")</f>
        <v/>
      </c>
      <c r="M209" s="3" t="str">
        <f aca="false">IFERROR(__xludf.dummyfunction("if($T209&lt;&gt;"""",VALUE(REGEXEXTRACT($T209, M$1&amp;""[\w &amp;]*, (\d+\.\d+)"")),"""")
"),"")</f>
        <v/>
      </c>
      <c r="N209" s="3" t="str">
        <f aca="false">IFERROR(__xludf.dummyfunction("if($T209&lt;&gt;"""",VALUE(REGEXEXTRACT(SUBSTITUTE ($T209,N$1&amp;"" CE"",""""), N$1&amp;""[\w &amp;]*, (\d+\.\d+)"")),"""")
"),"")</f>
        <v/>
      </c>
      <c r="O209" s="3" t="str">
        <f aca="false">IFERROR(__xludf.dummyfunction("if($T209&lt;&gt;"""",VALUE(REGEXEXTRACT($T209, O$1&amp;""[\w &amp;]*, (\d+\.\d+)"")),"""")
"),"")</f>
        <v/>
      </c>
      <c r="P209" s="2" t="str">
        <f aca="false">IFERROR(__xludf.dummyfunction("if($T209&lt;&gt;"""",VALUE(REGEXEXTRACT($T209, P$1&amp;""[\w &amp;]*, (\d+\.\d+)"")),"""")
"),"")</f>
        <v/>
      </c>
      <c r="Q209" s="2" t="str">
        <f aca="false">IFERROR(__xludf.dummyfunction("if($T209&lt;&gt;"""",VALUE(REGEXEXTRACT($T209, Q$1&amp;""[\w &amp;]*, (\d+\.\d+)"")),"""")
"),"")</f>
        <v/>
      </c>
      <c r="R209" s="2" t="str">
        <f aca="false">IFERROR(__xludf.dummyfunction("if($T209&lt;&gt;"""",VALUE(REGEXEXTRACT($T209, SUBSTITUTE(R$1, ""+"", ""\+"")&amp;""[\w &amp;]*, (\d+\.\d+)"")),"""")"),"")</f>
        <v/>
      </c>
      <c r="S209" s="2" t="str">
        <f aca="false">IFERROR(__xludf.dummyfunction("if($T209&lt;&gt;"""",VALUE(REGEXEXTRACT($T209, SUBSTITUTE(S$1, ""+"", ""\+"")&amp;""[\w &amp;]*, (\d+\.\d+)"")),"""")"),"")</f>
        <v/>
      </c>
      <c r="T209" s="5"/>
    </row>
    <row r="210" customFormat="false" ht="15.75" hidden="false" customHeight="false" outlineLevel="0" collapsed="false">
      <c r="A210" s="4"/>
      <c r="B210" s="2"/>
      <c r="C210" s="2"/>
      <c r="D210" s="2"/>
      <c r="E210" s="2"/>
      <c r="F210" s="3" t="str">
        <f aca="false">IFERROR(__xludf.dummyfunction("if($T210&lt;&gt;"""",VALUE(REGEXEXTRACT(SUBSTITUTE ($T210,F$1&amp;"" CE"",""""), F$1&amp;""[\w &amp;]*, (\d+\.\d+)"")),"""")
"),"")</f>
        <v/>
      </c>
      <c r="G210" s="3" t="str">
        <f aca="false">IFERROR(__xludf.dummyfunction("if($T210&lt;&gt;"""",VALUE(REGEXEXTRACT($T210, G$1&amp;""[\w &amp;]*, (\d+\.\d+)"")),"""")
"),"")</f>
        <v/>
      </c>
      <c r="H210" s="3" t="str">
        <f aca="false">IFERROR(__xludf.dummyfunction("if($T210&lt;&gt;"""",VALUE(REGEXEXTRACT($T210, H$1&amp;""[\w &amp;]*, (\d+\.\d+)"")),"""")
"),"")</f>
        <v/>
      </c>
      <c r="I210" s="3" t="str">
        <f aca="false">IFERROR(__xludf.dummyfunction("if($T210&lt;&gt;"""",VALUE(REGEXEXTRACT(SUBSTITUTE ($T210,I$1&amp;"" CE"",""""), I$1&amp;""[\w &amp;]*, (\d+\.\d+)"")),"""")
"),"")</f>
        <v/>
      </c>
      <c r="J210" s="3" t="str">
        <f aca="false">IFERROR(__xludf.dummyfunction("if($T210&lt;&gt;"""",VALUE(REGEXEXTRACT($T210, J$1&amp;""[\w &amp;]*, (\d+\.\d+)"")),"""")
"),"")</f>
        <v/>
      </c>
      <c r="K210" s="3" t="str">
        <f aca="false">IFERROR(__xludf.dummyfunction("if($T210&lt;&gt;"""",VALUE(REGEXEXTRACT($T210, K$1&amp;""[\w &amp;]*, (\d+\.\d+)"")),"""")
"),"")</f>
        <v/>
      </c>
      <c r="L210" s="3" t="str">
        <f aca="false">IFERROR(__xludf.dummyfunction("if($T210&lt;&gt;"""",VALUE(REGEXEXTRACT(SUBSTITUTE ($T210,L$1&amp;"" CE"",""""), L$1&amp;""[\w &amp;]*, (\d+\.\d+)"")),"""")
"),"")</f>
        <v/>
      </c>
      <c r="M210" s="3" t="str">
        <f aca="false">IFERROR(__xludf.dummyfunction("if($T210&lt;&gt;"""",VALUE(REGEXEXTRACT($T210, M$1&amp;""[\w &amp;]*, (\d+\.\d+)"")),"""")
"),"")</f>
        <v/>
      </c>
      <c r="N210" s="3" t="str">
        <f aca="false">IFERROR(__xludf.dummyfunction("if($T210&lt;&gt;"""",VALUE(REGEXEXTRACT(SUBSTITUTE ($T210,N$1&amp;"" CE"",""""), N$1&amp;""[\w &amp;]*, (\d+\.\d+)"")),"""")
"),"")</f>
        <v/>
      </c>
      <c r="O210" s="3" t="str">
        <f aca="false">IFERROR(__xludf.dummyfunction("if($T210&lt;&gt;"""",VALUE(REGEXEXTRACT($T210, O$1&amp;""[\w &amp;]*, (\d+\.\d+)"")),"""")
"),"")</f>
        <v/>
      </c>
      <c r="P210" s="2" t="str">
        <f aca="false">IFERROR(__xludf.dummyfunction("if($T210&lt;&gt;"""",VALUE(REGEXEXTRACT($T210, P$1&amp;""[\w &amp;]*, (\d+\.\d+)"")),"""")
"),"")</f>
        <v/>
      </c>
      <c r="Q210" s="2" t="str">
        <f aca="false">IFERROR(__xludf.dummyfunction("if($T210&lt;&gt;"""",VALUE(REGEXEXTRACT($T210, Q$1&amp;""[\w &amp;]*, (\d+\.\d+)"")),"""")
"),"")</f>
        <v/>
      </c>
      <c r="R210" s="2" t="str">
        <f aca="false">IFERROR(__xludf.dummyfunction("if($T210&lt;&gt;"""",VALUE(REGEXEXTRACT($T210, SUBSTITUTE(R$1, ""+"", ""\+"")&amp;""[\w &amp;]*, (\d+\.\d+)"")),"""")"),"")</f>
        <v/>
      </c>
      <c r="S210" s="2" t="str">
        <f aca="false">IFERROR(__xludf.dummyfunction("if($T210&lt;&gt;"""",VALUE(REGEXEXTRACT($T210, SUBSTITUTE(S$1, ""+"", ""\+"")&amp;""[\w &amp;]*, (\d+\.\d+)"")),"""")"),"")</f>
        <v/>
      </c>
      <c r="T210" s="5"/>
    </row>
    <row r="211" customFormat="false" ht="15.75" hidden="false" customHeight="false" outlineLevel="0" collapsed="false">
      <c r="A211" s="4"/>
      <c r="B211" s="2"/>
      <c r="C211" s="2"/>
      <c r="D211" s="2"/>
      <c r="E211" s="2"/>
      <c r="F211" s="3" t="str">
        <f aca="false">IFERROR(__xludf.dummyfunction("if($T211&lt;&gt;"""",VALUE(REGEXEXTRACT(SUBSTITUTE ($T211,F$1&amp;"" CE"",""""), F$1&amp;""[\w &amp;]*, (\d+\.\d+)"")),"""")
"),"")</f>
        <v/>
      </c>
      <c r="G211" s="3" t="str">
        <f aca="false">IFERROR(__xludf.dummyfunction("if($T211&lt;&gt;"""",VALUE(REGEXEXTRACT($T211, G$1&amp;""[\w &amp;]*, (\d+\.\d+)"")),"""")
"),"")</f>
        <v/>
      </c>
      <c r="H211" s="3" t="str">
        <f aca="false">IFERROR(__xludf.dummyfunction("if($T211&lt;&gt;"""",VALUE(REGEXEXTRACT($T211, H$1&amp;""[\w &amp;]*, (\d+\.\d+)"")),"""")
"),"")</f>
        <v/>
      </c>
      <c r="I211" s="3" t="str">
        <f aca="false">IFERROR(__xludf.dummyfunction("if($T211&lt;&gt;"""",VALUE(REGEXEXTRACT(SUBSTITUTE ($T211,I$1&amp;"" CE"",""""), I$1&amp;""[\w &amp;]*, (\d+\.\d+)"")),"""")
"),"")</f>
        <v/>
      </c>
      <c r="J211" s="3" t="str">
        <f aca="false">IFERROR(__xludf.dummyfunction("if($T211&lt;&gt;"""",VALUE(REGEXEXTRACT($T211, J$1&amp;""[\w &amp;]*, (\d+\.\d+)"")),"""")
"),"")</f>
        <v/>
      </c>
      <c r="K211" s="3" t="str">
        <f aca="false">IFERROR(__xludf.dummyfunction("if($T211&lt;&gt;"""",VALUE(REGEXEXTRACT($T211, K$1&amp;""[\w &amp;]*, (\d+\.\d+)"")),"""")
"),"")</f>
        <v/>
      </c>
      <c r="L211" s="3" t="str">
        <f aca="false">IFERROR(__xludf.dummyfunction("if($T211&lt;&gt;"""",VALUE(REGEXEXTRACT(SUBSTITUTE ($T211,L$1&amp;"" CE"",""""), L$1&amp;""[\w &amp;]*, (\d+\.\d+)"")),"""")
"),"")</f>
        <v/>
      </c>
      <c r="M211" s="3" t="str">
        <f aca="false">IFERROR(__xludf.dummyfunction("if($T211&lt;&gt;"""",VALUE(REGEXEXTRACT($T211, M$1&amp;""[\w &amp;]*, (\d+\.\d+)"")),"""")
"),"")</f>
        <v/>
      </c>
      <c r="N211" s="3" t="str">
        <f aca="false">IFERROR(__xludf.dummyfunction("if($T211&lt;&gt;"""",VALUE(REGEXEXTRACT(SUBSTITUTE ($T211,N$1&amp;"" CE"",""""), N$1&amp;""[\w &amp;]*, (\d+\.\d+)"")),"""")
"),"")</f>
        <v/>
      </c>
      <c r="O211" s="3" t="str">
        <f aca="false">IFERROR(__xludf.dummyfunction("if($T211&lt;&gt;"""",VALUE(REGEXEXTRACT($T211, O$1&amp;""[\w &amp;]*, (\d+\.\d+)"")),"""")
"),"")</f>
        <v/>
      </c>
      <c r="P211" s="2" t="str">
        <f aca="false">IFERROR(__xludf.dummyfunction("if($T211&lt;&gt;"""",VALUE(REGEXEXTRACT($T211, P$1&amp;""[\w &amp;]*, (\d+\.\d+)"")),"""")
"),"")</f>
        <v/>
      </c>
      <c r="Q211" s="2" t="str">
        <f aca="false">IFERROR(__xludf.dummyfunction("if($T211&lt;&gt;"""",VALUE(REGEXEXTRACT($T211, Q$1&amp;""[\w &amp;]*, (\d+\.\d+)"")),"""")
"),"")</f>
        <v/>
      </c>
      <c r="R211" s="2" t="str">
        <f aca="false">IFERROR(__xludf.dummyfunction("if($T211&lt;&gt;"""",VALUE(REGEXEXTRACT($T211, SUBSTITUTE(R$1, ""+"", ""\+"")&amp;""[\w &amp;]*, (\d+\.\d+)"")),"""")"),"")</f>
        <v/>
      </c>
      <c r="S211" s="2" t="str">
        <f aca="false">IFERROR(__xludf.dummyfunction("if($T211&lt;&gt;"""",VALUE(REGEXEXTRACT($T211, SUBSTITUTE(S$1, ""+"", ""\+"")&amp;""[\w &amp;]*, (\d+\.\d+)"")),"""")"),"")</f>
        <v/>
      </c>
      <c r="T211" s="5"/>
    </row>
    <row r="212" customFormat="false" ht="15.75" hidden="false" customHeight="false" outlineLevel="0" collapsed="false">
      <c r="A212" s="4"/>
      <c r="B212" s="2"/>
      <c r="C212" s="2"/>
      <c r="D212" s="2"/>
      <c r="E212" s="2"/>
      <c r="F212" s="3" t="str">
        <f aca="false">IFERROR(__xludf.dummyfunction("if($T212&lt;&gt;"""",VALUE(REGEXEXTRACT(SUBSTITUTE ($T212,F$1&amp;"" CE"",""""), F$1&amp;""[\w &amp;]*, (\d+\.\d+)"")),"""")
"),"")</f>
        <v/>
      </c>
      <c r="G212" s="3" t="str">
        <f aca="false">IFERROR(__xludf.dummyfunction("if($T212&lt;&gt;"""",VALUE(REGEXEXTRACT($T212, G$1&amp;""[\w &amp;]*, (\d+\.\d+)"")),"""")
"),"")</f>
        <v/>
      </c>
      <c r="H212" s="3" t="str">
        <f aca="false">IFERROR(__xludf.dummyfunction("if($T212&lt;&gt;"""",VALUE(REGEXEXTRACT($T212, H$1&amp;""[\w &amp;]*, (\d+\.\d+)"")),"""")
"),"")</f>
        <v/>
      </c>
      <c r="I212" s="3" t="str">
        <f aca="false">IFERROR(__xludf.dummyfunction("if($T212&lt;&gt;"""",VALUE(REGEXEXTRACT(SUBSTITUTE ($T212,I$1&amp;"" CE"",""""), I$1&amp;""[\w &amp;]*, (\d+\.\d+)"")),"""")
"),"")</f>
        <v/>
      </c>
      <c r="J212" s="3" t="str">
        <f aca="false">IFERROR(__xludf.dummyfunction("if($T212&lt;&gt;"""",VALUE(REGEXEXTRACT($T212, J$1&amp;""[\w &amp;]*, (\d+\.\d+)"")),"""")
"),"")</f>
        <v/>
      </c>
      <c r="K212" s="3" t="str">
        <f aca="false">IFERROR(__xludf.dummyfunction("if($T212&lt;&gt;"""",VALUE(REGEXEXTRACT($T212, K$1&amp;""[\w &amp;]*, (\d+\.\d+)"")),"""")
"),"")</f>
        <v/>
      </c>
      <c r="L212" s="3" t="str">
        <f aca="false">IFERROR(__xludf.dummyfunction("if($T212&lt;&gt;"""",VALUE(REGEXEXTRACT(SUBSTITUTE ($T212,L$1&amp;"" CE"",""""), L$1&amp;""[\w &amp;]*, (\d+\.\d+)"")),"""")
"),"")</f>
        <v/>
      </c>
      <c r="M212" s="3" t="str">
        <f aca="false">IFERROR(__xludf.dummyfunction("if($T212&lt;&gt;"""",VALUE(REGEXEXTRACT($T212, M$1&amp;""[\w &amp;]*, (\d+\.\d+)"")),"""")
"),"")</f>
        <v/>
      </c>
      <c r="N212" s="3" t="str">
        <f aca="false">IFERROR(__xludf.dummyfunction("if($T212&lt;&gt;"""",VALUE(REGEXEXTRACT(SUBSTITUTE ($T212,N$1&amp;"" CE"",""""), N$1&amp;""[\w &amp;]*, (\d+\.\d+)"")),"""")
"),"")</f>
        <v/>
      </c>
      <c r="O212" s="3" t="str">
        <f aca="false">IFERROR(__xludf.dummyfunction("if($T212&lt;&gt;"""",VALUE(REGEXEXTRACT($T212, O$1&amp;""[\w &amp;]*, (\d+\.\d+)"")),"""")
"),"")</f>
        <v/>
      </c>
      <c r="P212" s="2" t="str">
        <f aca="false">IFERROR(__xludf.dummyfunction("if($T212&lt;&gt;"""",VALUE(REGEXEXTRACT($T212, P$1&amp;""[\w &amp;]*, (\d+\.\d+)"")),"""")
"),"")</f>
        <v/>
      </c>
      <c r="Q212" s="2" t="str">
        <f aca="false">IFERROR(__xludf.dummyfunction("if($T212&lt;&gt;"""",VALUE(REGEXEXTRACT($T212, Q$1&amp;""[\w &amp;]*, (\d+\.\d+)"")),"""")
"),"")</f>
        <v/>
      </c>
      <c r="R212" s="2" t="str">
        <f aca="false">IFERROR(__xludf.dummyfunction("if($T212&lt;&gt;"""",VALUE(REGEXEXTRACT($T212, SUBSTITUTE(R$1, ""+"", ""\+"")&amp;""[\w &amp;]*, (\d+\.\d+)"")),"""")"),"")</f>
        <v/>
      </c>
      <c r="S212" s="2" t="str">
        <f aca="false">IFERROR(__xludf.dummyfunction("if($T212&lt;&gt;"""",VALUE(REGEXEXTRACT($T212, SUBSTITUTE(S$1, ""+"", ""\+"")&amp;""[\w &amp;]*, (\d+\.\d+)"")),"""")"),"")</f>
        <v/>
      </c>
      <c r="T212" s="5"/>
    </row>
    <row r="213" customFormat="false" ht="15.75" hidden="false" customHeight="false" outlineLevel="0" collapsed="false">
      <c r="A213" s="4"/>
      <c r="B213" s="2"/>
      <c r="C213" s="2"/>
      <c r="D213" s="2"/>
      <c r="E213" s="2"/>
      <c r="F213" s="3" t="str">
        <f aca="false">IFERROR(__xludf.dummyfunction("if($T213&lt;&gt;"""",VALUE(REGEXEXTRACT(SUBSTITUTE ($T213,F$1&amp;"" CE"",""""), F$1&amp;""[\w &amp;]*, (\d+\.\d+)"")),"""")
"),"")</f>
        <v/>
      </c>
      <c r="G213" s="3" t="str">
        <f aca="false">IFERROR(__xludf.dummyfunction("if($T213&lt;&gt;"""",VALUE(REGEXEXTRACT($T213, G$1&amp;""[\w &amp;]*, (\d+\.\d+)"")),"""")
"),"")</f>
        <v/>
      </c>
      <c r="H213" s="3" t="str">
        <f aca="false">IFERROR(__xludf.dummyfunction("if($T213&lt;&gt;"""",VALUE(REGEXEXTRACT($T213, H$1&amp;""[\w &amp;]*, (\d+\.\d+)"")),"""")
"),"")</f>
        <v/>
      </c>
      <c r="I213" s="3" t="str">
        <f aca="false">IFERROR(__xludf.dummyfunction("if($T213&lt;&gt;"""",VALUE(REGEXEXTRACT(SUBSTITUTE ($T213,I$1&amp;"" CE"",""""), I$1&amp;""[\w &amp;]*, (\d+\.\d+)"")),"""")
"),"")</f>
        <v/>
      </c>
      <c r="J213" s="3" t="str">
        <f aca="false">IFERROR(__xludf.dummyfunction("if($T213&lt;&gt;"""",VALUE(REGEXEXTRACT($T213, J$1&amp;""[\w &amp;]*, (\d+\.\d+)"")),"""")
"),"")</f>
        <v/>
      </c>
      <c r="K213" s="3" t="str">
        <f aca="false">IFERROR(__xludf.dummyfunction("if($T213&lt;&gt;"""",VALUE(REGEXEXTRACT($T213, K$1&amp;""[\w &amp;]*, (\d+\.\d+)"")),"""")
"),"")</f>
        <v/>
      </c>
      <c r="L213" s="3" t="str">
        <f aca="false">IFERROR(__xludf.dummyfunction("if($T213&lt;&gt;"""",VALUE(REGEXEXTRACT(SUBSTITUTE ($T213,L$1&amp;"" CE"",""""), L$1&amp;""[\w &amp;]*, (\d+\.\d+)"")),"""")
"),"")</f>
        <v/>
      </c>
      <c r="M213" s="3" t="str">
        <f aca="false">IFERROR(__xludf.dummyfunction("if($T213&lt;&gt;"""",VALUE(REGEXEXTRACT($T213, M$1&amp;""[\w &amp;]*, (\d+\.\d+)"")),"""")
"),"")</f>
        <v/>
      </c>
      <c r="N213" s="3" t="str">
        <f aca="false">IFERROR(__xludf.dummyfunction("if($T213&lt;&gt;"""",VALUE(REGEXEXTRACT(SUBSTITUTE ($T213,N$1&amp;"" CE"",""""), N$1&amp;""[\w &amp;]*, (\d+\.\d+)"")),"""")
"),"")</f>
        <v/>
      </c>
      <c r="O213" s="3" t="str">
        <f aca="false">IFERROR(__xludf.dummyfunction("if($T213&lt;&gt;"""",VALUE(REGEXEXTRACT($T213, O$1&amp;""[\w &amp;]*, (\d+\.\d+)"")),"""")
"),"")</f>
        <v/>
      </c>
      <c r="P213" s="2" t="str">
        <f aca="false">IFERROR(__xludf.dummyfunction("if($T213&lt;&gt;"""",VALUE(REGEXEXTRACT($T213, P$1&amp;""[\w &amp;]*, (\d+\.\d+)"")),"""")
"),"")</f>
        <v/>
      </c>
      <c r="Q213" s="2" t="str">
        <f aca="false">IFERROR(__xludf.dummyfunction("if($T213&lt;&gt;"""",VALUE(REGEXEXTRACT($T213, Q$1&amp;""[\w &amp;]*, (\d+\.\d+)"")),"""")
"),"")</f>
        <v/>
      </c>
      <c r="R213" s="2" t="str">
        <f aca="false">IFERROR(__xludf.dummyfunction("if($T213&lt;&gt;"""",VALUE(REGEXEXTRACT($T213, SUBSTITUTE(R$1, ""+"", ""\+"")&amp;""[\w &amp;]*, (\d+\.\d+)"")),"""")"),"")</f>
        <v/>
      </c>
      <c r="S213" s="2" t="str">
        <f aca="false">IFERROR(__xludf.dummyfunction("if($T213&lt;&gt;"""",VALUE(REGEXEXTRACT($T213, SUBSTITUTE(S$1, ""+"", ""\+"")&amp;""[\w &amp;]*, (\d+\.\d+)"")),"""")"),"")</f>
        <v/>
      </c>
      <c r="T213" s="5"/>
    </row>
    <row r="214" customFormat="false" ht="15.75" hidden="false" customHeight="false" outlineLevel="0" collapsed="false">
      <c r="A214" s="4"/>
      <c r="B214" s="2"/>
      <c r="C214" s="2"/>
      <c r="D214" s="2"/>
      <c r="E214" s="2"/>
      <c r="F214" s="3" t="str">
        <f aca="false">IFERROR(__xludf.dummyfunction("if($T214&lt;&gt;"""",VALUE(REGEXEXTRACT(SUBSTITUTE ($T214,F$1&amp;"" CE"",""""), F$1&amp;""[\w &amp;]*, (\d+\.\d+)"")),"""")
"),"")</f>
        <v/>
      </c>
      <c r="G214" s="3" t="str">
        <f aca="false">IFERROR(__xludf.dummyfunction("if($T214&lt;&gt;"""",VALUE(REGEXEXTRACT($T214, G$1&amp;""[\w &amp;]*, (\d+\.\d+)"")),"""")
"),"")</f>
        <v/>
      </c>
      <c r="H214" s="3" t="str">
        <f aca="false">IFERROR(__xludf.dummyfunction("if($T214&lt;&gt;"""",VALUE(REGEXEXTRACT($T214, H$1&amp;""[\w &amp;]*, (\d+\.\d+)"")),"""")
"),"")</f>
        <v/>
      </c>
      <c r="I214" s="3" t="str">
        <f aca="false">IFERROR(__xludf.dummyfunction("if($T214&lt;&gt;"""",VALUE(REGEXEXTRACT(SUBSTITUTE ($T214,I$1&amp;"" CE"",""""), I$1&amp;""[\w &amp;]*, (\d+\.\d+)"")),"""")
"),"")</f>
        <v/>
      </c>
      <c r="J214" s="3" t="str">
        <f aca="false">IFERROR(__xludf.dummyfunction("if($T214&lt;&gt;"""",VALUE(REGEXEXTRACT($T214, J$1&amp;""[\w &amp;]*, (\d+\.\d+)"")),"""")
"),"")</f>
        <v/>
      </c>
      <c r="K214" s="3" t="str">
        <f aca="false">IFERROR(__xludf.dummyfunction("if($T214&lt;&gt;"""",VALUE(REGEXEXTRACT($T214, K$1&amp;""[\w &amp;]*, (\d+\.\d+)"")),"""")
"),"")</f>
        <v/>
      </c>
      <c r="L214" s="3" t="str">
        <f aca="false">IFERROR(__xludf.dummyfunction("if($T214&lt;&gt;"""",VALUE(REGEXEXTRACT(SUBSTITUTE ($T214,L$1&amp;"" CE"",""""), L$1&amp;""[\w &amp;]*, (\d+\.\d+)"")),"""")
"),"")</f>
        <v/>
      </c>
      <c r="M214" s="3" t="str">
        <f aca="false">IFERROR(__xludf.dummyfunction("if($T214&lt;&gt;"""",VALUE(REGEXEXTRACT($T214, M$1&amp;""[\w &amp;]*, (\d+\.\d+)"")),"""")
"),"")</f>
        <v/>
      </c>
      <c r="N214" s="3" t="str">
        <f aca="false">IFERROR(__xludf.dummyfunction("if($T214&lt;&gt;"""",VALUE(REGEXEXTRACT(SUBSTITUTE ($T214,N$1&amp;"" CE"",""""), N$1&amp;""[\w &amp;]*, (\d+\.\d+)"")),"""")
"),"")</f>
        <v/>
      </c>
      <c r="O214" s="3" t="str">
        <f aca="false">IFERROR(__xludf.dummyfunction("if($T214&lt;&gt;"""",VALUE(REGEXEXTRACT($T214, O$1&amp;""[\w &amp;]*, (\d+\.\d+)"")),"""")
"),"")</f>
        <v/>
      </c>
      <c r="P214" s="2" t="str">
        <f aca="false">IFERROR(__xludf.dummyfunction("if($T214&lt;&gt;"""",VALUE(REGEXEXTRACT($T214, P$1&amp;""[\w &amp;]*, (\d+\.\d+)"")),"""")
"),"")</f>
        <v/>
      </c>
      <c r="Q214" s="2" t="str">
        <f aca="false">IFERROR(__xludf.dummyfunction("if($T214&lt;&gt;"""",VALUE(REGEXEXTRACT($T214, Q$1&amp;""[\w &amp;]*, (\d+\.\d+)"")),"""")
"),"")</f>
        <v/>
      </c>
      <c r="R214" s="2" t="str">
        <f aca="false">IFERROR(__xludf.dummyfunction("if($T214&lt;&gt;"""",VALUE(REGEXEXTRACT($T214, SUBSTITUTE(R$1, ""+"", ""\+"")&amp;""[\w &amp;]*, (\d+\.\d+)"")),"""")"),"")</f>
        <v/>
      </c>
      <c r="S214" s="2" t="str">
        <f aca="false">IFERROR(__xludf.dummyfunction("if($T214&lt;&gt;"""",VALUE(REGEXEXTRACT($T214, SUBSTITUTE(S$1, ""+"", ""\+"")&amp;""[\w &amp;]*, (\d+\.\d+)"")),"""")"),"")</f>
        <v/>
      </c>
      <c r="T214" s="5"/>
    </row>
    <row r="215" customFormat="false" ht="15.75" hidden="false" customHeight="false" outlineLevel="0" collapsed="false">
      <c r="A215" s="4"/>
      <c r="B215" s="2"/>
      <c r="C215" s="2"/>
      <c r="D215" s="2"/>
      <c r="E215" s="2"/>
      <c r="F215" s="3" t="str">
        <f aca="false">IFERROR(__xludf.dummyfunction("if($T215&lt;&gt;"""",VALUE(REGEXEXTRACT(SUBSTITUTE ($T215,F$1&amp;"" CE"",""""), F$1&amp;""[\w &amp;]*, (\d+\.\d+)"")),"""")
"),"")</f>
        <v/>
      </c>
      <c r="G215" s="3" t="str">
        <f aca="false">IFERROR(__xludf.dummyfunction("if($T215&lt;&gt;"""",VALUE(REGEXEXTRACT($T215, G$1&amp;""[\w &amp;]*, (\d+\.\d+)"")),"""")
"),"")</f>
        <v/>
      </c>
      <c r="H215" s="3" t="str">
        <f aca="false">IFERROR(__xludf.dummyfunction("if($T215&lt;&gt;"""",VALUE(REGEXEXTRACT($T215, H$1&amp;""[\w &amp;]*, (\d+\.\d+)"")),"""")
"),"")</f>
        <v/>
      </c>
      <c r="I215" s="3" t="str">
        <f aca="false">IFERROR(__xludf.dummyfunction("if($T215&lt;&gt;"""",VALUE(REGEXEXTRACT(SUBSTITUTE ($T215,I$1&amp;"" CE"",""""), I$1&amp;""[\w &amp;]*, (\d+\.\d+)"")),"""")
"),"")</f>
        <v/>
      </c>
      <c r="J215" s="3" t="str">
        <f aca="false">IFERROR(__xludf.dummyfunction("if($T215&lt;&gt;"""",VALUE(REGEXEXTRACT($T215, J$1&amp;""[\w &amp;]*, (\d+\.\d+)"")),"""")
"),"")</f>
        <v/>
      </c>
      <c r="K215" s="3" t="str">
        <f aca="false">IFERROR(__xludf.dummyfunction("if($T215&lt;&gt;"""",VALUE(REGEXEXTRACT($T215, K$1&amp;""[\w &amp;]*, (\d+\.\d+)"")),"""")
"),"")</f>
        <v/>
      </c>
      <c r="L215" s="3" t="str">
        <f aca="false">IFERROR(__xludf.dummyfunction("if($T215&lt;&gt;"""",VALUE(REGEXEXTRACT(SUBSTITUTE ($T215,L$1&amp;"" CE"",""""), L$1&amp;""[\w &amp;]*, (\d+\.\d+)"")),"""")
"),"")</f>
        <v/>
      </c>
      <c r="M215" s="3" t="str">
        <f aca="false">IFERROR(__xludf.dummyfunction("if($T215&lt;&gt;"""",VALUE(REGEXEXTRACT($T215, M$1&amp;""[\w &amp;]*, (\d+\.\d+)"")),"""")
"),"")</f>
        <v/>
      </c>
      <c r="N215" s="3" t="str">
        <f aca="false">IFERROR(__xludf.dummyfunction("if($T215&lt;&gt;"""",VALUE(REGEXEXTRACT(SUBSTITUTE ($T215,N$1&amp;"" CE"",""""), N$1&amp;""[\w &amp;]*, (\d+\.\d+)"")),"""")
"),"")</f>
        <v/>
      </c>
      <c r="O215" s="3" t="str">
        <f aca="false">IFERROR(__xludf.dummyfunction("if($T215&lt;&gt;"""",VALUE(REGEXEXTRACT($T215, O$1&amp;""[\w &amp;]*, (\d+\.\d+)"")),"""")
"),"")</f>
        <v/>
      </c>
      <c r="P215" s="2" t="str">
        <f aca="false">IFERROR(__xludf.dummyfunction("if($T215&lt;&gt;"""",VALUE(REGEXEXTRACT($T215, P$1&amp;""[\w &amp;]*, (\d+\.\d+)"")),"""")
"),"")</f>
        <v/>
      </c>
      <c r="Q215" s="2" t="str">
        <f aca="false">IFERROR(__xludf.dummyfunction("if($T215&lt;&gt;"""",VALUE(REGEXEXTRACT($T215, Q$1&amp;""[\w &amp;]*, (\d+\.\d+)"")),"""")
"),"")</f>
        <v/>
      </c>
      <c r="R215" s="2" t="str">
        <f aca="false">IFERROR(__xludf.dummyfunction("if($T215&lt;&gt;"""",VALUE(REGEXEXTRACT($T215, SUBSTITUTE(R$1, ""+"", ""\+"")&amp;""[\w &amp;]*, (\d+\.\d+)"")),"""")"),"")</f>
        <v/>
      </c>
      <c r="S215" s="2" t="str">
        <f aca="false">IFERROR(__xludf.dummyfunction("if($T215&lt;&gt;"""",VALUE(REGEXEXTRACT($T215, SUBSTITUTE(S$1, ""+"", ""\+"")&amp;""[\w &amp;]*, (\d+\.\d+)"")),"""")"),"")</f>
        <v/>
      </c>
      <c r="T215" s="5"/>
    </row>
    <row r="216" customFormat="false" ht="15.75" hidden="false" customHeight="false" outlineLevel="0" collapsed="false">
      <c r="A216" s="4"/>
      <c r="B216" s="2"/>
      <c r="C216" s="2"/>
      <c r="D216" s="2"/>
      <c r="E216" s="2"/>
      <c r="F216" s="3" t="str">
        <f aca="false">IFERROR(__xludf.dummyfunction("if($T216&lt;&gt;"""",VALUE(REGEXEXTRACT(SUBSTITUTE ($T216,F$1&amp;"" CE"",""""), F$1&amp;""[\w &amp;]*, (\d+\.\d+)"")),"""")
"),"")</f>
        <v/>
      </c>
      <c r="G216" s="3" t="str">
        <f aca="false">IFERROR(__xludf.dummyfunction("if($T216&lt;&gt;"""",VALUE(REGEXEXTRACT($T216, G$1&amp;""[\w &amp;]*, (\d+\.\d+)"")),"""")
"),"")</f>
        <v/>
      </c>
      <c r="H216" s="3" t="str">
        <f aca="false">IFERROR(__xludf.dummyfunction("if($T216&lt;&gt;"""",VALUE(REGEXEXTRACT($T216, H$1&amp;""[\w &amp;]*, (\d+\.\d+)"")),"""")
"),"")</f>
        <v/>
      </c>
      <c r="I216" s="3" t="str">
        <f aca="false">IFERROR(__xludf.dummyfunction("if($T216&lt;&gt;"""",VALUE(REGEXEXTRACT(SUBSTITUTE ($T216,I$1&amp;"" CE"",""""), I$1&amp;""[\w &amp;]*, (\d+\.\d+)"")),"""")
"),"")</f>
        <v/>
      </c>
      <c r="J216" s="3" t="str">
        <f aca="false">IFERROR(__xludf.dummyfunction("if($T216&lt;&gt;"""",VALUE(REGEXEXTRACT($T216, J$1&amp;""[\w &amp;]*, (\d+\.\d+)"")),"""")
"),"")</f>
        <v/>
      </c>
      <c r="K216" s="3" t="str">
        <f aca="false">IFERROR(__xludf.dummyfunction("if($T216&lt;&gt;"""",VALUE(REGEXEXTRACT($T216, K$1&amp;""[\w &amp;]*, (\d+\.\d+)"")),"""")
"),"")</f>
        <v/>
      </c>
      <c r="L216" s="3" t="str">
        <f aca="false">IFERROR(__xludf.dummyfunction("if($T216&lt;&gt;"""",VALUE(REGEXEXTRACT(SUBSTITUTE ($T216,L$1&amp;"" CE"",""""), L$1&amp;""[\w &amp;]*, (\d+\.\d+)"")),"""")
"),"")</f>
        <v/>
      </c>
      <c r="M216" s="3" t="str">
        <f aca="false">IFERROR(__xludf.dummyfunction("if($T216&lt;&gt;"""",VALUE(REGEXEXTRACT($T216, M$1&amp;""[\w &amp;]*, (\d+\.\d+)"")),"""")
"),"")</f>
        <v/>
      </c>
      <c r="N216" s="3" t="str">
        <f aca="false">IFERROR(__xludf.dummyfunction("if($T216&lt;&gt;"""",VALUE(REGEXEXTRACT(SUBSTITUTE ($T216,N$1&amp;"" CE"",""""), N$1&amp;""[\w &amp;]*, (\d+\.\d+)"")),"""")
"),"")</f>
        <v/>
      </c>
      <c r="O216" s="3" t="str">
        <f aca="false">IFERROR(__xludf.dummyfunction("if($T216&lt;&gt;"""",VALUE(REGEXEXTRACT($T216, O$1&amp;""[\w &amp;]*, (\d+\.\d+)"")),"""")
"),"")</f>
        <v/>
      </c>
      <c r="P216" s="2" t="str">
        <f aca="false">IFERROR(__xludf.dummyfunction("if($T216&lt;&gt;"""",VALUE(REGEXEXTRACT($T216, P$1&amp;""[\w &amp;]*, (\d+\.\d+)"")),"""")
"),"")</f>
        <v/>
      </c>
      <c r="Q216" s="2" t="str">
        <f aca="false">IFERROR(__xludf.dummyfunction("if($T216&lt;&gt;"""",VALUE(REGEXEXTRACT($T216, Q$1&amp;""[\w &amp;]*, (\d+\.\d+)"")),"""")
"),"")</f>
        <v/>
      </c>
      <c r="R216" s="2" t="str">
        <f aca="false">IFERROR(__xludf.dummyfunction("if($T216&lt;&gt;"""",VALUE(REGEXEXTRACT($T216, SUBSTITUTE(R$1, ""+"", ""\+"")&amp;""[\w &amp;]*, (\d+\.\d+)"")),"""")"),"")</f>
        <v/>
      </c>
      <c r="S216" s="2" t="str">
        <f aca="false">IFERROR(__xludf.dummyfunction("if($T216&lt;&gt;"""",VALUE(REGEXEXTRACT($T216, SUBSTITUTE(S$1, ""+"", ""\+"")&amp;""[\w &amp;]*, (\d+\.\d+)"")),"""")"),"")</f>
        <v/>
      </c>
      <c r="T216" s="5"/>
    </row>
    <row r="217" customFormat="false" ht="15.75" hidden="false" customHeight="false" outlineLevel="0" collapsed="false">
      <c r="A217" s="4"/>
      <c r="B217" s="2"/>
      <c r="C217" s="2"/>
      <c r="D217" s="2"/>
      <c r="E217" s="2"/>
      <c r="F217" s="3" t="str">
        <f aca="false">IFERROR(__xludf.dummyfunction("if($T217&lt;&gt;"""",VALUE(REGEXEXTRACT(SUBSTITUTE ($T217,F$1&amp;"" CE"",""""), F$1&amp;""[\w &amp;]*, (\d+\.\d+)"")),"""")
"),"")</f>
        <v/>
      </c>
      <c r="G217" s="3" t="str">
        <f aca="false">IFERROR(__xludf.dummyfunction("if($T217&lt;&gt;"""",VALUE(REGEXEXTRACT($T217, G$1&amp;""[\w &amp;]*, (\d+\.\d+)"")),"""")
"),"")</f>
        <v/>
      </c>
      <c r="H217" s="3" t="str">
        <f aca="false">IFERROR(__xludf.dummyfunction("if($T217&lt;&gt;"""",VALUE(REGEXEXTRACT($T217, H$1&amp;""[\w &amp;]*, (\d+\.\d+)"")),"""")
"),"")</f>
        <v/>
      </c>
      <c r="I217" s="3" t="str">
        <f aca="false">IFERROR(__xludf.dummyfunction("if($T217&lt;&gt;"""",VALUE(REGEXEXTRACT(SUBSTITUTE ($T217,I$1&amp;"" CE"",""""), I$1&amp;""[\w &amp;]*, (\d+\.\d+)"")),"""")
"),"")</f>
        <v/>
      </c>
      <c r="J217" s="3" t="str">
        <f aca="false">IFERROR(__xludf.dummyfunction("if($T217&lt;&gt;"""",VALUE(REGEXEXTRACT($T217, J$1&amp;""[\w &amp;]*, (\d+\.\d+)"")),"""")
"),"")</f>
        <v/>
      </c>
      <c r="K217" s="3" t="str">
        <f aca="false">IFERROR(__xludf.dummyfunction("if($T217&lt;&gt;"""",VALUE(REGEXEXTRACT($T217, K$1&amp;""[\w &amp;]*, (\d+\.\d+)"")),"""")
"),"")</f>
        <v/>
      </c>
      <c r="L217" s="3" t="str">
        <f aca="false">IFERROR(__xludf.dummyfunction("if($T217&lt;&gt;"""",VALUE(REGEXEXTRACT(SUBSTITUTE ($T217,L$1&amp;"" CE"",""""), L$1&amp;""[\w &amp;]*, (\d+\.\d+)"")),"""")
"),"")</f>
        <v/>
      </c>
      <c r="M217" s="3" t="str">
        <f aca="false">IFERROR(__xludf.dummyfunction("if($T217&lt;&gt;"""",VALUE(REGEXEXTRACT($T217, M$1&amp;""[\w &amp;]*, (\d+\.\d+)"")),"""")
"),"")</f>
        <v/>
      </c>
      <c r="N217" s="3" t="str">
        <f aca="false">IFERROR(__xludf.dummyfunction("if($T217&lt;&gt;"""",VALUE(REGEXEXTRACT(SUBSTITUTE ($T217,N$1&amp;"" CE"",""""), N$1&amp;""[\w &amp;]*, (\d+\.\d+)"")),"""")
"),"")</f>
        <v/>
      </c>
      <c r="O217" s="3" t="str">
        <f aca="false">IFERROR(__xludf.dummyfunction("if($T217&lt;&gt;"""",VALUE(REGEXEXTRACT($T217, O$1&amp;""[\w &amp;]*, (\d+\.\d+)"")),"""")
"),"")</f>
        <v/>
      </c>
      <c r="P217" s="2" t="str">
        <f aca="false">IFERROR(__xludf.dummyfunction("if($T217&lt;&gt;"""",VALUE(REGEXEXTRACT($T217, P$1&amp;""[\w &amp;]*, (\d+\.\d+)"")),"""")
"),"")</f>
        <v/>
      </c>
      <c r="Q217" s="2" t="str">
        <f aca="false">IFERROR(__xludf.dummyfunction("if($T217&lt;&gt;"""",VALUE(REGEXEXTRACT($T217, Q$1&amp;""[\w &amp;]*, (\d+\.\d+)"")),"""")
"),"")</f>
        <v/>
      </c>
      <c r="R217" s="2" t="str">
        <f aca="false">IFERROR(__xludf.dummyfunction("if($T217&lt;&gt;"""",VALUE(REGEXEXTRACT($T217, SUBSTITUTE(R$1, ""+"", ""\+"")&amp;""[\w &amp;]*, (\d+\.\d+)"")),"""")"),"")</f>
        <v/>
      </c>
      <c r="S217" s="2" t="str">
        <f aca="false">IFERROR(__xludf.dummyfunction("if($T217&lt;&gt;"""",VALUE(REGEXEXTRACT($T217, SUBSTITUTE(S$1, ""+"", ""\+"")&amp;""[\w &amp;]*, (\d+\.\d+)"")),"""")"),"")</f>
        <v/>
      </c>
      <c r="T217" s="5"/>
    </row>
    <row r="218" customFormat="false" ht="15.75" hidden="false" customHeight="false" outlineLevel="0" collapsed="false">
      <c r="A218" s="4"/>
      <c r="B218" s="2"/>
      <c r="C218" s="2"/>
      <c r="D218" s="2"/>
      <c r="E218" s="2"/>
      <c r="F218" s="3" t="str">
        <f aca="false">IFERROR(__xludf.dummyfunction("if($T218&lt;&gt;"""",VALUE(REGEXEXTRACT(SUBSTITUTE ($T218,F$1&amp;"" CE"",""""), F$1&amp;""[\w &amp;]*, (\d+\.\d+)"")),"""")
"),"")</f>
        <v/>
      </c>
      <c r="G218" s="3" t="str">
        <f aca="false">IFERROR(__xludf.dummyfunction("if($T218&lt;&gt;"""",VALUE(REGEXEXTRACT($T218, G$1&amp;""[\w &amp;]*, (\d+\.\d+)"")),"""")
"),"")</f>
        <v/>
      </c>
      <c r="H218" s="3" t="str">
        <f aca="false">IFERROR(__xludf.dummyfunction("if($T218&lt;&gt;"""",VALUE(REGEXEXTRACT($T218, H$1&amp;""[\w &amp;]*, (\d+\.\d+)"")),"""")
"),"")</f>
        <v/>
      </c>
      <c r="I218" s="3" t="str">
        <f aca="false">IFERROR(__xludf.dummyfunction("if($T218&lt;&gt;"""",VALUE(REGEXEXTRACT(SUBSTITUTE ($T218,I$1&amp;"" CE"",""""), I$1&amp;""[\w &amp;]*, (\d+\.\d+)"")),"""")
"),"")</f>
        <v/>
      </c>
      <c r="J218" s="3" t="str">
        <f aca="false">IFERROR(__xludf.dummyfunction("if($T218&lt;&gt;"""",VALUE(REGEXEXTRACT($T218, J$1&amp;""[\w &amp;]*, (\d+\.\d+)"")),"""")
"),"")</f>
        <v/>
      </c>
      <c r="K218" s="3" t="str">
        <f aca="false">IFERROR(__xludf.dummyfunction("if($T218&lt;&gt;"""",VALUE(REGEXEXTRACT($T218, K$1&amp;""[\w &amp;]*, (\d+\.\d+)"")),"""")
"),"")</f>
        <v/>
      </c>
      <c r="L218" s="3" t="str">
        <f aca="false">IFERROR(__xludf.dummyfunction("if($T218&lt;&gt;"""",VALUE(REGEXEXTRACT(SUBSTITUTE ($T218,L$1&amp;"" CE"",""""), L$1&amp;""[\w &amp;]*, (\d+\.\d+)"")),"""")
"),"")</f>
        <v/>
      </c>
      <c r="M218" s="3" t="str">
        <f aca="false">IFERROR(__xludf.dummyfunction("if($T218&lt;&gt;"""",VALUE(REGEXEXTRACT($T218, M$1&amp;""[\w &amp;]*, (\d+\.\d+)"")),"""")
"),"")</f>
        <v/>
      </c>
      <c r="N218" s="3" t="str">
        <f aca="false">IFERROR(__xludf.dummyfunction("if($T218&lt;&gt;"""",VALUE(REGEXEXTRACT(SUBSTITUTE ($T218,N$1&amp;"" CE"",""""), N$1&amp;""[\w &amp;]*, (\d+\.\d+)"")),"""")
"),"")</f>
        <v/>
      </c>
      <c r="O218" s="3" t="str">
        <f aca="false">IFERROR(__xludf.dummyfunction("if($T218&lt;&gt;"""",VALUE(REGEXEXTRACT($T218, O$1&amp;""[\w &amp;]*, (\d+\.\d+)"")),"""")
"),"")</f>
        <v/>
      </c>
      <c r="P218" s="2" t="str">
        <f aca="false">IFERROR(__xludf.dummyfunction("if($T218&lt;&gt;"""",VALUE(REGEXEXTRACT($T218, P$1&amp;""[\w &amp;]*, (\d+\.\d+)"")),"""")
"),"")</f>
        <v/>
      </c>
      <c r="Q218" s="2" t="str">
        <f aca="false">IFERROR(__xludf.dummyfunction("if($T218&lt;&gt;"""",VALUE(REGEXEXTRACT($T218, Q$1&amp;""[\w &amp;]*, (\d+\.\d+)"")),"""")
"),"")</f>
        <v/>
      </c>
      <c r="R218" s="2" t="str">
        <f aca="false">IFERROR(__xludf.dummyfunction("if($T218&lt;&gt;"""",VALUE(REGEXEXTRACT($T218, SUBSTITUTE(R$1, ""+"", ""\+"")&amp;""[\w &amp;]*, (\d+\.\d+)"")),"""")"),"")</f>
        <v/>
      </c>
      <c r="S218" s="2" t="str">
        <f aca="false">IFERROR(__xludf.dummyfunction("if($T218&lt;&gt;"""",VALUE(REGEXEXTRACT($T218, SUBSTITUTE(S$1, ""+"", ""\+"")&amp;""[\w &amp;]*, (\d+\.\d+)"")),"""")"),"")</f>
        <v/>
      </c>
      <c r="T218" s="5"/>
    </row>
    <row r="219" customFormat="false" ht="15.75" hidden="false" customHeight="false" outlineLevel="0" collapsed="false">
      <c r="A219" s="4"/>
      <c r="B219" s="2"/>
      <c r="C219" s="2"/>
      <c r="D219" s="2"/>
      <c r="E219" s="2"/>
      <c r="F219" s="3" t="str">
        <f aca="false">IFERROR(__xludf.dummyfunction("if($T219&lt;&gt;"""",VALUE(REGEXEXTRACT(SUBSTITUTE ($T219,F$1&amp;"" CE"",""""), F$1&amp;""[\w &amp;]*, (\d+\.\d+)"")),"""")
"),"")</f>
        <v/>
      </c>
      <c r="G219" s="3" t="str">
        <f aca="false">IFERROR(__xludf.dummyfunction("if($T219&lt;&gt;"""",VALUE(REGEXEXTRACT($T219, G$1&amp;""[\w &amp;]*, (\d+\.\d+)"")),"""")
"),"")</f>
        <v/>
      </c>
      <c r="H219" s="3"/>
      <c r="I219" s="3" t="str">
        <f aca="false">IFERROR(__xludf.dummyfunction("if($T219&lt;&gt;"""",VALUE(REGEXEXTRACT(SUBSTITUTE ($T219,I$1&amp;"" CE"",""""), I$1&amp;""[\w &amp;]*, (\d+\.\d+)"")),"""")
"),"")</f>
        <v/>
      </c>
      <c r="J219" s="3" t="str">
        <f aca="false">IFERROR(__xludf.dummyfunction("if($T219&lt;&gt;"""",VALUE(REGEXEXTRACT($T219, J$1&amp;""[\w &amp;]*, (\d+\.\d+)"")),"""")
"),"")</f>
        <v/>
      </c>
      <c r="K219" s="3"/>
      <c r="L219" s="3" t="str">
        <f aca="false">IFERROR(__xludf.dummyfunction("if($T219&lt;&gt;"""",VALUE(REGEXEXTRACT(SUBSTITUTE ($T219,L$1&amp;"" CE"",""""), L$1&amp;""[\w &amp;]*, (\d+\.\d+)"")),"""")
"),"")</f>
        <v/>
      </c>
      <c r="M219" s="3" t="str">
        <f aca="false">IFERROR(__xludf.dummyfunction("if($T219&lt;&gt;"""",VALUE(REGEXEXTRACT($T219, M$1&amp;""[\w &amp;]*, (\d+\.\d+)"")),"""")
"),"")</f>
        <v/>
      </c>
      <c r="N219" s="3" t="str">
        <f aca="false">IFERROR(__xludf.dummyfunction("if($T219&lt;&gt;"""",VALUE(REGEXEXTRACT(SUBSTITUTE ($T219,N$1&amp;"" CE"",""""), N$1&amp;""[\w &amp;]*, (\d+\.\d+)"")),"""")
"),"")</f>
        <v/>
      </c>
      <c r="O219" s="3" t="str">
        <f aca="false">IFERROR(__xludf.dummyfunction("if($T219&lt;&gt;"""",VALUE(REGEXEXTRACT($T219, O$1&amp;""[\w &amp;]*, (\d+\.\d+)"")),"""")
"),"")</f>
        <v/>
      </c>
      <c r="P219" s="2"/>
      <c r="Q219" s="2"/>
      <c r="R219" s="2"/>
      <c r="S219" s="2"/>
      <c r="T219" s="5"/>
    </row>
    <row r="220" customFormat="false" ht="15.75" hidden="false" customHeight="false" outlineLevel="0" collapsed="false">
      <c r="A220" s="4"/>
      <c r="B220" s="2"/>
      <c r="C220" s="2"/>
      <c r="D220" s="2"/>
      <c r="E220" s="2"/>
      <c r="F220" s="3" t="str">
        <f aca="false">IFERROR(__xludf.dummyfunction("if($T220&lt;&gt;"""",VALUE(REGEXEXTRACT(SUBSTITUTE ($T220,F$1&amp;"" CE"",""""), F$1&amp;""[\w &amp;]*, (\d+\.\d+)"")),"""")
"),"")</f>
        <v/>
      </c>
      <c r="G220" s="3" t="str">
        <f aca="false">IFERROR(__xludf.dummyfunction("if($T220&lt;&gt;"""",VALUE(REGEXEXTRACT($T220, G$1&amp;""[\w &amp;]*, (\d+\.\d+)"")),"""")
"),"")</f>
        <v/>
      </c>
      <c r="H220" s="3"/>
      <c r="I220" s="3" t="str">
        <f aca="false">IFERROR(__xludf.dummyfunction("if($T220&lt;&gt;"""",VALUE(REGEXEXTRACT(SUBSTITUTE ($T220,I$1&amp;"" CE"",""""), I$1&amp;""[\w &amp;]*, (\d+\.\d+)"")),"""")
"),"")</f>
        <v/>
      </c>
      <c r="J220" s="3" t="str">
        <f aca="false">IFERROR(__xludf.dummyfunction("if($T220&lt;&gt;"""",VALUE(REGEXEXTRACT($T220, J$1&amp;""[\w &amp;]*, (\d+\.\d+)"")),"""")
"),"")</f>
        <v/>
      </c>
      <c r="K220" s="3"/>
      <c r="L220" s="3" t="str">
        <f aca="false">IFERROR(__xludf.dummyfunction("if($T220&lt;&gt;"""",VALUE(REGEXEXTRACT(SUBSTITUTE ($T220,L$1&amp;"" CE"",""""), L$1&amp;""[\w &amp;]*, (\d+\.\d+)"")),"""")
"),"")</f>
        <v/>
      </c>
      <c r="M220" s="3" t="str">
        <f aca="false">IFERROR(__xludf.dummyfunction("if($T220&lt;&gt;"""",VALUE(REGEXEXTRACT($T220, M$1&amp;""[\w &amp;]*, (\d+\.\d+)"")),"""")
"),"")</f>
        <v/>
      </c>
      <c r="N220" s="3" t="str">
        <f aca="false">IFERROR(__xludf.dummyfunction("if($T220&lt;&gt;"""",VALUE(REGEXEXTRACT(SUBSTITUTE ($T220,N$1&amp;"" CE"",""""), N$1&amp;""[\w &amp;]*, (\d+\.\d+)"")),"""")
"),"")</f>
        <v/>
      </c>
      <c r="O220" s="3" t="str">
        <f aca="false">IFERROR(__xludf.dummyfunction("if($T220&lt;&gt;"""",VALUE(REGEXEXTRACT($T220, O$1&amp;""[\w &amp;]*, (\d+\.\d+)"")),"""")
"),"")</f>
        <v/>
      </c>
      <c r="P220" s="2"/>
      <c r="Q220" s="2"/>
      <c r="R220" s="2"/>
      <c r="S220" s="2"/>
      <c r="T220" s="5"/>
    </row>
    <row r="221" customFormat="false" ht="15.75" hidden="false" customHeight="false" outlineLevel="0" collapsed="false">
      <c r="A221" s="4"/>
      <c r="B221" s="2"/>
      <c r="C221" s="2"/>
      <c r="D221" s="2"/>
      <c r="E221" s="2"/>
      <c r="F221" s="3" t="str">
        <f aca="false">IFERROR(__xludf.dummyfunction("if($T221&lt;&gt;"""",VALUE(REGEXEXTRACT(SUBSTITUTE ($T221,F$1&amp;"" CE"",""""), F$1&amp;""[\w &amp;]*, (\d+\.\d+)"")),"""")
"),"")</f>
        <v/>
      </c>
      <c r="G221" s="3" t="str">
        <f aca="false">IFERROR(__xludf.dummyfunction("if($T221&lt;&gt;"""",VALUE(REGEXEXTRACT($T221, G$1&amp;""[\w &amp;]*, (\d+\.\d+)"")),"""")
"),"")</f>
        <v/>
      </c>
      <c r="H221" s="3"/>
      <c r="I221" s="3" t="str">
        <f aca="false">IFERROR(__xludf.dummyfunction("if($T221&lt;&gt;"""",VALUE(REGEXEXTRACT(SUBSTITUTE ($T221,I$1&amp;"" CE"",""""), I$1&amp;""[\w &amp;]*, (\d+\.\d+)"")),"""")
"),"")</f>
        <v/>
      </c>
      <c r="J221" s="3" t="str">
        <f aca="false">IFERROR(__xludf.dummyfunction("if($T221&lt;&gt;"""",VALUE(REGEXEXTRACT($T221, J$1&amp;""[\w &amp;]*, (\d+\.\d+)"")),"""")
"),"")</f>
        <v/>
      </c>
      <c r="K221" s="3"/>
      <c r="L221" s="3" t="str">
        <f aca="false">IFERROR(__xludf.dummyfunction("if($T221&lt;&gt;"""",VALUE(REGEXEXTRACT(SUBSTITUTE ($T221,L$1&amp;"" CE"",""""), L$1&amp;""[\w &amp;]*, (\d+\.\d+)"")),"""")
"),"")</f>
        <v/>
      </c>
      <c r="M221" s="3" t="str">
        <f aca="false">IFERROR(__xludf.dummyfunction("if($T221&lt;&gt;"""",VALUE(REGEXEXTRACT($T221, M$1&amp;""[\w &amp;]*, (\d+\.\d+)"")),"""")
"),"")</f>
        <v/>
      </c>
      <c r="N221" s="3" t="str">
        <f aca="false">IFERROR(__xludf.dummyfunction("if($T221&lt;&gt;"""",VALUE(REGEXEXTRACT(SUBSTITUTE ($T221,N$1&amp;"" CE"",""""), N$1&amp;""[\w &amp;]*, (\d+\.\d+)"")),"""")
"),"")</f>
        <v/>
      </c>
      <c r="O221" s="3" t="str">
        <f aca="false">IFERROR(__xludf.dummyfunction("if($T221&lt;&gt;"""",VALUE(REGEXEXTRACT($T221, O$1&amp;""[\w &amp;]*, (\d+\.\d+)"")),"""")
"),"")</f>
        <v/>
      </c>
      <c r="P221" s="2"/>
      <c r="Q221" s="2"/>
      <c r="R221" s="2"/>
      <c r="S221" s="2"/>
      <c r="T221" s="5"/>
    </row>
    <row r="222" customFormat="false" ht="15.75" hidden="false" customHeight="false" outlineLevel="0" collapsed="false">
      <c r="A222" s="4"/>
      <c r="B222" s="2"/>
      <c r="C222" s="2"/>
      <c r="D222" s="2"/>
      <c r="E222" s="2"/>
      <c r="F222" s="3" t="str">
        <f aca="false">IFERROR(__xludf.dummyfunction("if($T222&lt;&gt;"""",VALUE(REGEXEXTRACT(SUBSTITUTE ($T222,F$1&amp;"" CE"",""""), F$1&amp;""[\w &amp;]*, (\d+\.\d+)"")),"""")
"),"")</f>
        <v/>
      </c>
      <c r="G222" s="3" t="str">
        <f aca="false">IFERROR(__xludf.dummyfunction("if($T222&lt;&gt;"""",VALUE(REGEXEXTRACT($T222, G$1&amp;""[\w &amp;]*, (\d+\.\d+)"")),"""")
"),"")</f>
        <v/>
      </c>
      <c r="H222" s="3"/>
      <c r="I222" s="3" t="str">
        <f aca="false">IFERROR(__xludf.dummyfunction("if($T222&lt;&gt;"""",VALUE(REGEXEXTRACT(SUBSTITUTE ($T222,I$1&amp;"" CE"",""""), I$1&amp;""[\w &amp;]*, (\d+\.\d+)"")),"""")
"),"")</f>
        <v/>
      </c>
      <c r="J222" s="3" t="str">
        <f aca="false">IFERROR(__xludf.dummyfunction("if($T222&lt;&gt;"""",VALUE(REGEXEXTRACT($T222, J$1&amp;""[\w &amp;]*, (\d+\.\d+)"")),"""")
"),"")</f>
        <v/>
      </c>
      <c r="K222" s="3"/>
      <c r="L222" s="3" t="str">
        <f aca="false">IFERROR(__xludf.dummyfunction("if($T222&lt;&gt;"""",VALUE(REGEXEXTRACT(SUBSTITUTE ($T222,L$1&amp;"" CE"",""""), L$1&amp;""[\w &amp;]*, (\d+\.\d+)"")),"""")
"),"")</f>
        <v/>
      </c>
      <c r="M222" s="3" t="str">
        <f aca="false">IFERROR(__xludf.dummyfunction("if($T222&lt;&gt;"""",VALUE(REGEXEXTRACT($T222, M$1&amp;""[\w &amp;]*, (\d+\.\d+)"")),"""")
"),"")</f>
        <v/>
      </c>
      <c r="N222" s="3" t="str">
        <f aca="false">IFERROR(__xludf.dummyfunction("if($T222&lt;&gt;"""",VALUE(REGEXEXTRACT(SUBSTITUTE ($T222,N$1&amp;"" CE"",""""), N$1&amp;""[\w &amp;]*, (\d+\.\d+)"")),"""")
"),"")</f>
        <v/>
      </c>
      <c r="O222" s="3" t="str">
        <f aca="false">IFERROR(__xludf.dummyfunction("if($T222&lt;&gt;"""",VALUE(REGEXEXTRACT($T222, O$1&amp;""[\w &amp;]*, (\d+\.\d+)"")),"""")
"),"")</f>
        <v/>
      </c>
      <c r="P222" s="2"/>
      <c r="Q222" s="2"/>
      <c r="R222" s="2"/>
      <c r="S222" s="2"/>
      <c r="T222" s="5"/>
    </row>
    <row r="223" customFormat="false" ht="15.75" hidden="false" customHeight="false" outlineLevel="0" collapsed="false">
      <c r="A223" s="4"/>
      <c r="B223" s="2"/>
      <c r="C223" s="2"/>
      <c r="D223" s="2"/>
      <c r="E223" s="2"/>
      <c r="F223" s="3" t="str">
        <f aca="false">IFERROR(__xludf.dummyfunction("if($T223&lt;&gt;"""",VALUE(REGEXEXTRACT(SUBSTITUTE ($T223,F$1&amp;"" CE"",""""), F$1&amp;""[\w &amp;]*, (\d+\.\d+)"")),"""")
"),"")</f>
        <v/>
      </c>
      <c r="G223" s="3" t="str">
        <f aca="false">IFERROR(__xludf.dummyfunction("if($T223&lt;&gt;"""",VALUE(REGEXEXTRACT($T223, G$1&amp;""[\w &amp;]*, (\d+\.\d+)"")),"""")
"),"")</f>
        <v/>
      </c>
      <c r="H223" s="3"/>
      <c r="I223" s="3" t="str">
        <f aca="false">IFERROR(__xludf.dummyfunction("if($T223&lt;&gt;"""",VALUE(REGEXEXTRACT(SUBSTITUTE ($T223,I$1&amp;"" CE"",""""), I$1&amp;""[\w &amp;]*, (\d+\.\d+)"")),"""")
"),"")</f>
        <v/>
      </c>
      <c r="J223" s="3" t="str">
        <f aca="false">IFERROR(__xludf.dummyfunction("if($T223&lt;&gt;"""",VALUE(REGEXEXTRACT($T223, J$1&amp;""[\w &amp;]*, (\d+\.\d+)"")),"""")
"),"")</f>
        <v/>
      </c>
      <c r="K223" s="3"/>
      <c r="L223" s="3" t="str">
        <f aca="false">IFERROR(__xludf.dummyfunction("if($T223&lt;&gt;"""",VALUE(REGEXEXTRACT(SUBSTITUTE ($T223,L$1&amp;"" CE"",""""), L$1&amp;""[\w &amp;]*, (\d+\.\d+)"")),"""")
"),"")</f>
        <v/>
      </c>
      <c r="M223" s="3" t="str">
        <f aca="false">IFERROR(__xludf.dummyfunction("if($T223&lt;&gt;"""",VALUE(REGEXEXTRACT($T223, M$1&amp;""[\w &amp;]*, (\d+\.\d+)"")),"""")
"),"")</f>
        <v/>
      </c>
      <c r="N223" s="3" t="str">
        <f aca="false">IFERROR(__xludf.dummyfunction("if($T223&lt;&gt;"""",VALUE(REGEXEXTRACT(SUBSTITUTE ($T223,N$1&amp;"" CE"",""""), N$1&amp;""[\w &amp;]*, (\d+\.\d+)"")),"""")
"),"")</f>
        <v/>
      </c>
      <c r="O223" s="3" t="str">
        <f aca="false">IFERROR(__xludf.dummyfunction("if($T223&lt;&gt;"""",VALUE(REGEXEXTRACT($T223, O$1&amp;""[\w &amp;]*, (\d+\.\d+)"")),"""")
"),"")</f>
        <v/>
      </c>
      <c r="P223" s="2"/>
      <c r="Q223" s="2"/>
      <c r="R223" s="2"/>
      <c r="S223" s="2"/>
      <c r="T223" s="5"/>
    </row>
    <row r="224" customFormat="false" ht="15.75" hidden="false" customHeight="false" outlineLevel="0" collapsed="false">
      <c r="A224" s="4"/>
      <c r="B224" s="2"/>
      <c r="C224" s="2"/>
      <c r="D224" s="2"/>
      <c r="E224" s="2"/>
      <c r="F224" s="3" t="str">
        <f aca="false">IFERROR(__xludf.dummyfunction("if($T224&lt;&gt;"""",VALUE(REGEXEXTRACT(SUBSTITUTE ($T224,F$1&amp;"" CE"",""""), F$1&amp;""[\w &amp;]*, (\d+\.\d+)"")),"""")
"),"")</f>
        <v/>
      </c>
      <c r="G224" s="3" t="str">
        <f aca="false">IFERROR(__xludf.dummyfunction("if($T224&lt;&gt;"""",VALUE(REGEXEXTRACT($T224, G$1&amp;""[\w &amp;]*, (\d+\.\d+)"")),"""")
"),"")</f>
        <v/>
      </c>
      <c r="H224" s="3"/>
      <c r="I224" s="3" t="str">
        <f aca="false">IFERROR(__xludf.dummyfunction("if($T224&lt;&gt;"""",VALUE(REGEXEXTRACT(SUBSTITUTE ($T224,I$1&amp;"" CE"",""""), I$1&amp;""[\w &amp;]*, (\d+\.\d+)"")),"""")
"),"")</f>
        <v/>
      </c>
      <c r="J224" s="3" t="str">
        <f aca="false">IFERROR(__xludf.dummyfunction("if($T224&lt;&gt;"""",VALUE(REGEXEXTRACT($T224, J$1&amp;""[\w &amp;]*, (\d+\.\d+)"")),"""")
"),"")</f>
        <v/>
      </c>
      <c r="K224" s="3"/>
      <c r="L224" s="3" t="str">
        <f aca="false">IFERROR(__xludf.dummyfunction("if($T224&lt;&gt;"""",VALUE(REGEXEXTRACT(SUBSTITUTE ($T224,L$1&amp;"" CE"",""""), L$1&amp;""[\w &amp;]*, (\d+\.\d+)"")),"""")
"),"")</f>
        <v/>
      </c>
      <c r="M224" s="3" t="str">
        <f aca="false">IFERROR(__xludf.dummyfunction("if($T224&lt;&gt;"""",VALUE(REGEXEXTRACT($T224, M$1&amp;""[\w &amp;]*, (\d+\.\d+)"")),"""")
"),"")</f>
        <v/>
      </c>
      <c r="N224" s="3" t="str">
        <f aca="false">IFERROR(__xludf.dummyfunction("if($T224&lt;&gt;"""",VALUE(REGEXEXTRACT(SUBSTITUTE ($T224,N$1&amp;"" CE"",""""), N$1&amp;""[\w &amp;]*, (\d+\.\d+)"")),"""")
"),"")</f>
        <v/>
      </c>
      <c r="O224" s="3" t="str">
        <f aca="false">IFERROR(__xludf.dummyfunction("if($T224&lt;&gt;"""",VALUE(REGEXEXTRACT($T224, O$1&amp;""[\w &amp;]*, (\d+\.\d+)"")),"""")
"),"")</f>
        <v/>
      </c>
      <c r="P224" s="2"/>
      <c r="Q224" s="2"/>
      <c r="R224" s="2"/>
      <c r="S224" s="2"/>
      <c r="T224" s="5"/>
    </row>
    <row r="225" customFormat="false" ht="15.75" hidden="false" customHeight="false" outlineLevel="0" collapsed="false">
      <c r="A225" s="4"/>
      <c r="B225" s="2"/>
      <c r="C225" s="2"/>
      <c r="D225" s="2"/>
      <c r="E225" s="2"/>
      <c r="F225" s="3" t="str">
        <f aca="false">IFERROR(__xludf.dummyfunction("if($T225&lt;&gt;"""",VALUE(REGEXEXTRACT(SUBSTITUTE ($T225,F$1&amp;"" CE"",""""), F$1&amp;""[\w &amp;]*, (\d+\.\d+)"")),"""")
"),"")</f>
        <v/>
      </c>
      <c r="G225" s="3" t="str">
        <f aca="false">IFERROR(__xludf.dummyfunction("if($T225&lt;&gt;"""",VALUE(REGEXEXTRACT($T225, G$1&amp;""[\w &amp;]*, (\d+\.\d+)"")),"""")
"),"")</f>
        <v/>
      </c>
      <c r="H225" s="3"/>
      <c r="I225" s="3" t="str">
        <f aca="false">IFERROR(__xludf.dummyfunction("if($T225&lt;&gt;"""",VALUE(REGEXEXTRACT(SUBSTITUTE ($T225,I$1&amp;"" CE"",""""), I$1&amp;""[\w &amp;]*, (\d+\.\d+)"")),"""")
"),"")</f>
        <v/>
      </c>
      <c r="J225" s="3" t="str">
        <f aca="false">IFERROR(__xludf.dummyfunction("if($T225&lt;&gt;"""",VALUE(REGEXEXTRACT($T225, J$1&amp;""[\w &amp;]*, (\d+\.\d+)"")),"""")
"),"")</f>
        <v/>
      </c>
      <c r="K225" s="3"/>
      <c r="L225" s="3" t="str">
        <f aca="false">IFERROR(__xludf.dummyfunction("if($T225&lt;&gt;"""",VALUE(REGEXEXTRACT(SUBSTITUTE ($T225,L$1&amp;"" CE"",""""), L$1&amp;""[\w &amp;]*, (\d+\.\d+)"")),"""")
"),"")</f>
        <v/>
      </c>
      <c r="M225" s="3" t="str">
        <f aca="false">IFERROR(__xludf.dummyfunction("if($T225&lt;&gt;"""",VALUE(REGEXEXTRACT($T225, M$1&amp;""[\w &amp;]*, (\d+\.\d+)"")),"""")
"),"")</f>
        <v/>
      </c>
      <c r="N225" s="3" t="str">
        <f aca="false">IFERROR(__xludf.dummyfunction("if($T225&lt;&gt;"""",VALUE(REGEXEXTRACT(SUBSTITUTE ($T225,N$1&amp;"" CE"",""""), N$1&amp;""[\w &amp;]*, (\d+\.\d+)"")),"""")
"),"")</f>
        <v/>
      </c>
      <c r="O225" s="3" t="str">
        <f aca="false">IFERROR(__xludf.dummyfunction("if($T225&lt;&gt;"""",VALUE(REGEXEXTRACT($T225, O$1&amp;""[\w &amp;]*, (\d+\.\d+)"")),"""")
"),"")</f>
        <v/>
      </c>
      <c r="P225" s="2"/>
      <c r="Q225" s="2"/>
      <c r="R225" s="2"/>
      <c r="S225" s="2"/>
      <c r="T225" s="5"/>
    </row>
    <row r="226" customFormat="false" ht="15.75" hidden="false" customHeight="false" outlineLevel="0" collapsed="false">
      <c r="A226" s="4"/>
      <c r="B226" s="2"/>
      <c r="C226" s="2"/>
      <c r="D226" s="2"/>
      <c r="E226" s="2"/>
      <c r="F226" s="3" t="str">
        <f aca="false">IFERROR(__xludf.dummyfunction("if($T226&lt;&gt;"""",VALUE(REGEXEXTRACT(SUBSTITUTE ($T226,F$1&amp;"" CE"",""""), F$1&amp;""[\w &amp;]*, (\d+\.\d+)"")),"""")
"),"")</f>
        <v/>
      </c>
      <c r="G226" s="3" t="str">
        <f aca="false">IFERROR(__xludf.dummyfunction("if($T226&lt;&gt;"""",VALUE(REGEXEXTRACT($T226, G$1&amp;""[\w &amp;]*, (\d+\.\d+)"")),"""")
"),"")</f>
        <v/>
      </c>
      <c r="H226" s="3"/>
      <c r="I226" s="3" t="str">
        <f aca="false">IFERROR(__xludf.dummyfunction("if($T226&lt;&gt;"""",VALUE(REGEXEXTRACT(SUBSTITUTE ($T226,I$1&amp;"" CE"",""""), I$1&amp;""[\w &amp;]*, (\d+\.\d+)"")),"""")
"),"")</f>
        <v/>
      </c>
      <c r="J226" s="3" t="str">
        <f aca="false">IFERROR(__xludf.dummyfunction("if($T226&lt;&gt;"""",VALUE(REGEXEXTRACT($T226, J$1&amp;""[\w &amp;]*, (\d+\.\d+)"")),"""")
"),"")</f>
        <v/>
      </c>
      <c r="K226" s="3"/>
      <c r="L226" s="3" t="str">
        <f aca="false">IFERROR(__xludf.dummyfunction("if($T226&lt;&gt;"""",VALUE(REGEXEXTRACT(SUBSTITUTE ($T226,L$1&amp;"" CE"",""""), L$1&amp;""[\w &amp;]*, (\d+\.\d+)"")),"""")
"),"")</f>
        <v/>
      </c>
      <c r="M226" s="3" t="str">
        <f aca="false">IFERROR(__xludf.dummyfunction("if($T226&lt;&gt;"""",VALUE(REGEXEXTRACT($T226, M$1&amp;""[\w &amp;]*, (\d+\.\d+)"")),"""")
"),"")</f>
        <v/>
      </c>
      <c r="N226" s="3" t="str">
        <f aca="false">IFERROR(__xludf.dummyfunction("if($T226&lt;&gt;"""",VALUE(REGEXEXTRACT(SUBSTITUTE ($T226,N$1&amp;"" CE"",""""), N$1&amp;""[\w &amp;]*, (\d+\.\d+)"")),"""")
"),"")</f>
        <v/>
      </c>
      <c r="O226" s="3" t="str">
        <f aca="false">IFERROR(__xludf.dummyfunction("if($T226&lt;&gt;"""",VALUE(REGEXEXTRACT($T226, O$1&amp;""[\w &amp;]*, (\d+\.\d+)"")),"""")
"),"")</f>
        <v/>
      </c>
      <c r="P226" s="2"/>
      <c r="Q226" s="2"/>
      <c r="R226" s="2"/>
      <c r="S226" s="2"/>
      <c r="T226" s="5"/>
    </row>
    <row r="227" customFormat="false" ht="15.75" hidden="false" customHeight="false" outlineLevel="0" collapsed="false">
      <c r="A227" s="4"/>
      <c r="B227" s="2"/>
      <c r="C227" s="2"/>
      <c r="D227" s="2"/>
      <c r="E227" s="2"/>
      <c r="F227" s="3" t="str">
        <f aca="false">IFERROR(__xludf.dummyfunction("if($T227&lt;&gt;"""",VALUE(REGEXEXTRACT(SUBSTITUTE ($T227,F$1&amp;"" CE"",""""), F$1&amp;""[\w &amp;]*, (\d+\.\d+)"")),"""")
"),"")</f>
        <v/>
      </c>
      <c r="G227" s="3" t="str">
        <f aca="false">IFERROR(__xludf.dummyfunction("if($T227&lt;&gt;"""",VALUE(REGEXEXTRACT($T227, G$1&amp;""[\w &amp;]*, (\d+\.\d+)"")),"""")
"),"")</f>
        <v/>
      </c>
      <c r="H227" s="3"/>
      <c r="I227" s="3" t="str">
        <f aca="false">IFERROR(__xludf.dummyfunction("if($T227&lt;&gt;"""",VALUE(REGEXEXTRACT(SUBSTITUTE ($T227,I$1&amp;"" CE"",""""), I$1&amp;""[\w &amp;]*, (\d+\.\d+)"")),"""")
"),"")</f>
        <v/>
      </c>
      <c r="J227" s="3" t="str">
        <f aca="false">IFERROR(__xludf.dummyfunction("if($T227&lt;&gt;"""",VALUE(REGEXEXTRACT($T227, J$1&amp;""[\w &amp;]*, (\d+\.\d+)"")),"""")
"),"")</f>
        <v/>
      </c>
      <c r="K227" s="3"/>
      <c r="L227" s="3" t="str">
        <f aca="false">IFERROR(__xludf.dummyfunction("if($T227&lt;&gt;"""",VALUE(REGEXEXTRACT(SUBSTITUTE ($T227,L$1&amp;"" CE"",""""), L$1&amp;""[\w &amp;]*, (\d+\.\d+)"")),"""")
"),"")</f>
        <v/>
      </c>
      <c r="M227" s="3" t="str">
        <f aca="false">IFERROR(__xludf.dummyfunction("if($T227&lt;&gt;"""",VALUE(REGEXEXTRACT($T227, M$1&amp;""[\w &amp;]*, (\d+\.\d+)"")),"""")
"),"")</f>
        <v/>
      </c>
      <c r="N227" s="3" t="str">
        <f aca="false">IFERROR(__xludf.dummyfunction("if($T227&lt;&gt;"""",VALUE(REGEXEXTRACT(SUBSTITUTE ($T227,N$1&amp;"" CE"",""""), N$1&amp;""[\w &amp;]*, (\d+\.\d+)"")),"""")
"),"")</f>
        <v/>
      </c>
      <c r="O227" s="3" t="str">
        <f aca="false">IFERROR(__xludf.dummyfunction("if($T227&lt;&gt;"""",VALUE(REGEXEXTRACT($T227, O$1&amp;""[\w &amp;]*, (\d+\.\d+)"")),"""")
"),"")</f>
        <v/>
      </c>
      <c r="P227" s="2"/>
      <c r="Q227" s="2"/>
      <c r="R227" s="2"/>
      <c r="S227" s="2"/>
      <c r="T227" s="5"/>
    </row>
    <row r="228" customFormat="false" ht="15.75" hidden="false" customHeight="false" outlineLevel="0" collapsed="false">
      <c r="A228" s="4"/>
      <c r="B228" s="2"/>
      <c r="C228" s="2"/>
      <c r="D228" s="2"/>
      <c r="E228" s="2"/>
      <c r="F228" s="3" t="str">
        <f aca="false">IFERROR(__xludf.dummyfunction("if($T228&lt;&gt;"""",VALUE(REGEXEXTRACT(SUBSTITUTE ($T228,F$1&amp;"" CE"",""""), F$1&amp;""[\w &amp;]*, (\d+\.\d+)"")),"""")
"),"")</f>
        <v/>
      </c>
      <c r="G228" s="3" t="str">
        <f aca="false">IFERROR(__xludf.dummyfunction("if($T228&lt;&gt;"""",VALUE(REGEXEXTRACT($T228, G$1&amp;""[\w &amp;]*, (\d+\.\d+)"")),"""")
"),"")</f>
        <v/>
      </c>
      <c r="H228" s="3"/>
      <c r="I228" s="3" t="str">
        <f aca="false">IFERROR(__xludf.dummyfunction("if($T228&lt;&gt;"""",VALUE(REGEXEXTRACT(SUBSTITUTE ($T228,I$1&amp;"" CE"",""""), I$1&amp;""[\w &amp;]*, (\d+\.\d+)"")),"""")
"),"")</f>
        <v/>
      </c>
      <c r="J228" s="3" t="str">
        <f aca="false">IFERROR(__xludf.dummyfunction("if($T228&lt;&gt;"""",VALUE(REGEXEXTRACT($T228, J$1&amp;""[\w &amp;]*, (\d+\.\d+)"")),"""")
"),"")</f>
        <v/>
      </c>
      <c r="K228" s="3"/>
      <c r="L228" s="3" t="str">
        <f aca="false">IFERROR(__xludf.dummyfunction("if($T228&lt;&gt;"""",VALUE(REGEXEXTRACT(SUBSTITUTE ($T228,L$1&amp;"" CE"",""""), L$1&amp;""[\w &amp;]*, (\d+\.\d+)"")),"""")
"),"")</f>
        <v/>
      </c>
      <c r="M228" s="3" t="str">
        <f aca="false">IFERROR(__xludf.dummyfunction("if($T228&lt;&gt;"""",VALUE(REGEXEXTRACT($T228, M$1&amp;""[\w &amp;]*, (\d+\.\d+)"")),"""")
"),"")</f>
        <v/>
      </c>
      <c r="N228" s="3" t="str">
        <f aca="false">IFERROR(__xludf.dummyfunction("if($T228&lt;&gt;"""",VALUE(REGEXEXTRACT(SUBSTITUTE ($T228,N$1&amp;"" CE"",""""), N$1&amp;""[\w &amp;]*, (\d+\.\d+)"")),"""")
"),"")</f>
        <v/>
      </c>
      <c r="O228" s="3" t="str">
        <f aca="false">IFERROR(__xludf.dummyfunction("if($T228&lt;&gt;"""",VALUE(REGEXEXTRACT($T228, O$1&amp;""[\w &amp;]*, (\d+\.\d+)"")),"""")
"),"")</f>
        <v/>
      </c>
      <c r="P228" s="2"/>
      <c r="Q228" s="2"/>
      <c r="R228" s="2"/>
      <c r="S228" s="2"/>
      <c r="T228" s="5"/>
    </row>
    <row r="229" customFormat="false" ht="15.75" hidden="false" customHeight="false" outlineLevel="0" collapsed="false">
      <c r="A229" s="4"/>
      <c r="B229" s="2"/>
      <c r="C229" s="2"/>
      <c r="D229" s="2"/>
      <c r="E229" s="2"/>
      <c r="F229" s="3" t="str">
        <f aca="false">IFERROR(__xludf.dummyfunction("if($T229&lt;&gt;"""",VALUE(REGEXEXTRACT(SUBSTITUTE ($T229,F$1&amp;"" CE"",""""), F$1&amp;""[\w &amp;]*, (\d+\.\d+)"")),"""")
"),"")</f>
        <v/>
      </c>
      <c r="G229" s="3" t="str">
        <f aca="false">IFERROR(__xludf.dummyfunction("if($T229&lt;&gt;"""",VALUE(REGEXEXTRACT($T229, G$1&amp;""[\w &amp;]*, (\d+\.\d+)"")),"""")
"),"")</f>
        <v/>
      </c>
      <c r="H229" s="3"/>
      <c r="I229" s="3" t="str">
        <f aca="false">IFERROR(__xludf.dummyfunction("if($T229&lt;&gt;"""",VALUE(REGEXEXTRACT(SUBSTITUTE ($T229,I$1&amp;"" CE"",""""), I$1&amp;""[\w &amp;]*, (\d+\.\d+)"")),"""")
"),"")</f>
        <v/>
      </c>
      <c r="J229" s="3" t="str">
        <f aca="false">IFERROR(__xludf.dummyfunction("if($T229&lt;&gt;"""",VALUE(REGEXEXTRACT($T229, J$1&amp;""[\w &amp;]*, (\d+\.\d+)"")),"""")
"),"")</f>
        <v/>
      </c>
      <c r="K229" s="3"/>
      <c r="L229" s="3" t="str">
        <f aca="false">IFERROR(__xludf.dummyfunction("if($T229&lt;&gt;"""",VALUE(REGEXEXTRACT(SUBSTITUTE ($T229,L$1&amp;"" CE"",""""), L$1&amp;""[\w &amp;]*, (\d+\.\d+)"")),"""")
"),"")</f>
        <v/>
      </c>
      <c r="M229" s="3" t="str">
        <f aca="false">IFERROR(__xludf.dummyfunction("if($T229&lt;&gt;"""",VALUE(REGEXEXTRACT($T229, M$1&amp;""[\w &amp;]*, (\d+\.\d+)"")),"""")
"),"")</f>
        <v/>
      </c>
      <c r="N229" s="3" t="str">
        <f aca="false">IFERROR(__xludf.dummyfunction("if($T229&lt;&gt;"""",VALUE(REGEXEXTRACT(SUBSTITUTE ($T229,N$1&amp;"" CE"",""""), N$1&amp;""[\w &amp;]*, (\d+\.\d+)"")),"""")
"),"")</f>
        <v/>
      </c>
      <c r="O229" s="3" t="str">
        <f aca="false">IFERROR(__xludf.dummyfunction("if($T229&lt;&gt;"""",VALUE(REGEXEXTRACT($T229, O$1&amp;""[\w &amp;]*, (\d+\.\d+)"")),"""")
"),"")</f>
        <v/>
      </c>
      <c r="P229" s="2"/>
      <c r="Q229" s="2"/>
      <c r="R229" s="2"/>
      <c r="S229" s="2"/>
      <c r="T229" s="5"/>
    </row>
    <row r="230" customFormat="false" ht="15.75" hidden="false" customHeight="false" outlineLevel="0" collapsed="false">
      <c r="A230" s="4"/>
      <c r="B230" s="2"/>
      <c r="C230" s="2"/>
      <c r="D230" s="2"/>
      <c r="E230" s="2"/>
      <c r="F230" s="3" t="str">
        <f aca="false">IFERROR(__xludf.dummyfunction("if($T230&lt;&gt;"""",VALUE(REGEXEXTRACT(SUBSTITUTE ($T230,F$1&amp;"" CE"",""""), F$1&amp;""[\w &amp;]*, (\d+\.\d+)"")),"""")
"),"")</f>
        <v/>
      </c>
      <c r="G230" s="3" t="str">
        <f aca="false">IFERROR(__xludf.dummyfunction("if($T230&lt;&gt;"""",VALUE(REGEXEXTRACT($T230, G$1&amp;""[\w &amp;]*, (\d+\.\d+)"")),"""")
"),"")</f>
        <v/>
      </c>
      <c r="H230" s="3"/>
      <c r="I230" s="3" t="str">
        <f aca="false">IFERROR(__xludf.dummyfunction("if($T230&lt;&gt;"""",VALUE(REGEXEXTRACT(SUBSTITUTE ($T230,I$1&amp;"" CE"",""""), I$1&amp;""[\w &amp;]*, (\d+\.\d+)"")),"""")
"),"")</f>
        <v/>
      </c>
      <c r="J230" s="3" t="str">
        <f aca="false">IFERROR(__xludf.dummyfunction("if($T230&lt;&gt;"""",VALUE(REGEXEXTRACT($T230, J$1&amp;""[\w &amp;]*, (\d+\.\d+)"")),"""")
"),"")</f>
        <v/>
      </c>
      <c r="K230" s="3"/>
      <c r="L230" s="3" t="str">
        <f aca="false">IFERROR(__xludf.dummyfunction("if($T230&lt;&gt;"""",VALUE(REGEXEXTRACT(SUBSTITUTE ($T230,L$1&amp;"" CE"",""""), L$1&amp;""[\w &amp;]*, (\d+\.\d+)"")),"""")
"),"")</f>
        <v/>
      </c>
      <c r="M230" s="3" t="str">
        <f aca="false">IFERROR(__xludf.dummyfunction("if($T230&lt;&gt;"""",VALUE(REGEXEXTRACT($T230, M$1&amp;""[\w &amp;]*, (\d+\.\d+)"")),"""")
"),"")</f>
        <v/>
      </c>
      <c r="N230" s="3" t="str">
        <f aca="false">IFERROR(__xludf.dummyfunction("if($T230&lt;&gt;"""",VALUE(REGEXEXTRACT(SUBSTITUTE ($T230,N$1&amp;"" CE"",""""), N$1&amp;""[\w &amp;]*, (\d+\.\d+)"")),"""")
"),"")</f>
        <v/>
      </c>
      <c r="O230" s="3" t="str">
        <f aca="false">IFERROR(__xludf.dummyfunction("if($T230&lt;&gt;"""",VALUE(REGEXEXTRACT($T230, O$1&amp;""[\w &amp;]*, (\d+\.\d+)"")),"""")
"),"")</f>
        <v/>
      </c>
      <c r="P230" s="2"/>
      <c r="Q230" s="2"/>
      <c r="R230" s="2"/>
      <c r="S230" s="2"/>
      <c r="T230" s="5"/>
    </row>
    <row r="231" customFormat="false" ht="15.75" hidden="false" customHeight="false" outlineLevel="0" collapsed="false">
      <c r="A231" s="4"/>
      <c r="B231" s="2"/>
      <c r="C231" s="2"/>
      <c r="D231" s="2"/>
      <c r="E231" s="2"/>
      <c r="F231" s="3" t="str">
        <f aca="false">IFERROR(__xludf.dummyfunction("if($T231&lt;&gt;"""",VALUE(REGEXEXTRACT(SUBSTITUTE ($T231,F$1&amp;"" CE"",""""), F$1&amp;""[\w &amp;]*, (\d+\.\d+)"")),"""")
"),"")</f>
        <v/>
      </c>
      <c r="G231" s="3" t="str">
        <f aca="false">IFERROR(__xludf.dummyfunction("if($T231&lt;&gt;"""",VALUE(REGEXEXTRACT($T231, G$1&amp;""[\w &amp;]*, (\d+\.\d+)"")),"""")
"),"")</f>
        <v/>
      </c>
      <c r="H231" s="3"/>
      <c r="I231" s="3" t="str">
        <f aca="false">IFERROR(__xludf.dummyfunction("if($T231&lt;&gt;"""",VALUE(REGEXEXTRACT(SUBSTITUTE ($T231,I$1&amp;"" CE"",""""), I$1&amp;""[\w &amp;]*, (\d+\.\d+)"")),"""")
"),"")</f>
        <v/>
      </c>
      <c r="J231" s="3" t="str">
        <f aca="false">IFERROR(__xludf.dummyfunction("if($T231&lt;&gt;"""",VALUE(REGEXEXTRACT($T231, J$1&amp;""[\w &amp;]*, (\d+\.\d+)"")),"""")
"),"")</f>
        <v/>
      </c>
      <c r="K231" s="3"/>
      <c r="L231" s="3" t="str">
        <f aca="false">IFERROR(__xludf.dummyfunction("if($T231&lt;&gt;"""",VALUE(REGEXEXTRACT(SUBSTITUTE ($T231,L$1&amp;"" CE"",""""), L$1&amp;""[\w &amp;]*, (\d+\.\d+)"")),"""")
"),"")</f>
        <v/>
      </c>
      <c r="M231" s="3" t="str">
        <f aca="false">IFERROR(__xludf.dummyfunction("if($T231&lt;&gt;"""",VALUE(REGEXEXTRACT($T231, M$1&amp;""[\w &amp;]*, (\d+\.\d+)"")),"""")
"),"")</f>
        <v/>
      </c>
      <c r="N231" s="3" t="str">
        <f aca="false">IFERROR(__xludf.dummyfunction("if($T231&lt;&gt;"""",VALUE(REGEXEXTRACT(SUBSTITUTE ($T231,N$1&amp;"" CE"",""""), N$1&amp;""[\w &amp;]*, (\d+\.\d+)"")),"""")
"),"")</f>
        <v/>
      </c>
      <c r="O231" s="3" t="str">
        <f aca="false">IFERROR(__xludf.dummyfunction("if($T231&lt;&gt;"""",VALUE(REGEXEXTRACT($T231, O$1&amp;""[\w &amp;]*, (\d+\.\d+)"")),"""")
"),"")</f>
        <v/>
      </c>
      <c r="P231" s="2"/>
      <c r="Q231" s="2"/>
      <c r="R231" s="2"/>
      <c r="S231" s="2"/>
      <c r="T231" s="5"/>
    </row>
    <row r="232" customFormat="false" ht="15.75" hidden="false" customHeight="false" outlineLevel="0" collapsed="false">
      <c r="A232" s="4"/>
      <c r="B232" s="2"/>
      <c r="C232" s="2"/>
      <c r="D232" s="2"/>
      <c r="E232" s="2"/>
      <c r="F232" s="3" t="str">
        <f aca="false">IFERROR(__xludf.dummyfunction("if($T232&lt;&gt;"""",VALUE(REGEXEXTRACT(SUBSTITUTE ($T232,F$1&amp;"" CE"",""""), F$1&amp;""[\w &amp;]*, (\d+\.\d+)"")),"""")
"),"")</f>
        <v/>
      </c>
      <c r="G232" s="3" t="str">
        <f aca="false">IFERROR(__xludf.dummyfunction("if($T232&lt;&gt;"""",VALUE(REGEXEXTRACT($T232, G$1&amp;""[\w &amp;]*, (\d+\.\d+)"")),"""")
"),"")</f>
        <v/>
      </c>
      <c r="H232" s="3"/>
      <c r="I232" s="3" t="str">
        <f aca="false">IFERROR(__xludf.dummyfunction("if($T232&lt;&gt;"""",VALUE(REGEXEXTRACT(SUBSTITUTE ($T232,I$1&amp;"" CE"",""""), I$1&amp;""[\w &amp;]*, (\d+\.\d+)"")),"""")
"),"")</f>
        <v/>
      </c>
      <c r="J232" s="3" t="str">
        <f aca="false">IFERROR(__xludf.dummyfunction("if($T232&lt;&gt;"""",VALUE(REGEXEXTRACT($T232, J$1&amp;""[\w &amp;]*, (\d+\.\d+)"")),"""")
"),"")</f>
        <v/>
      </c>
      <c r="K232" s="3"/>
      <c r="L232" s="3" t="str">
        <f aca="false">IFERROR(__xludf.dummyfunction("if($T232&lt;&gt;"""",VALUE(REGEXEXTRACT(SUBSTITUTE ($T232,L$1&amp;"" CE"",""""), L$1&amp;""[\w &amp;]*, (\d+\.\d+)"")),"""")
"),"")</f>
        <v/>
      </c>
      <c r="M232" s="3" t="str">
        <f aca="false">IFERROR(__xludf.dummyfunction("if($T232&lt;&gt;"""",VALUE(REGEXEXTRACT($T232, M$1&amp;""[\w &amp;]*, (\d+\.\d+)"")),"""")
"),"")</f>
        <v/>
      </c>
      <c r="N232" s="3" t="str">
        <f aca="false">IFERROR(__xludf.dummyfunction("if($T232&lt;&gt;"""",VALUE(REGEXEXTRACT(SUBSTITUTE ($T232,N$1&amp;"" CE"",""""), N$1&amp;""[\w &amp;]*, (\d+\.\d+)"")),"""")
"),"")</f>
        <v/>
      </c>
      <c r="O232" s="3" t="str">
        <f aca="false">IFERROR(__xludf.dummyfunction("if($T232&lt;&gt;"""",VALUE(REGEXEXTRACT($T232, O$1&amp;""[\w &amp;]*, (\d+\.\d+)"")),"""")
"),"")</f>
        <v/>
      </c>
      <c r="P232" s="2"/>
      <c r="Q232" s="2"/>
      <c r="R232" s="2"/>
      <c r="S232" s="2"/>
      <c r="T232" s="5"/>
    </row>
    <row r="233" customFormat="false" ht="15.75" hidden="false" customHeight="false" outlineLevel="0" collapsed="false">
      <c r="A233" s="4"/>
      <c r="B233" s="2"/>
      <c r="C233" s="2"/>
      <c r="D233" s="2"/>
      <c r="E233" s="2"/>
      <c r="F233" s="3" t="str">
        <f aca="false">IFERROR(__xludf.dummyfunction("if($T233&lt;&gt;"""",VALUE(REGEXEXTRACT(SUBSTITUTE ($T233,F$1&amp;"" CE"",""""), F$1&amp;""[\w &amp;]*, (\d+\.\d+)"")),"""")
"),"")</f>
        <v/>
      </c>
      <c r="G233" s="3" t="str">
        <f aca="false">IFERROR(__xludf.dummyfunction("if($T233&lt;&gt;"""",VALUE(REGEXEXTRACT($T233, G$1&amp;""[\w &amp;]*, (\d+\.\d+)"")),"""")
"),"")</f>
        <v/>
      </c>
      <c r="H233" s="3"/>
      <c r="I233" s="3" t="str">
        <f aca="false">IFERROR(__xludf.dummyfunction("if($T233&lt;&gt;"""",VALUE(REGEXEXTRACT(SUBSTITUTE ($T233,I$1&amp;"" CE"",""""), I$1&amp;""[\w &amp;]*, (\d+\.\d+)"")),"""")
"),"")</f>
        <v/>
      </c>
      <c r="J233" s="3" t="str">
        <f aca="false">IFERROR(__xludf.dummyfunction("if($T233&lt;&gt;"""",VALUE(REGEXEXTRACT($T233, J$1&amp;""[\w &amp;]*, (\d+\.\d+)"")),"""")
"),"")</f>
        <v/>
      </c>
      <c r="K233" s="3"/>
      <c r="L233" s="3" t="str">
        <f aca="false">IFERROR(__xludf.dummyfunction("if($T233&lt;&gt;"""",VALUE(REGEXEXTRACT(SUBSTITUTE ($T233,L$1&amp;"" CE"",""""), L$1&amp;""[\w &amp;]*, (\d+\.\d+)"")),"""")
"),"")</f>
        <v/>
      </c>
      <c r="M233" s="3" t="str">
        <f aca="false">IFERROR(__xludf.dummyfunction("if($T233&lt;&gt;"""",VALUE(REGEXEXTRACT($T233, M$1&amp;""[\w &amp;]*, (\d+\.\d+)"")),"""")
"),"")</f>
        <v/>
      </c>
      <c r="N233" s="3" t="str">
        <f aca="false">IFERROR(__xludf.dummyfunction("if($T233&lt;&gt;"""",VALUE(REGEXEXTRACT(SUBSTITUTE ($T233,N$1&amp;"" CE"",""""), N$1&amp;""[\w &amp;]*, (\d+\.\d+)"")),"""")
"),"")</f>
        <v/>
      </c>
      <c r="O233" s="3" t="str">
        <f aca="false">IFERROR(__xludf.dummyfunction("if($T233&lt;&gt;"""",VALUE(REGEXEXTRACT($T233, O$1&amp;""[\w &amp;]*, (\d+\.\d+)"")),"""")
"),"")</f>
        <v/>
      </c>
      <c r="P233" s="2"/>
      <c r="Q233" s="2"/>
      <c r="R233" s="2"/>
      <c r="S233" s="2"/>
      <c r="T233" s="5"/>
    </row>
    <row r="234" customFormat="false" ht="15.75" hidden="false" customHeight="false" outlineLevel="0" collapsed="false">
      <c r="A234" s="4"/>
      <c r="B234" s="2"/>
      <c r="C234" s="2"/>
      <c r="D234" s="2"/>
      <c r="E234" s="2"/>
      <c r="F234" s="3" t="str">
        <f aca="false">IFERROR(__xludf.dummyfunction("if($T234&lt;&gt;"""",VALUE(REGEXEXTRACT(SUBSTITUTE ($T234,F$1&amp;"" CE"",""""), F$1&amp;""[\w &amp;]*, (\d+\.\d+)"")),"""")
"),"")</f>
        <v/>
      </c>
      <c r="G234" s="3" t="str">
        <f aca="false">IFERROR(__xludf.dummyfunction("if($T234&lt;&gt;"""",VALUE(REGEXEXTRACT($T234, G$1&amp;""[\w &amp;]*, (\d+\.\d+)"")),"""")
"),"")</f>
        <v/>
      </c>
      <c r="H234" s="3"/>
      <c r="I234" s="3" t="str">
        <f aca="false">IFERROR(__xludf.dummyfunction("if($T234&lt;&gt;"""",VALUE(REGEXEXTRACT(SUBSTITUTE ($T234,I$1&amp;"" CE"",""""), I$1&amp;""[\w &amp;]*, (\d+\.\d+)"")),"""")
"),"")</f>
        <v/>
      </c>
      <c r="J234" s="3" t="str">
        <f aca="false">IFERROR(__xludf.dummyfunction("if($T234&lt;&gt;"""",VALUE(REGEXEXTRACT($T234, J$1&amp;""[\w &amp;]*, (\d+\.\d+)"")),"""")
"),"")</f>
        <v/>
      </c>
      <c r="K234" s="3"/>
      <c r="L234" s="3" t="str">
        <f aca="false">IFERROR(__xludf.dummyfunction("if($T234&lt;&gt;"""",VALUE(REGEXEXTRACT(SUBSTITUTE ($T234,L$1&amp;"" CE"",""""), L$1&amp;""[\w &amp;]*, (\d+\.\d+)"")),"""")
"),"")</f>
        <v/>
      </c>
      <c r="M234" s="3" t="str">
        <f aca="false">IFERROR(__xludf.dummyfunction("if($T234&lt;&gt;"""",VALUE(REGEXEXTRACT($T234, M$1&amp;""[\w &amp;]*, (\d+\.\d+)"")),"""")
"),"")</f>
        <v/>
      </c>
      <c r="N234" s="3" t="str">
        <f aca="false">IFERROR(__xludf.dummyfunction("if($T234&lt;&gt;"""",VALUE(REGEXEXTRACT(SUBSTITUTE ($T234,N$1&amp;"" CE"",""""), N$1&amp;""[\w &amp;]*, (\d+\.\d+)"")),"""")
"),"")</f>
        <v/>
      </c>
      <c r="O234" s="3" t="str">
        <f aca="false">IFERROR(__xludf.dummyfunction("if($T234&lt;&gt;"""",VALUE(REGEXEXTRACT($T234, O$1&amp;""[\w &amp;]*, (\d+\.\d+)"")),"""")
"),"")</f>
        <v/>
      </c>
      <c r="P234" s="2"/>
      <c r="Q234" s="2"/>
      <c r="R234" s="2"/>
      <c r="S234" s="2"/>
      <c r="T234" s="5"/>
    </row>
    <row r="235" customFormat="false" ht="15.75" hidden="false" customHeight="false" outlineLevel="0" collapsed="false">
      <c r="A235" s="4"/>
      <c r="B235" s="2"/>
      <c r="C235" s="2"/>
      <c r="D235" s="2"/>
      <c r="E235" s="2"/>
      <c r="F235" s="3" t="str">
        <f aca="false">IFERROR(__xludf.dummyfunction("if($T235&lt;&gt;"""",VALUE(REGEXEXTRACT(SUBSTITUTE ($T235,F$1&amp;"" CE"",""""), F$1&amp;""[\w &amp;]*, (\d+\.\d+)"")),"""")
"),"")</f>
        <v/>
      </c>
      <c r="G235" s="3" t="str">
        <f aca="false">IFERROR(__xludf.dummyfunction("if($T235&lt;&gt;"""",VALUE(REGEXEXTRACT($T235, G$1&amp;""[\w &amp;]*, (\d+\.\d+)"")),"""")
"),"")</f>
        <v/>
      </c>
      <c r="H235" s="3"/>
      <c r="I235" s="3" t="str">
        <f aca="false">IFERROR(__xludf.dummyfunction("if($T235&lt;&gt;"""",VALUE(REGEXEXTRACT(SUBSTITUTE ($T235,I$1&amp;"" CE"",""""), I$1&amp;""[\w &amp;]*, (\d+\.\d+)"")),"""")
"),"")</f>
        <v/>
      </c>
      <c r="J235" s="3" t="str">
        <f aca="false">IFERROR(__xludf.dummyfunction("if($T235&lt;&gt;"""",VALUE(REGEXEXTRACT($T235, J$1&amp;""[\w &amp;]*, (\d+\.\d+)"")),"""")
"),"")</f>
        <v/>
      </c>
      <c r="K235" s="3"/>
      <c r="L235" s="3" t="str">
        <f aca="false">IFERROR(__xludf.dummyfunction("if($T235&lt;&gt;"""",VALUE(REGEXEXTRACT(SUBSTITUTE ($T235,L$1&amp;"" CE"",""""), L$1&amp;""[\w &amp;]*, (\d+\.\d+)"")),"""")
"),"")</f>
        <v/>
      </c>
      <c r="M235" s="3" t="str">
        <f aca="false">IFERROR(__xludf.dummyfunction("if($T235&lt;&gt;"""",VALUE(REGEXEXTRACT($T235, M$1&amp;""[\w &amp;]*, (\d+\.\d+)"")),"""")
"),"")</f>
        <v/>
      </c>
      <c r="N235" s="3" t="str">
        <f aca="false">IFERROR(__xludf.dummyfunction("if($T235&lt;&gt;"""",VALUE(REGEXEXTRACT(SUBSTITUTE ($T235,N$1&amp;"" CE"",""""), N$1&amp;""[\w &amp;]*, (\d+\.\d+)"")),"""")
"),"")</f>
        <v/>
      </c>
      <c r="O235" s="3" t="str">
        <f aca="false">IFERROR(__xludf.dummyfunction("if($T235&lt;&gt;"""",VALUE(REGEXEXTRACT($T235, O$1&amp;""[\w &amp;]*, (\d+\.\d+)"")),"""")
"),"")</f>
        <v/>
      </c>
      <c r="P235" s="2"/>
      <c r="Q235" s="2"/>
      <c r="R235" s="2"/>
      <c r="S235" s="2"/>
      <c r="T235" s="5"/>
    </row>
    <row r="236" customFormat="false" ht="15.75" hidden="false" customHeight="false" outlineLevel="0" collapsed="false">
      <c r="A236" s="4"/>
      <c r="B236" s="2"/>
      <c r="C236" s="2"/>
      <c r="D236" s="2"/>
      <c r="E236" s="2"/>
      <c r="F236" s="3" t="str">
        <f aca="false">IFERROR(__xludf.dummyfunction("if($T236&lt;&gt;"""",VALUE(REGEXEXTRACT(SUBSTITUTE ($T236,F$1&amp;"" CE"",""""), F$1&amp;""[\w &amp;]*, (\d+\.\d+)"")),"""")
"),"")</f>
        <v/>
      </c>
      <c r="G236" s="3" t="str">
        <f aca="false">IFERROR(__xludf.dummyfunction("if($T236&lt;&gt;"""",VALUE(REGEXEXTRACT($T236, G$1&amp;""[\w &amp;]*, (\d+\.\d+)"")),"""")
"),"")</f>
        <v/>
      </c>
      <c r="H236" s="3"/>
      <c r="I236" s="3" t="str">
        <f aca="false">IFERROR(__xludf.dummyfunction("if($T236&lt;&gt;"""",VALUE(REGEXEXTRACT(SUBSTITUTE ($T236,I$1&amp;"" CE"",""""), I$1&amp;""[\w &amp;]*, (\d+\.\d+)"")),"""")
"),"")</f>
        <v/>
      </c>
      <c r="J236" s="3" t="str">
        <f aca="false">IFERROR(__xludf.dummyfunction("if($T236&lt;&gt;"""",VALUE(REGEXEXTRACT($T236, J$1&amp;""[\w &amp;]*, (\d+\.\d+)"")),"""")
"),"")</f>
        <v/>
      </c>
      <c r="K236" s="3"/>
      <c r="L236" s="3" t="str">
        <f aca="false">IFERROR(__xludf.dummyfunction("if($T236&lt;&gt;"""",VALUE(REGEXEXTRACT(SUBSTITUTE ($T236,L$1&amp;"" CE"",""""), L$1&amp;""[\w &amp;]*, (\d+\.\d+)"")),"""")
"),"")</f>
        <v/>
      </c>
      <c r="M236" s="3" t="str">
        <f aca="false">IFERROR(__xludf.dummyfunction("if($T236&lt;&gt;"""",VALUE(REGEXEXTRACT($T236, M$1&amp;""[\w &amp;]*, (\d+\.\d+)"")),"""")
"),"")</f>
        <v/>
      </c>
      <c r="N236" s="3" t="str">
        <f aca="false">IFERROR(__xludf.dummyfunction("if($T236&lt;&gt;"""",VALUE(REGEXEXTRACT(SUBSTITUTE ($T236,N$1&amp;"" CE"",""""), N$1&amp;""[\w &amp;]*, (\d+\.\d+)"")),"""")
"),"")</f>
        <v/>
      </c>
      <c r="O236" s="3" t="str">
        <f aca="false">IFERROR(__xludf.dummyfunction("if($T236&lt;&gt;"""",VALUE(REGEXEXTRACT($T236, O$1&amp;""[\w &amp;]*, (\d+\.\d+)"")),"""")
"),"")</f>
        <v/>
      </c>
      <c r="P236" s="2"/>
      <c r="Q236" s="2"/>
      <c r="R236" s="2"/>
      <c r="S236" s="2"/>
      <c r="T236" s="5"/>
    </row>
    <row r="237" customFormat="false" ht="15.75" hidden="false" customHeight="false" outlineLevel="0" collapsed="false">
      <c r="A237" s="4"/>
      <c r="B237" s="2"/>
      <c r="C237" s="2"/>
      <c r="D237" s="2"/>
      <c r="E237" s="2"/>
      <c r="F237" s="3" t="str">
        <f aca="false">IFERROR(__xludf.dummyfunction("if($T237&lt;&gt;"""",VALUE(REGEXEXTRACT(SUBSTITUTE ($T237,F$1&amp;"" CE"",""""), F$1&amp;""[\w &amp;]*, (\d+\.\d+)"")),"""")
"),"")</f>
        <v/>
      </c>
      <c r="G237" s="3" t="str">
        <f aca="false">IFERROR(__xludf.dummyfunction("if($T237&lt;&gt;"""",VALUE(REGEXEXTRACT($T237, G$1&amp;""[\w &amp;]*, (\d+\.\d+)"")),"""")
"),"")</f>
        <v/>
      </c>
      <c r="H237" s="3"/>
      <c r="I237" s="3" t="str">
        <f aca="false">IFERROR(__xludf.dummyfunction("if($T237&lt;&gt;"""",VALUE(REGEXEXTRACT(SUBSTITUTE ($T237,I$1&amp;"" CE"",""""), I$1&amp;""[\w &amp;]*, (\d+\.\d+)"")),"""")
"),"")</f>
        <v/>
      </c>
      <c r="J237" s="3" t="str">
        <f aca="false">IFERROR(__xludf.dummyfunction("if($T237&lt;&gt;"""",VALUE(REGEXEXTRACT($T237, J$1&amp;""[\w &amp;]*, (\d+\.\d+)"")),"""")
"),"")</f>
        <v/>
      </c>
      <c r="K237" s="3"/>
      <c r="L237" s="3" t="str">
        <f aca="false">IFERROR(__xludf.dummyfunction("if($T237&lt;&gt;"""",VALUE(REGEXEXTRACT(SUBSTITUTE ($T237,L$1&amp;"" CE"",""""), L$1&amp;""[\w &amp;]*, (\d+\.\d+)"")),"""")
"),"")</f>
        <v/>
      </c>
      <c r="M237" s="3" t="str">
        <f aca="false">IFERROR(__xludf.dummyfunction("if($T237&lt;&gt;"""",VALUE(REGEXEXTRACT($T237, M$1&amp;""[\w &amp;]*, (\d+\.\d+)"")),"""")
"),"")</f>
        <v/>
      </c>
      <c r="N237" s="3" t="str">
        <f aca="false">IFERROR(__xludf.dummyfunction("if($T237&lt;&gt;"""",VALUE(REGEXEXTRACT(SUBSTITUTE ($T237,N$1&amp;"" CE"",""""), N$1&amp;""[\w &amp;]*, (\d+\.\d+)"")),"""")
"),"")</f>
        <v/>
      </c>
      <c r="O237" s="3" t="str">
        <f aca="false">IFERROR(__xludf.dummyfunction("if($T237&lt;&gt;"""",VALUE(REGEXEXTRACT($T237, O$1&amp;""[\w &amp;]*, (\d+\.\d+)"")),"""")
"),"")</f>
        <v/>
      </c>
      <c r="P237" s="2"/>
      <c r="Q237" s="2"/>
      <c r="R237" s="2"/>
      <c r="S237" s="2"/>
      <c r="T237" s="5"/>
    </row>
    <row r="238" customFormat="false" ht="15.75" hidden="false" customHeight="false" outlineLevel="0" collapsed="false">
      <c r="A238" s="4"/>
      <c r="B238" s="2"/>
      <c r="C238" s="2"/>
      <c r="D238" s="2"/>
      <c r="E238" s="2"/>
      <c r="F238" s="3" t="str">
        <f aca="false">IFERROR(__xludf.dummyfunction("if($T238&lt;&gt;"""",VALUE(REGEXEXTRACT(SUBSTITUTE ($T238,F$1&amp;"" CE"",""""), F$1&amp;""[\w &amp;]*, (\d+\.\d+)"")),"""")
"),"")</f>
        <v/>
      </c>
      <c r="G238" s="3" t="str">
        <f aca="false">IFERROR(__xludf.dummyfunction("if($T238&lt;&gt;"""",VALUE(REGEXEXTRACT($T238, G$1&amp;""[\w &amp;]*, (\d+\.\d+)"")),"""")
"),"")</f>
        <v/>
      </c>
      <c r="H238" s="3"/>
      <c r="I238" s="3" t="str">
        <f aca="false">IFERROR(__xludf.dummyfunction("if($T238&lt;&gt;"""",VALUE(REGEXEXTRACT(SUBSTITUTE ($T238,I$1&amp;"" CE"",""""), I$1&amp;""[\w &amp;]*, (\d+\.\d+)"")),"""")
"),"")</f>
        <v/>
      </c>
      <c r="J238" s="3" t="str">
        <f aca="false">IFERROR(__xludf.dummyfunction("if($T238&lt;&gt;"""",VALUE(REGEXEXTRACT($T238, J$1&amp;""[\w &amp;]*, (\d+\.\d+)"")),"""")
"),"")</f>
        <v/>
      </c>
      <c r="K238" s="3"/>
      <c r="L238" s="3" t="str">
        <f aca="false">IFERROR(__xludf.dummyfunction("if($T238&lt;&gt;"""",VALUE(REGEXEXTRACT(SUBSTITUTE ($T238,L$1&amp;"" CE"",""""), L$1&amp;""[\w &amp;]*, (\d+\.\d+)"")),"""")
"),"")</f>
        <v/>
      </c>
      <c r="M238" s="3" t="str">
        <f aca="false">IFERROR(__xludf.dummyfunction("if($T238&lt;&gt;"""",VALUE(REGEXEXTRACT($T238, M$1&amp;""[\w &amp;]*, (\d+\.\d+)"")),"""")
"),"")</f>
        <v/>
      </c>
      <c r="N238" s="3" t="str">
        <f aca="false">IFERROR(__xludf.dummyfunction("if($T238&lt;&gt;"""",VALUE(REGEXEXTRACT(SUBSTITUTE ($T238,N$1&amp;"" CE"",""""), N$1&amp;""[\w &amp;]*, (\d+\.\d+)"")),"""")
"),"")</f>
        <v/>
      </c>
      <c r="O238" s="3" t="str">
        <f aca="false">IFERROR(__xludf.dummyfunction("if($T238&lt;&gt;"""",VALUE(REGEXEXTRACT($T238, O$1&amp;""[\w &amp;]*, (\d+\.\d+)"")),"""")
"),"")</f>
        <v/>
      </c>
      <c r="P238" s="2"/>
      <c r="Q238" s="2"/>
      <c r="R238" s="2"/>
      <c r="S238" s="2"/>
      <c r="T238" s="5"/>
    </row>
    <row r="239" customFormat="false" ht="15.75" hidden="false" customHeight="false" outlineLevel="0" collapsed="false">
      <c r="A239" s="4"/>
      <c r="B239" s="2"/>
      <c r="C239" s="2"/>
      <c r="D239" s="2"/>
      <c r="E239" s="2"/>
      <c r="F239" s="3" t="str">
        <f aca="false">IFERROR(__xludf.dummyfunction("if($T239&lt;&gt;"""",VALUE(REGEXEXTRACT(SUBSTITUTE ($T239,F$1&amp;"" CE"",""""), F$1&amp;""[\w &amp;]*, (\d+\.\d+)"")),"""")
"),"")</f>
        <v/>
      </c>
      <c r="G239" s="3" t="str">
        <f aca="false">IFERROR(__xludf.dummyfunction("if($T239&lt;&gt;"""",VALUE(REGEXEXTRACT($T239, G$1&amp;""[\w &amp;]*, (\d+\.\d+)"")),"""")
"),"")</f>
        <v/>
      </c>
      <c r="H239" s="3"/>
      <c r="I239" s="3" t="str">
        <f aca="false">IFERROR(__xludf.dummyfunction("if($T239&lt;&gt;"""",VALUE(REGEXEXTRACT(SUBSTITUTE ($T239,I$1&amp;"" CE"",""""), I$1&amp;""[\w &amp;]*, (\d+\.\d+)"")),"""")
"),"")</f>
        <v/>
      </c>
      <c r="J239" s="3" t="str">
        <f aca="false">IFERROR(__xludf.dummyfunction("if($T239&lt;&gt;"""",VALUE(REGEXEXTRACT($T239, J$1&amp;""[\w &amp;]*, (\d+\.\d+)"")),"""")
"),"")</f>
        <v/>
      </c>
      <c r="K239" s="3"/>
      <c r="L239" s="3" t="str">
        <f aca="false">IFERROR(__xludf.dummyfunction("if($T239&lt;&gt;"""",VALUE(REGEXEXTRACT(SUBSTITUTE ($T239,L$1&amp;"" CE"",""""), L$1&amp;""[\w &amp;]*, (\d+\.\d+)"")),"""")
"),"")</f>
        <v/>
      </c>
      <c r="M239" s="3" t="str">
        <f aca="false">IFERROR(__xludf.dummyfunction("if($T239&lt;&gt;"""",VALUE(REGEXEXTRACT($T239, M$1&amp;""[\w &amp;]*, (\d+\.\d+)"")),"""")
"),"")</f>
        <v/>
      </c>
      <c r="N239" s="3" t="str">
        <f aca="false">IFERROR(__xludf.dummyfunction("if($T239&lt;&gt;"""",VALUE(REGEXEXTRACT(SUBSTITUTE ($T239,N$1&amp;"" CE"",""""), N$1&amp;""[\w &amp;]*, (\d+\.\d+)"")),"""")
"),"")</f>
        <v/>
      </c>
      <c r="O239" s="3" t="str">
        <f aca="false">IFERROR(__xludf.dummyfunction("if($T239&lt;&gt;"""",VALUE(REGEXEXTRACT($T239, O$1&amp;""[\w &amp;]*, (\d+\.\d+)"")),"""")
"),"")</f>
        <v/>
      </c>
      <c r="P239" s="2"/>
      <c r="Q239" s="2"/>
      <c r="R239" s="2"/>
      <c r="S239" s="2"/>
      <c r="T239" s="5"/>
    </row>
    <row r="240" customFormat="false" ht="15.75" hidden="false" customHeight="false" outlineLevel="0" collapsed="false">
      <c r="A240" s="4"/>
      <c r="B240" s="2"/>
      <c r="C240" s="2"/>
      <c r="D240" s="2"/>
      <c r="E240" s="2"/>
      <c r="F240" s="3" t="str">
        <f aca="false">IFERROR(__xludf.dummyfunction("if($T240&lt;&gt;"""",VALUE(REGEXEXTRACT(SUBSTITUTE ($T240,F$1&amp;"" CE"",""""), F$1&amp;""[\w &amp;]*, (\d+\.\d+)"")),"""")
"),"")</f>
        <v/>
      </c>
      <c r="G240" s="3" t="str">
        <f aca="false">IFERROR(__xludf.dummyfunction("if($T240&lt;&gt;"""",VALUE(REGEXEXTRACT($T240, G$1&amp;""[\w &amp;]*, (\d+\.\d+)"")),"""")
"),"")</f>
        <v/>
      </c>
      <c r="H240" s="3"/>
      <c r="I240" s="3" t="str">
        <f aca="false">IFERROR(__xludf.dummyfunction("if($T240&lt;&gt;"""",VALUE(REGEXEXTRACT(SUBSTITUTE ($T240,I$1&amp;"" CE"",""""), I$1&amp;""[\w &amp;]*, (\d+\.\d+)"")),"""")
"),"")</f>
        <v/>
      </c>
      <c r="J240" s="3" t="str">
        <f aca="false">IFERROR(__xludf.dummyfunction("if($T240&lt;&gt;"""",VALUE(REGEXEXTRACT($T240, J$1&amp;""[\w &amp;]*, (\d+\.\d+)"")),"""")
"),"")</f>
        <v/>
      </c>
      <c r="K240" s="3"/>
      <c r="L240" s="3" t="str">
        <f aca="false">IFERROR(__xludf.dummyfunction("if($T240&lt;&gt;"""",VALUE(REGEXEXTRACT(SUBSTITUTE ($T240,L$1&amp;"" CE"",""""), L$1&amp;""[\w &amp;]*, (\d+\.\d+)"")),"""")
"),"")</f>
        <v/>
      </c>
      <c r="M240" s="3" t="str">
        <f aca="false">IFERROR(__xludf.dummyfunction("if($T240&lt;&gt;"""",VALUE(REGEXEXTRACT($T240, M$1&amp;""[\w &amp;]*, (\d+\.\d+)"")),"""")
"),"")</f>
        <v/>
      </c>
      <c r="N240" s="3" t="str">
        <f aca="false">IFERROR(__xludf.dummyfunction("if($T240&lt;&gt;"""",VALUE(REGEXEXTRACT(SUBSTITUTE ($T240,N$1&amp;"" CE"",""""), N$1&amp;""[\w &amp;]*, (\d+\.\d+)"")),"""")
"),"")</f>
        <v/>
      </c>
      <c r="O240" s="3" t="str">
        <f aca="false">IFERROR(__xludf.dummyfunction("if($T240&lt;&gt;"""",VALUE(REGEXEXTRACT($T240, O$1&amp;""[\w &amp;]*, (\d+\.\d+)"")),"""")
"),"")</f>
        <v/>
      </c>
      <c r="P240" s="2"/>
      <c r="Q240" s="2"/>
      <c r="R240" s="2"/>
      <c r="S240" s="2"/>
      <c r="T240" s="5"/>
    </row>
    <row r="241" customFormat="false" ht="15.75" hidden="false" customHeight="false" outlineLevel="0" collapsed="false">
      <c r="A241" s="4"/>
      <c r="B241" s="2"/>
      <c r="C241" s="2"/>
      <c r="D241" s="2"/>
      <c r="E241" s="2"/>
      <c r="F241" s="3" t="str">
        <f aca="false">IFERROR(__xludf.dummyfunction("if($T241&lt;&gt;"""",VALUE(REGEXEXTRACT(SUBSTITUTE ($T241,F$1&amp;"" CE"",""""), F$1&amp;""[\w &amp;]*, (\d+\.\d+)"")),"""")
"),"")</f>
        <v/>
      </c>
      <c r="G241" s="3" t="str">
        <f aca="false">IFERROR(__xludf.dummyfunction("if($T241&lt;&gt;"""",VALUE(REGEXEXTRACT($T241, G$1&amp;""[\w &amp;]*, (\d+\.\d+)"")),"""")
"),"")</f>
        <v/>
      </c>
      <c r="H241" s="3"/>
      <c r="I241" s="3" t="str">
        <f aca="false">IFERROR(__xludf.dummyfunction("if($T241&lt;&gt;"""",VALUE(REGEXEXTRACT(SUBSTITUTE ($T241,I$1&amp;"" CE"",""""), I$1&amp;""[\w &amp;]*, (\d+\.\d+)"")),"""")
"),"")</f>
        <v/>
      </c>
      <c r="J241" s="3" t="str">
        <f aca="false">IFERROR(__xludf.dummyfunction("if($T241&lt;&gt;"""",VALUE(REGEXEXTRACT($T241, J$1&amp;""[\w &amp;]*, (\d+\.\d+)"")),"""")
"),"")</f>
        <v/>
      </c>
      <c r="K241" s="3"/>
      <c r="L241" s="3" t="str">
        <f aca="false">IFERROR(__xludf.dummyfunction("if($T241&lt;&gt;"""",VALUE(REGEXEXTRACT(SUBSTITUTE ($T241,L$1&amp;"" CE"",""""), L$1&amp;""[\w &amp;]*, (\d+\.\d+)"")),"""")
"),"")</f>
        <v/>
      </c>
      <c r="M241" s="3" t="str">
        <f aca="false">IFERROR(__xludf.dummyfunction("if($T241&lt;&gt;"""",VALUE(REGEXEXTRACT($T241, M$1&amp;""[\w &amp;]*, (\d+\.\d+)"")),"""")
"),"")</f>
        <v/>
      </c>
      <c r="N241" s="3" t="str">
        <f aca="false">IFERROR(__xludf.dummyfunction("if($T241&lt;&gt;"""",VALUE(REGEXEXTRACT(SUBSTITUTE ($T241,N$1&amp;"" CE"",""""), N$1&amp;""[\w &amp;]*, (\d+\.\d+)"")),"""")
"),"")</f>
        <v/>
      </c>
      <c r="O241" s="3" t="str">
        <f aca="false">IFERROR(__xludf.dummyfunction("if($T241&lt;&gt;"""",VALUE(REGEXEXTRACT($T241, O$1&amp;""[\w &amp;]*, (\d+\.\d+)"")),"""")
"),"")</f>
        <v/>
      </c>
      <c r="P241" s="2"/>
      <c r="Q241" s="2"/>
      <c r="R241" s="2"/>
      <c r="S241" s="2"/>
      <c r="T241" s="5"/>
    </row>
    <row r="242" customFormat="false" ht="15.75" hidden="false" customHeight="false" outlineLevel="0" collapsed="false">
      <c r="A242" s="4"/>
      <c r="B242" s="2"/>
      <c r="C242" s="2"/>
      <c r="D242" s="2"/>
      <c r="E242" s="2"/>
      <c r="F242" s="3" t="str">
        <f aca="false">IFERROR(__xludf.dummyfunction("if($T242&lt;&gt;"""",VALUE(REGEXEXTRACT(SUBSTITUTE ($T242,F$1&amp;"" CE"",""""), F$1&amp;""[\w &amp;]*, (\d+\.\d+)"")),"""")
"),"")</f>
        <v/>
      </c>
      <c r="G242" s="3" t="str">
        <f aca="false">IFERROR(__xludf.dummyfunction("if($T242&lt;&gt;"""",VALUE(REGEXEXTRACT($T242, G$1&amp;""[\w &amp;]*, (\d+\.\d+)"")),"""")
"),"")</f>
        <v/>
      </c>
      <c r="H242" s="3"/>
      <c r="I242" s="3" t="str">
        <f aca="false">IFERROR(__xludf.dummyfunction("if($T242&lt;&gt;"""",VALUE(REGEXEXTRACT(SUBSTITUTE ($T242,I$1&amp;"" CE"",""""), I$1&amp;""[\w &amp;]*, (\d+\.\d+)"")),"""")
"),"")</f>
        <v/>
      </c>
      <c r="J242" s="3" t="str">
        <f aca="false">IFERROR(__xludf.dummyfunction("if($T242&lt;&gt;"""",VALUE(REGEXEXTRACT($T242, J$1&amp;""[\w &amp;]*, (\d+\.\d+)"")),"""")
"),"")</f>
        <v/>
      </c>
      <c r="K242" s="3"/>
      <c r="L242" s="3" t="str">
        <f aca="false">IFERROR(__xludf.dummyfunction("if($T242&lt;&gt;"""",VALUE(REGEXEXTRACT(SUBSTITUTE ($T242,L$1&amp;"" CE"",""""), L$1&amp;""[\w &amp;]*, (\d+\.\d+)"")),"""")
"),"")</f>
        <v/>
      </c>
      <c r="M242" s="3" t="str">
        <f aca="false">IFERROR(__xludf.dummyfunction("if($T242&lt;&gt;"""",VALUE(REGEXEXTRACT($T242, M$1&amp;""[\w &amp;]*, (\d+\.\d+)"")),"""")
"),"")</f>
        <v/>
      </c>
      <c r="N242" s="3" t="str">
        <f aca="false">IFERROR(__xludf.dummyfunction("if($T242&lt;&gt;"""",VALUE(REGEXEXTRACT(SUBSTITUTE ($T242,N$1&amp;"" CE"",""""), N$1&amp;""[\w &amp;]*, (\d+\.\d+)"")),"""")
"),"")</f>
        <v/>
      </c>
      <c r="O242" s="3" t="str">
        <f aca="false">IFERROR(__xludf.dummyfunction("if($T242&lt;&gt;"""",VALUE(REGEXEXTRACT($T242, O$1&amp;""[\w &amp;]*, (\d+\.\d+)"")),"""")
"),"")</f>
        <v/>
      </c>
      <c r="P242" s="2"/>
      <c r="Q242" s="2"/>
      <c r="R242" s="2"/>
      <c r="S242" s="2"/>
      <c r="T242" s="5"/>
    </row>
    <row r="243" customFormat="false" ht="15.75" hidden="false" customHeight="false" outlineLevel="0" collapsed="false">
      <c r="A243" s="4"/>
      <c r="B243" s="2"/>
      <c r="C243" s="2"/>
      <c r="D243" s="2"/>
      <c r="E243" s="2"/>
      <c r="F243" s="3" t="str">
        <f aca="false">IFERROR(__xludf.dummyfunction("if($T243&lt;&gt;"""",VALUE(REGEXEXTRACT(SUBSTITUTE ($T243,F$1&amp;"" CE"",""""), F$1&amp;""[\w &amp;]*, (\d+\.\d+)"")),"""")
"),"")</f>
        <v/>
      </c>
      <c r="G243" s="3" t="str">
        <f aca="false">IFERROR(__xludf.dummyfunction("if($T243&lt;&gt;"""",VALUE(REGEXEXTRACT($T243, G$1&amp;""[\w &amp;]*, (\d+\.\d+)"")),"""")
"),"")</f>
        <v/>
      </c>
      <c r="H243" s="3"/>
      <c r="I243" s="3" t="str">
        <f aca="false">IFERROR(__xludf.dummyfunction("if($T243&lt;&gt;"""",VALUE(REGEXEXTRACT(SUBSTITUTE ($T243,I$1&amp;"" CE"",""""), I$1&amp;""[\w &amp;]*, (\d+\.\d+)"")),"""")
"),"")</f>
        <v/>
      </c>
      <c r="J243" s="3" t="str">
        <f aca="false">IFERROR(__xludf.dummyfunction("if($T243&lt;&gt;"""",VALUE(REGEXEXTRACT($T243, J$1&amp;""[\w &amp;]*, (\d+\.\d+)"")),"""")
"),"")</f>
        <v/>
      </c>
      <c r="K243" s="3"/>
      <c r="L243" s="3" t="str">
        <f aca="false">IFERROR(__xludf.dummyfunction("if($T243&lt;&gt;"""",VALUE(REGEXEXTRACT(SUBSTITUTE ($T243,L$1&amp;"" CE"",""""), L$1&amp;""[\w &amp;]*, (\d+\.\d+)"")),"""")
"),"")</f>
        <v/>
      </c>
      <c r="M243" s="3" t="str">
        <f aca="false">IFERROR(__xludf.dummyfunction("if($T243&lt;&gt;"""",VALUE(REGEXEXTRACT($T243, M$1&amp;""[\w &amp;]*, (\d+\.\d+)"")),"""")
"),"")</f>
        <v/>
      </c>
      <c r="N243" s="3" t="str">
        <f aca="false">IFERROR(__xludf.dummyfunction("if($T243&lt;&gt;"""",VALUE(REGEXEXTRACT(SUBSTITUTE ($T243,N$1&amp;"" CE"",""""), N$1&amp;""[\w &amp;]*, (\d+\.\d+)"")),"""")
"),"")</f>
        <v/>
      </c>
      <c r="O243" s="3" t="str">
        <f aca="false">IFERROR(__xludf.dummyfunction("if($T243&lt;&gt;"""",VALUE(REGEXEXTRACT($T243, O$1&amp;""[\w &amp;]*, (\d+\.\d+)"")),"""")
"),"")</f>
        <v/>
      </c>
      <c r="P243" s="2"/>
      <c r="Q243" s="2"/>
      <c r="R243" s="2"/>
      <c r="S243" s="2"/>
      <c r="T243" s="5"/>
    </row>
    <row r="244" customFormat="false" ht="15.75" hidden="false" customHeight="false" outlineLevel="0" collapsed="false">
      <c r="A244" s="4"/>
      <c r="B244" s="2"/>
      <c r="C244" s="2"/>
      <c r="D244" s="2"/>
      <c r="E244" s="2"/>
      <c r="F244" s="3" t="str">
        <f aca="false">IFERROR(__xludf.dummyfunction("if($T244&lt;&gt;"""",VALUE(REGEXEXTRACT(SUBSTITUTE ($T244,F$1&amp;"" CE"",""""), F$1&amp;""[\w &amp;]*, (\d+\.\d+)"")),"""")
"),"")</f>
        <v/>
      </c>
      <c r="G244" s="3" t="str">
        <f aca="false">IFERROR(__xludf.dummyfunction("if($T244&lt;&gt;"""",VALUE(REGEXEXTRACT($T244, G$1&amp;""[\w &amp;]*, (\d+\.\d+)"")),"""")
"),"")</f>
        <v/>
      </c>
      <c r="H244" s="3"/>
      <c r="I244" s="3" t="str">
        <f aca="false">IFERROR(__xludf.dummyfunction("if($T244&lt;&gt;"""",VALUE(REGEXEXTRACT(SUBSTITUTE ($T244,I$1&amp;"" CE"",""""), I$1&amp;""[\w &amp;]*, (\d+\.\d+)"")),"""")
"),"")</f>
        <v/>
      </c>
      <c r="J244" s="3" t="str">
        <f aca="false">IFERROR(__xludf.dummyfunction("if($T244&lt;&gt;"""",VALUE(REGEXEXTRACT($T244, J$1&amp;""[\w &amp;]*, (\d+\.\d+)"")),"""")
"),"")</f>
        <v/>
      </c>
      <c r="K244" s="3"/>
      <c r="L244" s="3" t="str">
        <f aca="false">IFERROR(__xludf.dummyfunction("if($T244&lt;&gt;"""",VALUE(REGEXEXTRACT(SUBSTITUTE ($T244,L$1&amp;"" CE"",""""), L$1&amp;""[\w &amp;]*, (\d+\.\d+)"")),"""")
"),"")</f>
        <v/>
      </c>
      <c r="M244" s="3" t="str">
        <f aca="false">IFERROR(__xludf.dummyfunction("if($T244&lt;&gt;"""",VALUE(REGEXEXTRACT($T244, M$1&amp;""[\w &amp;]*, (\d+\.\d+)"")),"""")
"),"")</f>
        <v/>
      </c>
      <c r="N244" s="3" t="str">
        <f aca="false">IFERROR(__xludf.dummyfunction("if($T244&lt;&gt;"""",VALUE(REGEXEXTRACT(SUBSTITUTE ($T244,N$1&amp;"" CE"",""""), N$1&amp;""[\w &amp;]*, (\d+\.\d+)"")),"""")
"),"")</f>
        <v/>
      </c>
      <c r="O244" s="3" t="str">
        <f aca="false">IFERROR(__xludf.dummyfunction("if($T244&lt;&gt;"""",VALUE(REGEXEXTRACT($T244, O$1&amp;""[\w &amp;]*, (\d+\.\d+)"")),"""")
"),"")</f>
        <v/>
      </c>
      <c r="P244" s="2"/>
      <c r="Q244" s="2"/>
      <c r="R244" s="2"/>
      <c r="S244" s="2"/>
      <c r="T244" s="5"/>
    </row>
    <row r="245" customFormat="false" ht="15.75" hidden="false" customHeight="false" outlineLevel="0" collapsed="false">
      <c r="A245" s="4"/>
      <c r="B245" s="2"/>
      <c r="C245" s="2"/>
      <c r="D245" s="2"/>
      <c r="E245" s="2"/>
      <c r="F245" s="3" t="str">
        <f aca="false">IFERROR(__xludf.dummyfunction("if($T245&lt;&gt;"""",VALUE(REGEXEXTRACT(SUBSTITUTE ($T245,F$1&amp;"" CE"",""""), F$1&amp;""[\w &amp;]*, (\d+\.\d+)"")),"""")
"),"")</f>
        <v/>
      </c>
      <c r="G245" s="3" t="str">
        <f aca="false">IFERROR(__xludf.dummyfunction("if($T245&lt;&gt;"""",VALUE(REGEXEXTRACT($T245, G$1&amp;""[\w &amp;]*, (\d+\.\d+)"")),"""")
"),"")</f>
        <v/>
      </c>
      <c r="H245" s="3"/>
      <c r="I245" s="3" t="str">
        <f aca="false">IFERROR(__xludf.dummyfunction("if($T245&lt;&gt;"""",VALUE(REGEXEXTRACT(SUBSTITUTE ($T245,I$1&amp;"" CE"",""""), I$1&amp;""[\w &amp;]*, (\d+\.\d+)"")),"""")
"),"")</f>
        <v/>
      </c>
      <c r="J245" s="3" t="str">
        <f aca="false">IFERROR(__xludf.dummyfunction("if($T245&lt;&gt;"""",VALUE(REGEXEXTRACT($T245, J$1&amp;""[\w &amp;]*, (\d+\.\d+)"")),"""")
"),"")</f>
        <v/>
      </c>
      <c r="K245" s="3"/>
      <c r="L245" s="3" t="str">
        <f aca="false">IFERROR(__xludf.dummyfunction("if($T245&lt;&gt;"""",VALUE(REGEXEXTRACT(SUBSTITUTE ($T245,L$1&amp;"" CE"",""""), L$1&amp;""[\w &amp;]*, (\d+\.\d+)"")),"""")
"),"")</f>
        <v/>
      </c>
      <c r="M245" s="3" t="str">
        <f aca="false">IFERROR(__xludf.dummyfunction("if($T245&lt;&gt;"""",VALUE(REGEXEXTRACT($T245, M$1&amp;""[\w &amp;]*, (\d+\.\d+)"")),"""")
"),"")</f>
        <v/>
      </c>
      <c r="N245" s="3" t="str">
        <f aca="false">IFERROR(__xludf.dummyfunction("if($T245&lt;&gt;"""",VALUE(REGEXEXTRACT(SUBSTITUTE ($T245,N$1&amp;"" CE"",""""), N$1&amp;""[\w &amp;]*, (\d+\.\d+)"")),"""")
"),"")</f>
        <v/>
      </c>
      <c r="O245" s="3" t="str">
        <f aca="false">IFERROR(__xludf.dummyfunction("if($T245&lt;&gt;"""",VALUE(REGEXEXTRACT($T245, O$1&amp;""[\w &amp;]*, (\d+\.\d+)"")),"""")
"),"")</f>
        <v/>
      </c>
      <c r="P245" s="2"/>
      <c r="Q245" s="2"/>
      <c r="R245" s="2"/>
      <c r="S245" s="2"/>
      <c r="T245" s="5"/>
    </row>
    <row r="246" customFormat="false" ht="15.75" hidden="false" customHeight="false" outlineLevel="0" collapsed="false">
      <c r="A246" s="4"/>
      <c r="B246" s="2"/>
      <c r="C246" s="2"/>
      <c r="D246" s="2"/>
      <c r="E246" s="2"/>
      <c r="F246" s="3" t="str">
        <f aca="false">IFERROR(__xludf.dummyfunction("if($T246&lt;&gt;"""",VALUE(REGEXEXTRACT(SUBSTITUTE ($T246,F$1&amp;"" CE"",""""), F$1&amp;""[\w &amp;]*, (\d+\.\d+)"")),"""")
"),"")</f>
        <v/>
      </c>
      <c r="G246" s="3" t="str">
        <f aca="false">IFERROR(__xludf.dummyfunction("if($T246&lt;&gt;"""",VALUE(REGEXEXTRACT($T246, G$1&amp;""[\w &amp;]*, (\d+\.\d+)"")),"""")
"),"")</f>
        <v/>
      </c>
      <c r="H246" s="3"/>
      <c r="I246" s="3" t="str">
        <f aca="false">IFERROR(__xludf.dummyfunction("if($T246&lt;&gt;"""",VALUE(REGEXEXTRACT(SUBSTITUTE ($T246,I$1&amp;"" CE"",""""), I$1&amp;""[\w &amp;]*, (\d+\.\d+)"")),"""")
"),"")</f>
        <v/>
      </c>
      <c r="J246" s="3" t="str">
        <f aca="false">IFERROR(__xludf.dummyfunction("if($T246&lt;&gt;"""",VALUE(REGEXEXTRACT($T246, J$1&amp;""[\w &amp;]*, (\d+\.\d+)"")),"""")
"),"")</f>
        <v/>
      </c>
      <c r="K246" s="3"/>
      <c r="L246" s="3" t="str">
        <f aca="false">IFERROR(__xludf.dummyfunction("if($T246&lt;&gt;"""",VALUE(REGEXEXTRACT(SUBSTITUTE ($T246,L$1&amp;"" CE"",""""), L$1&amp;""[\w &amp;]*, (\d+\.\d+)"")),"""")
"),"")</f>
        <v/>
      </c>
      <c r="M246" s="3" t="str">
        <f aca="false">IFERROR(__xludf.dummyfunction("if($T246&lt;&gt;"""",VALUE(REGEXEXTRACT($T246, M$1&amp;""[\w &amp;]*, (\d+\.\d+)"")),"""")
"),"")</f>
        <v/>
      </c>
      <c r="N246" s="3" t="str">
        <f aca="false">IFERROR(__xludf.dummyfunction("if($T246&lt;&gt;"""",VALUE(REGEXEXTRACT(SUBSTITUTE ($T246,N$1&amp;"" CE"",""""), N$1&amp;""[\w &amp;]*, (\d+\.\d+)"")),"""")
"),"")</f>
        <v/>
      </c>
      <c r="O246" s="3" t="str">
        <f aca="false">IFERROR(__xludf.dummyfunction("if($T246&lt;&gt;"""",VALUE(REGEXEXTRACT($T246, O$1&amp;""[\w &amp;]*, (\d+\.\d+)"")),"""")
"),"")</f>
        <v/>
      </c>
      <c r="P246" s="2"/>
      <c r="Q246" s="2"/>
      <c r="R246" s="2"/>
      <c r="S246" s="2"/>
      <c r="T246" s="5"/>
    </row>
    <row r="247" customFormat="false" ht="15.75" hidden="false" customHeight="false" outlineLevel="0" collapsed="false">
      <c r="A247" s="4"/>
      <c r="B247" s="2"/>
      <c r="C247" s="2"/>
      <c r="D247" s="2"/>
      <c r="E247" s="2"/>
      <c r="F247" s="3" t="str">
        <f aca="false">IFERROR(__xludf.dummyfunction("if($T247&lt;&gt;"""",VALUE(REGEXEXTRACT(SUBSTITUTE ($T247,F$1&amp;"" CE"",""""), F$1&amp;""[\w &amp;]*, (\d+\.\d+)"")),"""")
"),"")</f>
        <v/>
      </c>
      <c r="G247" s="3" t="str">
        <f aca="false">IFERROR(__xludf.dummyfunction("if($T247&lt;&gt;"""",VALUE(REGEXEXTRACT($T247, G$1&amp;""[\w &amp;]*, (\d+\.\d+)"")),"""")
"),"")</f>
        <v/>
      </c>
      <c r="H247" s="3"/>
      <c r="I247" s="3" t="str">
        <f aca="false">IFERROR(__xludf.dummyfunction("if($T247&lt;&gt;"""",VALUE(REGEXEXTRACT(SUBSTITUTE ($T247,I$1&amp;"" CE"",""""), I$1&amp;""[\w &amp;]*, (\d+\.\d+)"")),"""")
"),"")</f>
        <v/>
      </c>
      <c r="J247" s="3" t="str">
        <f aca="false">IFERROR(__xludf.dummyfunction("if($T247&lt;&gt;"""",VALUE(REGEXEXTRACT($T247, J$1&amp;""[\w &amp;]*, (\d+\.\d+)"")),"""")
"),"")</f>
        <v/>
      </c>
      <c r="K247" s="3"/>
      <c r="L247" s="3" t="str">
        <f aca="false">IFERROR(__xludf.dummyfunction("if($T247&lt;&gt;"""",VALUE(REGEXEXTRACT(SUBSTITUTE ($T247,L$1&amp;"" CE"",""""), L$1&amp;""[\w &amp;]*, (\d+\.\d+)"")),"""")
"),"")</f>
        <v/>
      </c>
      <c r="M247" s="3" t="str">
        <f aca="false">IFERROR(__xludf.dummyfunction("if($T247&lt;&gt;"""",VALUE(REGEXEXTRACT($T247, M$1&amp;""[\w &amp;]*, (\d+\.\d+)"")),"""")
"),"")</f>
        <v/>
      </c>
      <c r="N247" s="3" t="str">
        <f aca="false">IFERROR(__xludf.dummyfunction("if($T247&lt;&gt;"""",VALUE(REGEXEXTRACT(SUBSTITUTE ($T247,N$1&amp;"" CE"",""""), N$1&amp;""[\w &amp;]*, (\d+\.\d+)"")),"""")
"),"")</f>
        <v/>
      </c>
      <c r="O247" s="3" t="str">
        <f aca="false">IFERROR(__xludf.dummyfunction("if($T247&lt;&gt;"""",VALUE(REGEXEXTRACT($T247, O$1&amp;""[\w &amp;]*, (\d+\.\d+)"")),"""")
"),"")</f>
        <v/>
      </c>
      <c r="P247" s="2"/>
      <c r="Q247" s="2"/>
      <c r="R247" s="2"/>
      <c r="S247" s="2"/>
      <c r="T247" s="5"/>
    </row>
    <row r="248" customFormat="false" ht="15.75" hidden="false" customHeight="false" outlineLevel="0" collapsed="false">
      <c r="A248" s="4"/>
      <c r="B248" s="2"/>
      <c r="C248" s="2"/>
      <c r="D248" s="2"/>
      <c r="E248" s="2"/>
      <c r="F248" s="3" t="str">
        <f aca="false">IFERROR(__xludf.dummyfunction("if($T248&lt;&gt;"""",VALUE(REGEXEXTRACT(SUBSTITUTE ($T248,F$1&amp;"" CE"",""""), F$1&amp;""[\w &amp;]*, (\d+\.\d+)"")),"""")
"),"")</f>
        <v/>
      </c>
      <c r="G248" s="3" t="str">
        <f aca="false">IFERROR(__xludf.dummyfunction("if($T248&lt;&gt;"""",VALUE(REGEXEXTRACT($T248, G$1&amp;""[\w &amp;]*, (\d+\.\d+)"")),"""")
"),"")</f>
        <v/>
      </c>
      <c r="H248" s="3"/>
      <c r="I248" s="3" t="str">
        <f aca="false">IFERROR(__xludf.dummyfunction("if($T248&lt;&gt;"""",VALUE(REGEXEXTRACT(SUBSTITUTE ($T248,I$1&amp;"" CE"",""""), I$1&amp;""[\w &amp;]*, (\d+\.\d+)"")),"""")
"),"")</f>
        <v/>
      </c>
      <c r="J248" s="3" t="str">
        <f aca="false">IFERROR(__xludf.dummyfunction("if($T248&lt;&gt;"""",VALUE(REGEXEXTRACT($T248, J$1&amp;""[\w &amp;]*, (\d+\.\d+)"")),"""")
"),"")</f>
        <v/>
      </c>
      <c r="K248" s="3"/>
      <c r="L248" s="3" t="str">
        <f aca="false">IFERROR(__xludf.dummyfunction("if($T248&lt;&gt;"""",VALUE(REGEXEXTRACT(SUBSTITUTE ($T248,L$1&amp;"" CE"",""""), L$1&amp;""[\w &amp;]*, (\d+\.\d+)"")),"""")
"),"")</f>
        <v/>
      </c>
      <c r="M248" s="3" t="str">
        <f aca="false">IFERROR(__xludf.dummyfunction("if($T248&lt;&gt;"""",VALUE(REGEXEXTRACT($T248, M$1&amp;""[\w &amp;]*, (\d+\.\d+)"")),"""")
"),"")</f>
        <v/>
      </c>
      <c r="N248" s="3" t="str">
        <f aca="false">IFERROR(__xludf.dummyfunction("if($T248&lt;&gt;"""",VALUE(REGEXEXTRACT(SUBSTITUTE ($T248,N$1&amp;"" CE"",""""), N$1&amp;""[\w &amp;]*, (\d+\.\d+)"")),"""")
"),"")</f>
        <v/>
      </c>
      <c r="O248" s="3" t="str">
        <f aca="false">IFERROR(__xludf.dummyfunction("if($T248&lt;&gt;"""",VALUE(REGEXEXTRACT($T248, O$1&amp;""[\w &amp;]*, (\d+\.\d+)"")),"""")
"),"")</f>
        <v/>
      </c>
      <c r="P248" s="2"/>
      <c r="Q248" s="2"/>
      <c r="R248" s="2"/>
      <c r="S248" s="2"/>
      <c r="T248" s="5"/>
    </row>
    <row r="249" customFormat="false" ht="15.75" hidden="false" customHeight="false" outlineLevel="0" collapsed="false">
      <c r="A249" s="4"/>
      <c r="B249" s="2"/>
      <c r="C249" s="2"/>
      <c r="D249" s="2"/>
      <c r="E249" s="2"/>
      <c r="F249" s="3" t="str">
        <f aca="false">IFERROR(__xludf.dummyfunction("if($T249&lt;&gt;"""",VALUE(REGEXEXTRACT(SUBSTITUTE ($T249,F$1&amp;"" CE"",""""), F$1&amp;""[\w &amp;]*, (\d+\.\d+)"")),"""")
"),"")</f>
        <v/>
      </c>
      <c r="G249" s="3" t="str">
        <f aca="false">IFERROR(__xludf.dummyfunction("if($T249&lt;&gt;"""",VALUE(REGEXEXTRACT($T249, G$1&amp;""[\w &amp;]*, (\d+\.\d+)"")),"""")
"),"")</f>
        <v/>
      </c>
      <c r="H249" s="3"/>
      <c r="I249" s="3" t="str">
        <f aca="false">IFERROR(__xludf.dummyfunction("if($T249&lt;&gt;"""",VALUE(REGEXEXTRACT(SUBSTITUTE ($T249,I$1&amp;"" CE"",""""), I$1&amp;""[\w &amp;]*, (\d+\.\d+)"")),"""")
"),"")</f>
        <v/>
      </c>
      <c r="J249" s="3" t="str">
        <f aca="false">IFERROR(__xludf.dummyfunction("if($T249&lt;&gt;"""",VALUE(REGEXEXTRACT($T249, J$1&amp;""[\w &amp;]*, (\d+\.\d+)"")),"""")
"),"")</f>
        <v/>
      </c>
      <c r="K249" s="3"/>
      <c r="L249" s="3" t="str">
        <f aca="false">IFERROR(__xludf.dummyfunction("if($T249&lt;&gt;"""",VALUE(REGEXEXTRACT(SUBSTITUTE ($T249,L$1&amp;"" CE"",""""), L$1&amp;""[\w &amp;]*, (\d+\.\d+)"")),"""")
"),"")</f>
        <v/>
      </c>
      <c r="M249" s="3" t="str">
        <f aca="false">IFERROR(__xludf.dummyfunction("if($T249&lt;&gt;"""",VALUE(REGEXEXTRACT($T249, M$1&amp;""[\w &amp;]*, (\d+\.\d+)"")),"""")
"),"")</f>
        <v/>
      </c>
      <c r="N249" s="3" t="str">
        <f aca="false">IFERROR(__xludf.dummyfunction("if($T249&lt;&gt;"""",VALUE(REGEXEXTRACT(SUBSTITUTE ($T249,N$1&amp;"" CE"",""""), N$1&amp;""[\w &amp;]*, (\d+\.\d+)"")),"""")
"),"")</f>
        <v/>
      </c>
      <c r="O249" s="3" t="str">
        <f aca="false">IFERROR(__xludf.dummyfunction("if($T249&lt;&gt;"""",VALUE(REGEXEXTRACT($T249, O$1&amp;""[\w &amp;]*, (\d+\.\d+)"")),"""")
"),"")</f>
        <v/>
      </c>
      <c r="P249" s="2"/>
      <c r="Q249" s="2"/>
      <c r="R249" s="2"/>
      <c r="S249" s="2"/>
      <c r="T249" s="5"/>
    </row>
    <row r="250" customFormat="false" ht="15.75" hidden="false" customHeight="false" outlineLevel="0" collapsed="false">
      <c r="A250" s="4"/>
      <c r="B250" s="2"/>
      <c r="C250" s="2"/>
      <c r="D250" s="2"/>
      <c r="E250" s="2"/>
      <c r="F250" s="3" t="str">
        <f aca="false">IFERROR(__xludf.dummyfunction("if($T250&lt;&gt;"""",VALUE(REGEXEXTRACT(SUBSTITUTE ($T250,F$1&amp;"" CE"",""""), F$1&amp;""[\w &amp;]*, (\d+\.\d+)"")),"""")
"),"")</f>
        <v/>
      </c>
      <c r="G250" s="3" t="str">
        <f aca="false">IFERROR(__xludf.dummyfunction("if($T250&lt;&gt;"""",VALUE(REGEXEXTRACT($T250, G$1&amp;""[\w &amp;]*, (\d+\.\d+)"")),"""")
"),"")</f>
        <v/>
      </c>
      <c r="H250" s="3"/>
      <c r="I250" s="3" t="str">
        <f aca="false">IFERROR(__xludf.dummyfunction("if($T250&lt;&gt;"""",VALUE(REGEXEXTRACT(SUBSTITUTE ($T250,I$1&amp;"" CE"",""""), I$1&amp;""[\w &amp;]*, (\d+\.\d+)"")),"""")
"),"")</f>
        <v/>
      </c>
      <c r="J250" s="3" t="str">
        <f aca="false">IFERROR(__xludf.dummyfunction("if($T250&lt;&gt;"""",VALUE(REGEXEXTRACT($T250, J$1&amp;""[\w &amp;]*, (\d+\.\d+)"")),"""")
"),"")</f>
        <v/>
      </c>
      <c r="K250" s="3"/>
      <c r="L250" s="3" t="str">
        <f aca="false">IFERROR(__xludf.dummyfunction("if($T250&lt;&gt;"""",VALUE(REGEXEXTRACT(SUBSTITUTE ($T250,L$1&amp;"" CE"",""""), L$1&amp;""[\w &amp;]*, (\d+\.\d+)"")),"""")
"),"")</f>
        <v/>
      </c>
      <c r="M250" s="3" t="str">
        <f aca="false">IFERROR(__xludf.dummyfunction("if($T250&lt;&gt;"""",VALUE(REGEXEXTRACT($T250, M$1&amp;""[\w &amp;]*, (\d+\.\d+)"")),"""")
"),"")</f>
        <v/>
      </c>
      <c r="N250" s="3" t="str">
        <f aca="false">IFERROR(__xludf.dummyfunction("if($T250&lt;&gt;"""",VALUE(REGEXEXTRACT(SUBSTITUTE ($T250,N$1&amp;"" CE"",""""), N$1&amp;""[\w &amp;]*, (\d+\.\d+)"")),"""")
"),"")</f>
        <v/>
      </c>
      <c r="O250" s="3" t="str">
        <f aca="false">IFERROR(__xludf.dummyfunction("if($T250&lt;&gt;"""",VALUE(REGEXEXTRACT($T250, O$1&amp;""[\w &amp;]*, (\d+\.\d+)"")),"""")
"),"")</f>
        <v/>
      </c>
      <c r="P250" s="2"/>
      <c r="Q250" s="2"/>
      <c r="R250" s="2"/>
      <c r="S250" s="2"/>
      <c r="T250" s="5"/>
    </row>
    <row r="251" customFormat="false" ht="15.75" hidden="false" customHeight="false" outlineLevel="0" collapsed="false">
      <c r="A251" s="4"/>
      <c r="B251" s="2"/>
      <c r="C251" s="2"/>
      <c r="D251" s="2"/>
      <c r="E251" s="2"/>
      <c r="F251" s="3" t="str">
        <f aca="false">IFERROR(__xludf.dummyfunction("if($T251&lt;&gt;"""",VALUE(REGEXEXTRACT(SUBSTITUTE ($T251,F$1&amp;"" CE"",""""), F$1&amp;""[\w &amp;]*, (\d+\.\d+)"")),"""")
"),"")</f>
        <v/>
      </c>
      <c r="G251" s="3" t="str">
        <f aca="false">IFERROR(__xludf.dummyfunction("if($T251&lt;&gt;"""",VALUE(REGEXEXTRACT($T251, G$1&amp;""[\w &amp;]*, (\d+\.\d+)"")),"""")
"),"")</f>
        <v/>
      </c>
      <c r="H251" s="3"/>
      <c r="I251" s="3" t="str">
        <f aca="false">IFERROR(__xludf.dummyfunction("if($T251&lt;&gt;"""",VALUE(REGEXEXTRACT(SUBSTITUTE ($T251,I$1&amp;"" CE"",""""), I$1&amp;""[\w &amp;]*, (\d+\.\d+)"")),"""")
"),"")</f>
        <v/>
      </c>
      <c r="J251" s="3" t="str">
        <f aca="false">IFERROR(__xludf.dummyfunction("if($T251&lt;&gt;"""",VALUE(REGEXEXTRACT($T251, J$1&amp;""[\w &amp;]*, (\d+\.\d+)"")),"""")
"),"")</f>
        <v/>
      </c>
      <c r="K251" s="3"/>
      <c r="L251" s="3" t="str">
        <f aca="false">IFERROR(__xludf.dummyfunction("if($T251&lt;&gt;"""",VALUE(REGEXEXTRACT(SUBSTITUTE ($T251,L$1&amp;"" CE"",""""), L$1&amp;""[\w &amp;]*, (\d+\.\d+)"")),"""")
"),"")</f>
        <v/>
      </c>
      <c r="M251" s="3" t="str">
        <f aca="false">IFERROR(__xludf.dummyfunction("if($T251&lt;&gt;"""",VALUE(REGEXEXTRACT($T251, M$1&amp;""[\w &amp;]*, (\d+\.\d+)"")),"""")
"),"")</f>
        <v/>
      </c>
      <c r="N251" s="3" t="str">
        <f aca="false">IFERROR(__xludf.dummyfunction("if($T251&lt;&gt;"""",VALUE(REGEXEXTRACT(SUBSTITUTE ($T251,N$1&amp;"" CE"",""""), N$1&amp;""[\w &amp;]*, (\d+\.\d+)"")),"""")
"),"")</f>
        <v/>
      </c>
      <c r="O251" s="3" t="str">
        <f aca="false">IFERROR(__xludf.dummyfunction("if($T251&lt;&gt;"""",VALUE(REGEXEXTRACT($T251, O$1&amp;""[\w &amp;]*, (\d+\.\d+)"")),"""")
"),"")</f>
        <v/>
      </c>
      <c r="P251" s="2"/>
      <c r="Q251" s="2"/>
      <c r="R251" s="2"/>
      <c r="S251" s="2"/>
      <c r="T251" s="5"/>
    </row>
    <row r="252" customFormat="false" ht="15.75" hidden="false" customHeight="false" outlineLevel="0" collapsed="false">
      <c r="A252" s="4"/>
      <c r="B252" s="2"/>
      <c r="C252" s="2"/>
      <c r="D252" s="2"/>
      <c r="E252" s="2"/>
      <c r="F252" s="3" t="str">
        <f aca="false">IFERROR(__xludf.dummyfunction("if($T252&lt;&gt;"""",VALUE(REGEXEXTRACT(SUBSTITUTE ($T252,F$1&amp;"" CE"",""""), F$1&amp;""[\w &amp;]*, (\d+\.\d+)"")),"""")
"),"")</f>
        <v/>
      </c>
      <c r="G252" s="3" t="str">
        <f aca="false">IFERROR(__xludf.dummyfunction("if($T252&lt;&gt;"""",VALUE(REGEXEXTRACT($T252, G$1&amp;""[\w &amp;]*, (\d+\.\d+)"")),"""")
"),"")</f>
        <v/>
      </c>
      <c r="H252" s="3"/>
      <c r="I252" s="3" t="str">
        <f aca="false">IFERROR(__xludf.dummyfunction("if($T252&lt;&gt;"""",VALUE(REGEXEXTRACT(SUBSTITUTE ($T252,I$1&amp;"" CE"",""""), I$1&amp;""[\w &amp;]*, (\d+\.\d+)"")),"""")
"),"")</f>
        <v/>
      </c>
      <c r="J252" s="3" t="str">
        <f aca="false">IFERROR(__xludf.dummyfunction("if($T252&lt;&gt;"""",VALUE(REGEXEXTRACT($T252, J$1&amp;""[\w &amp;]*, (\d+\.\d+)"")),"""")
"),"")</f>
        <v/>
      </c>
      <c r="K252" s="3"/>
      <c r="L252" s="3" t="str">
        <f aca="false">IFERROR(__xludf.dummyfunction("if($T252&lt;&gt;"""",VALUE(REGEXEXTRACT(SUBSTITUTE ($T252,L$1&amp;"" CE"",""""), L$1&amp;""[\w &amp;]*, (\d+\.\d+)"")),"""")
"),"")</f>
        <v/>
      </c>
      <c r="M252" s="3" t="str">
        <f aca="false">IFERROR(__xludf.dummyfunction("if($T252&lt;&gt;"""",VALUE(REGEXEXTRACT($T252, M$1&amp;""[\w &amp;]*, (\d+\.\d+)"")),"""")
"),"")</f>
        <v/>
      </c>
      <c r="N252" s="3" t="str">
        <f aca="false">IFERROR(__xludf.dummyfunction("if($T252&lt;&gt;"""",VALUE(REGEXEXTRACT(SUBSTITUTE ($T252,N$1&amp;"" CE"",""""), N$1&amp;""[\w &amp;]*, (\d+\.\d+)"")),"""")
"),"")</f>
        <v/>
      </c>
      <c r="O252" s="3" t="str">
        <f aca="false">IFERROR(__xludf.dummyfunction("if($T252&lt;&gt;"""",VALUE(REGEXEXTRACT($T252, O$1&amp;""[\w &amp;]*, (\d+\.\d+)"")),"""")
"),"")</f>
        <v/>
      </c>
      <c r="P252" s="2"/>
      <c r="Q252" s="2"/>
      <c r="R252" s="2"/>
      <c r="S252" s="2"/>
      <c r="T252" s="5"/>
    </row>
    <row r="253" customFormat="false" ht="15.75" hidden="false" customHeight="false" outlineLevel="0" collapsed="false">
      <c r="A253" s="4"/>
      <c r="B253" s="2"/>
      <c r="C253" s="2"/>
      <c r="D253" s="2"/>
      <c r="E253" s="2"/>
      <c r="F253" s="3" t="str">
        <f aca="false">IFERROR(__xludf.dummyfunction("if($T253&lt;&gt;"""",VALUE(REGEXEXTRACT(SUBSTITUTE ($T253,F$1&amp;"" CE"",""""), F$1&amp;""[\w &amp;]*, (\d+\.\d+)"")),"""")
"),"")</f>
        <v/>
      </c>
      <c r="G253" s="3" t="str">
        <f aca="false">IFERROR(__xludf.dummyfunction("if($T253&lt;&gt;"""",VALUE(REGEXEXTRACT($T253, G$1&amp;""[\w &amp;]*, (\d+\.\d+)"")),"""")
"),"")</f>
        <v/>
      </c>
      <c r="H253" s="3"/>
      <c r="I253" s="3" t="str">
        <f aca="false">IFERROR(__xludf.dummyfunction("if($T253&lt;&gt;"""",VALUE(REGEXEXTRACT(SUBSTITUTE ($T253,I$1&amp;"" CE"",""""), I$1&amp;""[\w &amp;]*, (\d+\.\d+)"")),"""")
"),"")</f>
        <v/>
      </c>
      <c r="J253" s="3" t="str">
        <f aca="false">IFERROR(__xludf.dummyfunction("if($T253&lt;&gt;"""",VALUE(REGEXEXTRACT($T253, J$1&amp;""[\w &amp;]*, (\d+\.\d+)"")),"""")
"),"")</f>
        <v/>
      </c>
      <c r="K253" s="3"/>
      <c r="L253" s="3" t="str">
        <f aca="false">IFERROR(__xludf.dummyfunction("if($T253&lt;&gt;"""",VALUE(REGEXEXTRACT(SUBSTITUTE ($T253,L$1&amp;"" CE"",""""), L$1&amp;""[\w &amp;]*, (\d+\.\d+)"")),"""")
"),"")</f>
        <v/>
      </c>
      <c r="M253" s="3" t="str">
        <f aca="false">IFERROR(__xludf.dummyfunction("if($T253&lt;&gt;"""",VALUE(REGEXEXTRACT($T253, M$1&amp;""[\w &amp;]*, (\d+\.\d+)"")),"""")
"),"")</f>
        <v/>
      </c>
      <c r="N253" s="3" t="str">
        <f aca="false">IFERROR(__xludf.dummyfunction("if($T253&lt;&gt;"""",VALUE(REGEXEXTRACT(SUBSTITUTE ($T253,N$1&amp;"" CE"",""""), N$1&amp;""[\w &amp;]*, (\d+\.\d+)"")),"""")
"),"")</f>
        <v/>
      </c>
      <c r="O253" s="3" t="str">
        <f aca="false">IFERROR(__xludf.dummyfunction("if($T253&lt;&gt;"""",VALUE(REGEXEXTRACT($T253, O$1&amp;""[\w &amp;]*, (\d+\.\d+)"")),"""")
"),"")</f>
        <v/>
      </c>
      <c r="P253" s="2"/>
      <c r="Q253" s="2"/>
      <c r="R253" s="2"/>
      <c r="S253" s="2"/>
      <c r="T253" s="5"/>
    </row>
    <row r="254" customFormat="false" ht="15.75" hidden="false" customHeight="false" outlineLevel="0" collapsed="false">
      <c r="A254" s="4"/>
      <c r="B254" s="2"/>
      <c r="C254" s="2"/>
      <c r="D254" s="2"/>
      <c r="E254" s="2"/>
      <c r="F254" s="3" t="str">
        <f aca="false">IFERROR(__xludf.dummyfunction("if($T254&lt;&gt;"""",VALUE(REGEXEXTRACT(SUBSTITUTE ($T254,F$1&amp;"" CE"",""""), F$1&amp;""[\w &amp;]*, (\d+\.\d+)"")),"""")
"),"")</f>
        <v/>
      </c>
      <c r="G254" s="3" t="str">
        <f aca="false">IFERROR(__xludf.dummyfunction("if($T254&lt;&gt;"""",VALUE(REGEXEXTRACT($T254, G$1&amp;""[\w &amp;]*, (\d+\.\d+)"")),"""")
"),"")</f>
        <v/>
      </c>
      <c r="H254" s="3"/>
      <c r="I254" s="3" t="str">
        <f aca="false">IFERROR(__xludf.dummyfunction("if($T254&lt;&gt;"""",VALUE(REGEXEXTRACT(SUBSTITUTE ($T254,I$1&amp;"" CE"",""""), I$1&amp;""[\w &amp;]*, (\d+\.\d+)"")),"""")
"),"")</f>
        <v/>
      </c>
      <c r="J254" s="3" t="str">
        <f aca="false">IFERROR(__xludf.dummyfunction("if($T254&lt;&gt;"""",VALUE(REGEXEXTRACT($T254, J$1&amp;""[\w &amp;]*, (\d+\.\d+)"")),"""")
"),"")</f>
        <v/>
      </c>
      <c r="K254" s="3"/>
      <c r="L254" s="3" t="str">
        <f aca="false">IFERROR(__xludf.dummyfunction("if($T254&lt;&gt;"""",VALUE(REGEXEXTRACT(SUBSTITUTE ($T254,L$1&amp;"" CE"",""""), L$1&amp;""[\w &amp;]*, (\d+\.\d+)"")),"""")
"),"")</f>
        <v/>
      </c>
      <c r="M254" s="3" t="str">
        <f aca="false">IFERROR(__xludf.dummyfunction("if($T254&lt;&gt;"""",VALUE(REGEXEXTRACT($T254, M$1&amp;""[\w &amp;]*, (\d+\.\d+)"")),"""")
"),"")</f>
        <v/>
      </c>
      <c r="N254" s="3" t="str">
        <f aca="false">IFERROR(__xludf.dummyfunction("if($T254&lt;&gt;"""",VALUE(REGEXEXTRACT(SUBSTITUTE ($T254,N$1&amp;"" CE"",""""), N$1&amp;""[\w &amp;]*, (\d+\.\d+)"")),"""")
"),"")</f>
        <v/>
      </c>
      <c r="O254" s="3" t="str">
        <f aca="false">IFERROR(__xludf.dummyfunction("if($T254&lt;&gt;"""",VALUE(REGEXEXTRACT($T254, O$1&amp;""[\w &amp;]*, (\d+\.\d+)"")),"""")
"),"")</f>
        <v/>
      </c>
      <c r="P254" s="2"/>
      <c r="Q254" s="2"/>
      <c r="R254" s="2"/>
      <c r="S254" s="2"/>
      <c r="T254" s="5"/>
    </row>
    <row r="255" customFormat="false" ht="15.75" hidden="false" customHeight="false" outlineLevel="0" collapsed="false">
      <c r="A255" s="4"/>
      <c r="B255" s="2"/>
      <c r="C255" s="2"/>
      <c r="D255" s="2"/>
      <c r="E255" s="2"/>
      <c r="F255" s="3" t="str">
        <f aca="false">IFERROR(__xludf.dummyfunction("if($T255&lt;&gt;"""",VALUE(REGEXEXTRACT(SUBSTITUTE ($T255,F$1&amp;"" CE"",""""), F$1&amp;""[\w &amp;]*, (\d+\.\d+)"")),"""")
"),"")</f>
        <v/>
      </c>
      <c r="G255" s="3" t="str">
        <f aca="false">IFERROR(__xludf.dummyfunction("if($T255&lt;&gt;"""",VALUE(REGEXEXTRACT($T255, G$1&amp;""[\w &amp;]*, (\d+\.\d+)"")),"""")
"),"")</f>
        <v/>
      </c>
      <c r="H255" s="3"/>
      <c r="I255" s="3" t="str">
        <f aca="false">IFERROR(__xludf.dummyfunction("if($T255&lt;&gt;"""",VALUE(REGEXEXTRACT(SUBSTITUTE ($T255,I$1&amp;"" CE"",""""), I$1&amp;""[\w &amp;]*, (\d+\.\d+)"")),"""")
"),"")</f>
        <v/>
      </c>
      <c r="J255" s="3" t="str">
        <f aca="false">IFERROR(__xludf.dummyfunction("if($T255&lt;&gt;"""",VALUE(REGEXEXTRACT($T255, J$1&amp;""[\w &amp;]*, (\d+\.\d+)"")),"""")
"),"")</f>
        <v/>
      </c>
      <c r="K255" s="3"/>
      <c r="L255" s="3" t="str">
        <f aca="false">IFERROR(__xludf.dummyfunction("if($T255&lt;&gt;"""",VALUE(REGEXEXTRACT(SUBSTITUTE ($T255,L$1&amp;"" CE"",""""), L$1&amp;""[\w &amp;]*, (\d+\.\d+)"")),"""")
"),"")</f>
        <v/>
      </c>
      <c r="M255" s="3" t="str">
        <f aca="false">IFERROR(__xludf.dummyfunction("if($T255&lt;&gt;"""",VALUE(REGEXEXTRACT($T255, M$1&amp;""[\w &amp;]*, (\d+\.\d+)"")),"""")
"),"")</f>
        <v/>
      </c>
      <c r="N255" s="3" t="str">
        <f aca="false">IFERROR(__xludf.dummyfunction("if($T255&lt;&gt;"""",VALUE(REGEXEXTRACT(SUBSTITUTE ($T255,N$1&amp;"" CE"",""""), N$1&amp;""[\w &amp;]*, (\d+\.\d+)"")),"""")
"),"")</f>
        <v/>
      </c>
      <c r="O255" s="3" t="str">
        <f aca="false">IFERROR(__xludf.dummyfunction("if($T255&lt;&gt;"""",VALUE(REGEXEXTRACT($T255, O$1&amp;""[\w &amp;]*, (\d+\.\d+)"")),"""")
"),"")</f>
        <v/>
      </c>
      <c r="P255" s="2"/>
      <c r="Q255" s="2"/>
      <c r="R255" s="2"/>
      <c r="S255" s="2"/>
      <c r="T255" s="5"/>
    </row>
    <row r="256" customFormat="false" ht="15.75" hidden="false" customHeight="false" outlineLevel="0" collapsed="false">
      <c r="A256" s="4"/>
      <c r="B256" s="2"/>
      <c r="C256" s="2"/>
      <c r="D256" s="2"/>
      <c r="E256" s="2"/>
      <c r="F256" s="3" t="str">
        <f aca="false">IFERROR(__xludf.dummyfunction("if($T256&lt;&gt;"""",VALUE(REGEXEXTRACT(SUBSTITUTE ($T256,F$1&amp;"" CE"",""""), F$1&amp;""[\w &amp;]*, (\d+\.\d+)"")),"""")
"),"")</f>
        <v/>
      </c>
      <c r="G256" s="3" t="str">
        <f aca="false">IFERROR(__xludf.dummyfunction("if($T256&lt;&gt;"""",VALUE(REGEXEXTRACT($T256, G$1&amp;""[\w &amp;]*, (\d+\.\d+)"")),"""")
"),"")</f>
        <v/>
      </c>
      <c r="H256" s="3"/>
      <c r="I256" s="3" t="str">
        <f aca="false">IFERROR(__xludf.dummyfunction("if($T256&lt;&gt;"""",VALUE(REGEXEXTRACT(SUBSTITUTE ($T256,I$1&amp;"" CE"",""""), I$1&amp;""[\w &amp;]*, (\d+\.\d+)"")),"""")
"),"")</f>
        <v/>
      </c>
      <c r="J256" s="3" t="str">
        <f aca="false">IFERROR(__xludf.dummyfunction("if($T256&lt;&gt;"""",VALUE(REGEXEXTRACT($T256, J$1&amp;""[\w &amp;]*, (\d+\.\d+)"")),"""")
"),"")</f>
        <v/>
      </c>
      <c r="K256" s="3"/>
      <c r="L256" s="3" t="str">
        <f aca="false">IFERROR(__xludf.dummyfunction("if($T256&lt;&gt;"""",VALUE(REGEXEXTRACT(SUBSTITUTE ($T256,L$1&amp;"" CE"",""""), L$1&amp;""[\w &amp;]*, (\d+\.\d+)"")),"""")
"),"")</f>
        <v/>
      </c>
      <c r="M256" s="3" t="str">
        <f aca="false">IFERROR(__xludf.dummyfunction("if($T256&lt;&gt;"""",VALUE(REGEXEXTRACT($T256, M$1&amp;""[\w &amp;]*, (\d+\.\d+)"")),"""")
"),"")</f>
        <v/>
      </c>
      <c r="N256" s="3" t="str">
        <f aca="false">IFERROR(__xludf.dummyfunction("if($T256&lt;&gt;"""",VALUE(REGEXEXTRACT(SUBSTITUTE ($T256,N$1&amp;"" CE"",""""), N$1&amp;""[\w &amp;]*, (\d+\.\d+)"")),"""")
"),"")</f>
        <v/>
      </c>
      <c r="O256" s="3" t="str">
        <f aca="false">IFERROR(__xludf.dummyfunction("if($T256&lt;&gt;"""",VALUE(REGEXEXTRACT($T256, O$1&amp;""[\w &amp;]*, (\d+\.\d+)"")),"""")
"),"")</f>
        <v/>
      </c>
      <c r="P256" s="2"/>
      <c r="Q256" s="2"/>
      <c r="R256" s="2"/>
      <c r="S256" s="2"/>
      <c r="T256" s="5"/>
    </row>
    <row r="257" customFormat="false" ht="15.75" hidden="false" customHeight="false" outlineLevel="0" collapsed="false">
      <c r="A257" s="4"/>
      <c r="B257" s="2"/>
      <c r="C257" s="2"/>
      <c r="D257" s="2"/>
      <c r="E257" s="2"/>
      <c r="F257" s="3" t="str">
        <f aca="false">IFERROR(__xludf.dummyfunction("if($T257&lt;&gt;"""",VALUE(REGEXEXTRACT(SUBSTITUTE ($T257,F$1&amp;"" CE"",""""), F$1&amp;""[\w &amp;]*, (\d+\.\d+)"")),"""")
"),"")</f>
        <v/>
      </c>
      <c r="G257" s="3" t="str">
        <f aca="false">IFERROR(__xludf.dummyfunction("if($T257&lt;&gt;"""",VALUE(REGEXEXTRACT($T257, G$1&amp;""[\w &amp;]*, (\d+\.\d+)"")),"""")
"),"")</f>
        <v/>
      </c>
      <c r="H257" s="3"/>
      <c r="I257" s="3" t="str">
        <f aca="false">IFERROR(__xludf.dummyfunction("if($T257&lt;&gt;"""",VALUE(REGEXEXTRACT(SUBSTITUTE ($T257,I$1&amp;"" CE"",""""), I$1&amp;""[\w &amp;]*, (\d+\.\d+)"")),"""")
"),"")</f>
        <v/>
      </c>
      <c r="J257" s="3" t="str">
        <f aca="false">IFERROR(__xludf.dummyfunction("if($T257&lt;&gt;"""",VALUE(REGEXEXTRACT($T257, J$1&amp;""[\w &amp;]*, (\d+\.\d+)"")),"""")
"),"")</f>
        <v/>
      </c>
      <c r="K257" s="3"/>
      <c r="L257" s="3" t="str">
        <f aca="false">IFERROR(__xludf.dummyfunction("if($T257&lt;&gt;"""",VALUE(REGEXEXTRACT(SUBSTITUTE ($T257,L$1&amp;"" CE"",""""), L$1&amp;""[\w &amp;]*, (\d+\.\d+)"")),"""")
"),"")</f>
        <v/>
      </c>
      <c r="M257" s="3" t="str">
        <f aca="false">IFERROR(__xludf.dummyfunction("if($T257&lt;&gt;"""",VALUE(REGEXEXTRACT($T257, M$1&amp;""[\w &amp;]*, (\d+\.\d+)"")),"""")
"),"")</f>
        <v/>
      </c>
      <c r="N257" s="3" t="str">
        <f aca="false">IFERROR(__xludf.dummyfunction("if($T257&lt;&gt;"""",VALUE(REGEXEXTRACT(SUBSTITUTE ($T257,N$1&amp;"" CE"",""""), N$1&amp;""[\w &amp;]*, (\d+\.\d+)"")),"""")
"),"")</f>
        <v/>
      </c>
      <c r="O257" s="3" t="str">
        <f aca="false">IFERROR(__xludf.dummyfunction("if($T257&lt;&gt;"""",VALUE(REGEXEXTRACT($T257, O$1&amp;""[\w &amp;]*, (\d+\.\d+)"")),"""")
"),"")</f>
        <v/>
      </c>
      <c r="P257" s="2"/>
      <c r="Q257" s="2"/>
      <c r="R257" s="2"/>
      <c r="S257" s="2"/>
      <c r="T257" s="5"/>
    </row>
    <row r="258" customFormat="false" ht="15.75" hidden="false" customHeight="false" outlineLevel="0" collapsed="false">
      <c r="A258" s="4"/>
      <c r="B258" s="2"/>
      <c r="C258" s="2"/>
      <c r="D258" s="2"/>
      <c r="E258" s="2"/>
      <c r="F258" s="3" t="str">
        <f aca="false">IFERROR(__xludf.dummyfunction("if($T258&lt;&gt;"""",VALUE(REGEXEXTRACT(SUBSTITUTE ($T258,F$1&amp;"" CE"",""""), F$1&amp;""[\w &amp;]*, (\d+\.\d+)"")),"""")
"),"")</f>
        <v/>
      </c>
      <c r="G258" s="3" t="str">
        <f aca="false">IFERROR(__xludf.dummyfunction("if($T258&lt;&gt;"""",VALUE(REGEXEXTRACT($T258, G$1&amp;""[\w &amp;]*, (\d+\.\d+)"")),"""")
"),"")</f>
        <v/>
      </c>
      <c r="H258" s="3"/>
      <c r="I258" s="3" t="str">
        <f aca="false">IFERROR(__xludf.dummyfunction("if($T258&lt;&gt;"""",VALUE(REGEXEXTRACT(SUBSTITUTE ($T258,I$1&amp;"" CE"",""""), I$1&amp;""[\w &amp;]*, (\d+\.\d+)"")),"""")
"),"")</f>
        <v/>
      </c>
      <c r="J258" s="3" t="str">
        <f aca="false">IFERROR(__xludf.dummyfunction("if($T258&lt;&gt;"""",VALUE(REGEXEXTRACT($T258, J$1&amp;""[\w &amp;]*, (\d+\.\d+)"")),"""")
"),"")</f>
        <v/>
      </c>
      <c r="K258" s="3"/>
      <c r="L258" s="3" t="str">
        <f aca="false">IFERROR(__xludf.dummyfunction("if($T258&lt;&gt;"""",VALUE(REGEXEXTRACT(SUBSTITUTE ($T258,L$1&amp;"" CE"",""""), L$1&amp;""[\w &amp;]*, (\d+\.\d+)"")),"""")
"),"")</f>
        <v/>
      </c>
      <c r="M258" s="3" t="str">
        <f aca="false">IFERROR(__xludf.dummyfunction("if($T258&lt;&gt;"""",VALUE(REGEXEXTRACT($T258, M$1&amp;""[\w &amp;]*, (\d+\.\d+)"")),"""")
"),"")</f>
        <v/>
      </c>
      <c r="N258" s="3" t="str">
        <f aca="false">IFERROR(__xludf.dummyfunction("if($T258&lt;&gt;"""",VALUE(REGEXEXTRACT(SUBSTITUTE ($T258,N$1&amp;"" CE"",""""), N$1&amp;""[\w &amp;]*, (\d+\.\d+)"")),"""")
"),"")</f>
        <v/>
      </c>
      <c r="O258" s="3" t="str">
        <f aca="false">IFERROR(__xludf.dummyfunction("if($T258&lt;&gt;"""",VALUE(REGEXEXTRACT($T258, O$1&amp;""[\w &amp;]*, (\d+\.\d+)"")),"""")
"),"")</f>
        <v/>
      </c>
      <c r="P258" s="2"/>
      <c r="Q258" s="2"/>
      <c r="R258" s="2"/>
      <c r="S258" s="2"/>
      <c r="T258" s="5"/>
    </row>
    <row r="259" customFormat="false" ht="15.75" hidden="false" customHeight="false" outlineLevel="0" collapsed="false">
      <c r="A259" s="4"/>
      <c r="B259" s="2"/>
      <c r="C259" s="2"/>
      <c r="D259" s="2"/>
      <c r="E259" s="2"/>
      <c r="F259" s="3" t="str">
        <f aca="false">IFERROR(__xludf.dummyfunction("if($T259&lt;&gt;"""",VALUE(REGEXEXTRACT(SUBSTITUTE ($T259,F$1&amp;"" CE"",""""), F$1&amp;""[\w &amp;]*, (\d+\.\d+)"")),"""")
"),"")</f>
        <v/>
      </c>
      <c r="G259" s="3" t="str">
        <f aca="false">IFERROR(__xludf.dummyfunction("if($T259&lt;&gt;"""",VALUE(REGEXEXTRACT($T259, G$1&amp;""[\w &amp;]*, (\d+\.\d+)"")),"""")
"),"")</f>
        <v/>
      </c>
      <c r="H259" s="3"/>
      <c r="I259" s="3" t="str">
        <f aca="false">IFERROR(__xludf.dummyfunction("if($T259&lt;&gt;"""",VALUE(REGEXEXTRACT(SUBSTITUTE ($T259,I$1&amp;"" CE"",""""), I$1&amp;""[\w &amp;]*, (\d+\.\d+)"")),"""")
"),"")</f>
        <v/>
      </c>
      <c r="J259" s="3" t="str">
        <f aca="false">IFERROR(__xludf.dummyfunction("if($T259&lt;&gt;"""",VALUE(REGEXEXTRACT($T259, J$1&amp;""[\w &amp;]*, (\d+\.\d+)"")),"""")
"),"")</f>
        <v/>
      </c>
      <c r="K259" s="3"/>
      <c r="L259" s="3" t="str">
        <f aca="false">IFERROR(__xludf.dummyfunction("if($T259&lt;&gt;"""",VALUE(REGEXEXTRACT(SUBSTITUTE ($T259,L$1&amp;"" CE"",""""), L$1&amp;""[\w &amp;]*, (\d+\.\d+)"")),"""")
"),"")</f>
        <v/>
      </c>
      <c r="M259" s="3" t="str">
        <f aca="false">IFERROR(__xludf.dummyfunction("if($T259&lt;&gt;"""",VALUE(REGEXEXTRACT($T259, M$1&amp;""[\w &amp;]*, (\d+\.\d+)"")),"""")
"),"")</f>
        <v/>
      </c>
      <c r="N259" s="3" t="str">
        <f aca="false">IFERROR(__xludf.dummyfunction("if($T259&lt;&gt;"""",VALUE(REGEXEXTRACT(SUBSTITUTE ($T259,N$1&amp;"" CE"",""""), N$1&amp;""[\w &amp;]*, (\d+\.\d+)"")),"""")
"),"")</f>
        <v/>
      </c>
      <c r="O259" s="3" t="str">
        <f aca="false">IFERROR(__xludf.dummyfunction("if($T259&lt;&gt;"""",VALUE(REGEXEXTRACT($T259, O$1&amp;""[\w &amp;]*, (\d+\.\d+)"")),"""")
"),"")</f>
        <v/>
      </c>
      <c r="P259" s="2"/>
      <c r="Q259" s="2"/>
      <c r="R259" s="2"/>
      <c r="S259" s="2"/>
      <c r="T259" s="5"/>
    </row>
    <row r="260" customFormat="false" ht="15.75" hidden="false" customHeight="false" outlineLevel="0" collapsed="false">
      <c r="A260" s="4"/>
      <c r="B260" s="2"/>
      <c r="C260" s="2"/>
      <c r="D260" s="2"/>
      <c r="E260" s="2"/>
      <c r="F260" s="3" t="str">
        <f aca="false">IFERROR(__xludf.dummyfunction("if($T260&lt;&gt;"""",VALUE(REGEXEXTRACT(SUBSTITUTE ($T260,F$1&amp;"" CE"",""""), F$1&amp;""[\w &amp;]*, (\d+\.\d+)"")),"""")
"),"")</f>
        <v/>
      </c>
      <c r="G260" s="3" t="str">
        <f aca="false">IFERROR(__xludf.dummyfunction("if($T260&lt;&gt;"""",VALUE(REGEXEXTRACT($T260, G$1&amp;""[\w &amp;]*, (\d+\.\d+)"")),"""")
"),"")</f>
        <v/>
      </c>
      <c r="H260" s="3"/>
      <c r="I260" s="3" t="str">
        <f aca="false">IFERROR(__xludf.dummyfunction("if($T260&lt;&gt;"""",VALUE(REGEXEXTRACT(SUBSTITUTE ($T260,I$1&amp;"" CE"",""""), I$1&amp;""[\w &amp;]*, (\d+\.\d+)"")),"""")
"),"")</f>
        <v/>
      </c>
      <c r="J260" s="3" t="str">
        <f aca="false">IFERROR(__xludf.dummyfunction("if($T260&lt;&gt;"""",VALUE(REGEXEXTRACT($T260, J$1&amp;""[\w &amp;]*, (\d+\.\d+)"")),"""")
"),"")</f>
        <v/>
      </c>
      <c r="K260" s="3"/>
      <c r="L260" s="3" t="str">
        <f aca="false">IFERROR(__xludf.dummyfunction("if($T260&lt;&gt;"""",VALUE(REGEXEXTRACT(SUBSTITUTE ($T260,L$1&amp;"" CE"",""""), L$1&amp;""[\w &amp;]*, (\d+\.\d+)"")),"""")
"),"")</f>
        <v/>
      </c>
      <c r="M260" s="3" t="str">
        <f aca="false">IFERROR(__xludf.dummyfunction("if($T260&lt;&gt;"""",VALUE(REGEXEXTRACT($T260, M$1&amp;""[\w &amp;]*, (\d+\.\d+)"")),"""")
"),"")</f>
        <v/>
      </c>
      <c r="N260" s="3" t="str">
        <f aca="false">IFERROR(__xludf.dummyfunction("if($T260&lt;&gt;"""",VALUE(REGEXEXTRACT(SUBSTITUTE ($T260,N$1&amp;"" CE"",""""), N$1&amp;""[\w &amp;]*, (\d+\.\d+)"")),"""")
"),"")</f>
        <v/>
      </c>
      <c r="O260" s="3" t="str">
        <f aca="false">IFERROR(__xludf.dummyfunction("if($T260&lt;&gt;"""",VALUE(REGEXEXTRACT($T260, O$1&amp;""[\w &amp;]*, (\d+\.\d+)"")),"""")
"),"")</f>
        <v/>
      </c>
      <c r="P260" s="2"/>
      <c r="Q260" s="2"/>
      <c r="R260" s="2"/>
      <c r="S260" s="2"/>
      <c r="T260" s="5"/>
    </row>
    <row r="261" customFormat="false" ht="15.75" hidden="false" customHeight="false" outlineLevel="0" collapsed="false">
      <c r="A261" s="4"/>
      <c r="B261" s="2"/>
      <c r="C261" s="2"/>
      <c r="D261" s="2"/>
      <c r="E261" s="2"/>
      <c r="F261" s="3" t="str">
        <f aca="false">IFERROR(__xludf.dummyfunction("if($T261&lt;&gt;"""",VALUE(REGEXEXTRACT(SUBSTITUTE ($T261,F$1&amp;"" CE"",""""), F$1&amp;""[\w &amp;]*, (\d+\.\d+)"")),"""")
"),"")</f>
        <v/>
      </c>
      <c r="G261" s="3" t="str">
        <f aca="false">IFERROR(__xludf.dummyfunction("if($T261&lt;&gt;"""",VALUE(REGEXEXTRACT($T261, G$1&amp;""[\w &amp;]*, (\d+\.\d+)"")),"""")
"),"")</f>
        <v/>
      </c>
      <c r="H261" s="3"/>
      <c r="I261" s="3" t="str">
        <f aca="false">IFERROR(__xludf.dummyfunction("if($T261&lt;&gt;"""",VALUE(REGEXEXTRACT(SUBSTITUTE ($T261,I$1&amp;"" CE"",""""), I$1&amp;""[\w &amp;]*, (\d+\.\d+)"")),"""")
"),"")</f>
        <v/>
      </c>
      <c r="J261" s="3" t="str">
        <f aca="false">IFERROR(__xludf.dummyfunction("if($T261&lt;&gt;"""",VALUE(REGEXEXTRACT($T261, J$1&amp;""[\w &amp;]*, (\d+\.\d+)"")),"""")
"),"")</f>
        <v/>
      </c>
      <c r="K261" s="3"/>
      <c r="L261" s="3" t="str">
        <f aca="false">IFERROR(__xludf.dummyfunction("if($T261&lt;&gt;"""",VALUE(REGEXEXTRACT(SUBSTITUTE ($T261,L$1&amp;"" CE"",""""), L$1&amp;""[\w &amp;]*, (\d+\.\d+)"")),"""")
"),"")</f>
        <v/>
      </c>
      <c r="M261" s="3" t="str">
        <f aca="false">IFERROR(__xludf.dummyfunction("if($T261&lt;&gt;"""",VALUE(REGEXEXTRACT($T261, M$1&amp;""[\w &amp;]*, (\d+\.\d+)"")),"""")
"),"")</f>
        <v/>
      </c>
      <c r="N261" s="3" t="str">
        <f aca="false">IFERROR(__xludf.dummyfunction("if($T261&lt;&gt;"""",VALUE(REGEXEXTRACT(SUBSTITUTE ($T261,N$1&amp;"" CE"",""""), N$1&amp;""[\w &amp;]*, (\d+\.\d+)"")),"""")
"),"")</f>
        <v/>
      </c>
      <c r="O261" s="3" t="str">
        <f aca="false">IFERROR(__xludf.dummyfunction("if($T261&lt;&gt;"""",VALUE(REGEXEXTRACT($T261, O$1&amp;""[\w &amp;]*, (\d+\.\d+)"")),"""")
"),"")</f>
        <v/>
      </c>
      <c r="P261" s="2"/>
      <c r="Q261" s="2"/>
      <c r="R261" s="2"/>
      <c r="S261" s="2"/>
      <c r="T261" s="5"/>
    </row>
    <row r="262" customFormat="false" ht="15.75" hidden="false" customHeight="false" outlineLevel="0" collapsed="false">
      <c r="A262" s="4"/>
      <c r="B262" s="2"/>
      <c r="C262" s="2"/>
      <c r="D262" s="2"/>
      <c r="E262" s="2"/>
      <c r="F262" s="3" t="str">
        <f aca="false">IFERROR(__xludf.dummyfunction("if($T262&lt;&gt;"""",REGEXEXTRACT(SUBSTITUTE ($T262,F$1&amp;"" CE"",""""), F$1&amp;""[\w &amp;]*, (\d+\.\d+)""),"""")
"),"")</f>
        <v/>
      </c>
      <c r="G262" s="3" t="str">
        <f aca="false">IFERROR(__xludf.dummyfunction("if($T262&lt;&gt;"""",REGEXEXTRACT($T262, G$1&amp;""[\w &amp;]*, (\d+\.\d+)""),"""")
"),"")</f>
        <v/>
      </c>
      <c r="H262" s="3"/>
      <c r="I262" s="3" t="str">
        <f aca="false">IFERROR(__xludf.dummyfunction("if($T262&lt;&gt;"""",REGEXEXTRACT(SUBSTITUTE ($T262,I$1&amp;"" CE"",""""), I$1&amp;""[\w &amp;]*, (\d+\.\d+)""),"""")
"),"")</f>
        <v/>
      </c>
      <c r="J262" s="3" t="str">
        <f aca="false">IFERROR(__xludf.dummyfunction("if($T262&lt;&gt;"""",REGEXEXTRACT($T262, J$1&amp;""[\w &amp;]*, (\d+\.\d+)""),"""")
"),"")</f>
        <v/>
      </c>
      <c r="K262" s="3"/>
      <c r="L262" s="3" t="str">
        <f aca="false">IFERROR(__xludf.dummyfunction("if($T262&lt;&gt;"""",REGEXEXTRACT(SUBSTITUTE ($T262,L$1&amp;"" CE"",""""), L$1&amp;""[\w &amp;]*, (\d+\.\d+)""),"""")
"),"")</f>
        <v/>
      </c>
      <c r="M262" s="3" t="str">
        <f aca="false">IFERROR(__xludf.dummyfunction("if($T262&lt;&gt;"""",REGEXEXTRACT($T262, M$1&amp;""[\w &amp;]*, (\d+\.\d+)""),"""")
"),"")</f>
        <v/>
      </c>
      <c r="N262" s="3" t="str">
        <f aca="false">IFERROR(__xludf.dummyfunction("if($T262&lt;&gt;"""",REGEXEXTRACT(SUBSTITUTE ($T262,N$1&amp;"" CE"",""""), N$1&amp;""[\w &amp;]*, (\d+\.\d+)""),"""")
"),"")</f>
        <v/>
      </c>
      <c r="O262" s="3" t="str">
        <f aca="false">IFERROR(__xludf.dummyfunction("if($T262&lt;&gt;"""",REGEXEXTRACT($T262, O$1&amp;""[\w &amp;]*, (\d+\.\d+)""),"""")
"),"")</f>
        <v/>
      </c>
      <c r="P262" s="2"/>
      <c r="Q262" s="2"/>
      <c r="R262" s="2"/>
      <c r="S262" s="2"/>
      <c r="T262" s="5"/>
    </row>
    <row r="263" customFormat="false" ht="15.75" hidden="false" customHeight="false" outlineLevel="0" collapsed="false">
      <c r="A263" s="4"/>
      <c r="B263" s="2"/>
      <c r="C263" s="2"/>
      <c r="D263" s="2"/>
      <c r="E263" s="2"/>
      <c r="F263" s="3" t="str">
        <f aca="false">IFERROR(__xludf.dummyfunction("if($T263&lt;&gt;"""",REGEXEXTRACT(SUBSTITUTE ($T263,F$1&amp;"" CE"",""""), F$1&amp;""[\w &amp;]*, (\d+\.\d+)""),"""")
"),"")</f>
        <v/>
      </c>
      <c r="G263" s="3" t="str">
        <f aca="false">IFERROR(__xludf.dummyfunction("if($T263&lt;&gt;"""",REGEXEXTRACT($T263, G$1&amp;""[\w &amp;]*, (\d+\.\d+)""),"""")
"),"")</f>
        <v/>
      </c>
      <c r="H263" s="3"/>
      <c r="I263" s="3" t="str">
        <f aca="false">IFERROR(__xludf.dummyfunction("if($T263&lt;&gt;"""",REGEXEXTRACT(SUBSTITUTE ($T263,I$1&amp;"" CE"",""""), I$1&amp;""[\w &amp;]*, (\d+\.\d+)""),"""")
"),"")</f>
        <v/>
      </c>
      <c r="J263" s="3" t="str">
        <f aca="false">IFERROR(__xludf.dummyfunction("if($T263&lt;&gt;"""",REGEXEXTRACT($T263, J$1&amp;""[\w &amp;]*, (\d+\.\d+)""),"""")
"),"")</f>
        <v/>
      </c>
      <c r="K263" s="3"/>
      <c r="L263" s="3" t="str">
        <f aca="false">IFERROR(__xludf.dummyfunction("if($T263&lt;&gt;"""",REGEXEXTRACT(SUBSTITUTE ($T263,L$1&amp;"" CE"",""""), L$1&amp;""[\w &amp;]*, (\d+\.\d+)""),"""")
"),"")</f>
        <v/>
      </c>
      <c r="M263" s="3" t="str">
        <f aca="false">IFERROR(__xludf.dummyfunction("if($T263&lt;&gt;"""",REGEXEXTRACT($T263, M$1&amp;""[\w &amp;]*, (\d+\.\d+)""),"""")
"),"")</f>
        <v/>
      </c>
      <c r="N263" s="3" t="str">
        <f aca="false">IFERROR(__xludf.dummyfunction("if($T263&lt;&gt;"""",REGEXEXTRACT(SUBSTITUTE ($T263,N$1&amp;"" CE"",""""), N$1&amp;""[\w &amp;]*, (\d+\.\d+)""),"""")
"),"")</f>
        <v/>
      </c>
      <c r="O263" s="3" t="str">
        <f aca="false">IFERROR(__xludf.dummyfunction("if($T263&lt;&gt;"""",REGEXEXTRACT($T263, O$1&amp;""[\w &amp;]*, (\d+\.\d+)""),"""")
"),"")</f>
        <v/>
      </c>
      <c r="P263" s="2"/>
      <c r="Q263" s="2"/>
      <c r="R263" s="2"/>
      <c r="S263" s="2"/>
      <c r="T263" s="5"/>
    </row>
    <row r="264" customFormat="false" ht="15.75" hidden="false" customHeight="false" outlineLevel="0" collapsed="false">
      <c r="A264" s="4"/>
      <c r="B264" s="2"/>
      <c r="C264" s="2"/>
      <c r="D264" s="2"/>
      <c r="E264" s="2"/>
      <c r="F264" s="3" t="str">
        <f aca="false">IFERROR(__xludf.dummyfunction("if($T264&lt;&gt;"""",REGEXEXTRACT(SUBSTITUTE ($T264,F$1&amp;"" CE"",""""), F$1&amp;""[\w &amp;]*, (\d+\.\d+)""),"""")
"),"")</f>
        <v/>
      </c>
      <c r="G264" s="3" t="str">
        <f aca="false">IFERROR(__xludf.dummyfunction("if($T264&lt;&gt;"""",REGEXEXTRACT($T264, G$1&amp;""[\w &amp;]*, (\d+\.\d+)""),"""")
"),"")</f>
        <v/>
      </c>
      <c r="H264" s="3"/>
      <c r="I264" s="3" t="str">
        <f aca="false">IFERROR(__xludf.dummyfunction("if($T264&lt;&gt;"""",REGEXEXTRACT(SUBSTITUTE ($T264,I$1&amp;"" CE"",""""), I$1&amp;""[\w &amp;]*, (\d+\.\d+)""),"""")
"),"")</f>
        <v/>
      </c>
      <c r="J264" s="3" t="str">
        <f aca="false">IFERROR(__xludf.dummyfunction("if($T264&lt;&gt;"""",REGEXEXTRACT($T264, J$1&amp;""[\w &amp;]*, (\d+\.\d+)""),"""")
"),"")</f>
        <v/>
      </c>
      <c r="K264" s="3"/>
      <c r="L264" s="3" t="str">
        <f aca="false">IFERROR(__xludf.dummyfunction("if($T264&lt;&gt;"""",REGEXEXTRACT(SUBSTITUTE ($T264,L$1&amp;"" CE"",""""), L$1&amp;""[\w &amp;]*, (\d+\.\d+)""),"""")
"),"")</f>
        <v/>
      </c>
      <c r="M264" s="3" t="str">
        <f aca="false">IFERROR(__xludf.dummyfunction("if($T264&lt;&gt;"""",REGEXEXTRACT($T264, M$1&amp;""[\w &amp;]*, (\d+\.\d+)""),"""")
"),"")</f>
        <v/>
      </c>
      <c r="N264" s="3" t="str">
        <f aca="false">IFERROR(__xludf.dummyfunction("if($T264&lt;&gt;"""",REGEXEXTRACT(SUBSTITUTE ($T264,N$1&amp;"" CE"",""""), N$1&amp;""[\w &amp;]*, (\d+\.\d+)""),"""")
"),"")</f>
        <v/>
      </c>
      <c r="O264" s="3" t="str">
        <f aca="false">IFERROR(__xludf.dummyfunction("if($T264&lt;&gt;"""",REGEXEXTRACT($T264, O$1&amp;""[\w &amp;]*, (\d+\.\d+)""),"""")
"),"")</f>
        <v/>
      </c>
      <c r="P264" s="2"/>
      <c r="Q264" s="2"/>
      <c r="R264" s="2"/>
      <c r="S264" s="2"/>
      <c r="T264" s="5"/>
    </row>
    <row r="265" customFormat="false" ht="15.75" hidden="false" customHeight="false" outlineLevel="0" collapsed="false">
      <c r="A265" s="4"/>
      <c r="B265" s="2"/>
      <c r="C265" s="2"/>
      <c r="D265" s="2"/>
      <c r="E265" s="2"/>
      <c r="F265" s="3" t="str">
        <f aca="false">IFERROR(__xludf.dummyfunction("if($T265&lt;&gt;"""",REGEXEXTRACT(SUBSTITUTE ($T265,F$1&amp;"" CE"",""""), F$1&amp;""[\w &amp;]*, (\d+\.\d+)""),"""")
"),"")</f>
        <v/>
      </c>
      <c r="G265" s="3" t="str">
        <f aca="false">IFERROR(__xludf.dummyfunction("if($T265&lt;&gt;"""",REGEXEXTRACT($T265, G$1&amp;""[\w &amp;]*, (\d+\.\d+)""),"""")
"),"")</f>
        <v/>
      </c>
      <c r="H265" s="3"/>
      <c r="I265" s="3" t="str">
        <f aca="false">IFERROR(__xludf.dummyfunction("if($T265&lt;&gt;"""",REGEXEXTRACT(SUBSTITUTE ($T265,I$1&amp;"" CE"",""""), I$1&amp;""[\w &amp;]*, (\d+\.\d+)""),"""")
"),"")</f>
        <v/>
      </c>
      <c r="J265" s="3" t="str">
        <f aca="false">IFERROR(__xludf.dummyfunction("if($T265&lt;&gt;"""",REGEXEXTRACT($T265, J$1&amp;""[\w &amp;]*, (\d+\.\d+)""),"""")
"),"")</f>
        <v/>
      </c>
      <c r="K265" s="3"/>
      <c r="L265" s="3" t="str">
        <f aca="false">IFERROR(__xludf.dummyfunction("if($T265&lt;&gt;"""",REGEXEXTRACT(SUBSTITUTE ($T265,L$1&amp;"" CE"",""""), L$1&amp;""[\w &amp;]*, (\d+\.\d+)""),"""")
"),"")</f>
        <v/>
      </c>
      <c r="M265" s="3" t="str">
        <f aca="false">IFERROR(__xludf.dummyfunction("if($T265&lt;&gt;"""",REGEXEXTRACT($T265, M$1&amp;""[\w &amp;]*, (\d+\.\d+)""),"""")
"),"")</f>
        <v/>
      </c>
      <c r="N265" s="3" t="str">
        <f aca="false">IFERROR(__xludf.dummyfunction("if($T265&lt;&gt;"""",REGEXEXTRACT(SUBSTITUTE ($T265,N$1&amp;"" CE"",""""), N$1&amp;""[\w &amp;]*, (\d+\.\d+)""),"""")
"),"")</f>
        <v/>
      </c>
      <c r="O265" s="3" t="str">
        <f aca="false">IFERROR(__xludf.dummyfunction("if($T265&lt;&gt;"""",REGEXEXTRACT($T265, O$1&amp;""[\w &amp;]*, (\d+\.\d+)""),"""")
"),"")</f>
        <v/>
      </c>
      <c r="P265" s="2"/>
      <c r="Q265" s="2"/>
      <c r="R265" s="2"/>
      <c r="S265" s="2"/>
      <c r="T265" s="5"/>
    </row>
    <row r="266" customFormat="false" ht="15.75" hidden="false" customHeight="false" outlineLevel="0" collapsed="false">
      <c r="A266" s="4"/>
      <c r="B266" s="2"/>
      <c r="C266" s="2"/>
      <c r="D266" s="2"/>
      <c r="E266" s="2"/>
      <c r="F266" s="3" t="str">
        <f aca="false">IFERROR(__xludf.dummyfunction("if($T266&lt;&gt;"""",REGEXEXTRACT(SUBSTITUTE ($T266,F$1&amp;"" CE"",""""), F$1&amp;""[\w &amp;]*, (\d+\.\d+)""),"""")
"),"")</f>
        <v/>
      </c>
      <c r="G266" s="3" t="str">
        <f aca="false">IFERROR(__xludf.dummyfunction("if($T266&lt;&gt;"""",REGEXEXTRACT($T266, G$1&amp;""[\w &amp;]*, (\d+\.\d+)""),"""")
"),"")</f>
        <v/>
      </c>
      <c r="H266" s="3"/>
      <c r="I266" s="3" t="str">
        <f aca="false">IFERROR(__xludf.dummyfunction("if($T266&lt;&gt;"""",REGEXEXTRACT(SUBSTITUTE ($T266,I$1&amp;"" CE"",""""), I$1&amp;""[\w &amp;]*, (\d+\.\d+)""),"""")
"),"")</f>
        <v/>
      </c>
      <c r="J266" s="3" t="str">
        <f aca="false">IFERROR(__xludf.dummyfunction("if($T266&lt;&gt;"""",REGEXEXTRACT($T266, J$1&amp;""[\w &amp;]*, (\d+\.\d+)""),"""")
"),"")</f>
        <v/>
      </c>
      <c r="K266" s="3"/>
      <c r="L266" s="3" t="str">
        <f aca="false">IFERROR(__xludf.dummyfunction("if($T266&lt;&gt;"""",REGEXEXTRACT(SUBSTITUTE ($T266,L$1&amp;"" CE"",""""), L$1&amp;""[\w &amp;]*, (\d+\.\d+)""),"""")
"),"")</f>
        <v/>
      </c>
      <c r="M266" s="3" t="str">
        <f aca="false">IFERROR(__xludf.dummyfunction("if($T266&lt;&gt;"""",REGEXEXTRACT($T266, M$1&amp;""[\w &amp;]*, (\d+\.\d+)""),"""")
"),"")</f>
        <v/>
      </c>
      <c r="N266" s="3" t="str">
        <f aca="false">IFERROR(__xludf.dummyfunction("if($T266&lt;&gt;"""",REGEXEXTRACT(SUBSTITUTE ($T266,N$1&amp;"" CE"",""""), N$1&amp;""[\w &amp;]*, (\d+\.\d+)""),"""")
"),"")</f>
        <v/>
      </c>
      <c r="O266" s="3" t="str">
        <f aca="false">IFERROR(__xludf.dummyfunction("if($T266&lt;&gt;"""",REGEXEXTRACT($T266, O$1&amp;""[\w &amp;]*, (\d+\.\d+)""),"""")
"),"")</f>
        <v/>
      </c>
      <c r="P266" s="2"/>
      <c r="Q266" s="2"/>
      <c r="R266" s="2"/>
      <c r="S266" s="2"/>
      <c r="T266" s="5"/>
    </row>
    <row r="267" customFormat="false" ht="15.75" hidden="false" customHeight="false" outlineLevel="0" collapsed="false">
      <c r="A267" s="4"/>
      <c r="B267" s="2"/>
      <c r="C267" s="2"/>
      <c r="D267" s="2"/>
      <c r="E267" s="2"/>
      <c r="F267" s="3" t="str">
        <f aca="false">IFERROR(__xludf.dummyfunction("if($T267&lt;&gt;"""",REGEXEXTRACT(SUBSTITUTE ($T267,F$1&amp;"" CE"",""""), F$1&amp;""[\w &amp;]*, (\d+\.\d+)""),"""")
"),"")</f>
        <v/>
      </c>
      <c r="G267" s="3" t="str">
        <f aca="false">IFERROR(__xludf.dummyfunction("if($T267&lt;&gt;"""",REGEXEXTRACT($T267, G$1&amp;""[\w &amp;]*, (\d+\.\d+)""),"""")
"),"")</f>
        <v/>
      </c>
      <c r="H267" s="3"/>
      <c r="I267" s="3" t="str">
        <f aca="false">IFERROR(__xludf.dummyfunction("if($T267&lt;&gt;"""",REGEXEXTRACT(SUBSTITUTE ($T267,I$1&amp;"" CE"",""""), I$1&amp;""[\w &amp;]*, (\d+\.\d+)""),"""")
"),"")</f>
        <v/>
      </c>
      <c r="J267" s="3" t="str">
        <f aca="false">IFERROR(__xludf.dummyfunction("if($T267&lt;&gt;"""",REGEXEXTRACT($T267, J$1&amp;""[\w &amp;]*, (\d+\.\d+)""),"""")
"),"")</f>
        <v/>
      </c>
      <c r="K267" s="3"/>
      <c r="L267" s="3" t="str">
        <f aca="false">IFERROR(__xludf.dummyfunction("if($T267&lt;&gt;"""",REGEXEXTRACT(SUBSTITUTE ($T267,L$1&amp;"" CE"",""""), L$1&amp;""[\w &amp;]*, (\d+\.\d+)""),"""")
"),"")</f>
        <v/>
      </c>
      <c r="M267" s="3" t="str">
        <f aca="false">IFERROR(__xludf.dummyfunction("if($T267&lt;&gt;"""",REGEXEXTRACT($T267, M$1&amp;""[\w &amp;]*, (\d+\.\d+)""),"""")
"),"")</f>
        <v/>
      </c>
      <c r="N267" s="3" t="str">
        <f aca="false">IFERROR(__xludf.dummyfunction("if($T267&lt;&gt;"""",REGEXEXTRACT(SUBSTITUTE ($T267,N$1&amp;"" CE"",""""), N$1&amp;""[\w &amp;]*, (\d+\.\d+)""),"""")
"),"")</f>
        <v/>
      </c>
      <c r="O267" s="3" t="str">
        <f aca="false">IFERROR(__xludf.dummyfunction("if($T267&lt;&gt;"""",REGEXEXTRACT($T267, O$1&amp;""[\w &amp;]*, (\d+\.\d+)""),"""")
"),"")</f>
        <v/>
      </c>
      <c r="P267" s="2"/>
      <c r="Q267" s="2"/>
      <c r="R267" s="2"/>
      <c r="S267" s="2"/>
      <c r="T267" s="5"/>
    </row>
    <row r="268" customFormat="false" ht="15.75" hidden="false" customHeight="false" outlineLevel="0" collapsed="false">
      <c r="A268" s="4"/>
      <c r="B268" s="2"/>
      <c r="C268" s="2"/>
      <c r="D268" s="2"/>
      <c r="E268" s="2"/>
      <c r="F268" s="3" t="str">
        <f aca="false">IFERROR(__xludf.dummyfunction("if($T268&lt;&gt;"""",REGEXEXTRACT(SUBSTITUTE ($T268,F$1&amp;"" CE"",""""), F$1&amp;""[\w &amp;]*, (\d+\.\d+)""),"""")
"),"")</f>
        <v/>
      </c>
      <c r="G268" s="3" t="str">
        <f aca="false">IFERROR(__xludf.dummyfunction("if($T268&lt;&gt;"""",REGEXEXTRACT($T268, G$1&amp;""[\w &amp;]*, (\d+\.\d+)""),"""")
"),"")</f>
        <v/>
      </c>
      <c r="H268" s="3"/>
      <c r="I268" s="3" t="str">
        <f aca="false">IFERROR(__xludf.dummyfunction("if($T268&lt;&gt;"""",REGEXEXTRACT(SUBSTITUTE ($T268,I$1&amp;"" CE"",""""), I$1&amp;""[\w &amp;]*, (\d+\.\d+)""),"""")
"),"")</f>
        <v/>
      </c>
      <c r="J268" s="3" t="str">
        <f aca="false">IFERROR(__xludf.dummyfunction("if($T268&lt;&gt;"""",REGEXEXTRACT($T268, J$1&amp;""[\w &amp;]*, (\d+\.\d+)""),"""")
"),"")</f>
        <v/>
      </c>
      <c r="K268" s="3"/>
      <c r="L268" s="3" t="str">
        <f aca="false">IFERROR(__xludf.dummyfunction("if($T268&lt;&gt;"""",REGEXEXTRACT(SUBSTITUTE ($T268,L$1&amp;"" CE"",""""), L$1&amp;""[\w &amp;]*, (\d+\.\d+)""),"""")
"),"")</f>
        <v/>
      </c>
      <c r="M268" s="3" t="str">
        <f aca="false">IFERROR(__xludf.dummyfunction("if($T268&lt;&gt;"""",REGEXEXTRACT($T268, M$1&amp;""[\w &amp;]*, (\d+\.\d+)""),"""")
"),"")</f>
        <v/>
      </c>
      <c r="N268" s="3" t="str">
        <f aca="false">IFERROR(__xludf.dummyfunction("if($T268&lt;&gt;"""",REGEXEXTRACT(SUBSTITUTE ($T268,N$1&amp;"" CE"",""""), N$1&amp;""[\w &amp;]*, (\d+\.\d+)""),"""")
"),"")</f>
        <v/>
      </c>
      <c r="O268" s="3" t="str">
        <f aca="false">IFERROR(__xludf.dummyfunction("if($T268&lt;&gt;"""",REGEXEXTRACT($T268, O$1&amp;""[\w &amp;]*, (\d+\.\d+)""),"""")
"),"")</f>
        <v/>
      </c>
      <c r="P268" s="2"/>
      <c r="Q268" s="2"/>
      <c r="R268" s="2"/>
      <c r="S268" s="2"/>
      <c r="T268" s="5"/>
    </row>
    <row r="269" customFormat="false" ht="15.75" hidden="false" customHeight="false" outlineLevel="0" collapsed="false">
      <c r="A269" s="4"/>
      <c r="B269" s="2"/>
      <c r="C269" s="2"/>
      <c r="D269" s="2"/>
      <c r="E269" s="2"/>
      <c r="F269" s="3" t="str">
        <f aca="false">IFERROR(__xludf.dummyfunction("if($T269&lt;&gt;"""",REGEXEXTRACT(SUBSTITUTE ($T269,F$1&amp;"" CE"",""""), F$1&amp;""[\w &amp;]*, (\d+\.\d+)""),"""")
"),"")</f>
        <v/>
      </c>
      <c r="G269" s="3" t="str">
        <f aca="false">IFERROR(__xludf.dummyfunction("if($T269&lt;&gt;"""",REGEXEXTRACT($T269, G$1&amp;""[\w &amp;]*, (\d+\.\d+)""),"""")
"),"")</f>
        <v/>
      </c>
      <c r="H269" s="3"/>
      <c r="I269" s="3" t="str">
        <f aca="false">IFERROR(__xludf.dummyfunction("if($T269&lt;&gt;"""",REGEXEXTRACT(SUBSTITUTE ($T269,I$1&amp;"" CE"",""""), I$1&amp;""[\w &amp;]*, (\d+\.\d+)""),"""")
"),"")</f>
        <v/>
      </c>
      <c r="J269" s="3" t="str">
        <f aca="false">IFERROR(__xludf.dummyfunction("if($T269&lt;&gt;"""",REGEXEXTRACT($T269, J$1&amp;""[\w &amp;]*, (\d+\.\d+)""),"""")
"),"")</f>
        <v/>
      </c>
      <c r="K269" s="3"/>
      <c r="L269" s="3" t="str">
        <f aca="false">IFERROR(__xludf.dummyfunction("if($T269&lt;&gt;"""",REGEXEXTRACT(SUBSTITUTE ($T269,L$1&amp;"" CE"",""""), L$1&amp;""[\w &amp;]*, (\d+\.\d+)""),"""")
"),"")</f>
        <v/>
      </c>
      <c r="M269" s="3" t="str">
        <f aca="false">IFERROR(__xludf.dummyfunction("if($T269&lt;&gt;"""",REGEXEXTRACT($T269, M$1&amp;""[\w &amp;]*, (\d+\.\d+)""),"""")
"),"")</f>
        <v/>
      </c>
      <c r="N269" s="3" t="str">
        <f aca="false">IFERROR(__xludf.dummyfunction("if($T269&lt;&gt;"""",REGEXEXTRACT(SUBSTITUTE ($T269,N$1&amp;"" CE"",""""), N$1&amp;""[\w &amp;]*, (\d+\.\d+)""),"""")
"),"")</f>
        <v/>
      </c>
      <c r="O269" s="3" t="str">
        <f aca="false">IFERROR(__xludf.dummyfunction("if($T269&lt;&gt;"""",REGEXEXTRACT($T269, O$1&amp;""[\w &amp;]*, (\d+\.\d+)""),"""")
"),"")</f>
        <v/>
      </c>
      <c r="P269" s="2"/>
      <c r="Q269" s="2"/>
      <c r="R269" s="2"/>
      <c r="S269" s="2"/>
      <c r="T269" s="5"/>
    </row>
    <row r="270" customFormat="false" ht="15.75" hidden="false" customHeight="false" outlineLevel="0" collapsed="false">
      <c r="A270" s="4"/>
      <c r="B270" s="2"/>
      <c r="C270" s="2"/>
      <c r="D270" s="2"/>
      <c r="E270" s="2"/>
      <c r="F270" s="3" t="str">
        <f aca="false">IFERROR(__xludf.dummyfunction("if($T270&lt;&gt;"""",REGEXEXTRACT(SUBSTITUTE ($T270,F$1&amp;"" CE"",""""), F$1&amp;""[\w &amp;]*, (\d+\.\d+)""),"""")
"),"")</f>
        <v/>
      </c>
      <c r="G270" s="3" t="str">
        <f aca="false">IFERROR(__xludf.dummyfunction("if($T270&lt;&gt;"""",REGEXEXTRACT($T270, G$1&amp;""[\w &amp;]*, (\d+\.\d+)""),"""")
"),"")</f>
        <v/>
      </c>
      <c r="H270" s="3"/>
      <c r="I270" s="3" t="str">
        <f aca="false">IFERROR(__xludf.dummyfunction("if($T270&lt;&gt;"""",REGEXEXTRACT(SUBSTITUTE ($T270,I$1&amp;"" CE"",""""), I$1&amp;""[\w &amp;]*, (\d+\.\d+)""),"""")
"),"")</f>
        <v/>
      </c>
      <c r="J270" s="3" t="str">
        <f aca="false">IFERROR(__xludf.dummyfunction("if($T270&lt;&gt;"""",REGEXEXTRACT($T270, J$1&amp;""[\w &amp;]*, (\d+\.\d+)""),"""")
"),"")</f>
        <v/>
      </c>
      <c r="K270" s="3"/>
      <c r="L270" s="3" t="str">
        <f aca="false">IFERROR(__xludf.dummyfunction("if($T270&lt;&gt;"""",REGEXEXTRACT(SUBSTITUTE ($T270,L$1&amp;"" CE"",""""), L$1&amp;""[\w &amp;]*, (\d+\.\d+)""),"""")
"),"")</f>
        <v/>
      </c>
      <c r="M270" s="3" t="str">
        <f aca="false">IFERROR(__xludf.dummyfunction("if($T270&lt;&gt;"""",REGEXEXTRACT($T270, M$1&amp;""[\w &amp;]*, (\d+\.\d+)""),"""")
"),"")</f>
        <v/>
      </c>
      <c r="N270" s="3" t="str">
        <f aca="false">IFERROR(__xludf.dummyfunction("if($T270&lt;&gt;"""",REGEXEXTRACT(SUBSTITUTE ($T270,N$1&amp;"" CE"",""""), N$1&amp;""[\w &amp;]*, (\d+\.\d+)""),"""")
"),"")</f>
        <v/>
      </c>
      <c r="O270" s="3" t="str">
        <f aca="false">IFERROR(__xludf.dummyfunction("if($T270&lt;&gt;"""",REGEXEXTRACT($T270, O$1&amp;""[\w &amp;]*, (\d+\.\d+)""),"""")
"),"")</f>
        <v/>
      </c>
      <c r="P270" s="2"/>
      <c r="Q270" s="2"/>
      <c r="R270" s="2"/>
      <c r="S270" s="2"/>
      <c r="T270" s="5"/>
    </row>
    <row r="271" customFormat="false" ht="15.75" hidden="false" customHeight="false" outlineLevel="0" collapsed="false">
      <c r="A271" s="4"/>
      <c r="B271" s="2"/>
      <c r="C271" s="2"/>
      <c r="D271" s="2"/>
      <c r="E271" s="2"/>
      <c r="F271" s="3" t="str">
        <f aca="false">IFERROR(__xludf.dummyfunction("if($T271&lt;&gt;"""",REGEXEXTRACT(SUBSTITUTE ($T271,F$1&amp;"" CE"",""""), F$1&amp;""[\w &amp;]*, (\d+\.\d+)""),"""")
"),"")</f>
        <v/>
      </c>
      <c r="G271" s="3" t="str">
        <f aca="false">IFERROR(__xludf.dummyfunction("if($T271&lt;&gt;"""",REGEXEXTRACT($T271, G$1&amp;""[\w &amp;]*, (\d+\.\d+)""),"""")
"),"")</f>
        <v/>
      </c>
      <c r="H271" s="3"/>
      <c r="I271" s="3" t="str">
        <f aca="false">IFERROR(__xludf.dummyfunction("if($T271&lt;&gt;"""",REGEXEXTRACT(SUBSTITUTE ($T271,I$1&amp;"" CE"",""""), I$1&amp;""[\w &amp;]*, (\d+\.\d+)""),"""")
"),"")</f>
        <v/>
      </c>
      <c r="J271" s="3" t="str">
        <f aca="false">IFERROR(__xludf.dummyfunction("if($T271&lt;&gt;"""",REGEXEXTRACT($T271, J$1&amp;""[\w &amp;]*, (\d+\.\d+)""),"""")
"),"")</f>
        <v/>
      </c>
      <c r="K271" s="3"/>
      <c r="L271" s="3" t="str">
        <f aca="false">IFERROR(__xludf.dummyfunction("if($T271&lt;&gt;"""",REGEXEXTRACT(SUBSTITUTE ($T271,L$1&amp;"" CE"",""""), L$1&amp;""[\w &amp;]*, (\d+\.\d+)""),"""")
"),"")</f>
        <v/>
      </c>
      <c r="M271" s="3" t="str">
        <f aca="false">IFERROR(__xludf.dummyfunction("if($T271&lt;&gt;"""",REGEXEXTRACT($T271, M$1&amp;""[\w &amp;]*, (\d+\.\d+)""),"""")
"),"")</f>
        <v/>
      </c>
      <c r="N271" s="3" t="str">
        <f aca="false">IFERROR(__xludf.dummyfunction("if($T271&lt;&gt;"""",REGEXEXTRACT(SUBSTITUTE ($T271,N$1&amp;"" CE"",""""), N$1&amp;""[\w &amp;]*, (\d+\.\d+)""),"""")
"),"")</f>
        <v/>
      </c>
      <c r="O271" s="3" t="str">
        <f aca="false">IFERROR(__xludf.dummyfunction("if($T271&lt;&gt;"""",REGEXEXTRACT($T271, O$1&amp;""[\w &amp;]*, (\d+\.\d+)""),"""")
"),"")</f>
        <v/>
      </c>
      <c r="P271" s="2"/>
      <c r="Q271" s="2"/>
      <c r="R271" s="2"/>
      <c r="S271" s="2"/>
      <c r="T271" s="5"/>
    </row>
    <row r="272" customFormat="false" ht="15.75" hidden="false" customHeight="false" outlineLevel="0" collapsed="false">
      <c r="A272" s="4"/>
      <c r="B272" s="2"/>
      <c r="C272" s="2"/>
      <c r="D272" s="2"/>
      <c r="E272" s="2"/>
      <c r="F272" s="3" t="str">
        <f aca="false">IFERROR(__xludf.dummyfunction("if($T272&lt;&gt;"""",REGEXEXTRACT(SUBSTITUTE ($T272,F$1&amp;"" CE"",""""), F$1&amp;""[\w &amp;]*, (\d+\.\d+)""),"""")
"),"")</f>
        <v/>
      </c>
      <c r="G272" s="3" t="str">
        <f aca="false">IFERROR(__xludf.dummyfunction("if($T272&lt;&gt;"""",REGEXEXTRACT($T272, G$1&amp;""[\w &amp;]*, (\d+\.\d+)""),"""")
"),"")</f>
        <v/>
      </c>
      <c r="H272" s="3"/>
      <c r="I272" s="3" t="str">
        <f aca="false">IFERROR(__xludf.dummyfunction("if($T272&lt;&gt;"""",REGEXEXTRACT(SUBSTITUTE ($T272,I$1&amp;"" CE"",""""), I$1&amp;""[\w &amp;]*, (\d+\.\d+)""),"""")
"),"")</f>
        <v/>
      </c>
      <c r="J272" s="3" t="str">
        <f aca="false">IFERROR(__xludf.dummyfunction("if($T272&lt;&gt;"""",REGEXEXTRACT($T272, J$1&amp;""[\w &amp;]*, (\d+\.\d+)""),"""")
"),"")</f>
        <v/>
      </c>
      <c r="K272" s="3"/>
      <c r="L272" s="3" t="str">
        <f aca="false">IFERROR(__xludf.dummyfunction("if($T272&lt;&gt;"""",REGEXEXTRACT(SUBSTITUTE ($T272,L$1&amp;"" CE"",""""), L$1&amp;""[\w &amp;]*, (\d+\.\d+)""),"""")
"),"")</f>
        <v/>
      </c>
      <c r="M272" s="3" t="str">
        <f aca="false">IFERROR(__xludf.dummyfunction("if($T272&lt;&gt;"""",REGEXEXTRACT($T272, M$1&amp;""[\w &amp;]*, (\d+\.\d+)""),"""")
"),"")</f>
        <v/>
      </c>
      <c r="N272" s="3" t="str">
        <f aca="false">IFERROR(__xludf.dummyfunction("if($T272&lt;&gt;"""",REGEXEXTRACT(SUBSTITUTE ($T272,N$1&amp;"" CE"",""""), N$1&amp;""[\w &amp;]*, (\d+\.\d+)""),"""")
"),"")</f>
        <v/>
      </c>
      <c r="O272" s="3" t="str">
        <f aca="false">IFERROR(__xludf.dummyfunction("if($T272&lt;&gt;"""",REGEXEXTRACT($T272, O$1&amp;""[\w &amp;]*, (\d+\.\d+)""),"""")
"),"")</f>
        <v/>
      </c>
      <c r="P272" s="2"/>
      <c r="Q272" s="2"/>
      <c r="R272" s="2"/>
      <c r="S272" s="2"/>
      <c r="T272" s="5"/>
    </row>
    <row r="273" customFormat="false" ht="15.75" hidden="false" customHeight="false" outlineLevel="0" collapsed="false">
      <c r="A273" s="4"/>
      <c r="B273" s="2"/>
      <c r="C273" s="2"/>
      <c r="D273" s="2"/>
      <c r="E273" s="2"/>
      <c r="F273" s="3" t="str">
        <f aca="false">IFERROR(__xludf.dummyfunction("if($T273&lt;&gt;"""",REGEXEXTRACT(SUBSTITUTE ($T273,F$1&amp;"" CE"",""""), F$1&amp;""[\w &amp;]*, (\d+\.\d+)""),"""")
"),"")</f>
        <v/>
      </c>
      <c r="G273" s="3" t="str">
        <f aca="false">IFERROR(__xludf.dummyfunction("if($T273&lt;&gt;"""",REGEXEXTRACT($T273, G$1&amp;""[\w &amp;]*, (\d+\.\d+)""),"""")
"),"")</f>
        <v/>
      </c>
      <c r="H273" s="3"/>
      <c r="I273" s="3" t="str">
        <f aca="false">IFERROR(__xludf.dummyfunction("if($T273&lt;&gt;"""",REGEXEXTRACT(SUBSTITUTE ($T273,I$1&amp;"" CE"",""""), I$1&amp;""[\w &amp;]*, (\d+\.\d+)""),"""")
"),"")</f>
        <v/>
      </c>
      <c r="J273" s="3" t="str">
        <f aca="false">IFERROR(__xludf.dummyfunction("if($T273&lt;&gt;"""",REGEXEXTRACT($T273, J$1&amp;""[\w &amp;]*, (\d+\.\d+)""),"""")
"),"")</f>
        <v/>
      </c>
      <c r="K273" s="3"/>
      <c r="L273" s="3" t="str">
        <f aca="false">IFERROR(__xludf.dummyfunction("if($T273&lt;&gt;"""",REGEXEXTRACT(SUBSTITUTE ($T273,L$1&amp;"" CE"",""""), L$1&amp;""[\w &amp;]*, (\d+\.\d+)""),"""")
"),"")</f>
        <v/>
      </c>
      <c r="M273" s="3" t="str">
        <f aca="false">IFERROR(__xludf.dummyfunction("if($T273&lt;&gt;"""",REGEXEXTRACT($T273, M$1&amp;""[\w &amp;]*, (\d+\.\d+)""),"""")
"),"")</f>
        <v/>
      </c>
      <c r="N273" s="3" t="str">
        <f aca="false">IFERROR(__xludf.dummyfunction("if($T273&lt;&gt;"""",REGEXEXTRACT(SUBSTITUTE ($T273,N$1&amp;"" CE"",""""), N$1&amp;""[\w &amp;]*, (\d+\.\d+)""),"""")
"),"")</f>
        <v/>
      </c>
      <c r="O273" s="3" t="str">
        <f aca="false">IFERROR(__xludf.dummyfunction("if($T273&lt;&gt;"""",REGEXEXTRACT($T273, O$1&amp;""[\w &amp;]*, (\d+\.\d+)""),"""")
"),"")</f>
        <v/>
      </c>
      <c r="P273" s="2"/>
      <c r="Q273" s="2"/>
      <c r="R273" s="2"/>
      <c r="S273" s="2"/>
      <c r="T273" s="5"/>
    </row>
    <row r="274" customFormat="false" ht="15.75" hidden="false" customHeight="false" outlineLevel="0" collapsed="false">
      <c r="A274" s="4"/>
      <c r="B274" s="2"/>
      <c r="C274" s="2"/>
      <c r="D274" s="2"/>
      <c r="E274" s="2"/>
      <c r="F274" s="3" t="str">
        <f aca="false">IFERROR(__xludf.dummyfunction("if($T274&lt;&gt;"""",REGEXEXTRACT(SUBSTITUTE ($T274,F$1&amp;"" CE"",""""), F$1&amp;""[\w &amp;]*, (\d+\.\d+)""),"""")
"),"")</f>
        <v/>
      </c>
      <c r="G274" s="3" t="str">
        <f aca="false">IFERROR(__xludf.dummyfunction("if($T274&lt;&gt;"""",REGEXEXTRACT($T274, G$1&amp;""[\w &amp;]*, (\d+\.\d+)""),"""")
"),"")</f>
        <v/>
      </c>
      <c r="H274" s="3"/>
      <c r="I274" s="3" t="str">
        <f aca="false">IFERROR(__xludf.dummyfunction("if($T274&lt;&gt;"""",REGEXEXTRACT(SUBSTITUTE ($T274,I$1&amp;"" CE"",""""), I$1&amp;""[\w &amp;]*, (\d+\.\d+)""),"""")
"),"")</f>
        <v/>
      </c>
      <c r="J274" s="3" t="str">
        <f aca="false">IFERROR(__xludf.dummyfunction("if($T274&lt;&gt;"""",REGEXEXTRACT($T274, J$1&amp;""[\w &amp;]*, (\d+\.\d+)""),"""")
"),"")</f>
        <v/>
      </c>
      <c r="K274" s="3"/>
      <c r="L274" s="3" t="str">
        <f aca="false">IFERROR(__xludf.dummyfunction("if($T274&lt;&gt;"""",REGEXEXTRACT(SUBSTITUTE ($T274,L$1&amp;"" CE"",""""), L$1&amp;""[\w &amp;]*, (\d+\.\d+)""),"""")
"),"")</f>
        <v/>
      </c>
      <c r="M274" s="3" t="str">
        <f aca="false">IFERROR(__xludf.dummyfunction("if($T274&lt;&gt;"""",REGEXEXTRACT($T274, M$1&amp;""[\w &amp;]*, (\d+\.\d+)""),"""")
"),"")</f>
        <v/>
      </c>
      <c r="N274" s="3" t="str">
        <f aca="false">IFERROR(__xludf.dummyfunction("if($T274&lt;&gt;"""",REGEXEXTRACT(SUBSTITUTE ($T274,N$1&amp;"" CE"",""""), N$1&amp;""[\w &amp;]*, (\d+\.\d+)""),"""")
"),"")</f>
        <v/>
      </c>
      <c r="O274" s="3" t="str">
        <f aca="false">IFERROR(__xludf.dummyfunction("if($T274&lt;&gt;"""",REGEXEXTRACT($T274, O$1&amp;""[\w &amp;]*, (\d+\.\d+)""),"""")
"),"")</f>
        <v/>
      </c>
      <c r="P274" s="2"/>
      <c r="Q274" s="2"/>
      <c r="R274" s="2"/>
      <c r="S274" s="2"/>
      <c r="T274" s="5"/>
    </row>
    <row r="275" customFormat="false" ht="15.75" hidden="false" customHeight="false" outlineLevel="0" collapsed="false">
      <c r="A275" s="4"/>
      <c r="B275" s="2"/>
      <c r="C275" s="2"/>
      <c r="D275" s="2"/>
      <c r="E275" s="2"/>
      <c r="F275" s="3" t="str">
        <f aca="false">IFERROR(__xludf.dummyfunction("if($T275&lt;&gt;"""",REGEXEXTRACT(SUBSTITUTE ($T275,F$1&amp;"" CE"",""""), F$1&amp;""[\w &amp;]*, (\d+\.\d+)""),"""")
"),"")</f>
        <v/>
      </c>
      <c r="G275" s="3" t="str">
        <f aca="false">IFERROR(__xludf.dummyfunction("if($T275&lt;&gt;"""",REGEXEXTRACT($T275, G$1&amp;""[\w &amp;]*, (\d+\.\d+)""),"""")
"),"")</f>
        <v/>
      </c>
      <c r="H275" s="3"/>
      <c r="I275" s="3" t="str">
        <f aca="false">IFERROR(__xludf.dummyfunction("if($T275&lt;&gt;"""",REGEXEXTRACT(SUBSTITUTE ($T275,I$1&amp;"" CE"",""""), I$1&amp;""[\w &amp;]*, (\d+\.\d+)""),"""")
"),"")</f>
        <v/>
      </c>
      <c r="J275" s="3" t="str">
        <f aca="false">IFERROR(__xludf.dummyfunction("if($T275&lt;&gt;"""",REGEXEXTRACT($T275, J$1&amp;""[\w &amp;]*, (\d+\.\d+)""),"""")
"),"")</f>
        <v/>
      </c>
      <c r="K275" s="3"/>
      <c r="L275" s="3" t="str">
        <f aca="false">IFERROR(__xludf.dummyfunction("if($T275&lt;&gt;"""",REGEXEXTRACT(SUBSTITUTE ($T275,L$1&amp;"" CE"",""""), L$1&amp;""[\w &amp;]*, (\d+\.\d+)""),"""")
"),"")</f>
        <v/>
      </c>
      <c r="M275" s="3" t="str">
        <f aca="false">IFERROR(__xludf.dummyfunction("if($T275&lt;&gt;"""",REGEXEXTRACT($T275, M$1&amp;""[\w &amp;]*, (\d+\.\d+)""),"""")
"),"")</f>
        <v/>
      </c>
      <c r="N275" s="3" t="str">
        <f aca="false">IFERROR(__xludf.dummyfunction("if($T275&lt;&gt;"""",REGEXEXTRACT(SUBSTITUTE ($T275,N$1&amp;"" CE"",""""), N$1&amp;""[\w &amp;]*, (\d+\.\d+)""),"""")
"),"")</f>
        <v/>
      </c>
      <c r="O275" s="3" t="str">
        <f aca="false">IFERROR(__xludf.dummyfunction("if($T275&lt;&gt;"""",REGEXEXTRACT($T275, O$1&amp;""[\w &amp;]*, (\d+\.\d+)""),"""")
"),"")</f>
        <v/>
      </c>
      <c r="P275" s="2"/>
      <c r="Q275" s="2"/>
      <c r="R275" s="2"/>
      <c r="S275" s="2"/>
      <c r="T275" s="5"/>
    </row>
    <row r="276" customFormat="false" ht="15.75" hidden="false" customHeight="false" outlineLevel="0" collapsed="false">
      <c r="A276" s="4"/>
      <c r="B276" s="2"/>
      <c r="C276" s="2"/>
      <c r="D276" s="2"/>
      <c r="E276" s="2"/>
      <c r="F276" s="3" t="str">
        <f aca="false">IFERROR(__xludf.dummyfunction("if($T276&lt;&gt;"""",REGEXEXTRACT(SUBSTITUTE ($T276,F$1&amp;"" CE"",""""), F$1&amp;""[\w &amp;]*, (\d+\.\d+)""),"""")
"),"")</f>
        <v/>
      </c>
      <c r="G276" s="3" t="str">
        <f aca="false">IFERROR(__xludf.dummyfunction("if($T276&lt;&gt;"""",REGEXEXTRACT($T276, G$1&amp;""[\w &amp;]*, (\d+\.\d+)""),"""")
"),"")</f>
        <v/>
      </c>
      <c r="H276" s="3"/>
      <c r="I276" s="3" t="str">
        <f aca="false">IFERROR(__xludf.dummyfunction("if($T276&lt;&gt;"""",REGEXEXTRACT(SUBSTITUTE ($T276,I$1&amp;"" CE"",""""), I$1&amp;""[\w &amp;]*, (\d+\.\d+)""),"""")
"),"")</f>
        <v/>
      </c>
      <c r="J276" s="3" t="str">
        <f aca="false">IFERROR(__xludf.dummyfunction("if($T276&lt;&gt;"""",REGEXEXTRACT($T276, J$1&amp;""[\w &amp;]*, (\d+\.\d+)""),"""")
"),"")</f>
        <v/>
      </c>
      <c r="K276" s="3"/>
      <c r="L276" s="3" t="str">
        <f aca="false">IFERROR(__xludf.dummyfunction("if($T276&lt;&gt;"""",REGEXEXTRACT(SUBSTITUTE ($T276,L$1&amp;"" CE"",""""), L$1&amp;""[\w &amp;]*, (\d+\.\d+)""),"""")
"),"")</f>
        <v/>
      </c>
      <c r="M276" s="3" t="str">
        <f aca="false">IFERROR(__xludf.dummyfunction("if($T276&lt;&gt;"""",REGEXEXTRACT($T276, M$1&amp;""[\w &amp;]*, (\d+\.\d+)""),"""")
"),"")</f>
        <v/>
      </c>
      <c r="N276" s="3" t="str">
        <f aca="false">IFERROR(__xludf.dummyfunction("if($T276&lt;&gt;"""",REGEXEXTRACT(SUBSTITUTE ($T276,N$1&amp;"" CE"",""""), N$1&amp;""[\w &amp;]*, (\d+\.\d+)""),"""")
"),"")</f>
        <v/>
      </c>
      <c r="O276" s="3" t="str">
        <f aca="false">IFERROR(__xludf.dummyfunction("if($T276&lt;&gt;"""",REGEXEXTRACT($T276, O$1&amp;""[\w &amp;]*, (\d+\.\d+)""),"""")
"),"")</f>
        <v/>
      </c>
      <c r="P276" s="2"/>
      <c r="Q276" s="2"/>
      <c r="R276" s="2"/>
      <c r="S276" s="2"/>
      <c r="T276" s="5"/>
    </row>
    <row r="277" customFormat="false" ht="15.75" hidden="false" customHeight="false" outlineLevel="0" collapsed="false">
      <c r="A277" s="4"/>
      <c r="B277" s="2"/>
      <c r="C277" s="2"/>
      <c r="D277" s="2"/>
      <c r="E277" s="2"/>
      <c r="F277" s="3" t="str">
        <f aca="false">IFERROR(__xludf.dummyfunction("if($T277&lt;&gt;"""",REGEXEXTRACT(SUBSTITUTE ($T277,F$1&amp;"" CE"",""""), F$1&amp;""[\w &amp;]*, (\d+\.\d+)""),"""")
"),"")</f>
        <v/>
      </c>
      <c r="G277" s="3" t="str">
        <f aca="false">IFERROR(__xludf.dummyfunction("if($T277&lt;&gt;"""",REGEXEXTRACT($T277, G$1&amp;""[\w &amp;]*, (\d+\.\d+)""),"""")
"),"")</f>
        <v/>
      </c>
      <c r="H277" s="3"/>
      <c r="I277" s="3" t="str">
        <f aca="false">IFERROR(__xludf.dummyfunction("if($T277&lt;&gt;"""",REGEXEXTRACT(SUBSTITUTE ($T277,I$1&amp;"" CE"",""""), I$1&amp;""[\w &amp;]*, (\d+\.\d+)""),"""")
"),"")</f>
        <v/>
      </c>
      <c r="J277" s="3" t="str">
        <f aca="false">IFERROR(__xludf.dummyfunction("if($T277&lt;&gt;"""",REGEXEXTRACT($T277, J$1&amp;""[\w &amp;]*, (\d+\.\d+)""),"""")
"),"")</f>
        <v/>
      </c>
      <c r="K277" s="3"/>
      <c r="L277" s="3" t="str">
        <f aca="false">IFERROR(__xludf.dummyfunction("if($T277&lt;&gt;"""",REGEXEXTRACT(SUBSTITUTE ($T277,L$1&amp;"" CE"",""""), L$1&amp;""[\w &amp;]*, (\d+\.\d+)""),"""")
"),"")</f>
        <v/>
      </c>
      <c r="M277" s="3" t="str">
        <f aca="false">IFERROR(__xludf.dummyfunction("if($T277&lt;&gt;"""",REGEXEXTRACT($T277, M$1&amp;""[\w &amp;]*, (\d+\.\d+)""),"""")
"),"")</f>
        <v/>
      </c>
      <c r="N277" s="3" t="str">
        <f aca="false">IFERROR(__xludf.dummyfunction("if($T277&lt;&gt;"""",REGEXEXTRACT(SUBSTITUTE ($T277,N$1&amp;"" CE"",""""), N$1&amp;""[\w &amp;]*, (\d+\.\d+)""),"""")
"),"")</f>
        <v/>
      </c>
      <c r="O277" s="3" t="str">
        <f aca="false">IFERROR(__xludf.dummyfunction("if($T277&lt;&gt;"""",REGEXEXTRACT($T277, O$1&amp;""[\w &amp;]*, (\d+\.\d+)""),"""")
"),"")</f>
        <v/>
      </c>
      <c r="P277" s="2"/>
      <c r="Q277" s="2"/>
      <c r="R277" s="2"/>
      <c r="S277" s="2"/>
      <c r="T277" s="5"/>
    </row>
    <row r="278" customFormat="false" ht="15.75" hidden="false" customHeight="false" outlineLevel="0" collapsed="false">
      <c r="A278" s="4"/>
      <c r="B278" s="2"/>
      <c r="C278" s="2"/>
      <c r="D278" s="2"/>
      <c r="E278" s="2"/>
      <c r="F278" s="3" t="str">
        <f aca="false">IFERROR(__xludf.dummyfunction("if($T278&lt;&gt;"""",REGEXEXTRACT(SUBSTITUTE ($T278,F$1&amp;"" CE"",""""), F$1&amp;""[\w &amp;]*, (\d+\.\d+)""),"""")
"),"")</f>
        <v/>
      </c>
      <c r="G278" s="3" t="str">
        <f aca="false">IFERROR(__xludf.dummyfunction("if($T278&lt;&gt;"""",REGEXEXTRACT($T278, G$1&amp;""[\w &amp;]*, (\d+\.\d+)""),"""")
"),"")</f>
        <v/>
      </c>
      <c r="H278" s="3"/>
      <c r="I278" s="3" t="str">
        <f aca="false">IFERROR(__xludf.dummyfunction("if($T278&lt;&gt;"""",REGEXEXTRACT(SUBSTITUTE ($T278,I$1&amp;"" CE"",""""), I$1&amp;""[\w &amp;]*, (\d+\.\d+)""),"""")
"),"")</f>
        <v/>
      </c>
      <c r="J278" s="3" t="str">
        <f aca="false">IFERROR(__xludf.dummyfunction("if($T278&lt;&gt;"""",REGEXEXTRACT($T278, J$1&amp;""[\w &amp;]*, (\d+\.\d+)""),"""")
"),"")</f>
        <v/>
      </c>
      <c r="K278" s="3"/>
      <c r="L278" s="3" t="str">
        <f aca="false">IFERROR(__xludf.dummyfunction("if($T278&lt;&gt;"""",REGEXEXTRACT(SUBSTITUTE ($T278,L$1&amp;"" CE"",""""), L$1&amp;""[\w &amp;]*, (\d+\.\d+)""),"""")
"),"")</f>
        <v/>
      </c>
      <c r="M278" s="3" t="str">
        <f aca="false">IFERROR(__xludf.dummyfunction("if($T278&lt;&gt;"""",REGEXEXTRACT($T278, M$1&amp;""[\w &amp;]*, (\d+\.\d+)""),"""")
"),"")</f>
        <v/>
      </c>
      <c r="N278" s="3" t="str">
        <f aca="false">IFERROR(__xludf.dummyfunction("if($T278&lt;&gt;"""",REGEXEXTRACT(SUBSTITUTE ($T278,N$1&amp;"" CE"",""""), N$1&amp;""[\w &amp;]*, (\d+\.\d+)""),"""")
"),"")</f>
        <v/>
      </c>
      <c r="O278" s="3" t="str">
        <f aca="false">IFERROR(__xludf.dummyfunction("if($T278&lt;&gt;"""",REGEXEXTRACT($T278, O$1&amp;""[\w &amp;]*, (\d+\.\d+)""),"""")
"),"")</f>
        <v/>
      </c>
      <c r="P278" s="2"/>
      <c r="Q278" s="2"/>
      <c r="R278" s="2"/>
      <c r="S278" s="2"/>
      <c r="T278" s="5"/>
    </row>
    <row r="279" customFormat="false" ht="15.75" hidden="false" customHeight="false" outlineLevel="0" collapsed="false">
      <c r="A279" s="4"/>
      <c r="B279" s="2"/>
      <c r="C279" s="2"/>
      <c r="D279" s="2"/>
      <c r="E279" s="2"/>
      <c r="F279" s="3" t="str">
        <f aca="false">IFERROR(__xludf.dummyfunction("if($T279&lt;&gt;"""",REGEXEXTRACT(SUBSTITUTE ($T279,F$1&amp;"" CE"",""""), F$1&amp;""[\w &amp;]*, (\d+\.\d+)""),"""")
"),"")</f>
        <v/>
      </c>
      <c r="G279" s="3" t="str">
        <f aca="false">IFERROR(__xludf.dummyfunction("if($T279&lt;&gt;"""",REGEXEXTRACT($T279, G$1&amp;""[\w &amp;]*, (\d+\.\d+)""),"""")
"),"")</f>
        <v/>
      </c>
      <c r="H279" s="3"/>
      <c r="I279" s="3" t="str">
        <f aca="false">IFERROR(__xludf.dummyfunction("if($T279&lt;&gt;"""",REGEXEXTRACT(SUBSTITUTE ($T279,I$1&amp;"" CE"",""""), I$1&amp;""[\w &amp;]*, (\d+\.\d+)""),"""")
"),"")</f>
        <v/>
      </c>
      <c r="J279" s="3" t="str">
        <f aca="false">IFERROR(__xludf.dummyfunction("if($T279&lt;&gt;"""",REGEXEXTRACT($T279, J$1&amp;""[\w &amp;]*, (\d+\.\d+)""),"""")
"),"")</f>
        <v/>
      </c>
      <c r="K279" s="3"/>
      <c r="L279" s="3" t="str">
        <f aca="false">IFERROR(__xludf.dummyfunction("if($T279&lt;&gt;"""",REGEXEXTRACT(SUBSTITUTE ($T279,L$1&amp;"" CE"",""""), L$1&amp;""[\w &amp;]*, (\d+\.\d+)""),"""")
"),"")</f>
        <v/>
      </c>
      <c r="M279" s="3" t="str">
        <f aca="false">IFERROR(__xludf.dummyfunction("if($T279&lt;&gt;"""",REGEXEXTRACT($T279, M$1&amp;""[\w &amp;]*, (\d+\.\d+)""),"""")
"),"")</f>
        <v/>
      </c>
      <c r="N279" s="3" t="str">
        <f aca="false">IFERROR(__xludf.dummyfunction("if($T279&lt;&gt;"""",REGEXEXTRACT(SUBSTITUTE ($T279,N$1&amp;"" CE"",""""), N$1&amp;""[\w &amp;]*, (\d+\.\d+)""),"""")
"),"")</f>
        <v/>
      </c>
      <c r="O279" s="3" t="str">
        <f aca="false">IFERROR(__xludf.dummyfunction("if($T279&lt;&gt;"""",REGEXEXTRACT($T279, O$1&amp;""[\w &amp;]*, (\d+\.\d+)""),"""")
"),"")</f>
        <v/>
      </c>
      <c r="P279" s="2"/>
      <c r="Q279" s="2"/>
      <c r="R279" s="2"/>
      <c r="S279" s="2"/>
      <c r="T279" s="5"/>
    </row>
    <row r="280" customFormat="false" ht="15.75" hidden="false" customHeight="false" outlineLevel="0" collapsed="false">
      <c r="A280" s="4"/>
      <c r="B280" s="2"/>
      <c r="C280" s="2"/>
      <c r="D280" s="2"/>
      <c r="E280" s="2"/>
      <c r="F280" s="3" t="str">
        <f aca="false">IFERROR(__xludf.dummyfunction("if($T280&lt;&gt;"""",REGEXEXTRACT(SUBSTITUTE ($T280,F$1&amp;"" CE"",""""), F$1&amp;""[\w &amp;]*, (\d+\.\d+)""),"""")
"),"")</f>
        <v/>
      </c>
      <c r="G280" s="3" t="str">
        <f aca="false">IFERROR(__xludf.dummyfunction("if($T280&lt;&gt;"""",REGEXEXTRACT($T280, G$1&amp;""[\w &amp;]*, (\d+\.\d+)""),"""")
"),"")</f>
        <v/>
      </c>
      <c r="H280" s="3"/>
      <c r="I280" s="3" t="str">
        <f aca="false">IFERROR(__xludf.dummyfunction("if($T280&lt;&gt;"""",REGEXEXTRACT(SUBSTITUTE ($T280,I$1&amp;"" CE"",""""), I$1&amp;""[\w &amp;]*, (\d+\.\d+)""),"""")
"),"")</f>
        <v/>
      </c>
      <c r="J280" s="3" t="str">
        <f aca="false">IFERROR(__xludf.dummyfunction("if($T280&lt;&gt;"""",REGEXEXTRACT($T280, J$1&amp;""[\w &amp;]*, (\d+\.\d+)""),"""")
"),"")</f>
        <v/>
      </c>
      <c r="K280" s="3"/>
      <c r="L280" s="3" t="str">
        <f aca="false">IFERROR(__xludf.dummyfunction("if($T280&lt;&gt;"""",REGEXEXTRACT(SUBSTITUTE ($T280,L$1&amp;"" CE"",""""), L$1&amp;""[\w &amp;]*, (\d+\.\d+)""),"""")
"),"")</f>
        <v/>
      </c>
      <c r="M280" s="3" t="str">
        <f aca="false">IFERROR(__xludf.dummyfunction("if($T280&lt;&gt;"""",REGEXEXTRACT($T280, M$1&amp;""[\w &amp;]*, (\d+\.\d+)""),"""")
"),"")</f>
        <v/>
      </c>
      <c r="N280" s="3" t="str">
        <f aca="false">IFERROR(__xludf.dummyfunction("if($T280&lt;&gt;"""",REGEXEXTRACT(SUBSTITUTE ($T280,N$1&amp;"" CE"",""""), N$1&amp;""[\w &amp;]*, (\d+\.\d+)""),"""")
"),"")</f>
        <v/>
      </c>
      <c r="O280" s="3" t="str">
        <f aca="false">IFERROR(__xludf.dummyfunction("if($T280&lt;&gt;"""",REGEXEXTRACT($T280, O$1&amp;""[\w &amp;]*, (\d+\.\d+)""),"""")
"),"")</f>
        <v/>
      </c>
      <c r="P280" s="2"/>
      <c r="Q280" s="2"/>
      <c r="R280" s="2"/>
      <c r="S280" s="2"/>
      <c r="T280" s="5"/>
    </row>
    <row r="281" customFormat="false" ht="15.75" hidden="false" customHeight="false" outlineLevel="0" collapsed="false">
      <c r="A281" s="4"/>
      <c r="B281" s="2"/>
      <c r="C281" s="2"/>
      <c r="D281" s="2"/>
      <c r="E281" s="2"/>
      <c r="F281" s="3" t="str">
        <f aca="false">IFERROR(__xludf.dummyfunction("if($T281&lt;&gt;"""",REGEXEXTRACT(SUBSTITUTE ($T281,F$1&amp;"" CE"",""""), F$1&amp;""[\w &amp;]*, (\d+\.\d+)""),"""")
"),"")</f>
        <v/>
      </c>
      <c r="G281" s="3" t="str">
        <f aca="false">IFERROR(__xludf.dummyfunction("if($T281&lt;&gt;"""",REGEXEXTRACT($T281, G$1&amp;""[\w &amp;]*, (\d+\.\d+)""),"""")
"),"")</f>
        <v/>
      </c>
      <c r="H281" s="3"/>
      <c r="I281" s="3" t="str">
        <f aca="false">IFERROR(__xludf.dummyfunction("if($T281&lt;&gt;"""",REGEXEXTRACT(SUBSTITUTE ($T281,I$1&amp;"" CE"",""""), I$1&amp;""[\w &amp;]*, (\d+\.\d+)""),"""")
"),"")</f>
        <v/>
      </c>
      <c r="J281" s="3" t="str">
        <f aca="false">IFERROR(__xludf.dummyfunction("if($T281&lt;&gt;"""",REGEXEXTRACT($T281, J$1&amp;""[\w &amp;]*, (\d+\.\d+)""),"""")
"),"")</f>
        <v/>
      </c>
      <c r="K281" s="3"/>
      <c r="L281" s="3" t="str">
        <f aca="false">IFERROR(__xludf.dummyfunction("if($T281&lt;&gt;"""",REGEXEXTRACT(SUBSTITUTE ($T281,L$1&amp;"" CE"",""""), L$1&amp;""[\w &amp;]*, (\d+\.\d+)""),"""")
"),"")</f>
        <v/>
      </c>
      <c r="M281" s="3" t="str">
        <f aca="false">IFERROR(__xludf.dummyfunction("if($T281&lt;&gt;"""",REGEXEXTRACT($T281, M$1&amp;""[\w &amp;]*, (\d+\.\d+)""),"""")
"),"")</f>
        <v/>
      </c>
      <c r="N281" s="3" t="str">
        <f aca="false">IFERROR(__xludf.dummyfunction("if($T281&lt;&gt;"""",REGEXEXTRACT(SUBSTITUTE ($T281,N$1&amp;"" CE"",""""), N$1&amp;""[\w &amp;]*, (\d+\.\d+)""),"""")
"),"")</f>
        <v/>
      </c>
      <c r="O281" s="3" t="str">
        <f aca="false">IFERROR(__xludf.dummyfunction("if($T281&lt;&gt;"""",REGEXEXTRACT($T281, O$1&amp;""[\w &amp;]*, (\d+\.\d+)""),"""")
"),"")</f>
        <v/>
      </c>
      <c r="P281" s="2"/>
      <c r="Q281" s="2"/>
      <c r="R281" s="2"/>
      <c r="S281" s="2"/>
      <c r="T281" s="5"/>
    </row>
    <row r="282" customFormat="false" ht="15.75" hidden="false" customHeight="false" outlineLevel="0" collapsed="false">
      <c r="A282" s="4"/>
      <c r="B282" s="2"/>
      <c r="C282" s="2"/>
      <c r="D282" s="2"/>
      <c r="E282" s="2"/>
      <c r="F282" s="3" t="str">
        <f aca="false">IFERROR(__xludf.dummyfunction("if($T282&lt;&gt;"""",REGEXEXTRACT(SUBSTITUTE ($T282,F$1&amp;"" CE"",""""), F$1&amp;""[\w &amp;]*, (\d+\.\d+)""),"""")
"),"")</f>
        <v/>
      </c>
      <c r="G282" s="3" t="str">
        <f aca="false">IFERROR(__xludf.dummyfunction("if($T282&lt;&gt;"""",REGEXEXTRACT($T282, G$1&amp;""[\w &amp;]*, (\d+\.\d+)""),"""")
"),"")</f>
        <v/>
      </c>
      <c r="H282" s="3"/>
      <c r="I282" s="3" t="str">
        <f aca="false">IFERROR(__xludf.dummyfunction("if($T282&lt;&gt;"""",REGEXEXTRACT(SUBSTITUTE ($T282,I$1&amp;"" CE"",""""), I$1&amp;""[\w &amp;]*, (\d+\.\d+)""),"""")
"),"")</f>
        <v/>
      </c>
      <c r="J282" s="3" t="str">
        <f aca="false">IFERROR(__xludf.dummyfunction("if($T282&lt;&gt;"""",REGEXEXTRACT($T282, J$1&amp;""[\w &amp;]*, (\d+\.\d+)""),"""")
"),"")</f>
        <v/>
      </c>
      <c r="K282" s="3"/>
      <c r="L282" s="3" t="str">
        <f aca="false">IFERROR(__xludf.dummyfunction("if($T282&lt;&gt;"""",REGEXEXTRACT(SUBSTITUTE ($T282,L$1&amp;"" CE"",""""), L$1&amp;""[\w &amp;]*, (\d+\.\d+)""),"""")
"),"")</f>
        <v/>
      </c>
      <c r="M282" s="3" t="str">
        <f aca="false">IFERROR(__xludf.dummyfunction("if($T282&lt;&gt;"""",REGEXEXTRACT($T282, M$1&amp;""[\w &amp;]*, (\d+\.\d+)""),"""")
"),"")</f>
        <v/>
      </c>
      <c r="N282" s="3" t="str">
        <f aca="false">IFERROR(__xludf.dummyfunction("if($T282&lt;&gt;"""",REGEXEXTRACT(SUBSTITUTE ($T282,N$1&amp;"" CE"",""""), N$1&amp;""[\w &amp;]*, (\d+\.\d+)""),"""")
"),"")</f>
        <v/>
      </c>
      <c r="O282" s="3" t="str">
        <f aca="false">IFERROR(__xludf.dummyfunction("if($T282&lt;&gt;"""",REGEXEXTRACT($T282, O$1&amp;""[\w &amp;]*, (\d+\.\d+)""),"""")
"),"")</f>
        <v/>
      </c>
      <c r="P282" s="2"/>
      <c r="Q282" s="2"/>
      <c r="R282" s="2"/>
      <c r="S282" s="2"/>
      <c r="T282" s="5"/>
    </row>
    <row r="283" customFormat="false" ht="15.75" hidden="false" customHeight="false" outlineLevel="0" collapsed="false">
      <c r="A283" s="4"/>
      <c r="B283" s="2"/>
      <c r="C283" s="2"/>
      <c r="D283" s="2"/>
      <c r="E283" s="2"/>
      <c r="F283" s="3" t="str">
        <f aca="false">IFERROR(__xludf.dummyfunction("if($T283&lt;&gt;"""",REGEXEXTRACT(SUBSTITUTE ($T283,F$1&amp;"" CE"",""""), F$1&amp;""[\w &amp;]*, (\d+\.\d+)""),"""")
"),"")</f>
        <v/>
      </c>
      <c r="G283" s="3" t="str">
        <f aca="false">IFERROR(__xludf.dummyfunction("if($T283&lt;&gt;"""",REGEXEXTRACT($T283, G$1&amp;""[\w &amp;]*, (\d+\.\d+)""),"""")
"),"")</f>
        <v/>
      </c>
      <c r="H283" s="3"/>
      <c r="I283" s="3" t="str">
        <f aca="false">IFERROR(__xludf.dummyfunction("if($T283&lt;&gt;"""",REGEXEXTRACT(SUBSTITUTE ($T283,I$1&amp;"" CE"",""""), I$1&amp;""[\w &amp;]*, (\d+\.\d+)""),"""")
"),"")</f>
        <v/>
      </c>
      <c r="J283" s="3" t="str">
        <f aca="false">IFERROR(__xludf.dummyfunction("if($T283&lt;&gt;"""",REGEXEXTRACT($T283, J$1&amp;""[\w &amp;]*, (\d+\.\d+)""),"""")
"),"")</f>
        <v/>
      </c>
      <c r="K283" s="3"/>
      <c r="L283" s="3" t="str">
        <f aca="false">IFERROR(__xludf.dummyfunction("if($T283&lt;&gt;"""",REGEXEXTRACT(SUBSTITUTE ($T283,L$1&amp;"" CE"",""""), L$1&amp;""[\w &amp;]*, (\d+\.\d+)""),"""")
"),"")</f>
        <v/>
      </c>
      <c r="M283" s="3" t="str">
        <f aca="false">IFERROR(__xludf.dummyfunction("if($T283&lt;&gt;"""",REGEXEXTRACT($T283, M$1&amp;""[\w &amp;]*, (\d+\.\d+)""),"""")
"),"")</f>
        <v/>
      </c>
      <c r="N283" s="3" t="str">
        <f aca="false">IFERROR(__xludf.dummyfunction("if($T283&lt;&gt;"""",REGEXEXTRACT(SUBSTITUTE ($T283,N$1&amp;"" CE"",""""), N$1&amp;""[\w &amp;]*, (\d+\.\d+)""),"""")
"),"")</f>
        <v/>
      </c>
      <c r="O283" s="3" t="str">
        <f aca="false">IFERROR(__xludf.dummyfunction("if($T283&lt;&gt;"""",REGEXEXTRACT($T283, O$1&amp;""[\w &amp;]*, (\d+\.\d+)""),"""")
"),"")</f>
        <v/>
      </c>
      <c r="P283" s="2"/>
      <c r="Q283" s="2"/>
      <c r="R283" s="2"/>
      <c r="S283" s="2"/>
      <c r="T283" s="5"/>
    </row>
    <row r="284" customFormat="false" ht="15.75" hidden="false" customHeight="false" outlineLevel="0" collapsed="false">
      <c r="A284" s="4"/>
      <c r="B284" s="2"/>
      <c r="C284" s="2"/>
      <c r="D284" s="2"/>
      <c r="E284" s="2"/>
      <c r="F284" s="3" t="str">
        <f aca="false">IFERROR(__xludf.dummyfunction("if($T284&lt;&gt;"""",REGEXEXTRACT(SUBSTITUTE ($T284,F$1&amp;"" CE"",""""), F$1&amp;""[\w &amp;]*, (\d+\.\d+)""),"""")
"),"")</f>
        <v/>
      </c>
      <c r="G284" s="3" t="str">
        <f aca="false">IFERROR(__xludf.dummyfunction("if($T284&lt;&gt;"""",REGEXEXTRACT($T284, G$1&amp;""[\w &amp;]*, (\d+\.\d+)""),"""")
"),"")</f>
        <v/>
      </c>
      <c r="H284" s="3"/>
      <c r="I284" s="3" t="str">
        <f aca="false">IFERROR(__xludf.dummyfunction("if($T284&lt;&gt;"""",REGEXEXTRACT(SUBSTITUTE ($T284,I$1&amp;"" CE"",""""), I$1&amp;""[\w &amp;]*, (\d+\.\d+)""),"""")
"),"")</f>
        <v/>
      </c>
      <c r="J284" s="3" t="str">
        <f aca="false">IFERROR(__xludf.dummyfunction("if($T284&lt;&gt;"""",REGEXEXTRACT($T284, J$1&amp;""[\w &amp;]*, (\d+\.\d+)""),"""")
"),"")</f>
        <v/>
      </c>
      <c r="K284" s="3"/>
      <c r="L284" s="3" t="str">
        <f aca="false">IFERROR(__xludf.dummyfunction("if($T284&lt;&gt;"""",REGEXEXTRACT(SUBSTITUTE ($T284,L$1&amp;"" CE"",""""), L$1&amp;""[\w &amp;]*, (\d+\.\d+)""),"""")
"),"")</f>
        <v/>
      </c>
      <c r="M284" s="3" t="str">
        <f aca="false">IFERROR(__xludf.dummyfunction("if($T284&lt;&gt;"""",REGEXEXTRACT($T284, M$1&amp;""[\w &amp;]*, (\d+\.\d+)""),"""")
"),"")</f>
        <v/>
      </c>
      <c r="N284" s="3" t="str">
        <f aca="false">IFERROR(__xludf.dummyfunction("if($T284&lt;&gt;"""",REGEXEXTRACT(SUBSTITUTE ($T284,N$1&amp;"" CE"",""""), N$1&amp;""[\w &amp;]*, (\d+\.\d+)""),"""")
"),"")</f>
        <v/>
      </c>
      <c r="O284" s="3" t="str">
        <f aca="false">IFERROR(__xludf.dummyfunction("if($T284&lt;&gt;"""",REGEXEXTRACT($T284, O$1&amp;""[\w &amp;]*, (\d+\.\d+)""),"""")
"),"")</f>
        <v/>
      </c>
      <c r="P284" s="2"/>
      <c r="Q284" s="2"/>
      <c r="R284" s="2"/>
      <c r="S284" s="2"/>
      <c r="T284" s="5"/>
    </row>
    <row r="285" customFormat="false" ht="15.75" hidden="false" customHeight="false" outlineLevel="0" collapsed="false">
      <c r="A285" s="4"/>
      <c r="B285" s="2"/>
      <c r="C285" s="2"/>
      <c r="D285" s="2"/>
      <c r="E285" s="2"/>
      <c r="F285" s="3" t="str">
        <f aca="false">IFERROR(__xludf.dummyfunction("if($T285&lt;&gt;"""",REGEXEXTRACT(SUBSTITUTE ($T285,F$1&amp;"" CE"",""""), F$1&amp;""[\w &amp;]*, (\d+\.\d+)""),"""")
"),"")</f>
        <v/>
      </c>
      <c r="G285" s="3" t="str">
        <f aca="false">IFERROR(__xludf.dummyfunction("if($T285&lt;&gt;"""",REGEXEXTRACT($T285, G$1&amp;""[\w &amp;]*, (\d+\.\d+)""),"""")
"),"")</f>
        <v/>
      </c>
      <c r="H285" s="3"/>
      <c r="I285" s="3" t="str">
        <f aca="false">IFERROR(__xludf.dummyfunction("if($T285&lt;&gt;"""",REGEXEXTRACT(SUBSTITUTE ($T285,I$1&amp;"" CE"",""""), I$1&amp;""[\w &amp;]*, (\d+\.\d+)""),"""")
"),"")</f>
        <v/>
      </c>
      <c r="J285" s="3" t="str">
        <f aca="false">IFERROR(__xludf.dummyfunction("if($T285&lt;&gt;"""",REGEXEXTRACT($T285, J$1&amp;""[\w &amp;]*, (\d+\.\d+)""),"""")
"),"")</f>
        <v/>
      </c>
      <c r="K285" s="3"/>
      <c r="L285" s="3" t="str">
        <f aca="false">IFERROR(__xludf.dummyfunction("if($T285&lt;&gt;"""",REGEXEXTRACT(SUBSTITUTE ($T285,L$1&amp;"" CE"",""""), L$1&amp;""[\w &amp;]*, (\d+\.\d+)""),"""")
"),"")</f>
        <v/>
      </c>
      <c r="M285" s="3" t="str">
        <f aca="false">IFERROR(__xludf.dummyfunction("if($T285&lt;&gt;"""",REGEXEXTRACT($T285, M$1&amp;""[\w &amp;]*, (\d+\.\d+)""),"""")
"),"")</f>
        <v/>
      </c>
      <c r="N285" s="3" t="str">
        <f aca="false">IFERROR(__xludf.dummyfunction("if($T285&lt;&gt;"""",REGEXEXTRACT(SUBSTITUTE ($T285,N$1&amp;"" CE"",""""), N$1&amp;""[\w &amp;]*, (\d+\.\d+)""),"""")
"),"")</f>
        <v/>
      </c>
      <c r="O285" s="3" t="str">
        <f aca="false">IFERROR(__xludf.dummyfunction("if($T285&lt;&gt;"""",REGEXEXTRACT($T285, O$1&amp;""[\w &amp;]*, (\d+\.\d+)""),"""")
"),"")</f>
        <v/>
      </c>
      <c r="P285" s="2"/>
      <c r="Q285" s="2"/>
      <c r="R285" s="2"/>
      <c r="S285" s="2"/>
      <c r="T285" s="5"/>
    </row>
    <row r="286" customFormat="false" ht="15.75" hidden="false" customHeight="false" outlineLevel="0" collapsed="false">
      <c r="A286" s="4"/>
      <c r="B286" s="2"/>
      <c r="C286" s="2"/>
      <c r="D286" s="2"/>
      <c r="E286" s="2"/>
      <c r="F286" s="3" t="str">
        <f aca="false">IFERROR(__xludf.dummyfunction("if($T286&lt;&gt;"""",REGEXEXTRACT(SUBSTITUTE ($T286,F$1&amp;"" CE"",""""), F$1&amp;""[\w &amp;]*, (\d+\.\d+)""),"""")
"),"")</f>
        <v/>
      </c>
      <c r="G286" s="3" t="str">
        <f aca="false">IFERROR(__xludf.dummyfunction("if($T286&lt;&gt;"""",REGEXEXTRACT($T286, G$1&amp;""[\w &amp;]*, (\d+\.\d+)""),"""")
"),"")</f>
        <v/>
      </c>
      <c r="H286" s="3"/>
      <c r="I286" s="3" t="str">
        <f aca="false">IFERROR(__xludf.dummyfunction("if($T286&lt;&gt;"""",REGEXEXTRACT(SUBSTITUTE ($T286,I$1&amp;"" CE"",""""), I$1&amp;""[\w &amp;]*, (\d+\.\d+)""),"""")
"),"")</f>
        <v/>
      </c>
      <c r="J286" s="3" t="str">
        <f aca="false">IFERROR(__xludf.dummyfunction("if($T286&lt;&gt;"""",REGEXEXTRACT($T286, J$1&amp;""[\w &amp;]*, (\d+\.\d+)""),"""")
"),"")</f>
        <v/>
      </c>
      <c r="K286" s="3"/>
      <c r="L286" s="3" t="str">
        <f aca="false">IFERROR(__xludf.dummyfunction("if($T286&lt;&gt;"""",REGEXEXTRACT(SUBSTITUTE ($T286,L$1&amp;"" CE"",""""), L$1&amp;""[\w &amp;]*, (\d+\.\d+)""),"""")
"),"")</f>
        <v/>
      </c>
      <c r="M286" s="3" t="str">
        <f aca="false">IFERROR(__xludf.dummyfunction("if($T286&lt;&gt;"""",REGEXEXTRACT($T286, M$1&amp;""[\w &amp;]*, (\d+\.\d+)""),"""")
"),"")</f>
        <v/>
      </c>
      <c r="N286" s="3" t="str">
        <f aca="false">IFERROR(__xludf.dummyfunction("if($T286&lt;&gt;"""",REGEXEXTRACT(SUBSTITUTE ($T286,N$1&amp;"" CE"",""""), N$1&amp;""[\w &amp;]*, (\d+\.\d+)""),"""")
"),"")</f>
        <v/>
      </c>
      <c r="O286" s="3" t="str">
        <f aca="false">IFERROR(__xludf.dummyfunction("if($T286&lt;&gt;"""",REGEXEXTRACT($T286, O$1&amp;""[\w &amp;]*, (\d+\.\d+)""),"""")
"),"")</f>
        <v/>
      </c>
      <c r="P286" s="2"/>
      <c r="Q286" s="2"/>
      <c r="R286" s="2"/>
      <c r="S286" s="2"/>
      <c r="T286" s="5"/>
    </row>
    <row r="287" customFormat="false" ht="15.75" hidden="false" customHeight="false" outlineLevel="0" collapsed="false">
      <c r="A287" s="4"/>
      <c r="B287" s="2"/>
      <c r="C287" s="2"/>
      <c r="D287" s="2"/>
      <c r="E287" s="2"/>
      <c r="F287" s="3" t="str">
        <f aca="false">IFERROR(__xludf.dummyfunction("if($T287&lt;&gt;"""",REGEXEXTRACT(SUBSTITUTE ($T287,F$1&amp;"" CE"",""""), F$1&amp;""[\w &amp;]*, (\d+\.\d+)""),"""")
"),"")</f>
        <v/>
      </c>
      <c r="G287" s="3" t="str">
        <f aca="false">IFERROR(__xludf.dummyfunction("if($T287&lt;&gt;"""",REGEXEXTRACT($T287, G$1&amp;""[\w &amp;]*, (\d+\.\d+)""),"""")
"),"")</f>
        <v/>
      </c>
      <c r="H287" s="3"/>
      <c r="I287" s="3" t="str">
        <f aca="false">IFERROR(__xludf.dummyfunction("if($T287&lt;&gt;"""",REGEXEXTRACT(SUBSTITUTE ($T287,I$1&amp;"" CE"",""""), I$1&amp;""[\w &amp;]*, (\d+\.\d+)""),"""")
"),"")</f>
        <v/>
      </c>
      <c r="J287" s="3" t="str">
        <f aca="false">IFERROR(__xludf.dummyfunction("if($T287&lt;&gt;"""",REGEXEXTRACT($T287, J$1&amp;""[\w &amp;]*, (\d+\.\d+)""),"""")
"),"")</f>
        <v/>
      </c>
      <c r="K287" s="3"/>
      <c r="L287" s="3" t="str">
        <f aca="false">IFERROR(__xludf.dummyfunction("if($T287&lt;&gt;"""",REGEXEXTRACT(SUBSTITUTE ($T287,L$1&amp;"" CE"",""""), L$1&amp;""[\w &amp;]*, (\d+\.\d+)""),"""")
"),"")</f>
        <v/>
      </c>
      <c r="M287" s="3" t="str">
        <f aca="false">IFERROR(__xludf.dummyfunction("if($T287&lt;&gt;"""",REGEXEXTRACT($T287, M$1&amp;""[\w &amp;]*, (\d+\.\d+)""),"""")
"),"")</f>
        <v/>
      </c>
      <c r="N287" s="3" t="str">
        <f aca="false">IFERROR(__xludf.dummyfunction("if($T287&lt;&gt;"""",REGEXEXTRACT(SUBSTITUTE ($T287,N$1&amp;"" CE"",""""), N$1&amp;""[\w &amp;]*, (\d+\.\d+)""),"""")
"),"")</f>
        <v/>
      </c>
      <c r="O287" s="3" t="str">
        <f aca="false">IFERROR(__xludf.dummyfunction("if($T287&lt;&gt;"""",REGEXEXTRACT($T287, O$1&amp;""[\w &amp;]*, (\d+\.\d+)""),"""")
"),"")</f>
        <v/>
      </c>
      <c r="P287" s="2"/>
      <c r="Q287" s="2"/>
      <c r="R287" s="2"/>
      <c r="S287" s="2"/>
      <c r="T287" s="5"/>
    </row>
    <row r="288" customFormat="false" ht="15.75" hidden="false" customHeight="false" outlineLevel="0" collapsed="false">
      <c r="A288" s="4"/>
      <c r="B288" s="2"/>
      <c r="C288" s="2"/>
      <c r="D288" s="2"/>
      <c r="E288" s="2"/>
      <c r="F288" s="3" t="str">
        <f aca="false">IFERROR(__xludf.dummyfunction("if($T288&lt;&gt;"""",REGEXEXTRACT(SUBSTITUTE ($T288,F$1&amp;"" CE"",""""), F$1&amp;""[\w &amp;]*, (\d+\.\d+)""),"""")
"),"")</f>
        <v/>
      </c>
      <c r="G288" s="3" t="str">
        <f aca="false">IFERROR(__xludf.dummyfunction("if($T288&lt;&gt;"""",REGEXEXTRACT($T288, G$1&amp;""[\w &amp;]*, (\d+\.\d+)""),"""")
"),"")</f>
        <v/>
      </c>
      <c r="H288" s="3"/>
      <c r="I288" s="3" t="str">
        <f aca="false">IFERROR(__xludf.dummyfunction("if($T288&lt;&gt;"""",REGEXEXTRACT(SUBSTITUTE ($T288,I$1&amp;"" CE"",""""), I$1&amp;""[\w &amp;]*, (\d+\.\d+)""),"""")
"),"")</f>
        <v/>
      </c>
      <c r="J288" s="3" t="str">
        <f aca="false">IFERROR(__xludf.dummyfunction("if($T288&lt;&gt;"""",REGEXEXTRACT($T288, J$1&amp;""[\w &amp;]*, (\d+\.\d+)""),"""")
"),"")</f>
        <v/>
      </c>
      <c r="K288" s="3"/>
      <c r="L288" s="3" t="str">
        <f aca="false">IFERROR(__xludf.dummyfunction("if($T288&lt;&gt;"""",REGEXEXTRACT(SUBSTITUTE ($T288,L$1&amp;"" CE"",""""), L$1&amp;""[\w &amp;]*, (\d+\.\d+)""),"""")
"),"")</f>
        <v/>
      </c>
      <c r="M288" s="3" t="str">
        <f aca="false">IFERROR(__xludf.dummyfunction("if($T288&lt;&gt;"""",REGEXEXTRACT($T288, M$1&amp;""[\w &amp;]*, (\d+\.\d+)""),"""")
"),"")</f>
        <v/>
      </c>
      <c r="N288" s="3" t="str">
        <f aca="false">IFERROR(__xludf.dummyfunction("if($T288&lt;&gt;"""",REGEXEXTRACT(SUBSTITUTE ($T288,N$1&amp;"" CE"",""""), N$1&amp;""[\w &amp;]*, (\d+\.\d+)""),"""")
"),"")</f>
        <v/>
      </c>
      <c r="O288" s="3" t="str">
        <f aca="false">IFERROR(__xludf.dummyfunction("if($T288&lt;&gt;"""",REGEXEXTRACT($T288, O$1&amp;""[\w &amp;]*, (\d+\.\d+)""),"""")
"),"")</f>
        <v/>
      </c>
      <c r="P288" s="2"/>
      <c r="Q288" s="2"/>
      <c r="R288" s="2"/>
      <c r="S288" s="2"/>
      <c r="T288" s="5"/>
    </row>
    <row r="289" customFormat="false" ht="15.75" hidden="false" customHeight="false" outlineLevel="0" collapsed="false">
      <c r="A289" s="4"/>
      <c r="B289" s="2"/>
      <c r="C289" s="2"/>
      <c r="D289" s="2"/>
      <c r="E289" s="2"/>
      <c r="F289" s="3" t="str">
        <f aca="false">IFERROR(__xludf.dummyfunction("if($T289&lt;&gt;"""",REGEXEXTRACT(SUBSTITUTE ($T289,F$1&amp;"" CE"",""""), F$1&amp;""[\w &amp;]*, (\d+\.\d+)""),"""")
"),"")</f>
        <v/>
      </c>
      <c r="G289" s="3" t="str">
        <f aca="false">IFERROR(__xludf.dummyfunction("if($T289&lt;&gt;"""",REGEXEXTRACT($T289, G$1&amp;""[\w &amp;]*, (\d+\.\d+)""),"""")
"),"")</f>
        <v/>
      </c>
      <c r="H289" s="3"/>
      <c r="I289" s="3" t="str">
        <f aca="false">IFERROR(__xludf.dummyfunction("if($T289&lt;&gt;"""",REGEXEXTRACT(SUBSTITUTE ($T289,I$1&amp;"" CE"",""""), I$1&amp;""[\w &amp;]*, (\d+\.\d+)""),"""")
"),"")</f>
        <v/>
      </c>
      <c r="J289" s="3" t="str">
        <f aca="false">IFERROR(__xludf.dummyfunction("if($T289&lt;&gt;"""",REGEXEXTRACT($T289, J$1&amp;""[\w &amp;]*, (\d+\.\d+)""),"""")
"),"")</f>
        <v/>
      </c>
      <c r="K289" s="3"/>
      <c r="L289" s="3" t="str">
        <f aca="false">IFERROR(__xludf.dummyfunction("if($T289&lt;&gt;"""",REGEXEXTRACT(SUBSTITUTE ($T289,L$1&amp;"" CE"",""""), L$1&amp;""[\w &amp;]*, (\d+\.\d+)""),"""")
"),"")</f>
        <v/>
      </c>
      <c r="M289" s="3" t="str">
        <f aca="false">IFERROR(__xludf.dummyfunction("if($T289&lt;&gt;"""",REGEXEXTRACT($T289, M$1&amp;""[\w &amp;]*, (\d+\.\d+)""),"""")
"),"")</f>
        <v/>
      </c>
      <c r="N289" s="3" t="str">
        <f aca="false">IFERROR(__xludf.dummyfunction("if($T289&lt;&gt;"""",REGEXEXTRACT(SUBSTITUTE ($T289,N$1&amp;"" CE"",""""), N$1&amp;""[\w &amp;]*, (\d+\.\d+)""),"""")
"),"")</f>
        <v/>
      </c>
      <c r="O289" s="3" t="str">
        <f aca="false">IFERROR(__xludf.dummyfunction("if($T289&lt;&gt;"""",REGEXEXTRACT($T289, O$1&amp;""[\w &amp;]*, (\d+\.\d+)""),"""")
"),"")</f>
        <v/>
      </c>
      <c r="P289" s="2"/>
      <c r="Q289" s="2"/>
      <c r="R289" s="2"/>
      <c r="S289" s="2"/>
      <c r="T289" s="5"/>
    </row>
    <row r="290" customFormat="false" ht="15.75" hidden="false" customHeight="false" outlineLevel="0" collapsed="false">
      <c r="A290" s="4"/>
      <c r="B290" s="2"/>
      <c r="C290" s="2"/>
      <c r="D290" s="2"/>
      <c r="E290" s="2"/>
      <c r="F290" s="3" t="str">
        <f aca="false">IFERROR(__xludf.dummyfunction("if($T290&lt;&gt;"""",REGEXEXTRACT(SUBSTITUTE ($T290,F$1&amp;"" CE"",""""), F$1&amp;""[\w &amp;]*, (\d+\.\d+)""),"""")
"),"")</f>
        <v/>
      </c>
      <c r="G290" s="3" t="str">
        <f aca="false">IFERROR(__xludf.dummyfunction("if($T290&lt;&gt;"""",REGEXEXTRACT($T290, G$1&amp;""[\w &amp;]*, (\d+\.\d+)""),"""")
"),"")</f>
        <v/>
      </c>
      <c r="H290" s="3"/>
      <c r="I290" s="3" t="str">
        <f aca="false">IFERROR(__xludf.dummyfunction("if($T290&lt;&gt;"""",REGEXEXTRACT(SUBSTITUTE ($T290,I$1&amp;"" CE"",""""), I$1&amp;""[\w &amp;]*, (\d+\.\d+)""),"""")
"),"")</f>
        <v/>
      </c>
      <c r="J290" s="3" t="str">
        <f aca="false">IFERROR(__xludf.dummyfunction("if($T290&lt;&gt;"""",REGEXEXTRACT($T290, J$1&amp;""[\w &amp;]*, (\d+\.\d+)""),"""")
"),"")</f>
        <v/>
      </c>
      <c r="K290" s="3"/>
      <c r="L290" s="3" t="str">
        <f aca="false">IFERROR(__xludf.dummyfunction("if($T290&lt;&gt;"""",REGEXEXTRACT(SUBSTITUTE ($T290,L$1&amp;"" CE"",""""), L$1&amp;""[\w &amp;]*, (\d+\.\d+)""),"""")
"),"")</f>
        <v/>
      </c>
      <c r="M290" s="3" t="str">
        <f aca="false">IFERROR(__xludf.dummyfunction("if($T290&lt;&gt;"""",REGEXEXTRACT($T290, M$1&amp;""[\w &amp;]*, (\d+\.\d+)""),"""")
"),"")</f>
        <v/>
      </c>
      <c r="N290" s="3" t="str">
        <f aca="false">IFERROR(__xludf.dummyfunction("if($T290&lt;&gt;"""",REGEXEXTRACT(SUBSTITUTE ($T290,N$1&amp;"" CE"",""""), N$1&amp;""[\w &amp;]*, (\d+\.\d+)""),"""")
"),"")</f>
        <v/>
      </c>
      <c r="O290" s="3" t="str">
        <f aca="false">IFERROR(__xludf.dummyfunction("if($T290&lt;&gt;"""",REGEXEXTRACT($T290, O$1&amp;""[\w &amp;]*, (\d+\.\d+)""),"""")
"),"")</f>
        <v/>
      </c>
      <c r="P290" s="2"/>
      <c r="Q290" s="2"/>
      <c r="R290" s="2"/>
      <c r="S290" s="2"/>
      <c r="T290" s="5"/>
    </row>
    <row r="291" customFormat="false" ht="15.75" hidden="false" customHeight="false" outlineLevel="0" collapsed="false">
      <c r="A291" s="4"/>
      <c r="B291" s="2"/>
      <c r="C291" s="2"/>
      <c r="D291" s="2"/>
      <c r="E291" s="2"/>
      <c r="F291" s="3" t="str">
        <f aca="false">IFERROR(__xludf.dummyfunction("if($T291&lt;&gt;"""",REGEXEXTRACT(SUBSTITUTE ($T291,F$1&amp;"" CE"",""""), F$1&amp;""[\w &amp;]*, (\d+\.\d+)""),"""")
"),"")</f>
        <v/>
      </c>
      <c r="G291" s="3" t="str">
        <f aca="false">IFERROR(__xludf.dummyfunction("if($T291&lt;&gt;"""",REGEXEXTRACT($T291, G$1&amp;""[\w &amp;]*, (\d+\.\d+)""),"""")
"),"")</f>
        <v/>
      </c>
      <c r="H291" s="3"/>
      <c r="I291" s="3" t="str">
        <f aca="false">IFERROR(__xludf.dummyfunction("if($T291&lt;&gt;"""",REGEXEXTRACT(SUBSTITUTE ($T291,I$1&amp;"" CE"",""""), I$1&amp;""[\w &amp;]*, (\d+\.\d+)""),"""")
"),"")</f>
        <v/>
      </c>
      <c r="J291" s="3" t="str">
        <f aca="false">IFERROR(__xludf.dummyfunction("if($T291&lt;&gt;"""",REGEXEXTRACT($T291, J$1&amp;""[\w &amp;]*, (\d+\.\d+)""),"""")
"),"")</f>
        <v/>
      </c>
      <c r="K291" s="3"/>
      <c r="L291" s="3" t="str">
        <f aca="false">IFERROR(__xludf.dummyfunction("if($T291&lt;&gt;"""",REGEXEXTRACT(SUBSTITUTE ($T291,L$1&amp;"" CE"",""""), L$1&amp;""[\w &amp;]*, (\d+\.\d+)""),"""")
"),"")</f>
        <v/>
      </c>
      <c r="M291" s="3" t="str">
        <f aca="false">IFERROR(__xludf.dummyfunction("if($T291&lt;&gt;"""",REGEXEXTRACT($T291, M$1&amp;""[\w &amp;]*, (\d+\.\d+)""),"""")
"),"")</f>
        <v/>
      </c>
      <c r="N291" s="3" t="str">
        <f aca="false">IFERROR(__xludf.dummyfunction("if($T291&lt;&gt;"""",REGEXEXTRACT(SUBSTITUTE ($T291,N$1&amp;"" CE"",""""), N$1&amp;""[\w &amp;]*, (\d+\.\d+)""),"""")
"),"")</f>
        <v/>
      </c>
      <c r="O291" s="3" t="str">
        <f aca="false">IFERROR(__xludf.dummyfunction("if($T291&lt;&gt;"""",REGEXEXTRACT($T291, O$1&amp;""[\w &amp;]*, (\d+\.\d+)""),"""")
"),"")</f>
        <v/>
      </c>
      <c r="P291" s="2"/>
      <c r="Q291" s="2"/>
      <c r="R291" s="2"/>
      <c r="S291" s="2"/>
      <c r="T291" s="5"/>
    </row>
    <row r="292" customFormat="false" ht="15.75" hidden="false" customHeight="false" outlineLevel="0" collapsed="false">
      <c r="A292" s="4"/>
      <c r="B292" s="2"/>
      <c r="C292" s="2"/>
      <c r="D292" s="2"/>
      <c r="E292" s="2"/>
      <c r="F292" s="3" t="str">
        <f aca="false">IFERROR(__xludf.dummyfunction("if($T292&lt;&gt;"""",REGEXEXTRACT(SUBSTITUTE ($T292,F$1&amp;"" CE"",""""), F$1&amp;""[\w &amp;]*, (\d+\.\d+)""),"""")
"),"")</f>
        <v/>
      </c>
      <c r="G292" s="3" t="str">
        <f aca="false">IFERROR(__xludf.dummyfunction("if($T292&lt;&gt;"""",REGEXEXTRACT($T292, G$1&amp;""[\w &amp;]*, (\d+\.\d+)""),"""")
"),"")</f>
        <v/>
      </c>
      <c r="H292" s="3"/>
      <c r="I292" s="3" t="str">
        <f aca="false">IFERROR(__xludf.dummyfunction("if($T292&lt;&gt;"""",REGEXEXTRACT(SUBSTITUTE ($T292,I$1&amp;"" CE"",""""), I$1&amp;""[\w &amp;]*, (\d+\.\d+)""),"""")
"),"")</f>
        <v/>
      </c>
      <c r="J292" s="3" t="str">
        <f aca="false">IFERROR(__xludf.dummyfunction("if($T292&lt;&gt;"""",REGEXEXTRACT($T292, J$1&amp;""[\w &amp;]*, (\d+\.\d+)""),"""")
"),"")</f>
        <v/>
      </c>
      <c r="K292" s="3"/>
      <c r="L292" s="3" t="str">
        <f aca="false">IFERROR(__xludf.dummyfunction("if($T292&lt;&gt;"""",REGEXEXTRACT(SUBSTITUTE ($T292,L$1&amp;"" CE"",""""), L$1&amp;""[\w &amp;]*, (\d+\.\d+)""),"""")
"),"")</f>
        <v/>
      </c>
      <c r="M292" s="3" t="str">
        <f aca="false">IFERROR(__xludf.dummyfunction("if($T292&lt;&gt;"""",REGEXEXTRACT($T292, M$1&amp;""[\w &amp;]*, (\d+\.\d+)""),"""")
"),"")</f>
        <v/>
      </c>
      <c r="N292" s="3" t="str">
        <f aca="false">IFERROR(__xludf.dummyfunction("if($T292&lt;&gt;"""",REGEXEXTRACT(SUBSTITUTE ($T292,N$1&amp;"" CE"",""""), N$1&amp;""[\w &amp;]*, (\d+\.\d+)""),"""")
"),"")</f>
        <v/>
      </c>
      <c r="O292" s="3" t="str">
        <f aca="false">IFERROR(__xludf.dummyfunction("if($T292&lt;&gt;"""",REGEXEXTRACT($T292, O$1&amp;""[\w &amp;]*, (\d+\.\d+)""),"""")
"),"")</f>
        <v/>
      </c>
      <c r="P292" s="2"/>
      <c r="Q292" s="2"/>
      <c r="R292" s="2"/>
      <c r="S292" s="2"/>
      <c r="T292" s="5"/>
    </row>
    <row r="293" customFormat="false" ht="15.75" hidden="false" customHeight="false" outlineLevel="0" collapsed="false">
      <c r="A293" s="4"/>
      <c r="B293" s="2"/>
      <c r="C293" s="2"/>
      <c r="D293" s="2"/>
      <c r="E293" s="2"/>
      <c r="F293" s="3" t="str">
        <f aca="false">IFERROR(__xludf.dummyfunction("if($T293&lt;&gt;"""",REGEXEXTRACT(SUBSTITUTE ($T293,F$1&amp;"" CE"",""""), F$1&amp;""[\w &amp;]*, (\d+\.\d+)""),"""")
"),"")</f>
        <v/>
      </c>
      <c r="G293" s="3" t="str">
        <f aca="false">IFERROR(__xludf.dummyfunction("if($T293&lt;&gt;"""",REGEXEXTRACT($T293, G$1&amp;""[\w &amp;]*, (\d+\.\d+)""),"""")
"),"")</f>
        <v/>
      </c>
      <c r="H293" s="3"/>
      <c r="I293" s="3" t="str">
        <f aca="false">IFERROR(__xludf.dummyfunction("if($T293&lt;&gt;"""",REGEXEXTRACT(SUBSTITUTE ($T293,I$1&amp;"" CE"",""""), I$1&amp;""[\w &amp;]*, (\d+\.\d+)""),"""")
"),"")</f>
        <v/>
      </c>
      <c r="J293" s="3" t="str">
        <f aca="false">IFERROR(__xludf.dummyfunction("if($T293&lt;&gt;"""",REGEXEXTRACT($T293, J$1&amp;""[\w &amp;]*, (\d+\.\d+)""),"""")
"),"")</f>
        <v/>
      </c>
      <c r="K293" s="3"/>
      <c r="L293" s="3" t="str">
        <f aca="false">IFERROR(__xludf.dummyfunction("if($T293&lt;&gt;"""",REGEXEXTRACT(SUBSTITUTE ($T293,L$1&amp;"" CE"",""""), L$1&amp;""[\w &amp;]*, (\d+\.\d+)""),"""")
"),"")</f>
        <v/>
      </c>
      <c r="M293" s="3" t="str">
        <f aca="false">IFERROR(__xludf.dummyfunction("if($T293&lt;&gt;"""",REGEXEXTRACT($T293, M$1&amp;""[\w &amp;]*, (\d+\.\d+)""),"""")
"),"")</f>
        <v/>
      </c>
      <c r="N293" s="3" t="str">
        <f aca="false">IFERROR(__xludf.dummyfunction("if($T293&lt;&gt;"""",REGEXEXTRACT(SUBSTITUTE ($T293,N$1&amp;"" CE"",""""), N$1&amp;""[\w &amp;]*, (\d+\.\d+)""),"""")
"),"")</f>
        <v/>
      </c>
      <c r="O293" s="3" t="str">
        <f aca="false">IFERROR(__xludf.dummyfunction("if($T293&lt;&gt;"""",REGEXEXTRACT($T293, O$1&amp;""[\w &amp;]*, (\d+\.\d+)""),"""")
"),"")</f>
        <v/>
      </c>
      <c r="P293" s="2"/>
      <c r="Q293" s="2"/>
      <c r="R293" s="2"/>
      <c r="S293" s="2"/>
      <c r="T293" s="5"/>
    </row>
    <row r="294" customFormat="false" ht="15.75" hidden="false" customHeight="false" outlineLevel="0" collapsed="false">
      <c r="A294" s="4"/>
      <c r="B294" s="2"/>
      <c r="C294" s="2"/>
      <c r="D294" s="2"/>
      <c r="E294" s="2"/>
      <c r="F294" s="3" t="str">
        <f aca="false">IFERROR(__xludf.dummyfunction("if($T294&lt;&gt;"""",REGEXEXTRACT(SUBSTITUTE ($T294,F$1&amp;"" CE"",""""), F$1&amp;""[\w &amp;]*, (\d+\.\d+)""),"""")
"),"")</f>
        <v/>
      </c>
      <c r="G294" s="3" t="str">
        <f aca="false">IFERROR(__xludf.dummyfunction("if($T294&lt;&gt;"""",REGEXEXTRACT($T294, G$1&amp;""[\w &amp;]*, (\d+\.\d+)""),"""")
"),"")</f>
        <v/>
      </c>
      <c r="H294" s="3"/>
      <c r="I294" s="3" t="str">
        <f aca="false">IFERROR(__xludf.dummyfunction("if($T294&lt;&gt;"""",REGEXEXTRACT(SUBSTITUTE ($T294,I$1&amp;"" CE"",""""), I$1&amp;""[\w &amp;]*, (\d+\.\d+)""),"""")
"),"")</f>
        <v/>
      </c>
      <c r="J294" s="3" t="str">
        <f aca="false">IFERROR(__xludf.dummyfunction("if($T294&lt;&gt;"""",REGEXEXTRACT($T294, J$1&amp;""[\w &amp;]*, (\d+\.\d+)""),"""")
"),"")</f>
        <v/>
      </c>
      <c r="K294" s="3"/>
      <c r="L294" s="3" t="str">
        <f aca="false">IFERROR(__xludf.dummyfunction("if($T294&lt;&gt;"""",REGEXEXTRACT(SUBSTITUTE ($T294,L$1&amp;"" CE"",""""), L$1&amp;""[\w &amp;]*, (\d+\.\d+)""),"""")
"),"")</f>
        <v/>
      </c>
      <c r="M294" s="3" t="str">
        <f aca="false">IFERROR(__xludf.dummyfunction("if($T294&lt;&gt;"""",REGEXEXTRACT($T294, M$1&amp;""[\w &amp;]*, (\d+\.\d+)""),"""")
"),"")</f>
        <v/>
      </c>
      <c r="N294" s="3" t="str">
        <f aca="false">IFERROR(__xludf.dummyfunction("if($T294&lt;&gt;"""",REGEXEXTRACT(SUBSTITUTE ($T294,N$1&amp;"" CE"",""""), N$1&amp;""[\w &amp;]*, (\d+\.\d+)""),"""")
"),"")</f>
        <v/>
      </c>
      <c r="O294" s="3" t="str">
        <f aca="false">IFERROR(__xludf.dummyfunction("if($T294&lt;&gt;"""",REGEXEXTRACT($T294, O$1&amp;""[\w &amp;]*, (\d+\.\d+)""),"""")
"),"")</f>
        <v/>
      </c>
      <c r="P294" s="2"/>
      <c r="Q294" s="2"/>
      <c r="R294" s="2"/>
      <c r="S294" s="2"/>
      <c r="T294" s="5"/>
    </row>
    <row r="295" customFormat="false" ht="15.75" hidden="false" customHeight="false" outlineLevel="0" collapsed="false">
      <c r="A295" s="4"/>
      <c r="B295" s="2"/>
      <c r="C295" s="2"/>
      <c r="D295" s="2"/>
      <c r="E295" s="2"/>
      <c r="F295" s="3" t="str">
        <f aca="false">IFERROR(__xludf.dummyfunction("if($T295&lt;&gt;"""",REGEXEXTRACT(SUBSTITUTE ($T295,F$1&amp;"" CE"",""""), F$1&amp;""[\w &amp;]*, (\d+\.\d+)""),"""")
"),"")</f>
        <v/>
      </c>
      <c r="G295" s="3" t="str">
        <f aca="false">IFERROR(__xludf.dummyfunction("if($T295&lt;&gt;"""",REGEXEXTRACT($T295, G$1&amp;""[\w &amp;]*, (\d+\.\d+)""),"""")
"),"")</f>
        <v/>
      </c>
      <c r="H295" s="3"/>
      <c r="I295" s="3" t="str">
        <f aca="false">IFERROR(__xludf.dummyfunction("if($T295&lt;&gt;"""",REGEXEXTRACT(SUBSTITUTE ($T295,I$1&amp;"" CE"",""""), I$1&amp;""[\w &amp;]*, (\d+\.\d+)""),"""")
"),"")</f>
        <v/>
      </c>
      <c r="J295" s="3" t="str">
        <f aca="false">IFERROR(__xludf.dummyfunction("if($T295&lt;&gt;"""",REGEXEXTRACT($T295, J$1&amp;""[\w &amp;]*, (\d+\.\d+)""),"""")
"),"")</f>
        <v/>
      </c>
      <c r="K295" s="3"/>
      <c r="L295" s="3" t="str">
        <f aca="false">IFERROR(__xludf.dummyfunction("if($T295&lt;&gt;"""",REGEXEXTRACT(SUBSTITUTE ($T295,L$1&amp;"" CE"",""""), L$1&amp;""[\w &amp;]*, (\d+\.\d+)""),"""")
"),"")</f>
        <v/>
      </c>
      <c r="M295" s="3" t="str">
        <f aca="false">IFERROR(__xludf.dummyfunction("if($T295&lt;&gt;"""",REGEXEXTRACT($T295, M$1&amp;""[\w &amp;]*, (\d+\.\d+)""),"""")
"),"")</f>
        <v/>
      </c>
      <c r="N295" s="3" t="str">
        <f aca="false">IFERROR(__xludf.dummyfunction("if($T295&lt;&gt;"""",REGEXEXTRACT(SUBSTITUTE ($T295,N$1&amp;"" CE"",""""), N$1&amp;""[\w &amp;]*, (\d+\.\d+)""),"""")
"),"")</f>
        <v/>
      </c>
      <c r="O295" s="3" t="str">
        <f aca="false">IFERROR(__xludf.dummyfunction("if($T295&lt;&gt;"""",REGEXEXTRACT($T295, O$1&amp;""[\w &amp;]*, (\d+\.\d+)""),"""")
"),"")</f>
        <v/>
      </c>
      <c r="P295" s="2"/>
      <c r="Q295" s="2"/>
      <c r="R295" s="2"/>
      <c r="S295" s="2"/>
      <c r="T295" s="5"/>
    </row>
    <row r="296" customFormat="false" ht="15.75" hidden="false" customHeight="false" outlineLevel="0" collapsed="false">
      <c r="A296" s="4"/>
      <c r="B296" s="2"/>
      <c r="C296" s="2"/>
      <c r="D296" s="2"/>
      <c r="E296" s="2"/>
      <c r="F296" s="3" t="str">
        <f aca="false">IFERROR(__xludf.dummyfunction("if($T296&lt;&gt;"""",REGEXEXTRACT(SUBSTITUTE ($T296,F$1&amp;"" CE"",""""), F$1&amp;""[\w &amp;]*, (\d+\.\d+)""),"""")
"),"")</f>
        <v/>
      </c>
      <c r="G296" s="3" t="str">
        <f aca="false">IFERROR(__xludf.dummyfunction("if($T296&lt;&gt;"""",REGEXEXTRACT($T296, G$1&amp;""[\w &amp;]*, (\d+\.\d+)""),"""")
"),"")</f>
        <v/>
      </c>
      <c r="H296" s="3"/>
      <c r="I296" s="3" t="str">
        <f aca="false">IFERROR(__xludf.dummyfunction("if($T296&lt;&gt;"""",REGEXEXTRACT(SUBSTITUTE ($T296,I$1&amp;"" CE"",""""), I$1&amp;""[\w &amp;]*, (\d+\.\d+)""),"""")
"),"")</f>
        <v/>
      </c>
      <c r="J296" s="3" t="str">
        <f aca="false">IFERROR(__xludf.dummyfunction("if($T296&lt;&gt;"""",REGEXEXTRACT($T296, J$1&amp;""[\w &amp;]*, (\d+\.\d+)""),"""")
"),"")</f>
        <v/>
      </c>
      <c r="K296" s="3"/>
      <c r="L296" s="3" t="str">
        <f aca="false">IFERROR(__xludf.dummyfunction("if($T296&lt;&gt;"""",REGEXEXTRACT(SUBSTITUTE ($T296,L$1&amp;"" CE"",""""), L$1&amp;""[\w &amp;]*, (\d+\.\d+)""),"""")
"),"")</f>
        <v/>
      </c>
      <c r="M296" s="3" t="str">
        <f aca="false">IFERROR(__xludf.dummyfunction("if($T296&lt;&gt;"""",REGEXEXTRACT($T296, M$1&amp;""[\w &amp;]*, (\d+\.\d+)""),"""")
"),"")</f>
        <v/>
      </c>
      <c r="N296" s="3" t="str">
        <f aca="false">IFERROR(__xludf.dummyfunction("if($T296&lt;&gt;"""",REGEXEXTRACT(SUBSTITUTE ($T296,N$1&amp;"" CE"",""""), N$1&amp;""[\w &amp;]*, (\d+\.\d+)""),"""")
"),"")</f>
        <v/>
      </c>
      <c r="O296" s="3" t="str">
        <f aca="false">IFERROR(__xludf.dummyfunction("if($T296&lt;&gt;"""",REGEXEXTRACT($T296, O$1&amp;""[\w &amp;]*, (\d+\.\d+)""),"""")
"),"")</f>
        <v/>
      </c>
      <c r="P296" s="2"/>
      <c r="Q296" s="2"/>
      <c r="R296" s="2"/>
      <c r="S296" s="2"/>
      <c r="T296" s="5"/>
    </row>
    <row r="297" customFormat="false" ht="15.75" hidden="false" customHeight="false" outlineLevel="0" collapsed="false">
      <c r="A297" s="4"/>
      <c r="B297" s="2"/>
      <c r="C297" s="2"/>
      <c r="D297" s="2"/>
      <c r="E297" s="2"/>
      <c r="F297" s="3" t="str">
        <f aca="false">IFERROR(__xludf.dummyfunction("if($T297&lt;&gt;"""",REGEXEXTRACT(SUBSTITUTE ($T297,F$1&amp;"" CE"",""""), F$1&amp;""[\w &amp;]*, (\d+\.\d+)""),"""")
"),"")</f>
        <v/>
      </c>
      <c r="G297" s="3" t="str">
        <f aca="false">IFERROR(__xludf.dummyfunction("if($T297&lt;&gt;"""",REGEXEXTRACT($T297, G$1&amp;""[\w &amp;]*, (\d+\.\d+)""),"""")
"),"")</f>
        <v/>
      </c>
      <c r="H297" s="3"/>
      <c r="I297" s="3" t="str">
        <f aca="false">IFERROR(__xludf.dummyfunction("if($T297&lt;&gt;"""",REGEXEXTRACT(SUBSTITUTE ($T297,I$1&amp;"" CE"",""""), I$1&amp;""[\w &amp;]*, (\d+\.\d+)""),"""")
"),"")</f>
        <v/>
      </c>
      <c r="J297" s="3" t="str">
        <f aca="false">IFERROR(__xludf.dummyfunction("if($T297&lt;&gt;"""",REGEXEXTRACT($T297, J$1&amp;""[\w &amp;]*, (\d+\.\d+)""),"""")
"),"")</f>
        <v/>
      </c>
      <c r="K297" s="3"/>
      <c r="L297" s="3" t="str">
        <f aca="false">IFERROR(__xludf.dummyfunction("if($T297&lt;&gt;"""",REGEXEXTRACT(SUBSTITUTE ($T297,L$1&amp;"" CE"",""""), L$1&amp;""[\w &amp;]*, (\d+\.\d+)""),"""")
"),"")</f>
        <v/>
      </c>
      <c r="M297" s="3" t="str">
        <f aca="false">IFERROR(__xludf.dummyfunction("if($T297&lt;&gt;"""",REGEXEXTRACT($T297, M$1&amp;""[\w &amp;]*, (\d+\.\d+)""),"""")
"),"")</f>
        <v/>
      </c>
      <c r="N297" s="3" t="str">
        <f aca="false">IFERROR(__xludf.dummyfunction("if($T297&lt;&gt;"""",REGEXEXTRACT(SUBSTITUTE ($T297,N$1&amp;"" CE"",""""), N$1&amp;""[\w &amp;]*, (\d+\.\d+)""),"""")
"),"")</f>
        <v/>
      </c>
      <c r="O297" s="3" t="str">
        <f aca="false">IFERROR(__xludf.dummyfunction("if($T297&lt;&gt;"""",REGEXEXTRACT($T297, O$1&amp;""[\w &amp;]*, (\d+\.\d+)""),"""")
"),"")</f>
        <v/>
      </c>
      <c r="P297" s="2"/>
      <c r="Q297" s="2"/>
      <c r="R297" s="2"/>
      <c r="S297" s="2"/>
      <c r="T297" s="5"/>
    </row>
    <row r="298" customFormat="false" ht="15.75" hidden="false" customHeight="false" outlineLevel="0" collapsed="false">
      <c r="A298" s="4"/>
      <c r="B298" s="2"/>
      <c r="C298" s="2"/>
      <c r="D298" s="2"/>
      <c r="E298" s="2"/>
      <c r="F298" s="3" t="str">
        <f aca="false">IFERROR(__xludf.dummyfunction("if($T298&lt;&gt;"""",REGEXEXTRACT(SUBSTITUTE ($T298,F$1&amp;"" CE"",""""), F$1&amp;""[\w &amp;]*, (\d+\.\d+)""),"""")
"),"")</f>
        <v/>
      </c>
      <c r="G298" s="3" t="str">
        <f aca="false">IFERROR(__xludf.dummyfunction("if($T298&lt;&gt;"""",REGEXEXTRACT($T298, G$1&amp;""[\w &amp;]*, (\d+\.\d+)""),"""")
"),"")</f>
        <v/>
      </c>
      <c r="H298" s="3"/>
      <c r="I298" s="3" t="str">
        <f aca="false">IFERROR(__xludf.dummyfunction("if($T298&lt;&gt;"""",REGEXEXTRACT(SUBSTITUTE ($T298,I$1&amp;"" CE"",""""), I$1&amp;""[\w &amp;]*, (\d+\.\d+)""),"""")
"),"")</f>
        <v/>
      </c>
      <c r="J298" s="3" t="str">
        <f aca="false">IFERROR(__xludf.dummyfunction("if($T298&lt;&gt;"""",REGEXEXTRACT($T298, J$1&amp;""[\w &amp;]*, (\d+\.\d+)""),"""")
"),"")</f>
        <v/>
      </c>
      <c r="K298" s="3"/>
      <c r="L298" s="3" t="str">
        <f aca="false">IFERROR(__xludf.dummyfunction("if($T298&lt;&gt;"""",REGEXEXTRACT(SUBSTITUTE ($T298,L$1&amp;"" CE"",""""), L$1&amp;""[\w &amp;]*, (\d+\.\d+)""),"""")
"),"")</f>
        <v/>
      </c>
      <c r="M298" s="3" t="str">
        <f aca="false">IFERROR(__xludf.dummyfunction("if($T298&lt;&gt;"""",REGEXEXTRACT($T298, M$1&amp;""[\w &amp;]*, (\d+\.\d+)""),"""")
"),"")</f>
        <v/>
      </c>
      <c r="N298" s="3" t="str">
        <f aca="false">IFERROR(__xludf.dummyfunction("if($T298&lt;&gt;"""",REGEXEXTRACT(SUBSTITUTE ($T298,N$1&amp;"" CE"",""""), N$1&amp;""[\w &amp;]*, (\d+\.\d+)""),"""")
"),"")</f>
        <v/>
      </c>
      <c r="O298" s="3" t="str">
        <f aca="false">IFERROR(__xludf.dummyfunction("if($T298&lt;&gt;"""",REGEXEXTRACT($T298, O$1&amp;""[\w &amp;]*, (\d+\.\d+)""),"""")
"),"")</f>
        <v/>
      </c>
      <c r="P298" s="2"/>
      <c r="Q298" s="2"/>
      <c r="R298" s="2"/>
      <c r="S298" s="2"/>
      <c r="T298" s="5"/>
    </row>
    <row r="299" customFormat="false" ht="15.75" hidden="false" customHeight="false" outlineLevel="0" collapsed="false">
      <c r="A299" s="4"/>
      <c r="B299" s="2"/>
      <c r="C299" s="2"/>
      <c r="D299" s="2"/>
      <c r="E299" s="2"/>
      <c r="F299" s="3" t="str">
        <f aca="false">IFERROR(__xludf.dummyfunction("if($T299&lt;&gt;"""",REGEXEXTRACT(SUBSTITUTE ($T299,F$1&amp;"" CE"",""""), F$1&amp;""[\w &amp;]*, (\d+\.\d+)""),"""")
"),"")</f>
        <v/>
      </c>
      <c r="G299" s="3" t="str">
        <f aca="false">IFERROR(__xludf.dummyfunction("if($T299&lt;&gt;"""",REGEXEXTRACT($T299, G$1&amp;""[\w &amp;]*, (\d+\.\d+)""),"""")
"),"")</f>
        <v/>
      </c>
      <c r="H299" s="3"/>
      <c r="I299" s="3" t="str">
        <f aca="false">IFERROR(__xludf.dummyfunction("if($T299&lt;&gt;"""",REGEXEXTRACT(SUBSTITUTE ($T299,I$1&amp;"" CE"",""""), I$1&amp;""[\w &amp;]*, (\d+\.\d+)""),"""")
"),"")</f>
        <v/>
      </c>
      <c r="J299" s="3" t="str">
        <f aca="false">IFERROR(__xludf.dummyfunction("if($T299&lt;&gt;"""",REGEXEXTRACT($T299, J$1&amp;""[\w &amp;]*, (\d+\.\d+)""),"""")
"),"")</f>
        <v/>
      </c>
      <c r="K299" s="3"/>
      <c r="L299" s="3" t="str">
        <f aca="false">IFERROR(__xludf.dummyfunction("if($T299&lt;&gt;"""",REGEXEXTRACT(SUBSTITUTE ($T299,L$1&amp;"" CE"",""""), L$1&amp;""[\w &amp;]*, (\d+\.\d+)""),"""")
"),"")</f>
        <v/>
      </c>
      <c r="M299" s="3" t="str">
        <f aca="false">IFERROR(__xludf.dummyfunction("if($T299&lt;&gt;"""",REGEXEXTRACT($T299, M$1&amp;""[\w &amp;]*, (\d+\.\d+)""),"""")
"),"")</f>
        <v/>
      </c>
      <c r="N299" s="3" t="str">
        <f aca="false">IFERROR(__xludf.dummyfunction("if($T299&lt;&gt;"""",REGEXEXTRACT(SUBSTITUTE ($T299,N$1&amp;"" CE"",""""), N$1&amp;""[\w &amp;]*, (\d+\.\d+)""),"""")
"),"")</f>
        <v/>
      </c>
      <c r="O299" s="3" t="str">
        <f aca="false">IFERROR(__xludf.dummyfunction("if($T299&lt;&gt;"""",REGEXEXTRACT($T299, O$1&amp;""[\w &amp;]*, (\d+\.\d+)""),"""")
"),"")</f>
        <v/>
      </c>
      <c r="P299" s="2"/>
      <c r="Q299" s="2"/>
      <c r="R299" s="2"/>
      <c r="S299" s="2"/>
      <c r="T299" s="5"/>
    </row>
    <row r="300" customFormat="false" ht="15.75" hidden="false" customHeight="false" outlineLevel="0" collapsed="false">
      <c r="A300" s="4"/>
      <c r="B300" s="2"/>
      <c r="C300" s="2"/>
      <c r="D300" s="2"/>
      <c r="E300" s="2"/>
      <c r="F300" s="3" t="str">
        <f aca="false">IFERROR(__xludf.dummyfunction("if($T300&lt;&gt;"""",REGEXEXTRACT(SUBSTITUTE ($T300,F$1&amp;"" CE"",""""), F$1&amp;""[\w &amp;]*, (\d+\.\d+)""),"""")
"),"")</f>
        <v/>
      </c>
      <c r="G300" s="3" t="str">
        <f aca="false">IFERROR(__xludf.dummyfunction("if($T300&lt;&gt;"""",REGEXEXTRACT($T300, G$1&amp;""[\w &amp;]*, (\d+\.\d+)""),"""")
"),"")</f>
        <v/>
      </c>
      <c r="H300" s="3"/>
      <c r="I300" s="3" t="str">
        <f aca="false">IFERROR(__xludf.dummyfunction("if($T300&lt;&gt;"""",REGEXEXTRACT(SUBSTITUTE ($T300,I$1&amp;"" CE"",""""), I$1&amp;""[\w &amp;]*, (\d+\.\d+)""),"""")
"),"")</f>
        <v/>
      </c>
      <c r="J300" s="3" t="str">
        <f aca="false">IFERROR(__xludf.dummyfunction("if($T300&lt;&gt;"""",REGEXEXTRACT($T300, J$1&amp;""[\w &amp;]*, (\d+\.\d+)""),"""")
"),"")</f>
        <v/>
      </c>
      <c r="K300" s="3"/>
      <c r="L300" s="3" t="str">
        <f aca="false">IFERROR(__xludf.dummyfunction("if($T300&lt;&gt;"""",REGEXEXTRACT(SUBSTITUTE ($T300,L$1&amp;"" CE"",""""), L$1&amp;""[\w &amp;]*, (\d+\.\d+)""),"""")
"),"")</f>
        <v/>
      </c>
      <c r="M300" s="3" t="str">
        <f aca="false">IFERROR(__xludf.dummyfunction("if($T300&lt;&gt;"""",REGEXEXTRACT($T300, M$1&amp;""[\w &amp;]*, (\d+\.\d+)""),"""")
"),"")</f>
        <v/>
      </c>
      <c r="N300" s="3" t="str">
        <f aca="false">IFERROR(__xludf.dummyfunction("if($T300&lt;&gt;"""",REGEXEXTRACT(SUBSTITUTE ($T300,N$1&amp;"" CE"",""""), N$1&amp;""[\w &amp;]*, (\d+\.\d+)""),"""")
"),"")</f>
        <v/>
      </c>
      <c r="O300" s="3" t="str">
        <f aca="false">IFERROR(__xludf.dummyfunction("if($T300&lt;&gt;"""",REGEXEXTRACT($T300, O$1&amp;""[\w &amp;]*, (\d+\.\d+)""),"""")
"),"")</f>
        <v/>
      </c>
      <c r="P300" s="2"/>
      <c r="Q300" s="2"/>
      <c r="R300" s="2"/>
      <c r="S300" s="2"/>
      <c r="T300" s="5"/>
    </row>
    <row r="301" customFormat="false" ht="15.75" hidden="false" customHeight="false" outlineLevel="0" collapsed="false">
      <c r="A301" s="4"/>
      <c r="B301" s="2"/>
      <c r="C301" s="2"/>
      <c r="D301" s="2"/>
      <c r="E301" s="2"/>
      <c r="F301" s="3" t="str">
        <f aca="false">IFERROR(__xludf.dummyfunction("if($T301&lt;&gt;"""",REGEXEXTRACT(SUBSTITUTE ($T301,F$1&amp;"" CE"",""""), F$1&amp;""[\w &amp;]*, (\d+\.\d+)""),"""")
"),"")</f>
        <v/>
      </c>
      <c r="G301" s="3" t="str">
        <f aca="false">IFERROR(__xludf.dummyfunction("if($T301&lt;&gt;"""",REGEXEXTRACT($T301, G$1&amp;""[\w &amp;]*, (\d+\.\d+)""),"""")
"),"")</f>
        <v/>
      </c>
      <c r="H301" s="3"/>
      <c r="I301" s="3" t="str">
        <f aca="false">IFERROR(__xludf.dummyfunction("if($T301&lt;&gt;"""",REGEXEXTRACT(SUBSTITUTE ($T301,I$1&amp;"" CE"",""""), I$1&amp;""[\w &amp;]*, (\d+\.\d+)""),"""")
"),"")</f>
        <v/>
      </c>
      <c r="J301" s="3" t="str">
        <f aca="false">IFERROR(__xludf.dummyfunction("if($T301&lt;&gt;"""",REGEXEXTRACT($T301, J$1&amp;""[\w &amp;]*, (\d+\.\d+)""),"""")
"),"")</f>
        <v/>
      </c>
      <c r="K301" s="3"/>
      <c r="L301" s="3" t="str">
        <f aca="false">IFERROR(__xludf.dummyfunction("if($T301&lt;&gt;"""",REGEXEXTRACT(SUBSTITUTE ($T301,L$1&amp;"" CE"",""""), L$1&amp;""[\w &amp;]*, (\d+\.\d+)""),"""")
"),"")</f>
        <v/>
      </c>
      <c r="M301" s="3" t="str">
        <f aca="false">IFERROR(__xludf.dummyfunction("if($T301&lt;&gt;"""",REGEXEXTRACT($T301, M$1&amp;""[\w &amp;]*, (\d+\.\d+)""),"""")
"),"")</f>
        <v/>
      </c>
      <c r="N301" s="3" t="str">
        <f aca="false">IFERROR(__xludf.dummyfunction("if($T301&lt;&gt;"""",REGEXEXTRACT(SUBSTITUTE ($T301,N$1&amp;"" CE"",""""), N$1&amp;""[\w &amp;]*, (\d+\.\d+)""),"""")
"),"")</f>
        <v/>
      </c>
      <c r="O301" s="3" t="str">
        <f aca="false">IFERROR(__xludf.dummyfunction("if($T301&lt;&gt;"""",REGEXEXTRACT($T301, O$1&amp;""[\w &amp;]*, (\d+\.\d+)""),"""")
"),"")</f>
        <v/>
      </c>
      <c r="P301" s="2"/>
      <c r="Q301" s="2"/>
      <c r="R301" s="2"/>
      <c r="S301" s="2"/>
      <c r="T301" s="5"/>
    </row>
    <row r="302" customFormat="false" ht="15.75" hidden="false" customHeight="false" outlineLevel="0" collapsed="false">
      <c r="A302" s="4"/>
      <c r="B302" s="2"/>
      <c r="C302" s="2"/>
      <c r="D302" s="2"/>
      <c r="E302" s="2"/>
      <c r="F302" s="3" t="str">
        <f aca="false">IFERROR(__xludf.dummyfunction("if($T302&lt;&gt;"""",REGEXEXTRACT(SUBSTITUTE ($T302,F$1&amp;"" CE"",""""), F$1&amp;""[\w &amp;]*, (\d+\.\d+)""),"""")
"),"")</f>
        <v/>
      </c>
      <c r="G302" s="3" t="str">
        <f aca="false">IFERROR(__xludf.dummyfunction("if($T302&lt;&gt;"""",REGEXEXTRACT($T302, G$1&amp;""[\w &amp;]*, (\d+\.\d+)""),"""")
"),"")</f>
        <v/>
      </c>
      <c r="H302" s="3"/>
      <c r="I302" s="3" t="str">
        <f aca="false">IFERROR(__xludf.dummyfunction("if($T302&lt;&gt;"""",REGEXEXTRACT(SUBSTITUTE ($T302,I$1&amp;"" CE"",""""), I$1&amp;""[\w &amp;]*, (\d+\.\d+)""),"""")
"),"")</f>
        <v/>
      </c>
      <c r="J302" s="3" t="str">
        <f aca="false">IFERROR(__xludf.dummyfunction("if($T302&lt;&gt;"""",REGEXEXTRACT($T302, J$1&amp;""[\w &amp;]*, (\d+\.\d+)""),"""")
"),"")</f>
        <v/>
      </c>
      <c r="K302" s="3"/>
      <c r="L302" s="3" t="str">
        <f aca="false">IFERROR(__xludf.dummyfunction("if($T302&lt;&gt;"""",REGEXEXTRACT(SUBSTITUTE ($T302,L$1&amp;"" CE"",""""), L$1&amp;""[\w &amp;]*, (\d+\.\d+)""),"""")
"),"")</f>
        <v/>
      </c>
      <c r="M302" s="3" t="str">
        <f aca="false">IFERROR(__xludf.dummyfunction("if($T302&lt;&gt;"""",REGEXEXTRACT($T302, M$1&amp;""[\w &amp;]*, (\d+\.\d+)""),"""")
"),"")</f>
        <v/>
      </c>
      <c r="N302" s="3" t="str">
        <f aca="false">IFERROR(__xludf.dummyfunction("if($T302&lt;&gt;"""",REGEXEXTRACT(SUBSTITUTE ($T302,N$1&amp;"" CE"",""""), N$1&amp;""[\w &amp;]*, (\d+\.\d+)""),"""")
"),"")</f>
        <v/>
      </c>
      <c r="O302" s="3" t="str">
        <f aca="false">IFERROR(__xludf.dummyfunction("if($T302&lt;&gt;"""",REGEXEXTRACT($T302, O$1&amp;""[\w &amp;]*, (\d+\.\d+)""),"""")
"),"")</f>
        <v/>
      </c>
      <c r="P302" s="2"/>
      <c r="Q302" s="2"/>
      <c r="R302" s="2"/>
      <c r="S302" s="2"/>
      <c r="T302" s="5"/>
    </row>
    <row r="303" customFormat="false" ht="15.75" hidden="false" customHeight="false" outlineLevel="0" collapsed="false">
      <c r="A303" s="4"/>
      <c r="B303" s="2"/>
      <c r="C303" s="2"/>
      <c r="D303" s="2"/>
      <c r="E303" s="2"/>
      <c r="F303" s="3" t="str">
        <f aca="false">IFERROR(__xludf.dummyfunction("if($T303&lt;&gt;"""",REGEXEXTRACT(SUBSTITUTE ($T303,F$1&amp;"" CE"",""""), F$1&amp;""[\w &amp;]*, (\d+\.\d+)""),"""")
"),"")</f>
        <v/>
      </c>
      <c r="G303" s="3" t="str">
        <f aca="false">IFERROR(__xludf.dummyfunction("if($T303&lt;&gt;"""",REGEXEXTRACT($T303, G$1&amp;""[\w &amp;]*, (\d+\.\d+)""),"""")
"),"")</f>
        <v/>
      </c>
      <c r="H303" s="3"/>
      <c r="I303" s="3" t="str">
        <f aca="false">IFERROR(__xludf.dummyfunction("if($T303&lt;&gt;"""",REGEXEXTRACT(SUBSTITUTE ($T303,I$1&amp;"" CE"",""""), I$1&amp;""[\w &amp;]*, (\d+\.\d+)""),"""")
"),"")</f>
        <v/>
      </c>
      <c r="J303" s="3" t="str">
        <f aca="false">IFERROR(__xludf.dummyfunction("if($T303&lt;&gt;"""",REGEXEXTRACT($T303, J$1&amp;""[\w &amp;]*, (\d+\.\d+)""),"""")
"),"")</f>
        <v/>
      </c>
      <c r="K303" s="3"/>
      <c r="L303" s="3" t="str">
        <f aca="false">IFERROR(__xludf.dummyfunction("if($T303&lt;&gt;"""",REGEXEXTRACT(SUBSTITUTE ($T303,L$1&amp;"" CE"",""""), L$1&amp;""[\w &amp;]*, (\d+\.\d+)""),"""")
"),"")</f>
        <v/>
      </c>
      <c r="M303" s="3" t="str">
        <f aca="false">IFERROR(__xludf.dummyfunction("if($T303&lt;&gt;"""",REGEXEXTRACT($T303, M$1&amp;""[\w &amp;]*, (\d+\.\d+)""),"""")
"),"")</f>
        <v/>
      </c>
      <c r="N303" s="3" t="str">
        <f aca="false">IFERROR(__xludf.dummyfunction("if($T303&lt;&gt;"""",REGEXEXTRACT(SUBSTITUTE ($T303,N$1&amp;"" CE"",""""), N$1&amp;""[\w &amp;]*, (\d+\.\d+)""),"""")
"),"")</f>
        <v/>
      </c>
      <c r="O303" s="3" t="str">
        <f aca="false">IFERROR(__xludf.dummyfunction("if($T303&lt;&gt;"""",REGEXEXTRACT($T303, O$1&amp;""[\w &amp;]*, (\d+\.\d+)""),"""")
"),"")</f>
        <v/>
      </c>
      <c r="P303" s="2"/>
      <c r="Q303" s="2"/>
      <c r="R303" s="2"/>
      <c r="S303" s="2"/>
      <c r="T303" s="5"/>
    </row>
    <row r="304" customFormat="false" ht="15.75" hidden="false" customHeight="false" outlineLevel="0" collapsed="false">
      <c r="A304" s="4"/>
      <c r="B304" s="2"/>
      <c r="C304" s="2"/>
      <c r="D304" s="2"/>
      <c r="E304" s="2"/>
      <c r="F304" s="3" t="str">
        <f aca="false">IFERROR(__xludf.dummyfunction("if($T304&lt;&gt;"""",REGEXEXTRACT(SUBSTITUTE ($T304,F$1&amp;"" CE"",""""), F$1&amp;""[\w &amp;]*, (\d+\.\d+)""),"""")
"),"")</f>
        <v/>
      </c>
      <c r="G304" s="3" t="str">
        <f aca="false">IFERROR(__xludf.dummyfunction("if($T304&lt;&gt;"""",REGEXEXTRACT($T304, G$1&amp;""[\w &amp;]*, (\d+\.\d+)""),"""")
"),"")</f>
        <v/>
      </c>
      <c r="H304" s="3"/>
      <c r="I304" s="3" t="str">
        <f aca="false">IFERROR(__xludf.dummyfunction("if($T304&lt;&gt;"""",REGEXEXTRACT(SUBSTITUTE ($T304,I$1&amp;"" CE"",""""), I$1&amp;""[\w &amp;]*, (\d+\.\d+)""),"""")
"),"")</f>
        <v/>
      </c>
      <c r="J304" s="3" t="str">
        <f aca="false">IFERROR(__xludf.dummyfunction("if($T304&lt;&gt;"""",REGEXEXTRACT($T304, J$1&amp;""[\w &amp;]*, (\d+\.\d+)""),"""")
"),"")</f>
        <v/>
      </c>
      <c r="K304" s="3"/>
      <c r="L304" s="3" t="str">
        <f aca="false">IFERROR(__xludf.dummyfunction("if($T304&lt;&gt;"""",REGEXEXTRACT(SUBSTITUTE ($T304,L$1&amp;"" CE"",""""), L$1&amp;""[\w &amp;]*, (\d+\.\d+)""),"""")
"),"")</f>
        <v/>
      </c>
      <c r="M304" s="3" t="str">
        <f aca="false">IFERROR(__xludf.dummyfunction("if($T304&lt;&gt;"""",REGEXEXTRACT($T304, M$1&amp;""[\w &amp;]*, (\d+\.\d+)""),"""")
"),"")</f>
        <v/>
      </c>
      <c r="N304" s="3" t="str">
        <f aca="false">IFERROR(__xludf.dummyfunction("if($T304&lt;&gt;"""",REGEXEXTRACT(SUBSTITUTE ($T304,N$1&amp;"" CE"",""""), N$1&amp;""[\w &amp;]*, (\d+\.\d+)""),"""")
"),"")</f>
        <v/>
      </c>
      <c r="O304" s="3" t="str">
        <f aca="false">IFERROR(__xludf.dummyfunction("if($T304&lt;&gt;"""",REGEXEXTRACT($T304, O$1&amp;""[\w &amp;]*, (\d+\.\d+)""),"""")
"),"")</f>
        <v/>
      </c>
      <c r="P304" s="2"/>
      <c r="Q304" s="2"/>
      <c r="R304" s="2"/>
      <c r="S304" s="2"/>
      <c r="T304" s="5"/>
    </row>
    <row r="305" customFormat="false" ht="15.75" hidden="false" customHeight="false" outlineLevel="0" collapsed="false">
      <c r="A305" s="4"/>
      <c r="B305" s="2"/>
      <c r="C305" s="2"/>
      <c r="D305" s="2"/>
      <c r="E305" s="2"/>
      <c r="F305" s="3" t="str">
        <f aca="false">IFERROR(__xludf.dummyfunction("if($T305&lt;&gt;"""",REGEXEXTRACT(SUBSTITUTE ($T305,F$1&amp;"" CE"",""""), F$1&amp;""[\w &amp;]*, (\d+\.\d+)""),"""")
"),"")</f>
        <v/>
      </c>
      <c r="G305" s="3" t="str">
        <f aca="false">IFERROR(__xludf.dummyfunction("if($T305&lt;&gt;"""",REGEXEXTRACT($T305, G$1&amp;""[\w &amp;]*, (\d+\.\d+)""),"""")
"),"")</f>
        <v/>
      </c>
      <c r="H305" s="3"/>
      <c r="I305" s="3" t="str">
        <f aca="false">IFERROR(__xludf.dummyfunction("if($T305&lt;&gt;"""",REGEXEXTRACT(SUBSTITUTE ($T305,I$1&amp;"" CE"",""""), I$1&amp;""[\w &amp;]*, (\d+\.\d+)""),"""")
"),"")</f>
        <v/>
      </c>
      <c r="J305" s="3" t="str">
        <f aca="false">IFERROR(__xludf.dummyfunction("if($T305&lt;&gt;"""",REGEXEXTRACT($T305, J$1&amp;""[\w &amp;]*, (\d+\.\d+)""),"""")
"),"")</f>
        <v/>
      </c>
      <c r="K305" s="3"/>
      <c r="L305" s="3" t="str">
        <f aca="false">IFERROR(__xludf.dummyfunction("if($T305&lt;&gt;"""",REGEXEXTRACT(SUBSTITUTE ($T305,L$1&amp;"" CE"",""""), L$1&amp;""[\w &amp;]*, (\d+\.\d+)""),"""")
"),"")</f>
        <v/>
      </c>
      <c r="M305" s="3" t="str">
        <f aca="false">IFERROR(__xludf.dummyfunction("if($T305&lt;&gt;"""",REGEXEXTRACT($T305, M$1&amp;""[\w &amp;]*, (\d+\.\d+)""),"""")
"),"")</f>
        <v/>
      </c>
      <c r="N305" s="3" t="str">
        <f aca="false">IFERROR(__xludf.dummyfunction("if($T305&lt;&gt;"""",REGEXEXTRACT(SUBSTITUTE ($T305,N$1&amp;"" CE"",""""), N$1&amp;""[\w &amp;]*, (\d+\.\d+)""),"""")
"),"")</f>
        <v/>
      </c>
      <c r="O305" s="3" t="str">
        <f aca="false">IFERROR(__xludf.dummyfunction("if($T305&lt;&gt;"""",REGEXEXTRACT($T305, O$1&amp;""[\w &amp;]*, (\d+\.\d+)""),"""")
"),"")</f>
        <v/>
      </c>
      <c r="P305" s="2"/>
      <c r="Q305" s="2"/>
      <c r="R305" s="2"/>
      <c r="S305" s="2"/>
      <c r="T305" s="5"/>
    </row>
    <row r="306" customFormat="false" ht="15.75" hidden="false" customHeight="false" outlineLevel="0" collapsed="false">
      <c r="A306" s="4"/>
      <c r="B306" s="2"/>
      <c r="C306" s="2"/>
      <c r="D306" s="2"/>
      <c r="E306" s="2"/>
      <c r="F306" s="3" t="str">
        <f aca="false">IFERROR(__xludf.dummyfunction("if($T306&lt;&gt;"""",REGEXEXTRACT(SUBSTITUTE ($T306,F$1&amp;"" CE"",""""), F$1&amp;""[\w &amp;]*, (\d+\.\d+)""),"""")
"),"")</f>
        <v/>
      </c>
      <c r="G306" s="3" t="str">
        <f aca="false">IFERROR(__xludf.dummyfunction("if($T306&lt;&gt;"""",REGEXEXTRACT($T306, G$1&amp;""[\w &amp;]*, (\d+\.\d+)""),"""")
"),"")</f>
        <v/>
      </c>
      <c r="H306" s="3"/>
      <c r="I306" s="3" t="str">
        <f aca="false">IFERROR(__xludf.dummyfunction("if($T306&lt;&gt;"""",REGEXEXTRACT(SUBSTITUTE ($T306,I$1&amp;"" CE"",""""), I$1&amp;""[\w &amp;]*, (\d+\.\d+)""),"""")
"),"")</f>
        <v/>
      </c>
      <c r="J306" s="3" t="str">
        <f aca="false">IFERROR(__xludf.dummyfunction("if($T306&lt;&gt;"""",REGEXEXTRACT($T306, J$1&amp;""[\w &amp;]*, (\d+\.\d+)""),"""")
"),"")</f>
        <v/>
      </c>
      <c r="K306" s="3"/>
      <c r="L306" s="3" t="str">
        <f aca="false">IFERROR(__xludf.dummyfunction("if($T306&lt;&gt;"""",REGEXEXTRACT(SUBSTITUTE ($T306,L$1&amp;"" CE"",""""), L$1&amp;""[\w &amp;]*, (\d+\.\d+)""),"""")
"),"")</f>
        <v/>
      </c>
      <c r="M306" s="3" t="str">
        <f aca="false">IFERROR(__xludf.dummyfunction("if($T306&lt;&gt;"""",REGEXEXTRACT($T306, M$1&amp;""[\w &amp;]*, (\d+\.\d+)""),"""")
"),"")</f>
        <v/>
      </c>
      <c r="N306" s="3" t="str">
        <f aca="false">IFERROR(__xludf.dummyfunction("if($T306&lt;&gt;"""",REGEXEXTRACT(SUBSTITUTE ($T306,N$1&amp;"" CE"",""""), N$1&amp;""[\w &amp;]*, (\d+\.\d+)""),"""")
"),"")</f>
        <v/>
      </c>
      <c r="O306" s="3" t="str">
        <f aca="false">IFERROR(__xludf.dummyfunction("if($T306&lt;&gt;"""",REGEXEXTRACT($T306, O$1&amp;""[\w &amp;]*, (\d+\.\d+)""),"""")
"),"")</f>
        <v/>
      </c>
      <c r="P306" s="2"/>
      <c r="Q306" s="2"/>
      <c r="R306" s="2"/>
      <c r="S306" s="2"/>
      <c r="T306" s="5"/>
    </row>
    <row r="307" customFormat="false" ht="15.75" hidden="false" customHeight="false" outlineLevel="0" collapsed="false">
      <c r="A307" s="4"/>
      <c r="B307" s="2"/>
      <c r="C307" s="2"/>
      <c r="D307" s="2"/>
      <c r="E307" s="2"/>
      <c r="F307" s="3" t="str">
        <f aca="false">IFERROR(__xludf.dummyfunction("if($T307&lt;&gt;"""",REGEXEXTRACT(SUBSTITUTE ($T307,F$1&amp;"" CE"",""""), F$1&amp;""[\w &amp;]*, (\d+\.\d+)""),"""")
"),"")</f>
        <v/>
      </c>
      <c r="G307" s="3" t="str">
        <f aca="false">IFERROR(__xludf.dummyfunction("if($T307&lt;&gt;"""",REGEXEXTRACT($T307, G$1&amp;""[\w &amp;]*, (\d+\.\d+)""),"""")
"),"")</f>
        <v/>
      </c>
      <c r="H307" s="3"/>
      <c r="I307" s="3" t="str">
        <f aca="false">IFERROR(__xludf.dummyfunction("if($T307&lt;&gt;"""",REGEXEXTRACT(SUBSTITUTE ($T307,I$1&amp;"" CE"",""""), I$1&amp;""[\w &amp;]*, (\d+\.\d+)""),"""")
"),"")</f>
        <v/>
      </c>
      <c r="J307" s="3" t="str">
        <f aca="false">IFERROR(__xludf.dummyfunction("if($T307&lt;&gt;"""",REGEXEXTRACT($T307, J$1&amp;""[\w &amp;]*, (\d+\.\d+)""),"""")
"),"")</f>
        <v/>
      </c>
      <c r="K307" s="3"/>
      <c r="L307" s="3" t="str">
        <f aca="false">IFERROR(__xludf.dummyfunction("if($T307&lt;&gt;"""",REGEXEXTRACT(SUBSTITUTE ($T307,L$1&amp;"" CE"",""""), L$1&amp;""[\w &amp;]*, (\d+\.\d+)""),"""")
"),"")</f>
        <v/>
      </c>
      <c r="M307" s="3" t="str">
        <f aca="false">IFERROR(__xludf.dummyfunction("if($T307&lt;&gt;"""",REGEXEXTRACT($T307, M$1&amp;""[\w &amp;]*, (\d+\.\d+)""),"""")
"),"")</f>
        <v/>
      </c>
      <c r="N307" s="3" t="str">
        <f aca="false">IFERROR(__xludf.dummyfunction("if($T307&lt;&gt;"""",REGEXEXTRACT(SUBSTITUTE ($T307,N$1&amp;"" CE"",""""), N$1&amp;""[\w &amp;]*, (\d+\.\d+)""),"""")
"),"")</f>
        <v/>
      </c>
      <c r="O307" s="3" t="str">
        <f aca="false">IFERROR(__xludf.dummyfunction("if($T307&lt;&gt;"""",REGEXEXTRACT($T307, O$1&amp;""[\w &amp;]*, (\d+\.\d+)""),"""")
"),"")</f>
        <v/>
      </c>
      <c r="P307" s="2"/>
      <c r="Q307" s="2"/>
      <c r="R307" s="2"/>
      <c r="S307" s="2"/>
      <c r="T307" s="5"/>
    </row>
    <row r="308" customFormat="false" ht="15.75" hidden="false" customHeight="false" outlineLevel="0" collapsed="false">
      <c r="A308" s="4"/>
      <c r="B308" s="2"/>
      <c r="C308" s="2"/>
      <c r="D308" s="2"/>
      <c r="E308" s="2"/>
      <c r="F308" s="3" t="str">
        <f aca="false">IFERROR(__xludf.dummyfunction("if($T308&lt;&gt;"""",REGEXEXTRACT(SUBSTITUTE ($T308,F$1&amp;"" CE"",""""), F$1&amp;""[\w &amp;]*, (\d+\.\d+)""),"""")
"),"")</f>
        <v/>
      </c>
      <c r="G308" s="3" t="str">
        <f aca="false">IFERROR(__xludf.dummyfunction("if($T308&lt;&gt;"""",REGEXEXTRACT($T308, G$1&amp;""[\w &amp;]*, (\d+\.\d+)""),"""")
"),"")</f>
        <v/>
      </c>
      <c r="H308" s="3"/>
      <c r="I308" s="3" t="str">
        <f aca="false">IFERROR(__xludf.dummyfunction("if($T308&lt;&gt;"""",REGEXEXTRACT(SUBSTITUTE ($T308,I$1&amp;"" CE"",""""), I$1&amp;""[\w &amp;]*, (\d+\.\d+)""),"""")
"),"")</f>
        <v/>
      </c>
      <c r="J308" s="3" t="str">
        <f aca="false">IFERROR(__xludf.dummyfunction("if($T308&lt;&gt;"""",REGEXEXTRACT($T308, J$1&amp;""[\w &amp;]*, (\d+\.\d+)""),"""")
"),"")</f>
        <v/>
      </c>
      <c r="K308" s="3"/>
      <c r="L308" s="3" t="str">
        <f aca="false">IFERROR(__xludf.dummyfunction("if($T308&lt;&gt;"""",REGEXEXTRACT(SUBSTITUTE ($T308,L$1&amp;"" CE"",""""), L$1&amp;""[\w &amp;]*, (\d+\.\d+)""),"""")
"),"")</f>
        <v/>
      </c>
      <c r="M308" s="3" t="str">
        <f aca="false">IFERROR(__xludf.dummyfunction("if($T308&lt;&gt;"""",REGEXEXTRACT($T308, M$1&amp;""[\w &amp;]*, (\d+\.\d+)""),"""")
"),"")</f>
        <v/>
      </c>
      <c r="N308" s="3" t="str">
        <f aca="false">IFERROR(__xludf.dummyfunction("if($T308&lt;&gt;"""",REGEXEXTRACT(SUBSTITUTE ($T308,N$1&amp;"" CE"",""""), N$1&amp;""[\w &amp;]*, (\d+\.\d+)""),"""")
"),"")</f>
        <v/>
      </c>
      <c r="O308" s="3" t="str">
        <f aca="false">IFERROR(__xludf.dummyfunction("if($T308&lt;&gt;"""",REGEXEXTRACT($T308, O$1&amp;""[\w &amp;]*, (\d+\.\d+)""),"""")
"),"")</f>
        <v/>
      </c>
      <c r="P308" s="2"/>
      <c r="Q308" s="2"/>
      <c r="R308" s="2"/>
      <c r="S308" s="2"/>
      <c r="T308" s="5"/>
    </row>
    <row r="309" customFormat="false" ht="15.75" hidden="false" customHeight="false" outlineLevel="0" collapsed="false">
      <c r="A309" s="4"/>
      <c r="B309" s="2"/>
      <c r="C309" s="2"/>
      <c r="D309" s="2"/>
      <c r="E309" s="2"/>
      <c r="F309" s="3" t="str">
        <f aca="false">IFERROR(__xludf.dummyfunction("if($T309&lt;&gt;"""",REGEXEXTRACT(SUBSTITUTE ($T309,F$1&amp;"" CE"",""""), F$1&amp;""[\w &amp;]*, (\d+\.\d+)""),"""")
"),"")</f>
        <v/>
      </c>
      <c r="G309" s="3" t="str">
        <f aca="false">IFERROR(__xludf.dummyfunction("if($T309&lt;&gt;"""",REGEXEXTRACT($T309, G$1&amp;""[\w &amp;]*, (\d+\.\d+)""),"""")
"),"")</f>
        <v/>
      </c>
      <c r="H309" s="3"/>
      <c r="I309" s="3" t="str">
        <f aca="false">IFERROR(__xludf.dummyfunction("if($T309&lt;&gt;"""",REGEXEXTRACT(SUBSTITUTE ($T309,I$1&amp;"" CE"",""""), I$1&amp;""[\w &amp;]*, (\d+\.\d+)""),"""")
"),"")</f>
        <v/>
      </c>
      <c r="J309" s="3" t="str">
        <f aca="false">IFERROR(__xludf.dummyfunction("if($T309&lt;&gt;"""",REGEXEXTRACT($T309, J$1&amp;""[\w &amp;]*, (\d+\.\d+)""),"""")
"),"")</f>
        <v/>
      </c>
      <c r="K309" s="3"/>
      <c r="L309" s="3" t="str">
        <f aca="false">IFERROR(__xludf.dummyfunction("if($T309&lt;&gt;"""",REGEXEXTRACT(SUBSTITUTE ($T309,L$1&amp;"" CE"",""""), L$1&amp;""[\w &amp;]*, (\d+\.\d+)""),"""")
"),"")</f>
        <v/>
      </c>
      <c r="M309" s="3" t="str">
        <f aca="false">IFERROR(__xludf.dummyfunction("if($T309&lt;&gt;"""",REGEXEXTRACT($T309, M$1&amp;""[\w &amp;]*, (\d+\.\d+)""),"""")
"),"")</f>
        <v/>
      </c>
      <c r="N309" s="3" t="str">
        <f aca="false">IFERROR(__xludf.dummyfunction("if($T309&lt;&gt;"""",REGEXEXTRACT(SUBSTITUTE ($T309,N$1&amp;"" CE"",""""), N$1&amp;""[\w &amp;]*, (\d+\.\d+)""),"""")
"),"")</f>
        <v/>
      </c>
      <c r="O309" s="3" t="str">
        <f aca="false">IFERROR(__xludf.dummyfunction("if($T309&lt;&gt;"""",REGEXEXTRACT($T309, O$1&amp;""[\w &amp;]*, (\d+\.\d+)""),"""")
"),"")</f>
        <v/>
      </c>
      <c r="P309" s="2"/>
      <c r="Q309" s="2"/>
      <c r="R309" s="2"/>
      <c r="S309" s="2"/>
      <c r="T309" s="5"/>
    </row>
    <row r="310" customFormat="false" ht="15.75" hidden="false" customHeight="false" outlineLevel="0" collapsed="false">
      <c r="A310" s="4"/>
      <c r="B310" s="2"/>
      <c r="C310" s="2"/>
      <c r="D310" s="2"/>
      <c r="E310" s="2"/>
      <c r="F310" s="3" t="str">
        <f aca="false">IFERROR(__xludf.dummyfunction("if($T310&lt;&gt;"""",REGEXEXTRACT(SUBSTITUTE ($T310,F$1&amp;"" CE"",""""), F$1&amp;""[\w &amp;]*, (\d+\.\d+)""),"""")
"),"")</f>
        <v/>
      </c>
      <c r="G310" s="3" t="str">
        <f aca="false">IFERROR(__xludf.dummyfunction("if($T310&lt;&gt;"""",REGEXEXTRACT($T310, G$1&amp;""[\w &amp;]*, (\d+\.\d+)""),"""")
"),"")</f>
        <v/>
      </c>
      <c r="H310" s="3"/>
      <c r="I310" s="3" t="str">
        <f aca="false">IFERROR(__xludf.dummyfunction("if($T310&lt;&gt;"""",REGEXEXTRACT(SUBSTITUTE ($T310,I$1&amp;"" CE"",""""), I$1&amp;""[\w &amp;]*, (\d+\.\d+)""),"""")
"),"")</f>
        <v/>
      </c>
      <c r="J310" s="3" t="str">
        <f aca="false">IFERROR(__xludf.dummyfunction("if($T310&lt;&gt;"""",REGEXEXTRACT($T310, J$1&amp;""[\w &amp;]*, (\d+\.\d+)""),"""")
"),"")</f>
        <v/>
      </c>
      <c r="K310" s="3"/>
      <c r="L310" s="3" t="str">
        <f aca="false">IFERROR(__xludf.dummyfunction("if($T310&lt;&gt;"""",REGEXEXTRACT(SUBSTITUTE ($T310,L$1&amp;"" CE"",""""), L$1&amp;""[\w &amp;]*, (\d+\.\d+)""),"""")
"),"")</f>
        <v/>
      </c>
      <c r="M310" s="3" t="str">
        <f aca="false">IFERROR(__xludf.dummyfunction("if($T310&lt;&gt;"""",REGEXEXTRACT($T310, M$1&amp;""[\w &amp;]*, (\d+\.\d+)""),"""")
"),"")</f>
        <v/>
      </c>
      <c r="N310" s="3" t="str">
        <f aca="false">IFERROR(__xludf.dummyfunction("if($T310&lt;&gt;"""",REGEXEXTRACT(SUBSTITUTE ($T310,N$1&amp;"" CE"",""""), N$1&amp;""[\w &amp;]*, (\d+\.\d+)""),"""")
"),"")</f>
        <v/>
      </c>
      <c r="O310" s="3" t="str">
        <f aca="false">IFERROR(__xludf.dummyfunction("if($T310&lt;&gt;"""",REGEXEXTRACT($T310, O$1&amp;""[\w &amp;]*, (\d+\.\d+)""),"""")
"),"")</f>
        <v/>
      </c>
      <c r="P310" s="2"/>
      <c r="Q310" s="2"/>
      <c r="R310" s="2"/>
      <c r="S310" s="2"/>
      <c r="T310" s="5"/>
    </row>
    <row r="311" customFormat="false" ht="15.75" hidden="false" customHeight="false" outlineLevel="0" collapsed="false">
      <c r="A311" s="4"/>
      <c r="B311" s="2"/>
      <c r="C311" s="2"/>
      <c r="D311" s="2"/>
      <c r="E311" s="2"/>
      <c r="F311" s="3" t="str">
        <f aca="false">IFERROR(__xludf.dummyfunction("if($T311&lt;&gt;"""",REGEXEXTRACT(SUBSTITUTE ($T311,F$1&amp;"" CE"",""""), F$1&amp;""[\w &amp;]*, (\d+\.\d+)""),"""")
"),"")</f>
        <v/>
      </c>
      <c r="G311" s="3" t="str">
        <f aca="false">IFERROR(__xludf.dummyfunction("if($T311&lt;&gt;"""",REGEXEXTRACT($T311, G$1&amp;""[\w &amp;]*, (\d+\.\d+)""),"""")
"),"")</f>
        <v/>
      </c>
      <c r="H311" s="3"/>
      <c r="I311" s="3" t="str">
        <f aca="false">IFERROR(__xludf.dummyfunction("if($T311&lt;&gt;"""",REGEXEXTRACT(SUBSTITUTE ($T311,I$1&amp;"" CE"",""""), I$1&amp;""[\w &amp;]*, (\d+\.\d+)""),"""")
"),"")</f>
        <v/>
      </c>
      <c r="J311" s="3" t="str">
        <f aca="false">IFERROR(__xludf.dummyfunction("if($T311&lt;&gt;"""",REGEXEXTRACT($T311, J$1&amp;""[\w &amp;]*, (\d+\.\d+)""),"""")
"),"")</f>
        <v/>
      </c>
      <c r="K311" s="3"/>
      <c r="L311" s="3" t="str">
        <f aca="false">IFERROR(__xludf.dummyfunction("if($T311&lt;&gt;"""",REGEXEXTRACT(SUBSTITUTE ($T311,L$1&amp;"" CE"",""""), L$1&amp;""[\w &amp;]*, (\d+\.\d+)""),"""")
"),"")</f>
        <v/>
      </c>
      <c r="M311" s="3" t="str">
        <f aca="false">IFERROR(__xludf.dummyfunction("if($T311&lt;&gt;"""",REGEXEXTRACT($T311, M$1&amp;""[\w &amp;]*, (\d+\.\d+)""),"""")
"),"")</f>
        <v/>
      </c>
      <c r="N311" s="3" t="str">
        <f aca="false">IFERROR(__xludf.dummyfunction("if($T311&lt;&gt;"""",REGEXEXTRACT(SUBSTITUTE ($T311,N$1&amp;"" CE"",""""), N$1&amp;""[\w &amp;]*, (\d+\.\d+)""),"""")
"),"")</f>
        <v/>
      </c>
      <c r="O311" s="3" t="str">
        <f aca="false">IFERROR(__xludf.dummyfunction("if($T311&lt;&gt;"""",REGEXEXTRACT($T311, O$1&amp;""[\w &amp;]*, (\d+\.\d+)""),"""")
"),"")</f>
        <v/>
      </c>
      <c r="P311" s="2"/>
      <c r="Q311" s="2"/>
      <c r="R311" s="2"/>
      <c r="S311" s="2"/>
      <c r="T311" s="5"/>
    </row>
    <row r="312" customFormat="false" ht="15.75" hidden="false" customHeight="false" outlineLevel="0" collapsed="false">
      <c r="A312" s="4"/>
      <c r="B312" s="2"/>
      <c r="C312" s="2"/>
      <c r="D312" s="2"/>
      <c r="E312" s="2"/>
      <c r="F312" s="3" t="str">
        <f aca="false">IFERROR(__xludf.dummyfunction("if($T312&lt;&gt;"""",REGEXEXTRACT(SUBSTITUTE ($T312,F$1&amp;"" CE"",""""), F$1&amp;""[\w &amp;]*, (\d+\.\d+)""),"""")
"),"")</f>
        <v/>
      </c>
      <c r="G312" s="3" t="str">
        <f aca="false">IFERROR(__xludf.dummyfunction("if($T312&lt;&gt;"""",REGEXEXTRACT($T312, G$1&amp;""[\w &amp;]*, (\d+\.\d+)""),"""")
"),"")</f>
        <v/>
      </c>
      <c r="H312" s="3"/>
      <c r="I312" s="3" t="str">
        <f aca="false">IFERROR(__xludf.dummyfunction("if($T312&lt;&gt;"""",REGEXEXTRACT(SUBSTITUTE ($T312,I$1&amp;"" CE"",""""), I$1&amp;""[\w &amp;]*, (\d+\.\d+)""),"""")
"),"")</f>
        <v/>
      </c>
      <c r="J312" s="3" t="str">
        <f aca="false">IFERROR(__xludf.dummyfunction("if($T312&lt;&gt;"""",REGEXEXTRACT($T312, J$1&amp;""[\w &amp;]*, (\d+\.\d+)""),"""")
"),"")</f>
        <v/>
      </c>
      <c r="K312" s="3"/>
      <c r="L312" s="3" t="str">
        <f aca="false">IFERROR(__xludf.dummyfunction("if($T312&lt;&gt;"""",REGEXEXTRACT(SUBSTITUTE ($T312,L$1&amp;"" CE"",""""), L$1&amp;""[\w &amp;]*, (\d+\.\d+)""),"""")
"),"")</f>
        <v/>
      </c>
      <c r="M312" s="3" t="str">
        <f aca="false">IFERROR(__xludf.dummyfunction("if($T312&lt;&gt;"""",REGEXEXTRACT($T312, M$1&amp;""[\w &amp;]*, (\d+\.\d+)""),"""")
"),"")</f>
        <v/>
      </c>
      <c r="N312" s="3" t="str">
        <f aca="false">IFERROR(__xludf.dummyfunction("if($T312&lt;&gt;"""",REGEXEXTRACT(SUBSTITUTE ($T312,N$1&amp;"" CE"",""""), N$1&amp;""[\w &amp;]*, (\d+\.\d+)""),"""")
"),"")</f>
        <v/>
      </c>
      <c r="O312" s="3" t="str">
        <f aca="false">IFERROR(__xludf.dummyfunction("if($T312&lt;&gt;"""",REGEXEXTRACT($T312, O$1&amp;""[\w &amp;]*, (\d+\.\d+)""),"""")
"),"")</f>
        <v/>
      </c>
      <c r="P312" s="2"/>
      <c r="Q312" s="2"/>
      <c r="R312" s="2"/>
      <c r="S312" s="2"/>
      <c r="T312" s="5"/>
    </row>
    <row r="313" customFormat="false" ht="15.75" hidden="false" customHeight="false" outlineLevel="0" collapsed="false">
      <c r="A313" s="4"/>
      <c r="B313" s="2"/>
      <c r="C313" s="2"/>
      <c r="D313" s="2"/>
      <c r="E313" s="2"/>
      <c r="F313" s="3" t="str">
        <f aca="false">IFERROR(__xludf.dummyfunction("if($T313&lt;&gt;"""",REGEXEXTRACT(SUBSTITUTE ($T313,F$1&amp;"" CE"",""""), F$1&amp;""[\w &amp;]*, (\d+\.\d+)""),"""")
"),"")</f>
        <v/>
      </c>
      <c r="G313" s="3" t="str">
        <f aca="false">IFERROR(__xludf.dummyfunction("if($T313&lt;&gt;"""",REGEXEXTRACT($T313, G$1&amp;""[\w &amp;]*, (\d+\.\d+)""),"""")
"),"")</f>
        <v/>
      </c>
      <c r="H313" s="3"/>
      <c r="I313" s="3" t="str">
        <f aca="false">IFERROR(__xludf.dummyfunction("if($T313&lt;&gt;"""",REGEXEXTRACT(SUBSTITUTE ($T313,I$1&amp;"" CE"",""""), I$1&amp;""[\w &amp;]*, (\d+\.\d+)""),"""")
"),"")</f>
        <v/>
      </c>
      <c r="J313" s="3" t="str">
        <f aca="false">IFERROR(__xludf.dummyfunction("if($T313&lt;&gt;"""",REGEXEXTRACT($T313, J$1&amp;""[\w &amp;]*, (\d+\.\d+)""),"""")
"),"")</f>
        <v/>
      </c>
      <c r="K313" s="3"/>
      <c r="L313" s="3" t="str">
        <f aca="false">IFERROR(__xludf.dummyfunction("if($T313&lt;&gt;"""",REGEXEXTRACT(SUBSTITUTE ($T313,L$1&amp;"" CE"",""""), L$1&amp;""[\w &amp;]*, (\d+\.\d+)""),"""")
"),"")</f>
        <v/>
      </c>
      <c r="M313" s="3" t="str">
        <f aca="false">IFERROR(__xludf.dummyfunction("if($T313&lt;&gt;"""",REGEXEXTRACT($T313, M$1&amp;""[\w &amp;]*, (\d+\.\d+)""),"""")
"),"")</f>
        <v/>
      </c>
      <c r="N313" s="3" t="str">
        <f aca="false">IFERROR(__xludf.dummyfunction("if($T313&lt;&gt;"""",REGEXEXTRACT(SUBSTITUTE ($T313,N$1&amp;"" CE"",""""), N$1&amp;""[\w &amp;]*, (\d+\.\d+)""),"""")
"),"")</f>
        <v/>
      </c>
      <c r="O313" s="3" t="str">
        <f aca="false">IFERROR(__xludf.dummyfunction("if($T313&lt;&gt;"""",REGEXEXTRACT($T313, O$1&amp;""[\w &amp;]*, (\d+\.\d+)""),"""")
"),"")</f>
        <v/>
      </c>
      <c r="P313" s="2"/>
      <c r="Q313" s="2"/>
      <c r="R313" s="2"/>
      <c r="S313" s="2"/>
      <c r="T313" s="5"/>
    </row>
    <row r="314" customFormat="false" ht="15.75" hidden="false" customHeight="false" outlineLevel="0" collapsed="false">
      <c r="A314" s="4"/>
      <c r="B314" s="2"/>
      <c r="C314" s="2"/>
      <c r="D314" s="2"/>
      <c r="E314" s="2"/>
      <c r="F314" s="3" t="str">
        <f aca="false">IFERROR(__xludf.dummyfunction("if($T314&lt;&gt;"""",REGEXEXTRACT(SUBSTITUTE ($T314,F$1&amp;"" CE"",""""), F$1&amp;""[\w &amp;]*, (\d+\.\d+)""),"""")
"),"")</f>
        <v/>
      </c>
      <c r="G314" s="3" t="str">
        <f aca="false">IFERROR(__xludf.dummyfunction("if($T314&lt;&gt;"""",REGEXEXTRACT($T314, G$1&amp;""[\w &amp;]*, (\d+\.\d+)""),"""")
"),"")</f>
        <v/>
      </c>
      <c r="H314" s="3"/>
      <c r="I314" s="3" t="str">
        <f aca="false">IFERROR(__xludf.dummyfunction("if($T314&lt;&gt;"""",REGEXEXTRACT(SUBSTITUTE ($T314,I$1&amp;"" CE"",""""), I$1&amp;""[\w &amp;]*, (\d+\.\d+)""),"""")
"),"")</f>
        <v/>
      </c>
      <c r="J314" s="3" t="str">
        <f aca="false">IFERROR(__xludf.dummyfunction("if($T314&lt;&gt;"""",REGEXEXTRACT($T314, J$1&amp;""[\w &amp;]*, (\d+\.\d+)""),"""")
"),"")</f>
        <v/>
      </c>
      <c r="K314" s="3"/>
      <c r="L314" s="3" t="str">
        <f aca="false">IFERROR(__xludf.dummyfunction("if($T314&lt;&gt;"""",REGEXEXTRACT(SUBSTITUTE ($T314,L$1&amp;"" CE"",""""), L$1&amp;""[\w &amp;]*, (\d+\.\d+)""),"""")
"),"")</f>
        <v/>
      </c>
      <c r="M314" s="3" t="str">
        <f aca="false">IFERROR(__xludf.dummyfunction("if($T314&lt;&gt;"""",REGEXEXTRACT($T314, M$1&amp;""[\w &amp;]*, (\d+\.\d+)""),"""")
"),"")</f>
        <v/>
      </c>
      <c r="N314" s="3" t="str">
        <f aca="false">IFERROR(__xludf.dummyfunction("if($T314&lt;&gt;"""",REGEXEXTRACT(SUBSTITUTE ($T314,N$1&amp;"" CE"",""""), N$1&amp;""[\w &amp;]*, (\d+\.\d+)""),"""")
"),"")</f>
        <v/>
      </c>
      <c r="O314" s="3" t="str">
        <f aca="false">IFERROR(__xludf.dummyfunction("if($T314&lt;&gt;"""",REGEXEXTRACT($T314, O$1&amp;""[\w &amp;]*, (\d+\.\d+)""),"""")
"),"")</f>
        <v/>
      </c>
      <c r="P314" s="2"/>
      <c r="Q314" s="2"/>
      <c r="R314" s="2"/>
      <c r="S314" s="2"/>
      <c r="T314" s="5"/>
    </row>
    <row r="315" customFormat="false" ht="15.75" hidden="false" customHeight="false" outlineLevel="0" collapsed="false">
      <c r="A315" s="4"/>
      <c r="B315" s="2"/>
      <c r="C315" s="2"/>
      <c r="D315" s="2"/>
      <c r="E315" s="2"/>
      <c r="F315" s="3" t="str">
        <f aca="false">IFERROR(__xludf.dummyfunction("if($T315&lt;&gt;"""",REGEXEXTRACT(SUBSTITUTE ($T315,F$1&amp;"" CE"",""""), F$1&amp;""[\w &amp;]*, (\d+\.\d+)""),"""")
"),"")</f>
        <v/>
      </c>
      <c r="G315" s="3" t="str">
        <f aca="false">IFERROR(__xludf.dummyfunction("if($T315&lt;&gt;"""",REGEXEXTRACT($T315, G$1&amp;""[\w &amp;]*, (\d+\.\d+)""),"""")
"),"")</f>
        <v/>
      </c>
      <c r="H315" s="3"/>
      <c r="I315" s="3" t="str">
        <f aca="false">IFERROR(__xludf.dummyfunction("if($T315&lt;&gt;"""",REGEXEXTRACT(SUBSTITUTE ($T315,I$1&amp;"" CE"",""""), I$1&amp;""[\w &amp;]*, (\d+\.\d+)""),"""")
"),"")</f>
        <v/>
      </c>
      <c r="J315" s="3" t="str">
        <f aca="false">IFERROR(__xludf.dummyfunction("if($T315&lt;&gt;"""",REGEXEXTRACT($T315, J$1&amp;""[\w &amp;]*, (\d+\.\d+)""),"""")
"),"")</f>
        <v/>
      </c>
      <c r="K315" s="3"/>
      <c r="L315" s="3" t="str">
        <f aca="false">IFERROR(__xludf.dummyfunction("if($T315&lt;&gt;"""",REGEXEXTRACT(SUBSTITUTE ($T315,L$1&amp;"" CE"",""""), L$1&amp;""[\w &amp;]*, (\d+\.\d+)""),"""")
"),"")</f>
        <v/>
      </c>
      <c r="M315" s="3" t="str">
        <f aca="false">IFERROR(__xludf.dummyfunction("if($T315&lt;&gt;"""",REGEXEXTRACT($T315, M$1&amp;""[\w &amp;]*, (\d+\.\d+)""),"""")
"),"")</f>
        <v/>
      </c>
      <c r="N315" s="3" t="str">
        <f aca="false">IFERROR(__xludf.dummyfunction("if($T315&lt;&gt;"""",REGEXEXTRACT(SUBSTITUTE ($T315,N$1&amp;"" CE"",""""), N$1&amp;""[\w &amp;]*, (\d+\.\d+)""),"""")
"),"")</f>
        <v/>
      </c>
      <c r="O315" s="3" t="str">
        <f aca="false">IFERROR(__xludf.dummyfunction("if($T315&lt;&gt;"""",REGEXEXTRACT($T315, O$1&amp;""[\w &amp;]*, (\d+\.\d+)""),"""")
"),"")</f>
        <v/>
      </c>
      <c r="P315" s="2"/>
      <c r="Q315" s="2"/>
      <c r="R315" s="2"/>
      <c r="S315" s="2"/>
      <c r="T315" s="5"/>
    </row>
    <row r="316" customFormat="false" ht="15.75" hidden="false" customHeight="false" outlineLevel="0" collapsed="false">
      <c r="A316" s="4"/>
      <c r="B316" s="2"/>
      <c r="C316" s="2"/>
      <c r="D316" s="2"/>
      <c r="E316" s="2"/>
      <c r="F316" s="3" t="str">
        <f aca="false">IFERROR(__xludf.dummyfunction("if($T316&lt;&gt;"""",REGEXEXTRACT(SUBSTITUTE ($T316,F$1&amp;"" CE"",""""), F$1&amp;""[\w &amp;]*, (\d+\.\d+)""),"""")
"),"")</f>
        <v/>
      </c>
      <c r="G316" s="3" t="str">
        <f aca="false">IFERROR(__xludf.dummyfunction("if($T316&lt;&gt;"""",REGEXEXTRACT($T316, G$1&amp;""[\w &amp;]*, (\d+\.\d+)""),"""")
"),"")</f>
        <v/>
      </c>
      <c r="H316" s="3"/>
      <c r="I316" s="3" t="str">
        <f aca="false">IFERROR(__xludf.dummyfunction("if($T316&lt;&gt;"""",REGEXEXTRACT(SUBSTITUTE ($T316,I$1&amp;"" CE"",""""), I$1&amp;""[\w &amp;]*, (\d+\.\d+)""),"""")
"),"")</f>
        <v/>
      </c>
      <c r="J316" s="3" t="str">
        <f aca="false">IFERROR(__xludf.dummyfunction("if($T316&lt;&gt;"""",REGEXEXTRACT($T316, J$1&amp;""[\w &amp;]*, (\d+\.\d+)""),"""")
"),"")</f>
        <v/>
      </c>
      <c r="K316" s="3"/>
      <c r="L316" s="3" t="str">
        <f aca="false">IFERROR(__xludf.dummyfunction("if($T316&lt;&gt;"""",REGEXEXTRACT(SUBSTITUTE ($T316,L$1&amp;"" CE"",""""), L$1&amp;""[\w &amp;]*, (\d+\.\d+)""),"""")
"),"")</f>
        <v/>
      </c>
      <c r="M316" s="3" t="str">
        <f aca="false">IFERROR(__xludf.dummyfunction("if($T316&lt;&gt;"""",REGEXEXTRACT($T316, M$1&amp;""[\w &amp;]*, (\d+\.\d+)""),"""")
"),"")</f>
        <v/>
      </c>
      <c r="N316" s="3" t="str">
        <f aca="false">IFERROR(__xludf.dummyfunction("if($T316&lt;&gt;"""",REGEXEXTRACT(SUBSTITUTE ($T316,N$1&amp;"" CE"",""""), N$1&amp;""[\w &amp;]*, (\d+\.\d+)""),"""")
"),"")</f>
        <v/>
      </c>
      <c r="O316" s="3" t="str">
        <f aca="false">IFERROR(__xludf.dummyfunction("if($T316&lt;&gt;"""",REGEXEXTRACT($T316, O$1&amp;""[\w &amp;]*, (\d+\.\d+)""),"""")
"),"")</f>
        <v/>
      </c>
      <c r="P316" s="2"/>
      <c r="Q316" s="2"/>
      <c r="R316" s="2"/>
      <c r="S316" s="2"/>
      <c r="T316" s="5"/>
    </row>
    <row r="317" customFormat="false" ht="15.75" hidden="false" customHeight="false" outlineLevel="0" collapsed="false">
      <c r="A317" s="4"/>
      <c r="B317" s="2"/>
      <c r="C317" s="2"/>
      <c r="D317" s="2"/>
      <c r="E317" s="2"/>
      <c r="F317" s="3" t="str">
        <f aca="false">IFERROR(__xludf.dummyfunction("if($T317&lt;&gt;"""",REGEXEXTRACT(SUBSTITUTE ($T317,F$1&amp;"" CE"",""""), F$1&amp;""[\w &amp;]*, (\d+\.\d+)""),"""")
"),"")</f>
        <v/>
      </c>
      <c r="G317" s="3" t="str">
        <f aca="false">IFERROR(__xludf.dummyfunction("if($T317&lt;&gt;"""",REGEXEXTRACT($T317, G$1&amp;""[\w &amp;]*, (\d+\.\d+)""),"""")
"),"")</f>
        <v/>
      </c>
      <c r="H317" s="3"/>
      <c r="I317" s="3" t="str">
        <f aca="false">IFERROR(__xludf.dummyfunction("if($T317&lt;&gt;"""",REGEXEXTRACT(SUBSTITUTE ($T317,I$1&amp;"" CE"",""""), I$1&amp;""[\w &amp;]*, (\d+\.\d+)""),"""")
"),"")</f>
        <v/>
      </c>
      <c r="J317" s="3" t="str">
        <f aca="false">IFERROR(__xludf.dummyfunction("if($T317&lt;&gt;"""",REGEXEXTRACT($T317, J$1&amp;""[\w &amp;]*, (\d+\.\d+)""),"""")
"),"")</f>
        <v/>
      </c>
      <c r="K317" s="3"/>
      <c r="L317" s="3" t="str">
        <f aca="false">IFERROR(__xludf.dummyfunction("if($T317&lt;&gt;"""",REGEXEXTRACT(SUBSTITUTE ($T317,L$1&amp;"" CE"",""""), L$1&amp;""[\w &amp;]*, (\d+\.\d+)""),"""")
"),"")</f>
        <v/>
      </c>
      <c r="M317" s="3" t="str">
        <f aca="false">IFERROR(__xludf.dummyfunction("if($T317&lt;&gt;"""",REGEXEXTRACT($T317, M$1&amp;""[\w &amp;]*, (\d+\.\d+)""),"""")
"),"")</f>
        <v/>
      </c>
      <c r="N317" s="3" t="str">
        <f aca="false">IFERROR(__xludf.dummyfunction("if($T317&lt;&gt;"""",REGEXEXTRACT(SUBSTITUTE ($T317,N$1&amp;"" CE"",""""), N$1&amp;""[\w &amp;]*, (\d+\.\d+)""),"""")
"),"")</f>
        <v/>
      </c>
      <c r="O317" s="3" t="str">
        <f aca="false">IFERROR(__xludf.dummyfunction("if($T317&lt;&gt;"""",REGEXEXTRACT($T317, O$1&amp;""[\w &amp;]*, (\d+\.\d+)""),"""")
"),"")</f>
        <v/>
      </c>
      <c r="P317" s="2"/>
      <c r="Q317" s="2"/>
      <c r="R317" s="2"/>
      <c r="S317" s="2"/>
      <c r="T317" s="5"/>
    </row>
    <row r="318" customFormat="false" ht="15.75" hidden="false" customHeight="false" outlineLevel="0" collapsed="false">
      <c r="A318" s="4"/>
      <c r="B318" s="2"/>
      <c r="C318" s="2"/>
      <c r="D318" s="2"/>
      <c r="E318" s="2"/>
      <c r="F318" s="3" t="str">
        <f aca="false">IFERROR(__xludf.dummyfunction("if($T318&lt;&gt;"""",REGEXEXTRACT(SUBSTITUTE ($T318,F$1&amp;"" CE"",""""), F$1&amp;""[\w &amp;]*, (\d+\.\d+)""),"""")
"),"")</f>
        <v/>
      </c>
      <c r="G318" s="3" t="str">
        <f aca="false">IFERROR(__xludf.dummyfunction("if($T318&lt;&gt;"""",REGEXEXTRACT($T318, G$1&amp;""[\w &amp;]*, (\d+\.\d+)""),"""")
"),"")</f>
        <v/>
      </c>
      <c r="H318" s="3"/>
      <c r="I318" s="3" t="str">
        <f aca="false">IFERROR(__xludf.dummyfunction("if($T318&lt;&gt;"""",REGEXEXTRACT(SUBSTITUTE ($T318,I$1&amp;"" CE"",""""), I$1&amp;""[\w &amp;]*, (\d+\.\d+)""),"""")
"),"")</f>
        <v/>
      </c>
      <c r="J318" s="3" t="str">
        <f aca="false">IFERROR(__xludf.dummyfunction("if($T318&lt;&gt;"""",REGEXEXTRACT($T318, J$1&amp;""[\w &amp;]*, (\d+\.\d+)""),"""")
"),"")</f>
        <v/>
      </c>
      <c r="K318" s="3"/>
      <c r="L318" s="3" t="str">
        <f aca="false">IFERROR(__xludf.dummyfunction("if($T318&lt;&gt;"""",REGEXEXTRACT(SUBSTITUTE ($T318,L$1&amp;"" CE"",""""), L$1&amp;""[\w &amp;]*, (\d+\.\d+)""),"""")
"),"")</f>
        <v/>
      </c>
      <c r="M318" s="3" t="str">
        <f aca="false">IFERROR(__xludf.dummyfunction("if($T318&lt;&gt;"""",REGEXEXTRACT($T318, M$1&amp;""[\w &amp;]*, (\d+\.\d+)""),"""")
"),"")</f>
        <v/>
      </c>
      <c r="N318" s="3" t="str">
        <f aca="false">IFERROR(__xludf.dummyfunction("if($T318&lt;&gt;"""",REGEXEXTRACT(SUBSTITUTE ($T318,N$1&amp;"" CE"",""""), N$1&amp;""[\w &amp;]*, (\d+\.\d+)""),"""")
"),"")</f>
        <v/>
      </c>
      <c r="O318" s="3" t="str">
        <f aca="false">IFERROR(__xludf.dummyfunction("if($T318&lt;&gt;"""",REGEXEXTRACT($T318, O$1&amp;""[\w &amp;]*, (\d+\.\d+)""),"""")
"),"")</f>
        <v/>
      </c>
      <c r="P318" s="2"/>
      <c r="Q318" s="2"/>
      <c r="R318" s="2"/>
      <c r="S318" s="2"/>
      <c r="T318" s="5"/>
    </row>
    <row r="319" customFormat="false" ht="15.75" hidden="false" customHeight="false" outlineLevel="0" collapsed="false">
      <c r="A319" s="4"/>
      <c r="B319" s="2"/>
      <c r="C319" s="2"/>
      <c r="D319" s="2"/>
      <c r="E319" s="2"/>
      <c r="F319" s="3" t="str">
        <f aca="false">IFERROR(__xludf.dummyfunction("if($T319&lt;&gt;"""",REGEXEXTRACT(SUBSTITUTE ($T319,F$1&amp;"" CE"",""""), F$1&amp;""[\w &amp;]*, (\d+\.\d+)""),"""")
"),"")</f>
        <v/>
      </c>
      <c r="G319" s="3" t="str">
        <f aca="false">IFERROR(__xludf.dummyfunction("if($T319&lt;&gt;"""",REGEXEXTRACT($T319, G$1&amp;""[\w &amp;]*, (\d+\.\d+)""),"""")
"),"")</f>
        <v/>
      </c>
      <c r="H319" s="3"/>
      <c r="I319" s="3" t="str">
        <f aca="false">IFERROR(__xludf.dummyfunction("if($T319&lt;&gt;"""",REGEXEXTRACT(SUBSTITUTE ($T319,I$1&amp;"" CE"",""""), I$1&amp;""[\w &amp;]*, (\d+\.\d+)""),"""")
"),"")</f>
        <v/>
      </c>
      <c r="J319" s="3" t="str">
        <f aca="false">IFERROR(__xludf.dummyfunction("if($T319&lt;&gt;"""",REGEXEXTRACT($T319, J$1&amp;""[\w &amp;]*, (\d+\.\d+)""),"""")
"),"")</f>
        <v/>
      </c>
      <c r="K319" s="3"/>
      <c r="L319" s="3" t="str">
        <f aca="false">IFERROR(__xludf.dummyfunction("if($T319&lt;&gt;"""",REGEXEXTRACT(SUBSTITUTE ($T319,L$1&amp;"" CE"",""""), L$1&amp;""[\w &amp;]*, (\d+\.\d+)""),"""")
"),"")</f>
        <v/>
      </c>
      <c r="M319" s="3" t="str">
        <f aca="false">IFERROR(__xludf.dummyfunction("if($T319&lt;&gt;"""",REGEXEXTRACT($T319, M$1&amp;""[\w &amp;]*, (\d+\.\d+)""),"""")
"),"")</f>
        <v/>
      </c>
      <c r="N319" s="3" t="str">
        <f aca="false">IFERROR(__xludf.dummyfunction("if($T319&lt;&gt;"""",REGEXEXTRACT(SUBSTITUTE ($T319,N$1&amp;"" CE"",""""), N$1&amp;""[\w &amp;]*, (\d+\.\d+)""),"""")
"),"")</f>
        <v/>
      </c>
      <c r="O319" s="3" t="str">
        <f aca="false">IFERROR(__xludf.dummyfunction("if($T319&lt;&gt;"""",REGEXEXTRACT($T319, O$1&amp;""[\w &amp;]*, (\d+\.\d+)""),"""")
"),"")</f>
        <v/>
      </c>
      <c r="P319" s="2"/>
      <c r="Q319" s="2"/>
      <c r="R319" s="2"/>
      <c r="S319" s="2"/>
      <c r="T319" s="5"/>
    </row>
    <row r="320" customFormat="false" ht="15.75" hidden="false" customHeight="false" outlineLevel="0" collapsed="false">
      <c r="A320" s="4"/>
      <c r="B320" s="2"/>
      <c r="C320" s="2"/>
      <c r="D320" s="2"/>
      <c r="E320" s="2"/>
      <c r="F320" s="3" t="str">
        <f aca="false">IFERROR(__xludf.dummyfunction("if($T320&lt;&gt;"""",REGEXEXTRACT(SUBSTITUTE ($T320,F$1&amp;"" CE"",""""), F$1&amp;""[\w &amp;]*, (\d+\.\d+)""),"""")
"),"")</f>
        <v/>
      </c>
      <c r="G320" s="3" t="str">
        <f aca="false">IFERROR(__xludf.dummyfunction("if($T320&lt;&gt;"""",REGEXEXTRACT($T320, G$1&amp;""[\w &amp;]*, (\d+\.\d+)""),"""")
"),"")</f>
        <v/>
      </c>
      <c r="H320" s="3"/>
      <c r="I320" s="3" t="str">
        <f aca="false">IFERROR(__xludf.dummyfunction("if($T320&lt;&gt;"""",REGEXEXTRACT(SUBSTITUTE ($T320,I$1&amp;"" CE"",""""), I$1&amp;""[\w &amp;]*, (\d+\.\d+)""),"""")
"),"")</f>
        <v/>
      </c>
      <c r="J320" s="3" t="str">
        <f aca="false">IFERROR(__xludf.dummyfunction("if($T320&lt;&gt;"""",REGEXEXTRACT($T320, J$1&amp;""[\w &amp;]*, (\d+\.\d+)""),"""")
"),"")</f>
        <v/>
      </c>
      <c r="K320" s="3"/>
      <c r="L320" s="3" t="str">
        <f aca="false">IFERROR(__xludf.dummyfunction("if($T320&lt;&gt;"""",REGEXEXTRACT(SUBSTITUTE ($T320,L$1&amp;"" CE"",""""), L$1&amp;""[\w &amp;]*, (\d+\.\d+)""),"""")
"),"")</f>
        <v/>
      </c>
      <c r="M320" s="3" t="str">
        <f aca="false">IFERROR(__xludf.dummyfunction("if($T320&lt;&gt;"""",REGEXEXTRACT($T320, M$1&amp;""[\w &amp;]*, (\d+\.\d+)""),"""")
"),"")</f>
        <v/>
      </c>
      <c r="N320" s="3" t="str">
        <f aca="false">IFERROR(__xludf.dummyfunction("if($T320&lt;&gt;"""",REGEXEXTRACT(SUBSTITUTE ($T320,N$1&amp;"" CE"",""""), N$1&amp;""[\w &amp;]*, (\d+\.\d+)""),"""")
"),"")</f>
        <v/>
      </c>
      <c r="O320" s="3" t="str">
        <f aca="false">IFERROR(__xludf.dummyfunction("if($T320&lt;&gt;"""",REGEXEXTRACT($T320, O$1&amp;""[\w &amp;]*, (\d+\.\d+)""),"""")
"),"")</f>
        <v/>
      </c>
      <c r="P320" s="2"/>
      <c r="Q320" s="2"/>
      <c r="R320" s="2"/>
      <c r="S320" s="2"/>
      <c r="T320" s="5"/>
    </row>
    <row r="321" customFormat="false" ht="15.75" hidden="false" customHeight="false" outlineLevel="0" collapsed="false">
      <c r="A321" s="4"/>
      <c r="B321" s="2"/>
      <c r="C321" s="2"/>
      <c r="D321" s="2"/>
      <c r="E321" s="2"/>
      <c r="F321" s="3" t="str">
        <f aca="false">IFERROR(__xludf.dummyfunction("if($T321&lt;&gt;"""",REGEXEXTRACT(SUBSTITUTE ($T321,F$1&amp;"" CE"",""""), F$1&amp;""[\w &amp;]*, (\d+\.\d+)""),"""")
"),"")</f>
        <v/>
      </c>
      <c r="G321" s="3" t="str">
        <f aca="false">IFERROR(__xludf.dummyfunction("if($T321&lt;&gt;"""",REGEXEXTRACT($T321, G$1&amp;""[\w &amp;]*, (\d+\.\d+)""),"""")
"),"")</f>
        <v/>
      </c>
      <c r="H321" s="3"/>
      <c r="I321" s="3" t="str">
        <f aca="false">IFERROR(__xludf.dummyfunction("if($T321&lt;&gt;"""",REGEXEXTRACT(SUBSTITUTE ($T321,I$1&amp;"" CE"",""""), I$1&amp;""[\w &amp;]*, (\d+\.\d+)""),"""")
"),"")</f>
        <v/>
      </c>
      <c r="J321" s="3" t="str">
        <f aca="false">IFERROR(__xludf.dummyfunction("if($T321&lt;&gt;"""",REGEXEXTRACT($T321, J$1&amp;""[\w &amp;]*, (\d+\.\d+)""),"""")
"),"")</f>
        <v/>
      </c>
      <c r="K321" s="3"/>
      <c r="L321" s="3" t="str">
        <f aca="false">IFERROR(__xludf.dummyfunction("if($T321&lt;&gt;"""",REGEXEXTRACT(SUBSTITUTE ($T321,L$1&amp;"" CE"",""""), L$1&amp;""[\w &amp;]*, (\d+\.\d+)""),"""")
"),"")</f>
        <v/>
      </c>
      <c r="M321" s="3" t="str">
        <f aca="false">IFERROR(__xludf.dummyfunction("if($T321&lt;&gt;"""",REGEXEXTRACT($T321, M$1&amp;""[\w &amp;]*, (\d+\.\d+)""),"""")
"),"")</f>
        <v/>
      </c>
      <c r="N321" s="3" t="str">
        <f aca="false">IFERROR(__xludf.dummyfunction("if($T321&lt;&gt;"""",REGEXEXTRACT(SUBSTITUTE ($T321,N$1&amp;"" CE"",""""), N$1&amp;""[\w &amp;]*, (\d+\.\d+)""),"""")
"),"")</f>
        <v/>
      </c>
      <c r="O321" s="3" t="str">
        <f aca="false">IFERROR(__xludf.dummyfunction("if($T321&lt;&gt;"""",REGEXEXTRACT($T321, O$1&amp;""[\w &amp;]*, (\d+\.\d+)""),"""")
"),"")</f>
        <v/>
      </c>
      <c r="P321" s="2"/>
      <c r="Q321" s="2"/>
      <c r="R321" s="2"/>
      <c r="S321" s="2"/>
      <c r="T321" s="5"/>
    </row>
    <row r="322" customFormat="false" ht="15.75" hidden="false" customHeight="false" outlineLevel="0" collapsed="false">
      <c r="A322" s="4"/>
      <c r="B322" s="2"/>
      <c r="C322" s="2"/>
      <c r="D322" s="2"/>
      <c r="E322" s="2"/>
      <c r="F322" s="3" t="str">
        <f aca="false">IFERROR(__xludf.dummyfunction("if($T322&lt;&gt;"""",REGEXEXTRACT(SUBSTITUTE ($T322,F$1&amp;"" CE"",""""), F$1&amp;""[\w &amp;]*, (\d+\.\d+)""),"""")
"),"")</f>
        <v/>
      </c>
      <c r="G322" s="3" t="str">
        <f aca="false">IFERROR(__xludf.dummyfunction("if($T322&lt;&gt;"""",REGEXEXTRACT($T322, G$1&amp;""[\w &amp;]*, (\d+\.\d+)""),"""")
"),"")</f>
        <v/>
      </c>
      <c r="H322" s="3"/>
      <c r="I322" s="3" t="str">
        <f aca="false">IFERROR(__xludf.dummyfunction("if($T322&lt;&gt;"""",REGEXEXTRACT(SUBSTITUTE ($T322,I$1&amp;"" CE"",""""), I$1&amp;""[\w &amp;]*, (\d+\.\d+)""),"""")
"),"")</f>
        <v/>
      </c>
      <c r="J322" s="3" t="str">
        <f aca="false">IFERROR(__xludf.dummyfunction("if($T322&lt;&gt;"""",REGEXEXTRACT($T322, J$1&amp;""[\w &amp;]*, (\d+\.\d+)""),"""")
"),"")</f>
        <v/>
      </c>
      <c r="K322" s="3"/>
      <c r="L322" s="3" t="str">
        <f aca="false">IFERROR(__xludf.dummyfunction("if($T322&lt;&gt;"""",REGEXEXTRACT(SUBSTITUTE ($T322,L$1&amp;"" CE"",""""), L$1&amp;""[\w &amp;]*, (\d+\.\d+)""),"""")
"),"")</f>
        <v/>
      </c>
      <c r="M322" s="3" t="str">
        <f aca="false">IFERROR(__xludf.dummyfunction("if($T322&lt;&gt;"""",REGEXEXTRACT($T322, M$1&amp;""[\w &amp;]*, (\d+\.\d+)""),"""")
"),"")</f>
        <v/>
      </c>
      <c r="N322" s="3" t="str">
        <f aca="false">IFERROR(__xludf.dummyfunction("if($T322&lt;&gt;"""",REGEXEXTRACT(SUBSTITUTE ($T322,N$1&amp;"" CE"",""""), N$1&amp;""[\w &amp;]*, (\d+\.\d+)""),"""")
"),"")</f>
        <v/>
      </c>
      <c r="O322" s="3" t="str">
        <f aca="false">IFERROR(__xludf.dummyfunction("if($T322&lt;&gt;"""",REGEXEXTRACT($T322, O$1&amp;""[\w &amp;]*, (\d+\.\d+)""),"""")
"),"")</f>
        <v/>
      </c>
      <c r="P322" s="2"/>
      <c r="Q322" s="2"/>
      <c r="R322" s="2"/>
      <c r="S322" s="2"/>
      <c r="T322" s="5"/>
    </row>
    <row r="323" customFormat="false" ht="15.75" hidden="false" customHeight="false" outlineLevel="0" collapsed="false">
      <c r="A323" s="4"/>
      <c r="B323" s="2"/>
      <c r="C323" s="2"/>
      <c r="D323" s="2"/>
      <c r="E323" s="2"/>
      <c r="F323" s="3" t="str">
        <f aca="false">IFERROR(__xludf.dummyfunction("if($T323&lt;&gt;"""",REGEXEXTRACT(SUBSTITUTE ($T323,F$1&amp;"" CE"",""""), F$1&amp;""[\w &amp;]*, (\d+\.\d+)""),"""")
"),"")</f>
        <v/>
      </c>
      <c r="G323" s="3" t="str">
        <f aca="false">IFERROR(__xludf.dummyfunction("if($T323&lt;&gt;"""",REGEXEXTRACT($T323, G$1&amp;""[\w &amp;]*, (\d+\.\d+)""),"""")
"),"")</f>
        <v/>
      </c>
      <c r="H323" s="3"/>
      <c r="I323" s="3" t="str">
        <f aca="false">IFERROR(__xludf.dummyfunction("if($T323&lt;&gt;"""",REGEXEXTRACT(SUBSTITUTE ($T323,I$1&amp;"" CE"",""""), I$1&amp;""[\w &amp;]*, (\d+\.\d+)""),"""")
"),"")</f>
        <v/>
      </c>
      <c r="J323" s="3" t="str">
        <f aca="false">IFERROR(__xludf.dummyfunction("if($T323&lt;&gt;"""",REGEXEXTRACT($T323, J$1&amp;""[\w &amp;]*, (\d+\.\d+)""),"""")
"),"")</f>
        <v/>
      </c>
      <c r="K323" s="3"/>
      <c r="L323" s="3" t="str">
        <f aca="false">IFERROR(__xludf.dummyfunction("if($T323&lt;&gt;"""",REGEXEXTRACT(SUBSTITUTE ($T323,L$1&amp;"" CE"",""""), L$1&amp;""[\w &amp;]*, (\d+\.\d+)""),"""")
"),"")</f>
        <v/>
      </c>
      <c r="M323" s="3" t="str">
        <f aca="false">IFERROR(__xludf.dummyfunction("if($T323&lt;&gt;"""",REGEXEXTRACT($T323, M$1&amp;""[\w &amp;]*, (\d+\.\d+)""),"""")
"),"")</f>
        <v/>
      </c>
      <c r="N323" s="3" t="str">
        <f aca="false">IFERROR(__xludf.dummyfunction("if($T323&lt;&gt;"""",REGEXEXTRACT(SUBSTITUTE ($T323,N$1&amp;"" CE"",""""), N$1&amp;""[\w &amp;]*, (\d+\.\d+)""),"""")
"),"")</f>
        <v/>
      </c>
      <c r="O323" s="3" t="str">
        <f aca="false">IFERROR(__xludf.dummyfunction("if($T323&lt;&gt;"""",REGEXEXTRACT($T323, O$1&amp;""[\w &amp;]*, (\d+\.\d+)""),"""")
"),"")</f>
        <v/>
      </c>
      <c r="P323" s="2"/>
      <c r="Q323" s="2"/>
      <c r="R323" s="2"/>
      <c r="S323" s="2"/>
      <c r="T323" s="5"/>
    </row>
    <row r="324" customFormat="false" ht="15.75" hidden="false" customHeight="false" outlineLevel="0" collapsed="false">
      <c r="A324" s="4"/>
      <c r="B324" s="2"/>
      <c r="C324" s="2"/>
      <c r="D324" s="2"/>
      <c r="E324" s="2"/>
      <c r="F324" s="3" t="str">
        <f aca="false">IFERROR(__xludf.dummyfunction("if($T324&lt;&gt;"""",REGEXEXTRACT(SUBSTITUTE ($T324,F$1&amp;"" CE"",""""), F$1&amp;""[\w &amp;]*, (\d+\.\d+)""),"""")
"),"")</f>
        <v/>
      </c>
      <c r="G324" s="3" t="str">
        <f aca="false">IFERROR(__xludf.dummyfunction("if($T324&lt;&gt;"""",REGEXEXTRACT($T324, G$1&amp;""[\w &amp;]*, (\d+\.\d+)""),"""")
"),"")</f>
        <v/>
      </c>
      <c r="H324" s="3"/>
      <c r="I324" s="3" t="str">
        <f aca="false">IFERROR(__xludf.dummyfunction("if($T324&lt;&gt;"""",REGEXEXTRACT(SUBSTITUTE ($T324,I$1&amp;"" CE"",""""), I$1&amp;""[\w &amp;]*, (\d+\.\d+)""),"""")
"),"")</f>
        <v/>
      </c>
      <c r="J324" s="3" t="str">
        <f aca="false">IFERROR(__xludf.dummyfunction("if($T324&lt;&gt;"""",REGEXEXTRACT($T324, J$1&amp;""[\w &amp;]*, (\d+\.\d+)""),"""")
"),"")</f>
        <v/>
      </c>
      <c r="K324" s="3"/>
      <c r="L324" s="3" t="str">
        <f aca="false">IFERROR(__xludf.dummyfunction("if($T324&lt;&gt;"""",REGEXEXTRACT(SUBSTITUTE ($T324,L$1&amp;"" CE"",""""), L$1&amp;""[\w &amp;]*, (\d+\.\d+)""),"""")
"),"")</f>
        <v/>
      </c>
      <c r="M324" s="3" t="str">
        <f aca="false">IFERROR(__xludf.dummyfunction("if($T324&lt;&gt;"""",REGEXEXTRACT($T324, M$1&amp;""[\w &amp;]*, (\d+\.\d+)""),"""")
"),"")</f>
        <v/>
      </c>
      <c r="N324" s="3" t="str">
        <f aca="false">IFERROR(__xludf.dummyfunction("if($T324&lt;&gt;"""",REGEXEXTRACT(SUBSTITUTE ($T324,N$1&amp;"" CE"",""""), N$1&amp;""[\w &amp;]*, (\d+\.\d+)""),"""")
"),"")</f>
        <v/>
      </c>
      <c r="O324" s="3" t="str">
        <f aca="false">IFERROR(__xludf.dummyfunction("if($T324&lt;&gt;"""",REGEXEXTRACT($T324, O$1&amp;""[\w &amp;]*, (\d+\.\d+)""),"""")
"),"")</f>
        <v/>
      </c>
      <c r="P324" s="2"/>
      <c r="Q324" s="2"/>
      <c r="R324" s="2"/>
      <c r="S324" s="2"/>
      <c r="T324" s="5"/>
    </row>
    <row r="325" customFormat="false" ht="15.75" hidden="false" customHeight="false" outlineLevel="0" collapsed="false">
      <c r="A325" s="4"/>
      <c r="B325" s="2"/>
      <c r="C325" s="2"/>
      <c r="D325" s="2"/>
      <c r="E325" s="2"/>
      <c r="F325" s="3" t="str">
        <f aca="false">IFERROR(__xludf.dummyfunction("if($T325&lt;&gt;"""",REGEXEXTRACT(SUBSTITUTE ($T325,F$1&amp;"" CE"",""""), F$1&amp;""[\w &amp;]*, (\d+\.\d+)""),"""")
"),"")</f>
        <v/>
      </c>
      <c r="G325" s="3" t="str">
        <f aca="false">IFERROR(__xludf.dummyfunction("if($T325&lt;&gt;"""",REGEXEXTRACT($T325, G$1&amp;""[\w &amp;]*, (\d+\.\d+)""),"""")
"),"")</f>
        <v/>
      </c>
      <c r="H325" s="3"/>
      <c r="I325" s="3" t="str">
        <f aca="false">IFERROR(__xludf.dummyfunction("if($T325&lt;&gt;"""",REGEXEXTRACT(SUBSTITUTE ($T325,I$1&amp;"" CE"",""""), I$1&amp;""[\w &amp;]*, (\d+\.\d+)""),"""")
"),"")</f>
        <v/>
      </c>
      <c r="J325" s="3" t="str">
        <f aca="false">IFERROR(__xludf.dummyfunction("if($T325&lt;&gt;"""",REGEXEXTRACT($T325, J$1&amp;""[\w &amp;]*, (\d+\.\d+)""),"""")
"),"")</f>
        <v/>
      </c>
      <c r="K325" s="3"/>
      <c r="L325" s="3" t="str">
        <f aca="false">IFERROR(__xludf.dummyfunction("if($T325&lt;&gt;"""",REGEXEXTRACT(SUBSTITUTE ($T325,L$1&amp;"" CE"",""""), L$1&amp;""[\w &amp;]*, (\d+\.\d+)""),"""")
"),"")</f>
        <v/>
      </c>
      <c r="M325" s="3" t="str">
        <f aca="false">IFERROR(__xludf.dummyfunction("if($T325&lt;&gt;"""",REGEXEXTRACT($T325, M$1&amp;""[\w &amp;]*, (\d+\.\d+)""),"""")
"),"")</f>
        <v/>
      </c>
      <c r="N325" s="3" t="str">
        <f aca="false">IFERROR(__xludf.dummyfunction("if($T325&lt;&gt;"""",REGEXEXTRACT(SUBSTITUTE ($T325,N$1&amp;"" CE"",""""), N$1&amp;""[\w &amp;]*, (\d+\.\d+)""),"""")
"),"")</f>
        <v/>
      </c>
      <c r="O325" s="3" t="str">
        <f aca="false">IFERROR(__xludf.dummyfunction("if($T325&lt;&gt;"""",REGEXEXTRACT($T325, O$1&amp;""[\w &amp;]*, (\d+\.\d+)""),"""")
"),"")</f>
        <v/>
      </c>
      <c r="P325" s="2"/>
      <c r="Q325" s="2"/>
      <c r="R325" s="2"/>
      <c r="S325" s="2"/>
      <c r="T325" s="5"/>
    </row>
    <row r="326" customFormat="false" ht="15.75" hidden="false" customHeight="false" outlineLevel="0" collapsed="false">
      <c r="A326" s="4"/>
      <c r="B326" s="2"/>
      <c r="C326" s="2"/>
      <c r="D326" s="2"/>
      <c r="E326" s="2"/>
      <c r="F326" s="3" t="str">
        <f aca="false">IFERROR(__xludf.dummyfunction("if($T326&lt;&gt;"""",REGEXEXTRACT(SUBSTITUTE ($T326,F$1&amp;"" CE"",""""), F$1&amp;""[\w &amp;]*, (\d+\.\d+)""),"""")
"),"")</f>
        <v/>
      </c>
      <c r="G326" s="3" t="str">
        <f aca="false">IFERROR(__xludf.dummyfunction("if($T326&lt;&gt;"""",REGEXEXTRACT($T326, G$1&amp;""[\w &amp;]*, (\d+\.\d+)""),"""")
"),"")</f>
        <v/>
      </c>
      <c r="H326" s="3"/>
      <c r="I326" s="3" t="str">
        <f aca="false">IFERROR(__xludf.dummyfunction("if($T326&lt;&gt;"""",REGEXEXTRACT(SUBSTITUTE ($T326,I$1&amp;"" CE"",""""), I$1&amp;""[\w &amp;]*, (\d+\.\d+)""),"""")
"),"")</f>
        <v/>
      </c>
      <c r="J326" s="3" t="str">
        <f aca="false">IFERROR(__xludf.dummyfunction("if($T326&lt;&gt;"""",REGEXEXTRACT($T326, J$1&amp;""[\w &amp;]*, (\d+\.\d+)""),"""")
"),"")</f>
        <v/>
      </c>
      <c r="K326" s="3"/>
      <c r="L326" s="3" t="str">
        <f aca="false">IFERROR(__xludf.dummyfunction("if($T326&lt;&gt;"""",REGEXEXTRACT(SUBSTITUTE ($T326,L$1&amp;"" CE"",""""), L$1&amp;""[\w &amp;]*, (\d+\.\d+)""),"""")
"),"")</f>
        <v/>
      </c>
      <c r="M326" s="3" t="str">
        <f aca="false">IFERROR(__xludf.dummyfunction("if($T326&lt;&gt;"""",REGEXEXTRACT($T326, M$1&amp;""[\w &amp;]*, (\d+\.\d+)""),"""")
"),"")</f>
        <v/>
      </c>
      <c r="N326" s="3" t="str">
        <f aca="false">IFERROR(__xludf.dummyfunction("if($T326&lt;&gt;"""",REGEXEXTRACT(SUBSTITUTE ($T326,N$1&amp;"" CE"",""""), N$1&amp;""[\w &amp;]*, (\d+\.\d+)""),"""")
"),"")</f>
        <v/>
      </c>
      <c r="O326" s="3" t="str">
        <f aca="false">IFERROR(__xludf.dummyfunction("if($T326&lt;&gt;"""",REGEXEXTRACT($T326, O$1&amp;""[\w &amp;]*, (\d+\.\d+)""),"""")
"),"")</f>
        <v/>
      </c>
      <c r="P326" s="2"/>
      <c r="Q326" s="2"/>
      <c r="R326" s="2"/>
      <c r="S326" s="2"/>
      <c r="T326" s="5"/>
    </row>
    <row r="327" customFormat="false" ht="15.75" hidden="false" customHeight="false" outlineLevel="0" collapsed="false">
      <c r="A327" s="4"/>
      <c r="B327" s="2"/>
      <c r="C327" s="2"/>
      <c r="D327" s="2"/>
      <c r="E327" s="2"/>
      <c r="F327" s="3" t="str">
        <f aca="false">IFERROR(__xludf.dummyfunction("if($T327&lt;&gt;"""",REGEXEXTRACT(SUBSTITUTE ($T327,F$1&amp;"" CE"",""""), F$1&amp;""[\w &amp;]*, (\d+\.\d+)""),"""")
"),"")</f>
        <v/>
      </c>
      <c r="G327" s="3" t="str">
        <f aca="false">IFERROR(__xludf.dummyfunction("if($T327&lt;&gt;"""",REGEXEXTRACT($T327, G$1&amp;""[\w &amp;]*, (\d+\.\d+)""),"""")
"),"")</f>
        <v/>
      </c>
      <c r="H327" s="3"/>
      <c r="I327" s="3" t="str">
        <f aca="false">IFERROR(__xludf.dummyfunction("if($T327&lt;&gt;"""",REGEXEXTRACT(SUBSTITUTE ($T327,I$1&amp;"" CE"",""""), I$1&amp;""[\w &amp;]*, (\d+\.\d+)""),"""")
"),"")</f>
        <v/>
      </c>
      <c r="J327" s="3" t="str">
        <f aca="false">IFERROR(__xludf.dummyfunction("if($T327&lt;&gt;"""",REGEXEXTRACT($T327, J$1&amp;""[\w &amp;]*, (\d+\.\d+)""),"""")
"),"")</f>
        <v/>
      </c>
      <c r="K327" s="3"/>
      <c r="L327" s="3" t="str">
        <f aca="false">IFERROR(__xludf.dummyfunction("if($T327&lt;&gt;"""",REGEXEXTRACT(SUBSTITUTE ($T327,L$1&amp;"" CE"",""""), L$1&amp;""[\w &amp;]*, (\d+\.\d+)""),"""")
"),"")</f>
        <v/>
      </c>
      <c r="M327" s="3" t="str">
        <f aca="false">IFERROR(__xludf.dummyfunction("if($T327&lt;&gt;"""",REGEXEXTRACT($T327, M$1&amp;""[\w &amp;]*, (\d+\.\d+)""),"""")
"),"")</f>
        <v/>
      </c>
      <c r="N327" s="3" t="str">
        <f aca="false">IFERROR(__xludf.dummyfunction("if($T327&lt;&gt;"""",REGEXEXTRACT(SUBSTITUTE ($T327,N$1&amp;"" CE"",""""), N$1&amp;""[\w &amp;]*, (\d+\.\d+)""),"""")
"),"")</f>
        <v/>
      </c>
      <c r="O327" s="3" t="str">
        <f aca="false">IFERROR(__xludf.dummyfunction("if($T327&lt;&gt;"""",REGEXEXTRACT($T327, O$1&amp;""[\w &amp;]*, (\d+\.\d+)""),"""")
"),"")</f>
        <v/>
      </c>
      <c r="P327" s="2"/>
      <c r="Q327" s="2"/>
      <c r="R327" s="2"/>
      <c r="S327" s="2"/>
      <c r="T327" s="5"/>
    </row>
    <row r="328" customFormat="false" ht="15.75" hidden="false" customHeight="false" outlineLevel="0" collapsed="false">
      <c r="A328" s="4"/>
      <c r="B328" s="2"/>
      <c r="C328" s="2"/>
      <c r="D328" s="2"/>
      <c r="E328" s="2"/>
      <c r="F328" s="3" t="str">
        <f aca="false">IFERROR(__xludf.dummyfunction("if($T328&lt;&gt;"""",REGEXEXTRACT(SUBSTITUTE ($T328,F$1&amp;"" CE"",""""), F$1&amp;""[\w &amp;]*, (\d+\.\d+)""),"""")
"),"")</f>
        <v/>
      </c>
      <c r="G328" s="3" t="str">
        <f aca="false">IFERROR(__xludf.dummyfunction("if($T328&lt;&gt;"""",REGEXEXTRACT($T328, G$1&amp;""[\w &amp;]*, (\d+\.\d+)""),"""")
"),"")</f>
        <v/>
      </c>
      <c r="H328" s="3"/>
      <c r="I328" s="3" t="str">
        <f aca="false">IFERROR(__xludf.dummyfunction("if($T328&lt;&gt;"""",REGEXEXTRACT(SUBSTITUTE ($T328,I$1&amp;"" CE"",""""), I$1&amp;""[\w &amp;]*, (\d+\.\d+)""),"""")
"),"")</f>
        <v/>
      </c>
      <c r="J328" s="3" t="str">
        <f aca="false">IFERROR(__xludf.dummyfunction("if($T328&lt;&gt;"""",REGEXEXTRACT($T328, J$1&amp;""[\w &amp;]*, (\d+\.\d+)""),"""")
"),"")</f>
        <v/>
      </c>
      <c r="K328" s="3"/>
      <c r="L328" s="3" t="str">
        <f aca="false">IFERROR(__xludf.dummyfunction("if($T328&lt;&gt;"""",REGEXEXTRACT(SUBSTITUTE ($T328,L$1&amp;"" CE"",""""), L$1&amp;""[\w &amp;]*, (\d+\.\d+)""),"""")
"),"")</f>
        <v/>
      </c>
      <c r="M328" s="3" t="str">
        <f aca="false">IFERROR(__xludf.dummyfunction("if($T328&lt;&gt;"""",REGEXEXTRACT($T328, M$1&amp;""[\w &amp;]*, (\d+\.\d+)""),"""")
"),"")</f>
        <v/>
      </c>
      <c r="N328" s="3" t="str">
        <f aca="false">IFERROR(__xludf.dummyfunction("if($T328&lt;&gt;"""",REGEXEXTRACT(SUBSTITUTE ($T328,N$1&amp;"" CE"",""""), N$1&amp;""[\w &amp;]*, (\d+\.\d+)""),"""")
"),"")</f>
        <v/>
      </c>
      <c r="O328" s="3" t="str">
        <f aca="false">IFERROR(__xludf.dummyfunction("if($T328&lt;&gt;"""",REGEXEXTRACT($T328, O$1&amp;""[\w &amp;]*, (\d+\.\d+)""),"""")
"),"")</f>
        <v/>
      </c>
      <c r="P328" s="2"/>
      <c r="Q328" s="2"/>
      <c r="R328" s="2"/>
      <c r="S328" s="2"/>
      <c r="T328" s="5"/>
    </row>
    <row r="329" customFormat="false" ht="15.75" hidden="false" customHeight="false" outlineLevel="0" collapsed="false">
      <c r="A329" s="4"/>
      <c r="B329" s="2"/>
      <c r="C329" s="2"/>
      <c r="D329" s="2"/>
      <c r="E329" s="2"/>
      <c r="F329" s="3" t="str">
        <f aca="false">IFERROR(__xludf.dummyfunction("if($T329&lt;&gt;"""",REGEXEXTRACT(SUBSTITUTE ($T329,F$1&amp;"" CE"",""""), F$1&amp;""[\w &amp;]*, (\d+\.\d+)""),"""")
"),"")</f>
        <v/>
      </c>
      <c r="G329" s="3" t="str">
        <f aca="false">IFERROR(__xludf.dummyfunction("if($T329&lt;&gt;"""",REGEXEXTRACT($T329, G$1&amp;""[\w &amp;]*, (\d+\.\d+)""),"""")
"),"")</f>
        <v/>
      </c>
      <c r="H329" s="3"/>
      <c r="I329" s="3" t="str">
        <f aca="false">IFERROR(__xludf.dummyfunction("if($T329&lt;&gt;"""",REGEXEXTRACT(SUBSTITUTE ($T329,I$1&amp;"" CE"",""""), I$1&amp;""[\w &amp;]*, (\d+\.\d+)""),"""")
"),"")</f>
        <v/>
      </c>
      <c r="J329" s="3" t="str">
        <f aca="false">IFERROR(__xludf.dummyfunction("if($T329&lt;&gt;"""",REGEXEXTRACT($T329, J$1&amp;""[\w &amp;]*, (\d+\.\d+)""),"""")
"),"")</f>
        <v/>
      </c>
      <c r="K329" s="3"/>
      <c r="L329" s="3" t="str">
        <f aca="false">IFERROR(__xludf.dummyfunction("if($T329&lt;&gt;"""",REGEXEXTRACT(SUBSTITUTE ($T329,L$1&amp;"" CE"",""""), L$1&amp;""[\w &amp;]*, (\d+\.\d+)""),"""")
"),"")</f>
        <v/>
      </c>
      <c r="M329" s="3" t="str">
        <f aca="false">IFERROR(__xludf.dummyfunction("if($T329&lt;&gt;"""",REGEXEXTRACT($T329, M$1&amp;""[\w &amp;]*, (\d+\.\d+)""),"""")
"),"")</f>
        <v/>
      </c>
      <c r="N329" s="3" t="str">
        <f aca="false">IFERROR(__xludf.dummyfunction("if($T329&lt;&gt;"""",REGEXEXTRACT(SUBSTITUTE ($T329,N$1&amp;"" CE"",""""), N$1&amp;""[\w &amp;]*, (\d+\.\d+)""),"""")
"),"")</f>
        <v/>
      </c>
      <c r="O329" s="3" t="str">
        <f aca="false">IFERROR(__xludf.dummyfunction("if($T329&lt;&gt;"""",REGEXEXTRACT($T329, O$1&amp;""[\w &amp;]*, (\d+\.\d+)""),"""")
"),"")</f>
        <v/>
      </c>
      <c r="P329" s="2"/>
      <c r="Q329" s="2"/>
      <c r="R329" s="2"/>
      <c r="S329" s="2"/>
      <c r="T329" s="5"/>
    </row>
    <row r="330" customFormat="false" ht="15.75" hidden="false" customHeight="false" outlineLevel="0" collapsed="false">
      <c r="A330" s="4"/>
      <c r="B330" s="2"/>
      <c r="C330" s="2"/>
      <c r="D330" s="2"/>
      <c r="E330" s="2"/>
      <c r="F330" s="3" t="str">
        <f aca="false">IFERROR(__xludf.dummyfunction("if($T330&lt;&gt;"""",REGEXEXTRACT(SUBSTITUTE ($T330,F$1&amp;"" CE"",""""), F$1&amp;""[\w &amp;]*, (\d+\.\d+)""),"""")
"),"")</f>
        <v/>
      </c>
      <c r="G330" s="3" t="str">
        <f aca="false">IFERROR(__xludf.dummyfunction("if($T330&lt;&gt;"""",REGEXEXTRACT($T330, G$1&amp;""[\w &amp;]*, (\d+\.\d+)""),"""")
"),"")</f>
        <v/>
      </c>
      <c r="H330" s="3"/>
      <c r="I330" s="3" t="str">
        <f aca="false">IFERROR(__xludf.dummyfunction("if($T330&lt;&gt;"""",REGEXEXTRACT(SUBSTITUTE ($T330,I$1&amp;"" CE"",""""), I$1&amp;""[\w &amp;]*, (\d+\.\d+)""),"""")
"),"")</f>
        <v/>
      </c>
      <c r="J330" s="3" t="str">
        <f aca="false">IFERROR(__xludf.dummyfunction("if($T330&lt;&gt;"""",REGEXEXTRACT($T330, J$1&amp;""[\w &amp;]*, (\d+\.\d+)""),"""")
"),"")</f>
        <v/>
      </c>
      <c r="K330" s="3"/>
      <c r="L330" s="3" t="str">
        <f aca="false">IFERROR(__xludf.dummyfunction("if($T330&lt;&gt;"""",REGEXEXTRACT(SUBSTITUTE ($T330,L$1&amp;"" CE"",""""), L$1&amp;""[\w &amp;]*, (\d+\.\d+)""),"""")
"),"")</f>
        <v/>
      </c>
      <c r="M330" s="3" t="str">
        <f aca="false">IFERROR(__xludf.dummyfunction("if($T330&lt;&gt;"""",REGEXEXTRACT($T330, M$1&amp;""[\w &amp;]*, (\d+\.\d+)""),"""")
"),"")</f>
        <v/>
      </c>
      <c r="N330" s="3" t="str">
        <f aca="false">IFERROR(__xludf.dummyfunction("if($T330&lt;&gt;"""",REGEXEXTRACT(SUBSTITUTE ($T330,N$1&amp;"" CE"",""""), N$1&amp;""[\w &amp;]*, (\d+\.\d+)""),"""")
"),"")</f>
        <v/>
      </c>
      <c r="O330" s="3" t="str">
        <f aca="false">IFERROR(__xludf.dummyfunction("if($T330&lt;&gt;"""",REGEXEXTRACT($T330, O$1&amp;""[\w &amp;]*, (\d+\.\d+)""),"""")
"),"")</f>
        <v/>
      </c>
      <c r="P330" s="2"/>
      <c r="Q330" s="2"/>
      <c r="R330" s="2"/>
      <c r="S330" s="2"/>
      <c r="T330" s="5"/>
    </row>
    <row r="331" customFormat="false" ht="15.75" hidden="false" customHeight="false" outlineLevel="0" collapsed="false">
      <c r="A331" s="4"/>
      <c r="B331" s="2"/>
      <c r="C331" s="2"/>
      <c r="D331" s="2"/>
      <c r="E331" s="2"/>
      <c r="F331" s="3" t="str">
        <f aca="false">IFERROR(__xludf.dummyfunction("if($T331&lt;&gt;"""",REGEXEXTRACT(SUBSTITUTE ($T331,F$1&amp;"" CE"",""""), F$1&amp;""[\w &amp;]*, (\d+\.\d+)""),"""")
"),"")</f>
        <v/>
      </c>
      <c r="G331" s="3" t="str">
        <f aca="false">IFERROR(__xludf.dummyfunction("if($T331&lt;&gt;"""",REGEXEXTRACT($T331, G$1&amp;""[\w &amp;]*, (\d+\.\d+)""),"""")
"),"")</f>
        <v/>
      </c>
      <c r="H331" s="3"/>
      <c r="I331" s="3" t="str">
        <f aca="false">IFERROR(__xludf.dummyfunction("if($T331&lt;&gt;"""",REGEXEXTRACT(SUBSTITUTE ($T331,I$1&amp;"" CE"",""""), I$1&amp;""[\w &amp;]*, (\d+\.\d+)""),"""")
"),"")</f>
        <v/>
      </c>
      <c r="J331" s="3" t="str">
        <f aca="false">IFERROR(__xludf.dummyfunction("if($T331&lt;&gt;"""",REGEXEXTRACT($T331, J$1&amp;""[\w &amp;]*, (\d+\.\d+)""),"""")
"),"")</f>
        <v/>
      </c>
      <c r="K331" s="3"/>
      <c r="L331" s="3" t="str">
        <f aca="false">IFERROR(__xludf.dummyfunction("if($T331&lt;&gt;"""",REGEXEXTRACT(SUBSTITUTE ($T331,L$1&amp;"" CE"",""""), L$1&amp;""[\w &amp;]*, (\d+\.\d+)""),"""")
"),"")</f>
        <v/>
      </c>
      <c r="M331" s="3" t="str">
        <f aca="false">IFERROR(__xludf.dummyfunction("if($T331&lt;&gt;"""",REGEXEXTRACT($T331, M$1&amp;""[\w &amp;]*, (\d+\.\d+)""),"""")
"),"")</f>
        <v/>
      </c>
      <c r="N331" s="3" t="str">
        <f aca="false">IFERROR(__xludf.dummyfunction("if($T331&lt;&gt;"""",REGEXEXTRACT(SUBSTITUTE ($T331,N$1&amp;"" CE"",""""), N$1&amp;""[\w &amp;]*, (\d+\.\d+)""),"""")
"),"")</f>
        <v/>
      </c>
      <c r="O331" s="3" t="str">
        <f aca="false">IFERROR(__xludf.dummyfunction("if($T331&lt;&gt;"""",REGEXEXTRACT($T331, O$1&amp;""[\w &amp;]*, (\d+\.\d+)""),"""")
"),"")</f>
        <v/>
      </c>
      <c r="P331" s="2"/>
      <c r="Q331" s="2"/>
      <c r="R331" s="2"/>
      <c r="S331" s="2"/>
      <c r="T331" s="5"/>
    </row>
    <row r="332" customFormat="false" ht="15.75" hidden="false" customHeight="false" outlineLevel="0" collapsed="false">
      <c r="A332" s="4"/>
      <c r="B332" s="2"/>
      <c r="C332" s="2"/>
      <c r="D332" s="2"/>
      <c r="E332" s="2"/>
      <c r="F332" s="3" t="str">
        <f aca="false">IFERROR(__xludf.dummyfunction("if($T332&lt;&gt;"""",REGEXEXTRACT(SUBSTITUTE ($T332,F$1&amp;"" CE"",""""), F$1&amp;""[\w &amp;]*, (\d+\.\d+)""),"""")
"),"")</f>
        <v/>
      </c>
      <c r="G332" s="3" t="str">
        <f aca="false">IFERROR(__xludf.dummyfunction("if($T332&lt;&gt;"""",REGEXEXTRACT($T332, G$1&amp;""[\w &amp;]*, (\d+\.\d+)""),"""")
"),"")</f>
        <v/>
      </c>
      <c r="H332" s="3"/>
      <c r="I332" s="3" t="str">
        <f aca="false">IFERROR(__xludf.dummyfunction("if($T332&lt;&gt;"""",REGEXEXTRACT(SUBSTITUTE ($T332,I$1&amp;"" CE"",""""), I$1&amp;""[\w &amp;]*, (\d+\.\d+)""),"""")
"),"")</f>
        <v/>
      </c>
      <c r="J332" s="3" t="str">
        <f aca="false">IFERROR(__xludf.dummyfunction("if($T332&lt;&gt;"""",REGEXEXTRACT($T332, J$1&amp;""[\w &amp;]*, (\d+\.\d+)""),"""")
"),"")</f>
        <v/>
      </c>
      <c r="K332" s="3"/>
      <c r="L332" s="3" t="str">
        <f aca="false">IFERROR(__xludf.dummyfunction("if($T332&lt;&gt;"""",REGEXEXTRACT(SUBSTITUTE ($T332,L$1&amp;"" CE"",""""), L$1&amp;""[\w &amp;]*, (\d+\.\d+)""),"""")
"),"")</f>
        <v/>
      </c>
      <c r="M332" s="3" t="str">
        <f aca="false">IFERROR(__xludf.dummyfunction("if($T332&lt;&gt;"""",REGEXEXTRACT($T332, M$1&amp;""[\w &amp;]*, (\d+\.\d+)""),"""")
"),"")</f>
        <v/>
      </c>
      <c r="N332" s="3" t="str">
        <f aca="false">IFERROR(__xludf.dummyfunction("if($T332&lt;&gt;"""",REGEXEXTRACT(SUBSTITUTE ($T332,N$1&amp;"" CE"",""""), N$1&amp;""[\w &amp;]*, (\d+\.\d+)""),"""")
"),"")</f>
        <v/>
      </c>
      <c r="O332" s="3" t="str">
        <f aca="false">IFERROR(__xludf.dummyfunction("if($T332&lt;&gt;"""",REGEXEXTRACT($T332, O$1&amp;""[\w &amp;]*, (\d+\.\d+)""),"""")
"),"")</f>
        <v/>
      </c>
      <c r="P332" s="2"/>
      <c r="Q332" s="2"/>
      <c r="R332" s="2"/>
      <c r="S332" s="2"/>
      <c r="T332" s="5"/>
    </row>
    <row r="333" customFormat="false" ht="15.75" hidden="false" customHeight="false" outlineLevel="0" collapsed="false">
      <c r="A333" s="4"/>
      <c r="B333" s="2"/>
      <c r="C333" s="2"/>
      <c r="D333" s="2"/>
      <c r="E333" s="2"/>
      <c r="F333" s="3" t="str">
        <f aca="false">IFERROR(__xludf.dummyfunction("if($T333&lt;&gt;"""",REGEXEXTRACT(SUBSTITUTE ($T333,F$1&amp;"" CE"",""""), F$1&amp;""[\w &amp;]*, (\d+\.\d+)""),"""")
"),"")</f>
        <v/>
      </c>
      <c r="G333" s="3" t="str">
        <f aca="false">IFERROR(__xludf.dummyfunction("if($T333&lt;&gt;"""",REGEXEXTRACT($T333, G$1&amp;""[\w &amp;]*, (\d+\.\d+)""),"""")
"),"")</f>
        <v/>
      </c>
      <c r="H333" s="3"/>
      <c r="I333" s="3" t="str">
        <f aca="false">IFERROR(__xludf.dummyfunction("if($T333&lt;&gt;"""",REGEXEXTRACT(SUBSTITUTE ($T333,I$1&amp;"" CE"",""""), I$1&amp;""[\w &amp;]*, (\d+\.\d+)""),"""")
"),"")</f>
        <v/>
      </c>
      <c r="J333" s="3" t="str">
        <f aca="false">IFERROR(__xludf.dummyfunction("if($T333&lt;&gt;"""",REGEXEXTRACT($T333, J$1&amp;""[\w &amp;]*, (\d+\.\d+)""),"""")
"),"")</f>
        <v/>
      </c>
      <c r="K333" s="3"/>
      <c r="L333" s="3" t="str">
        <f aca="false">IFERROR(__xludf.dummyfunction("if($T333&lt;&gt;"""",REGEXEXTRACT(SUBSTITUTE ($T333,L$1&amp;"" CE"",""""), L$1&amp;""[\w &amp;]*, (\d+\.\d+)""),"""")
"),"")</f>
        <v/>
      </c>
      <c r="M333" s="3" t="str">
        <f aca="false">IFERROR(__xludf.dummyfunction("if($T333&lt;&gt;"""",REGEXEXTRACT($T333, M$1&amp;""[\w &amp;]*, (\d+\.\d+)""),"""")
"),"")</f>
        <v/>
      </c>
      <c r="N333" s="3" t="str">
        <f aca="false">IFERROR(__xludf.dummyfunction("if($T333&lt;&gt;"""",REGEXEXTRACT(SUBSTITUTE ($T333,N$1&amp;"" CE"",""""), N$1&amp;""[\w &amp;]*, (\d+\.\d+)""),"""")
"),"")</f>
        <v/>
      </c>
      <c r="O333" s="3" t="str">
        <f aca="false">IFERROR(__xludf.dummyfunction("if($T333&lt;&gt;"""",REGEXEXTRACT($T333, O$1&amp;""[\w &amp;]*, (\d+\.\d+)""),"""")
"),"")</f>
        <v/>
      </c>
      <c r="P333" s="2"/>
      <c r="Q333" s="2"/>
      <c r="R333" s="2"/>
      <c r="S333" s="2"/>
      <c r="T333" s="5"/>
    </row>
    <row r="334" customFormat="false" ht="15.75" hidden="false" customHeight="false" outlineLevel="0" collapsed="false">
      <c r="A334" s="4"/>
      <c r="B334" s="2"/>
      <c r="C334" s="2"/>
      <c r="D334" s="2"/>
      <c r="E334" s="2"/>
      <c r="F334" s="3" t="str">
        <f aca="false">IFERROR(__xludf.dummyfunction("if($T334&lt;&gt;"""",REGEXEXTRACT(SUBSTITUTE ($T334,F$1&amp;"" CE"",""""), F$1&amp;""[\w &amp;]*, (\d+\.\d+)""),"""")
"),"")</f>
        <v/>
      </c>
      <c r="G334" s="3" t="str">
        <f aca="false">IFERROR(__xludf.dummyfunction("if($T334&lt;&gt;"""",REGEXEXTRACT($T334, G$1&amp;""[\w &amp;]*, (\d+\.\d+)""),"""")
"),"")</f>
        <v/>
      </c>
      <c r="H334" s="3"/>
      <c r="I334" s="3" t="str">
        <f aca="false">IFERROR(__xludf.dummyfunction("if($T334&lt;&gt;"""",REGEXEXTRACT(SUBSTITUTE ($T334,I$1&amp;"" CE"",""""), I$1&amp;""[\w &amp;]*, (\d+\.\d+)""),"""")
"),"")</f>
        <v/>
      </c>
      <c r="J334" s="3" t="str">
        <f aca="false">IFERROR(__xludf.dummyfunction("if($T334&lt;&gt;"""",REGEXEXTRACT($T334, J$1&amp;""[\w &amp;]*, (\d+\.\d+)""),"""")
"),"")</f>
        <v/>
      </c>
      <c r="K334" s="3"/>
      <c r="L334" s="3" t="str">
        <f aca="false">IFERROR(__xludf.dummyfunction("if($T334&lt;&gt;"""",REGEXEXTRACT(SUBSTITUTE ($T334,L$1&amp;"" CE"",""""), L$1&amp;""[\w &amp;]*, (\d+\.\d+)""),"""")
"),"")</f>
        <v/>
      </c>
      <c r="M334" s="3" t="str">
        <f aca="false">IFERROR(__xludf.dummyfunction("if($T334&lt;&gt;"""",REGEXEXTRACT($T334, M$1&amp;""[\w &amp;]*, (\d+\.\d+)""),"""")
"),"")</f>
        <v/>
      </c>
      <c r="N334" s="3" t="str">
        <f aca="false">IFERROR(__xludf.dummyfunction("if($T334&lt;&gt;"""",REGEXEXTRACT(SUBSTITUTE ($T334,N$1&amp;"" CE"",""""), N$1&amp;""[\w &amp;]*, (\d+\.\d+)""),"""")
"),"")</f>
        <v/>
      </c>
      <c r="O334" s="3" t="str">
        <f aca="false">IFERROR(__xludf.dummyfunction("if($T334&lt;&gt;"""",REGEXEXTRACT($T334, O$1&amp;""[\w &amp;]*, (\d+\.\d+)""),"""")
"),"")</f>
        <v/>
      </c>
      <c r="P334" s="2"/>
      <c r="Q334" s="2"/>
      <c r="R334" s="2"/>
      <c r="S334" s="2"/>
      <c r="T334" s="5"/>
    </row>
    <row r="335" customFormat="false" ht="15.75" hidden="false" customHeight="false" outlineLevel="0" collapsed="false">
      <c r="A335" s="4"/>
      <c r="B335" s="2"/>
      <c r="C335" s="2"/>
      <c r="D335" s="2"/>
      <c r="E335" s="2"/>
      <c r="F335" s="3" t="str">
        <f aca="false">IFERROR(__xludf.dummyfunction("if($T335&lt;&gt;"""",REGEXEXTRACT(SUBSTITUTE ($T335,F$1&amp;"" CE"",""""), F$1&amp;""[\w &amp;]*, (\d+\.\d+)""),"""")
"),"")</f>
        <v/>
      </c>
      <c r="G335" s="3" t="str">
        <f aca="false">IFERROR(__xludf.dummyfunction("if($T335&lt;&gt;"""",REGEXEXTRACT($T335, G$1&amp;""[\w &amp;]*, (\d+\.\d+)""),"""")
"),"")</f>
        <v/>
      </c>
      <c r="H335" s="3"/>
      <c r="I335" s="3" t="str">
        <f aca="false">IFERROR(__xludf.dummyfunction("if($T335&lt;&gt;"""",REGEXEXTRACT(SUBSTITUTE ($T335,I$1&amp;"" CE"",""""), I$1&amp;""[\w &amp;]*, (\d+\.\d+)""),"""")
"),"")</f>
        <v/>
      </c>
      <c r="J335" s="3" t="str">
        <f aca="false">IFERROR(__xludf.dummyfunction("if($T335&lt;&gt;"""",REGEXEXTRACT($T335, J$1&amp;""[\w &amp;]*, (\d+\.\d+)""),"""")
"),"")</f>
        <v/>
      </c>
      <c r="K335" s="3"/>
      <c r="L335" s="3" t="str">
        <f aca="false">IFERROR(__xludf.dummyfunction("if($T335&lt;&gt;"""",REGEXEXTRACT(SUBSTITUTE ($T335,L$1&amp;"" CE"",""""), L$1&amp;""[\w &amp;]*, (\d+\.\d+)""),"""")
"),"")</f>
        <v/>
      </c>
      <c r="M335" s="3" t="str">
        <f aca="false">IFERROR(__xludf.dummyfunction("if($T335&lt;&gt;"""",REGEXEXTRACT($T335, M$1&amp;""[\w &amp;]*, (\d+\.\d+)""),"""")
"),"")</f>
        <v/>
      </c>
      <c r="N335" s="3" t="str">
        <f aca="false">IFERROR(__xludf.dummyfunction("if($T335&lt;&gt;"""",REGEXEXTRACT(SUBSTITUTE ($T335,N$1&amp;"" CE"",""""), N$1&amp;""[\w &amp;]*, (\d+\.\d+)""),"""")
"),"")</f>
        <v/>
      </c>
      <c r="O335" s="3" t="str">
        <f aca="false">IFERROR(__xludf.dummyfunction("if($T335&lt;&gt;"""",REGEXEXTRACT($T335, O$1&amp;""[\w &amp;]*, (\d+\.\d+)""),"""")
"),"")</f>
        <v/>
      </c>
      <c r="P335" s="2"/>
      <c r="Q335" s="2"/>
      <c r="R335" s="2"/>
      <c r="S335" s="2"/>
      <c r="T335" s="5"/>
    </row>
    <row r="336" customFormat="false" ht="15.75" hidden="false" customHeight="false" outlineLevel="0" collapsed="false">
      <c r="A336" s="4"/>
      <c r="B336" s="2"/>
      <c r="C336" s="2"/>
      <c r="D336" s="2"/>
      <c r="E336" s="2"/>
      <c r="F336" s="3" t="str">
        <f aca="false">IFERROR(__xludf.dummyfunction("if($T336&lt;&gt;"""",REGEXEXTRACT(SUBSTITUTE ($T336,F$1&amp;"" CE"",""""), F$1&amp;""[\w &amp;]*, (\d+\.\d+)""),"""")
"),"")</f>
        <v/>
      </c>
      <c r="G336" s="3" t="str">
        <f aca="false">IFERROR(__xludf.dummyfunction("if($T336&lt;&gt;"""",REGEXEXTRACT($T336, G$1&amp;""[\w &amp;]*, (\d+\.\d+)""),"""")
"),"")</f>
        <v/>
      </c>
      <c r="H336" s="3"/>
      <c r="I336" s="3" t="str">
        <f aca="false">IFERROR(__xludf.dummyfunction("if($T336&lt;&gt;"""",REGEXEXTRACT(SUBSTITUTE ($T336,I$1&amp;"" CE"",""""), I$1&amp;""[\w &amp;]*, (\d+\.\d+)""),"""")
"),"")</f>
        <v/>
      </c>
      <c r="J336" s="3" t="str">
        <f aca="false">IFERROR(__xludf.dummyfunction("if($T336&lt;&gt;"""",REGEXEXTRACT($T336, J$1&amp;""[\w &amp;]*, (\d+\.\d+)""),"""")
"),"")</f>
        <v/>
      </c>
      <c r="K336" s="3"/>
      <c r="L336" s="3" t="str">
        <f aca="false">IFERROR(__xludf.dummyfunction("if($T336&lt;&gt;"""",REGEXEXTRACT(SUBSTITUTE ($T336,L$1&amp;"" CE"",""""), L$1&amp;""[\w &amp;]*, (\d+\.\d+)""),"""")
"),"")</f>
        <v/>
      </c>
      <c r="M336" s="3" t="str">
        <f aca="false">IFERROR(__xludf.dummyfunction("if($T336&lt;&gt;"""",REGEXEXTRACT($T336, M$1&amp;""[\w &amp;]*, (\d+\.\d+)""),"""")
"),"")</f>
        <v/>
      </c>
      <c r="N336" s="3" t="str">
        <f aca="false">IFERROR(__xludf.dummyfunction("if($T336&lt;&gt;"""",REGEXEXTRACT(SUBSTITUTE ($T336,N$1&amp;"" CE"",""""), N$1&amp;""[\w &amp;]*, (\d+\.\d+)""),"""")
"),"")</f>
        <v/>
      </c>
      <c r="O336" s="3" t="str">
        <f aca="false">IFERROR(__xludf.dummyfunction("if($T336&lt;&gt;"""",REGEXEXTRACT($T336, O$1&amp;""[\w &amp;]*, (\d+\.\d+)""),"""")
"),"")</f>
        <v/>
      </c>
      <c r="P336" s="2"/>
      <c r="Q336" s="2"/>
      <c r="R336" s="2"/>
      <c r="S336" s="2"/>
      <c r="T336" s="5"/>
    </row>
    <row r="337" customFormat="false" ht="15.75" hidden="false" customHeight="false" outlineLevel="0" collapsed="false">
      <c r="A337" s="4"/>
      <c r="B337" s="2"/>
      <c r="C337" s="2"/>
      <c r="D337" s="2"/>
      <c r="E337" s="2"/>
      <c r="F337" s="3" t="str">
        <f aca="false">IFERROR(__xludf.dummyfunction("if($T337&lt;&gt;"""",REGEXEXTRACT(SUBSTITUTE ($T337,F$1&amp;"" CE"",""""), F$1&amp;""[\w &amp;]*, (\d+\.\d+)""),"""")
"),"")</f>
        <v/>
      </c>
      <c r="G337" s="3" t="str">
        <f aca="false">IFERROR(__xludf.dummyfunction("if($T337&lt;&gt;"""",REGEXEXTRACT($T337, G$1&amp;""[\w &amp;]*, (\d+\.\d+)""),"""")
"),"")</f>
        <v/>
      </c>
      <c r="H337" s="3"/>
      <c r="I337" s="3" t="str">
        <f aca="false">IFERROR(__xludf.dummyfunction("if($T337&lt;&gt;"""",REGEXEXTRACT(SUBSTITUTE ($T337,I$1&amp;"" CE"",""""), I$1&amp;""[\w &amp;]*, (\d+\.\d+)""),"""")
"),"")</f>
        <v/>
      </c>
      <c r="J337" s="3" t="str">
        <f aca="false">IFERROR(__xludf.dummyfunction("if($T337&lt;&gt;"""",REGEXEXTRACT($T337, J$1&amp;""[\w &amp;]*, (\d+\.\d+)""),"""")
"),"")</f>
        <v/>
      </c>
      <c r="K337" s="3"/>
      <c r="L337" s="3" t="str">
        <f aca="false">IFERROR(__xludf.dummyfunction("if($T337&lt;&gt;"""",REGEXEXTRACT(SUBSTITUTE ($T337,L$1&amp;"" CE"",""""), L$1&amp;""[\w &amp;]*, (\d+\.\d+)""),"""")
"),"")</f>
        <v/>
      </c>
      <c r="M337" s="3" t="str">
        <f aca="false">IFERROR(__xludf.dummyfunction("if($T337&lt;&gt;"""",REGEXEXTRACT($T337, M$1&amp;""[\w &amp;]*, (\d+\.\d+)""),"""")
"),"")</f>
        <v/>
      </c>
      <c r="N337" s="3" t="str">
        <f aca="false">IFERROR(__xludf.dummyfunction("if($T337&lt;&gt;"""",REGEXEXTRACT(SUBSTITUTE ($T337,N$1&amp;"" CE"",""""), N$1&amp;""[\w &amp;]*, (\d+\.\d+)""),"""")
"),"")</f>
        <v/>
      </c>
      <c r="O337" s="3" t="str">
        <f aca="false">IFERROR(__xludf.dummyfunction("if($T337&lt;&gt;"""",REGEXEXTRACT($T337, O$1&amp;""[\w &amp;]*, (\d+\.\d+)""),"""")
"),"")</f>
        <v/>
      </c>
      <c r="P337" s="2"/>
      <c r="Q337" s="2"/>
      <c r="R337" s="2"/>
      <c r="S337" s="2"/>
      <c r="T337" s="5"/>
    </row>
    <row r="338" customFormat="false" ht="15.75" hidden="false" customHeight="false" outlineLevel="0" collapsed="false">
      <c r="A338" s="4"/>
      <c r="B338" s="2"/>
      <c r="C338" s="2"/>
      <c r="D338" s="2"/>
      <c r="E338" s="2"/>
      <c r="F338" s="3" t="str">
        <f aca="false">IFERROR(__xludf.dummyfunction("if($T338&lt;&gt;"""",REGEXEXTRACT(SUBSTITUTE ($T338,F$1&amp;"" CE"",""""), F$1&amp;""[\w &amp;]*, (\d+\.\d+)""),"""")
"),"")</f>
        <v/>
      </c>
      <c r="G338" s="3" t="str">
        <f aca="false">IFERROR(__xludf.dummyfunction("if($T338&lt;&gt;"""",REGEXEXTRACT($T338, G$1&amp;""[\w &amp;]*, (\d+\.\d+)""),"""")
"),"")</f>
        <v/>
      </c>
      <c r="H338" s="3"/>
      <c r="I338" s="3" t="str">
        <f aca="false">IFERROR(__xludf.dummyfunction("if($T338&lt;&gt;"""",REGEXEXTRACT(SUBSTITUTE ($T338,I$1&amp;"" CE"",""""), I$1&amp;""[\w &amp;]*, (\d+\.\d+)""),"""")
"),"")</f>
        <v/>
      </c>
      <c r="J338" s="3" t="str">
        <f aca="false">IFERROR(__xludf.dummyfunction("if($T338&lt;&gt;"""",REGEXEXTRACT($T338, J$1&amp;""[\w &amp;]*, (\d+\.\d+)""),"""")
"),"")</f>
        <v/>
      </c>
      <c r="K338" s="3"/>
      <c r="L338" s="3" t="str">
        <f aca="false">IFERROR(__xludf.dummyfunction("if($T338&lt;&gt;"""",REGEXEXTRACT(SUBSTITUTE ($T338,L$1&amp;"" CE"",""""), L$1&amp;""[\w &amp;]*, (\d+\.\d+)""),"""")
"),"")</f>
        <v/>
      </c>
      <c r="M338" s="3" t="str">
        <f aca="false">IFERROR(__xludf.dummyfunction("if($T338&lt;&gt;"""",REGEXEXTRACT($T338, M$1&amp;""[\w &amp;]*, (\d+\.\d+)""),"""")
"),"")</f>
        <v/>
      </c>
      <c r="N338" s="3" t="str">
        <f aca="false">IFERROR(__xludf.dummyfunction("if($T338&lt;&gt;"""",REGEXEXTRACT(SUBSTITUTE ($T338,N$1&amp;"" CE"",""""), N$1&amp;""[\w &amp;]*, (\d+\.\d+)""),"""")
"),"")</f>
        <v/>
      </c>
      <c r="O338" s="3" t="str">
        <f aca="false">IFERROR(__xludf.dummyfunction("if($T338&lt;&gt;"""",REGEXEXTRACT($T338, O$1&amp;""[\w &amp;]*, (\d+\.\d+)""),"""")
"),"")</f>
        <v/>
      </c>
      <c r="P338" s="2"/>
      <c r="Q338" s="2"/>
      <c r="R338" s="2"/>
      <c r="S338" s="2"/>
      <c r="T338" s="5"/>
    </row>
    <row r="339" customFormat="false" ht="15.75" hidden="false" customHeight="false" outlineLevel="0" collapsed="false">
      <c r="A339" s="4"/>
      <c r="B339" s="2"/>
      <c r="C339" s="2"/>
      <c r="D339" s="2"/>
      <c r="E339" s="2"/>
      <c r="F339" s="3" t="str">
        <f aca="false">IFERROR(__xludf.dummyfunction("if($T339&lt;&gt;"""",REGEXEXTRACT(SUBSTITUTE ($T339,F$1&amp;"" CE"",""""), F$1&amp;""[\w &amp;]*, (\d+\.\d+)""),"""")
"),"")</f>
        <v/>
      </c>
      <c r="G339" s="3" t="str">
        <f aca="false">IFERROR(__xludf.dummyfunction("if($T339&lt;&gt;"""",REGEXEXTRACT($T339, G$1&amp;""[\w &amp;]*, (\d+\.\d+)""),"""")
"),"")</f>
        <v/>
      </c>
      <c r="H339" s="3"/>
      <c r="I339" s="3" t="str">
        <f aca="false">IFERROR(__xludf.dummyfunction("if($T339&lt;&gt;"""",REGEXEXTRACT(SUBSTITUTE ($T339,I$1&amp;"" CE"",""""), I$1&amp;""[\w &amp;]*, (\d+\.\d+)""),"""")
"),"")</f>
        <v/>
      </c>
      <c r="J339" s="3" t="str">
        <f aca="false">IFERROR(__xludf.dummyfunction("if($T339&lt;&gt;"""",REGEXEXTRACT($T339, J$1&amp;""[\w &amp;]*, (\d+\.\d+)""),"""")
"),"")</f>
        <v/>
      </c>
      <c r="K339" s="3"/>
      <c r="L339" s="3" t="str">
        <f aca="false">IFERROR(__xludf.dummyfunction("if($T339&lt;&gt;"""",REGEXEXTRACT(SUBSTITUTE ($T339,L$1&amp;"" CE"",""""), L$1&amp;""[\w &amp;]*, (\d+\.\d+)""),"""")
"),"")</f>
        <v/>
      </c>
      <c r="M339" s="3" t="str">
        <f aca="false">IFERROR(__xludf.dummyfunction("if($T339&lt;&gt;"""",REGEXEXTRACT($T339, M$1&amp;""[\w &amp;]*, (\d+\.\d+)""),"""")
"),"")</f>
        <v/>
      </c>
      <c r="N339" s="3" t="str">
        <f aca="false">IFERROR(__xludf.dummyfunction("if($T339&lt;&gt;"""",REGEXEXTRACT(SUBSTITUTE ($T339,N$1&amp;"" CE"",""""), N$1&amp;""[\w &amp;]*, (\d+\.\d+)""),"""")
"),"")</f>
        <v/>
      </c>
      <c r="O339" s="3" t="str">
        <f aca="false">IFERROR(__xludf.dummyfunction("if($T339&lt;&gt;"""",REGEXEXTRACT($T339, O$1&amp;""[\w &amp;]*, (\d+\.\d+)""),"""")
"),"")</f>
        <v/>
      </c>
      <c r="P339" s="2"/>
      <c r="Q339" s="2"/>
      <c r="R339" s="2"/>
      <c r="S339" s="2"/>
      <c r="T339" s="5"/>
    </row>
    <row r="340" customFormat="false" ht="15.75" hidden="false" customHeight="false" outlineLevel="0" collapsed="false">
      <c r="A340" s="4"/>
      <c r="B340" s="2"/>
      <c r="C340" s="2"/>
      <c r="D340" s="2"/>
      <c r="E340" s="2"/>
      <c r="F340" s="3" t="str">
        <f aca="false">IFERROR(__xludf.dummyfunction("if($T340&lt;&gt;"""",REGEXEXTRACT(SUBSTITUTE ($T340,F$1&amp;"" CE"",""""), F$1&amp;""[\w &amp;]*, (\d+\.\d+)""),"""")
"),"")</f>
        <v/>
      </c>
      <c r="G340" s="3" t="str">
        <f aca="false">IFERROR(__xludf.dummyfunction("if($T340&lt;&gt;"""",REGEXEXTRACT($T340, G$1&amp;""[\w &amp;]*, (\d+\.\d+)""),"""")
"),"")</f>
        <v/>
      </c>
      <c r="H340" s="3"/>
      <c r="I340" s="3" t="str">
        <f aca="false">IFERROR(__xludf.dummyfunction("if($T340&lt;&gt;"""",REGEXEXTRACT(SUBSTITUTE ($T340,I$1&amp;"" CE"",""""), I$1&amp;""[\w &amp;]*, (\d+\.\d+)""),"""")
"),"")</f>
        <v/>
      </c>
      <c r="J340" s="3" t="str">
        <f aca="false">IFERROR(__xludf.dummyfunction("if($T340&lt;&gt;"""",REGEXEXTRACT($T340, J$1&amp;""[\w &amp;]*, (\d+\.\d+)""),"""")
"),"")</f>
        <v/>
      </c>
      <c r="K340" s="3"/>
      <c r="L340" s="3" t="str">
        <f aca="false">IFERROR(__xludf.dummyfunction("if($T340&lt;&gt;"""",REGEXEXTRACT(SUBSTITUTE ($T340,L$1&amp;"" CE"",""""), L$1&amp;""[\w &amp;]*, (\d+\.\d+)""),"""")
"),"")</f>
        <v/>
      </c>
      <c r="M340" s="3" t="str">
        <f aca="false">IFERROR(__xludf.dummyfunction("if($T340&lt;&gt;"""",REGEXEXTRACT($T340, M$1&amp;""[\w &amp;]*, (\d+\.\d+)""),"""")
"),"")</f>
        <v/>
      </c>
      <c r="N340" s="3" t="str">
        <f aca="false">IFERROR(__xludf.dummyfunction("if($T340&lt;&gt;"""",REGEXEXTRACT(SUBSTITUTE ($T340,N$1&amp;"" CE"",""""), N$1&amp;""[\w &amp;]*, (\d+\.\d+)""),"""")
"),"")</f>
        <v/>
      </c>
      <c r="O340" s="3" t="str">
        <f aca="false">IFERROR(__xludf.dummyfunction("if($T340&lt;&gt;"""",REGEXEXTRACT($T340, O$1&amp;""[\w &amp;]*, (\d+\.\d+)""),"""")
"),"")</f>
        <v/>
      </c>
      <c r="P340" s="2"/>
      <c r="Q340" s="2"/>
      <c r="R340" s="2"/>
      <c r="S340" s="2"/>
      <c r="T340" s="5"/>
    </row>
    <row r="341" customFormat="false" ht="15.75" hidden="false" customHeight="false" outlineLevel="0" collapsed="false">
      <c r="A341" s="4"/>
      <c r="B341" s="2"/>
      <c r="C341" s="2"/>
      <c r="D341" s="2"/>
      <c r="E341" s="2"/>
      <c r="F341" s="3" t="str">
        <f aca="false">IFERROR(__xludf.dummyfunction("if($T341&lt;&gt;"""",REGEXEXTRACT(SUBSTITUTE ($T341,F$1&amp;"" CE"",""""), F$1&amp;""[\w &amp;]*, (\d+\.\d+)""),"""")
"),"")</f>
        <v/>
      </c>
      <c r="G341" s="3" t="str">
        <f aca="false">IFERROR(__xludf.dummyfunction("if($T341&lt;&gt;"""",REGEXEXTRACT($T341, G$1&amp;""[\w &amp;]*, (\d+\.\d+)""),"""")
"),"")</f>
        <v/>
      </c>
      <c r="H341" s="3"/>
      <c r="I341" s="3" t="str">
        <f aca="false">IFERROR(__xludf.dummyfunction("if($T341&lt;&gt;"""",REGEXEXTRACT(SUBSTITUTE ($T341,I$1&amp;"" CE"",""""), I$1&amp;""[\w &amp;]*, (\d+\.\d+)""),"""")
"),"")</f>
        <v/>
      </c>
      <c r="J341" s="3" t="str">
        <f aca="false">IFERROR(__xludf.dummyfunction("if($T341&lt;&gt;"""",REGEXEXTRACT($T341, J$1&amp;""[\w &amp;]*, (\d+\.\d+)""),"""")
"),"")</f>
        <v/>
      </c>
      <c r="K341" s="3"/>
      <c r="L341" s="3" t="str">
        <f aca="false">IFERROR(__xludf.dummyfunction("if($T341&lt;&gt;"""",REGEXEXTRACT(SUBSTITUTE ($T341,L$1&amp;"" CE"",""""), L$1&amp;""[\w &amp;]*, (\d+\.\d+)""),"""")
"),"")</f>
        <v/>
      </c>
      <c r="M341" s="3" t="str">
        <f aca="false">IFERROR(__xludf.dummyfunction("if($T341&lt;&gt;"""",REGEXEXTRACT($T341, M$1&amp;""[\w &amp;]*, (\d+\.\d+)""),"""")
"),"")</f>
        <v/>
      </c>
      <c r="N341" s="3" t="str">
        <f aca="false">IFERROR(__xludf.dummyfunction("if($T341&lt;&gt;"""",REGEXEXTRACT(SUBSTITUTE ($T341,N$1&amp;"" CE"",""""), N$1&amp;""[\w &amp;]*, (\d+\.\d+)""),"""")
"),"")</f>
        <v/>
      </c>
      <c r="O341" s="3" t="str">
        <f aca="false">IFERROR(__xludf.dummyfunction("if($T341&lt;&gt;"""",REGEXEXTRACT($T341, O$1&amp;""[\w &amp;]*, (\d+\.\d+)""),"""")
"),"")</f>
        <v/>
      </c>
      <c r="P341" s="2"/>
      <c r="Q341" s="2"/>
      <c r="R341" s="2"/>
      <c r="S341" s="2"/>
      <c r="T341" s="5"/>
    </row>
    <row r="342" customFormat="false" ht="15.75" hidden="false" customHeight="false" outlineLevel="0" collapsed="false">
      <c r="A342" s="4"/>
      <c r="B342" s="2"/>
      <c r="C342" s="2"/>
      <c r="D342" s="2"/>
      <c r="E342" s="2"/>
      <c r="F342" s="3" t="str">
        <f aca="false">IFERROR(__xludf.dummyfunction("if($T342&lt;&gt;"""",REGEXEXTRACT(SUBSTITUTE ($T342,F$1&amp;"" CE"",""""), F$1&amp;""[\w &amp;]*, (\d+\.\d+)""),"""")
"),"")</f>
        <v/>
      </c>
      <c r="G342" s="3" t="str">
        <f aca="false">IFERROR(__xludf.dummyfunction("if($T342&lt;&gt;"""",REGEXEXTRACT($T342, G$1&amp;""[\w &amp;]*, (\d+\.\d+)""),"""")
"),"")</f>
        <v/>
      </c>
      <c r="H342" s="3"/>
      <c r="I342" s="3" t="str">
        <f aca="false">IFERROR(__xludf.dummyfunction("if($T342&lt;&gt;"""",REGEXEXTRACT(SUBSTITUTE ($T342,I$1&amp;"" CE"",""""), I$1&amp;""[\w &amp;]*, (\d+\.\d+)""),"""")
"),"")</f>
        <v/>
      </c>
      <c r="J342" s="3" t="str">
        <f aca="false">IFERROR(__xludf.dummyfunction("if($T342&lt;&gt;"""",REGEXEXTRACT($T342, J$1&amp;""[\w &amp;]*, (\d+\.\d+)""),"""")
"),"")</f>
        <v/>
      </c>
      <c r="K342" s="3"/>
      <c r="L342" s="3" t="str">
        <f aca="false">IFERROR(__xludf.dummyfunction("if($T342&lt;&gt;"""",REGEXEXTRACT(SUBSTITUTE ($T342,L$1&amp;"" CE"",""""), L$1&amp;""[\w &amp;]*, (\d+\.\d+)""),"""")
"),"")</f>
        <v/>
      </c>
      <c r="M342" s="3" t="str">
        <f aca="false">IFERROR(__xludf.dummyfunction("if($T342&lt;&gt;"""",REGEXEXTRACT($T342, M$1&amp;""[\w &amp;]*, (\d+\.\d+)""),"""")
"),"")</f>
        <v/>
      </c>
      <c r="N342" s="3" t="str">
        <f aca="false">IFERROR(__xludf.dummyfunction("if($T342&lt;&gt;"""",REGEXEXTRACT(SUBSTITUTE ($T342,N$1&amp;"" CE"",""""), N$1&amp;""[\w &amp;]*, (\d+\.\d+)""),"""")
"),"")</f>
        <v/>
      </c>
      <c r="O342" s="3" t="str">
        <f aca="false">IFERROR(__xludf.dummyfunction("if($T342&lt;&gt;"""",REGEXEXTRACT($T342, O$1&amp;""[\w &amp;]*, (\d+\.\d+)""),"""")
"),"")</f>
        <v/>
      </c>
      <c r="P342" s="2"/>
      <c r="Q342" s="2"/>
      <c r="R342" s="2"/>
      <c r="S342" s="2"/>
      <c r="T342" s="5"/>
    </row>
    <row r="343" customFormat="false" ht="15.75" hidden="false" customHeight="false" outlineLevel="0" collapsed="false">
      <c r="A343" s="4"/>
      <c r="B343" s="2"/>
      <c r="C343" s="2"/>
      <c r="D343" s="2"/>
      <c r="E343" s="2"/>
      <c r="F343" s="3" t="str">
        <f aca="false">IFERROR(__xludf.dummyfunction("if($T343&lt;&gt;"""",REGEXEXTRACT(SUBSTITUTE ($T343,F$1&amp;"" CE"",""""), F$1&amp;""[\w &amp;]*, (\d+\.\d+)""),"""")
"),"")</f>
        <v/>
      </c>
      <c r="G343" s="3" t="str">
        <f aca="false">IFERROR(__xludf.dummyfunction("if($T343&lt;&gt;"""",REGEXEXTRACT($T343, G$1&amp;""[\w &amp;]*, (\d+\.\d+)""),"""")
"),"")</f>
        <v/>
      </c>
      <c r="H343" s="3"/>
      <c r="I343" s="3" t="str">
        <f aca="false">IFERROR(__xludf.dummyfunction("if($T343&lt;&gt;"""",REGEXEXTRACT(SUBSTITUTE ($T343,I$1&amp;"" CE"",""""), I$1&amp;""[\w &amp;]*, (\d+\.\d+)""),"""")
"),"")</f>
        <v/>
      </c>
      <c r="J343" s="3" t="str">
        <f aca="false">IFERROR(__xludf.dummyfunction("if($T343&lt;&gt;"""",REGEXEXTRACT($T343, J$1&amp;""[\w &amp;]*, (\d+\.\d+)""),"""")
"),"")</f>
        <v/>
      </c>
      <c r="K343" s="3"/>
      <c r="L343" s="3" t="str">
        <f aca="false">IFERROR(__xludf.dummyfunction("if($T343&lt;&gt;"""",REGEXEXTRACT(SUBSTITUTE ($T343,L$1&amp;"" CE"",""""), L$1&amp;""[\w &amp;]*, (\d+\.\d+)""),"""")
"),"")</f>
        <v/>
      </c>
      <c r="M343" s="3" t="str">
        <f aca="false">IFERROR(__xludf.dummyfunction("if($T343&lt;&gt;"""",REGEXEXTRACT($T343, M$1&amp;""[\w &amp;]*, (\d+\.\d+)""),"""")
"),"")</f>
        <v/>
      </c>
      <c r="N343" s="3" t="str">
        <f aca="false">IFERROR(__xludf.dummyfunction("if($T343&lt;&gt;"""",REGEXEXTRACT(SUBSTITUTE ($T343,N$1&amp;"" CE"",""""), N$1&amp;""[\w &amp;]*, (\d+\.\d+)""),"""")
"),"")</f>
        <v/>
      </c>
      <c r="O343" s="3" t="str">
        <f aca="false">IFERROR(__xludf.dummyfunction("if($T343&lt;&gt;"""",REGEXEXTRACT($T343, O$1&amp;""[\w &amp;]*, (\d+\.\d+)""),"""")
"),"")</f>
        <v/>
      </c>
      <c r="P343" s="2"/>
      <c r="Q343" s="2"/>
      <c r="R343" s="2"/>
      <c r="S343" s="2"/>
      <c r="T343" s="5"/>
    </row>
    <row r="344" customFormat="false" ht="15.75" hidden="false" customHeight="false" outlineLevel="0" collapsed="false">
      <c r="A344" s="4"/>
      <c r="B344" s="2"/>
      <c r="C344" s="2"/>
      <c r="D344" s="2"/>
      <c r="E344" s="2"/>
      <c r="F344" s="3" t="str">
        <f aca="false">IFERROR(__xludf.dummyfunction("if($T344&lt;&gt;"""",REGEXEXTRACT(SUBSTITUTE ($T344,F$1&amp;"" CE"",""""), F$1&amp;""[\w &amp;]*, (\d+\.\d+)""),"""")
"),"")</f>
        <v/>
      </c>
      <c r="G344" s="3" t="str">
        <f aca="false">IFERROR(__xludf.dummyfunction("if($T344&lt;&gt;"""",REGEXEXTRACT($T344, G$1&amp;""[\w &amp;]*, (\d+\.\d+)""),"""")
"),"")</f>
        <v/>
      </c>
      <c r="H344" s="3"/>
      <c r="I344" s="3" t="str">
        <f aca="false">IFERROR(__xludf.dummyfunction("if($T344&lt;&gt;"""",REGEXEXTRACT(SUBSTITUTE ($T344,I$1&amp;"" CE"",""""), I$1&amp;""[\w &amp;]*, (\d+\.\d+)""),"""")
"),"")</f>
        <v/>
      </c>
      <c r="J344" s="3" t="str">
        <f aca="false">IFERROR(__xludf.dummyfunction("if($T344&lt;&gt;"""",REGEXEXTRACT($T344, J$1&amp;""[\w &amp;]*, (\d+\.\d+)""),"""")
"),"")</f>
        <v/>
      </c>
      <c r="K344" s="3"/>
      <c r="L344" s="3" t="str">
        <f aca="false">IFERROR(__xludf.dummyfunction("if($T344&lt;&gt;"""",REGEXEXTRACT(SUBSTITUTE ($T344,L$1&amp;"" CE"",""""), L$1&amp;""[\w &amp;]*, (\d+\.\d+)""),"""")
"),"")</f>
        <v/>
      </c>
      <c r="M344" s="3" t="str">
        <f aca="false">IFERROR(__xludf.dummyfunction("if($T344&lt;&gt;"""",REGEXEXTRACT($T344, M$1&amp;""[\w &amp;]*, (\d+\.\d+)""),"""")
"),"")</f>
        <v/>
      </c>
      <c r="N344" s="3" t="str">
        <f aca="false">IFERROR(__xludf.dummyfunction("if($T344&lt;&gt;"""",REGEXEXTRACT(SUBSTITUTE ($T344,N$1&amp;"" CE"",""""), N$1&amp;""[\w &amp;]*, (\d+\.\d+)""),"""")
"),"")</f>
        <v/>
      </c>
      <c r="O344" s="3" t="str">
        <f aca="false">IFERROR(__xludf.dummyfunction("if($T344&lt;&gt;"""",REGEXEXTRACT($T344, O$1&amp;""[\w &amp;]*, (\d+\.\d+)""),"""")
"),"")</f>
        <v/>
      </c>
      <c r="P344" s="2"/>
      <c r="Q344" s="2"/>
      <c r="R344" s="2"/>
      <c r="S344" s="2"/>
      <c r="T344" s="5"/>
    </row>
    <row r="345" customFormat="false" ht="15.75" hidden="false" customHeight="false" outlineLevel="0" collapsed="false">
      <c r="A345" s="4"/>
      <c r="B345" s="2"/>
      <c r="C345" s="2"/>
      <c r="D345" s="2"/>
      <c r="E345" s="2"/>
      <c r="F345" s="3" t="str">
        <f aca="false">IFERROR(__xludf.dummyfunction("if($T345&lt;&gt;"""",REGEXEXTRACT(SUBSTITUTE ($T345,F$1&amp;"" CE"",""""), F$1&amp;""[\w &amp;]*, (\d+\.\d+)""),"""")
"),"")</f>
        <v/>
      </c>
      <c r="G345" s="3" t="str">
        <f aca="false">IFERROR(__xludf.dummyfunction("if($T345&lt;&gt;"""",REGEXEXTRACT($T345, G$1&amp;""[\w &amp;]*, (\d+\.\d+)""),"""")
"),"")</f>
        <v/>
      </c>
      <c r="H345" s="3"/>
      <c r="I345" s="3" t="str">
        <f aca="false">IFERROR(__xludf.dummyfunction("if($T345&lt;&gt;"""",REGEXEXTRACT(SUBSTITUTE ($T345,I$1&amp;"" CE"",""""), I$1&amp;""[\w &amp;]*, (\d+\.\d+)""),"""")
"),"")</f>
        <v/>
      </c>
      <c r="J345" s="3" t="str">
        <f aca="false">IFERROR(__xludf.dummyfunction("if($T345&lt;&gt;"""",REGEXEXTRACT($T345, J$1&amp;""[\w &amp;]*, (\d+\.\d+)""),"""")
"),"")</f>
        <v/>
      </c>
      <c r="K345" s="3"/>
      <c r="L345" s="3" t="str">
        <f aca="false">IFERROR(__xludf.dummyfunction("if($T345&lt;&gt;"""",REGEXEXTRACT(SUBSTITUTE ($T345,L$1&amp;"" CE"",""""), L$1&amp;""[\w &amp;]*, (\d+\.\d+)""),"""")
"),"")</f>
        <v/>
      </c>
      <c r="M345" s="3" t="str">
        <f aca="false">IFERROR(__xludf.dummyfunction("if($T345&lt;&gt;"""",REGEXEXTRACT($T345, M$1&amp;""[\w &amp;]*, (\d+\.\d+)""),"""")
"),"")</f>
        <v/>
      </c>
      <c r="N345" s="3" t="str">
        <f aca="false">IFERROR(__xludf.dummyfunction("if($T345&lt;&gt;"""",REGEXEXTRACT(SUBSTITUTE ($T345,N$1&amp;"" CE"",""""), N$1&amp;""[\w &amp;]*, (\d+\.\d+)""),"""")
"),"")</f>
        <v/>
      </c>
      <c r="O345" s="3" t="str">
        <f aca="false">IFERROR(__xludf.dummyfunction("if($T345&lt;&gt;"""",REGEXEXTRACT($T345, O$1&amp;""[\w &amp;]*, (\d+\.\d+)""),"""")
"),"")</f>
        <v/>
      </c>
      <c r="P345" s="2"/>
      <c r="Q345" s="2"/>
      <c r="R345" s="2"/>
      <c r="S345" s="2"/>
      <c r="T345" s="5"/>
    </row>
    <row r="346" customFormat="false" ht="15.75" hidden="false" customHeight="false" outlineLevel="0" collapsed="false">
      <c r="A346" s="4"/>
      <c r="B346" s="2"/>
      <c r="C346" s="2"/>
      <c r="D346" s="2"/>
      <c r="E346" s="2"/>
      <c r="F346" s="3" t="str">
        <f aca="false">IFERROR(__xludf.dummyfunction("if($T346&lt;&gt;"""",REGEXEXTRACT(SUBSTITUTE ($T346,F$1&amp;"" CE"",""""), F$1&amp;""[\w &amp;]*, (\d+\.\d+)""),"""")
"),"")</f>
        <v/>
      </c>
      <c r="G346" s="3" t="str">
        <f aca="false">IFERROR(__xludf.dummyfunction("if($T346&lt;&gt;"""",REGEXEXTRACT($T346, G$1&amp;""[\w &amp;]*, (\d+\.\d+)""),"""")
"),"")</f>
        <v/>
      </c>
      <c r="H346" s="3"/>
      <c r="I346" s="3" t="str">
        <f aca="false">IFERROR(__xludf.dummyfunction("if($T346&lt;&gt;"""",REGEXEXTRACT(SUBSTITUTE ($T346,I$1&amp;"" CE"",""""), I$1&amp;""[\w &amp;]*, (\d+\.\d+)""),"""")
"),"")</f>
        <v/>
      </c>
      <c r="J346" s="3" t="str">
        <f aca="false">IFERROR(__xludf.dummyfunction("if($T346&lt;&gt;"""",REGEXEXTRACT($T346, J$1&amp;""[\w &amp;]*, (\d+\.\d+)""),"""")
"),"")</f>
        <v/>
      </c>
      <c r="K346" s="3"/>
      <c r="L346" s="3" t="str">
        <f aca="false">IFERROR(__xludf.dummyfunction("if($T346&lt;&gt;"""",REGEXEXTRACT(SUBSTITUTE ($T346,L$1&amp;"" CE"",""""), L$1&amp;""[\w &amp;]*, (\d+\.\d+)""),"""")
"),"")</f>
        <v/>
      </c>
      <c r="M346" s="3" t="str">
        <f aca="false">IFERROR(__xludf.dummyfunction("if($T346&lt;&gt;"""",REGEXEXTRACT($T346, M$1&amp;""[\w &amp;]*, (\d+\.\d+)""),"""")
"),"")</f>
        <v/>
      </c>
      <c r="N346" s="3" t="str">
        <f aca="false">IFERROR(__xludf.dummyfunction("if($T346&lt;&gt;"""",REGEXEXTRACT(SUBSTITUTE ($T346,N$1&amp;"" CE"",""""), N$1&amp;""[\w &amp;]*, (\d+\.\d+)""),"""")
"),"")</f>
        <v/>
      </c>
      <c r="O346" s="3" t="str">
        <f aca="false">IFERROR(__xludf.dummyfunction("if($T346&lt;&gt;"""",REGEXEXTRACT($T346, O$1&amp;""[\w &amp;]*, (\d+\.\d+)""),"""")
"),"")</f>
        <v/>
      </c>
      <c r="P346" s="2"/>
      <c r="Q346" s="2"/>
      <c r="R346" s="2"/>
      <c r="S346" s="2"/>
      <c r="T346" s="5"/>
    </row>
    <row r="347" customFormat="false" ht="15.75" hidden="false" customHeight="false" outlineLevel="0" collapsed="false">
      <c r="A347" s="4"/>
      <c r="B347" s="2"/>
      <c r="C347" s="2"/>
      <c r="D347" s="2"/>
      <c r="E347" s="2"/>
      <c r="F347" s="3" t="str">
        <f aca="false">IFERROR(__xludf.dummyfunction("if($T347&lt;&gt;"""",REGEXEXTRACT(SUBSTITUTE ($T347,F$1&amp;"" CE"",""""), F$1&amp;""[\w &amp;]*, (\d+\.\d+)""),"""")
"),"")</f>
        <v/>
      </c>
      <c r="G347" s="3" t="str">
        <f aca="false">IFERROR(__xludf.dummyfunction("if($T347&lt;&gt;"""",REGEXEXTRACT($T347, G$1&amp;""[\w &amp;]*, (\d+\.\d+)""),"""")
"),"")</f>
        <v/>
      </c>
      <c r="H347" s="3"/>
      <c r="I347" s="3" t="str">
        <f aca="false">IFERROR(__xludf.dummyfunction("if($T347&lt;&gt;"""",REGEXEXTRACT(SUBSTITUTE ($T347,I$1&amp;"" CE"",""""), I$1&amp;""[\w &amp;]*, (\d+\.\d+)""),"""")
"),"")</f>
        <v/>
      </c>
      <c r="J347" s="3" t="str">
        <f aca="false">IFERROR(__xludf.dummyfunction("if($T347&lt;&gt;"""",REGEXEXTRACT($T347, J$1&amp;""[\w &amp;]*, (\d+\.\d+)""),"""")
"),"")</f>
        <v/>
      </c>
      <c r="K347" s="3"/>
      <c r="L347" s="3" t="str">
        <f aca="false">IFERROR(__xludf.dummyfunction("if($T347&lt;&gt;"""",REGEXEXTRACT(SUBSTITUTE ($T347,L$1&amp;"" CE"",""""), L$1&amp;""[\w &amp;]*, (\d+\.\d+)""),"""")
"),"")</f>
        <v/>
      </c>
      <c r="M347" s="3" t="str">
        <f aca="false">IFERROR(__xludf.dummyfunction("if($T347&lt;&gt;"""",REGEXEXTRACT($T347, M$1&amp;""[\w &amp;]*, (\d+\.\d+)""),"""")
"),"")</f>
        <v/>
      </c>
      <c r="N347" s="3" t="str">
        <f aca="false">IFERROR(__xludf.dummyfunction("if($T347&lt;&gt;"""",REGEXEXTRACT(SUBSTITUTE ($T347,N$1&amp;"" CE"",""""), N$1&amp;""[\w &amp;]*, (\d+\.\d+)""),"""")
"),"")</f>
        <v/>
      </c>
      <c r="O347" s="3" t="str">
        <f aca="false">IFERROR(__xludf.dummyfunction("if($T347&lt;&gt;"""",REGEXEXTRACT($T347, O$1&amp;""[\w &amp;]*, (\d+\.\d+)""),"""")
"),"")</f>
        <v/>
      </c>
      <c r="P347" s="2"/>
      <c r="Q347" s="2"/>
      <c r="R347" s="2"/>
      <c r="S347" s="2"/>
      <c r="T347" s="5"/>
    </row>
    <row r="348" customFormat="false" ht="15.75" hidden="false" customHeight="false" outlineLevel="0" collapsed="false">
      <c r="A348" s="4"/>
      <c r="B348" s="2"/>
      <c r="C348" s="2"/>
      <c r="D348" s="2"/>
      <c r="E348" s="2"/>
      <c r="F348" s="3" t="str">
        <f aca="false">IFERROR(__xludf.dummyfunction("if($T348&lt;&gt;"""",REGEXEXTRACT(SUBSTITUTE ($T348,F$1&amp;"" CE"",""""), F$1&amp;""[\w &amp;]*, (\d+\.\d+)""),"""")
"),"")</f>
        <v/>
      </c>
      <c r="G348" s="3" t="str">
        <f aca="false">IFERROR(__xludf.dummyfunction("if($T348&lt;&gt;"""",REGEXEXTRACT($T348, G$1&amp;""[\w &amp;]*, (\d+\.\d+)""),"""")
"),"")</f>
        <v/>
      </c>
      <c r="H348" s="3"/>
      <c r="I348" s="3" t="str">
        <f aca="false">IFERROR(__xludf.dummyfunction("if($T348&lt;&gt;"""",REGEXEXTRACT(SUBSTITUTE ($T348,I$1&amp;"" CE"",""""), I$1&amp;""[\w &amp;]*, (\d+\.\d+)""),"""")
"),"")</f>
        <v/>
      </c>
      <c r="J348" s="3" t="str">
        <f aca="false">IFERROR(__xludf.dummyfunction("if($T348&lt;&gt;"""",REGEXEXTRACT($T348, J$1&amp;""[\w &amp;]*, (\d+\.\d+)""),"""")
"),"")</f>
        <v/>
      </c>
      <c r="K348" s="3"/>
      <c r="L348" s="3" t="str">
        <f aca="false">IFERROR(__xludf.dummyfunction("if($T348&lt;&gt;"""",REGEXEXTRACT(SUBSTITUTE ($T348,L$1&amp;"" CE"",""""), L$1&amp;""[\w &amp;]*, (\d+\.\d+)""),"""")
"),"")</f>
        <v/>
      </c>
      <c r="M348" s="3" t="str">
        <f aca="false">IFERROR(__xludf.dummyfunction("if($T348&lt;&gt;"""",REGEXEXTRACT($T348, M$1&amp;""[\w &amp;]*, (\d+\.\d+)""),"""")
"),"")</f>
        <v/>
      </c>
      <c r="N348" s="3" t="str">
        <f aca="false">IFERROR(__xludf.dummyfunction("if($T348&lt;&gt;"""",REGEXEXTRACT(SUBSTITUTE ($T348,N$1&amp;"" CE"",""""), N$1&amp;""[\w &amp;]*, (\d+\.\d+)""),"""")
"),"")</f>
        <v/>
      </c>
      <c r="O348" s="3" t="str">
        <f aca="false">IFERROR(__xludf.dummyfunction("if($T348&lt;&gt;"""",REGEXEXTRACT($T348, O$1&amp;""[\w &amp;]*, (\d+\.\d+)""),"""")
"),"")</f>
        <v/>
      </c>
      <c r="P348" s="2"/>
      <c r="Q348" s="2"/>
      <c r="R348" s="2"/>
      <c r="S348" s="2"/>
      <c r="T348" s="5"/>
    </row>
    <row r="349" customFormat="false" ht="15.75" hidden="false" customHeight="false" outlineLevel="0" collapsed="false">
      <c r="A349" s="4"/>
      <c r="B349" s="2"/>
      <c r="C349" s="2"/>
      <c r="D349" s="2"/>
      <c r="E349" s="2"/>
      <c r="F349" s="3" t="str">
        <f aca="false">IFERROR(__xludf.dummyfunction("if($T349&lt;&gt;"""",REGEXEXTRACT(SUBSTITUTE ($T349,F$1&amp;"" CE"",""""), F$1&amp;""[\w &amp;]*, (\d+\.\d+)""),"""")
"),"")</f>
        <v/>
      </c>
      <c r="G349" s="3" t="str">
        <f aca="false">IFERROR(__xludf.dummyfunction("if($T349&lt;&gt;"""",REGEXEXTRACT($T349, G$1&amp;""[\w &amp;]*, (\d+\.\d+)""),"""")
"),"")</f>
        <v/>
      </c>
      <c r="H349" s="3"/>
      <c r="I349" s="3" t="str">
        <f aca="false">IFERROR(__xludf.dummyfunction("if($T349&lt;&gt;"""",REGEXEXTRACT(SUBSTITUTE ($T349,I$1&amp;"" CE"",""""), I$1&amp;""[\w &amp;]*, (\d+\.\d+)""),"""")
"),"")</f>
        <v/>
      </c>
      <c r="J349" s="3" t="str">
        <f aca="false">IFERROR(__xludf.dummyfunction("if($T349&lt;&gt;"""",REGEXEXTRACT($T349, J$1&amp;""[\w &amp;]*, (\d+\.\d+)""),"""")
"),"")</f>
        <v/>
      </c>
      <c r="K349" s="3"/>
      <c r="L349" s="3" t="str">
        <f aca="false">IFERROR(__xludf.dummyfunction("if($T349&lt;&gt;"""",REGEXEXTRACT(SUBSTITUTE ($T349,L$1&amp;"" CE"",""""), L$1&amp;""[\w &amp;]*, (\d+\.\d+)""),"""")
"),"")</f>
        <v/>
      </c>
      <c r="M349" s="3" t="str">
        <f aca="false">IFERROR(__xludf.dummyfunction("if($T349&lt;&gt;"""",REGEXEXTRACT($T349, M$1&amp;""[\w &amp;]*, (\d+\.\d+)""),"""")
"),"")</f>
        <v/>
      </c>
      <c r="N349" s="3" t="str">
        <f aca="false">IFERROR(__xludf.dummyfunction("if($T349&lt;&gt;"""",REGEXEXTRACT(SUBSTITUTE ($T349,N$1&amp;"" CE"",""""), N$1&amp;""[\w &amp;]*, (\d+\.\d+)""),"""")
"),"")</f>
        <v/>
      </c>
      <c r="O349" s="3" t="str">
        <f aca="false">IFERROR(__xludf.dummyfunction("if($T349&lt;&gt;"""",REGEXEXTRACT($T349, O$1&amp;""[\w &amp;]*, (\d+\.\d+)""),"""")
"),"")</f>
        <v/>
      </c>
      <c r="P349" s="2"/>
      <c r="Q349" s="2"/>
      <c r="R349" s="2"/>
      <c r="S349" s="2"/>
      <c r="T349" s="5"/>
    </row>
    <row r="350" customFormat="false" ht="15.75" hidden="false" customHeight="false" outlineLevel="0" collapsed="false">
      <c r="A350" s="4"/>
      <c r="B350" s="2"/>
      <c r="C350" s="2"/>
      <c r="D350" s="2"/>
      <c r="E350" s="2"/>
      <c r="F350" s="3" t="str">
        <f aca="false">IFERROR(__xludf.dummyfunction("if($T350&lt;&gt;"""",REGEXEXTRACT(SUBSTITUTE ($T350,F$1&amp;"" CE"",""""), F$1&amp;""[\w &amp;]*, (\d+\.\d+)""),"""")
"),"")</f>
        <v/>
      </c>
      <c r="G350" s="3" t="str">
        <f aca="false">IFERROR(__xludf.dummyfunction("if($T350&lt;&gt;"""",REGEXEXTRACT($T350, G$1&amp;""[\w &amp;]*, (\d+\.\d+)""),"""")
"),"")</f>
        <v/>
      </c>
      <c r="H350" s="3"/>
      <c r="I350" s="3" t="str">
        <f aca="false">IFERROR(__xludf.dummyfunction("if($T350&lt;&gt;"""",REGEXEXTRACT(SUBSTITUTE ($T350,I$1&amp;"" CE"",""""), I$1&amp;""[\w &amp;]*, (\d+\.\d+)""),"""")
"),"")</f>
        <v/>
      </c>
      <c r="J350" s="3" t="str">
        <f aca="false">IFERROR(__xludf.dummyfunction("if($T350&lt;&gt;"""",REGEXEXTRACT($T350, J$1&amp;""[\w &amp;]*, (\d+\.\d+)""),"""")
"),"")</f>
        <v/>
      </c>
      <c r="K350" s="3"/>
      <c r="L350" s="3" t="str">
        <f aca="false">IFERROR(__xludf.dummyfunction("if($T350&lt;&gt;"""",REGEXEXTRACT(SUBSTITUTE ($T350,L$1&amp;"" CE"",""""), L$1&amp;""[\w &amp;]*, (\d+\.\d+)""),"""")
"),"")</f>
        <v/>
      </c>
      <c r="M350" s="3" t="str">
        <f aca="false">IFERROR(__xludf.dummyfunction("if($T350&lt;&gt;"""",REGEXEXTRACT($T350, M$1&amp;""[\w &amp;]*, (\d+\.\d+)""),"""")
"),"")</f>
        <v/>
      </c>
      <c r="N350" s="3" t="str">
        <f aca="false">IFERROR(__xludf.dummyfunction("if($T350&lt;&gt;"""",REGEXEXTRACT(SUBSTITUTE ($T350,N$1&amp;"" CE"",""""), N$1&amp;""[\w &amp;]*, (\d+\.\d+)""),"""")
"),"")</f>
        <v/>
      </c>
      <c r="O350" s="3" t="str">
        <f aca="false">IFERROR(__xludf.dummyfunction("if($T350&lt;&gt;"""",REGEXEXTRACT($T350, O$1&amp;""[\w &amp;]*, (\d+\.\d+)""),"""")
"),"")</f>
        <v/>
      </c>
      <c r="P350" s="2"/>
      <c r="Q350" s="2"/>
      <c r="R350" s="2"/>
      <c r="S350" s="2"/>
      <c r="T350" s="5"/>
    </row>
    <row r="351" customFormat="false" ht="15.75" hidden="false" customHeight="false" outlineLevel="0" collapsed="false">
      <c r="A351" s="4"/>
      <c r="B351" s="2"/>
      <c r="C351" s="2"/>
      <c r="D351" s="2"/>
      <c r="E351" s="2"/>
      <c r="F351" s="3" t="str">
        <f aca="false">IFERROR(__xludf.dummyfunction("if($T351&lt;&gt;"""",REGEXEXTRACT(SUBSTITUTE ($T351,F$1&amp;"" CE"",""""), F$1&amp;""[\w &amp;]*, (\d+\.\d+)""),"""")
"),"")</f>
        <v/>
      </c>
      <c r="G351" s="3" t="str">
        <f aca="false">IFERROR(__xludf.dummyfunction("if($T351&lt;&gt;"""",REGEXEXTRACT($T351, G$1&amp;""[\w &amp;]*, (\d+\.\d+)""),"""")
"),"")</f>
        <v/>
      </c>
      <c r="H351" s="3"/>
      <c r="I351" s="3" t="str">
        <f aca="false">IFERROR(__xludf.dummyfunction("if($T351&lt;&gt;"""",REGEXEXTRACT(SUBSTITUTE ($T351,I$1&amp;"" CE"",""""), I$1&amp;""[\w &amp;]*, (\d+\.\d+)""),"""")
"),"")</f>
        <v/>
      </c>
      <c r="J351" s="3" t="str">
        <f aca="false">IFERROR(__xludf.dummyfunction("if($T351&lt;&gt;"""",REGEXEXTRACT($T351, J$1&amp;""[\w &amp;]*, (\d+\.\d+)""),"""")
"),"")</f>
        <v/>
      </c>
      <c r="K351" s="3"/>
      <c r="L351" s="3" t="str">
        <f aca="false">IFERROR(__xludf.dummyfunction("if($T351&lt;&gt;"""",REGEXEXTRACT(SUBSTITUTE ($T351,L$1&amp;"" CE"",""""), L$1&amp;""[\w &amp;]*, (\d+\.\d+)""),"""")
"),"")</f>
        <v/>
      </c>
      <c r="M351" s="3" t="str">
        <f aca="false">IFERROR(__xludf.dummyfunction("if($T351&lt;&gt;"""",REGEXEXTRACT($T351, M$1&amp;""[\w &amp;]*, (\d+\.\d+)""),"""")
"),"")</f>
        <v/>
      </c>
      <c r="N351" s="3" t="str">
        <f aca="false">IFERROR(__xludf.dummyfunction("if($T351&lt;&gt;"""",REGEXEXTRACT(SUBSTITUTE ($T351,N$1&amp;"" CE"",""""), N$1&amp;""[\w &amp;]*, (\d+\.\d+)""),"""")
"),"")</f>
        <v/>
      </c>
      <c r="O351" s="3" t="str">
        <f aca="false">IFERROR(__xludf.dummyfunction("if($T351&lt;&gt;"""",REGEXEXTRACT($T351, O$1&amp;""[\w &amp;]*, (\d+\.\d+)""),"""")
"),"")</f>
        <v/>
      </c>
      <c r="P351" s="2"/>
      <c r="Q351" s="2"/>
      <c r="R351" s="2"/>
      <c r="S351" s="2"/>
      <c r="T351" s="5"/>
    </row>
    <row r="352" customFormat="false" ht="15.75" hidden="false" customHeight="false" outlineLevel="0" collapsed="false">
      <c r="A352" s="4"/>
      <c r="B352" s="2"/>
      <c r="C352" s="2"/>
      <c r="D352" s="2"/>
      <c r="E352" s="2"/>
      <c r="F352" s="3" t="str">
        <f aca="false">IFERROR(__xludf.dummyfunction("if($T352&lt;&gt;"""",REGEXEXTRACT(SUBSTITUTE ($T352,F$1&amp;"" CE"",""""), F$1&amp;""[\w &amp;]*, (\d+\.\d+)""),"""")
"),"")</f>
        <v/>
      </c>
      <c r="G352" s="3" t="str">
        <f aca="false">IFERROR(__xludf.dummyfunction("if($T352&lt;&gt;"""",REGEXEXTRACT($T352, G$1&amp;""[\w &amp;]*, (\d+\.\d+)""),"""")
"),"")</f>
        <v/>
      </c>
      <c r="H352" s="3"/>
      <c r="I352" s="3" t="str">
        <f aca="false">IFERROR(__xludf.dummyfunction("if($T352&lt;&gt;"""",REGEXEXTRACT(SUBSTITUTE ($T352,I$1&amp;"" CE"",""""), I$1&amp;""[\w &amp;]*, (\d+\.\d+)""),"""")
"),"")</f>
        <v/>
      </c>
      <c r="J352" s="3" t="str">
        <f aca="false">IFERROR(__xludf.dummyfunction("if($T352&lt;&gt;"""",REGEXEXTRACT($T352, J$1&amp;""[\w &amp;]*, (\d+\.\d+)""),"""")
"),"")</f>
        <v/>
      </c>
      <c r="K352" s="3"/>
      <c r="L352" s="3" t="str">
        <f aca="false">IFERROR(__xludf.dummyfunction("if($T352&lt;&gt;"""",REGEXEXTRACT(SUBSTITUTE ($T352,L$1&amp;"" CE"",""""), L$1&amp;""[\w &amp;]*, (\d+\.\d+)""),"""")
"),"")</f>
        <v/>
      </c>
      <c r="M352" s="3" t="str">
        <f aca="false">IFERROR(__xludf.dummyfunction("if($T352&lt;&gt;"""",REGEXEXTRACT($T352, M$1&amp;""[\w &amp;]*, (\d+\.\d+)""),"""")
"),"")</f>
        <v/>
      </c>
      <c r="N352" s="3" t="str">
        <f aca="false">IFERROR(__xludf.dummyfunction("if($T352&lt;&gt;"""",REGEXEXTRACT(SUBSTITUTE ($T352,N$1&amp;"" CE"",""""), N$1&amp;""[\w &amp;]*, (\d+\.\d+)""),"""")
"),"")</f>
        <v/>
      </c>
      <c r="O352" s="3" t="str">
        <f aca="false">IFERROR(__xludf.dummyfunction("if($T352&lt;&gt;"""",REGEXEXTRACT($T352, O$1&amp;""[\w &amp;]*, (\d+\.\d+)""),"""")
"),"")</f>
        <v/>
      </c>
      <c r="P352" s="2"/>
      <c r="Q352" s="2"/>
      <c r="R352" s="2"/>
      <c r="S352" s="2"/>
      <c r="T352" s="5"/>
    </row>
    <row r="353" customFormat="false" ht="15.75" hidden="false" customHeight="false" outlineLevel="0" collapsed="false">
      <c r="A353" s="4"/>
      <c r="B353" s="2"/>
      <c r="C353" s="2"/>
      <c r="D353" s="2"/>
      <c r="E353" s="2"/>
      <c r="F353" s="3" t="str">
        <f aca="false">IFERROR(__xludf.dummyfunction("if($T353&lt;&gt;"""",REGEXEXTRACT(SUBSTITUTE ($T353,F$1&amp;"" CE"",""""), F$1&amp;""[\w &amp;]*, (\d+\.\d+)""),"""")
"),"")</f>
        <v/>
      </c>
      <c r="G353" s="3" t="str">
        <f aca="false">IFERROR(__xludf.dummyfunction("if($T353&lt;&gt;"""",REGEXEXTRACT($T353, G$1&amp;""[\w &amp;]*, (\d+\.\d+)""),"""")
"),"")</f>
        <v/>
      </c>
      <c r="H353" s="3"/>
      <c r="I353" s="3" t="str">
        <f aca="false">IFERROR(__xludf.dummyfunction("if($T353&lt;&gt;"""",REGEXEXTRACT(SUBSTITUTE ($T353,I$1&amp;"" CE"",""""), I$1&amp;""[\w &amp;]*, (\d+\.\d+)""),"""")
"),"")</f>
        <v/>
      </c>
      <c r="J353" s="3" t="str">
        <f aca="false">IFERROR(__xludf.dummyfunction("if($T353&lt;&gt;"""",REGEXEXTRACT($T353, J$1&amp;""[\w &amp;]*, (\d+\.\d+)""),"""")
"),"")</f>
        <v/>
      </c>
      <c r="K353" s="3"/>
      <c r="L353" s="3" t="str">
        <f aca="false">IFERROR(__xludf.dummyfunction("if($T353&lt;&gt;"""",REGEXEXTRACT(SUBSTITUTE ($T353,L$1&amp;"" CE"",""""), L$1&amp;""[\w &amp;]*, (\d+\.\d+)""),"""")
"),"")</f>
        <v/>
      </c>
      <c r="M353" s="3" t="str">
        <f aca="false">IFERROR(__xludf.dummyfunction("if($T353&lt;&gt;"""",REGEXEXTRACT($T353, M$1&amp;""[\w &amp;]*, (\d+\.\d+)""),"""")
"),"")</f>
        <v/>
      </c>
      <c r="N353" s="3" t="str">
        <f aca="false">IFERROR(__xludf.dummyfunction("if($T353&lt;&gt;"""",REGEXEXTRACT(SUBSTITUTE ($T353,N$1&amp;"" CE"",""""), N$1&amp;""[\w &amp;]*, (\d+\.\d+)""),"""")
"),"")</f>
        <v/>
      </c>
      <c r="O353" s="3" t="str">
        <f aca="false">IFERROR(__xludf.dummyfunction("if($T353&lt;&gt;"""",REGEXEXTRACT($T353, O$1&amp;""[\w &amp;]*, (\d+\.\d+)""),"""")
"),"")</f>
        <v/>
      </c>
      <c r="P353" s="2"/>
      <c r="Q353" s="2"/>
      <c r="R353" s="2"/>
      <c r="S353" s="2"/>
      <c r="T353" s="5"/>
    </row>
    <row r="354" customFormat="false" ht="15.75" hidden="false" customHeight="false" outlineLevel="0" collapsed="false">
      <c r="A354" s="4"/>
      <c r="B354" s="2"/>
      <c r="C354" s="2"/>
      <c r="D354" s="2"/>
      <c r="E354" s="2"/>
      <c r="F354" s="3" t="str">
        <f aca="false">IFERROR(__xludf.dummyfunction("if($T354&lt;&gt;"""",REGEXEXTRACT(SUBSTITUTE ($T354,F$1&amp;"" CE"",""""), F$1&amp;""[\w &amp;]*, (\d+\.\d+)""),"""")
"),"")</f>
        <v/>
      </c>
      <c r="G354" s="3" t="str">
        <f aca="false">IFERROR(__xludf.dummyfunction("if($T354&lt;&gt;"""",REGEXEXTRACT($T354, G$1&amp;""[\w &amp;]*, (\d+\.\d+)""),"""")
"),"")</f>
        <v/>
      </c>
      <c r="H354" s="3"/>
      <c r="I354" s="3" t="str">
        <f aca="false">IFERROR(__xludf.dummyfunction("if($T354&lt;&gt;"""",REGEXEXTRACT(SUBSTITUTE ($T354,I$1&amp;"" CE"",""""), I$1&amp;""[\w &amp;]*, (\d+\.\d+)""),"""")
"),"")</f>
        <v/>
      </c>
      <c r="J354" s="3" t="str">
        <f aca="false">IFERROR(__xludf.dummyfunction("if($T354&lt;&gt;"""",REGEXEXTRACT($T354, J$1&amp;""[\w &amp;]*, (\d+\.\d+)""),"""")
"),"")</f>
        <v/>
      </c>
      <c r="K354" s="3"/>
      <c r="L354" s="3" t="str">
        <f aca="false">IFERROR(__xludf.dummyfunction("if($T354&lt;&gt;"""",REGEXEXTRACT(SUBSTITUTE ($T354,L$1&amp;"" CE"",""""), L$1&amp;""[\w &amp;]*, (\d+\.\d+)""),"""")
"),"")</f>
        <v/>
      </c>
      <c r="M354" s="3" t="str">
        <f aca="false">IFERROR(__xludf.dummyfunction("if($T354&lt;&gt;"""",REGEXEXTRACT($T354, M$1&amp;""[\w &amp;]*, (\d+\.\d+)""),"""")
"),"")</f>
        <v/>
      </c>
      <c r="N354" s="3" t="str">
        <f aca="false">IFERROR(__xludf.dummyfunction("if($T354&lt;&gt;"""",REGEXEXTRACT(SUBSTITUTE ($T354,N$1&amp;"" CE"",""""), N$1&amp;""[\w &amp;]*, (\d+\.\d+)""),"""")
"),"")</f>
        <v/>
      </c>
      <c r="O354" s="3" t="str">
        <f aca="false">IFERROR(__xludf.dummyfunction("if($T354&lt;&gt;"""",REGEXEXTRACT($T354, O$1&amp;""[\w &amp;]*, (\d+\.\d+)""),"""")
"),"")</f>
        <v/>
      </c>
      <c r="P354" s="2"/>
      <c r="Q354" s="2"/>
      <c r="R354" s="2"/>
      <c r="S354" s="2"/>
      <c r="T354" s="5"/>
    </row>
    <row r="355" customFormat="false" ht="15.75" hidden="false" customHeight="false" outlineLevel="0" collapsed="false">
      <c r="A355" s="4"/>
      <c r="B355" s="2"/>
      <c r="C355" s="2"/>
      <c r="D355" s="2"/>
      <c r="E355" s="2"/>
      <c r="F355" s="3" t="str">
        <f aca="false">IFERROR(__xludf.dummyfunction("if($T355&lt;&gt;"""",REGEXEXTRACT(SUBSTITUTE ($T355,F$1&amp;"" CE"",""""), F$1&amp;""[\w &amp;]*, (\d+\.\d+)""),"""")
"),"")</f>
        <v/>
      </c>
      <c r="G355" s="3" t="str">
        <f aca="false">IFERROR(__xludf.dummyfunction("if($T355&lt;&gt;"""",REGEXEXTRACT($T355, G$1&amp;""[\w &amp;]*, (\d+\.\d+)""),"""")
"),"")</f>
        <v/>
      </c>
      <c r="H355" s="3"/>
      <c r="I355" s="3" t="str">
        <f aca="false">IFERROR(__xludf.dummyfunction("if($T355&lt;&gt;"""",REGEXEXTRACT(SUBSTITUTE ($T355,I$1&amp;"" CE"",""""), I$1&amp;""[\w &amp;]*, (\d+\.\d+)""),"""")
"),"")</f>
        <v/>
      </c>
      <c r="J355" s="3" t="str">
        <f aca="false">IFERROR(__xludf.dummyfunction("if($T355&lt;&gt;"""",REGEXEXTRACT($T355, J$1&amp;""[\w &amp;]*, (\d+\.\d+)""),"""")
"),"")</f>
        <v/>
      </c>
      <c r="K355" s="3"/>
      <c r="L355" s="3" t="str">
        <f aca="false">IFERROR(__xludf.dummyfunction("if($T355&lt;&gt;"""",REGEXEXTRACT(SUBSTITUTE ($T355,L$1&amp;"" CE"",""""), L$1&amp;""[\w &amp;]*, (\d+\.\d+)""),"""")
"),"")</f>
        <v/>
      </c>
      <c r="M355" s="3" t="str">
        <f aca="false">IFERROR(__xludf.dummyfunction("if($T355&lt;&gt;"""",REGEXEXTRACT($T355, M$1&amp;""[\w &amp;]*, (\d+\.\d+)""),"""")
"),"")</f>
        <v/>
      </c>
      <c r="N355" s="3" t="str">
        <f aca="false">IFERROR(__xludf.dummyfunction("if($T355&lt;&gt;"""",REGEXEXTRACT(SUBSTITUTE ($T355,N$1&amp;"" CE"",""""), N$1&amp;""[\w &amp;]*, (\d+\.\d+)""),"""")
"),"")</f>
        <v/>
      </c>
      <c r="O355" s="3" t="str">
        <f aca="false">IFERROR(__xludf.dummyfunction("if($T355&lt;&gt;"""",REGEXEXTRACT($T355, O$1&amp;""[\w &amp;]*, (\d+\.\d+)""),"""")
"),"")</f>
        <v/>
      </c>
      <c r="P355" s="2"/>
      <c r="Q355" s="2"/>
      <c r="R355" s="2"/>
      <c r="S355" s="2"/>
      <c r="T355" s="5"/>
    </row>
    <row r="356" customFormat="false" ht="15.75" hidden="false" customHeight="false" outlineLevel="0" collapsed="false">
      <c r="A356" s="4"/>
      <c r="B356" s="2"/>
      <c r="C356" s="2"/>
      <c r="D356" s="2"/>
      <c r="E356" s="2"/>
      <c r="F356" s="3" t="str">
        <f aca="false">IFERROR(__xludf.dummyfunction("if($T356&lt;&gt;"""",REGEXEXTRACT(SUBSTITUTE ($T356,F$1&amp;"" CE"",""""), F$1&amp;""[\w &amp;]*, (\d+\.\d+)""),"""")
"),"")</f>
        <v/>
      </c>
      <c r="G356" s="3" t="str">
        <f aca="false">IFERROR(__xludf.dummyfunction("if($T356&lt;&gt;"""",REGEXEXTRACT($T356, G$1&amp;""[\w &amp;]*, (\d+\.\d+)""),"""")
"),"")</f>
        <v/>
      </c>
      <c r="H356" s="3"/>
      <c r="I356" s="3" t="str">
        <f aca="false">IFERROR(__xludf.dummyfunction("if($T356&lt;&gt;"""",REGEXEXTRACT(SUBSTITUTE ($T356,I$1&amp;"" CE"",""""), I$1&amp;""[\w &amp;]*, (\d+\.\d+)""),"""")
"),"")</f>
        <v/>
      </c>
      <c r="J356" s="3" t="str">
        <f aca="false">IFERROR(__xludf.dummyfunction("if($T356&lt;&gt;"""",REGEXEXTRACT($T356, J$1&amp;""[\w &amp;]*, (\d+\.\d+)""),"""")
"),"")</f>
        <v/>
      </c>
      <c r="K356" s="3"/>
      <c r="L356" s="3" t="str">
        <f aca="false">IFERROR(__xludf.dummyfunction("if($T356&lt;&gt;"""",REGEXEXTRACT(SUBSTITUTE ($T356,L$1&amp;"" CE"",""""), L$1&amp;""[\w &amp;]*, (\d+\.\d+)""),"""")
"),"")</f>
        <v/>
      </c>
      <c r="M356" s="3" t="str">
        <f aca="false">IFERROR(__xludf.dummyfunction("if($T356&lt;&gt;"""",REGEXEXTRACT($T356, M$1&amp;""[\w &amp;]*, (\d+\.\d+)""),"""")
"),"")</f>
        <v/>
      </c>
      <c r="N356" s="3" t="str">
        <f aca="false">IFERROR(__xludf.dummyfunction("if($T356&lt;&gt;"""",REGEXEXTRACT(SUBSTITUTE ($T356,N$1&amp;"" CE"",""""), N$1&amp;""[\w &amp;]*, (\d+\.\d+)""),"""")
"),"")</f>
        <v/>
      </c>
      <c r="O356" s="3" t="str">
        <f aca="false">IFERROR(__xludf.dummyfunction("if($T356&lt;&gt;"""",REGEXEXTRACT($T356, O$1&amp;""[\w &amp;]*, (\d+\.\d+)""),"""")
"),"")</f>
        <v/>
      </c>
      <c r="P356" s="2"/>
      <c r="Q356" s="2"/>
      <c r="R356" s="2"/>
      <c r="S356" s="2"/>
      <c r="T356" s="5"/>
    </row>
    <row r="357" customFormat="false" ht="15.75" hidden="false" customHeight="false" outlineLevel="0" collapsed="false">
      <c r="A357" s="4"/>
      <c r="B357" s="2"/>
      <c r="C357" s="2"/>
      <c r="D357" s="2"/>
      <c r="E357" s="2"/>
      <c r="F357" s="3" t="str">
        <f aca="false">IFERROR(__xludf.dummyfunction("if($T357&lt;&gt;"""",REGEXEXTRACT(SUBSTITUTE ($T357,F$1&amp;"" CE"",""""), F$1&amp;""[\w &amp;]*, (\d+\.\d+)""),"""")
"),"")</f>
        <v/>
      </c>
      <c r="G357" s="3" t="str">
        <f aca="false">IFERROR(__xludf.dummyfunction("if($T357&lt;&gt;"""",REGEXEXTRACT($T357, G$1&amp;""[\w &amp;]*, (\d+\.\d+)""),"""")
"),"")</f>
        <v/>
      </c>
      <c r="H357" s="3"/>
      <c r="I357" s="3" t="str">
        <f aca="false">IFERROR(__xludf.dummyfunction("if($T357&lt;&gt;"""",REGEXEXTRACT(SUBSTITUTE ($T357,I$1&amp;"" CE"",""""), I$1&amp;""[\w &amp;]*, (\d+\.\d+)""),"""")
"),"")</f>
        <v/>
      </c>
      <c r="J357" s="3" t="str">
        <f aca="false">IFERROR(__xludf.dummyfunction("if($T357&lt;&gt;"""",REGEXEXTRACT($T357, J$1&amp;""[\w &amp;]*, (\d+\.\d+)""),"""")
"),"")</f>
        <v/>
      </c>
      <c r="K357" s="3"/>
      <c r="L357" s="3" t="str">
        <f aca="false">IFERROR(__xludf.dummyfunction("if($T357&lt;&gt;"""",REGEXEXTRACT(SUBSTITUTE ($T357,L$1&amp;"" CE"",""""), L$1&amp;""[\w &amp;]*, (\d+\.\d+)""),"""")
"),"")</f>
        <v/>
      </c>
      <c r="M357" s="3" t="str">
        <f aca="false">IFERROR(__xludf.dummyfunction("if($T357&lt;&gt;"""",REGEXEXTRACT($T357, M$1&amp;""[\w &amp;]*, (\d+\.\d+)""),"""")
"),"")</f>
        <v/>
      </c>
      <c r="N357" s="3" t="str">
        <f aca="false">IFERROR(__xludf.dummyfunction("if($T357&lt;&gt;"""",REGEXEXTRACT(SUBSTITUTE ($T357,N$1&amp;"" CE"",""""), N$1&amp;""[\w &amp;]*, (\d+\.\d+)""),"""")
"),"")</f>
        <v/>
      </c>
      <c r="O357" s="3" t="str">
        <f aca="false">IFERROR(__xludf.dummyfunction("if($T357&lt;&gt;"""",REGEXEXTRACT($T357, O$1&amp;""[\w &amp;]*, (\d+\.\d+)""),"""")
"),"")</f>
        <v/>
      </c>
      <c r="P357" s="2"/>
      <c r="Q357" s="2"/>
      <c r="R357" s="2"/>
      <c r="S357" s="2"/>
      <c r="T357" s="5"/>
    </row>
    <row r="358" customFormat="false" ht="15.75" hidden="false" customHeight="false" outlineLevel="0" collapsed="false">
      <c r="A358" s="4"/>
      <c r="B358" s="2"/>
      <c r="C358" s="2"/>
      <c r="D358" s="2"/>
      <c r="E358" s="2"/>
      <c r="F358" s="3" t="str">
        <f aca="false">IFERROR(__xludf.dummyfunction("if($T358&lt;&gt;"""",REGEXEXTRACT(SUBSTITUTE ($T358,F$1&amp;"" CE"",""""), F$1&amp;""[\w &amp;]*, (\d+\.\d+)""),"""")
"),"")</f>
        <v/>
      </c>
      <c r="G358" s="3" t="str">
        <f aca="false">IFERROR(__xludf.dummyfunction("if($T358&lt;&gt;"""",REGEXEXTRACT($T358, G$1&amp;""[\w &amp;]*, (\d+\.\d+)""),"""")
"),"")</f>
        <v/>
      </c>
      <c r="H358" s="3"/>
      <c r="I358" s="3" t="str">
        <f aca="false">IFERROR(__xludf.dummyfunction("if($T358&lt;&gt;"""",REGEXEXTRACT(SUBSTITUTE ($T358,I$1&amp;"" CE"",""""), I$1&amp;""[\w &amp;]*, (\d+\.\d+)""),"""")
"),"")</f>
        <v/>
      </c>
      <c r="J358" s="3" t="str">
        <f aca="false">IFERROR(__xludf.dummyfunction("if($T358&lt;&gt;"""",REGEXEXTRACT($T358, J$1&amp;""[\w &amp;]*, (\d+\.\d+)""),"""")
"),"")</f>
        <v/>
      </c>
      <c r="K358" s="3"/>
      <c r="L358" s="3" t="str">
        <f aca="false">IFERROR(__xludf.dummyfunction("if($T358&lt;&gt;"""",REGEXEXTRACT(SUBSTITUTE ($T358,L$1&amp;"" CE"",""""), L$1&amp;""[\w &amp;]*, (\d+\.\d+)""),"""")
"),"")</f>
        <v/>
      </c>
      <c r="M358" s="3" t="str">
        <f aca="false">IFERROR(__xludf.dummyfunction("if($T358&lt;&gt;"""",REGEXEXTRACT($T358, M$1&amp;""[\w &amp;]*, (\d+\.\d+)""),"""")
"),"")</f>
        <v/>
      </c>
      <c r="N358" s="3" t="str">
        <f aca="false">IFERROR(__xludf.dummyfunction("if($T358&lt;&gt;"""",REGEXEXTRACT(SUBSTITUTE ($T358,N$1&amp;"" CE"",""""), N$1&amp;""[\w &amp;]*, (\d+\.\d+)""),"""")
"),"")</f>
        <v/>
      </c>
      <c r="O358" s="3" t="str">
        <f aca="false">IFERROR(__xludf.dummyfunction("if($T358&lt;&gt;"""",REGEXEXTRACT($T358, O$1&amp;""[\w &amp;]*, (\d+\.\d+)""),"""")
"),"")</f>
        <v/>
      </c>
      <c r="P358" s="2"/>
      <c r="Q358" s="2"/>
      <c r="R358" s="2"/>
      <c r="S358" s="2"/>
      <c r="T358" s="5"/>
    </row>
    <row r="359" customFormat="false" ht="15.75" hidden="false" customHeight="false" outlineLevel="0" collapsed="false">
      <c r="A359" s="4"/>
      <c r="B359" s="2"/>
      <c r="C359" s="2"/>
      <c r="D359" s="2"/>
      <c r="E359" s="2"/>
      <c r="F359" s="3" t="str">
        <f aca="false">IFERROR(__xludf.dummyfunction("if($T359&lt;&gt;"""",REGEXEXTRACT(SUBSTITUTE ($T359,F$1&amp;"" CE"",""""), F$1&amp;""[\w &amp;]*, (\d+\.\d+)""),"""")
"),"")</f>
        <v/>
      </c>
      <c r="G359" s="3" t="str">
        <f aca="false">IFERROR(__xludf.dummyfunction("if($T359&lt;&gt;"""",REGEXEXTRACT($T359, G$1&amp;""[\w &amp;]*, (\d+\.\d+)""),"""")
"),"")</f>
        <v/>
      </c>
      <c r="H359" s="3"/>
      <c r="I359" s="3" t="str">
        <f aca="false">IFERROR(__xludf.dummyfunction("if($T359&lt;&gt;"""",REGEXEXTRACT(SUBSTITUTE ($T359,I$1&amp;"" CE"",""""), I$1&amp;""[\w &amp;]*, (\d+\.\d+)""),"""")
"),"")</f>
        <v/>
      </c>
      <c r="J359" s="3" t="str">
        <f aca="false">IFERROR(__xludf.dummyfunction("if($T359&lt;&gt;"""",REGEXEXTRACT($T359, J$1&amp;""[\w &amp;]*, (\d+\.\d+)""),"""")
"),"")</f>
        <v/>
      </c>
      <c r="K359" s="3"/>
      <c r="L359" s="3" t="str">
        <f aca="false">IFERROR(__xludf.dummyfunction("if($T359&lt;&gt;"""",REGEXEXTRACT(SUBSTITUTE ($T359,L$1&amp;"" CE"",""""), L$1&amp;""[\w &amp;]*, (\d+\.\d+)""),"""")
"),"")</f>
        <v/>
      </c>
      <c r="M359" s="3" t="str">
        <f aca="false">IFERROR(__xludf.dummyfunction("if($T359&lt;&gt;"""",REGEXEXTRACT($T359, M$1&amp;""[\w &amp;]*, (\d+\.\d+)""),"""")
"),"")</f>
        <v/>
      </c>
      <c r="N359" s="3" t="str">
        <f aca="false">IFERROR(__xludf.dummyfunction("if($T359&lt;&gt;"""",REGEXEXTRACT(SUBSTITUTE ($T359,N$1&amp;"" CE"",""""), N$1&amp;""[\w &amp;]*, (\d+\.\d+)""),"""")
"),"")</f>
        <v/>
      </c>
      <c r="O359" s="3" t="str">
        <f aca="false">IFERROR(__xludf.dummyfunction("if($T359&lt;&gt;"""",REGEXEXTRACT($T359, O$1&amp;""[\w &amp;]*, (\d+\.\d+)""),"""")
"),"")</f>
        <v/>
      </c>
      <c r="P359" s="2"/>
      <c r="Q359" s="2"/>
      <c r="R359" s="2"/>
      <c r="S359" s="2"/>
      <c r="T359" s="5"/>
    </row>
    <row r="360" customFormat="false" ht="15.75" hidden="false" customHeight="false" outlineLevel="0" collapsed="false">
      <c r="A360" s="4"/>
      <c r="B360" s="2"/>
      <c r="C360" s="2"/>
      <c r="D360" s="2"/>
      <c r="E360" s="2"/>
      <c r="F360" s="3" t="str">
        <f aca="false">IFERROR(__xludf.dummyfunction("if($T360&lt;&gt;"""",REGEXEXTRACT(SUBSTITUTE ($T360,F$1&amp;"" CE"",""""), F$1&amp;""[\w &amp;]*, (\d+\.\d+)""),"""")
"),"")</f>
        <v/>
      </c>
      <c r="G360" s="3" t="str">
        <f aca="false">IFERROR(__xludf.dummyfunction("if($T360&lt;&gt;"""",REGEXEXTRACT($T360, G$1&amp;""[\w &amp;]*, (\d+\.\d+)""),"""")
"),"")</f>
        <v/>
      </c>
      <c r="H360" s="3"/>
      <c r="I360" s="3" t="str">
        <f aca="false">IFERROR(__xludf.dummyfunction("if($T360&lt;&gt;"""",REGEXEXTRACT(SUBSTITUTE ($T360,I$1&amp;"" CE"",""""), I$1&amp;""[\w &amp;]*, (\d+\.\d+)""),"""")
"),"")</f>
        <v/>
      </c>
      <c r="J360" s="3" t="str">
        <f aca="false">IFERROR(__xludf.dummyfunction("if($T360&lt;&gt;"""",REGEXEXTRACT($T360, J$1&amp;""[\w &amp;]*, (\d+\.\d+)""),"""")
"),"")</f>
        <v/>
      </c>
      <c r="K360" s="3"/>
      <c r="L360" s="3" t="str">
        <f aca="false">IFERROR(__xludf.dummyfunction("if($T360&lt;&gt;"""",REGEXEXTRACT(SUBSTITUTE ($T360,L$1&amp;"" CE"",""""), L$1&amp;""[\w &amp;]*, (\d+\.\d+)""),"""")
"),"")</f>
        <v/>
      </c>
      <c r="M360" s="3" t="str">
        <f aca="false">IFERROR(__xludf.dummyfunction("if($T360&lt;&gt;"""",REGEXEXTRACT($T360, M$1&amp;""[\w &amp;]*, (\d+\.\d+)""),"""")
"),"")</f>
        <v/>
      </c>
      <c r="N360" s="3" t="str">
        <f aca="false">IFERROR(__xludf.dummyfunction("if($T360&lt;&gt;"""",REGEXEXTRACT(SUBSTITUTE ($T360,N$1&amp;"" CE"",""""), N$1&amp;""[\w &amp;]*, (\d+\.\d+)""),"""")
"),"")</f>
        <v/>
      </c>
      <c r="O360" s="3" t="str">
        <f aca="false">IFERROR(__xludf.dummyfunction("if($T360&lt;&gt;"""",REGEXEXTRACT($T360, O$1&amp;""[\w &amp;]*, (\d+\.\d+)""),"""")
"),"")</f>
        <v/>
      </c>
      <c r="P360" s="2"/>
      <c r="Q360" s="2"/>
      <c r="R360" s="2"/>
      <c r="S360" s="2"/>
      <c r="T360" s="5"/>
    </row>
    <row r="361" customFormat="false" ht="15.75" hidden="false" customHeight="false" outlineLevel="0" collapsed="false">
      <c r="A361" s="4"/>
      <c r="B361" s="2"/>
      <c r="C361" s="2"/>
      <c r="D361" s="2"/>
      <c r="E361" s="2"/>
      <c r="F361" s="3" t="str">
        <f aca="false">IFERROR(__xludf.dummyfunction("if($T361&lt;&gt;"""",REGEXEXTRACT(SUBSTITUTE ($T361,F$1&amp;"" CE"",""""), F$1&amp;""[\w &amp;]*, (\d+\.\d+)""),"""")
"),"")</f>
        <v/>
      </c>
      <c r="G361" s="3" t="str">
        <f aca="false">IFERROR(__xludf.dummyfunction("if($T361&lt;&gt;"""",REGEXEXTRACT($T361, G$1&amp;""[\w &amp;]*, (\d+\.\d+)""),"""")
"),"")</f>
        <v/>
      </c>
      <c r="H361" s="3"/>
      <c r="I361" s="3" t="str">
        <f aca="false">IFERROR(__xludf.dummyfunction("if($T361&lt;&gt;"""",REGEXEXTRACT(SUBSTITUTE ($T361,I$1&amp;"" CE"",""""), I$1&amp;""[\w &amp;]*, (\d+\.\d+)""),"""")
"),"")</f>
        <v/>
      </c>
      <c r="J361" s="3" t="str">
        <f aca="false">IFERROR(__xludf.dummyfunction("if($T361&lt;&gt;"""",REGEXEXTRACT($T361, J$1&amp;""[\w &amp;]*, (\d+\.\d+)""),"""")
"),"")</f>
        <v/>
      </c>
      <c r="K361" s="3"/>
      <c r="L361" s="3" t="str">
        <f aca="false">IFERROR(__xludf.dummyfunction("if($T361&lt;&gt;"""",REGEXEXTRACT(SUBSTITUTE ($T361,L$1&amp;"" CE"",""""), L$1&amp;""[\w &amp;]*, (\d+\.\d+)""),"""")
"),"")</f>
        <v/>
      </c>
      <c r="M361" s="3" t="str">
        <f aca="false">IFERROR(__xludf.dummyfunction("if($T361&lt;&gt;"""",REGEXEXTRACT($T361, M$1&amp;""[\w &amp;]*, (\d+\.\d+)""),"""")
"),"")</f>
        <v/>
      </c>
      <c r="N361" s="3" t="str">
        <f aca="false">IFERROR(__xludf.dummyfunction("if($T361&lt;&gt;"""",REGEXEXTRACT(SUBSTITUTE ($T361,N$1&amp;"" CE"",""""), N$1&amp;""[\w &amp;]*, (\d+\.\d+)""),"""")
"),"")</f>
        <v/>
      </c>
      <c r="O361" s="3" t="str">
        <f aca="false">IFERROR(__xludf.dummyfunction("if($T361&lt;&gt;"""",REGEXEXTRACT($T361, O$1&amp;""[\w &amp;]*, (\d+\.\d+)""),"""")
"),"")</f>
        <v/>
      </c>
      <c r="P361" s="2"/>
      <c r="Q361" s="2"/>
      <c r="R361" s="2"/>
      <c r="S361" s="2"/>
      <c r="T361" s="5"/>
    </row>
    <row r="362" customFormat="false" ht="15.75" hidden="false" customHeight="false" outlineLevel="0" collapsed="false">
      <c r="A362" s="4"/>
      <c r="B362" s="2"/>
      <c r="C362" s="2"/>
      <c r="D362" s="2"/>
      <c r="E362" s="2"/>
      <c r="F362" s="3" t="str">
        <f aca="false">IFERROR(__xludf.dummyfunction("if($T362&lt;&gt;"""",REGEXEXTRACT(SUBSTITUTE ($T362,F$1&amp;"" CE"",""""), F$1&amp;""[\w &amp;]*, (\d+\.\d+)""),"""")
"),"")</f>
        <v/>
      </c>
      <c r="G362" s="3" t="str">
        <f aca="false">IFERROR(__xludf.dummyfunction("if($T362&lt;&gt;"""",REGEXEXTRACT($T362, G$1&amp;""[\w &amp;]*, (\d+\.\d+)""),"""")
"),"")</f>
        <v/>
      </c>
      <c r="H362" s="3"/>
      <c r="I362" s="3" t="str">
        <f aca="false">IFERROR(__xludf.dummyfunction("if($T362&lt;&gt;"""",REGEXEXTRACT(SUBSTITUTE ($T362,I$1&amp;"" CE"",""""), I$1&amp;""[\w &amp;]*, (\d+\.\d+)""),"""")
"),"")</f>
        <v/>
      </c>
      <c r="J362" s="3" t="str">
        <f aca="false">IFERROR(__xludf.dummyfunction("if($T362&lt;&gt;"""",REGEXEXTRACT($T362, J$1&amp;""[\w &amp;]*, (\d+\.\d+)""),"""")
"),"")</f>
        <v/>
      </c>
      <c r="K362" s="3"/>
      <c r="L362" s="3" t="str">
        <f aca="false">IFERROR(__xludf.dummyfunction("if($T362&lt;&gt;"""",REGEXEXTRACT(SUBSTITUTE ($T362,L$1&amp;"" CE"",""""), L$1&amp;""[\w &amp;]*, (\d+\.\d+)""),"""")
"),"")</f>
        <v/>
      </c>
      <c r="M362" s="3" t="str">
        <f aca="false">IFERROR(__xludf.dummyfunction("if($T362&lt;&gt;"""",REGEXEXTRACT($T362, M$1&amp;""[\w &amp;]*, (\d+\.\d+)""),"""")
"),"")</f>
        <v/>
      </c>
      <c r="N362" s="3" t="str">
        <f aca="false">IFERROR(__xludf.dummyfunction("if($T362&lt;&gt;"""",REGEXEXTRACT(SUBSTITUTE ($T362,N$1&amp;"" CE"",""""), N$1&amp;""[\w &amp;]*, (\d+\.\d+)""),"""")
"),"")</f>
        <v/>
      </c>
      <c r="O362" s="3" t="str">
        <f aca="false">IFERROR(__xludf.dummyfunction("if($T362&lt;&gt;"""",REGEXEXTRACT($T362, O$1&amp;""[\w &amp;]*, (\d+\.\d+)""),"""")
"),"")</f>
        <v/>
      </c>
      <c r="P362" s="2"/>
      <c r="Q362" s="2"/>
      <c r="R362" s="2"/>
      <c r="S362" s="2"/>
      <c r="T362" s="5"/>
    </row>
    <row r="363" customFormat="false" ht="15.75" hidden="false" customHeight="false" outlineLevel="0" collapsed="false">
      <c r="A363" s="4"/>
      <c r="B363" s="2"/>
      <c r="C363" s="2"/>
      <c r="D363" s="2"/>
      <c r="E363" s="2"/>
      <c r="F363" s="3" t="str">
        <f aca="false">IFERROR(__xludf.dummyfunction("if($T363&lt;&gt;"""",REGEXEXTRACT(SUBSTITUTE ($T363,F$1&amp;"" CE"",""""), F$1&amp;""[\w &amp;]*, (\d+\.\d+)""),"""")
"),"")</f>
        <v/>
      </c>
      <c r="G363" s="3" t="str">
        <f aca="false">IFERROR(__xludf.dummyfunction("if($T363&lt;&gt;"""",REGEXEXTRACT($T363, G$1&amp;""[\w &amp;]*, (\d+\.\d+)""),"""")
"),"")</f>
        <v/>
      </c>
      <c r="H363" s="3"/>
      <c r="I363" s="3" t="str">
        <f aca="false">IFERROR(__xludf.dummyfunction("if($T363&lt;&gt;"""",REGEXEXTRACT(SUBSTITUTE ($T363,I$1&amp;"" CE"",""""), I$1&amp;""[\w &amp;]*, (\d+\.\d+)""),"""")
"),"")</f>
        <v/>
      </c>
      <c r="J363" s="3" t="str">
        <f aca="false">IFERROR(__xludf.dummyfunction("if($T363&lt;&gt;"""",REGEXEXTRACT($T363, J$1&amp;""[\w &amp;]*, (\d+\.\d+)""),"""")
"),"")</f>
        <v/>
      </c>
      <c r="K363" s="3"/>
      <c r="L363" s="3" t="str">
        <f aca="false">IFERROR(__xludf.dummyfunction("if($T363&lt;&gt;"""",REGEXEXTRACT(SUBSTITUTE ($T363,L$1&amp;"" CE"",""""), L$1&amp;""[\w &amp;]*, (\d+\.\d+)""),"""")
"),"")</f>
        <v/>
      </c>
      <c r="M363" s="3" t="str">
        <f aca="false">IFERROR(__xludf.dummyfunction("if($T363&lt;&gt;"""",REGEXEXTRACT($T363, M$1&amp;""[\w &amp;]*, (\d+\.\d+)""),"""")
"),"")</f>
        <v/>
      </c>
      <c r="N363" s="3" t="str">
        <f aca="false">IFERROR(__xludf.dummyfunction("if($T363&lt;&gt;"""",REGEXEXTRACT(SUBSTITUTE ($T363,N$1&amp;"" CE"",""""), N$1&amp;""[\w &amp;]*, (\d+\.\d+)""),"""")
"),"")</f>
        <v/>
      </c>
      <c r="O363" s="3" t="str">
        <f aca="false">IFERROR(__xludf.dummyfunction("if($T363&lt;&gt;"""",REGEXEXTRACT($T363, O$1&amp;""[\w &amp;]*, (\d+\.\d+)""),"""")
"),"")</f>
        <v/>
      </c>
      <c r="P363" s="2"/>
      <c r="Q363" s="2"/>
      <c r="R363" s="2"/>
      <c r="S363" s="2"/>
      <c r="T363" s="5"/>
    </row>
    <row r="364" customFormat="false" ht="15.75" hidden="false" customHeight="false" outlineLevel="0" collapsed="false">
      <c r="A364" s="4"/>
      <c r="B364" s="2"/>
      <c r="C364" s="2"/>
      <c r="D364" s="2"/>
      <c r="E364" s="2"/>
      <c r="F364" s="3" t="str">
        <f aca="false">IFERROR(__xludf.dummyfunction("if($T364&lt;&gt;"""",REGEXEXTRACT(SUBSTITUTE ($T364,F$1&amp;"" CE"",""""), F$1&amp;""[\w &amp;]*, (\d+\.\d+)""),"""")
"),"")</f>
        <v/>
      </c>
      <c r="G364" s="3" t="str">
        <f aca="false">IFERROR(__xludf.dummyfunction("if($T364&lt;&gt;"""",REGEXEXTRACT($T364, G$1&amp;""[\w &amp;]*, (\d+\.\d+)""),"""")
"),"")</f>
        <v/>
      </c>
      <c r="H364" s="3"/>
      <c r="I364" s="3" t="str">
        <f aca="false">IFERROR(__xludf.dummyfunction("if($T364&lt;&gt;"""",REGEXEXTRACT(SUBSTITUTE ($T364,I$1&amp;"" CE"",""""), I$1&amp;""[\w &amp;]*, (\d+\.\d+)""),"""")
"),"")</f>
        <v/>
      </c>
      <c r="J364" s="3" t="str">
        <f aca="false">IFERROR(__xludf.dummyfunction("if($T364&lt;&gt;"""",REGEXEXTRACT($T364, J$1&amp;""[\w &amp;]*, (\d+\.\d+)""),"""")
"),"")</f>
        <v/>
      </c>
      <c r="K364" s="3"/>
      <c r="L364" s="3" t="str">
        <f aca="false">IFERROR(__xludf.dummyfunction("if($T364&lt;&gt;"""",REGEXEXTRACT(SUBSTITUTE ($T364,L$1&amp;"" CE"",""""), L$1&amp;""[\w &amp;]*, (\d+\.\d+)""),"""")
"),"")</f>
        <v/>
      </c>
      <c r="M364" s="3" t="str">
        <f aca="false">IFERROR(__xludf.dummyfunction("if($T364&lt;&gt;"""",REGEXEXTRACT($T364, M$1&amp;""[\w &amp;]*, (\d+\.\d+)""),"""")
"),"")</f>
        <v/>
      </c>
      <c r="N364" s="3" t="str">
        <f aca="false">IFERROR(__xludf.dummyfunction("if($T364&lt;&gt;"""",REGEXEXTRACT(SUBSTITUTE ($T364,N$1&amp;"" CE"",""""), N$1&amp;""[\w &amp;]*, (\d+\.\d+)""),"""")
"),"")</f>
        <v/>
      </c>
      <c r="O364" s="3" t="str">
        <f aca="false">IFERROR(__xludf.dummyfunction("if($T364&lt;&gt;"""",REGEXEXTRACT($T364, O$1&amp;""[\w &amp;]*, (\d+\.\d+)""),"""")
"),"")</f>
        <v/>
      </c>
      <c r="P364" s="2"/>
      <c r="Q364" s="2"/>
      <c r="R364" s="2"/>
      <c r="S364" s="2"/>
      <c r="T364" s="5"/>
    </row>
    <row r="365" customFormat="false" ht="15.75" hidden="false" customHeight="false" outlineLevel="0" collapsed="false">
      <c r="A365" s="4"/>
      <c r="B365" s="2"/>
      <c r="C365" s="2"/>
      <c r="D365" s="2"/>
      <c r="E365" s="2"/>
      <c r="F365" s="3" t="str">
        <f aca="false">IFERROR(__xludf.dummyfunction("if($T365&lt;&gt;"""",REGEXEXTRACT(SUBSTITUTE ($T365,F$1&amp;"" CE"",""""), F$1&amp;""[\w &amp;]*, (\d+\.\d+)""),"""")
"),"")</f>
        <v/>
      </c>
      <c r="G365" s="3" t="str">
        <f aca="false">IFERROR(__xludf.dummyfunction("if($T365&lt;&gt;"""",REGEXEXTRACT($T365, G$1&amp;""[\w &amp;]*, (\d+\.\d+)""),"""")
"),"")</f>
        <v/>
      </c>
      <c r="H365" s="3"/>
      <c r="I365" s="3" t="str">
        <f aca="false">IFERROR(__xludf.dummyfunction("if($T365&lt;&gt;"""",REGEXEXTRACT(SUBSTITUTE ($T365,I$1&amp;"" CE"",""""), I$1&amp;""[\w &amp;]*, (\d+\.\d+)""),"""")
"),"")</f>
        <v/>
      </c>
      <c r="J365" s="3" t="str">
        <f aca="false">IFERROR(__xludf.dummyfunction("if($T365&lt;&gt;"""",REGEXEXTRACT($T365, J$1&amp;""[\w &amp;]*, (\d+\.\d+)""),"""")
"),"")</f>
        <v/>
      </c>
      <c r="K365" s="3"/>
      <c r="L365" s="3" t="str">
        <f aca="false">IFERROR(__xludf.dummyfunction("if($T365&lt;&gt;"""",REGEXEXTRACT(SUBSTITUTE ($T365,L$1&amp;"" CE"",""""), L$1&amp;""[\w &amp;]*, (\d+\.\d+)""),"""")
"),"")</f>
        <v/>
      </c>
      <c r="M365" s="3" t="str">
        <f aca="false">IFERROR(__xludf.dummyfunction("if($T365&lt;&gt;"""",REGEXEXTRACT($T365, M$1&amp;""[\w &amp;]*, (\d+\.\d+)""),"""")
"),"")</f>
        <v/>
      </c>
      <c r="N365" s="3" t="str">
        <f aca="false">IFERROR(__xludf.dummyfunction("if($T365&lt;&gt;"""",REGEXEXTRACT(SUBSTITUTE ($T365,N$1&amp;"" CE"",""""), N$1&amp;""[\w &amp;]*, (\d+\.\d+)""),"""")
"),"")</f>
        <v/>
      </c>
      <c r="O365" s="3" t="str">
        <f aca="false">IFERROR(__xludf.dummyfunction("if($T365&lt;&gt;"""",REGEXEXTRACT($T365, O$1&amp;""[\w &amp;]*, (\d+\.\d+)""),"""")
"),"")</f>
        <v/>
      </c>
      <c r="P365" s="2"/>
      <c r="Q365" s="2"/>
      <c r="R365" s="2"/>
      <c r="S365" s="2"/>
      <c r="T365" s="5"/>
    </row>
    <row r="366" customFormat="false" ht="15.75" hidden="false" customHeight="false" outlineLevel="0" collapsed="false">
      <c r="A366" s="4"/>
      <c r="B366" s="2"/>
      <c r="C366" s="2"/>
      <c r="D366" s="2"/>
      <c r="E366" s="2"/>
      <c r="F366" s="3" t="str">
        <f aca="false">IFERROR(__xludf.dummyfunction("if($T366&lt;&gt;"""",REGEXEXTRACT(SUBSTITUTE ($T366,F$1&amp;"" CE"",""""), F$1&amp;""[\w &amp;]*, (\d+\.\d+)""),"""")
"),"")</f>
        <v/>
      </c>
      <c r="G366" s="3" t="str">
        <f aca="false">IFERROR(__xludf.dummyfunction("if($T366&lt;&gt;"""",REGEXEXTRACT($T366, G$1&amp;""[\w &amp;]*, (\d+\.\d+)""),"""")
"),"")</f>
        <v/>
      </c>
      <c r="H366" s="3"/>
      <c r="I366" s="3" t="str">
        <f aca="false">IFERROR(__xludf.dummyfunction("if($T366&lt;&gt;"""",REGEXEXTRACT(SUBSTITUTE ($T366,I$1&amp;"" CE"",""""), I$1&amp;""[\w &amp;]*, (\d+\.\d+)""),"""")
"),"")</f>
        <v/>
      </c>
      <c r="J366" s="3" t="str">
        <f aca="false">IFERROR(__xludf.dummyfunction("if($T366&lt;&gt;"""",REGEXEXTRACT($T366, J$1&amp;""[\w &amp;]*, (\d+\.\d+)""),"""")
"),"")</f>
        <v/>
      </c>
      <c r="K366" s="3"/>
      <c r="L366" s="3" t="str">
        <f aca="false">IFERROR(__xludf.dummyfunction("if($T366&lt;&gt;"""",REGEXEXTRACT(SUBSTITUTE ($T366,L$1&amp;"" CE"",""""), L$1&amp;""[\w &amp;]*, (\d+\.\d+)""),"""")
"),"")</f>
        <v/>
      </c>
      <c r="M366" s="3" t="str">
        <f aca="false">IFERROR(__xludf.dummyfunction("if($T366&lt;&gt;"""",REGEXEXTRACT($T366, M$1&amp;""[\w &amp;]*, (\d+\.\d+)""),"""")
"),"")</f>
        <v/>
      </c>
      <c r="N366" s="3" t="str">
        <f aca="false">IFERROR(__xludf.dummyfunction("if($T366&lt;&gt;"""",REGEXEXTRACT(SUBSTITUTE ($T366,N$1&amp;"" CE"",""""), N$1&amp;""[\w &amp;]*, (\d+\.\d+)""),"""")
"),"")</f>
        <v/>
      </c>
      <c r="O366" s="3" t="str">
        <f aca="false">IFERROR(__xludf.dummyfunction("if($T366&lt;&gt;"""",REGEXEXTRACT($T366, O$1&amp;""[\w &amp;]*, (\d+\.\d+)""),"""")
"),"")</f>
        <v/>
      </c>
      <c r="P366" s="2"/>
      <c r="Q366" s="2"/>
      <c r="R366" s="2"/>
      <c r="S366" s="2"/>
      <c r="T366" s="5"/>
    </row>
    <row r="367" customFormat="false" ht="15.75" hidden="false" customHeight="false" outlineLevel="0" collapsed="false">
      <c r="A367" s="4"/>
      <c r="B367" s="2"/>
      <c r="C367" s="2"/>
      <c r="D367" s="2"/>
      <c r="E367" s="2"/>
      <c r="F367" s="3" t="str">
        <f aca="false">IFERROR(__xludf.dummyfunction("if($T367&lt;&gt;"""",REGEXEXTRACT(SUBSTITUTE ($T367,F$1&amp;"" CE"",""""), F$1&amp;""[\w &amp;]*, (\d+\.\d+)""),"""")
"),"")</f>
        <v/>
      </c>
      <c r="G367" s="3" t="str">
        <f aca="false">IFERROR(__xludf.dummyfunction("if($T367&lt;&gt;"""",REGEXEXTRACT($T367, G$1&amp;""[\w &amp;]*, (\d+\.\d+)""),"""")
"),"")</f>
        <v/>
      </c>
      <c r="H367" s="3"/>
      <c r="I367" s="3" t="str">
        <f aca="false">IFERROR(__xludf.dummyfunction("if($T367&lt;&gt;"""",REGEXEXTRACT(SUBSTITUTE ($T367,I$1&amp;"" CE"",""""), I$1&amp;""[\w &amp;]*, (\d+\.\d+)""),"""")
"),"")</f>
        <v/>
      </c>
      <c r="J367" s="3" t="str">
        <f aca="false">IFERROR(__xludf.dummyfunction("if($T367&lt;&gt;"""",REGEXEXTRACT($T367, J$1&amp;""[\w &amp;]*, (\d+\.\d+)""),"""")
"),"")</f>
        <v/>
      </c>
      <c r="K367" s="3"/>
      <c r="L367" s="3" t="str">
        <f aca="false">IFERROR(__xludf.dummyfunction("if($T367&lt;&gt;"""",REGEXEXTRACT(SUBSTITUTE ($T367,L$1&amp;"" CE"",""""), L$1&amp;""[\w &amp;]*, (\d+\.\d+)""),"""")
"),"")</f>
        <v/>
      </c>
      <c r="M367" s="3" t="str">
        <f aca="false">IFERROR(__xludf.dummyfunction("if($T367&lt;&gt;"""",REGEXEXTRACT($T367, M$1&amp;""[\w &amp;]*, (\d+\.\d+)""),"""")
"),"")</f>
        <v/>
      </c>
      <c r="N367" s="3" t="str">
        <f aca="false">IFERROR(__xludf.dummyfunction("if($T367&lt;&gt;"""",REGEXEXTRACT(SUBSTITUTE ($T367,N$1&amp;"" CE"",""""), N$1&amp;""[\w &amp;]*, (\d+\.\d+)""),"""")
"),"")</f>
        <v/>
      </c>
      <c r="O367" s="3" t="str">
        <f aca="false">IFERROR(__xludf.dummyfunction("if($T367&lt;&gt;"""",REGEXEXTRACT($T367, O$1&amp;""[\w &amp;]*, (\d+\.\d+)""),"""")
"),"")</f>
        <v/>
      </c>
      <c r="P367" s="2"/>
      <c r="Q367" s="2"/>
      <c r="R367" s="2"/>
      <c r="S367" s="2"/>
      <c r="T367" s="5"/>
    </row>
    <row r="368" customFormat="false" ht="15.75" hidden="false" customHeight="false" outlineLevel="0" collapsed="false">
      <c r="A368" s="4"/>
      <c r="B368" s="2"/>
      <c r="C368" s="2"/>
      <c r="D368" s="2"/>
      <c r="E368" s="2"/>
      <c r="F368" s="3" t="str">
        <f aca="false">IFERROR(__xludf.dummyfunction("if($T368&lt;&gt;"""",REGEXEXTRACT(SUBSTITUTE ($T368,F$1&amp;"" CE"",""""), F$1&amp;""[\w &amp;]*, (\d+\.\d+)""),"""")
"),"")</f>
        <v/>
      </c>
      <c r="G368" s="3" t="str">
        <f aca="false">IFERROR(__xludf.dummyfunction("if($T368&lt;&gt;"""",REGEXEXTRACT($T368, G$1&amp;""[\w &amp;]*, (\d+\.\d+)""),"""")
"),"")</f>
        <v/>
      </c>
      <c r="H368" s="3"/>
      <c r="I368" s="3" t="str">
        <f aca="false">IFERROR(__xludf.dummyfunction("if($T368&lt;&gt;"""",REGEXEXTRACT(SUBSTITUTE ($T368,I$1&amp;"" CE"",""""), I$1&amp;""[\w &amp;]*, (\d+\.\d+)""),"""")
"),"")</f>
        <v/>
      </c>
      <c r="J368" s="3" t="str">
        <f aca="false">IFERROR(__xludf.dummyfunction("if($T368&lt;&gt;"""",REGEXEXTRACT($T368, J$1&amp;""[\w &amp;]*, (\d+\.\d+)""),"""")
"),"")</f>
        <v/>
      </c>
      <c r="K368" s="3"/>
      <c r="L368" s="3" t="str">
        <f aca="false">IFERROR(__xludf.dummyfunction("if($T368&lt;&gt;"""",REGEXEXTRACT(SUBSTITUTE ($T368,L$1&amp;"" CE"",""""), L$1&amp;""[\w &amp;]*, (\d+\.\d+)""),"""")
"),"")</f>
        <v/>
      </c>
      <c r="M368" s="3" t="str">
        <f aca="false">IFERROR(__xludf.dummyfunction("if($T368&lt;&gt;"""",REGEXEXTRACT($T368, M$1&amp;""[\w &amp;]*, (\d+\.\d+)""),"""")
"),"")</f>
        <v/>
      </c>
      <c r="N368" s="3" t="str">
        <f aca="false">IFERROR(__xludf.dummyfunction("if($T368&lt;&gt;"""",REGEXEXTRACT(SUBSTITUTE ($T368,N$1&amp;"" CE"",""""), N$1&amp;""[\w &amp;]*, (\d+\.\d+)""),"""")
"),"")</f>
        <v/>
      </c>
      <c r="O368" s="3" t="str">
        <f aca="false">IFERROR(__xludf.dummyfunction("if($T368&lt;&gt;"""",REGEXEXTRACT($T368, O$1&amp;""[\w &amp;]*, (\d+\.\d+)""),"""")
"),"")</f>
        <v/>
      </c>
      <c r="P368" s="2"/>
      <c r="Q368" s="2"/>
      <c r="R368" s="2"/>
      <c r="S368" s="2"/>
      <c r="T368" s="5"/>
    </row>
    <row r="369" customFormat="false" ht="15.75" hidden="false" customHeight="false" outlineLevel="0" collapsed="false">
      <c r="A369" s="4"/>
      <c r="B369" s="2"/>
      <c r="C369" s="2"/>
      <c r="D369" s="2"/>
      <c r="E369" s="2"/>
      <c r="F369" s="3" t="str">
        <f aca="false">IFERROR(__xludf.dummyfunction("if($T369&lt;&gt;"""",REGEXEXTRACT(SUBSTITUTE ($T369,F$1&amp;"" CE"",""""), F$1&amp;""[\w &amp;]*, (\d+\.\d+)""),"""")
"),"")</f>
        <v/>
      </c>
      <c r="G369" s="3" t="str">
        <f aca="false">IFERROR(__xludf.dummyfunction("if($T369&lt;&gt;"""",REGEXEXTRACT($T369, G$1&amp;""[\w &amp;]*, (\d+\.\d+)""),"""")
"),"")</f>
        <v/>
      </c>
      <c r="H369" s="3"/>
      <c r="I369" s="3" t="str">
        <f aca="false">IFERROR(__xludf.dummyfunction("if($T369&lt;&gt;"""",REGEXEXTRACT(SUBSTITUTE ($T369,I$1&amp;"" CE"",""""), I$1&amp;""[\w &amp;]*, (\d+\.\d+)""),"""")
"),"")</f>
        <v/>
      </c>
      <c r="J369" s="3" t="str">
        <f aca="false">IFERROR(__xludf.dummyfunction("if($T369&lt;&gt;"""",REGEXEXTRACT($T369, J$1&amp;""[\w &amp;]*, (\d+\.\d+)""),"""")
"),"")</f>
        <v/>
      </c>
      <c r="K369" s="3"/>
      <c r="L369" s="3" t="str">
        <f aca="false">IFERROR(__xludf.dummyfunction("if($T369&lt;&gt;"""",REGEXEXTRACT(SUBSTITUTE ($T369,L$1&amp;"" CE"",""""), L$1&amp;""[\w &amp;]*, (\d+\.\d+)""),"""")
"),"")</f>
        <v/>
      </c>
      <c r="M369" s="3" t="str">
        <f aca="false">IFERROR(__xludf.dummyfunction("if($T369&lt;&gt;"""",REGEXEXTRACT($T369, M$1&amp;""[\w &amp;]*, (\d+\.\d+)""),"""")
"),"")</f>
        <v/>
      </c>
      <c r="N369" s="3" t="str">
        <f aca="false">IFERROR(__xludf.dummyfunction("if($T369&lt;&gt;"""",REGEXEXTRACT(SUBSTITUTE ($T369,N$1&amp;"" CE"",""""), N$1&amp;""[\w &amp;]*, (\d+\.\d+)""),"""")
"),"")</f>
        <v/>
      </c>
      <c r="O369" s="3" t="str">
        <f aca="false">IFERROR(__xludf.dummyfunction("if($T369&lt;&gt;"""",REGEXEXTRACT($T369, O$1&amp;""[\w &amp;]*, (\d+\.\d+)""),"""")
"),"")</f>
        <v/>
      </c>
      <c r="P369" s="2"/>
      <c r="Q369" s="2"/>
      <c r="R369" s="2"/>
      <c r="S369" s="2"/>
      <c r="T369" s="5"/>
    </row>
    <row r="370" customFormat="false" ht="15.75" hidden="false" customHeight="false" outlineLevel="0" collapsed="false">
      <c r="A370" s="4"/>
      <c r="B370" s="2"/>
      <c r="C370" s="2"/>
      <c r="D370" s="2"/>
      <c r="E370" s="2"/>
      <c r="F370" s="3" t="str">
        <f aca="false">IFERROR(__xludf.dummyfunction("if($T370&lt;&gt;"""",REGEXEXTRACT(SUBSTITUTE ($T370,F$1&amp;"" CE"",""""), F$1&amp;""[\w &amp;]*, (\d+\.\d+)""),"""")
"),"")</f>
        <v/>
      </c>
      <c r="G370" s="3" t="str">
        <f aca="false">IFERROR(__xludf.dummyfunction("if($T370&lt;&gt;"""",REGEXEXTRACT($T370, G$1&amp;""[\w &amp;]*, (\d+\.\d+)""),"""")
"),"")</f>
        <v/>
      </c>
      <c r="H370" s="3"/>
      <c r="I370" s="3" t="str">
        <f aca="false">IFERROR(__xludf.dummyfunction("if($T370&lt;&gt;"""",REGEXEXTRACT(SUBSTITUTE ($T370,I$1&amp;"" CE"",""""), I$1&amp;""[\w &amp;]*, (\d+\.\d+)""),"""")
"),"")</f>
        <v/>
      </c>
      <c r="J370" s="3" t="str">
        <f aca="false">IFERROR(__xludf.dummyfunction("if($T370&lt;&gt;"""",REGEXEXTRACT($T370, J$1&amp;""[\w &amp;]*, (\d+\.\d+)""),"""")
"),"")</f>
        <v/>
      </c>
      <c r="K370" s="3"/>
      <c r="L370" s="3" t="str">
        <f aca="false">IFERROR(__xludf.dummyfunction("if($T370&lt;&gt;"""",REGEXEXTRACT(SUBSTITUTE ($T370,L$1&amp;"" CE"",""""), L$1&amp;""[\w &amp;]*, (\d+\.\d+)""),"""")
"),"")</f>
        <v/>
      </c>
      <c r="M370" s="3" t="str">
        <f aca="false">IFERROR(__xludf.dummyfunction("if($T370&lt;&gt;"""",REGEXEXTRACT($T370, M$1&amp;""[\w &amp;]*, (\d+\.\d+)""),"""")
"),"")</f>
        <v/>
      </c>
      <c r="N370" s="3" t="str">
        <f aca="false">IFERROR(__xludf.dummyfunction("if($T370&lt;&gt;"""",REGEXEXTRACT(SUBSTITUTE ($T370,N$1&amp;"" CE"",""""), N$1&amp;""[\w &amp;]*, (\d+\.\d+)""),"""")
"),"")</f>
        <v/>
      </c>
      <c r="O370" s="3" t="str">
        <f aca="false">IFERROR(__xludf.dummyfunction("if($T370&lt;&gt;"""",REGEXEXTRACT($T370, O$1&amp;""[\w &amp;]*, (\d+\.\d+)""),"""")
"),"")</f>
        <v/>
      </c>
      <c r="P370" s="2"/>
      <c r="Q370" s="2"/>
      <c r="R370" s="2"/>
      <c r="S370" s="2"/>
      <c r="T370" s="5"/>
    </row>
    <row r="371" customFormat="false" ht="15.75" hidden="false" customHeight="false" outlineLevel="0" collapsed="false">
      <c r="A371" s="4"/>
      <c r="B371" s="2"/>
      <c r="C371" s="2"/>
      <c r="D371" s="2"/>
      <c r="E371" s="2"/>
      <c r="F371" s="3" t="str">
        <f aca="false">IFERROR(__xludf.dummyfunction("if($T371&lt;&gt;"""",REGEXEXTRACT(SUBSTITUTE ($T371,F$1&amp;"" CE"",""""), F$1&amp;""[\w &amp;]*, (\d+\.\d+)""),"""")
"),"")</f>
        <v/>
      </c>
      <c r="G371" s="3" t="str">
        <f aca="false">IFERROR(__xludf.dummyfunction("if($T371&lt;&gt;"""",REGEXEXTRACT($T371, G$1&amp;""[\w &amp;]*, (\d+\.\d+)""),"""")
"),"")</f>
        <v/>
      </c>
      <c r="H371" s="3"/>
      <c r="I371" s="3" t="str">
        <f aca="false">IFERROR(__xludf.dummyfunction("if($T371&lt;&gt;"""",REGEXEXTRACT(SUBSTITUTE ($T371,I$1&amp;"" CE"",""""), I$1&amp;""[\w &amp;]*, (\d+\.\d+)""),"""")
"),"")</f>
        <v/>
      </c>
      <c r="J371" s="3" t="str">
        <f aca="false">IFERROR(__xludf.dummyfunction("if($T371&lt;&gt;"""",REGEXEXTRACT($T371, J$1&amp;""[\w &amp;]*, (\d+\.\d+)""),"""")
"),"")</f>
        <v/>
      </c>
      <c r="K371" s="3"/>
      <c r="L371" s="3" t="str">
        <f aca="false">IFERROR(__xludf.dummyfunction("if($T371&lt;&gt;"""",REGEXEXTRACT(SUBSTITUTE ($T371,L$1&amp;"" CE"",""""), L$1&amp;""[\w &amp;]*, (\d+\.\d+)""),"""")
"),"")</f>
        <v/>
      </c>
      <c r="M371" s="3" t="str">
        <f aca="false">IFERROR(__xludf.dummyfunction("if($T371&lt;&gt;"""",REGEXEXTRACT($T371, M$1&amp;""[\w &amp;]*, (\d+\.\d+)""),"""")
"),"")</f>
        <v/>
      </c>
      <c r="N371" s="3" t="str">
        <f aca="false">IFERROR(__xludf.dummyfunction("if($T371&lt;&gt;"""",REGEXEXTRACT(SUBSTITUTE ($T371,N$1&amp;"" CE"",""""), N$1&amp;""[\w &amp;]*, (\d+\.\d+)""),"""")
"),"")</f>
        <v/>
      </c>
      <c r="O371" s="3" t="str">
        <f aca="false">IFERROR(__xludf.dummyfunction("if($T371&lt;&gt;"""",REGEXEXTRACT($T371, O$1&amp;""[\w &amp;]*, (\d+\.\d+)""),"""")
"),"")</f>
        <v/>
      </c>
      <c r="P371" s="2"/>
      <c r="Q371" s="2"/>
      <c r="R371" s="2"/>
      <c r="S371" s="2"/>
      <c r="T371" s="5"/>
    </row>
    <row r="372" customFormat="false" ht="15.75" hidden="false" customHeight="false" outlineLevel="0" collapsed="false">
      <c r="A372" s="4"/>
      <c r="B372" s="2"/>
      <c r="C372" s="2"/>
      <c r="D372" s="2"/>
      <c r="E372" s="2"/>
      <c r="F372" s="3" t="str">
        <f aca="false">IFERROR(__xludf.dummyfunction("if($T372&lt;&gt;"""",REGEXEXTRACT(SUBSTITUTE ($T372,F$1&amp;"" CE"",""""), F$1&amp;""[\w &amp;]*, (\d+\.\d+)""),"""")
"),"")</f>
        <v/>
      </c>
      <c r="G372" s="3" t="str">
        <f aca="false">IFERROR(__xludf.dummyfunction("if($T372&lt;&gt;"""",REGEXEXTRACT($T372, G$1&amp;""[\w &amp;]*, (\d+\.\d+)""),"""")
"),"")</f>
        <v/>
      </c>
      <c r="H372" s="3"/>
      <c r="I372" s="3" t="str">
        <f aca="false">IFERROR(__xludf.dummyfunction("if($T372&lt;&gt;"""",REGEXEXTRACT(SUBSTITUTE ($T372,I$1&amp;"" CE"",""""), I$1&amp;""[\w &amp;]*, (\d+\.\d+)""),"""")
"),"")</f>
        <v/>
      </c>
      <c r="J372" s="3" t="str">
        <f aca="false">IFERROR(__xludf.dummyfunction("if($T372&lt;&gt;"""",REGEXEXTRACT($T372, J$1&amp;""[\w &amp;]*, (\d+\.\d+)""),"""")
"),"")</f>
        <v/>
      </c>
      <c r="K372" s="3"/>
      <c r="L372" s="3" t="str">
        <f aca="false">IFERROR(__xludf.dummyfunction("if($T372&lt;&gt;"""",REGEXEXTRACT(SUBSTITUTE ($T372,L$1&amp;"" CE"",""""), L$1&amp;""[\w &amp;]*, (\d+\.\d+)""),"""")
"),"")</f>
        <v/>
      </c>
      <c r="M372" s="3" t="str">
        <f aca="false">IFERROR(__xludf.dummyfunction("if($T372&lt;&gt;"""",REGEXEXTRACT($T372, M$1&amp;""[\w &amp;]*, (\d+\.\d+)""),"""")
"),"")</f>
        <v/>
      </c>
      <c r="N372" s="3" t="str">
        <f aca="false">IFERROR(__xludf.dummyfunction("if($T372&lt;&gt;"""",REGEXEXTRACT(SUBSTITUTE ($T372,N$1&amp;"" CE"",""""), N$1&amp;""[\w &amp;]*, (\d+\.\d+)""),"""")
"),"")</f>
        <v/>
      </c>
      <c r="O372" s="3" t="str">
        <f aca="false">IFERROR(__xludf.dummyfunction("if($T372&lt;&gt;"""",REGEXEXTRACT($T372, O$1&amp;""[\w &amp;]*, (\d+\.\d+)""),"""")
"),"")</f>
        <v/>
      </c>
      <c r="P372" s="2"/>
      <c r="Q372" s="2"/>
      <c r="R372" s="2"/>
      <c r="S372" s="2"/>
      <c r="T372" s="5"/>
    </row>
    <row r="373" customFormat="false" ht="15.75" hidden="false" customHeight="false" outlineLevel="0" collapsed="false">
      <c r="A373" s="4"/>
      <c r="B373" s="2"/>
      <c r="C373" s="2"/>
      <c r="D373" s="2"/>
      <c r="E373" s="2"/>
      <c r="F373" s="3" t="str">
        <f aca="false">IFERROR(__xludf.dummyfunction("if($T373&lt;&gt;"""",REGEXEXTRACT(SUBSTITUTE ($T373,F$1&amp;"" CE"",""""), F$1&amp;""[\w &amp;]*, (\d+\.\d+)""),"""")
"),"")</f>
        <v/>
      </c>
      <c r="G373" s="3" t="str">
        <f aca="false">IFERROR(__xludf.dummyfunction("if($T373&lt;&gt;"""",REGEXEXTRACT($T373, G$1&amp;""[\w &amp;]*, (\d+\.\d+)""),"""")
"),"")</f>
        <v/>
      </c>
      <c r="H373" s="3"/>
      <c r="I373" s="3" t="str">
        <f aca="false">IFERROR(__xludf.dummyfunction("if($T373&lt;&gt;"""",REGEXEXTRACT(SUBSTITUTE ($T373,I$1&amp;"" CE"",""""), I$1&amp;""[\w &amp;]*, (\d+\.\d+)""),"""")
"),"")</f>
        <v/>
      </c>
      <c r="J373" s="3" t="str">
        <f aca="false">IFERROR(__xludf.dummyfunction("if($T373&lt;&gt;"""",REGEXEXTRACT($T373, J$1&amp;""[\w &amp;]*, (\d+\.\d+)""),"""")
"),"")</f>
        <v/>
      </c>
      <c r="K373" s="3"/>
      <c r="L373" s="3" t="str">
        <f aca="false">IFERROR(__xludf.dummyfunction("if($T373&lt;&gt;"""",REGEXEXTRACT(SUBSTITUTE ($T373,L$1&amp;"" CE"",""""), L$1&amp;""[\w &amp;]*, (\d+\.\d+)""),"""")
"),"")</f>
        <v/>
      </c>
      <c r="M373" s="3" t="str">
        <f aca="false">IFERROR(__xludf.dummyfunction("if($T373&lt;&gt;"""",REGEXEXTRACT($T373, M$1&amp;""[\w &amp;]*, (\d+\.\d+)""),"""")
"),"")</f>
        <v/>
      </c>
      <c r="N373" s="3" t="str">
        <f aca="false">IFERROR(__xludf.dummyfunction("if($T373&lt;&gt;"""",REGEXEXTRACT(SUBSTITUTE ($T373,N$1&amp;"" CE"",""""), N$1&amp;""[\w &amp;]*, (\d+\.\d+)""),"""")
"),"")</f>
        <v/>
      </c>
      <c r="O373" s="3" t="str">
        <f aca="false">IFERROR(__xludf.dummyfunction("if($T373&lt;&gt;"""",REGEXEXTRACT($T373, O$1&amp;""[\w &amp;]*, (\d+\.\d+)""),"""")
"),"")</f>
        <v/>
      </c>
      <c r="P373" s="2"/>
      <c r="Q373" s="2"/>
      <c r="R373" s="2"/>
      <c r="S373" s="2"/>
      <c r="T373" s="5"/>
    </row>
    <row r="374" customFormat="false" ht="15.75" hidden="false" customHeight="false" outlineLevel="0" collapsed="false">
      <c r="A374" s="4"/>
      <c r="B374" s="2"/>
      <c r="C374" s="2"/>
      <c r="D374" s="2"/>
      <c r="E374" s="2"/>
      <c r="F374" s="3" t="str">
        <f aca="false">IFERROR(__xludf.dummyfunction("if($T374&lt;&gt;"""",REGEXEXTRACT(SUBSTITUTE ($T374,F$1&amp;"" CE"",""""), F$1&amp;""[\w &amp;]*, (\d+\.\d+)""),"""")
"),"")</f>
        <v/>
      </c>
      <c r="G374" s="3" t="str">
        <f aca="false">IFERROR(__xludf.dummyfunction("if($T374&lt;&gt;"""",REGEXEXTRACT($T374, G$1&amp;""[\w &amp;]*, (\d+\.\d+)""),"""")
"),"")</f>
        <v/>
      </c>
      <c r="H374" s="3"/>
      <c r="I374" s="3" t="str">
        <f aca="false">IFERROR(__xludf.dummyfunction("if($T374&lt;&gt;"""",REGEXEXTRACT(SUBSTITUTE ($T374,I$1&amp;"" CE"",""""), I$1&amp;""[\w &amp;]*, (\d+\.\d+)""),"""")
"),"")</f>
        <v/>
      </c>
      <c r="J374" s="3" t="str">
        <f aca="false">IFERROR(__xludf.dummyfunction("if($T374&lt;&gt;"""",REGEXEXTRACT($T374, J$1&amp;""[\w &amp;]*, (\d+\.\d+)""),"""")
"),"")</f>
        <v/>
      </c>
      <c r="K374" s="3"/>
      <c r="L374" s="3" t="str">
        <f aca="false">IFERROR(__xludf.dummyfunction("if($T374&lt;&gt;"""",REGEXEXTRACT(SUBSTITUTE ($T374,L$1&amp;"" CE"",""""), L$1&amp;""[\w &amp;]*, (\d+\.\d+)""),"""")
"),"")</f>
        <v/>
      </c>
      <c r="M374" s="3" t="str">
        <f aca="false">IFERROR(__xludf.dummyfunction("if($T374&lt;&gt;"""",REGEXEXTRACT($T374, M$1&amp;""[\w &amp;]*, (\d+\.\d+)""),"""")
"),"")</f>
        <v/>
      </c>
      <c r="N374" s="3" t="str">
        <f aca="false">IFERROR(__xludf.dummyfunction("if($T374&lt;&gt;"""",REGEXEXTRACT(SUBSTITUTE ($T374,N$1&amp;"" CE"",""""), N$1&amp;""[\w &amp;]*, (\d+\.\d+)""),"""")
"),"")</f>
        <v/>
      </c>
      <c r="O374" s="3" t="str">
        <f aca="false">IFERROR(__xludf.dummyfunction("if($T374&lt;&gt;"""",REGEXEXTRACT($T374, O$1&amp;""[\w &amp;]*, (\d+\.\d+)""),"""")
"),"")</f>
        <v/>
      </c>
      <c r="P374" s="2"/>
      <c r="Q374" s="2"/>
      <c r="R374" s="2"/>
      <c r="S374" s="2"/>
      <c r="T374" s="5"/>
    </row>
    <row r="375" customFormat="false" ht="15.75" hidden="false" customHeight="false" outlineLevel="0" collapsed="false">
      <c r="A375" s="4"/>
      <c r="B375" s="2"/>
      <c r="C375" s="2"/>
      <c r="D375" s="2"/>
      <c r="E375" s="2"/>
      <c r="F375" s="3" t="str">
        <f aca="false">IFERROR(__xludf.dummyfunction("if($T375&lt;&gt;"""",REGEXEXTRACT(SUBSTITUTE ($T375,F$1&amp;"" CE"",""""), F$1&amp;""[\w &amp;]*, (\d+\.\d+)""),"""")
"),"")</f>
        <v/>
      </c>
      <c r="G375" s="3" t="str">
        <f aca="false">IFERROR(__xludf.dummyfunction("if($T375&lt;&gt;"""",REGEXEXTRACT($T375, G$1&amp;""[\w &amp;]*, (\d+\.\d+)""),"""")
"),"")</f>
        <v/>
      </c>
      <c r="H375" s="3"/>
      <c r="I375" s="3" t="str">
        <f aca="false">IFERROR(__xludf.dummyfunction("if($T375&lt;&gt;"""",REGEXEXTRACT(SUBSTITUTE ($T375,I$1&amp;"" CE"",""""), I$1&amp;""[\w &amp;]*, (\d+\.\d+)""),"""")
"),"")</f>
        <v/>
      </c>
      <c r="J375" s="3" t="str">
        <f aca="false">IFERROR(__xludf.dummyfunction("if($T375&lt;&gt;"""",REGEXEXTRACT($T375, J$1&amp;""[\w &amp;]*, (\d+\.\d+)""),"""")
"),"")</f>
        <v/>
      </c>
      <c r="K375" s="3"/>
      <c r="L375" s="3" t="str">
        <f aca="false">IFERROR(__xludf.dummyfunction("if($T375&lt;&gt;"""",REGEXEXTRACT(SUBSTITUTE ($T375,L$1&amp;"" CE"",""""), L$1&amp;""[\w &amp;]*, (\d+\.\d+)""),"""")
"),"")</f>
        <v/>
      </c>
      <c r="M375" s="3" t="str">
        <f aca="false">IFERROR(__xludf.dummyfunction("if($T375&lt;&gt;"""",REGEXEXTRACT($T375, M$1&amp;""[\w &amp;]*, (\d+\.\d+)""),"""")
"),"")</f>
        <v/>
      </c>
      <c r="N375" s="3" t="str">
        <f aca="false">IFERROR(__xludf.dummyfunction("if($T375&lt;&gt;"""",REGEXEXTRACT(SUBSTITUTE ($T375,N$1&amp;"" CE"",""""), N$1&amp;""[\w &amp;]*, (\d+\.\d+)""),"""")
"),"")</f>
        <v/>
      </c>
      <c r="O375" s="3" t="str">
        <f aca="false">IFERROR(__xludf.dummyfunction("if($T375&lt;&gt;"""",REGEXEXTRACT($T375, O$1&amp;""[\w &amp;]*, (\d+\.\d+)""),"""")
"),"")</f>
        <v/>
      </c>
      <c r="P375" s="2"/>
      <c r="Q375" s="2"/>
      <c r="R375" s="2"/>
      <c r="S375" s="2"/>
      <c r="T375" s="5"/>
    </row>
    <row r="376" customFormat="false" ht="15.75" hidden="false" customHeight="false" outlineLevel="0" collapsed="false">
      <c r="A376" s="4"/>
      <c r="B376" s="2"/>
      <c r="C376" s="2"/>
      <c r="D376" s="2"/>
      <c r="E376" s="2"/>
      <c r="F376" s="3" t="str">
        <f aca="false">IFERROR(__xludf.dummyfunction("if($T376&lt;&gt;"""",REGEXEXTRACT(SUBSTITUTE ($T376,F$1&amp;"" CE"",""""), F$1&amp;""[\w &amp;]*, (\d+\.\d+)""),"""")
"),"")</f>
        <v/>
      </c>
      <c r="G376" s="3" t="str">
        <f aca="false">IFERROR(__xludf.dummyfunction("if($T376&lt;&gt;"""",REGEXEXTRACT($T376, G$1&amp;""[\w &amp;]*, (\d+\.\d+)""),"""")
"),"")</f>
        <v/>
      </c>
      <c r="H376" s="3"/>
      <c r="I376" s="3" t="str">
        <f aca="false">IFERROR(__xludf.dummyfunction("if($T376&lt;&gt;"""",REGEXEXTRACT(SUBSTITUTE ($T376,I$1&amp;"" CE"",""""), I$1&amp;""[\w &amp;]*, (\d+\.\d+)""),"""")
"),"")</f>
        <v/>
      </c>
      <c r="J376" s="3" t="str">
        <f aca="false">IFERROR(__xludf.dummyfunction("if($T376&lt;&gt;"""",REGEXEXTRACT($T376, J$1&amp;""[\w &amp;]*, (\d+\.\d+)""),"""")
"),"")</f>
        <v/>
      </c>
      <c r="K376" s="3"/>
      <c r="L376" s="3" t="str">
        <f aca="false">IFERROR(__xludf.dummyfunction("if($T376&lt;&gt;"""",REGEXEXTRACT(SUBSTITUTE ($T376,L$1&amp;"" CE"",""""), L$1&amp;""[\w &amp;]*, (\d+\.\d+)""),"""")
"),"")</f>
        <v/>
      </c>
      <c r="M376" s="3" t="str">
        <f aca="false">IFERROR(__xludf.dummyfunction("if($T376&lt;&gt;"""",REGEXEXTRACT($T376, M$1&amp;""[\w &amp;]*, (\d+\.\d+)""),"""")
"),"")</f>
        <v/>
      </c>
      <c r="N376" s="3" t="str">
        <f aca="false">IFERROR(__xludf.dummyfunction("if($T376&lt;&gt;"""",REGEXEXTRACT(SUBSTITUTE ($T376,N$1&amp;"" CE"",""""), N$1&amp;""[\w &amp;]*, (\d+\.\d+)""),"""")
"),"")</f>
        <v/>
      </c>
      <c r="O376" s="3" t="str">
        <f aca="false">IFERROR(__xludf.dummyfunction("if($T376&lt;&gt;"""",REGEXEXTRACT($T376, O$1&amp;""[\w &amp;]*, (\d+\.\d+)""),"""")
"),"")</f>
        <v/>
      </c>
      <c r="P376" s="2"/>
      <c r="Q376" s="2"/>
      <c r="R376" s="2"/>
      <c r="S376" s="2"/>
      <c r="T376" s="5"/>
    </row>
    <row r="377" customFormat="false" ht="15.75" hidden="false" customHeight="false" outlineLevel="0" collapsed="false">
      <c r="A377" s="4"/>
      <c r="B377" s="2"/>
      <c r="C377" s="2"/>
      <c r="D377" s="2"/>
      <c r="E377" s="2"/>
      <c r="F377" s="3" t="str">
        <f aca="false">IFERROR(__xludf.dummyfunction("if($T377&lt;&gt;"""",REGEXEXTRACT(SUBSTITUTE ($T377,F$1&amp;"" CE"",""""), F$1&amp;""[\w &amp;]*, (\d+\.\d+)""),"""")
"),"")</f>
        <v/>
      </c>
      <c r="G377" s="3" t="str">
        <f aca="false">IFERROR(__xludf.dummyfunction("if($T377&lt;&gt;"""",REGEXEXTRACT($T377, G$1&amp;""[\w &amp;]*, (\d+\.\d+)""),"""")
"),"")</f>
        <v/>
      </c>
      <c r="H377" s="3"/>
      <c r="I377" s="3" t="str">
        <f aca="false">IFERROR(__xludf.dummyfunction("if($T377&lt;&gt;"""",REGEXEXTRACT(SUBSTITUTE ($T377,I$1&amp;"" CE"",""""), I$1&amp;""[\w &amp;]*, (\d+\.\d+)""),"""")
"),"")</f>
        <v/>
      </c>
      <c r="J377" s="3" t="str">
        <f aca="false">IFERROR(__xludf.dummyfunction("if($T377&lt;&gt;"""",REGEXEXTRACT($T377, J$1&amp;""[\w &amp;]*, (\d+\.\d+)""),"""")
"),"")</f>
        <v/>
      </c>
      <c r="K377" s="3"/>
      <c r="L377" s="3" t="str">
        <f aca="false">IFERROR(__xludf.dummyfunction("if($T377&lt;&gt;"""",REGEXEXTRACT(SUBSTITUTE ($T377,L$1&amp;"" CE"",""""), L$1&amp;""[\w &amp;]*, (\d+\.\d+)""),"""")
"),"")</f>
        <v/>
      </c>
      <c r="M377" s="3" t="str">
        <f aca="false">IFERROR(__xludf.dummyfunction("if($T377&lt;&gt;"""",REGEXEXTRACT($T377, M$1&amp;""[\w &amp;]*, (\d+\.\d+)""),"""")
"),"")</f>
        <v/>
      </c>
      <c r="N377" s="3" t="str">
        <f aca="false">IFERROR(__xludf.dummyfunction("if($T377&lt;&gt;"""",REGEXEXTRACT(SUBSTITUTE ($T377,N$1&amp;"" CE"",""""), N$1&amp;""[\w &amp;]*, (\d+\.\d+)""),"""")
"),"")</f>
        <v/>
      </c>
      <c r="O377" s="3" t="str">
        <f aca="false">IFERROR(__xludf.dummyfunction("if($T377&lt;&gt;"""",REGEXEXTRACT($T377, O$1&amp;""[\w &amp;]*, (\d+\.\d+)""),"""")
"),"")</f>
        <v/>
      </c>
      <c r="P377" s="2"/>
      <c r="Q377" s="2"/>
      <c r="R377" s="2"/>
      <c r="S377" s="2"/>
      <c r="T377" s="5"/>
    </row>
    <row r="378" customFormat="false" ht="15.75" hidden="false" customHeight="false" outlineLevel="0" collapsed="false">
      <c r="A378" s="4"/>
      <c r="B378" s="2"/>
      <c r="C378" s="2"/>
      <c r="D378" s="2"/>
      <c r="E378" s="2"/>
      <c r="F378" s="3" t="str">
        <f aca="false">IFERROR(__xludf.dummyfunction("if($T378&lt;&gt;"""",REGEXEXTRACT(SUBSTITUTE ($T378,F$1&amp;"" CE"",""""), F$1&amp;""[\w &amp;]*, (\d+\.\d+)""),"""")
"),"")</f>
        <v/>
      </c>
      <c r="G378" s="3" t="str">
        <f aca="false">IFERROR(__xludf.dummyfunction("if($T378&lt;&gt;"""",REGEXEXTRACT($T378, G$1&amp;""[\w &amp;]*, (\d+\.\d+)""),"""")
"),"")</f>
        <v/>
      </c>
      <c r="H378" s="3"/>
      <c r="I378" s="3" t="str">
        <f aca="false">IFERROR(__xludf.dummyfunction("if($T378&lt;&gt;"""",REGEXEXTRACT(SUBSTITUTE ($T378,I$1&amp;"" CE"",""""), I$1&amp;""[\w &amp;]*, (\d+\.\d+)""),"""")
"),"")</f>
        <v/>
      </c>
      <c r="J378" s="3" t="str">
        <f aca="false">IFERROR(__xludf.dummyfunction("if($T378&lt;&gt;"""",REGEXEXTRACT($T378, J$1&amp;""[\w &amp;]*, (\d+\.\d+)""),"""")
"),"")</f>
        <v/>
      </c>
      <c r="K378" s="3"/>
      <c r="L378" s="3" t="str">
        <f aca="false">IFERROR(__xludf.dummyfunction("if($T378&lt;&gt;"""",REGEXEXTRACT(SUBSTITUTE ($T378,L$1&amp;"" CE"",""""), L$1&amp;""[\w &amp;]*, (\d+\.\d+)""),"""")
"),"")</f>
        <v/>
      </c>
      <c r="M378" s="3" t="str">
        <f aca="false">IFERROR(__xludf.dummyfunction("if($T378&lt;&gt;"""",REGEXEXTRACT($T378, M$1&amp;""[\w &amp;]*, (\d+\.\d+)""),"""")
"),"")</f>
        <v/>
      </c>
      <c r="N378" s="3" t="str">
        <f aca="false">IFERROR(__xludf.dummyfunction("if($T378&lt;&gt;"""",REGEXEXTRACT(SUBSTITUTE ($T378,N$1&amp;"" CE"",""""), N$1&amp;""[\w &amp;]*, (\d+\.\d+)""),"""")
"),"")</f>
        <v/>
      </c>
      <c r="O378" s="3" t="str">
        <f aca="false">IFERROR(__xludf.dummyfunction("if($T378&lt;&gt;"""",REGEXEXTRACT($T378, O$1&amp;""[\w &amp;]*, (\d+\.\d+)""),"""")
"),"")</f>
        <v/>
      </c>
      <c r="P378" s="2"/>
      <c r="Q378" s="2"/>
      <c r="R378" s="2"/>
      <c r="S378" s="2"/>
      <c r="T378" s="5"/>
    </row>
    <row r="379" customFormat="false" ht="15.75" hidden="false" customHeight="false" outlineLevel="0" collapsed="false">
      <c r="A379" s="4"/>
      <c r="B379" s="2"/>
      <c r="C379" s="2"/>
      <c r="D379" s="2"/>
      <c r="E379" s="2"/>
      <c r="F379" s="3" t="str">
        <f aca="false">IFERROR(__xludf.dummyfunction("if($T379&lt;&gt;"""",REGEXEXTRACT(SUBSTITUTE ($T379,F$1&amp;"" CE"",""""), F$1&amp;""[\w &amp;]*, (\d+\.\d+)""),"""")
"),"")</f>
        <v/>
      </c>
      <c r="G379" s="3" t="str">
        <f aca="false">IFERROR(__xludf.dummyfunction("if($T379&lt;&gt;"""",REGEXEXTRACT($T379, G$1&amp;""[\w &amp;]*, (\d+\.\d+)""),"""")
"),"")</f>
        <v/>
      </c>
      <c r="H379" s="3"/>
      <c r="I379" s="3" t="str">
        <f aca="false">IFERROR(__xludf.dummyfunction("if($T379&lt;&gt;"""",REGEXEXTRACT(SUBSTITUTE ($T379,I$1&amp;"" CE"",""""), I$1&amp;""[\w &amp;]*, (\d+\.\d+)""),"""")
"),"")</f>
        <v/>
      </c>
      <c r="J379" s="3" t="str">
        <f aca="false">IFERROR(__xludf.dummyfunction("if($T379&lt;&gt;"""",REGEXEXTRACT($T379, J$1&amp;""[\w &amp;]*, (\d+\.\d+)""),"""")
"),"")</f>
        <v/>
      </c>
      <c r="K379" s="3"/>
      <c r="L379" s="3" t="str">
        <f aca="false">IFERROR(__xludf.dummyfunction("if($T379&lt;&gt;"""",REGEXEXTRACT(SUBSTITUTE ($T379,L$1&amp;"" CE"",""""), L$1&amp;""[\w &amp;]*, (\d+\.\d+)""),"""")
"),"")</f>
        <v/>
      </c>
      <c r="M379" s="3" t="str">
        <f aca="false">IFERROR(__xludf.dummyfunction("if($T379&lt;&gt;"""",REGEXEXTRACT($T379, M$1&amp;""[\w &amp;]*, (\d+\.\d+)""),"""")
"),"")</f>
        <v/>
      </c>
      <c r="N379" s="3" t="str">
        <f aca="false">IFERROR(__xludf.dummyfunction("if($T379&lt;&gt;"""",REGEXEXTRACT(SUBSTITUTE ($T379,N$1&amp;"" CE"",""""), N$1&amp;""[\w &amp;]*, (\d+\.\d+)""),"""")
"),"")</f>
        <v/>
      </c>
      <c r="O379" s="3" t="str">
        <f aca="false">IFERROR(__xludf.dummyfunction("if($T379&lt;&gt;"""",REGEXEXTRACT($T379, O$1&amp;""[\w &amp;]*, (\d+\.\d+)""),"""")
"),"")</f>
        <v/>
      </c>
      <c r="P379" s="2"/>
      <c r="Q379" s="2"/>
      <c r="R379" s="2"/>
      <c r="S379" s="2"/>
      <c r="T379" s="5"/>
    </row>
    <row r="380" customFormat="false" ht="15.75" hidden="false" customHeight="false" outlineLevel="0" collapsed="false">
      <c r="A380" s="4"/>
      <c r="B380" s="2"/>
      <c r="C380" s="2"/>
      <c r="D380" s="2"/>
      <c r="E380" s="2"/>
      <c r="F380" s="3" t="str">
        <f aca="false">IFERROR(__xludf.dummyfunction("if($T380&lt;&gt;"""",REGEXEXTRACT(SUBSTITUTE ($T380,F$1&amp;"" CE"",""""), F$1&amp;""[\w &amp;]*, (\d+\.\d+)""),"""")
"),"")</f>
        <v/>
      </c>
      <c r="G380" s="3" t="str">
        <f aca="false">IFERROR(__xludf.dummyfunction("if($T380&lt;&gt;"""",REGEXEXTRACT($T380, G$1&amp;""[\w &amp;]*, (\d+\.\d+)""),"""")
"),"")</f>
        <v/>
      </c>
      <c r="H380" s="3"/>
      <c r="I380" s="3" t="str">
        <f aca="false">IFERROR(__xludf.dummyfunction("if($T380&lt;&gt;"""",REGEXEXTRACT(SUBSTITUTE ($T380,I$1&amp;"" CE"",""""), I$1&amp;""[\w &amp;]*, (\d+\.\d+)""),"""")
"),"")</f>
        <v/>
      </c>
      <c r="J380" s="3" t="str">
        <f aca="false">IFERROR(__xludf.dummyfunction("if($T380&lt;&gt;"""",REGEXEXTRACT($T380, J$1&amp;""[\w &amp;]*, (\d+\.\d+)""),"""")
"),"")</f>
        <v/>
      </c>
      <c r="K380" s="3"/>
      <c r="L380" s="3" t="str">
        <f aca="false">IFERROR(__xludf.dummyfunction("if($T380&lt;&gt;"""",REGEXEXTRACT(SUBSTITUTE ($T380,L$1&amp;"" CE"",""""), L$1&amp;""[\w &amp;]*, (\d+\.\d+)""),"""")
"),"")</f>
        <v/>
      </c>
      <c r="M380" s="3" t="str">
        <f aca="false">IFERROR(__xludf.dummyfunction("if($T380&lt;&gt;"""",REGEXEXTRACT($T380, M$1&amp;""[\w &amp;]*, (\d+\.\d+)""),"""")
"),"")</f>
        <v/>
      </c>
      <c r="N380" s="3" t="str">
        <f aca="false">IFERROR(__xludf.dummyfunction("if($T380&lt;&gt;"""",REGEXEXTRACT(SUBSTITUTE ($T380,N$1&amp;"" CE"",""""), N$1&amp;""[\w &amp;]*, (\d+\.\d+)""),"""")
"),"")</f>
        <v/>
      </c>
      <c r="O380" s="3" t="str">
        <f aca="false">IFERROR(__xludf.dummyfunction("if($T380&lt;&gt;"""",REGEXEXTRACT($T380, O$1&amp;""[\w &amp;]*, (\d+\.\d+)""),"""")
"),"")</f>
        <v/>
      </c>
      <c r="P380" s="2"/>
      <c r="Q380" s="2"/>
      <c r="R380" s="2"/>
      <c r="S380" s="2"/>
      <c r="T380" s="5"/>
    </row>
    <row r="381" customFormat="false" ht="15.75" hidden="false" customHeight="false" outlineLevel="0" collapsed="false">
      <c r="A381" s="4"/>
      <c r="B381" s="2"/>
      <c r="C381" s="2"/>
      <c r="D381" s="2"/>
      <c r="E381" s="2"/>
      <c r="F381" s="3" t="str">
        <f aca="false">IFERROR(__xludf.dummyfunction("if($T381&lt;&gt;"""",REGEXEXTRACT(SUBSTITUTE ($T381,F$1&amp;"" CE"",""""), F$1&amp;""[\w &amp;]*, (\d+\.\d+)""),"""")
"),"")</f>
        <v/>
      </c>
      <c r="G381" s="3" t="str">
        <f aca="false">IFERROR(__xludf.dummyfunction("if($T381&lt;&gt;"""",REGEXEXTRACT($T381, G$1&amp;""[\w &amp;]*, (\d+\.\d+)""),"""")
"),"")</f>
        <v/>
      </c>
      <c r="H381" s="3"/>
      <c r="I381" s="3" t="str">
        <f aca="false">IFERROR(__xludf.dummyfunction("if($T381&lt;&gt;"""",REGEXEXTRACT(SUBSTITUTE ($T381,I$1&amp;"" CE"",""""), I$1&amp;""[\w &amp;]*, (\d+\.\d+)""),"""")
"),"")</f>
        <v/>
      </c>
      <c r="J381" s="3" t="str">
        <f aca="false">IFERROR(__xludf.dummyfunction("if($T381&lt;&gt;"""",REGEXEXTRACT($T381, J$1&amp;""[\w &amp;]*, (\d+\.\d+)""),"""")
"),"")</f>
        <v/>
      </c>
      <c r="K381" s="3"/>
      <c r="L381" s="3" t="str">
        <f aca="false">IFERROR(__xludf.dummyfunction("if($T381&lt;&gt;"""",REGEXEXTRACT(SUBSTITUTE ($T381,L$1&amp;"" CE"",""""), L$1&amp;""[\w &amp;]*, (\d+\.\d+)""),"""")
"),"")</f>
        <v/>
      </c>
      <c r="M381" s="3" t="str">
        <f aca="false">IFERROR(__xludf.dummyfunction("if($T381&lt;&gt;"""",REGEXEXTRACT($T381, M$1&amp;""[\w &amp;]*, (\d+\.\d+)""),"""")
"),"")</f>
        <v/>
      </c>
      <c r="N381" s="3" t="str">
        <f aca="false">IFERROR(__xludf.dummyfunction("if($T381&lt;&gt;"""",REGEXEXTRACT(SUBSTITUTE ($T381,N$1&amp;"" CE"",""""), N$1&amp;""[\w &amp;]*, (\d+\.\d+)""),"""")
"),"")</f>
        <v/>
      </c>
      <c r="O381" s="3" t="str">
        <f aca="false">IFERROR(__xludf.dummyfunction("if($T381&lt;&gt;"""",REGEXEXTRACT($T381, O$1&amp;""[\w &amp;]*, (\d+\.\d+)""),"""")
"),"")</f>
        <v/>
      </c>
      <c r="P381" s="2"/>
      <c r="Q381" s="2"/>
      <c r="R381" s="2"/>
      <c r="S381" s="2"/>
      <c r="T381" s="5"/>
    </row>
    <row r="382" customFormat="false" ht="15.75" hidden="false" customHeight="false" outlineLevel="0" collapsed="false">
      <c r="A382" s="4"/>
      <c r="B382" s="2"/>
      <c r="C382" s="2"/>
      <c r="D382" s="2"/>
      <c r="E382" s="2"/>
      <c r="F382" s="3" t="str">
        <f aca="false">IFERROR(__xludf.dummyfunction("if($T382&lt;&gt;"""",REGEXEXTRACT(SUBSTITUTE ($T382,F$1&amp;"" CE"",""""), F$1&amp;""[\w &amp;]*, (\d+\.\d+)""),"""")
"),"")</f>
        <v/>
      </c>
      <c r="G382" s="3" t="str">
        <f aca="false">IFERROR(__xludf.dummyfunction("if($T382&lt;&gt;"""",REGEXEXTRACT($T382, G$1&amp;""[\w &amp;]*, (\d+\.\d+)""),"""")
"),"")</f>
        <v/>
      </c>
      <c r="H382" s="3"/>
      <c r="I382" s="3" t="str">
        <f aca="false">IFERROR(__xludf.dummyfunction("if($T382&lt;&gt;"""",REGEXEXTRACT(SUBSTITUTE ($T382,I$1&amp;"" CE"",""""), I$1&amp;""[\w &amp;]*, (\d+\.\d+)""),"""")
"),"")</f>
        <v/>
      </c>
      <c r="J382" s="3" t="str">
        <f aca="false">IFERROR(__xludf.dummyfunction("if($T382&lt;&gt;"""",REGEXEXTRACT($T382, J$1&amp;""[\w &amp;]*, (\d+\.\d+)""),"""")
"),"")</f>
        <v/>
      </c>
      <c r="K382" s="3"/>
      <c r="L382" s="3" t="str">
        <f aca="false">IFERROR(__xludf.dummyfunction("if($T382&lt;&gt;"""",REGEXEXTRACT(SUBSTITUTE ($T382,L$1&amp;"" CE"",""""), L$1&amp;""[\w &amp;]*, (\d+\.\d+)""),"""")
"),"")</f>
        <v/>
      </c>
      <c r="M382" s="3" t="str">
        <f aca="false">IFERROR(__xludf.dummyfunction("if($T382&lt;&gt;"""",REGEXEXTRACT($T382, M$1&amp;""[\w &amp;]*, (\d+\.\d+)""),"""")
"),"")</f>
        <v/>
      </c>
      <c r="N382" s="3" t="str">
        <f aca="false">IFERROR(__xludf.dummyfunction("if($T382&lt;&gt;"""",REGEXEXTRACT(SUBSTITUTE ($T382,N$1&amp;"" CE"",""""), N$1&amp;""[\w &amp;]*, (\d+\.\d+)""),"""")
"),"")</f>
        <v/>
      </c>
      <c r="O382" s="3" t="str">
        <f aca="false">IFERROR(__xludf.dummyfunction("if($T382&lt;&gt;"""",REGEXEXTRACT($T382, O$1&amp;""[\w &amp;]*, (\d+\.\d+)""),"""")
"),"")</f>
        <v/>
      </c>
      <c r="P382" s="2"/>
      <c r="Q382" s="2"/>
      <c r="R382" s="2"/>
      <c r="S382" s="2"/>
      <c r="T382" s="5"/>
    </row>
    <row r="383" customFormat="false" ht="15.75" hidden="false" customHeight="false" outlineLevel="0" collapsed="false">
      <c r="A383" s="4"/>
      <c r="B383" s="2"/>
      <c r="C383" s="2"/>
      <c r="D383" s="2"/>
      <c r="E383" s="2"/>
      <c r="F383" s="3" t="str">
        <f aca="false">IFERROR(__xludf.dummyfunction("if($T383&lt;&gt;"""",REGEXEXTRACT(SUBSTITUTE ($T383,F$1&amp;"" CE"",""""), F$1&amp;""[\w &amp;]*, (\d+\.\d+)""),"""")
"),"")</f>
        <v/>
      </c>
      <c r="G383" s="3" t="str">
        <f aca="false">IFERROR(__xludf.dummyfunction("if($T383&lt;&gt;"""",REGEXEXTRACT($T383, G$1&amp;""[\w &amp;]*, (\d+\.\d+)""),"""")
"),"")</f>
        <v/>
      </c>
      <c r="H383" s="3"/>
      <c r="I383" s="3" t="str">
        <f aca="false">IFERROR(__xludf.dummyfunction("if($T383&lt;&gt;"""",REGEXEXTRACT(SUBSTITUTE ($T383,I$1&amp;"" CE"",""""), I$1&amp;""[\w &amp;]*, (\d+\.\d+)""),"""")
"),"")</f>
        <v/>
      </c>
      <c r="J383" s="3" t="str">
        <f aca="false">IFERROR(__xludf.dummyfunction("if($T383&lt;&gt;"""",REGEXEXTRACT($T383, J$1&amp;""[\w &amp;]*, (\d+\.\d+)""),"""")
"),"")</f>
        <v/>
      </c>
      <c r="K383" s="3"/>
      <c r="L383" s="3" t="str">
        <f aca="false">IFERROR(__xludf.dummyfunction("if($T383&lt;&gt;"""",REGEXEXTRACT(SUBSTITUTE ($T383,L$1&amp;"" CE"",""""), L$1&amp;""[\w &amp;]*, (\d+\.\d+)""),"""")
"),"")</f>
        <v/>
      </c>
      <c r="M383" s="3" t="str">
        <f aca="false">IFERROR(__xludf.dummyfunction("if($T383&lt;&gt;"""",REGEXEXTRACT($T383, M$1&amp;""[\w &amp;]*, (\d+\.\d+)""),"""")
"),"")</f>
        <v/>
      </c>
      <c r="N383" s="3" t="str">
        <f aca="false">IFERROR(__xludf.dummyfunction("if($T383&lt;&gt;"""",REGEXEXTRACT(SUBSTITUTE ($T383,N$1&amp;"" CE"",""""), N$1&amp;""[\w &amp;]*, (\d+\.\d+)""),"""")
"),"")</f>
        <v/>
      </c>
      <c r="O383" s="3" t="str">
        <f aca="false">IFERROR(__xludf.dummyfunction("if($T383&lt;&gt;"""",REGEXEXTRACT($T383, O$1&amp;""[\w &amp;]*, (\d+\.\d+)""),"""")
"),"")</f>
        <v/>
      </c>
      <c r="P383" s="2"/>
      <c r="Q383" s="2"/>
      <c r="R383" s="2"/>
      <c r="S383" s="2"/>
      <c r="T383" s="5"/>
    </row>
    <row r="384" customFormat="false" ht="15.75" hidden="false" customHeight="false" outlineLevel="0" collapsed="false">
      <c r="A384" s="4"/>
      <c r="B384" s="2"/>
      <c r="C384" s="2"/>
      <c r="D384" s="2"/>
      <c r="E384" s="2"/>
      <c r="F384" s="3" t="str">
        <f aca="false">IFERROR(__xludf.dummyfunction("if($T384&lt;&gt;"""",REGEXEXTRACT(SUBSTITUTE ($T384,F$1&amp;"" CE"",""""), F$1&amp;""[\w &amp;]*, (\d+\.\d+)""),"""")
"),"")</f>
        <v/>
      </c>
      <c r="G384" s="3" t="str">
        <f aca="false">IFERROR(__xludf.dummyfunction("if($T384&lt;&gt;"""",REGEXEXTRACT($T384, G$1&amp;""[\w &amp;]*, (\d+\.\d+)""),"""")
"),"")</f>
        <v/>
      </c>
      <c r="H384" s="3"/>
      <c r="I384" s="3" t="str">
        <f aca="false">IFERROR(__xludf.dummyfunction("if($T384&lt;&gt;"""",REGEXEXTRACT(SUBSTITUTE ($T384,I$1&amp;"" CE"",""""), I$1&amp;""[\w &amp;]*, (\d+\.\d+)""),"""")
"),"")</f>
        <v/>
      </c>
      <c r="J384" s="3" t="str">
        <f aca="false">IFERROR(__xludf.dummyfunction("if($T384&lt;&gt;"""",REGEXEXTRACT($T384, J$1&amp;""[\w &amp;]*, (\d+\.\d+)""),"""")
"),"")</f>
        <v/>
      </c>
      <c r="K384" s="3"/>
      <c r="L384" s="3" t="str">
        <f aca="false">IFERROR(__xludf.dummyfunction("if($T384&lt;&gt;"""",REGEXEXTRACT(SUBSTITUTE ($T384,L$1&amp;"" CE"",""""), L$1&amp;""[\w &amp;]*, (\d+\.\d+)""),"""")
"),"")</f>
        <v/>
      </c>
      <c r="M384" s="3" t="str">
        <f aca="false">IFERROR(__xludf.dummyfunction("if($T384&lt;&gt;"""",REGEXEXTRACT($T384, M$1&amp;""[\w &amp;]*, (\d+\.\d+)""),"""")
"),"")</f>
        <v/>
      </c>
      <c r="N384" s="3" t="str">
        <f aca="false">IFERROR(__xludf.dummyfunction("if($T384&lt;&gt;"""",REGEXEXTRACT(SUBSTITUTE ($T384,N$1&amp;"" CE"",""""), N$1&amp;""[\w &amp;]*, (\d+\.\d+)""),"""")
"),"")</f>
        <v/>
      </c>
      <c r="O384" s="3" t="str">
        <f aca="false">IFERROR(__xludf.dummyfunction("if($T384&lt;&gt;"""",REGEXEXTRACT($T384, O$1&amp;""[\w &amp;]*, (\d+\.\d+)""),"""")
"),"")</f>
        <v/>
      </c>
      <c r="P384" s="2"/>
      <c r="Q384" s="2"/>
      <c r="R384" s="2"/>
      <c r="S384" s="2"/>
      <c r="T384" s="5"/>
    </row>
    <row r="385" customFormat="false" ht="15.75" hidden="false" customHeight="false" outlineLevel="0" collapsed="false">
      <c r="A385" s="4"/>
      <c r="B385" s="2"/>
      <c r="C385" s="2"/>
      <c r="D385" s="2"/>
      <c r="E385" s="2"/>
      <c r="F385" s="3" t="str">
        <f aca="false">IFERROR(__xludf.dummyfunction("if($T385&lt;&gt;"""",REGEXEXTRACT(SUBSTITUTE ($T385,F$1&amp;"" CE"",""""), F$1&amp;""[\w &amp;]*, (\d+\.\d+)""),"""")
"),"")</f>
        <v/>
      </c>
      <c r="G385" s="3" t="str">
        <f aca="false">IFERROR(__xludf.dummyfunction("if($T385&lt;&gt;"""",REGEXEXTRACT($T385, G$1&amp;""[\w &amp;]*, (\d+\.\d+)""),"""")
"),"")</f>
        <v/>
      </c>
      <c r="H385" s="3"/>
      <c r="I385" s="3" t="str">
        <f aca="false">IFERROR(__xludf.dummyfunction("if($T385&lt;&gt;"""",REGEXEXTRACT(SUBSTITUTE ($T385,I$1&amp;"" CE"",""""), I$1&amp;""[\w &amp;]*, (\d+\.\d+)""),"""")
"),"")</f>
        <v/>
      </c>
      <c r="J385" s="3" t="str">
        <f aca="false">IFERROR(__xludf.dummyfunction("if($T385&lt;&gt;"""",REGEXEXTRACT($T385, J$1&amp;""[\w &amp;]*, (\d+\.\d+)""),"""")
"),"")</f>
        <v/>
      </c>
      <c r="K385" s="3"/>
      <c r="L385" s="3" t="str">
        <f aca="false">IFERROR(__xludf.dummyfunction("if($T385&lt;&gt;"""",REGEXEXTRACT(SUBSTITUTE ($T385,L$1&amp;"" CE"",""""), L$1&amp;""[\w &amp;]*, (\d+\.\d+)""),"""")
"),"")</f>
        <v/>
      </c>
      <c r="M385" s="3" t="str">
        <f aca="false">IFERROR(__xludf.dummyfunction("if($T385&lt;&gt;"""",REGEXEXTRACT($T385, M$1&amp;""[\w &amp;]*, (\d+\.\d+)""),"""")
"),"")</f>
        <v/>
      </c>
      <c r="N385" s="3" t="str">
        <f aca="false">IFERROR(__xludf.dummyfunction("if($T385&lt;&gt;"""",REGEXEXTRACT(SUBSTITUTE ($T385,N$1&amp;"" CE"",""""), N$1&amp;""[\w &amp;]*, (\d+\.\d+)""),"""")
"),"")</f>
        <v/>
      </c>
      <c r="O385" s="3" t="str">
        <f aca="false">IFERROR(__xludf.dummyfunction("if($T385&lt;&gt;"""",REGEXEXTRACT($T385, O$1&amp;""[\w &amp;]*, (\d+\.\d+)""),"""")
"),"")</f>
        <v/>
      </c>
      <c r="P385" s="2"/>
      <c r="Q385" s="2"/>
      <c r="R385" s="2"/>
      <c r="S385" s="2"/>
      <c r="T385" s="5"/>
    </row>
    <row r="386" customFormat="false" ht="15.75" hidden="false" customHeight="false" outlineLevel="0" collapsed="false">
      <c r="A386" s="4"/>
      <c r="B386" s="2"/>
      <c r="C386" s="2"/>
      <c r="D386" s="2"/>
      <c r="E386" s="2"/>
      <c r="F386" s="3" t="str">
        <f aca="false">IFERROR(__xludf.dummyfunction("if($T386&lt;&gt;"""",REGEXEXTRACT(SUBSTITUTE ($T386,F$1&amp;"" CE"",""""), F$1&amp;""[\w &amp;]*, (\d+\.\d+)""),"""")
"),"")</f>
        <v/>
      </c>
      <c r="G386" s="3" t="str">
        <f aca="false">IFERROR(__xludf.dummyfunction("if($T386&lt;&gt;"""",REGEXEXTRACT($T386, G$1&amp;""[\w &amp;]*, (\d+\.\d+)""),"""")
"),"")</f>
        <v/>
      </c>
      <c r="H386" s="3"/>
      <c r="I386" s="3" t="str">
        <f aca="false">IFERROR(__xludf.dummyfunction("if($T386&lt;&gt;"""",REGEXEXTRACT(SUBSTITUTE ($T386,I$1&amp;"" CE"",""""), I$1&amp;""[\w &amp;]*, (\d+\.\d+)""),"""")
"),"")</f>
        <v/>
      </c>
      <c r="J386" s="3" t="str">
        <f aca="false">IFERROR(__xludf.dummyfunction("if($T386&lt;&gt;"""",REGEXEXTRACT($T386, J$1&amp;""[\w &amp;]*, (\d+\.\d+)""),"""")
"),"")</f>
        <v/>
      </c>
      <c r="K386" s="3"/>
      <c r="L386" s="3" t="str">
        <f aca="false">IFERROR(__xludf.dummyfunction("if($T386&lt;&gt;"""",REGEXEXTRACT(SUBSTITUTE ($T386,L$1&amp;"" CE"",""""), L$1&amp;""[\w &amp;]*, (\d+\.\d+)""),"""")
"),"")</f>
        <v/>
      </c>
      <c r="M386" s="3" t="str">
        <f aca="false">IFERROR(__xludf.dummyfunction("if($T386&lt;&gt;"""",REGEXEXTRACT($T386, M$1&amp;""[\w &amp;]*, (\d+\.\d+)""),"""")
"),"")</f>
        <v/>
      </c>
      <c r="N386" s="3" t="str">
        <f aca="false">IFERROR(__xludf.dummyfunction("if($T386&lt;&gt;"""",REGEXEXTRACT(SUBSTITUTE ($T386,N$1&amp;"" CE"",""""), N$1&amp;""[\w &amp;]*, (\d+\.\d+)""),"""")
"),"")</f>
        <v/>
      </c>
      <c r="O386" s="3" t="str">
        <f aca="false">IFERROR(__xludf.dummyfunction("if($T386&lt;&gt;"""",REGEXEXTRACT($T386, O$1&amp;""[\w &amp;]*, (\d+\.\d+)""),"""")
"),"")</f>
        <v/>
      </c>
      <c r="P386" s="2"/>
      <c r="Q386" s="2"/>
      <c r="R386" s="2"/>
      <c r="S386" s="2"/>
      <c r="T386" s="5"/>
    </row>
    <row r="387" customFormat="false" ht="15.75" hidden="false" customHeight="false" outlineLevel="0" collapsed="false">
      <c r="A387" s="4"/>
      <c r="B387" s="2"/>
      <c r="C387" s="2"/>
      <c r="D387" s="2"/>
      <c r="E387" s="2"/>
      <c r="F387" s="3" t="str">
        <f aca="false">IFERROR(__xludf.dummyfunction("if($T387&lt;&gt;"""",REGEXEXTRACT(SUBSTITUTE ($T387,F$1&amp;"" CE"",""""), F$1&amp;""[\w &amp;]*, (\d+\.\d+)""),"""")
"),"")</f>
        <v/>
      </c>
      <c r="G387" s="3" t="str">
        <f aca="false">IFERROR(__xludf.dummyfunction("if($T387&lt;&gt;"""",REGEXEXTRACT($T387, G$1&amp;""[\w &amp;]*, (\d+\.\d+)""),"""")
"),"")</f>
        <v/>
      </c>
      <c r="H387" s="3"/>
      <c r="I387" s="3" t="str">
        <f aca="false">IFERROR(__xludf.dummyfunction("if($T387&lt;&gt;"""",REGEXEXTRACT(SUBSTITUTE ($T387,I$1&amp;"" CE"",""""), I$1&amp;""[\w &amp;]*, (\d+\.\d+)""),"""")
"),"")</f>
        <v/>
      </c>
      <c r="J387" s="3" t="str">
        <f aca="false">IFERROR(__xludf.dummyfunction("if($T387&lt;&gt;"""",REGEXEXTRACT($T387, J$1&amp;""[\w &amp;]*, (\d+\.\d+)""),"""")
"),"")</f>
        <v/>
      </c>
      <c r="K387" s="3"/>
      <c r="L387" s="3" t="str">
        <f aca="false">IFERROR(__xludf.dummyfunction("if($T387&lt;&gt;"""",REGEXEXTRACT(SUBSTITUTE ($T387,L$1&amp;"" CE"",""""), L$1&amp;""[\w &amp;]*, (\d+\.\d+)""),"""")
"),"")</f>
        <v/>
      </c>
      <c r="M387" s="3" t="str">
        <f aca="false">IFERROR(__xludf.dummyfunction("if($T387&lt;&gt;"""",REGEXEXTRACT($T387, M$1&amp;""[\w &amp;]*, (\d+\.\d+)""),"""")
"),"")</f>
        <v/>
      </c>
      <c r="N387" s="3" t="str">
        <f aca="false">IFERROR(__xludf.dummyfunction("if($T387&lt;&gt;"""",REGEXEXTRACT(SUBSTITUTE ($T387,N$1&amp;"" CE"",""""), N$1&amp;""[\w &amp;]*, (\d+\.\d+)""),"""")
"),"")</f>
        <v/>
      </c>
      <c r="O387" s="3" t="str">
        <f aca="false">IFERROR(__xludf.dummyfunction("if($T387&lt;&gt;"""",REGEXEXTRACT($T387, O$1&amp;""[\w &amp;]*, (\d+\.\d+)""),"""")
"),"")</f>
        <v/>
      </c>
      <c r="P387" s="2"/>
      <c r="Q387" s="2"/>
      <c r="R387" s="2"/>
      <c r="S387" s="2"/>
      <c r="T387" s="5"/>
    </row>
    <row r="388" customFormat="false" ht="15.75" hidden="false" customHeight="false" outlineLevel="0" collapsed="false">
      <c r="A388" s="4"/>
      <c r="B388" s="2"/>
      <c r="C388" s="2"/>
      <c r="D388" s="2"/>
      <c r="E388" s="2"/>
      <c r="F388" s="3" t="str">
        <f aca="false">IFERROR(__xludf.dummyfunction("if($T388&lt;&gt;"""",REGEXEXTRACT(SUBSTITUTE ($T388,F$1&amp;"" CE"",""""), F$1&amp;""[\w &amp;]*, (\d+\.\d+)""),"""")
"),"")</f>
        <v/>
      </c>
      <c r="G388" s="3" t="str">
        <f aca="false">IFERROR(__xludf.dummyfunction("if($T388&lt;&gt;"""",REGEXEXTRACT($T388, G$1&amp;""[\w &amp;]*, (\d+\.\d+)""),"""")
"),"")</f>
        <v/>
      </c>
      <c r="H388" s="3"/>
      <c r="I388" s="3" t="str">
        <f aca="false">IFERROR(__xludf.dummyfunction("if($T388&lt;&gt;"""",REGEXEXTRACT(SUBSTITUTE ($T388,I$1&amp;"" CE"",""""), I$1&amp;""[\w &amp;]*, (\d+\.\d+)""),"""")
"),"")</f>
        <v/>
      </c>
      <c r="J388" s="3" t="str">
        <f aca="false">IFERROR(__xludf.dummyfunction("if($T388&lt;&gt;"""",REGEXEXTRACT($T388, J$1&amp;""[\w &amp;]*, (\d+\.\d+)""),"""")
"),"")</f>
        <v/>
      </c>
      <c r="K388" s="3"/>
      <c r="L388" s="3" t="str">
        <f aca="false">IFERROR(__xludf.dummyfunction("if($T388&lt;&gt;"""",REGEXEXTRACT(SUBSTITUTE ($T388,L$1&amp;"" CE"",""""), L$1&amp;""[\w &amp;]*, (\d+\.\d+)""),"""")
"),"")</f>
        <v/>
      </c>
      <c r="M388" s="3" t="str">
        <f aca="false">IFERROR(__xludf.dummyfunction("if($T388&lt;&gt;"""",REGEXEXTRACT($T388, M$1&amp;""[\w &amp;]*, (\d+\.\d+)""),"""")
"),"")</f>
        <v/>
      </c>
      <c r="N388" s="3" t="str">
        <f aca="false">IFERROR(__xludf.dummyfunction("if($T388&lt;&gt;"""",REGEXEXTRACT(SUBSTITUTE ($T388,N$1&amp;"" CE"",""""), N$1&amp;""[\w &amp;]*, (\d+\.\d+)""),"""")
"),"")</f>
        <v/>
      </c>
      <c r="O388" s="3" t="str">
        <f aca="false">IFERROR(__xludf.dummyfunction("if($T388&lt;&gt;"""",REGEXEXTRACT($T388, O$1&amp;""[\w &amp;]*, (\d+\.\d+)""),"""")
"),"")</f>
        <v/>
      </c>
      <c r="P388" s="2"/>
      <c r="Q388" s="2"/>
      <c r="R388" s="2"/>
      <c r="S388" s="2"/>
      <c r="T388" s="5"/>
    </row>
    <row r="389" customFormat="false" ht="15.75" hidden="false" customHeight="false" outlineLevel="0" collapsed="false">
      <c r="A389" s="4"/>
      <c r="B389" s="2"/>
      <c r="C389" s="2"/>
      <c r="D389" s="2"/>
      <c r="E389" s="2"/>
      <c r="F389" s="3" t="str">
        <f aca="false">IFERROR(__xludf.dummyfunction("if($T389&lt;&gt;"""",REGEXEXTRACT(SUBSTITUTE ($T389,F$1&amp;"" CE"",""""), F$1&amp;""[\w &amp;]*, (\d+\.\d+)""),"""")
"),"")</f>
        <v/>
      </c>
      <c r="G389" s="3" t="str">
        <f aca="false">IFERROR(__xludf.dummyfunction("if($T389&lt;&gt;"""",REGEXEXTRACT($T389, G$1&amp;""[\w &amp;]*, (\d+\.\d+)""),"""")
"),"")</f>
        <v/>
      </c>
      <c r="H389" s="3"/>
      <c r="I389" s="3" t="str">
        <f aca="false">IFERROR(__xludf.dummyfunction("if($T389&lt;&gt;"""",REGEXEXTRACT(SUBSTITUTE ($T389,I$1&amp;"" CE"",""""), I$1&amp;""[\w &amp;]*, (\d+\.\d+)""),"""")
"),"")</f>
        <v/>
      </c>
      <c r="J389" s="3" t="str">
        <f aca="false">IFERROR(__xludf.dummyfunction("if($T389&lt;&gt;"""",REGEXEXTRACT($T389, J$1&amp;""[\w &amp;]*, (\d+\.\d+)""),"""")
"),"")</f>
        <v/>
      </c>
      <c r="K389" s="3"/>
      <c r="L389" s="3" t="str">
        <f aca="false">IFERROR(__xludf.dummyfunction("if($T389&lt;&gt;"""",REGEXEXTRACT(SUBSTITUTE ($T389,L$1&amp;"" CE"",""""), L$1&amp;""[\w &amp;]*, (\d+\.\d+)""),"""")
"),"")</f>
        <v/>
      </c>
      <c r="M389" s="3" t="str">
        <f aca="false">IFERROR(__xludf.dummyfunction("if($T389&lt;&gt;"""",REGEXEXTRACT($T389, M$1&amp;""[\w &amp;]*, (\d+\.\d+)""),"""")
"),"")</f>
        <v/>
      </c>
      <c r="N389" s="3" t="str">
        <f aca="false">IFERROR(__xludf.dummyfunction("if($T389&lt;&gt;"""",REGEXEXTRACT(SUBSTITUTE ($T389,N$1&amp;"" CE"",""""), N$1&amp;""[\w &amp;]*, (\d+\.\d+)""),"""")
"),"")</f>
        <v/>
      </c>
      <c r="O389" s="3" t="str">
        <f aca="false">IFERROR(__xludf.dummyfunction("if($T389&lt;&gt;"""",REGEXEXTRACT($T389, O$1&amp;""[\w &amp;]*, (\d+\.\d+)""),"""")
"),"")</f>
        <v/>
      </c>
      <c r="P389" s="2"/>
      <c r="Q389" s="2"/>
      <c r="R389" s="2"/>
      <c r="S389" s="2"/>
      <c r="T389" s="5"/>
    </row>
    <row r="390" customFormat="false" ht="15.75" hidden="false" customHeight="false" outlineLevel="0" collapsed="false">
      <c r="A390" s="4"/>
      <c r="B390" s="2"/>
      <c r="C390" s="2"/>
      <c r="D390" s="2"/>
      <c r="E390" s="2"/>
      <c r="F390" s="3" t="str">
        <f aca="false">IFERROR(__xludf.dummyfunction("if($T390&lt;&gt;"""",REGEXEXTRACT(SUBSTITUTE ($T390,F$1&amp;"" CE"",""""), F$1&amp;""[\w &amp;]*, (\d+\.\d+)""),"""")
"),"")</f>
        <v/>
      </c>
      <c r="G390" s="3" t="str">
        <f aca="false">IFERROR(__xludf.dummyfunction("if($T390&lt;&gt;"""",REGEXEXTRACT($T390, G$1&amp;""[\w &amp;]*, (\d+\.\d+)""),"""")
"),"")</f>
        <v/>
      </c>
      <c r="H390" s="3"/>
      <c r="I390" s="3" t="str">
        <f aca="false">IFERROR(__xludf.dummyfunction("if($T390&lt;&gt;"""",REGEXEXTRACT(SUBSTITUTE ($T390,I$1&amp;"" CE"",""""), I$1&amp;""[\w &amp;]*, (\d+\.\d+)""),"""")
"),"")</f>
        <v/>
      </c>
      <c r="J390" s="3" t="str">
        <f aca="false">IFERROR(__xludf.dummyfunction("if($T390&lt;&gt;"""",REGEXEXTRACT($T390, J$1&amp;""[\w &amp;]*, (\d+\.\d+)""),"""")
"),"")</f>
        <v/>
      </c>
      <c r="K390" s="3"/>
      <c r="L390" s="3" t="str">
        <f aca="false">IFERROR(__xludf.dummyfunction("if($T390&lt;&gt;"""",REGEXEXTRACT(SUBSTITUTE ($T390,L$1&amp;"" CE"",""""), L$1&amp;""[\w &amp;]*, (\d+\.\d+)""),"""")
"),"")</f>
        <v/>
      </c>
      <c r="M390" s="3" t="str">
        <f aca="false">IFERROR(__xludf.dummyfunction("if($T390&lt;&gt;"""",REGEXEXTRACT($T390, M$1&amp;""[\w &amp;]*, (\d+\.\d+)""),"""")
"),"")</f>
        <v/>
      </c>
      <c r="N390" s="3" t="str">
        <f aca="false">IFERROR(__xludf.dummyfunction("if($T390&lt;&gt;"""",REGEXEXTRACT(SUBSTITUTE ($T390,N$1&amp;"" CE"",""""), N$1&amp;""[\w &amp;]*, (\d+\.\d+)""),"""")
"),"")</f>
        <v/>
      </c>
      <c r="O390" s="3" t="str">
        <f aca="false">IFERROR(__xludf.dummyfunction("if($T390&lt;&gt;"""",REGEXEXTRACT($T390, O$1&amp;""[\w &amp;]*, (\d+\.\d+)""),"""")
"),"")</f>
        <v/>
      </c>
      <c r="P390" s="2"/>
      <c r="Q390" s="2"/>
      <c r="R390" s="2"/>
      <c r="S390" s="2"/>
      <c r="T390" s="5"/>
    </row>
    <row r="391" customFormat="false" ht="15.75" hidden="false" customHeight="false" outlineLevel="0" collapsed="false">
      <c r="A391" s="4"/>
      <c r="B391" s="2"/>
      <c r="C391" s="2"/>
      <c r="D391" s="2"/>
      <c r="E391" s="2"/>
      <c r="F391" s="3" t="str">
        <f aca="false">IFERROR(__xludf.dummyfunction("if($T391&lt;&gt;"""",REGEXEXTRACT(SUBSTITUTE ($T391,F$1&amp;"" CE"",""""), F$1&amp;""[\w &amp;]*, (\d+\.\d+)""),"""")
"),"")</f>
        <v/>
      </c>
      <c r="G391" s="3" t="str">
        <f aca="false">IFERROR(__xludf.dummyfunction("if($T391&lt;&gt;"""",REGEXEXTRACT($T391, G$1&amp;""[\w &amp;]*, (\d+\.\d+)""),"""")
"),"")</f>
        <v/>
      </c>
      <c r="H391" s="3"/>
      <c r="I391" s="3" t="str">
        <f aca="false">IFERROR(__xludf.dummyfunction("if($T391&lt;&gt;"""",REGEXEXTRACT(SUBSTITUTE ($T391,I$1&amp;"" CE"",""""), I$1&amp;""[\w &amp;]*, (\d+\.\d+)""),"""")
"),"")</f>
        <v/>
      </c>
      <c r="J391" s="3" t="str">
        <f aca="false">IFERROR(__xludf.dummyfunction("if($T391&lt;&gt;"""",REGEXEXTRACT($T391, J$1&amp;""[\w &amp;]*, (\d+\.\d+)""),"""")
"),"")</f>
        <v/>
      </c>
      <c r="K391" s="3"/>
      <c r="L391" s="3" t="str">
        <f aca="false">IFERROR(__xludf.dummyfunction("if($T391&lt;&gt;"""",REGEXEXTRACT(SUBSTITUTE ($T391,L$1&amp;"" CE"",""""), L$1&amp;""[\w &amp;]*, (\d+\.\d+)""),"""")
"),"")</f>
        <v/>
      </c>
      <c r="M391" s="3" t="str">
        <f aca="false">IFERROR(__xludf.dummyfunction("if($T391&lt;&gt;"""",REGEXEXTRACT($T391, M$1&amp;""[\w &amp;]*, (\d+\.\d+)""),"""")
"),"")</f>
        <v/>
      </c>
      <c r="N391" s="3" t="str">
        <f aca="false">IFERROR(__xludf.dummyfunction("if($T391&lt;&gt;"""",REGEXEXTRACT(SUBSTITUTE ($T391,N$1&amp;"" CE"",""""), N$1&amp;""[\w &amp;]*, (\d+\.\d+)""),"""")
"),"")</f>
        <v/>
      </c>
      <c r="O391" s="3" t="str">
        <f aca="false">IFERROR(__xludf.dummyfunction("if($T391&lt;&gt;"""",REGEXEXTRACT($T391, O$1&amp;""[\w &amp;]*, (\d+\.\d+)""),"""")
"),"")</f>
        <v/>
      </c>
      <c r="P391" s="2"/>
      <c r="Q391" s="2"/>
      <c r="R391" s="2"/>
      <c r="S391" s="2"/>
      <c r="T391" s="5"/>
    </row>
    <row r="392" customFormat="false" ht="15.75" hidden="false" customHeight="false" outlineLevel="0" collapsed="false">
      <c r="A392" s="4"/>
      <c r="B392" s="2"/>
      <c r="C392" s="2"/>
      <c r="D392" s="2"/>
      <c r="E392" s="2"/>
      <c r="F392" s="3" t="str">
        <f aca="false">IFERROR(__xludf.dummyfunction("if($T392&lt;&gt;"""",REGEXEXTRACT(SUBSTITUTE ($T392,F$1&amp;"" CE"",""""), F$1&amp;""[\w &amp;]*, (\d+\.\d+)""),"""")
"),"")</f>
        <v/>
      </c>
      <c r="G392" s="3" t="str">
        <f aca="false">IFERROR(__xludf.dummyfunction("if($T392&lt;&gt;"""",REGEXEXTRACT($T392, G$1&amp;""[\w &amp;]*, (\d+\.\d+)""),"""")
"),"")</f>
        <v/>
      </c>
      <c r="H392" s="3"/>
      <c r="I392" s="3" t="str">
        <f aca="false">IFERROR(__xludf.dummyfunction("if($T392&lt;&gt;"""",REGEXEXTRACT(SUBSTITUTE ($T392,I$1&amp;"" CE"",""""), I$1&amp;""[\w &amp;]*, (\d+\.\d+)""),"""")
"),"")</f>
        <v/>
      </c>
      <c r="J392" s="3" t="str">
        <f aca="false">IFERROR(__xludf.dummyfunction("if($T392&lt;&gt;"""",REGEXEXTRACT($T392, J$1&amp;""[\w &amp;]*, (\d+\.\d+)""),"""")
"),"")</f>
        <v/>
      </c>
      <c r="K392" s="3"/>
      <c r="L392" s="3" t="str">
        <f aca="false">IFERROR(__xludf.dummyfunction("if($T392&lt;&gt;"""",REGEXEXTRACT(SUBSTITUTE ($T392,L$1&amp;"" CE"",""""), L$1&amp;""[\w &amp;]*, (\d+\.\d+)""),"""")
"),"")</f>
        <v/>
      </c>
      <c r="M392" s="3" t="str">
        <f aca="false">IFERROR(__xludf.dummyfunction("if($T392&lt;&gt;"""",REGEXEXTRACT($T392, M$1&amp;""[\w &amp;]*, (\d+\.\d+)""),"""")
"),"")</f>
        <v/>
      </c>
      <c r="N392" s="3" t="str">
        <f aca="false">IFERROR(__xludf.dummyfunction("if($T392&lt;&gt;"""",REGEXEXTRACT(SUBSTITUTE ($T392,N$1&amp;"" CE"",""""), N$1&amp;""[\w &amp;]*, (\d+\.\d+)""),"""")
"),"")</f>
        <v/>
      </c>
      <c r="O392" s="3" t="str">
        <f aca="false">IFERROR(__xludf.dummyfunction("if($T392&lt;&gt;"""",REGEXEXTRACT($T392, O$1&amp;""[\w &amp;]*, (\d+\.\d+)""),"""")
"),"")</f>
        <v/>
      </c>
      <c r="P392" s="2"/>
      <c r="Q392" s="2"/>
      <c r="R392" s="2"/>
      <c r="S392" s="2"/>
      <c r="T392" s="5"/>
    </row>
    <row r="393" customFormat="false" ht="15.75" hidden="false" customHeight="false" outlineLevel="0" collapsed="false">
      <c r="A393" s="4"/>
      <c r="B393" s="2"/>
      <c r="C393" s="2"/>
      <c r="D393" s="2"/>
      <c r="E393" s="2"/>
      <c r="F393" s="3" t="str">
        <f aca="false">IFERROR(__xludf.dummyfunction("if($T393&lt;&gt;"""",REGEXEXTRACT(SUBSTITUTE ($T393,F$1&amp;"" CE"",""""), F$1&amp;""[\w &amp;]*, (\d+\.\d+)""),"""")
"),"")</f>
        <v/>
      </c>
      <c r="G393" s="3" t="str">
        <f aca="false">IFERROR(__xludf.dummyfunction("if($T393&lt;&gt;"""",REGEXEXTRACT($T393, G$1&amp;""[\w &amp;]*, (\d+\.\d+)""),"""")
"),"")</f>
        <v/>
      </c>
      <c r="H393" s="3"/>
      <c r="I393" s="3" t="str">
        <f aca="false">IFERROR(__xludf.dummyfunction("if($T393&lt;&gt;"""",REGEXEXTRACT(SUBSTITUTE ($T393,I$1&amp;"" CE"",""""), I$1&amp;""[\w &amp;]*, (\d+\.\d+)""),"""")
"),"")</f>
        <v/>
      </c>
      <c r="J393" s="3" t="str">
        <f aca="false">IFERROR(__xludf.dummyfunction("if($T393&lt;&gt;"""",REGEXEXTRACT($T393, J$1&amp;""[\w &amp;]*, (\d+\.\d+)""),"""")
"),"")</f>
        <v/>
      </c>
      <c r="K393" s="3"/>
      <c r="L393" s="3" t="str">
        <f aca="false">IFERROR(__xludf.dummyfunction("if($T393&lt;&gt;"""",REGEXEXTRACT(SUBSTITUTE ($T393,L$1&amp;"" CE"",""""), L$1&amp;""[\w &amp;]*, (\d+\.\d+)""),"""")
"),"")</f>
        <v/>
      </c>
      <c r="M393" s="3" t="str">
        <f aca="false">IFERROR(__xludf.dummyfunction("if($T393&lt;&gt;"""",REGEXEXTRACT($T393, M$1&amp;""[\w &amp;]*, (\d+\.\d+)""),"""")
"),"")</f>
        <v/>
      </c>
      <c r="N393" s="3" t="str">
        <f aca="false">IFERROR(__xludf.dummyfunction("if($T393&lt;&gt;"""",REGEXEXTRACT(SUBSTITUTE ($T393,N$1&amp;"" CE"",""""), N$1&amp;""[\w &amp;]*, (\d+\.\d+)""),"""")
"),"")</f>
        <v/>
      </c>
      <c r="O393" s="3" t="str">
        <f aca="false">IFERROR(__xludf.dummyfunction("if($T393&lt;&gt;"""",REGEXEXTRACT($T393, O$1&amp;""[\w &amp;]*, (\d+\.\d+)""),"""")
"),"")</f>
        <v/>
      </c>
      <c r="P393" s="2"/>
      <c r="Q393" s="2"/>
      <c r="R393" s="2"/>
      <c r="S393" s="2"/>
      <c r="T393" s="5"/>
    </row>
    <row r="394" customFormat="false" ht="15.75" hidden="false" customHeight="false" outlineLevel="0" collapsed="false">
      <c r="A394" s="4"/>
      <c r="B394" s="2"/>
      <c r="C394" s="2"/>
      <c r="D394" s="2"/>
      <c r="E394" s="2"/>
      <c r="F394" s="3" t="str">
        <f aca="false">IFERROR(__xludf.dummyfunction("if($T394&lt;&gt;"""",REGEXEXTRACT(SUBSTITUTE ($T394,F$1&amp;"" CE"",""""), F$1&amp;""[\w &amp;]*, (\d+\.\d+)""),"""")
"),"")</f>
        <v/>
      </c>
      <c r="G394" s="3" t="str">
        <f aca="false">IFERROR(__xludf.dummyfunction("if($T394&lt;&gt;"""",REGEXEXTRACT($T394, G$1&amp;""[\w &amp;]*, (\d+\.\d+)""),"""")
"),"")</f>
        <v/>
      </c>
      <c r="H394" s="3"/>
      <c r="I394" s="3" t="str">
        <f aca="false">IFERROR(__xludf.dummyfunction("if($T394&lt;&gt;"""",REGEXEXTRACT(SUBSTITUTE ($T394,I$1&amp;"" CE"",""""), I$1&amp;""[\w &amp;]*, (\d+\.\d+)""),"""")
"),"")</f>
        <v/>
      </c>
      <c r="J394" s="3" t="str">
        <f aca="false">IFERROR(__xludf.dummyfunction("if($T394&lt;&gt;"""",REGEXEXTRACT($T394, J$1&amp;""[\w &amp;]*, (\d+\.\d+)""),"""")
"),"")</f>
        <v/>
      </c>
      <c r="K394" s="3"/>
      <c r="L394" s="3" t="str">
        <f aca="false">IFERROR(__xludf.dummyfunction("if($T394&lt;&gt;"""",REGEXEXTRACT(SUBSTITUTE ($T394,L$1&amp;"" CE"",""""), L$1&amp;""[\w &amp;]*, (\d+\.\d+)""),"""")
"),"")</f>
        <v/>
      </c>
      <c r="M394" s="3" t="str">
        <f aca="false">IFERROR(__xludf.dummyfunction("if($T394&lt;&gt;"""",REGEXEXTRACT($T394, M$1&amp;""[\w &amp;]*, (\d+\.\d+)""),"""")
"),"")</f>
        <v/>
      </c>
      <c r="N394" s="3" t="str">
        <f aca="false">IFERROR(__xludf.dummyfunction("if($T394&lt;&gt;"""",REGEXEXTRACT(SUBSTITUTE ($T394,N$1&amp;"" CE"",""""), N$1&amp;""[\w &amp;]*, (\d+\.\d+)""),"""")
"),"")</f>
        <v/>
      </c>
      <c r="O394" s="3" t="str">
        <f aca="false">IFERROR(__xludf.dummyfunction("if($T394&lt;&gt;"""",REGEXEXTRACT($T394, O$1&amp;""[\w &amp;]*, (\d+\.\d+)""),"""")
"),"")</f>
        <v/>
      </c>
      <c r="P394" s="2"/>
      <c r="Q394" s="2"/>
      <c r="R394" s="2"/>
      <c r="S394" s="2"/>
      <c r="T394" s="5"/>
    </row>
    <row r="395" customFormat="false" ht="15.75" hidden="false" customHeight="false" outlineLevel="0" collapsed="false">
      <c r="A395" s="4"/>
      <c r="B395" s="2"/>
      <c r="C395" s="2"/>
      <c r="D395" s="2"/>
      <c r="E395" s="2"/>
      <c r="F395" s="3" t="str">
        <f aca="false">IFERROR(__xludf.dummyfunction("if($T395&lt;&gt;"""",REGEXEXTRACT(SUBSTITUTE ($T395,F$1&amp;"" CE"",""""), F$1&amp;""[\w &amp;]*, (\d+\.\d+)""),"""")
"),"")</f>
        <v/>
      </c>
      <c r="G395" s="3" t="str">
        <f aca="false">IFERROR(__xludf.dummyfunction("if($T395&lt;&gt;"""",REGEXEXTRACT($T395, G$1&amp;""[\w &amp;]*, (\d+\.\d+)""),"""")
"),"")</f>
        <v/>
      </c>
      <c r="H395" s="3"/>
      <c r="I395" s="3" t="str">
        <f aca="false">IFERROR(__xludf.dummyfunction("if($T395&lt;&gt;"""",REGEXEXTRACT(SUBSTITUTE ($T395,I$1&amp;"" CE"",""""), I$1&amp;""[\w &amp;]*, (\d+\.\d+)""),"""")
"),"")</f>
        <v/>
      </c>
      <c r="J395" s="3" t="str">
        <f aca="false">IFERROR(__xludf.dummyfunction("if($T395&lt;&gt;"""",REGEXEXTRACT($T395, J$1&amp;""[\w &amp;]*, (\d+\.\d+)""),"""")
"),"")</f>
        <v/>
      </c>
      <c r="K395" s="3"/>
      <c r="L395" s="3" t="str">
        <f aca="false">IFERROR(__xludf.dummyfunction("if($T395&lt;&gt;"""",REGEXEXTRACT(SUBSTITUTE ($T395,L$1&amp;"" CE"",""""), L$1&amp;""[\w &amp;]*, (\d+\.\d+)""),"""")
"),"")</f>
        <v/>
      </c>
      <c r="M395" s="3" t="str">
        <f aca="false">IFERROR(__xludf.dummyfunction("if($T395&lt;&gt;"""",REGEXEXTRACT($T395, M$1&amp;""[\w &amp;]*, (\d+\.\d+)""),"""")
"),"")</f>
        <v/>
      </c>
      <c r="N395" s="3" t="str">
        <f aca="false">IFERROR(__xludf.dummyfunction("if($T395&lt;&gt;"""",REGEXEXTRACT(SUBSTITUTE ($T395,N$1&amp;"" CE"",""""), N$1&amp;""[\w &amp;]*, (\d+\.\d+)""),"""")
"),"")</f>
        <v/>
      </c>
      <c r="O395" s="3" t="str">
        <f aca="false">IFERROR(__xludf.dummyfunction("if($T395&lt;&gt;"""",REGEXEXTRACT($T395, O$1&amp;""[\w &amp;]*, (\d+\.\d+)""),"""")
"),"")</f>
        <v/>
      </c>
      <c r="P395" s="2"/>
      <c r="Q395" s="2"/>
      <c r="R395" s="2"/>
      <c r="S395" s="2"/>
      <c r="T395" s="5"/>
    </row>
    <row r="396" customFormat="false" ht="15.75" hidden="false" customHeight="false" outlineLevel="0" collapsed="false">
      <c r="A396" s="4"/>
      <c r="B396" s="2"/>
      <c r="C396" s="2"/>
      <c r="D396" s="2"/>
      <c r="E396" s="2"/>
      <c r="F396" s="3" t="str">
        <f aca="false">IFERROR(__xludf.dummyfunction("if($T396&lt;&gt;"""",REGEXEXTRACT(SUBSTITUTE ($T396,F$1&amp;"" CE"",""""), F$1&amp;""[\w &amp;]*, (\d+\.\d+)""),"""")
"),"")</f>
        <v/>
      </c>
      <c r="G396" s="3" t="str">
        <f aca="false">IFERROR(__xludf.dummyfunction("if($T396&lt;&gt;"""",REGEXEXTRACT($T396, G$1&amp;""[\w &amp;]*, (\d+\.\d+)""),"""")
"),"")</f>
        <v/>
      </c>
      <c r="H396" s="3"/>
      <c r="I396" s="3" t="str">
        <f aca="false">IFERROR(__xludf.dummyfunction("if($T396&lt;&gt;"""",REGEXEXTRACT(SUBSTITUTE ($T396,I$1&amp;"" CE"",""""), I$1&amp;""[\w &amp;]*, (\d+\.\d+)""),"""")
"),"")</f>
        <v/>
      </c>
      <c r="J396" s="3" t="str">
        <f aca="false">IFERROR(__xludf.dummyfunction("if($T396&lt;&gt;"""",REGEXEXTRACT($T396, J$1&amp;""[\w &amp;]*, (\d+\.\d+)""),"""")
"),"")</f>
        <v/>
      </c>
      <c r="K396" s="3"/>
      <c r="L396" s="3" t="str">
        <f aca="false">IFERROR(__xludf.dummyfunction("if($T396&lt;&gt;"""",REGEXEXTRACT(SUBSTITUTE ($T396,L$1&amp;"" CE"",""""), L$1&amp;""[\w &amp;]*, (\d+\.\d+)""),"""")
"),"")</f>
        <v/>
      </c>
      <c r="M396" s="3" t="str">
        <f aca="false">IFERROR(__xludf.dummyfunction("if($T396&lt;&gt;"""",REGEXEXTRACT($T396, M$1&amp;""[\w &amp;]*, (\d+\.\d+)""),"""")
"),"")</f>
        <v/>
      </c>
      <c r="N396" s="3" t="str">
        <f aca="false">IFERROR(__xludf.dummyfunction("if($T396&lt;&gt;"""",REGEXEXTRACT(SUBSTITUTE ($T396,N$1&amp;"" CE"",""""), N$1&amp;""[\w &amp;]*, (\d+\.\d+)""),"""")
"),"")</f>
        <v/>
      </c>
      <c r="O396" s="3" t="str">
        <f aca="false">IFERROR(__xludf.dummyfunction("if($T396&lt;&gt;"""",REGEXEXTRACT($T396, O$1&amp;""[\w &amp;]*, (\d+\.\d+)""),"""")
"),"")</f>
        <v/>
      </c>
      <c r="P396" s="2"/>
      <c r="Q396" s="2"/>
      <c r="R396" s="2"/>
      <c r="S396" s="2"/>
      <c r="T396" s="5"/>
    </row>
    <row r="397" customFormat="false" ht="15.75" hidden="false" customHeight="false" outlineLevel="0" collapsed="false">
      <c r="A397" s="4"/>
      <c r="B397" s="2"/>
      <c r="C397" s="2"/>
      <c r="D397" s="2"/>
      <c r="E397" s="2"/>
      <c r="F397" s="3" t="str">
        <f aca="false">IFERROR(__xludf.dummyfunction("if($T397&lt;&gt;"""",REGEXEXTRACT(SUBSTITUTE ($T397,F$1&amp;"" CE"",""""), F$1&amp;""[\w &amp;]*, (\d+\.\d+)""),"""")
"),"")</f>
        <v/>
      </c>
      <c r="G397" s="3" t="str">
        <f aca="false">IFERROR(__xludf.dummyfunction("if($T397&lt;&gt;"""",REGEXEXTRACT($T397, G$1&amp;""[\w &amp;]*, (\d+\.\d+)""),"""")
"),"")</f>
        <v/>
      </c>
      <c r="H397" s="3"/>
      <c r="I397" s="3" t="str">
        <f aca="false">IFERROR(__xludf.dummyfunction("if($T397&lt;&gt;"""",REGEXEXTRACT(SUBSTITUTE ($T397,I$1&amp;"" CE"",""""), I$1&amp;""[\w &amp;]*, (\d+\.\d+)""),"""")
"),"")</f>
        <v/>
      </c>
      <c r="J397" s="3" t="str">
        <f aca="false">IFERROR(__xludf.dummyfunction("if($T397&lt;&gt;"""",REGEXEXTRACT($T397, J$1&amp;""[\w &amp;]*, (\d+\.\d+)""),"""")
"),"")</f>
        <v/>
      </c>
      <c r="K397" s="3"/>
      <c r="L397" s="3" t="str">
        <f aca="false">IFERROR(__xludf.dummyfunction("if($T397&lt;&gt;"""",REGEXEXTRACT(SUBSTITUTE ($T397,L$1&amp;"" CE"",""""), L$1&amp;""[\w &amp;]*, (\d+\.\d+)""),"""")
"),"")</f>
        <v/>
      </c>
      <c r="M397" s="3" t="str">
        <f aca="false">IFERROR(__xludf.dummyfunction("if($T397&lt;&gt;"""",REGEXEXTRACT($T397, M$1&amp;""[\w &amp;]*, (\d+\.\d+)""),"""")
"),"")</f>
        <v/>
      </c>
      <c r="N397" s="3" t="str">
        <f aca="false">IFERROR(__xludf.dummyfunction("if($T397&lt;&gt;"""",REGEXEXTRACT(SUBSTITUTE ($T397,N$1&amp;"" CE"",""""), N$1&amp;""[\w &amp;]*, (\d+\.\d+)""),"""")
"),"")</f>
        <v/>
      </c>
      <c r="O397" s="3" t="str">
        <f aca="false">IFERROR(__xludf.dummyfunction("if($T397&lt;&gt;"""",REGEXEXTRACT($T397, O$1&amp;""[\w &amp;]*, (\d+\.\d+)""),"""")
"),"")</f>
        <v/>
      </c>
      <c r="P397" s="2"/>
      <c r="Q397" s="2"/>
      <c r="R397" s="2"/>
      <c r="S397" s="2"/>
      <c r="T397" s="5"/>
    </row>
    <row r="398" customFormat="false" ht="15.75" hidden="false" customHeight="false" outlineLevel="0" collapsed="false">
      <c r="A398" s="4"/>
      <c r="B398" s="2"/>
      <c r="C398" s="2"/>
      <c r="D398" s="2"/>
      <c r="E398" s="2"/>
      <c r="F398" s="3" t="str">
        <f aca="false">IFERROR(__xludf.dummyfunction("if($T398&lt;&gt;"""",REGEXEXTRACT(SUBSTITUTE ($T398,F$1&amp;"" CE"",""""), F$1&amp;""[\w &amp;]*, (\d+\.\d+)""),"""")
"),"")</f>
        <v/>
      </c>
      <c r="G398" s="3" t="str">
        <f aca="false">IFERROR(__xludf.dummyfunction("if($T398&lt;&gt;"""",REGEXEXTRACT($T398, G$1&amp;""[\w &amp;]*, (\d+\.\d+)""),"""")
"),"")</f>
        <v/>
      </c>
      <c r="H398" s="3"/>
      <c r="I398" s="3" t="str">
        <f aca="false">IFERROR(__xludf.dummyfunction("if($T398&lt;&gt;"""",REGEXEXTRACT(SUBSTITUTE ($T398,I$1&amp;"" CE"",""""), I$1&amp;""[\w &amp;]*, (\d+\.\d+)""),"""")
"),"")</f>
        <v/>
      </c>
      <c r="J398" s="3" t="str">
        <f aca="false">IFERROR(__xludf.dummyfunction("if($T398&lt;&gt;"""",REGEXEXTRACT($T398, J$1&amp;""[\w &amp;]*, (\d+\.\d+)""),"""")
"),"")</f>
        <v/>
      </c>
      <c r="K398" s="3"/>
      <c r="L398" s="3" t="str">
        <f aca="false">IFERROR(__xludf.dummyfunction("if($T398&lt;&gt;"""",REGEXEXTRACT(SUBSTITUTE ($T398,L$1&amp;"" CE"",""""), L$1&amp;""[\w &amp;]*, (\d+\.\d+)""),"""")
"),"")</f>
        <v/>
      </c>
      <c r="M398" s="3" t="str">
        <f aca="false">IFERROR(__xludf.dummyfunction("if($T398&lt;&gt;"""",REGEXEXTRACT($T398, M$1&amp;""[\w &amp;]*, (\d+\.\d+)""),"""")
"),"")</f>
        <v/>
      </c>
      <c r="N398" s="3" t="str">
        <f aca="false">IFERROR(__xludf.dummyfunction("if($T398&lt;&gt;"""",REGEXEXTRACT(SUBSTITUTE ($T398,N$1&amp;"" CE"",""""), N$1&amp;""[\w &amp;]*, (\d+\.\d+)""),"""")
"),"")</f>
        <v/>
      </c>
      <c r="O398" s="3" t="str">
        <f aca="false">IFERROR(__xludf.dummyfunction("if($T398&lt;&gt;"""",REGEXEXTRACT($T398, O$1&amp;""[\w &amp;]*, (\d+\.\d+)""),"""")
"),"")</f>
        <v/>
      </c>
      <c r="P398" s="2"/>
      <c r="Q398" s="2"/>
      <c r="R398" s="2"/>
      <c r="S398" s="2"/>
      <c r="T398" s="5"/>
    </row>
    <row r="399" customFormat="false" ht="15.75" hidden="false" customHeight="false" outlineLevel="0" collapsed="false">
      <c r="A399" s="4"/>
      <c r="B399" s="2"/>
      <c r="C399" s="2"/>
      <c r="D399" s="2"/>
      <c r="E399" s="2"/>
      <c r="F399" s="3" t="str">
        <f aca="false">IFERROR(__xludf.dummyfunction("if($T399&lt;&gt;"""",REGEXEXTRACT(SUBSTITUTE ($T399,F$1&amp;"" CE"",""""), F$1&amp;""[\w &amp;]*, (\d+\.\d+)""),"""")
"),"")</f>
        <v/>
      </c>
      <c r="G399" s="3" t="str">
        <f aca="false">IFERROR(__xludf.dummyfunction("if($T399&lt;&gt;"""",REGEXEXTRACT($T399, G$1&amp;""[\w &amp;]*, (\d+\.\d+)""),"""")
"),"")</f>
        <v/>
      </c>
      <c r="H399" s="3"/>
      <c r="I399" s="3" t="str">
        <f aca="false">IFERROR(__xludf.dummyfunction("if($T399&lt;&gt;"""",REGEXEXTRACT(SUBSTITUTE ($T399,I$1&amp;"" CE"",""""), I$1&amp;""[\w &amp;]*, (\d+\.\d+)""),"""")
"),"")</f>
        <v/>
      </c>
      <c r="J399" s="3" t="str">
        <f aca="false">IFERROR(__xludf.dummyfunction("if($T399&lt;&gt;"""",REGEXEXTRACT($T399, J$1&amp;""[\w &amp;]*, (\d+\.\d+)""),"""")
"),"")</f>
        <v/>
      </c>
      <c r="K399" s="3"/>
      <c r="L399" s="3" t="str">
        <f aca="false">IFERROR(__xludf.dummyfunction("if($T399&lt;&gt;"""",REGEXEXTRACT(SUBSTITUTE ($T399,L$1&amp;"" CE"",""""), L$1&amp;""[\w &amp;]*, (\d+\.\d+)""),"""")
"),"")</f>
        <v/>
      </c>
      <c r="M399" s="3" t="str">
        <f aca="false">IFERROR(__xludf.dummyfunction("if($T399&lt;&gt;"""",REGEXEXTRACT($T399, M$1&amp;""[\w &amp;]*, (\d+\.\d+)""),"""")
"),"")</f>
        <v/>
      </c>
      <c r="N399" s="3" t="str">
        <f aca="false">IFERROR(__xludf.dummyfunction("if($T399&lt;&gt;"""",REGEXEXTRACT(SUBSTITUTE ($T399,N$1&amp;"" CE"",""""), N$1&amp;""[\w &amp;]*, (\d+\.\d+)""),"""")
"),"")</f>
        <v/>
      </c>
      <c r="O399" s="3" t="str">
        <f aca="false">IFERROR(__xludf.dummyfunction("if($T399&lt;&gt;"""",REGEXEXTRACT($T399, O$1&amp;""[\w &amp;]*, (\d+\.\d+)""),"""")
"),"")</f>
        <v/>
      </c>
      <c r="P399" s="2"/>
      <c r="Q399" s="2"/>
      <c r="R399" s="2"/>
      <c r="S399" s="2"/>
      <c r="T399" s="5"/>
    </row>
    <row r="400" customFormat="false" ht="15.75" hidden="false" customHeight="false" outlineLevel="0" collapsed="false">
      <c r="A400" s="4"/>
      <c r="B400" s="2"/>
      <c r="C400" s="2"/>
      <c r="D400" s="2"/>
      <c r="E400" s="2"/>
      <c r="F400" s="3" t="str">
        <f aca="false">IFERROR(__xludf.dummyfunction("if($T400&lt;&gt;"""",REGEXEXTRACT(SUBSTITUTE ($T400,F$1&amp;"" CE"",""""), F$1&amp;""[\w &amp;]*, (\d+\.\d+)""),"""")
"),"")</f>
        <v/>
      </c>
      <c r="G400" s="3" t="str">
        <f aca="false">IFERROR(__xludf.dummyfunction("if($T400&lt;&gt;"""",REGEXEXTRACT($T400, G$1&amp;""[\w &amp;]*, (\d+\.\d+)""),"""")
"),"")</f>
        <v/>
      </c>
      <c r="H400" s="3"/>
      <c r="I400" s="3" t="str">
        <f aca="false">IFERROR(__xludf.dummyfunction("if($T400&lt;&gt;"""",REGEXEXTRACT(SUBSTITUTE ($T400,I$1&amp;"" CE"",""""), I$1&amp;""[\w &amp;]*, (\d+\.\d+)""),"""")
"),"")</f>
        <v/>
      </c>
      <c r="J400" s="3" t="str">
        <f aca="false">IFERROR(__xludf.dummyfunction("if($T400&lt;&gt;"""",REGEXEXTRACT($T400, J$1&amp;""[\w &amp;]*, (\d+\.\d+)""),"""")
"),"")</f>
        <v/>
      </c>
      <c r="K400" s="3"/>
      <c r="L400" s="3" t="str">
        <f aca="false">IFERROR(__xludf.dummyfunction("if($T400&lt;&gt;"""",REGEXEXTRACT(SUBSTITUTE ($T400,L$1&amp;"" CE"",""""), L$1&amp;""[\w &amp;]*, (\d+\.\d+)""),"""")
"),"")</f>
        <v/>
      </c>
      <c r="M400" s="3" t="str">
        <f aca="false">IFERROR(__xludf.dummyfunction("if($T400&lt;&gt;"""",REGEXEXTRACT($T400, M$1&amp;""[\w &amp;]*, (\d+\.\d+)""),"""")
"),"")</f>
        <v/>
      </c>
      <c r="N400" s="3" t="str">
        <f aca="false">IFERROR(__xludf.dummyfunction("if($T400&lt;&gt;"""",REGEXEXTRACT(SUBSTITUTE ($T400,N$1&amp;"" CE"",""""), N$1&amp;""[\w &amp;]*, (\d+\.\d+)""),"""")
"),"")</f>
        <v/>
      </c>
      <c r="O400" s="3" t="str">
        <f aca="false">IFERROR(__xludf.dummyfunction("if($T400&lt;&gt;"""",REGEXEXTRACT($T400, O$1&amp;""[\w &amp;]*, (\d+\.\d+)""),"""")
"),"")</f>
        <v/>
      </c>
      <c r="P400" s="2"/>
      <c r="Q400" s="2"/>
      <c r="R400" s="2"/>
      <c r="S400" s="2"/>
      <c r="T400" s="5"/>
    </row>
    <row r="401" customFormat="false" ht="15.75" hidden="false" customHeight="false" outlineLevel="0" collapsed="false">
      <c r="A401" s="4"/>
      <c r="B401" s="2"/>
      <c r="C401" s="2"/>
      <c r="D401" s="2"/>
      <c r="E401" s="2"/>
      <c r="F401" s="3" t="str">
        <f aca="false">IFERROR(__xludf.dummyfunction("if($T401&lt;&gt;"""",REGEXEXTRACT(SUBSTITUTE ($T401,F$1&amp;"" CE"",""""), F$1&amp;""[\w &amp;]*, (\d+\.\d+)""),"""")
"),"")</f>
        <v/>
      </c>
      <c r="G401" s="3" t="str">
        <f aca="false">IFERROR(__xludf.dummyfunction("if($T401&lt;&gt;"""",REGEXEXTRACT($T401, G$1&amp;""[\w &amp;]*, (\d+\.\d+)""),"""")
"),"")</f>
        <v/>
      </c>
      <c r="H401" s="3"/>
      <c r="I401" s="3" t="str">
        <f aca="false">IFERROR(__xludf.dummyfunction("if($T401&lt;&gt;"""",REGEXEXTRACT(SUBSTITUTE ($T401,I$1&amp;"" CE"",""""), I$1&amp;""[\w &amp;]*, (\d+\.\d+)""),"""")
"),"")</f>
        <v/>
      </c>
      <c r="J401" s="3" t="str">
        <f aca="false">IFERROR(__xludf.dummyfunction("if($T401&lt;&gt;"""",REGEXEXTRACT($T401, J$1&amp;""[\w &amp;]*, (\d+\.\d+)""),"""")
"),"")</f>
        <v/>
      </c>
      <c r="K401" s="3"/>
      <c r="L401" s="3" t="str">
        <f aca="false">IFERROR(__xludf.dummyfunction("if($T401&lt;&gt;"""",REGEXEXTRACT(SUBSTITUTE ($T401,L$1&amp;"" CE"",""""), L$1&amp;""[\w &amp;]*, (\d+\.\d+)""),"""")
"),"")</f>
        <v/>
      </c>
      <c r="M401" s="3" t="str">
        <f aca="false">IFERROR(__xludf.dummyfunction("if($T401&lt;&gt;"""",REGEXEXTRACT($T401, M$1&amp;""[\w &amp;]*, (\d+\.\d+)""),"""")
"),"")</f>
        <v/>
      </c>
      <c r="N401" s="3" t="str">
        <f aca="false">IFERROR(__xludf.dummyfunction("if($T401&lt;&gt;"""",REGEXEXTRACT(SUBSTITUTE ($T401,N$1&amp;"" CE"",""""), N$1&amp;""[\w &amp;]*, (\d+\.\d+)""),"""")
"),"")</f>
        <v/>
      </c>
      <c r="O401" s="3" t="str">
        <f aca="false">IFERROR(__xludf.dummyfunction("if($T401&lt;&gt;"""",REGEXEXTRACT($T401, O$1&amp;""[\w &amp;]*, (\d+\.\d+)""),"""")
"),"")</f>
        <v/>
      </c>
      <c r="P401" s="2"/>
      <c r="Q401" s="2"/>
      <c r="R401" s="2"/>
      <c r="S401" s="2"/>
      <c r="T401" s="5"/>
    </row>
    <row r="402" customFormat="false" ht="15.75" hidden="false" customHeight="false" outlineLevel="0" collapsed="false">
      <c r="A402" s="4"/>
      <c r="B402" s="2"/>
      <c r="C402" s="2"/>
      <c r="D402" s="2"/>
      <c r="E402" s="2"/>
      <c r="F402" s="3" t="str">
        <f aca="false">IFERROR(__xludf.dummyfunction("if($T402&lt;&gt;"""",REGEXEXTRACT(SUBSTITUTE ($T402,F$1&amp;"" CE"",""""), F$1&amp;""[\w &amp;]*, (\d+\.\d+)""),"""")
"),"")</f>
        <v/>
      </c>
      <c r="G402" s="3" t="str">
        <f aca="false">IFERROR(__xludf.dummyfunction("if($T402&lt;&gt;"""",REGEXEXTRACT($T402, G$1&amp;""[\w &amp;]*, (\d+\.\d+)""),"""")
"),"")</f>
        <v/>
      </c>
      <c r="H402" s="3"/>
      <c r="I402" s="3" t="str">
        <f aca="false">IFERROR(__xludf.dummyfunction("if($T402&lt;&gt;"""",REGEXEXTRACT(SUBSTITUTE ($T402,I$1&amp;"" CE"",""""), I$1&amp;""[\w &amp;]*, (\d+\.\d+)""),"""")
"),"")</f>
        <v/>
      </c>
      <c r="J402" s="3" t="str">
        <f aca="false">IFERROR(__xludf.dummyfunction("if($T402&lt;&gt;"""",REGEXEXTRACT($T402, J$1&amp;""[\w &amp;]*, (\d+\.\d+)""),"""")
"),"")</f>
        <v/>
      </c>
      <c r="K402" s="3"/>
      <c r="L402" s="3" t="str">
        <f aca="false">IFERROR(__xludf.dummyfunction("if($T402&lt;&gt;"""",REGEXEXTRACT(SUBSTITUTE ($T402,L$1&amp;"" CE"",""""), L$1&amp;""[\w &amp;]*, (\d+\.\d+)""),"""")
"),"")</f>
        <v/>
      </c>
      <c r="M402" s="3" t="str">
        <f aca="false">IFERROR(__xludf.dummyfunction("if($T402&lt;&gt;"""",REGEXEXTRACT($T402, M$1&amp;""[\w &amp;]*, (\d+\.\d+)""),"""")
"),"")</f>
        <v/>
      </c>
      <c r="N402" s="3" t="str">
        <f aca="false">IFERROR(__xludf.dummyfunction("if($T402&lt;&gt;"""",REGEXEXTRACT(SUBSTITUTE ($T402,N$1&amp;"" CE"",""""), N$1&amp;""[\w &amp;]*, (\d+\.\d+)""),"""")
"),"")</f>
        <v/>
      </c>
      <c r="O402" s="3" t="str">
        <f aca="false">IFERROR(__xludf.dummyfunction("if($T402&lt;&gt;"""",REGEXEXTRACT($T402, O$1&amp;""[\w &amp;]*, (\d+\.\d+)""),"""")
"),"")</f>
        <v/>
      </c>
      <c r="P402" s="2"/>
      <c r="Q402" s="2"/>
      <c r="R402" s="2"/>
      <c r="S402" s="2"/>
      <c r="T402" s="5"/>
    </row>
    <row r="403" customFormat="false" ht="15.75" hidden="false" customHeight="false" outlineLevel="0" collapsed="false">
      <c r="A403" s="4"/>
      <c r="B403" s="2"/>
      <c r="C403" s="2"/>
      <c r="D403" s="2"/>
      <c r="E403" s="2"/>
      <c r="F403" s="3" t="str">
        <f aca="false">IFERROR(__xludf.dummyfunction("if($T403&lt;&gt;"""",REGEXEXTRACT(SUBSTITUTE ($T403,F$1&amp;"" CE"",""""), F$1&amp;""[\w &amp;]*, (\d+\.\d+)""),"""")
"),"")</f>
        <v/>
      </c>
      <c r="G403" s="3" t="str">
        <f aca="false">IFERROR(__xludf.dummyfunction("if($T403&lt;&gt;"""",REGEXEXTRACT($T403, G$1&amp;""[\w &amp;]*, (\d+\.\d+)""),"""")
"),"")</f>
        <v/>
      </c>
      <c r="H403" s="3"/>
      <c r="I403" s="3" t="str">
        <f aca="false">IFERROR(__xludf.dummyfunction("if($T403&lt;&gt;"""",REGEXEXTRACT(SUBSTITUTE ($T403,I$1&amp;"" CE"",""""), I$1&amp;""[\w &amp;]*, (\d+\.\d+)""),"""")
"),"")</f>
        <v/>
      </c>
      <c r="J403" s="3" t="str">
        <f aca="false">IFERROR(__xludf.dummyfunction("if($T403&lt;&gt;"""",REGEXEXTRACT($T403, J$1&amp;""[\w &amp;]*, (\d+\.\d+)""),"""")
"),"")</f>
        <v/>
      </c>
      <c r="K403" s="3"/>
      <c r="L403" s="3" t="str">
        <f aca="false">IFERROR(__xludf.dummyfunction("if($T403&lt;&gt;"""",REGEXEXTRACT(SUBSTITUTE ($T403,L$1&amp;"" CE"",""""), L$1&amp;""[\w &amp;]*, (\d+\.\d+)""),"""")
"),"")</f>
        <v/>
      </c>
      <c r="M403" s="3" t="str">
        <f aca="false">IFERROR(__xludf.dummyfunction("if($T403&lt;&gt;"""",REGEXEXTRACT($T403, M$1&amp;""[\w &amp;]*, (\d+\.\d+)""),"""")
"),"")</f>
        <v/>
      </c>
      <c r="N403" s="3" t="str">
        <f aca="false">IFERROR(__xludf.dummyfunction("if($T403&lt;&gt;"""",REGEXEXTRACT(SUBSTITUTE ($T403,N$1&amp;"" CE"",""""), N$1&amp;""[\w &amp;]*, (\d+\.\d+)""),"""")
"),"")</f>
        <v/>
      </c>
      <c r="O403" s="3" t="str">
        <f aca="false">IFERROR(__xludf.dummyfunction("if($T403&lt;&gt;"""",REGEXEXTRACT($T403, O$1&amp;""[\w &amp;]*, (\d+\.\d+)""),"""")
"),"")</f>
        <v/>
      </c>
      <c r="P403" s="2"/>
      <c r="Q403" s="2"/>
      <c r="R403" s="2"/>
      <c r="S403" s="2"/>
      <c r="T403" s="5"/>
    </row>
    <row r="404" customFormat="false" ht="15.75" hidden="false" customHeight="false" outlineLevel="0" collapsed="false">
      <c r="A404" s="4"/>
      <c r="B404" s="2"/>
      <c r="C404" s="2"/>
      <c r="D404" s="2"/>
      <c r="E404" s="2"/>
      <c r="F404" s="3" t="str">
        <f aca="false">IFERROR(__xludf.dummyfunction("if($T404&lt;&gt;"""",REGEXEXTRACT(SUBSTITUTE ($T404,F$1&amp;"" CE"",""""), F$1&amp;""[\w &amp;]*, (\d+\.\d+)""),"""")
"),"")</f>
        <v/>
      </c>
      <c r="G404" s="3" t="str">
        <f aca="false">IFERROR(__xludf.dummyfunction("if($T404&lt;&gt;"""",REGEXEXTRACT($T404, G$1&amp;""[\w &amp;]*, (\d+\.\d+)""),"""")
"),"")</f>
        <v/>
      </c>
      <c r="H404" s="3"/>
      <c r="I404" s="3" t="str">
        <f aca="false">IFERROR(__xludf.dummyfunction("if($T404&lt;&gt;"""",REGEXEXTRACT(SUBSTITUTE ($T404,I$1&amp;"" CE"",""""), I$1&amp;""[\w &amp;]*, (\d+\.\d+)""),"""")
"),"")</f>
        <v/>
      </c>
      <c r="J404" s="3" t="str">
        <f aca="false">IFERROR(__xludf.dummyfunction("if($T404&lt;&gt;"""",REGEXEXTRACT($T404, J$1&amp;""[\w &amp;]*, (\d+\.\d+)""),"""")
"),"")</f>
        <v/>
      </c>
      <c r="K404" s="3"/>
      <c r="L404" s="3" t="str">
        <f aca="false">IFERROR(__xludf.dummyfunction("if($T404&lt;&gt;"""",REGEXEXTRACT(SUBSTITUTE ($T404,L$1&amp;"" CE"",""""), L$1&amp;""[\w &amp;]*, (\d+\.\d+)""),"""")
"),"")</f>
        <v/>
      </c>
      <c r="M404" s="3" t="str">
        <f aca="false">IFERROR(__xludf.dummyfunction("if($T404&lt;&gt;"""",REGEXEXTRACT($T404, M$1&amp;""[\w &amp;]*, (\d+\.\d+)""),"""")
"),"")</f>
        <v/>
      </c>
      <c r="N404" s="3" t="str">
        <f aca="false">IFERROR(__xludf.dummyfunction("if($T404&lt;&gt;"""",REGEXEXTRACT(SUBSTITUTE ($T404,N$1&amp;"" CE"",""""), N$1&amp;""[\w &amp;]*, (\d+\.\d+)""),"""")
"),"")</f>
        <v/>
      </c>
      <c r="O404" s="3" t="str">
        <f aca="false">IFERROR(__xludf.dummyfunction("if($T404&lt;&gt;"""",REGEXEXTRACT($T404, O$1&amp;""[\w &amp;]*, (\d+\.\d+)""),"""")
"),"")</f>
        <v/>
      </c>
      <c r="P404" s="2"/>
      <c r="Q404" s="2"/>
      <c r="R404" s="2"/>
      <c r="S404" s="2"/>
      <c r="T404" s="5"/>
    </row>
    <row r="405" customFormat="false" ht="15.75" hidden="false" customHeight="false" outlineLevel="0" collapsed="false">
      <c r="A405" s="4"/>
      <c r="B405" s="2"/>
      <c r="C405" s="2"/>
      <c r="D405" s="2"/>
      <c r="E405" s="2"/>
      <c r="F405" s="3" t="str">
        <f aca="false">IFERROR(__xludf.dummyfunction("if($T405&lt;&gt;"""",REGEXEXTRACT(SUBSTITUTE ($T405,F$1&amp;"" CE"",""""), F$1&amp;""[\w &amp;]*, (\d+\.\d+)""),"""")
"),"")</f>
        <v/>
      </c>
      <c r="G405" s="3" t="str">
        <f aca="false">IFERROR(__xludf.dummyfunction("if($T405&lt;&gt;"""",REGEXEXTRACT($T405, G$1&amp;""[\w &amp;]*, (\d+\.\d+)""),"""")
"),"")</f>
        <v/>
      </c>
      <c r="H405" s="3"/>
      <c r="I405" s="3" t="str">
        <f aca="false">IFERROR(__xludf.dummyfunction("if($T405&lt;&gt;"""",REGEXEXTRACT(SUBSTITUTE ($T405,I$1&amp;"" CE"",""""), I$1&amp;""[\w &amp;]*, (\d+\.\d+)""),"""")
"),"")</f>
        <v/>
      </c>
      <c r="J405" s="3" t="str">
        <f aca="false">IFERROR(__xludf.dummyfunction("if($T405&lt;&gt;"""",REGEXEXTRACT($T405, J$1&amp;""[\w &amp;]*, (\d+\.\d+)""),"""")
"),"")</f>
        <v/>
      </c>
      <c r="K405" s="3"/>
      <c r="L405" s="3" t="str">
        <f aca="false">IFERROR(__xludf.dummyfunction("if($T405&lt;&gt;"""",REGEXEXTRACT(SUBSTITUTE ($T405,L$1&amp;"" CE"",""""), L$1&amp;""[\w &amp;]*, (\d+\.\d+)""),"""")
"),"")</f>
        <v/>
      </c>
      <c r="M405" s="3" t="str">
        <f aca="false">IFERROR(__xludf.dummyfunction("if($T405&lt;&gt;"""",REGEXEXTRACT($T405, M$1&amp;""[\w &amp;]*, (\d+\.\d+)""),"""")
"),"")</f>
        <v/>
      </c>
      <c r="N405" s="3" t="str">
        <f aca="false">IFERROR(__xludf.dummyfunction("if($T405&lt;&gt;"""",REGEXEXTRACT(SUBSTITUTE ($T405,N$1&amp;"" CE"",""""), N$1&amp;""[\w &amp;]*, (\d+\.\d+)""),"""")
"),"")</f>
        <v/>
      </c>
      <c r="O405" s="3" t="str">
        <f aca="false">IFERROR(__xludf.dummyfunction("if($T405&lt;&gt;"""",REGEXEXTRACT($T405, O$1&amp;""[\w &amp;]*, (\d+\.\d+)""),"""")
"),"")</f>
        <v/>
      </c>
      <c r="P405" s="2"/>
      <c r="Q405" s="2"/>
      <c r="R405" s="2"/>
      <c r="S405" s="2"/>
      <c r="T405" s="5"/>
    </row>
    <row r="406" customFormat="false" ht="15.75" hidden="false" customHeight="false" outlineLevel="0" collapsed="false">
      <c r="A406" s="4"/>
      <c r="B406" s="2"/>
      <c r="C406" s="2"/>
      <c r="D406" s="2"/>
      <c r="E406" s="2"/>
      <c r="F406" s="3" t="str">
        <f aca="false">IFERROR(__xludf.dummyfunction("if($T406&lt;&gt;"""",REGEXEXTRACT(SUBSTITUTE ($T406,F$1&amp;"" CE"",""""), F$1&amp;""[\w &amp;]*, (\d+\.\d+)""),"""")
"),"")</f>
        <v/>
      </c>
      <c r="G406" s="3" t="str">
        <f aca="false">IFERROR(__xludf.dummyfunction("if($T406&lt;&gt;"""",REGEXEXTRACT($T406, G$1&amp;""[\w &amp;]*, (\d+\.\d+)""),"""")
"),"")</f>
        <v/>
      </c>
      <c r="H406" s="3"/>
      <c r="I406" s="3" t="str">
        <f aca="false">IFERROR(__xludf.dummyfunction("if($T406&lt;&gt;"""",REGEXEXTRACT(SUBSTITUTE ($T406,I$1&amp;"" CE"",""""), I$1&amp;""[\w &amp;]*, (\d+\.\d+)""),"""")
"),"")</f>
        <v/>
      </c>
      <c r="J406" s="3" t="str">
        <f aca="false">IFERROR(__xludf.dummyfunction("if($T406&lt;&gt;"""",REGEXEXTRACT($T406, J$1&amp;""[\w &amp;]*, (\d+\.\d+)""),"""")
"),"")</f>
        <v/>
      </c>
      <c r="K406" s="3"/>
      <c r="L406" s="3" t="str">
        <f aca="false">IFERROR(__xludf.dummyfunction("if($T406&lt;&gt;"""",REGEXEXTRACT(SUBSTITUTE ($T406,L$1&amp;"" CE"",""""), L$1&amp;""[\w &amp;]*, (\d+\.\d+)""),"""")
"),"")</f>
        <v/>
      </c>
      <c r="M406" s="3" t="str">
        <f aca="false">IFERROR(__xludf.dummyfunction("if($T406&lt;&gt;"""",REGEXEXTRACT($T406, M$1&amp;""[\w &amp;]*, (\d+\.\d+)""),"""")
"),"")</f>
        <v/>
      </c>
      <c r="N406" s="3" t="str">
        <f aca="false">IFERROR(__xludf.dummyfunction("if($T406&lt;&gt;"""",REGEXEXTRACT(SUBSTITUTE ($T406,N$1&amp;"" CE"",""""), N$1&amp;""[\w &amp;]*, (\d+\.\d+)""),"""")
"),"")</f>
        <v/>
      </c>
      <c r="O406" s="3" t="str">
        <f aca="false">IFERROR(__xludf.dummyfunction("if($T406&lt;&gt;"""",REGEXEXTRACT($T406, O$1&amp;""[\w &amp;]*, (\d+\.\d+)""),"""")
"),"")</f>
        <v/>
      </c>
      <c r="P406" s="2"/>
      <c r="Q406" s="2"/>
      <c r="R406" s="2"/>
      <c r="S406" s="2"/>
      <c r="T406" s="5"/>
    </row>
    <row r="407" customFormat="false" ht="15.75" hidden="false" customHeight="false" outlineLevel="0" collapsed="false">
      <c r="A407" s="4"/>
      <c r="B407" s="2"/>
      <c r="C407" s="2"/>
      <c r="D407" s="2"/>
      <c r="E407" s="2"/>
      <c r="F407" s="3" t="str">
        <f aca="false">IFERROR(__xludf.dummyfunction("if($T407&lt;&gt;"""",REGEXEXTRACT(SUBSTITUTE ($T407,F$1&amp;"" CE"",""""), F$1&amp;""[\w &amp;]*, (\d+\.\d+)""),"""")
"),"")</f>
        <v/>
      </c>
      <c r="G407" s="3" t="str">
        <f aca="false">IFERROR(__xludf.dummyfunction("if($T407&lt;&gt;"""",REGEXEXTRACT($T407, G$1&amp;""[\w &amp;]*, (\d+\.\d+)""),"""")
"),"")</f>
        <v/>
      </c>
      <c r="H407" s="3"/>
      <c r="I407" s="3" t="str">
        <f aca="false">IFERROR(__xludf.dummyfunction("if($T407&lt;&gt;"""",REGEXEXTRACT(SUBSTITUTE ($T407,I$1&amp;"" CE"",""""), I$1&amp;""[\w &amp;]*, (\d+\.\d+)""),"""")
"),"")</f>
        <v/>
      </c>
      <c r="J407" s="3" t="str">
        <f aca="false">IFERROR(__xludf.dummyfunction("if($T407&lt;&gt;"""",REGEXEXTRACT($T407, J$1&amp;""[\w &amp;]*, (\d+\.\d+)""),"""")
"),"")</f>
        <v/>
      </c>
      <c r="K407" s="3"/>
      <c r="L407" s="3" t="str">
        <f aca="false">IFERROR(__xludf.dummyfunction("if($T407&lt;&gt;"""",REGEXEXTRACT(SUBSTITUTE ($T407,L$1&amp;"" CE"",""""), L$1&amp;""[\w &amp;]*, (\d+\.\d+)""),"""")
"),"")</f>
        <v/>
      </c>
      <c r="M407" s="3" t="str">
        <f aca="false">IFERROR(__xludf.dummyfunction("if($T407&lt;&gt;"""",REGEXEXTRACT($T407, M$1&amp;""[\w &amp;]*, (\d+\.\d+)""),"""")
"),"")</f>
        <v/>
      </c>
      <c r="N407" s="3" t="str">
        <f aca="false">IFERROR(__xludf.dummyfunction("if($T407&lt;&gt;"""",REGEXEXTRACT(SUBSTITUTE ($T407,N$1&amp;"" CE"",""""), N$1&amp;""[\w &amp;]*, (\d+\.\d+)""),"""")
"),"")</f>
        <v/>
      </c>
      <c r="O407" s="3" t="str">
        <f aca="false">IFERROR(__xludf.dummyfunction("if($T407&lt;&gt;"""",REGEXEXTRACT($T407, O$1&amp;""[\w &amp;]*, (\d+\.\d+)""),"""")
"),"")</f>
        <v/>
      </c>
      <c r="P407" s="2"/>
      <c r="Q407" s="2"/>
      <c r="R407" s="2"/>
      <c r="S407" s="2"/>
      <c r="T407" s="5"/>
    </row>
    <row r="408" customFormat="false" ht="15.75" hidden="false" customHeight="false" outlineLevel="0" collapsed="false">
      <c r="A408" s="4"/>
      <c r="B408" s="2"/>
      <c r="C408" s="2"/>
      <c r="D408" s="2"/>
      <c r="E408" s="2"/>
      <c r="F408" s="3" t="str">
        <f aca="false">IFERROR(__xludf.dummyfunction("if($T408&lt;&gt;"""",REGEXEXTRACT(SUBSTITUTE ($T408,F$1&amp;"" CE"",""""), F$1&amp;""[\w &amp;]*, (\d+\.\d+)""),"""")
"),"")</f>
        <v/>
      </c>
      <c r="G408" s="3" t="str">
        <f aca="false">IFERROR(__xludf.dummyfunction("if($T408&lt;&gt;"""",REGEXEXTRACT($T408, G$1&amp;""[\w &amp;]*, (\d+\.\d+)""),"""")
"),"")</f>
        <v/>
      </c>
      <c r="H408" s="3"/>
      <c r="I408" s="3" t="str">
        <f aca="false">IFERROR(__xludf.dummyfunction("if($T408&lt;&gt;"""",REGEXEXTRACT(SUBSTITUTE ($T408,I$1&amp;"" CE"",""""), I$1&amp;""[\w &amp;]*, (\d+\.\d+)""),"""")
"),"")</f>
        <v/>
      </c>
      <c r="J408" s="3" t="str">
        <f aca="false">IFERROR(__xludf.dummyfunction("if($T408&lt;&gt;"""",REGEXEXTRACT($T408, J$1&amp;""[\w &amp;]*, (\d+\.\d+)""),"""")
"),"")</f>
        <v/>
      </c>
      <c r="K408" s="3"/>
      <c r="L408" s="3" t="str">
        <f aca="false">IFERROR(__xludf.dummyfunction("if($T408&lt;&gt;"""",REGEXEXTRACT(SUBSTITUTE ($T408,L$1&amp;"" CE"",""""), L$1&amp;""[\w &amp;]*, (\d+\.\d+)""),"""")
"),"")</f>
        <v/>
      </c>
      <c r="M408" s="3" t="str">
        <f aca="false">IFERROR(__xludf.dummyfunction("if($T408&lt;&gt;"""",REGEXEXTRACT($T408, M$1&amp;""[\w &amp;]*, (\d+\.\d+)""),"""")
"),"")</f>
        <v/>
      </c>
      <c r="N408" s="3" t="str">
        <f aca="false">IFERROR(__xludf.dummyfunction("if($T408&lt;&gt;"""",REGEXEXTRACT(SUBSTITUTE ($T408,N$1&amp;"" CE"",""""), N$1&amp;""[\w &amp;]*, (\d+\.\d+)""),"""")
"),"")</f>
        <v/>
      </c>
      <c r="O408" s="3" t="str">
        <f aca="false">IFERROR(__xludf.dummyfunction("if($T408&lt;&gt;"""",REGEXEXTRACT($T408, O$1&amp;""[\w &amp;]*, (\d+\.\d+)""),"""")
"),"")</f>
        <v/>
      </c>
      <c r="P408" s="2"/>
      <c r="Q408" s="2"/>
      <c r="R408" s="2"/>
      <c r="S408" s="2"/>
      <c r="T408" s="5"/>
    </row>
    <row r="409" customFormat="false" ht="15.75" hidden="false" customHeight="false" outlineLevel="0" collapsed="false">
      <c r="A409" s="4"/>
      <c r="B409" s="2"/>
      <c r="C409" s="2"/>
      <c r="D409" s="2"/>
      <c r="E409" s="2"/>
      <c r="F409" s="3" t="str">
        <f aca="false">IFERROR(__xludf.dummyfunction("if($T409&lt;&gt;"""",REGEXEXTRACT(SUBSTITUTE ($T409,F$1&amp;"" CE"",""""), F$1&amp;""[\w &amp;]*, (\d+\.\d+)""),"""")
"),"")</f>
        <v/>
      </c>
      <c r="G409" s="3" t="str">
        <f aca="false">IFERROR(__xludf.dummyfunction("if($T409&lt;&gt;"""",REGEXEXTRACT($T409, G$1&amp;""[\w &amp;]*, (\d+\.\d+)""),"""")
"),"")</f>
        <v/>
      </c>
      <c r="H409" s="3"/>
      <c r="I409" s="3" t="str">
        <f aca="false">IFERROR(__xludf.dummyfunction("if($T409&lt;&gt;"""",REGEXEXTRACT(SUBSTITUTE ($T409,I$1&amp;"" CE"",""""), I$1&amp;""[\w &amp;]*, (\d+\.\d+)""),"""")
"),"")</f>
        <v/>
      </c>
      <c r="J409" s="3" t="str">
        <f aca="false">IFERROR(__xludf.dummyfunction("if($T409&lt;&gt;"""",REGEXEXTRACT($T409, J$1&amp;""[\w &amp;]*, (\d+\.\d+)""),"""")
"),"")</f>
        <v/>
      </c>
      <c r="K409" s="3"/>
      <c r="L409" s="3" t="str">
        <f aca="false">IFERROR(__xludf.dummyfunction("if($T409&lt;&gt;"""",REGEXEXTRACT(SUBSTITUTE ($T409,L$1&amp;"" CE"",""""), L$1&amp;""[\w &amp;]*, (\d+\.\d+)""),"""")
"),"")</f>
        <v/>
      </c>
      <c r="M409" s="3" t="str">
        <f aca="false">IFERROR(__xludf.dummyfunction("if($T409&lt;&gt;"""",REGEXEXTRACT($T409, M$1&amp;""[\w &amp;]*, (\d+\.\d+)""),"""")
"),"")</f>
        <v/>
      </c>
      <c r="N409" s="3" t="str">
        <f aca="false">IFERROR(__xludf.dummyfunction("if($T409&lt;&gt;"""",REGEXEXTRACT(SUBSTITUTE ($T409,N$1&amp;"" CE"",""""), N$1&amp;""[\w &amp;]*, (\d+\.\d+)""),"""")
"),"")</f>
        <v/>
      </c>
      <c r="O409" s="3" t="str">
        <f aca="false">IFERROR(__xludf.dummyfunction("if($T409&lt;&gt;"""",REGEXEXTRACT($T409, O$1&amp;""[\w &amp;]*, (\d+\.\d+)""),"""")
"),"")</f>
        <v/>
      </c>
      <c r="P409" s="2"/>
      <c r="Q409" s="2"/>
      <c r="R409" s="2"/>
      <c r="S409" s="2"/>
      <c r="T409" s="5"/>
    </row>
    <row r="410" customFormat="false" ht="15.75" hidden="false" customHeight="false" outlineLevel="0" collapsed="false">
      <c r="A410" s="4"/>
      <c r="B410" s="2"/>
      <c r="C410" s="2"/>
      <c r="D410" s="2"/>
      <c r="E410" s="2"/>
      <c r="F410" s="3" t="str">
        <f aca="false">IFERROR(__xludf.dummyfunction("if($T410&lt;&gt;"""",REGEXEXTRACT(SUBSTITUTE ($T410,F$1&amp;"" CE"",""""), F$1&amp;""[\w &amp;]*, (\d+\.\d+)""),"""")
"),"")</f>
        <v/>
      </c>
      <c r="G410" s="3" t="str">
        <f aca="false">IFERROR(__xludf.dummyfunction("if($T410&lt;&gt;"""",REGEXEXTRACT($T410, G$1&amp;""[\w &amp;]*, (\d+\.\d+)""),"""")
"),"")</f>
        <v/>
      </c>
      <c r="H410" s="3"/>
      <c r="I410" s="3" t="str">
        <f aca="false">IFERROR(__xludf.dummyfunction("if($T410&lt;&gt;"""",REGEXEXTRACT(SUBSTITUTE ($T410,I$1&amp;"" CE"",""""), I$1&amp;""[\w &amp;]*, (\d+\.\d+)""),"""")
"),"")</f>
        <v/>
      </c>
      <c r="J410" s="3" t="str">
        <f aca="false">IFERROR(__xludf.dummyfunction("if($T410&lt;&gt;"""",REGEXEXTRACT($T410, J$1&amp;""[\w &amp;]*, (\d+\.\d+)""),"""")
"),"")</f>
        <v/>
      </c>
      <c r="K410" s="3"/>
      <c r="L410" s="3" t="str">
        <f aca="false">IFERROR(__xludf.dummyfunction("if($T410&lt;&gt;"""",REGEXEXTRACT(SUBSTITUTE ($T410,L$1&amp;"" CE"",""""), L$1&amp;""[\w &amp;]*, (\d+\.\d+)""),"""")
"),"")</f>
        <v/>
      </c>
      <c r="M410" s="3" t="str">
        <f aca="false">IFERROR(__xludf.dummyfunction("if($T410&lt;&gt;"""",REGEXEXTRACT($T410, M$1&amp;""[\w &amp;]*, (\d+\.\d+)""),"""")
"),"")</f>
        <v/>
      </c>
      <c r="N410" s="3" t="str">
        <f aca="false">IFERROR(__xludf.dummyfunction("if($T410&lt;&gt;"""",REGEXEXTRACT(SUBSTITUTE ($T410,N$1&amp;"" CE"",""""), N$1&amp;""[\w &amp;]*, (\d+\.\d+)""),"""")
"),"")</f>
        <v/>
      </c>
      <c r="O410" s="3" t="str">
        <f aca="false">IFERROR(__xludf.dummyfunction("if($T410&lt;&gt;"""",REGEXEXTRACT($T410, O$1&amp;""[\w &amp;]*, (\d+\.\d+)""),"""")
"),"")</f>
        <v/>
      </c>
      <c r="P410" s="2"/>
      <c r="Q410" s="2"/>
      <c r="R410" s="2"/>
      <c r="S410" s="2"/>
      <c r="T410" s="5"/>
    </row>
    <row r="411" customFormat="false" ht="15.75" hidden="false" customHeight="false" outlineLevel="0" collapsed="false">
      <c r="A411" s="4"/>
      <c r="B411" s="2"/>
      <c r="C411" s="2"/>
      <c r="D411" s="2"/>
      <c r="E411" s="2"/>
      <c r="F411" s="3" t="str">
        <f aca="false">IFERROR(__xludf.dummyfunction("if($T411&lt;&gt;"""",REGEXEXTRACT(SUBSTITUTE ($T411,F$1&amp;"" CE"",""""), F$1&amp;""[\w &amp;]*, (\d+\.\d+)""),"""")
"),"")</f>
        <v/>
      </c>
      <c r="G411" s="3" t="str">
        <f aca="false">IFERROR(__xludf.dummyfunction("if($T411&lt;&gt;"""",REGEXEXTRACT($T411, G$1&amp;""[\w &amp;]*, (\d+\.\d+)""),"""")
"),"")</f>
        <v/>
      </c>
      <c r="H411" s="3"/>
      <c r="I411" s="3" t="str">
        <f aca="false">IFERROR(__xludf.dummyfunction("if($T411&lt;&gt;"""",REGEXEXTRACT(SUBSTITUTE ($T411,I$1&amp;"" CE"",""""), I$1&amp;""[\w &amp;]*, (\d+\.\d+)""),"""")
"),"")</f>
        <v/>
      </c>
      <c r="J411" s="3" t="str">
        <f aca="false">IFERROR(__xludf.dummyfunction("if($T411&lt;&gt;"""",REGEXEXTRACT($T411, J$1&amp;""[\w &amp;]*, (\d+\.\d+)""),"""")
"),"")</f>
        <v/>
      </c>
      <c r="K411" s="3"/>
      <c r="L411" s="3" t="str">
        <f aca="false">IFERROR(__xludf.dummyfunction("if($T411&lt;&gt;"""",REGEXEXTRACT(SUBSTITUTE ($T411,L$1&amp;"" CE"",""""), L$1&amp;""[\w &amp;]*, (\d+\.\d+)""),"""")
"),"")</f>
        <v/>
      </c>
      <c r="M411" s="3" t="str">
        <f aca="false">IFERROR(__xludf.dummyfunction("if($T411&lt;&gt;"""",REGEXEXTRACT($T411, M$1&amp;""[\w &amp;]*, (\d+\.\d+)""),"""")
"),"")</f>
        <v/>
      </c>
      <c r="N411" s="3" t="str">
        <f aca="false">IFERROR(__xludf.dummyfunction("if($T411&lt;&gt;"""",REGEXEXTRACT(SUBSTITUTE ($T411,N$1&amp;"" CE"",""""), N$1&amp;""[\w &amp;]*, (\d+\.\d+)""),"""")
"),"")</f>
        <v/>
      </c>
      <c r="O411" s="3" t="str">
        <f aca="false">IFERROR(__xludf.dummyfunction("if($T411&lt;&gt;"""",REGEXEXTRACT($T411, O$1&amp;""[\w &amp;]*, (\d+\.\d+)""),"""")
"),"")</f>
        <v/>
      </c>
      <c r="P411" s="2"/>
      <c r="Q411" s="2"/>
      <c r="R411" s="2"/>
      <c r="S411" s="2"/>
      <c r="T411" s="5"/>
    </row>
    <row r="412" customFormat="false" ht="15.75" hidden="false" customHeight="false" outlineLevel="0" collapsed="false">
      <c r="A412" s="4"/>
      <c r="B412" s="2"/>
      <c r="C412" s="2"/>
      <c r="D412" s="2"/>
      <c r="E412" s="2"/>
      <c r="F412" s="3" t="str">
        <f aca="false">IFERROR(__xludf.dummyfunction("if($T412&lt;&gt;"""",REGEXEXTRACT(SUBSTITUTE ($T412,F$1&amp;"" CE"",""""), F$1&amp;""[\w &amp;]*, (\d+\.\d+)""),"""")
"),"")</f>
        <v/>
      </c>
      <c r="G412" s="3" t="str">
        <f aca="false">IFERROR(__xludf.dummyfunction("if($T412&lt;&gt;"""",REGEXEXTRACT($T412, G$1&amp;""[\w &amp;]*, (\d+\.\d+)""),"""")
"),"")</f>
        <v/>
      </c>
      <c r="H412" s="3"/>
      <c r="I412" s="3" t="str">
        <f aca="false">IFERROR(__xludf.dummyfunction("if($T412&lt;&gt;"""",REGEXEXTRACT(SUBSTITUTE ($T412,I$1&amp;"" CE"",""""), I$1&amp;""[\w &amp;]*, (\d+\.\d+)""),"""")
"),"")</f>
        <v/>
      </c>
      <c r="J412" s="3" t="str">
        <f aca="false">IFERROR(__xludf.dummyfunction("if($T412&lt;&gt;"""",REGEXEXTRACT($T412, J$1&amp;""[\w &amp;]*, (\d+\.\d+)""),"""")
"),"")</f>
        <v/>
      </c>
      <c r="K412" s="3"/>
      <c r="L412" s="3" t="str">
        <f aca="false">IFERROR(__xludf.dummyfunction("if($T412&lt;&gt;"""",REGEXEXTRACT(SUBSTITUTE ($T412,L$1&amp;"" CE"",""""), L$1&amp;""[\w &amp;]*, (\d+\.\d+)""),"""")
"),"")</f>
        <v/>
      </c>
      <c r="M412" s="3" t="str">
        <f aca="false">IFERROR(__xludf.dummyfunction("if($T412&lt;&gt;"""",REGEXEXTRACT($T412, M$1&amp;""[\w &amp;]*, (\d+\.\d+)""),"""")
"),"")</f>
        <v/>
      </c>
      <c r="N412" s="3" t="str">
        <f aca="false">IFERROR(__xludf.dummyfunction("if($T412&lt;&gt;"""",REGEXEXTRACT(SUBSTITUTE ($T412,N$1&amp;"" CE"",""""), N$1&amp;""[\w &amp;]*, (\d+\.\d+)""),"""")
"),"")</f>
        <v/>
      </c>
      <c r="O412" s="3" t="str">
        <f aca="false">IFERROR(__xludf.dummyfunction("if($T412&lt;&gt;"""",REGEXEXTRACT($T412, O$1&amp;""[\w &amp;]*, (\d+\.\d+)""),"""")
"),"")</f>
        <v/>
      </c>
      <c r="P412" s="2"/>
      <c r="Q412" s="2"/>
      <c r="R412" s="2"/>
      <c r="S412" s="2"/>
      <c r="T412" s="5"/>
    </row>
    <row r="413" customFormat="false" ht="15.75" hidden="false" customHeight="false" outlineLevel="0" collapsed="false">
      <c r="A413" s="4"/>
      <c r="B413" s="2"/>
      <c r="C413" s="2"/>
      <c r="D413" s="2"/>
      <c r="E413" s="2"/>
      <c r="F413" s="3" t="str">
        <f aca="false">IFERROR(__xludf.dummyfunction("if($T413&lt;&gt;"""",REGEXEXTRACT(SUBSTITUTE ($T413,F$1&amp;"" CE"",""""), F$1&amp;""[\w &amp;]*, (\d+\.\d+)""),"""")
"),"")</f>
        <v/>
      </c>
      <c r="G413" s="3" t="str">
        <f aca="false">IFERROR(__xludf.dummyfunction("if($T413&lt;&gt;"""",REGEXEXTRACT($T413, G$1&amp;""[\w &amp;]*, (\d+\.\d+)""),"""")
"),"")</f>
        <v/>
      </c>
      <c r="H413" s="3"/>
      <c r="I413" s="3" t="str">
        <f aca="false">IFERROR(__xludf.dummyfunction("if($T413&lt;&gt;"""",REGEXEXTRACT(SUBSTITUTE ($T413,I$1&amp;"" CE"",""""), I$1&amp;""[\w &amp;]*, (\d+\.\d+)""),"""")
"),"")</f>
        <v/>
      </c>
      <c r="J413" s="3" t="str">
        <f aca="false">IFERROR(__xludf.dummyfunction("if($T413&lt;&gt;"""",REGEXEXTRACT($T413, J$1&amp;""[\w &amp;]*, (\d+\.\d+)""),"""")
"),"")</f>
        <v/>
      </c>
      <c r="K413" s="3"/>
      <c r="L413" s="3" t="str">
        <f aca="false">IFERROR(__xludf.dummyfunction("if($T413&lt;&gt;"""",REGEXEXTRACT(SUBSTITUTE ($T413,L$1&amp;"" CE"",""""), L$1&amp;""[\w &amp;]*, (\d+\.\d+)""),"""")
"),"")</f>
        <v/>
      </c>
      <c r="M413" s="3" t="str">
        <f aca="false">IFERROR(__xludf.dummyfunction("if($T413&lt;&gt;"""",REGEXEXTRACT($T413, M$1&amp;""[\w &amp;]*, (\d+\.\d+)""),"""")
"),"")</f>
        <v/>
      </c>
      <c r="N413" s="3" t="str">
        <f aca="false">IFERROR(__xludf.dummyfunction("if($T413&lt;&gt;"""",REGEXEXTRACT(SUBSTITUTE ($T413,N$1&amp;"" CE"",""""), N$1&amp;""[\w &amp;]*, (\d+\.\d+)""),"""")
"),"")</f>
        <v/>
      </c>
      <c r="O413" s="3" t="str">
        <f aca="false">IFERROR(__xludf.dummyfunction("if($T413&lt;&gt;"""",REGEXEXTRACT($T413, O$1&amp;""[\w &amp;]*, (\d+\.\d+)""),"""")
"),"")</f>
        <v/>
      </c>
      <c r="P413" s="2"/>
      <c r="Q413" s="2"/>
      <c r="R413" s="2"/>
      <c r="S413" s="2"/>
      <c r="T413" s="5"/>
    </row>
    <row r="414" customFormat="false" ht="15.75" hidden="false" customHeight="false" outlineLevel="0" collapsed="false">
      <c r="A414" s="4"/>
      <c r="B414" s="2"/>
      <c r="C414" s="2"/>
      <c r="D414" s="2"/>
      <c r="E414" s="2"/>
      <c r="F414" s="3" t="str">
        <f aca="false">IFERROR(__xludf.dummyfunction("if($T414&lt;&gt;"""",REGEXEXTRACT(SUBSTITUTE ($T414,F$1&amp;"" CE"",""""), F$1&amp;""[\w &amp;]*, (\d+\.\d+)""),"""")
"),"")</f>
        <v/>
      </c>
      <c r="G414" s="3" t="str">
        <f aca="false">IFERROR(__xludf.dummyfunction("if($T414&lt;&gt;"""",REGEXEXTRACT($T414, G$1&amp;""[\w &amp;]*, (\d+\.\d+)""),"""")
"),"")</f>
        <v/>
      </c>
      <c r="H414" s="3"/>
      <c r="I414" s="3" t="str">
        <f aca="false">IFERROR(__xludf.dummyfunction("if($T414&lt;&gt;"""",REGEXEXTRACT(SUBSTITUTE ($T414,I$1&amp;"" CE"",""""), I$1&amp;""[\w &amp;]*, (\d+\.\d+)""),"""")
"),"")</f>
        <v/>
      </c>
      <c r="J414" s="3" t="str">
        <f aca="false">IFERROR(__xludf.dummyfunction("if($T414&lt;&gt;"""",REGEXEXTRACT($T414, J$1&amp;""[\w &amp;]*, (\d+\.\d+)""),"""")
"),"")</f>
        <v/>
      </c>
      <c r="K414" s="3"/>
      <c r="L414" s="3" t="str">
        <f aca="false">IFERROR(__xludf.dummyfunction("if($T414&lt;&gt;"""",REGEXEXTRACT(SUBSTITUTE ($T414,L$1&amp;"" CE"",""""), L$1&amp;""[\w &amp;]*, (\d+\.\d+)""),"""")
"),"")</f>
        <v/>
      </c>
      <c r="M414" s="3" t="str">
        <f aca="false">IFERROR(__xludf.dummyfunction("if($T414&lt;&gt;"""",REGEXEXTRACT($T414, M$1&amp;""[\w &amp;]*, (\d+\.\d+)""),"""")
"),"")</f>
        <v/>
      </c>
      <c r="N414" s="3" t="str">
        <f aca="false">IFERROR(__xludf.dummyfunction("if($T414&lt;&gt;"""",REGEXEXTRACT(SUBSTITUTE ($T414,N$1&amp;"" CE"",""""), N$1&amp;""[\w &amp;]*, (\d+\.\d+)""),"""")
"),"")</f>
        <v/>
      </c>
      <c r="O414" s="3" t="str">
        <f aca="false">IFERROR(__xludf.dummyfunction("if($T414&lt;&gt;"""",REGEXEXTRACT($T414, O$1&amp;""[\w &amp;]*, (\d+\.\d+)""),"""")
"),"")</f>
        <v/>
      </c>
      <c r="P414" s="2"/>
      <c r="Q414" s="2"/>
      <c r="R414" s="2"/>
      <c r="S414" s="2"/>
      <c r="T414" s="5"/>
    </row>
    <row r="415" customFormat="false" ht="15.75" hidden="false" customHeight="false" outlineLevel="0" collapsed="false">
      <c r="A415" s="4"/>
      <c r="B415" s="2"/>
      <c r="C415" s="2"/>
      <c r="D415" s="2"/>
      <c r="E415" s="2"/>
      <c r="F415" s="3" t="str">
        <f aca="false">IFERROR(__xludf.dummyfunction("if($T415&lt;&gt;"""",REGEXEXTRACT(SUBSTITUTE ($T415,F$1&amp;"" CE"",""""), F$1&amp;""[\w &amp;]*, (\d+\.\d+)""),"""")
"),"")</f>
        <v/>
      </c>
      <c r="G415" s="3" t="str">
        <f aca="false">IFERROR(__xludf.dummyfunction("if($T415&lt;&gt;"""",REGEXEXTRACT($T415, G$1&amp;""[\w &amp;]*, (\d+\.\d+)""),"""")
"),"")</f>
        <v/>
      </c>
      <c r="H415" s="3"/>
      <c r="I415" s="3" t="str">
        <f aca="false">IFERROR(__xludf.dummyfunction("if($T415&lt;&gt;"""",REGEXEXTRACT(SUBSTITUTE ($T415,I$1&amp;"" CE"",""""), I$1&amp;""[\w &amp;]*, (\d+\.\d+)""),"""")
"),"")</f>
        <v/>
      </c>
      <c r="J415" s="3" t="str">
        <f aca="false">IFERROR(__xludf.dummyfunction("if($T415&lt;&gt;"""",REGEXEXTRACT($T415, J$1&amp;""[\w &amp;]*, (\d+\.\d+)""),"""")
"),"")</f>
        <v/>
      </c>
      <c r="K415" s="3"/>
      <c r="L415" s="3" t="str">
        <f aca="false">IFERROR(__xludf.dummyfunction("if($T415&lt;&gt;"""",REGEXEXTRACT(SUBSTITUTE ($T415,L$1&amp;"" CE"",""""), L$1&amp;""[\w &amp;]*, (\d+\.\d+)""),"""")
"),"")</f>
        <v/>
      </c>
      <c r="M415" s="3" t="str">
        <f aca="false">IFERROR(__xludf.dummyfunction("if($T415&lt;&gt;"""",REGEXEXTRACT($T415, M$1&amp;""[\w &amp;]*, (\d+\.\d+)""),"""")
"),"")</f>
        <v/>
      </c>
      <c r="N415" s="3" t="str">
        <f aca="false">IFERROR(__xludf.dummyfunction("if($T415&lt;&gt;"""",REGEXEXTRACT(SUBSTITUTE ($T415,N$1&amp;"" CE"",""""), N$1&amp;""[\w &amp;]*, (\d+\.\d+)""),"""")
"),"")</f>
        <v/>
      </c>
      <c r="O415" s="3" t="str">
        <f aca="false">IFERROR(__xludf.dummyfunction("if($T415&lt;&gt;"""",REGEXEXTRACT($T415, O$1&amp;""[\w &amp;]*, (\d+\.\d+)""),"""")
"),"")</f>
        <v/>
      </c>
      <c r="P415" s="2"/>
      <c r="Q415" s="2"/>
      <c r="R415" s="2"/>
      <c r="S415" s="2"/>
      <c r="T415" s="5"/>
    </row>
    <row r="416" customFormat="false" ht="15.75" hidden="false" customHeight="false" outlineLevel="0" collapsed="false">
      <c r="A416" s="4"/>
      <c r="B416" s="2"/>
      <c r="C416" s="2"/>
      <c r="D416" s="2"/>
      <c r="E416" s="2"/>
      <c r="F416" s="3" t="str">
        <f aca="false">IFERROR(__xludf.dummyfunction("if($T416&lt;&gt;"""",REGEXEXTRACT(SUBSTITUTE ($T416,F$1&amp;"" CE"",""""), F$1&amp;""[\w &amp;]*, (\d+\.\d+)""),"""")
"),"")</f>
        <v/>
      </c>
      <c r="G416" s="3" t="str">
        <f aca="false">IFERROR(__xludf.dummyfunction("if($T416&lt;&gt;"""",REGEXEXTRACT($T416, G$1&amp;""[\w &amp;]*, (\d+\.\d+)""),"""")
"),"")</f>
        <v/>
      </c>
      <c r="H416" s="3"/>
      <c r="I416" s="3" t="str">
        <f aca="false">IFERROR(__xludf.dummyfunction("if($T416&lt;&gt;"""",REGEXEXTRACT(SUBSTITUTE ($T416,I$1&amp;"" CE"",""""), I$1&amp;""[\w &amp;]*, (\d+\.\d+)""),"""")
"),"")</f>
        <v/>
      </c>
      <c r="J416" s="3" t="str">
        <f aca="false">IFERROR(__xludf.dummyfunction("if($T416&lt;&gt;"""",REGEXEXTRACT($T416, J$1&amp;""[\w &amp;]*, (\d+\.\d+)""),"""")
"),"")</f>
        <v/>
      </c>
      <c r="K416" s="3"/>
      <c r="L416" s="3" t="str">
        <f aca="false">IFERROR(__xludf.dummyfunction("if($T416&lt;&gt;"""",REGEXEXTRACT(SUBSTITUTE ($T416,L$1&amp;"" CE"",""""), L$1&amp;""[\w &amp;]*, (\d+\.\d+)""),"""")
"),"")</f>
        <v/>
      </c>
      <c r="M416" s="3" t="str">
        <f aca="false">IFERROR(__xludf.dummyfunction("if($T416&lt;&gt;"""",REGEXEXTRACT($T416, M$1&amp;""[\w &amp;]*, (\d+\.\d+)""),"""")
"),"")</f>
        <v/>
      </c>
      <c r="N416" s="3" t="str">
        <f aca="false">IFERROR(__xludf.dummyfunction("if($T416&lt;&gt;"""",REGEXEXTRACT(SUBSTITUTE ($T416,N$1&amp;"" CE"",""""), N$1&amp;""[\w &amp;]*, (\d+\.\d+)""),"""")
"),"")</f>
        <v/>
      </c>
      <c r="O416" s="3" t="str">
        <f aca="false">IFERROR(__xludf.dummyfunction("if($T416&lt;&gt;"""",REGEXEXTRACT($T416, O$1&amp;""[\w &amp;]*, (\d+\.\d+)""),"""")
"),"")</f>
        <v/>
      </c>
      <c r="P416" s="2"/>
      <c r="Q416" s="2"/>
      <c r="R416" s="2"/>
      <c r="S416" s="2"/>
      <c r="T416" s="5"/>
    </row>
    <row r="417" customFormat="false" ht="15.75" hidden="false" customHeight="false" outlineLevel="0" collapsed="false">
      <c r="A417" s="4"/>
      <c r="B417" s="2"/>
      <c r="C417" s="2"/>
      <c r="D417" s="2"/>
      <c r="E417" s="2"/>
      <c r="F417" s="3" t="str">
        <f aca="false">IFERROR(__xludf.dummyfunction("if($T417&lt;&gt;"""",REGEXEXTRACT(SUBSTITUTE ($T417,F$1&amp;"" CE"",""""), F$1&amp;""[\w &amp;]*, (\d+\.\d+)""),"""")
"),"")</f>
        <v/>
      </c>
      <c r="G417" s="3" t="str">
        <f aca="false">IFERROR(__xludf.dummyfunction("if($T417&lt;&gt;"""",REGEXEXTRACT($T417, G$1&amp;""[\w &amp;]*, (\d+\.\d+)""),"""")
"),"")</f>
        <v/>
      </c>
      <c r="H417" s="3"/>
      <c r="I417" s="3" t="str">
        <f aca="false">IFERROR(__xludf.dummyfunction("if($T417&lt;&gt;"""",REGEXEXTRACT(SUBSTITUTE ($T417,I$1&amp;"" CE"",""""), I$1&amp;""[\w &amp;]*, (\d+\.\d+)""),"""")
"),"")</f>
        <v/>
      </c>
      <c r="J417" s="3" t="str">
        <f aca="false">IFERROR(__xludf.dummyfunction("if($T417&lt;&gt;"""",REGEXEXTRACT($T417, J$1&amp;""[\w &amp;]*, (\d+\.\d+)""),"""")
"),"")</f>
        <v/>
      </c>
      <c r="K417" s="3"/>
      <c r="L417" s="3" t="str">
        <f aca="false">IFERROR(__xludf.dummyfunction("if($T417&lt;&gt;"""",REGEXEXTRACT(SUBSTITUTE ($T417,L$1&amp;"" CE"",""""), L$1&amp;""[\w &amp;]*, (\d+\.\d+)""),"""")
"),"")</f>
        <v/>
      </c>
      <c r="M417" s="3" t="str">
        <f aca="false">IFERROR(__xludf.dummyfunction("if($T417&lt;&gt;"""",REGEXEXTRACT($T417, M$1&amp;""[\w &amp;]*, (\d+\.\d+)""),"""")
"),"")</f>
        <v/>
      </c>
      <c r="N417" s="3" t="str">
        <f aca="false">IFERROR(__xludf.dummyfunction("if($T417&lt;&gt;"""",REGEXEXTRACT(SUBSTITUTE ($T417,N$1&amp;"" CE"",""""), N$1&amp;""[\w &amp;]*, (\d+\.\d+)""),"""")
"),"")</f>
        <v/>
      </c>
      <c r="O417" s="3" t="str">
        <f aca="false">IFERROR(__xludf.dummyfunction("if($T417&lt;&gt;"""",REGEXEXTRACT($T417, O$1&amp;""[\w &amp;]*, (\d+\.\d+)""),"""")
"),"")</f>
        <v/>
      </c>
      <c r="P417" s="2"/>
      <c r="Q417" s="2"/>
      <c r="R417" s="2"/>
      <c r="S417" s="2"/>
      <c r="T417" s="5"/>
    </row>
    <row r="418" customFormat="false" ht="15.75" hidden="false" customHeight="false" outlineLevel="0" collapsed="false">
      <c r="A418" s="4"/>
      <c r="B418" s="2"/>
      <c r="C418" s="2"/>
      <c r="D418" s="2"/>
      <c r="E418" s="2"/>
      <c r="F418" s="3" t="str">
        <f aca="false">IFERROR(__xludf.dummyfunction("if($T418&lt;&gt;"""",REGEXEXTRACT(SUBSTITUTE ($T418,F$1&amp;"" CE"",""""), F$1&amp;""[\w &amp;]*, (\d+\.\d+)""),"""")
"),"")</f>
        <v/>
      </c>
      <c r="G418" s="3" t="str">
        <f aca="false">IFERROR(__xludf.dummyfunction("if($T418&lt;&gt;"""",REGEXEXTRACT($T418, G$1&amp;""[\w &amp;]*, (\d+\.\d+)""),"""")
"),"")</f>
        <v/>
      </c>
      <c r="H418" s="3"/>
      <c r="I418" s="3" t="str">
        <f aca="false">IFERROR(__xludf.dummyfunction("if($T418&lt;&gt;"""",REGEXEXTRACT(SUBSTITUTE ($T418,I$1&amp;"" CE"",""""), I$1&amp;""[\w &amp;]*, (\d+\.\d+)""),"""")
"),"")</f>
        <v/>
      </c>
      <c r="J418" s="3" t="str">
        <f aca="false">IFERROR(__xludf.dummyfunction("if($T418&lt;&gt;"""",REGEXEXTRACT($T418, J$1&amp;""[\w &amp;]*, (\d+\.\d+)""),"""")
"),"")</f>
        <v/>
      </c>
      <c r="K418" s="3"/>
      <c r="L418" s="3" t="str">
        <f aca="false">IFERROR(__xludf.dummyfunction("if($T418&lt;&gt;"""",REGEXEXTRACT(SUBSTITUTE ($T418,L$1&amp;"" CE"",""""), L$1&amp;""[\w &amp;]*, (\d+\.\d+)""),"""")
"),"")</f>
        <v/>
      </c>
      <c r="M418" s="3" t="str">
        <f aca="false">IFERROR(__xludf.dummyfunction("if($T418&lt;&gt;"""",REGEXEXTRACT($T418, M$1&amp;""[\w &amp;]*, (\d+\.\d+)""),"""")
"),"")</f>
        <v/>
      </c>
      <c r="N418" s="3" t="str">
        <f aca="false">IFERROR(__xludf.dummyfunction("if($T418&lt;&gt;"""",REGEXEXTRACT(SUBSTITUTE ($T418,N$1&amp;"" CE"",""""), N$1&amp;""[\w &amp;]*, (\d+\.\d+)""),"""")
"),"")</f>
        <v/>
      </c>
      <c r="O418" s="3" t="str">
        <f aca="false">IFERROR(__xludf.dummyfunction("if($T418&lt;&gt;"""",REGEXEXTRACT($T418, O$1&amp;""[\w &amp;]*, (\d+\.\d+)""),"""")
"),"")</f>
        <v/>
      </c>
      <c r="P418" s="2"/>
      <c r="Q418" s="2"/>
      <c r="R418" s="2"/>
      <c r="S418" s="2"/>
      <c r="T418" s="5"/>
    </row>
    <row r="419" customFormat="false" ht="15.75" hidden="false" customHeight="false" outlineLevel="0" collapsed="false">
      <c r="A419" s="4"/>
      <c r="B419" s="2"/>
      <c r="C419" s="2"/>
      <c r="D419" s="2"/>
      <c r="E419" s="2"/>
      <c r="F419" s="3" t="str">
        <f aca="false">IFERROR(__xludf.dummyfunction("if($T419&lt;&gt;"""",REGEXEXTRACT(SUBSTITUTE ($T419,F$1&amp;"" CE"",""""), F$1&amp;""[\w &amp;]*, (\d+\.\d+)""),"""")
"),"")</f>
        <v/>
      </c>
      <c r="G419" s="3" t="str">
        <f aca="false">IFERROR(__xludf.dummyfunction("if($T419&lt;&gt;"""",REGEXEXTRACT($T419, G$1&amp;""[\w &amp;]*, (\d+\.\d+)""),"""")
"),"")</f>
        <v/>
      </c>
      <c r="H419" s="3"/>
      <c r="I419" s="3" t="str">
        <f aca="false">IFERROR(__xludf.dummyfunction("if($T419&lt;&gt;"""",REGEXEXTRACT(SUBSTITUTE ($T419,I$1&amp;"" CE"",""""), I$1&amp;""[\w &amp;]*, (\d+\.\d+)""),"""")
"),"")</f>
        <v/>
      </c>
      <c r="J419" s="3" t="str">
        <f aca="false">IFERROR(__xludf.dummyfunction("if($T419&lt;&gt;"""",REGEXEXTRACT($T419, J$1&amp;""[\w &amp;]*, (\d+\.\d+)""),"""")
"),"")</f>
        <v/>
      </c>
      <c r="K419" s="3"/>
      <c r="L419" s="3" t="str">
        <f aca="false">IFERROR(__xludf.dummyfunction("if($T419&lt;&gt;"""",REGEXEXTRACT(SUBSTITUTE ($T419,L$1&amp;"" CE"",""""), L$1&amp;""[\w &amp;]*, (\d+\.\d+)""),"""")
"),"")</f>
        <v/>
      </c>
      <c r="M419" s="3" t="str">
        <f aca="false">IFERROR(__xludf.dummyfunction("if($T419&lt;&gt;"""",REGEXEXTRACT($T419, M$1&amp;""[\w &amp;]*, (\d+\.\d+)""),"""")
"),"")</f>
        <v/>
      </c>
      <c r="N419" s="3" t="str">
        <f aca="false">IFERROR(__xludf.dummyfunction("if($T419&lt;&gt;"""",REGEXEXTRACT(SUBSTITUTE ($T419,N$1&amp;"" CE"",""""), N$1&amp;""[\w &amp;]*, (\d+\.\d+)""),"""")
"),"")</f>
        <v/>
      </c>
      <c r="O419" s="3" t="str">
        <f aca="false">IFERROR(__xludf.dummyfunction("if($T419&lt;&gt;"""",REGEXEXTRACT($T419, O$1&amp;""[\w &amp;]*, (\d+\.\d+)""),"""")
"),"")</f>
        <v/>
      </c>
      <c r="P419" s="2"/>
      <c r="Q419" s="2"/>
      <c r="R419" s="2"/>
      <c r="S419" s="2"/>
      <c r="T419" s="5"/>
    </row>
    <row r="420" customFormat="false" ht="15.75" hidden="false" customHeight="false" outlineLevel="0" collapsed="false">
      <c r="A420" s="4"/>
      <c r="B420" s="2"/>
      <c r="C420" s="2"/>
      <c r="D420" s="2"/>
      <c r="E420" s="2"/>
      <c r="F420" s="3" t="str">
        <f aca="false">IFERROR(__xludf.dummyfunction("if($T420&lt;&gt;"""",REGEXEXTRACT(SUBSTITUTE ($T420,F$1&amp;"" CE"",""""), F$1&amp;""[\w &amp;]*, (\d+\.\d+)""),"""")
"),"")</f>
        <v/>
      </c>
      <c r="G420" s="3" t="str">
        <f aca="false">IFERROR(__xludf.dummyfunction("if($T420&lt;&gt;"""",REGEXEXTRACT($T420, G$1&amp;""[\w &amp;]*, (\d+\.\d+)""),"""")
"),"")</f>
        <v/>
      </c>
      <c r="H420" s="3"/>
      <c r="I420" s="3" t="str">
        <f aca="false">IFERROR(__xludf.dummyfunction("if($T420&lt;&gt;"""",REGEXEXTRACT(SUBSTITUTE ($T420,I$1&amp;"" CE"",""""), I$1&amp;""[\w &amp;]*, (\d+\.\d+)""),"""")
"),"")</f>
        <v/>
      </c>
      <c r="J420" s="3" t="str">
        <f aca="false">IFERROR(__xludf.dummyfunction("if($T420&lt;&gt;"""",REGEXEXTRACT($T420, J$1&amp;""[\w &amp;]*, (\d+\.\d+)""),"""")
"),"")</f>
        <v/>
      </c>
      <c r="K420" s="3"/>
      <c r="L420" s="3" t="str">
        <f aca="false">IFERROR(__xludf.dummyfunction("if($T420&lt;&gt;"""",REGEXEXTRACT(SUBSTITUTE ($T420,L$1&amp;"" CE"",""""), L$1&amp;""[\w &amp;]*, (\d+\.\d+)""),"""")
"),"")</f>
        <v/>
      </c>
      <c r="M420" s="3" t="str">
        <f aca="false">IFERROR(__xludf.dummyfunction("if($T420&lt;&gt;"""",REGEXEXTRACT($T420, M$1&amp;""[\w &amp;]*, (\d+\.\d+)""),"""")
"),"")</f>
        <v/>
      </c>
      <c r="N420" s="3" t="str">
        <f aca="false">IFERROR(__xludf.dummyfunction("if($T420&lt;&gt;"""",REGEXEXTRACT(SUBSTITUTE ($T420,N$1&amp;"" CE"",""""), N$1&amp;""[\w &amp;]*, (\d+\.\d+)""),"""")
"),"")</f>
        <v/>
      </c>
      <c r="O420" s="3" t="str">
        <f aca="false">IFERROR(__xludf.dummyfunction("if($T420&lt;&gt;"""",REGEXEXTRACT($T420, O$1&amp;""[\w &amp;]*, (\d+\.\d+)""),"""")
"),"")</f>
        <v/>
      </c>
      <c r="P420" s="2"/>
      <c r="Q420" s="2"/>
      <c r="R420" s="2"/>
      <c r="S420" s="2"/>
      <c r="T420" s="5"/>
    </row>
    <row r="421" customFormat="false" ht="15.75" hidden="false" customHeight="false" outlineLevel="0" collapsed="false">
      <c r="A421" s="4"/>
      <c r="B421" s="2"/>
      <c r="C421" s="2"/>
      <c r="D421" s="2"/>
      <c r="E421" s="2"/>
      <c r="F421" s="3" t="str">
        <f aca="false">IFERROR(__xludf.dummyfunction("if($T421&lt;&gt;"""",REGEXEXTRACT(SUBSTITUTE ($T421,F$1&amp;"" CE"",""""), F$1&amp;""[\w &amp;]*, (\d+\.\d+)""),"""")
"),"")</f>
        <v/>
      </c>
      <c r="G421" s="3" t="str">
        <f aca="false">IFERROR(__xludf.dummyfunction("if($T421&lt;&gt;"""",REGEXEXTRACT($T421, G$1&amp;""[\w &amp;]*, (\d+\.\d+)""),"""")
"),"")</f>
        <v/>
      </c>
      <c r="H421" s="3"/>
      <c r="I421" s="3" t="str">
        <f aca="false">IFERROR(__xludf.dummyfunction("if($T421&lt;&gt;"""",REGEXEXTRACT(SUBSTITUTE ($T421,I$1&amp;"" CE"",""""), I$1&amp;""[\w &amp;]*, (\d+\.\d+)""),"""")
"),"")</f>
        <v/>
      </c>
      <c r="J421" s="3" t="str">
        <f aca="false">IFERROR(__xludf.dummyfunction("if($T421&lt;&gt;"""",REGEXEXTRACT($T421, J$1&amp;""[\w &amp;]*, (\d+\.\d+)""),"""")
"),"")</f>
        <v/>
      </c>
      <c r="K421" s="3"/>
      <c r="L421" s="3" t="str">
        <f aca="false">IFERROR(__xludf.dummyfunction("if($T421&lt;&gt;"""",REGEXEXTRACT(SUBSTITUTE ($T421,L$1&amp;"" CE"",""""), L$1&amp;""[\w &amp;]*, (\d+\.\d+)""),"""")
"),"")</f>
        <v/>
      </c>
      <c r="M421" s="3" t="str">
        <f aca="false">IFERROR(__xludf.dummyfunction("if($T421&lt;&gt;"""",REGEXEXTRACT($T421, M$1&amp;""[\w &amp;]*, (\d+\.\d+)""),"""")
"),"")</f>
        <v/>
      </c>
      <c r="N421" s="3" t="str">
        <f aca="false">IFERROR(__xludf.dummyfunction("if($T421&lt;&gt;"""",REGEXEXTRACT(SUBSTITUTE ($T421,N$1&amp;"" CE"",""""), N$1&amp;""[\w &amp;]*, (\d+\.\d+)""),"""")
"),"")</f>
        <v/>
      </c>
      <c r="O421" s="3" t="str">
        <f aca="false">IFERROR(__xludf.dummyfunction("if($T421&lt;&gt;"""",REGEXEXTRACT($T421, O$1&amp;""[\w &amp;]*, (\d+\.\d+)""),"""")
"),"")</f>
        <v/>
      </c>
      <c r="P421" s="2"/>
      <c r="Q421" s="2"/>
      <c r="R421" s="2"/>
      <c r="S421" s="2"/>
      <c r="T421" s="5"/>
    </row>
    <row r="422" customFormat="false" ht="15.75" hidden="false" customHeight="false" outlineLevel="0" collapsed="false">
      <c r="A422" s="4"/>
      <c r="B422" s="2"/>
      <c r="C422" s="2"/>
      <c r="D422" s="2"/>
      <c r="E422" s="2"/>
      <c r="F422" s="3" t="str">
        <f aca="false">IFERROR(__xludf.dummyfunction("if($T422&lt;&gt;"""",REGEXEXTRACT(SUBSTITUTE ($T422,F$1&amp;"" CE"",""""), F$1&amp;""[\w &amp;]*, (\d+\.\d+)""),"""")
"),"")</f>
        <v/>
      </c>
      <c r="G422" s="3" t="str">
        <f aca="false">IFERROR(__xludf.dummyfunction("if($T422&lt;&gt;"""",REGEXEXTRACT($T422, G$1&amp;""[\w &amp;]*, (\d+\.\d+)""),"""")
"),"")</f>
        <v/>
      </c>
      <c r="H422" s="3"/>
      <c r="I422" s="3" t="str">
        <f aca="false">IFERROR(__xludf.dummyfunction("if($T422&lt;&gt;"""",REGEXEXTRACT(SUBSTITUTE ($T422,I$1&amp;"" CE"",""""), I$1&amp;""[\w &amp;]*, (\d+\.\d+)""),"""")
"),"")</f>
        <v/>
      </c>
      <c r="J422" s="3" t="str">
        <f aca="false">IFERROR(__xludf.dummyfunction("if($T422&lt;&gt;"""",REGEXEXTRACT($T422, J$1&amp;""[\w &amp;]*, (\d+\.\d+)""),"""")
"),"")</f>
        <v/>
      </c>
      <c r="K422" s="3"/>
      <c r="L422" s="3" t="str">
        <f aca="false">IFERROR(__xludf.dummyfunction("if($T422&lt;&gt;"""",REGEXEXTRACT(SUBSTITUTE ($T422,L$1&amp;"" CE"",""""), L$1&amp;""[\w &amp;]*, (\d+\.\d+)""),"""")
"),"")</f>
        <v/>
      </c>
      <c r="M422" s="3" t="str">
        <f aca="false">IFERROR(__xludf.dummyfunction("if($T422&lt;&gt;"""",REGEXEXTRACT($T422, M$1&amp;""[\w &amp;]*, (\d+\.\d+)""),"""")
"),"")</f>
        <v/>
      </c>
      <c r="N422" s="3" t="str">
        <f aca="false">IFERROR(__xludf.dummyfunction("if($T422&lt;&gt;"""",REGEXEXTRACT(SUBSTITUTE ($T422,N$1&amp;"" CE"",""""), N$1&amp;""[\w &amp;]*, (\d+\.\d+)""),"""")
"),"")</f>
        <v/>
      </c>
      <c r="O422" s="3" t="str">
        <f aca="false">IFERROR(__xludf.dummyfunction("if($T422&lt;&gt;"""",REGEXEXTRACT($T422, O$1&amp;""[\w &amp;]*, (\d+\.\d+)""),"""")
"),"")</f>
        <v/>
      </c>
      <c r="P422" s="2"/>
      <c r="Q422" s="2"/>
      <c r="R422" s="2"/>
      <c r="S422" s="2"/>
      <c r="T422" s="5"/>
    </row>
    <row r="423" customFormat="false" ht="15.75" hidden="false" customHeight="false" outlineLevel="0" collapsed="false">
      <c r="A423" s="4"/>
      <c r="B423" s="2"/>
      <c r="C423" s="2"/>
      <c r="D423" s="2"/>
      <c r="E423" s="2"/>
      <c r="F423" s="3" t="str">
        <f aca="false">IFERROR(__xludf.dummyfunction("if($T423&lt;&gt;"""",REGEXEXTRACT(SUBSTITUTE ($T423,F$1&amp;"" CE"",""""), F$1&amp;""[\w &amp;]*, (\d+\.\d+)""),"""")
"),"")</f>
        <v/>
      </c>
      <c r="G423" s="3" t="str">
        <f aca="false">IFERROR(__xludf.dummyfunction("if($T423&lt;&gt;"""",REGEXEXTRACT($T423, G$1&amp;""[\w &amp;]*, (\d+\.\d+)""),"""")
"),"")</f>
        <v/>
      </c>
      <c r="H423" s="3"/>
      <c r="I423" s="3" t="str">
        <f aca="false">IFERROR(__xludf.dummyfunction("if($T423&lt;&gt;"""",REGEXEXTRACT(SUBSTITUTE ($T423,I$1&amp;"" CE"",""""), I$1&amp;""[\w &amp;]*, (\d+\.\d+)""),"""")
"),"")</f>
        <v/>
      </c>
      <c r="J423" s="3" t="str">
        <f aca="false">IFERROR(__xludf.dummyfunction("if($T423&lt;&gt;"""",REGEXEXTRACT($T423, J$1&amp;""[\w &amp;]*, (\d+\.\d+)""),"""")
"),"")</f>
        <v/>
      </c>
      <c r="K423" s="3"/>
      <c r="L423" s="3" t="str">
        <f aca="false">IFERROR(__xludf.dummyfunction("if($T423&lt;&gt;"""",REGEXEXTRACT(SUBSTITUTE ($T423,L$1&amp;"" CE"",""""), L$1&amp;""[\w &amp;]*, (\d+\.\d+)""),"""")
"),"")</f>
        <v/>
      </c>
      <c r="M423" s="3" t="str">
        <f aca="false">IFERROR(__xludf.dummyfunction("if($T423&lt;&gt;"""",REGEXEXTRACT($T423, M$1&amp;""[\w &amp;]*, (\d+\.\d+)""),"""")
"),"")</f>
        <v/>
      </c>
      <c r="N423" s="3" t="str">
        <f aca="false">IFERROR(__xludf.dummyfunction("if($T423&lt;&gt;"""",REGEXEXTRACT(SUBSTITUTE ($T423,N$1&amp;"" CE"",""""), N$1&amp;""[\w &amp;]*, (\d+\.\d+)""),"""")
"),"")</f>
        <v/>
      </c>
      <c r="O423" s="3" t="str">
        <f aca="false">IFERROR(__xludf.dummyfunction("if($T423&lt;&gt;"""",REGEXEXTRACT($T423, O$1&amp;""[\w &amp;]*, (\d+\.\d+)""),"""")
"),"")</f>
        <v/>
      </c>
      <c r="P423" s="2"/>
      <c r="Q423" s="2"/>
      <c r="R423" s="2"/>
      <c r="S423" s="2"/>
      <c r="T423" s="5"/>
    </row>
    <row r="424" customFormat="false" ht="15.75" hidden="false" customHeight="false" outlineLevel="0" collapsed="false">
      <c r="A424" s="4"/>
      <c r="B424" s="2"/>
      <c r="C424" s="2"/>
      <c r="D424" s="2"/>
      <c r="E424" s="2"/>
      <c r="F424" s="3" t="str">
        <f aca="false">IFERROR(__xludf.dummyfunction("if($T424&lt;&gt;"""",REGEXEXTRACT(SUBSTITUTE ($T424,F$1&amp;"" CE"",""""), F$1&amp;""[\w &amp;]*, (\d+\.\d+)""),"""")
"),"")</f>
        <v/>
      </c>
      <c r="G424" s="3" t="str">
        <f aca="false">IFERROR(__xludf.dummyfunction("if($T424&lt;&gt;"""",REGEXEXTRACT($T424, G$1&amp;""[\w &amp;]*, (\d+\.\d+)""),"""")
"),"")</f>
        <v/>
      </c>
      <c r="H424" s="3"/>
      <c r="I424" s="3" t="str">
        <f aca="false">IFERROR(__xludf.dummyfunction("if($T424&lt;&gt;"""",REGEXEXTRACT(SUBSTITUTE ($T424,I$1&amp;"" CE"",""""), I$1&amp;""[\w &amp;]*, (\d+\.\d+)""),"""")
"),"")</f>
        <v/>
      </c>
      <c r="J424" s="3" t="str">
        <f aca="false">IFERROR(__xludf.dummyfunction("if($T424&lt;&gt;"""",REGEXEXTRACT($T424, J$1&amp;""[\w &amp;]*, (\d+\.\d+)""),"""")
"),"")</f>
        <v/>
      </c>
      <c r="K424" s="3"/>
      <c r="L424" s="3" t="str">
        <f aca="false">IFERROR(__xludf.dummyfunction("if($T424&lt;&gt;"""",REGEXEXTRACT(SUBSTITUTE ($T424,L$1&amp;"" CE"",""""), L$1&amp;""[\w &amp;]*, (\d+\.\d+)""),"""")
"),"")</f>
        <v/>
      </c>
      <c r="M424" s="3" t="str">
        <f aca="false">IFERROR(__xludf.dummyfunction("if($T424&lt;&gt;"""",REGEXEXTRACT($T424, M$1&amp;""[\w &amp;]*, (\d+\.\d+)""),"""")
"),"")</f>
        <v/>
      </c>
      <c r="N424" s="3" t="str">
        <f aca="false">IFERROR(__xludf.dummyfunction("if($T424&lt;&gt;"""",REGEXEXTRACT(SUBSTITUTE ($T424,N$1&amp;"" CE"",""""), N$1&amp;""[\w &amp;]*, (\d+\.\d+)""),"""")
"),"")</f>
        <v/>
      </c>
      <c r="O424" s="3" t="str">
        <f aca="false">IFERROR(__xludf.dummyfunction("if($T424&lt;&gt;"""",REGEXEXTRACT($T424, O$1&amp;""[\w &amp;]*, (\d+\.\d+)""),"""")
"),"")</f>
        <v/>
      </c>
      <c r="P424" s="2"/>
      <c r="Q424" s="2"/>
      <c r="R424" s="2"/>
      <c r="S424" s="2"/>
      <c r="T424" s="5"/>
    </row>
    <row r="425" customFormat="false" ht="15.75" hidden="false" customHeight="false" outlineLevel="0" collapsed="false">
      <c r="A425" s="4"/>
      <c r="B425" s="2"/>
      <c r="C425" s="2"/>
      <c r="D425" s="2"/>
      <c r="E425" s="2"/>
      <c r="F425" s="3" t="str">
        <f aca="false">IFERROR(__xludf.dummyfunction("if($T425&lt;&gt;"""",REGEXEXTRACT(SUBSTITUTE ($T425,F$1&amp;"" CE"",""""), F$1&amp;""[\w &amp;]*, (\d+\.\d+)""),"""")
"),"")</f>
        <v/>
      </c>
      <c r="G425" s="3" t="str">
        <f aca="false">IFERROR(__xludf.dummyfunction("if($T425&lt;&gt;"""",REGEXEXTRACT($T425, G$1&amp;""[\w &amp;]*, (\d+\.\d+)""),"""")
"),"")</f>
        <v/>
      </c>
      <c r="H425" s="3"/>
      <c r="I425" s="3" t="str">
        <f aca="false">IFERROR(__xludf.dummyfunction("if($T425&lt;&gt;"""",REGEXEXTRACT(SUBSTITUTE ($T425,I$1&amp;"" CE"",""""), I$1&amp;""[\w &amp;]*, (\d+\.\d+)""),"""")
"),"")</f>
        <v/>
      </c>
      <c r="J425" s="3" t="str">
        <f aca="false">IFERROR(__xludf.dummyfunction("if($T425&lt;&gt;"""",REGEXEXTRACT($T425, J$1&amp;""[\w &amp;]*, (\d+\.\d+)""),"""")
"),"")</f>
        <v/>
      </c>
      <c r="K425" s="3"/>
      <c r="L425" s="3" t="str">
        <f aca="false">IFERROR(__xludf.dummyfunction("if($T425&lt;&gt;"""",REGEXEXTRACT(SUBSTITUTE ($T425,L$1&amp;"" CE"",""""), L$1&amp;""[\w &amp;]*, (\d+\.\d+)""),"""")
"),"")</f>
        <v/>
      </c>
      <c r="M425" s="3" t="str">
        <f aca="false">IFERROR(__xludf.dummyfunction("if($T425&lt;&gt;"""",REGEXEXTRACT($T425, M$1&amp;""[\w &amp;]*, (\d+\.\d+)""),"""")
"),"")</f>
        <v/>
      </c>
      <c r="N425" s="3" t="str">
        <f aca="false">IFERROR(__xludf.dummyfunction("if($T425&lt;&gt;"""",REGEXEXTRACT(SUBSTITUTE ($T425,N$1&amp;"" CE"",""""), N$1&amp;""[\w &amp;]*, (\d+\.\d+)""),"""")
"),"")</f>
        <v/>
      </c>
      <c r="O425" s="3" t="str">
        <f aca="false">IFERROR(__xludf.dummyfunction("if($T425&lt;&gt;"""",REGEXEXTRACT($T425, O$1&amp;""[\w &amp;]*, (\d+\.\d+)""),"""")
"),"")</f>
        <v/>
      </c>
      <c r="P425" s="2"/>
      <c r="Q425" s="2"/>
      <c r="R425" s="2"/>
      <c r="S425" s="2"/>
      <c r="T425" s="5"/>
    </row>
    <row r="426" customFormat="false" ht="15.75" hidden="false" customHeight="false" outlineLevel="0" collapsed="false">
      <c r="A426" s="4"/>
      <c r="B426" s="2"/>
      <c r="C426" s="2"/>
      <c r="D426" s="2"/>
      <c r="E426" s="2"/>
      <c r="F426" s="3" t="str">
        <f aca="false">IFERROR(__xludf.dummyfunction("if($T426&lt;&gt;"""",REGEXEXTRACT(SUBSTITUTE ($T426,F$1&amp;"" CE"",""""), F$1&amp;""[\w &amp;]*, (\d+\.\d+)""),"""")
"),"")</f>
        <v/>
      </c>
      <c r="G426" s="3" t="str">
        <f aca="false">IFERROR(__xludf.dummyfunction("if($T426&lt;&gt;"""",REGEXEXTRACT($T426, G$1&amp;""[\w &amp;]*, (\d+\.\d+)""),"""")
"),"")</f>
        <v/>
      </c>
      <c r="H426" s="3"/>
      <c r="I426" s="3" t="str">
        <f aca="false">IFERROR(__xludf.dummyfunction("if($T426&lt;&gt;"""",REGEXEXTRACT(SUBSTITUTE ($T426,I$1&amp;"" CE"",""""), I$1&amp;""[\w &amp;]*, (\d+\.\d+)""),"""")
"),"")</f>
        <v/>
      </c>
      <c r="J426" s="3" t="str">
        <f aca="false">IFERROR(__xludf.dummyfunction("if($T426&lt;&gt;"""",REGEXEXTRACT($T426, J$1&amp;""[\w &amp;]*, (\d+\.\d+)""),"""")
"),"")</f>
        <v/>
      </c>
      <c r="K426" s="3"/>
      <c r="L426" s="3" t="str">
        <f aca="false">IFERROR(__xludf.dummyfunction("if($T426&lt;&gt;"""",REGEXEXTRACT(SUBSTITUTE ($T426,L$1&amp;"" CE"",""""), L$1&amp;""[\w &amp;]*, (\d+\.\d+)""),"""")
"),"")</f>
        <v/>
      </c>
      <c r="M426" s="3" t="str">
        <f aca="false">IFERROR(__xludf.dummyfunction("if($T426&lt;&gt;"""",REGEXEXTRACT($T426, M$1&amp;""[\w &amp;]*, (\d+\.\d+)""),"""")
"),"")</f>
        <v/>
      </c>
      <c r="N426" s="3" t="str">
        <f aca="false">IFERROR(__xludf.dummyfunction("if($T426&lt;&gt;"""",REGEXEXTRACT(SUBSTITUTE ($T426,N$1&amp;"" CE"",""""), N$1&amp;""[\w &amp;]*, (\d+\.\d+)""),"""")
"),"")</f>
        <v/>
      </c>
      <c r="O426" s="3" t="str">
        <f aca="false">IFERROR(__xludf.dummyfunction("if($T426&lt;&gt;"""",REGEXEXTRACT($T426, O$1&amp;""[\w &amp;]*, (\d+\.\d+)""),"""")
"),"")</f>
        <v/>
      </c>
      <c r="P426" s="2"/>
      <c r="Q426" s="2"/>
      <c r="R426" s="2"/>
      <c r="S426" s="2"/>
      <c r="T426" s="5"/>
    </row>
    <row r="427" customFormat="false" ht="15.75" hidden="false" customHeight="false" outlineLevel="0" collapsed="false">
      <c r="A427" s="4"/>
      <c r="B427" s="2"/>
      <c r="C427" s="2"/>
      <c r="D427" s="2"/>
      <c r="E427" s="2"/>
      <c r="F427" s="3" t="str">
        <f aca="false">IFERROR(__xludf.dummyfunction("if($T427&lt;&gt;"""",REGEXEXTRACT(SUBSTITUTE ($T427,F$1&amp;"" CE"",""""), F$1&amp;""[\w &amp;]*, (\d+\.\d+)""),"""")
"),"")</f>
        <v/>
      </c>
      <c r="G427" s="3" t="str">
        <f aca="false">IFERROR(__xludf.dummyfunction("if($T427&lt;&gt;"""",REGEXEXTRACT($T427, G$1&amp;""[\w &amp;]*, (\d+\.\d+)""),"""")
"),"")</f>
        <v/>
      </c>
      <c r="H427" s="3"/>
      <c r="I427" s="3" t="str">
        <f aca="false">IFERROR(__xludf.dummyfunction("if($T427&lt;&gt;"""",REGEXEXTRACT(SUBSTITUTE ($T427,I$1&amp;"" CE"",""""), I$1&amp;""[\w &amp;]*, (\d+\.\d+)""),"""")
"),"")</f>
        <v/>
      </c>
      <c r="J427" s="3" t="str">
        <f aca="false">IFERROR(__xludf.dummyfunction("if($T427&lt;&gt;"""",REGEXEXTRACT($T427, J$1&amp;""[\w &amp;]*, (\d+\.\d+)""),"""")
"),"")</f>
        <v/>
      </c>
      <c r="K427" s="3"/>
      <c r="L427" s="3" t="str">
        <f aca="false">IFERROR(__xludf.dummyfunction("if($T427&lt;&gt;"""",REGEXEXTRACT(SUBSTITUTE ($T427,L$1&amp;"" CE"",""""), L$1&amp;""[\w &amp;]*, (\d+\.\d+)""),"""")
"),"")</f>
        <v/>
      </c>
      <c r="M427" s="3" t="str">
        <f aca="false">IFERROR(__xludf.dummyfunction("if($T427&lt;&gt;"""",REGEXEXTRACT($T427, M$1&amp;""[\w &amp;]*, (\d+\.\d+)""),"""")
"),"")</f>
        <v/>
      </c>
      <c r="N427" s="3" t="str">
        <f aca="false">IFERROR(__xludf.dummyfunction("if($T427&lt;&gt;"""",REGEXEXTRACT(SUBSTITUTE ($T427,N$1&amp;"" CE"",""""), N$1&amp;""[\w &amp;]*, (\d+\.\d+)""),"""")
"),"")</f>
        <v/>
      </c>
      <c r="O427" s="3" t="str">
        <f aca="false">IFERROR(__xludf.dummyfunction("if($T427&lt;&gt;"""",REGEXEXTRACT($T427, O$1&amp;""[\w &amp;]*, (\d+\.\d+)""),"""")
"),"")</f>
        <v/>
      </c>
      <c r="P427" s="2"/>
      <c r="Q427" s="2"/>
      <c r="R427" s="2"/>
      <c r="S427" s="2"/>
      <c r="T427" s="5"/>
    </row>
    <row r="428" customFormat="false" ht="15.75" hidden="false" customHeight="false" outlineLevel="0" collapsed="false">
      <c r="A428" s="4"/>
      <c r="B428" s="2"/>
      <c r="C428" s="2"/>
      <c r="D428" s="2"/>
      <c r="E428" s="2"/>
      <c r="F428" s="3" t="str">
        <f aca="false">IFERROR(__xludf.dummyfunction("if($T428&lt;&gt;"""",REGEXEXTRACT(SUBSTITUTE ($T428,F$1&amp;"" CE"",""""), F$1&amp;""[\w &amp;]*, (\d+\.\d+)""),"""")
"),"")</f>
        <v/>
      </c>
      <c r="G428" s="3" t="str">
        <f aca="false">IFERROR(__xludf.dummyfunction("if($T428&lt;&gt;"""",REGEXEXTRACT($T428, G$1&amp;""[\w &amp;]*, (\d+\.\d+)""),"""")
"),"")</f>
        <v/>
      </c>
      <c r="H428" s="3"/>
      <c r="I428" s="3" t="str">
        <f aca="false">IFERROR(__xludf.dummyfunction("if($T428&lt;&gt;"""",REGEXEXTRACT(SUBSTITUTE ($T428,I$1&amp;"" CE"",""""), I$1&amp;""[\w &amp;]*, (\d+\.\d+)""),"""")
"),"")</f>
        <v/>
      </c>
      <c r="J428" s="3" t="str">
        <f aca="false">IFERROR(__xludf.dummyfunction("if($T428&lt;&gt;"""",REGEXEXTRACT($T428, J$1&amp;""[\w &amp;]*, (\d+\.\d+)""),"""")
"),"")</f>
        <v/>
      </c>
      <c r="K428" s="3"/>
      <c r="L428" s="3" t="str">
        <f aca="false">IFERROR(__xludf.dummyfunction("if($T428&lt;&gt;"""",REGEXEXTRACT(SUBSTITUTE ($T428,L$1&amp;"" CE"",""""), L$1&amp;""[\w &amp;]*, (\d+\.\d+)""),"""")
"),"")</f>
        <v/>
      </c>
      <c r="M428" s="3" t="str">
        <f aca="false">IFERROR(__xludf.dummyfunction("if($T428&lt;&gt;"""",REGEXEXTRACT($T428, M$1&amp;""[\w &amp;]*, (\d+\.\d+)""),"""")
"),"")</f>
        <v/>
      </c>
      <c r="N428" s="3" t="str">
        <f aca="false">IFERROR(__xludf.dummyfunction("if($T428&lt;&gt;"""",REGEXEXTRACT(SUBSTITUTE ($T428,N$1&amp;"" CE"",""""), N$1&amp;""[\w &amp;]*, (\d+\.\d+)""),"""")
"),"")</f>
        <v/>
      </c>
      <c r="O428" s="3" t="str">
        <f aca="false">IFERROR(__xludf.dummyfunction("if($T428&lt;&gt;"""",REGEXEXTRACT($T428, O$1&amp;""[\w &amp;]*, (\d+\.\d+)""),"""")
"),"")</f>
        <v/>
      </c>
      <c r="P428" s="2"/>
      <c r="Q428" s="2"/>
      <c r="R428" s="2"/>
      <c r="S428" s="2"/>
      <c r="T428" s="5"/>
    </row>
    <row r="429" customFormat="false" ht="15.75" hidden="false" customHeight="false" outlineLevel="0" collapsed="false">
      <c r="A429" s="4"/>
      <c r="B429" s="2"/>
      <c r="C429" s="2"/>
      <c r="D429" s="2"/>
      <c r="E429" s="2"/>
      <c r="F429" s="3" t="str">
        <f aca="false">IFERROR(__xludf.dummyfunction("if($T429&lt;&gt;"""",REGEXEXTRACT(SUBSTITUTE ($T429,F$1&amp;"" CE"",""""), F$1&amp;""[\w &amp;]*, (\d+\.\d+)""),"""")
"),"")</f>
        <v/>
      </c>
      <c r="G429" s="3" t="str">
        <f aca="false">IFERROR(__xludf.dummyfunction("if($T429&lt;&gt;"""",REGEXEXTRACT($T429, G$1&amp;""[\w &amp;]*, (\d+\.\d+)""),"""")
"),"")</f>
        <v/>
      </c>
      <c r="H429" s="3"/>
      <c r="I429" s="3" t="str">
        <f aca="false">IFERROR(__xludf.dummyfunction("if($T429&lt;&gt;"""",REGEXEXTRACT(SUBSTITUTE ($T429,I$1&amp;"" CE"",""""), I$1&amp;""[\w &amp;]*, (\d+\.\d+)""),"""")
"),"")</f>
        <v/>
      </c>
      <c r="J429" s="3" t="str">
        <f aca="false">IFERROR(__xludf.dummyfunction("if($T429&lt;&gt;"""",REGEXEXTRACT($T429, J$1&amp;""[\w &amp;]*, (\d+\.\d+)""),"""")
"),"")</f>
        <v/>
      </c>
      <c r="K429" s="3"/>
      <c r="L429" s="3" t="str">
        <f aca="false">IFERROR(__xludf.dummyfunction("if($T429&lt;&gt;"""",REGEXEXTRACT(SUBSTITUTE ($T429,L$1&amp;"" CE"",""""), L$1&amp;""[\w &amp;]*, (\d+\.\d+)""),"""")
"),"")</f>
        <v/>
      </c>
      <c r="M429" s="3" t="str">
        <f aca="false">IFERROR(__xludf.dummyfunction("if($T429&lt;&gt;"""",REGEXEXTRACT($T429, M$1&amp;""[\w &amp;]*, (\d+\.\d+)""),"""")
"),"")</f>
        <v/>
      </c>
      <c r="N429" s="3" t="str">
        <f aca="false">IFERROR(__xludf.dummyfunction("if($T429&lt;&gt;"""",REGEXEXTRACT(SUBSTITUTE ($T429,N$1&amp;"" CE"",""""), N$1&amp;""[\w &amp;]*, (\d+\.\d+)""),"""")
"),"")</f>
        <v/>
      </c>
      <c r="O429" s="3" t="str">
        <f aca="false">IFERROR(__xludf.dummyfunction("if($T429&lt;&gt;"""",REGEXEXTRACT($T429, O$1&amp;""[\w &amp;]*, (\d+\.\d+)""),"""")
"),"")</f>
        <v/>
      </c>
      <c r="P429" s="2"/>
      <c r="Q429" s="2"/>
      <c r="R429" s="2"/>
      <c r="S429" s="2"/>
      <c r="T429" s="5"/>
    </row>
    <row r="430" customFormat="false" ht="15.75" hidden="false" customHeight="false" outlineLevel="0" collapsed="false">
      <c r="A430" s="4"/>
      <c r="B430" s="2"/>
      <c r="C430" s="2"/>
      <c r="D430" s="2"/>
      <c r="E430" s="2"/>
      <c r="F430" s="3" t="str">
        <f aca="false">IFERROR(__xludf.dummyfunction("if($T430&lt;&gt;"""",REGEXEXTRACT(SUBSTITUTE ($T430,F$1&amp;"" CE"",""""), F$1&amp;""[\w &amp;]*, (\d+\.\d+)""),"""")
"),"")</f>
        <v/>
      </c>
      <c r="G430" s="3" t="str">
        <f aca="false">IFERROR(__xludf.dummyfunction("if($T430&lt;&gt;"""",REGEXEXTRACT($T430, G$1&amp;""[\w &amp;]*, (\d+\.\d+)""),"""")
"),"")</f>
        <v/>
      </c>
      <c r="H430" s="3"/>
      <c r="I430" s="3" t="str">
        <f aca="false">IFERROR(__xludf.dummyfunction("if($T430&lt;&gt;"""",REGEXEXTRACT(SUBSTITUTE ($T430,I$1&amp;"" CE"",""""), I$1&amp;""[\w &amp;]*, (\d+\.\d+)""),"""")
"),"")</f>
        <v/>
      </c>
      <c r="J430" s="3" t="str">
        <f aca="false">IFERROR(__xludf.dummyfunction("if($T430&lt;&gt;"""",REGEXEXTRACT($T430, J$1&amp;""[\w &amp;]*, (\d+\.\d+)""),"""")
"),"")</f>
        <v/>
      </c>
      <c r="K430" s="3"/>
      <c r="L430" s="3" t="str">
        <f aca="false">IFERROR(__xludf.dummyfunction("if($T430&lt;&gt;"""",REGEXEXTRACT(SUBSTITUTE ($T430,L$1&amp;"" CE"",""""), L$1&amp;""[\w &amp;]*, (\d+\.\d+)""),"""")
"),"")</f>
        <v/>
      </c>
      <c r="M430" s="3" t="str">
        <f aca="false">IFERROR(__xludf.dummyfunction("if($T430&lt;&gt;"""",REGEXEXTRACT($T430, M$1&amp;""[\w &amp;]*, (\d+\.\d+)""),"""")
"),"")</f>
        <v/>
      </c>
      <c r="N430" s="3" t="str">
        <f aca="false">IFERROR(__xludf.dummyfunction("if($T430&lt;&gt;"""",REGEXEXTRACT(SUBSTITUTE ($T430,N$1&amp;"" CE"",""""), N$1&amp;""[\w &amp;]*, (\d+\.\d+)""),"""")
"),"")</f>
        <v/>
      </c>
      <c r="O430" s="3" t="str">
        <f aca="false">IFERROR(__xludf.dummyfunction("if($T430&lt;&gt;"""",REGEXEXTRACT($T430, O$1&amp;""[\w &amp;]*, (\d+\.\d+)""),"""")
"),"")</f>
        <v/>
      </c>
      <c r="P430" s="2"/>
      <c r="Q430" s="2"/>
      <c r="R430" s="2"/>
      <c r="S430" s="2"/>
      <c r="T430" s="5"/>
    </row>
    <row r="431" customFormat="false" ht="15.75" hidden="false" customHeight="false" outlineLevel="0" collapsed="false">
      <c r="A431" s="4"/>
      <c r="B431" s="2"/>
      <c r="C431" s="2"/>
      <c r="D431" s="2"/>
      <c r="E431" s="2"/>
      <c r="F431" s="3" t="str">
        <f aca="false">IFERROR(__xludf.dummyfunction("if($T431&lt;&gt;"""",REGEXEXTRACT(SUBSTITUTE ($T431,F$1&amp;"" CE"",""""), F$1&amp;""[\w &amp;]*, (\d+\.\d+)""),"""")
"),"")</f>
        <v/>
      </c>
      <c r="G431" s="3" t="str">
        <f aca="false">IFERROR(__xludf.dummyfunction("if($T431&lt;&gt;"""",REGEXEXTRACT($T431, G$1&amp;""[\w &amp;]*, (\d+\.\d+)""),"""")
"),"")</f>
        <v/>
      </c>
      <c r="H431" s="3"/>
      <c r="I431" s="3" t="str">
        <f aca="false">IFERROR(__xludf.dummyfunction("if($T431&lt;&gt;"""",REGEXEXTRACT(SUBSTITUTE ($T431,I$1&amp;"" CE"",""""), I$1&amp;""[\w &amp;]*, (\d+\.\d+)""),"""")
"),"")</f>
        <v/>
      </c>
      <c r="J431" s="3" t="str">
        <f aca="false">IFERROR(__xludf.dummyfunction("if($T431&lt;&gt;"""",REGEXEXTRACT($T431, J$1&amp;""[\w &amp;]*, (\d+\.\d+)""),"""")
"),"")</f>
        <v/>
      </c>
      <c r="K431" s="3"/>
      <c r="L431" s="3" t="str">
        <f aca="false">IFERROR(__xludf.dummyfunction("if($T431&lt;&gt;"""",REGEXEXTRACT(SUBSTITUTE ($T431,L$1&amp;"" CE"",""""), L$1&amp;""[\w &amp;]*, (\d+\.\d+)""),"""")
"),"")</f>
        <v/>
      </c>
      <c r="M431" s="3" t="str">
        <f aca="false">IFERROR(__xludf.dummyfunction("if($T431&lt;&gt;"""",REGEXEXTRACT($T431, M$1&amp;""[\w &amp;]*, (\d+\.\d+)""),"""")
"),"")</f>
        <v/>
      </c>
      <c r="N431" s="3" t="str">
        <f aca="false">IFERROR(__xludf.dummyfunction("if($T431&lt;&gt;"""",REGEXEXTRACT(SUBSTITUTE ($T431,N$1&amp;"" CE"",""""), N$1&amp;""[\w &amp;]*, (\d+\.\d+)""),"""")
"),"")</f>
        <v/>
      </c>
      <c r="O431" s="3" t="str">
        <f aca="false">IFERROR(__xludf.dummyfunction("if($T431&lt;&gt;"""",REGEXEXTRACT($T431, O$1&amp;""[\w &amp;]*, (\d+\.\d+)""),"""")
"),"")</f>
        <v/>
      </c>
      <c r="P431" s="2"/>
      <c r="Q431" s="2"/>
      <c r="R431" s="2"/>
      <c r="S431" s="2"/>
      <c r="T431" s="5"/>
    </row>
    <row r="432" customFormat="false" ht="15.75" hidden="false" customHeight="false" outlineLevel="0" collapsed="false">
      <c r="A432" s="4"/>
      <c r="B432" s="2"/>
      <c r="C432" s="2"/>
      <c r="D432" s="2"/>
      <c r="E432" s="2"/>
      <c r="F432" s="3" t="str">
        <f aca="false">IFERROR(__xludf.dummyfunction("if($T432&lt;&gt;"""",REGEXEXTRACT(SUBSTITUTE ($T432,F$1&amp;"" CE"",""""), F$1&amp;""[\w &amp;]*, (\d+\.\d+)""),"""")
"),"")</f>
        <v/>
      </c>
      <c r="G432" s="3" t="str">
        <f aca="false">IFERROR(__xludf.dummyfunction("if($T432&lt;&gt;"""",REGEXEXTRACT($T432, G$1&amp;""[\w &amp;]*, (\d+\.\d+)""),"""")
"),"")</f>
        <v/>
      </c>
      <c r="H432" s="3"/>
      <c r="I432" s="3" t="str">
        <f aca="false">IFERROR(__xludf.dummyfunction("if($T432&lt;&gt;"""",REGEXEXTRACT(SUBSTITUTE ($T432,I$1&amp;"" CE"",""""), I$1&amp;""[\w &amp;]*, (\d+\.\d+)""),"""")
"),"")</f>
        <v/>
      </c>
      <c r="J432" s="3" t="str">
        <f aca="false">IFERROR(__xludf.dummyfunction("if($T432&lt;&gt;"""",REGEXEXTRACT($T432, J$1&amp;""[\w &amp;]*, (\d+\.\d+)""),"""")
"),"")</f>
        <v/>
      </c>
      <c r="K432" s="3"/>
      <c r="L432" s="3" t="str">
        <f aca="false">IFERROR(__xludf.dummyfunction("if($T432&lt;&gt;"""",REGEXEXTRACT(SUBSTITUTE ($T432,L$1&amp;"" CE"",""""), L$1&amp;""[\w &amp;]*, (\d+\.\d+)""),"""")
"),"")</f>
        <v/>
      </c>
      <c r="M432" s="3" t="str">
        <f aca="false">IFERROR(__xludf.dummyfunction("if($T432&lt;&gt;"""",REGEXEXTRACT($T432, M$1&amp;""[\w &amp;]*, (\d+\.\d+)""),"""")
"),"")</f>
        <v/>
      </c>
      <c r="N432" s="3" t="str">
        <f aca="false">IFERROR(__xludf.dummyfunction("if($T432&lt;&gt;"""",REGEXEXTRACT(SUBSTITUTE ($T432,N$1&amp;"" CE"",""""), N$1&amp;""[\w &amp;]*, (\d+\.\d+)""),"""")
"),"")</f>
        <v/>
      </c>
      <c r="O432" s="3" t="str">
        <f aca="false">IFERROR(__xludf.dummyfunction("if($T432&lt;&gt;"""",REGEXEXTRACT($T432, O$1&amp;""[\w &amp;]*, (\d+\.\d+)""),"""")
"),"")</f>
        <v/>
      </c>
      <c r="P432" s="2"/>
      <c r="Q432" s="2"/>
      <c r="R432" s="2"/>
      <c r="S432" s="2"/>
      <c r="T432" s="5"/>
    </row>
    <row r="433" customFormat="false" ht="15.75" hidden="false" customHeight="false" outlineLevel="0" collapsed="false">
      <c r="A433" s="4"/>
      <c r="B433" s="2"/>
      <c r="C433" s="2"/>
      <c r="D433" s="2"/>
      <c r="E433" s="2"/>
      <c r="F433" s="3" t="str">
        <f aca="false">IFERROR(__xludf.dummyfunction("if($T433&lt;&gt;"""",REGEXEXTRACT(SUBSTITUTE ($T433,F$1&amp;"" CE"",""""), F$1&amp;""[\w &amp;]*, (\d+\.\d+)""),"""")
"),"")</f>
        <v/>
      </c>
      <c r="G433" s="3" t="str">
        <f aca="false">IFERROR(__xludf.dummyfunction("if($T433&lt;&gt;"""",REGEXEXTRACT($T433, G$1&amp;""[\w &amp;]*, (\d+\.\d+)""),"""")
"),"")</f>
        <v/>
      </c>
      <c r="H433" s="3"/>
      <c r="I433" s="3" t="str">
        <f aca="false">IFERROR(__xludf.dummyfunction("if($T433&lt;&gt;"""",REGEXEXTRACT(SUBSTITUTE ($T433,I$1&amp;"" CE"",""""), I$1&amp;""[\w &amp;]*, (\d+\.\d+)""),"""")
"),"")</f>
        <v/>
      </c>
      <c r="J433" s="3" t="str">
        <f aca="false">IFERROR(__xludf.dummyfunction("if($T433&lt;&gt;"""",REGEXEXTRACT($T433, J$1&amp;""[\w &amp;]*, (\d+\.\d+)""),"""")
"),"")</f>
        <v/>
      </c>
      <c r="K433" s="3"/>
      <c r="L433" s="3" t="str">
        <f aca="false">IFERROR(__xludf.dummyfunction("if($T433&lt;&gt;"""",REGEXEXTRACT(SUBSTITUTE ($T433,L$1&amp;"" CE"",""""), L$1&amp;""[\w &amp;]*, (\d+\.\d+)""),"""")
"),"")</f>
        <v/>
      </c>
      <c r="M433" s="3" t="str">
        <f aca="false">IFERROR(__xludf.dummyfunction("if($T433&lt;&gt;"""",REGEXEXTRACT($T433, M$1&amp;""[\w &amp;]*, (\d+\.\d+)""),"""")
"),"")</f>
        <v/>
      </c>
      <c r="N433" s="3" t="str">
        <f aca="false">IFERROR(__xludf.dummyfunction("if($T433&lt;&gt;"""",REGEXEXTRACT(SUBSTITUTE ($T433,N$1&amp;"" CE"",""""), N$1&amp;""[\w &amp;]*, (\d+\.\d+)""),"""")
"),"")</f>
        <v/>
      </c>
      <c r="O433" s="3" t="str">
        <f aca="false">IFERROR(__xludf.dummyfunction("if($T433&lt;&gt;"""",REGEXEXTRACT($T433, O$1&amp;""[\w &amp;]*, (\d+\.\d+)""),"""")
"),"")</f>
        <v/>
      </c>
      <c r="P433" s="2"/>
      <c r="Q433" s="2"/>
      <c r="R433" s="2"/>
      <c r="S433" s="2"/>
      <c r="T433" s="5"/>
    </row>
    <row r="434" customFormat="false" ht="15.75" hidden="false" customHeight="false" outlineLevel="0" collapsed="false">
      <c r="A434" s="4"/>
      <c r="B434" s="2"/>
      <c r="C434" s="2"/>
      <c r="D434" s="2"/>
      <c r="E434" s="2"/>
      <c r="F434" s="3" t="str">
        <f aca="false">IFERROR(__xludf.dummyfunction("if($T434&lt;&gt;"""",REGEXEXTRACT(SUBSTITUTE ($T434,F$1&amp;"" CE"",""""), F$1&amp;""[\w &amp;]*, (\d+\.\d+)""),"""")
"),"")</f>
        <v/>
      </c>
      <c r="G434" s="3" t="str">
        <f aca="false">IFERROR(__xludf.dummyfunction("if($T434&lt;&gt;"""",REGEXEXTRACT($T434, G$1&amp;""[\w &amp;]*, (\d+\.\d+)""),"""")
"),"")</f>
        <v/>
      </c>
      <c r="H434" s="3"/>
      <c r="I434" s="3" t="str">
        <f aca="false">IFERROR(__xludf.dummyfunction("if($T434&lt;&gt;"""",REGEXEXTRACT(SUBSTITUTE ($T434,I$1&amp;"" CE"",""""), I$1&amp;""[\w &amp;]*, (\d+\.\d+)""),"""")
"),"")</f>
        <v/>
      </c>
      <c r="J434" s="3" t="str">
        <f aca="false">IFERROR(__xludf.dummyfunction("if($T434&lt;&gt;"""",REGEXEXTRACT($T434, J$1&amp;""[\w &amp;]*, (\d+\.\d+)""),"""")
"),"")</f>
        <v/>
      </c>
      <c r="K434" s="3"/>
      <c r="L434" s="3" t="str">
        <f aca="false">IFERROR(__xludf.dummyfunction("if($T434&lt;&gt;"""",REGEXEXTRACT(SUBSTITUTE ($T434,L$1&amp;"" CE"",""""), L$1&amp;""[\w &amp;]*, (\d+\.\d+)""),"""")
"),"")</f>
        <v/>
      </c>
      <c r="M434" s="3" t="str">
        <f aca="false">IFERROR(__xludf.dummyfunction("if($T434&lt;&gt;"""",REGEXEXTRACT($T434, M$1&amp;""[\w &amp;]*, (\d+\.\d+)""),"""")
"),"")</f>
        <v/>
      </c>
      <c r="N434" s="3" t="str">
        <f aca="false">IFERROR(__xludf.dummyfunction("if($T434&lt;&gt;"""",REGEXEXTRACT(SUBSTITUTE ($T434,N$1&amp;"" CE"",""""), N$1&amp;""[\w &amp;]*, (\d+\.\d+)""),"""")
"),"")</f>
        <v/>
      </c>
      <c r="O434" s="3" t="str">
        <f aca="false">IFERROR(__xludf.dummyfunction("if($T434&lt;&gt;"""",REGEXEXTRACT($T434, O$1&amp;""[\w &amp;]*, (\d+\.\d+)""),"""")
"),"")</f>
        <v/>
      </c>
      <c r="P434" s="2"/>
      <c r="Q434" s="2"/>
      <c r="R434" s="2"/>
      <c r="S434" s="2"/>
      <c r="T434" s="5"/>
    </row>
    <row r="435" customFormat="false" ht="15.75" hidden="false" customHeight="false" outlineLevel="0" collapsed="false">
      <c r="A435" s="4"/>
      <c r="B435" s="2"/>
      <c r="C435" s="2"/>
      <c r="D435" s="2"/>
      <c r="E435" s="2"/>
      <c r="F435" s="3" t="str">
        <f aca="false">IFERROR(__xludf.dummyfunction("if($T435&lt;&gt;"""",REGEXEXTRACT(SUBSTITUTE ($T435,F$1&amp;"" CE"",""""), F$1&amp;""[\w &amp;]*, (\d+\.\d+)""),"""")
"),"")</f>
        <v/>
      </c>
      <c r="G435" s="3" t="str">
        <f aca="false">IFERROR(__xludf.dummyfunction("if($T435&lt;&gt;"""",REGEXEXTRACT($T435, G$1&amp;""[\w &amp;]*, (\d+\.\d+)""),"""")
"),"")</f>
        <v/>
      </c>
      <c r="H435" s="3"/>
      <c r="I435" s="3" t="str">
        <f aca="false">IFERROR(__xludf.dummyfunction("if($T435&lt;&gt;"""",REGEXEXTRACT(SUBSTITUTE ($T435,I$1&amp;"" CE"",""""), I$1&amp;""[\w &amp;]*, (\d+\.\d+)""),"""")
"),"")</f>
        <v/>
      </c>
      <c r="J435" s="3" t="str">
        <f aca="false">IFERROR(__xludf.dummyfunction("if($T435&lt;&gt;"""",REGEXEXTRACT($T435, J$1&amp;""[\w &amp;]*, (\d+\.\d+)""),"""")
"),"")</f>
        <v/>
      </c>
      <c r="K435" s="3"/>
      <c r="L435" s="3" t="str">
        <f aca="false">IFERROR(__xludf.dummyfunction("if($T435&lt;&gt;"""",REGEXEXTRACT(SUBSTITUTE ($T435,L$1&amp;"" CE"",""""), L$1&amp;""[\w &amp;]*, (\d+\.\d+)""),"""")
"),"")</f>
        <v/>
      </c>
      <c r="M435" s="3" t="str">
        <f aca="false">IFERROR(__xludf.dummyfunction("if($T435&lt;&gt;"""",REGEXEXTRACT($T435, M$1&amp;""[\w &amp;]*, (\d+\.\d+)""),"""")
"),"")</f>
        <v/>
      </c>
      <c r="N435" s="3" t="str">
        <f aca="false">IFERROR(__xludf.dummyfunction("if($T435&lt;&gt;"""",REGEXEXTRACT(SUBSTITUTE ($T435,N$1&amp;"" CE"",""""), N$1&amp;""[\w &amp;]*, (\d+\.\d+)""),"""")
"),"")</f>
        <v/>
      </c>
      <c r="O435" s="3" t="str">
        <f aca="false">IFERROR(__xludf.dummyfunction("if($T435&lt;&gt;"""",REGEXEXTRACT($T435, O$1&amp;""[\w &amp;]*, (\d+\.\d+)""),"""")
"),"")</f>
        <v/>
      </c>
      <c r="P435" s="2"/>
      <c r="Q435" s="2"/>
      <c r="R435" s="2"/>
      <c r="S435" s="2"/>
      <c r="T435" s="5"/>
    </row>
    <row r="436" customFormat="false" ht="15.75" hidden="false" customHeight="false" outlineLevel="0" collapsed="false">
      <c r="A436" s="4"/>
      <c r="B436" s="2"/>
      <c r="C436" s="2"/>
      <c r="D436" s="2"/>
      <c r="E436" s="2"/>
      <c r="F436" s="3" t="str">
        <f aca="false">IFERROR(__xludf.dummyfunction("if($T436&lt;&gt;"""",REGEXEXTRACT(SUBSTITUTE ($T436,F$1&amp;"" CE"",""""), F$1&amp;""[\w &amp;]*, (\d+\.\d+)""),"""")
"),"")</f>
        <v/>
      </c>
      <c r="G436" s="3" t="str">
        <f aca="false">IFERROR(__xludf.dummyfunction("if($T436&lt;&gt;"""",REGEXEXTRACT($T436, G$1&amp;""[\w &amp;]*, (\d+\.\d+)""),"""")
"),"")</f>
        <v/>
      </c>
      <c r="H436" s="3"/>
      <c r="I436" s="3" t="str">
        <f aca="false">IFERROR(__xludf.dummyfunction("if($T436&lt;&gt;"""",REGEXEXTRACT(SUBSTITUTE ($T436,I$1&amp;"" CE"",""""), I$1&amp;""[\w &amp;]*, (\d+\.\d+)""),"""")
"),"")</f>
        <v/>
      </c>
      <c r="J436" s="3" t="str">
        <f aca="false">IFERROR(__xludf.dummyfunction("if($T436&lt;&gt;"""",REGEXEXTRACT($T436, J$1&amp;""[\w &amp;]*, (\d+\.\d+)""),"""")
"),"")</f>
        <v/>
      </c>
      <c r="K436" s="3"/>
      <c r="L436" s="3" t="str">
        <f aca="false">IFERROR(__xludf.dummyfunction("if($T436&lt;&gt;"""",REGEXEXTRACT(SUBSTITUTE ($T436,L$1&amp;"" CE"",""""), L$1&amp;""[\w &amp;]*, (\d+\.\d+)""),"""")
"),"")</f>
        <v/>
      </c>
      <c r="M436" s="3" t="str">
        <f aca="false">IFERROR(__xludf.dummyfunction("if($T436&lt;&gt;"""",REGEXEXTRACT($T436, M$1&amp;""[\w &amp;]*, (\d+\.\d+)""),"""")
"),"")</f>
        <v/>
      </c>
      <c r="N436" s="3" t="str">
        <f aca="false">IFERROR(__xludf.dummyfunction("if($T436&lt;&gt;"""",REGEXEXTRACT(SUBSTITUTE ($T436,N$1&amp;"" CE"",""""), N$1&amp;""[\w &amp;]*, (\d+\.\d+)""),"""")
"),"")</f>
        <v/>
      </c>
      <c r="O436" s="3" t="str">
        <f aca="false">IFERROR(__xludf.dummyfunction("if($T436&lt;&gt;"""",REGEXEXTRACT($T436, O$1&amp;""[\w &amp;]*, (\d+\.\d+)""),"""")
"),"")</f>
        <v/>
      </c>
      <c r="P436" s="2"/>
      <c r="Q436" s="2"/>
      <c r="R436" s="2"/>
      <c r="S436" s="2"/>
      <c r="T436" s="5"/>
    </row>
    <row r="437" customFormat="false" ht="15.75" hidden="false" customHeight="false" outlineLevel="0" collapsed="false">
      <c r="A437" s="4"/>
      <c r="B437" s="2"/>
      <c r="C437" s="2"/>
      <c r="D437" s="2"/>
      <c r="E437" s="2"/>
      <c r="F437" s="3" t="str">
        <f aca="false">IFERROR(__xludf.dummyfunction("if($T437&lt;&gt;"""",REGEXEXTRACT(SUBSTITUTE ($T437,F$1&amp;"" CE"",""""), F$1&amp;""[\w &amp;]*, (\d+\.\d+)""),"""")
"),"")</f>
        <v/>
      </c>
      <c r="G437" s="3" t="str">
        <f aca="false">IFERROR(__xludf.dummyfunction("if($T437&lt;&gt;"""",REGEXEXTRACT($T437, G$1&amp;""[\w &amp;]*, (\d+\.\d+)""),"""")
"),"")</f>
        <v/>
      </c>
      <c r="H437" s="3"/>
      <c r="I437" s="3" t="str">
        <f aca="false">IFERROR(__xludf.dummyfunction("if($T437&lt;&gt;"""",REGEXEXTRACT(SUBSTITUTE ($T437,I$1&amp;"" CE"",""""), I$1&amp;""[\w &amp;]*, (\d+\.\d+)""),"""")
"),"")</f>
        <v/>
      </c>
      <c r="J437" s="3" t="str">
        <f aca="false">IFERROR(__xludf.dummyfunction("if($T437&lt;&gt;"""",REGEXEXTRACT($T437, J$1&amp;""[\w &amp;]*, (\d+\.\d+)""),"""")
"),"")</f>
        <v/>
      </c>
      <c r="K437" s="3"/>
      <c r="L437" s="3" t="str">
        <f aca="false">IFERROR(__xludf.dummyfunction("if($T437&lt;&gt;"""",REGEXEXTRACT(SUBSTITUTE ($T437,L$1&amp;"" CE"",""""), L$1&amp;""[\w &amp;]*, (\d+\.\d+)""),"""")
"),"")</f>
        <v/>
      </c>
      <c r="M437" s="3" t="str">
        <f aca="false">IFERROR(__xludf.dummyfunction("if($T437&lt;&gt;"""",REGEXEXTRACT($T437, M$1&amp;""[\w &amp;]*, (\d+\.\d+)""),"""")
"),"")</f>
        <v/>
      </c>
      <c r="N437" s="3" t="str">
        <f aca="false">IFERROR(__xludf.dummyfunction("if($T437&lt;&gt;"""",REGEXEXTRACT(SUBSTITUTE ($T437,N$1&amp;"" CE"",""""), N$1&amp;""[\w &amp;]*, (\d+\.\d+)""),"""")
"),"")</f>
        <v/>
      </c>
      <c r="O437" s="3" t="str">
        <f aca="false">IFERROR(__xludf.dummyfunction("if($T437&lt;&gt;"""",REGEXEXTRACT($T437, O$1&amp;""[\w &amp;]*, (\d+\.\d+)""),"""")
"),"")</f>
        <v/>
      </c>
      <c r="P437" s="2"/>
      <c r="Q437" s="2"/>
      <c r="R437" s="2"/>
      <c r="S437" s="2"/>
      <c r="T437" s="5"/>
    </row>
    <row r="438" customFormat="false" ht="15.75" hidden="false" customHeight="false" outlineLevel="0" collapsed="false">
      <c r="A438" s="4"/>
      <c r="B438" s="2"/>
      <c r="C438" s="2"/>
      <c r="D438" s="2"/>
      <c r="E438" s="2"/>
      <c r="F438" s="3" t="str">
        <f aca="false">IFERROR(__xludf.dummyfunction("if($T438&lt;&gt;"""",REGEXEXTRACT(SUBSTITUTE ($T438,F$1&amp;"" CE"",""""), F$1&amp;""[\w &amp;]*, (\d+\.\d+)""),"""")
"),"")</f>
        <v/>
      </c>
      <c r="G438" s="3" t="str">
        <f aca="false">IFERROR(__xludf.dummyfunction("if($T438&lt;&gt;"""",REGEXEXTRACT($T438, G$1&amp;""[\w &amp;]*, (\d+\.\d+)""),"""")
"),"")</f>
        <v/>
      </c>
      <c r="H438" s="3"/>
      <c r="I438" s="3" t="str">
        <f aca="false">IFERROR(__xludf.dummyfunction("if($T438&lt;&gt;"""",REGEXEXTRACT(SUBSTITUTE ($T438,I$1&amp;"" CE"",""""), I$1&amp;""[\w &amp;]*, (\d+\.\d+)""),"""")
"),"")</f>
        <v/>
      </c>
      <c r="J438" s="3" t="str">
        <f aca="false">IFERROR(__xludf.dummyfunction("if($T438&lt;&gt;"""",REGEXEXTRACT($T438, J$1&amp;""[\w &amp;]*, (\d+\.\d+)""),"""")
"),"")</f>
        <v/>
      </c>
      <c r="K438" s="3"/>
      <c r="L438" s="3" t="str">
        <f aca="false">IFERROR(__xludf.dummyfunction("if($T438&lt;&gt;"""",REGEXEXTRACT(SUBSTITUTE ($T438,L$1&amp;"" CE"",""""), L$1&amp;""[\w &amp;]*, (\d+\.\d+)""),"""")
"),"")</f>
        <v/>
      </c>
      <c r="M438" s="3" t="str">
        <f aca="false">IFERROR(__xludf.dummyfunction("if($T438&lt;&gt;"""",REGEXEXTRACT($T438, M$1&amp;""[\w &amp;]*, (\d+\.\d+)""),"""")
"),"")</f>
        <v/>
      </c>
      <c r="N438" s="3" t="str">
        <f aca="false">IFERROR(__xludf.dummyfunction("if($T438&lt;&gt;"""",REGEXEXTRACT(SUBSTITUTE ($T438,N$1&amp;"" CE"",""""), N$1&amp;""[\w &amp;]*, (\d+\.\d+)""),"""")
"),"")</f>
        <v/>
      </c>
      <c r="O438" s="3" t="str">
        <f aca="false">IFERROR(__xludf.dummyfunction("if($T438&lt;&gt;"""",REGEXEXTRACT($T438, O$1&amp;""[\w &amp;]*, (\d+\.\d+)""),"""")
"),"")</f>
        <v/>
      </c>
      <c r="P438" s="2"/>
      <c r="Q438" s="2"/>
      <c r="R438" s="2"/>
      <c r="S438" s="2"/>
      <c r="T438" s="5"/>
    </row>
    <row r="439" customFormat="false" ht="15.75" hidden="false" customHeight="false" outlineLevel="0" collapsed="false">
      <c r="A439" s="4"/>
      <c r="B439" s="2"/>
      <c r="C439" s="2"/>
      <c r="D439" s="2"/>
      <c r="E439" s="2"/>
      <c r="F439" s="3" t="str">
        <f aca="false">IFERROR(__xludf.dummyfunction("if($T439&lt;&gt;"""",REGEXEXTRACT(SUBSTITUTE ($T439,F$1&amp;"" CE"",""""), F$1&amp;""[\w &amp;]*, (\d+\.\d+)""),"""")
"),"")</f>
        <v/>
      </c>
      <c r="G439" s="3" t="str">
        <f aca="false">IFERROR(__xludf.dummyfunction("if($T439&lt;&gt;"""",REGEXEXTRACT($T439, G$1&amp;""[\w &amp;]*, (\d+\.\d+)""),"""")
"),"")</f>
        <v/>
      </c>
      <c r="H439" s="3"/>
      <c r="I439" s="3" t="str">
        <f aca="false">IFERROR(__xludf.dummyfunction("if($T439&lt;&gt;"""",REGEXEXTRACT(SUBSTITUTE ($T439,I$1&amp;"" CE"",""""), I$1&amp;""[\w &amp;]*, (\d+\.\d+)""),"""")
"),"")</f>
        <v/>
      </c>
      <c r="J439" s="3" t="str">
        <f aca="false">IFERROR(__xludf.dummyfunction("if($T439&lt;&gt;"""",REGEXEXTRACT($T439, J$1&amp;""[\w &amp;]*, (\d+\.\d+)""),"""")
"),"")</f>
        <v/>
      </c>
      <c r="K439" s="3"/>
      <c r="L439" s="3" t="str">
        <f aca="false">IFERROR(__xludf.dummyfunction("if($T439&lt;&gt;"""",REGEXEXTRACT(SUBSTITUTE ($T439,L$1&amp;"" CE"",""""), L$1&amp;""[\w &amp;]*, (\d+\.\d+)""),"""")
"),"")</f>
        <v/>
      </c>
      <c r="M439" s="3" t="str">
        <f aca="false">IFERROR(__xludf.dummyfunction("if($T439&lt;&gt;"""",REGEXEXTRACT($T439, M$1&amp;""[\w &amp;]*, (\d+\.\d+)""),"""")
"),"")</f>
        <v/>
      </c>
      <c r="N439" s="3" t="str">
        <f aca="false">IFERROR(__xludf.dummyfunction("if($T439&lt;&gt;"""",REGEXEXTRACT(SUBSTITUTE ($T439,N$1&amp;"" CE"",""""), N$1&amp;""[\w &amp;]*, (\d+\.\d+)""),"""")
"),"")</f>
        <v/>
      </c>
      <c r="O439" s="3" t="str">
        <f aca="false">IFERROR(__xludf.dummyfunction("if($T439&lt;&gt;"""",REGEXEXTRACT($T439, O$1&amp;""[\w &amp;]*, (\d+\.\d+)""),"""")
"),"")</f>
        <v/>
      </c>
      <c r="P439" s="2"/>
      <c r="Q439" s="2"/>
      <c r="R439" s="2"/>
      <c r="S439" s="2"/>
      <c r="T439" s="5"/>
    </row>
    <row r="440" customFormat="false" ht="15.75" hidden="false" customHeight="false" outlineLevel="0" collapsed="false">
      <c r="A440" s="4"/>
      <c r="B440" s="2"/>
      <c r="C440" s="2"/>
      <c r="D440" s="2"/>
      <c r="E440" s="2"/>
      <c r="F440" s="3" t="str">
        <f aca="false">IFERROR(__xludf.dummyfunction("if($T440&lt;&gt;"""",REGEXEXTRACT(SUBSTITUTE ($T440,F$1&amp;"" CE"",""""), F$1&amp;""[\w &amp;]*, (\d+\.\d+)""),"""")
"),"")</f>
        <v/>
      </c>
      <c r="G440" s="3" t="str">
        <f aca="false">IFERROR(__xludf.dummyfunction("if($T440&lt;&gt;"""",REGEXEXTRACT($T440, G$1&amp;""[\w &amp;]*, (\d+\.\d+)""),"""")
"),"")</f>
        <v/>
      </c>
      <c r="H440" s="3"/>
      <c r="I440" s="3" t="str">
        <f aca="false">IFERROR(__xludf.dummyfunction("if($T440&lt;&gt;"""",REGEXEXTRACT(SUBSTITUTE ($T440,I$1&amp;"" CE"",""""), I$1&amp;""[\w &amp;]*, (\d+\.\d+)""),"""")
"),"")</f>
        <v/>
      </c>
      <c r="J440" s="3" t="str">
        <f aca="false">IFERROR(__xludf.dummyfunction("if($T440&lt;&gt;"""",REGEXEXTRACT($T440, J$1&amp;""[\w &amp;]*, (\d+\.\d+)""),"""")
"),"")</f>
        <v/>
      </c>
      <c r="K440" s="3"/>
      <c r="L440" s="3" t="str">
        <f aca="false">IFERROR(__xludf.dummyfunction("if($T440&lt;&gt;"""",REGEXEXTRACT(SUBSTITUTE ($T440,L$1&amp;"" CE"",""""), L$1&amp;""[\w &amp;]*, (\d+\.\d+)""),"""")
"),"")</f>
        <v/>
      </c>
      <c r="M440" s="3" t="str">
        <f aca="false">IFERROR(__xludf.dummyfunction("if($T440&lt;&gt;"""",REGEXEXTRACT($T440, M$1&amp;""[\w &amp;]*, (\d+\.\d+)""),"""")
"),"")</f>
        <v/>
      </c>
      <c r="N440" s="3" t="str">
        <f aca="false">IFERROR(__xludf.dummyfunction("if($T440&lt;&gt;"""",REGEXEXTRACT(SUBSTITUTE ($T440,N$1&amp;"" CE"",""""), N$1&amp;""[\w &amp;]*, (\d+\.\d+)""),"""")
"),"")</f>
        <v/>
      </c>
      <c r="O440" s="3" t="str">
        <f aca="false">IFERROR(__xludf.dummyfunction("if($T440&lt;&gt;"""",REGEXEXTRACT($T440, O$1&amp;""[\w &amp;]*, (\d+\.\d+)""),"""")
"),"")</f>
        <v/>
      </c>
      <c r="P440" s="2"/>
      <c r="Q440" s="2"/>
      <c r="R440" s="2"/>
      <c r="S440" s="2"/>
      <c r="T440" s="5"/>
    </row>
    <row r="441" customFormat="false" ht="15.75" hidden="false" customHeight="false" outlineLevel="0" collapsed="false">
      <c r="A441" s="4"/>
      <c r="B441" s="2"/>
      <c r="C441" s="2"/>
      <c r="D441" s="2"/>
      <c r="E441" s="2"/>
      <c r="F441" s="3" t="str">
        <f aca="false">IFERROR(__xludf.dummyfunction("if($T441&lt;&gt;"""",REGEXEXTRACT(SUBSTITUTE ($T441,F$1&amp;"" CE"",""""), F$1&amp;""[\w &amp;]*, (\d+\.\d+)""),"""")
"),"")</f>
        <v/>
      </c>
      <c r="G441" s="3" t="str">
        <f aca="false">IFERROR(__xludf.dummyfunction("if($T441&lt;&gt;"""",REGEXEXTRACT($T441, G$1&amp;""[\w &amp;]*, (\d+\.\d+)""),"""")
"),"")</f>
        <v/>
      </c>
      <c r="H441" s="3"/>
      <c r="I441" s="3" t="str">
        <f aca="false">IFERROR(__xludf.dummyfunction("if($T441&lt;&gt;"""",REGEXEXTRACT(SUBSTITUTE ($T441,I$1&amp;"" CE"",""""), I$1&amp;""[\w &amp;]*, (\d+\.\d+)""),"""")
"),"")</f>
        <v/>
      </c>
      <c r="J441" s="3" t="str">
        <f aca="false">IFERROR(__xludf.dummyfunction("if($T441&lt;&gt;"""",REGEXEXTRACT($T441, J$1&amp;""[\w &amp;]*, (\d+\.\d+)""),"""")
"),"")</f>
        <v/>
      </c>
      <c r="K441" s="3"/>
      <c r="L441" s="3" t="str">
        <f aca="false">IFERROR(__xludf.dummyfunction("if($T441&lt;&gt;"""",REGEXEXTRACT(SUBSTITUTE ($T441,L$1&amp;"" CE"",""""), L$1&amp;""[\w &amp;]*, (\d+\.\d+)""),"""")
"),"")</f>
        <v/>
      </c>
      <c r="M441" s="3" t="str">
        <f aca="false">IFERROR(__xludf.dummyfunction("if($T441&lt;&gt;"""",REGEXEXTRACT($T441, M$1&amp;""[\w &amp;]*, (\d+\.\d+)""),"""")
"),"")</f>
        <v/>
      </c>
      <c r="N441" s="3" t="str">
        <f aca="false">IFERROR(__xludf.dummyfunction("if($T441&lt;&gt;"""",REGEXEXTRACT(SUBSTITUTE ($T441,N$1&amp;"" CE"",""""), N$1&amp;""[\w &amp;]*, (\d+\.\d+)""),"""")
"),"")</f>
        <v/>
      </c>
      <c r="O441" s="3" t="str">
        <f aca="false">IFERROR(__xludf.dummyfunction("if($T441&lt;&gt;"""",REGEXEXTRACT($T441, O$1&amp;""[\w &amp;]*, (\d+\.\d+)""),"""")
"),"")</f>
        <v/>
      </c>
      <c r="P441" s="2"/>
      <c r="Q441" s="2"/>
      <c r="R441" s="2"/>
      <c r="S441" s="2"/>
      <c r="T441" s="5"/>
    </row>
    <row r="442" customFormat="false" ht="15.75" hidden="false" customHeight="false" outlineLevel="0" collapsed="false">
      <c r="A442" s="4"/>
      <c r="B442" s="2"/>
      <c r="C442" s="2"/>
      <c r="D442" s="2"/>
      <c r="E442" s="2"/>
      <c r="F442" s="3" t="str">
        <f aca="false">IFERROR(__xludf.dummyfunction("if($T442&lt;&gt;"""",REGEXEXTRACT(SUBSTITUTE ($T442,F$1&amp;"" CE"",""""), F$1&amp;""[\w &amp;]*, (\d+\.\d+)""),"""")
"),"")</f>
        <v/>
      </c>
      <c r="G442" s="3" t="str">
        <f aca="false">IFERROR(__xludf.dummyfunction("if($T442&lt;&gt;"""",REGEXEXTRACT($T442, G$1&amp;""[\w &amp;]*, (\d+\.\d+)""),"""")
"),"")</f>
        <v/>
      </c>
      <c r="H442" s="3"/>
      <c r="I442" s="3" t="str">
        <f aca="false">IFERROR(__xludf.dummyfunction("if($T442&lt;&gt;"""",REGEXEXTRACT(SUBSTITUTE ($T442,I$1&amp;"" CE"",""""), I$1&amp;""[\w &amp;]*, (\d+\.\d+)""),"""")
"),"")</f>
        <v/>
      </c>
      <c r="J442" s="3" t="str">
        <f aca="false">IFERROR(__xludf.dummyfunction("if($T442&lt;&gt;"""",REGEXEXTRACT($T442, J$1&amp;""[\w &amp;]*, (\d+\.\d+)""),"""")
"),"")</f>
        <v/>
      </c>
      <c r="K442" s="3"/>
      <c r="L442" s="3" t="str">
        <f aca="false">IFERROR(__xludf.dummyfunction("if($T442&lt;&gt;"""",REGEXEXTRACT(SUBSTITUTE ($T442,L$1&amp;"" CE"",""""), L$1&amp;""[\w &amp;]*, (\d+\.\d+)""),"""")
"),"")</f>
        <v/>
      </c>
      <c r="M442" s="3" t="str">
        <f aca="false">IFERROR(__xludf.dummyfunction("if($T442&lt;&gt;"""",REGEXEXTRACT($T442, M$1&amp;""[\w &amp;]*, (\d+\.\d+)""),"""")
"),"")</f>
        <v/>
      </c>
      <c r="N442" s="3" t="str">
        <f aca="false">IFERROR(__xludf.dummyfunction("if($T442&lt;&gt;"""",REGEXEXTRACT(SUBSTITUTE ($T442,N$1&amp;"" CE"",""""), N$1&amp;""[\w &amp;]*, (\d+\.\d+)""),"""")
"),"")</f>
        <v/>
      </c>
      <c r="O442" s="3" t="str">
        <f aca="false">IFERROR(__xludf.dummyfunction("if($T442&lt;&gt;"""",REGEXEXTRACT($T442, O$1&amp;""[\w &amp;]*, (\d+\.\d+)""),"""")
"),"")</f>
        <v/>
      </c>
      <c r="P442" s="2"/>
      <c r="Q442" s="2"/>
      <c r="R442" s="2"/>
      <c r="S442" s="2"/>
      <c r="T442" s="5"/>
    </row>
    <row r="443" customFormat="false" ht="15.75" hidden="false" customHeight="false" outlineLevel="0" collapsed="false">
      <c r="A443" s="4"/>
      <c r="B443" s="2"/>
      <c r="C443" s="2"/>
      <c r="D443" s="2"/>
      <c r="E443" s="2"/>
      <c r="F443" s="3" t="str">
        <f aca="false">IFERROR(__xludf.dummyfunction("if($T443&lt;&gt;"""",REGEXEXTRACT(SUBSTITUTE ($T443,F$1&amp;"" CE"",""""), F$1&amp;""[\w &amp;]*, (\d+\.\d+)""),"""")
"),"")</f>
        <v/>
      </c>
      <c r="G443" s="3" t="str">
        <f aca="false">IFERROR(__xludf.dummyfunction("if($T443&lt;&gt;"""",REGEXEXTRACT($T443, G$1&amp;""[\w &amp;]*, (\d+\.\d+)""),"""")
"),"")</f>
        <v/>
      </c>
      <c r="H443" s="3"/>
      <c r="I443" s="3" t="str">
        <f aca="false">IFERROR(__xludf.dummyfunction("if($T443&lt;&gt;"""",REGEXEXTRACT(SUBSTITUTE ($T443,I$1&amp;"" CE"",""""), I$1&amp;""[\w &amp;]*, (\d+\.\d+)""),"""")
"),"")</f>
        <v/>
      </c>
      <c r="J443" s="3" t="str">
        <f aca="false">IFERROR(__xludf.dummyfunction("if($T443&lt;&gt;"""",REGEXEXTRACT($T443, J$1&amp;""[\w &amp;]*, (\d+\.\d+)""),"""")
"),"")</f>
        <v/>
      </c>
      <c r="K443" s="3"/>
      <c r="L443" s="3" t="str">
        <f aca="false">IFERROR(__xludf.dummyfunction("if($T443&lt;&gt;"""",REGEXEXTRACT(SUBSTITUTE ($T443,L$1&amp;"" CE"",""""), L$1&amp;""[\w &amp;]*, (\d+\.\d+)""),"""")
"),"")</f>
        <v/>
      </c>
      <c r="M443" s="3" t="str">
        <f aca="false">IFERROR(__xludf.dummyfunction("if($T443&lt;&gt;"""",REGEXEXTRACT($T443, M$1&amp;""[\w &amp;]*, (\d+\.\d+)""),"""")
"),"")</f>
        <v/>
      </c>
      <c r="N443" s="3" t="str">
        <f aca="false">IFERROR(__xludf.dummyfunction("if($T443&lt;&gt;"""",REGEXEXTRACT(SUBSTITUTE ($T443,N$1&amp;"" CE"",""""), N$1&amp;""[\w &amp;]*, (\d+\.\d+)""),"""")
"),"")</f>
        <v/>
      </c>
      <c r="O443" s="3" t="str">
        <f aca="false">IFERROR(__xludf.dummyfunction("if($T443&lt;&gt;"""",REGEXEXTRACT($T443, O$1&amp;""[\w &amp;]*, (\d+\.\d+)""),"""")
"),"")</f>
        <v/>
      </c>
      <c r="P443" s="2"/>
      <c r="Q443" s="2"/>
      <c r="R443" s="2"/>
      <c r="S443" s="2"/>
      <c r="T443" s="5"/>
    </row>
    <row r="444" customFormat="false" ht="15.75" hidden="false" customHeight="false" outlineLevel="0" collapsed="false">
      <c r="A444" s="4"/>
      <c r="B444" s="2"/>
      <c r="C444" s="2"/>
      <c r="D444" s="2"/>
      <c r="E444" s="2"/>
      <c r="F444" s="3" t="str">
        <f aca="false">IFERROR(__xludf.dummyfunction("if($T444&lt;&gt;"""",REGEXEXTRACT(SUBSTITUTE ($T444,F$1&amp;"" CE"",""""), F$1&amp;""[\w &amp;]*, (\d+\.\d+)""),"""")
"),"")</f>
        <v/>
      </c>
      <c r="G444" s="3" t="str">
        <f aca="false">IFERROR(__xludf.dummyfunction("if($T444&lt;&gt;"""",REGEXEXTRACT($T444, G$1&amp;""[\w &amp;]*, (\d+\.\d+)""),"""")
"),"")</f>
        <v/>
      </c>
      <c r="H444" s="3"/>
      <c r="I444" s="3" t="str">
        <f aca="false">IFERROR(__xludf.dummyfunction("if($T444&lt;&gt;"""",REGEXEXTRACT(SUBSTITUTE ($T444,I$1&amp;"" CE"",""""), I$1&amp;""[\w &amp;]*, (\d+\.\d+)""),"""")
"),"")</f>
        <v/>
      </c>
      <c r="J444" s="3" t="str">
        <f aca="false">IFERROR(__xludf.dummyfunction("if($T444&lt;&gt;"""",REGEXEXTRACT($T444, J$1&amp;""[\w &amp;]*, (\d+\.\d+)""),"""")
"),"")</f>
        <v/>
      </c>
      <c r="K444" s="3"/>
      <c r="L444" s="3" t="str">
        <f aca="false">IFERROR(__xludf.dummyfunction("if($T444&lt;&gt;"""",REGEXEXTRACT(SUBSTITUTE ($T444,L$1&amp;"" CE"",""""), L$1&amp;""[\w &amp;]*, (\d+\.\d+)""),"""")
"),"")</f>
        <v/>
      </c>
      <c r="M444" s="3" t="str">
        <f aca="false">IFERROR(__xludf.dummyfunction("if($T444&lt;&gt;"""",REGEXEXTRACT($T444, M$1&amp;""[\w &amp;]*, (\d+\.\d+)""),"""")
"),"")</f>
        <v/>
      </c>
      <c r="N444" s="3" t="str">
        <f aca="false">IFERROR(__xludf.dummyfunction("if($T444&lt;&gt;"""",REGEXEXTRACT(SUBSTITUTE ($T444,N$1&amp;"" CE"",""""), N$1&amp;""[\w &amp;]*, (\d+\.\d+)""),"""")
"),"")</f>
        <v/>
      </c>
      <c r="O444" s="3" t="str">
        <f aca="false">IFERROR(__xludf.dummyfunction("if($T444&lt;&gt;"""",REGEXEXTRACT($T444, O$1&amp;""[\w &amp;]*, (\d+\.\d+)""),"""")
"),"")</f>
        <v/>
      </c>
      <c r="P444" s="2"/>
      <c r="Q444" s="2"/>
      <c r="R444" s="2"/>
      <c r="S444" s="2"/>
      <c r="T444" s="5"/>
    </row>
    <row r="445" customFormat="false" ht="15.75" hidden="false" customHeight="false" outlineLevel="0" collapsed="false">
      <c r="A445" s="4"/>
      <c r="B445" s="2"/>
      <c r="C445" s="2"/>
      <c r="D445" s="2"/>
      <c r="E445" s="2"/>
      <c r="F445" s="3" t="str">
        <f aca="false">IFERROR(__xludf.dummyfunction("if($T445&lt;&gt;"""",REGEXEXTRACT(SUBSTITUTE ($T445,F$1&amp;"" CE"",""""), F$1&amp;""[\w &amp;]*, (\d+\.\d+)""),"""")
"),"")</f>
        <v/>
      </c>
      <c r="G445" s="3" t="str">
        <f aca="false">IFERROR(__xludf.dummyfunction("if($T445&lt;&gt;"""",REGEXEXTRACT($T445, G$1&amp;""[\w &amp;]*, (\d+\.\d+)""),"""")
"),"")</f>
        <v/>
      </c>
      <c r="H445" s="3"/>
      <c r="I445" s="3" t="str">
        <f aca="false">IFERROR(__xludf.dummyfunction("if($T445&lt;&gt;"""",REGEXEXTRACT(SUBSTITUTE ($T445,I$1&amp;"" CE"",""""), I$1&amp;""[\w &amp;]*, (\d+\.\d+)""),"""")
"),"")</f>
        <v/>
      </c>
      <c r="J445" s="3" t="str">
        <f aca="false">IFERROR(__xludf.dummyfunction("if($T445&lt;&gt;"""",REGEXEXTRACT($T445, J$1&amp;""[\w &amp;]*, (\d+\.\d+)""),"""")
"),"")</f>
        <v/>
      </c>
      <c r="K445" s="3"/>
      <c r="L445" s="3" t="str">
        <f aca="false">IFERROR(__xludf.dummyfunction("if($T445&lt;&gt;"""",REGEXEXTRACT(SUBSTITUTE ($T445,L$1&amp;"" CE"",""""), L$1&amp;""[\w &amp;]*, (\d+\.\d+)""),"""")
"),"")</f>
        <v/>
      </c>
      <c r="M445" s="3" t="str">
        <f aca="false">IFERROR(__xludf.dummyfunction("if($T445&lt;&gt;"""",REGEXEXTRACT($T445, M$1&amp;""[\w &amp;]*, (\d+\.\d+)""),"""")
"),"")</f>
        <v/>
      </c>
      <c r="N445" s="3" t="str">
        <f aca="false">IFERROR(__xludf.dummyfunction("if($T445&lt;&gt;"""",REGEXEXTRACT(SUBSTITUTE ($T445,N$1&amp;"" CE"",""""), N$1&amp;""[\w &amp;]*, (\d+\.\d+)""),"""")
"),"")</f>
        <v/>
      </c>
      <c r="O445" s="3" t="str">
        <f aca="false">IFERROR(__xludf.dummyfunction("if($T445&lt;&gt;"""",REGEXEXTRACT($T445, O$1&amp;""[\w &amp;]*, (\d+\.\d+)""),"""")
"),"")</f>
        <v/>
      </c>
      <c r="P445" s="2"/>
      <c r="Q445" s="2"/>
      <c r="R445" s="2"/>
      <c r="S445" s="2"/>
      <c r="T445" s="5"/>
    </row>
    <row r="446" customFormat="false" ht="15.75" hidden="false" customHeight="false" outlineLevel="0" collapsed="false">
      <c r="A446" s="4"/>
      <c r="B446" s="2"/>
      <c r="C446" s="2"/>
      <c r="D446" s="2"/>
      <c r="E446" s="2"/>
      <c r="F446" s="3" t="str">
        <f aca="false">IFERROR(__xludf.dummyfunction("if($T446&lt;&gt;"""",REGEXEXTRACT(SUBSTITUTE ($T446,F$1&amp;"" CE"",""""), F$1&amp;""[\w &amp;]*, (\d+\.\d+)""),"""")
"),"")</f>
        <v/>
      </c>
      <c r="G446" s="3" t="str">
        <f aca="false">IFERROR(__xludf.dummyfunction("if($T446&lt;&gt;"""",REGEXEXTRACT($T446, G$1&amp;""[\w &amp;]*, (\d+\.\d+)""),"""")
"),"")</f>
        <v/>
      </c>
      <c r="H446" s="3"/>
      <c r="I446" s="3" t="str">
        <f aca="false">IFERROR(__xludf.dummyfunction("if($T446&lt;&gt;"""",REGEXEXTRACT(SUBSTITUTE ($T446,I$1&amp;"" CE"",""""), I$1&amp;""[\w &amp;]*, (\d+\.\d+)""),"""")
"),"")</f>
        <v/>
      </c>
      <c r="J446" s="3" t="str">
        <f aca="false">IFERROR(__xludf.dummyfunction("if($T446&lt;&gt;"""",REGEXEXTRACT($T446, J$1&amp;""[\w &amp;]*, (\d+\.\d+)""),"""")
"),"")</f>
        <v/>
      </c>
      <c r="K446" s="3"/>
      <c r="L446" s="3" t="str">
        <f aca="false">IFERROR(__xludf.dummyfunction("if($T446&lt;&gt;"""",REGEXEXTRACT(SUBSTITUTE ($T446,L$1&amp;"" CE"",""""), L$1&amp;""[\w &amp;]*, (\d+\.\d+)""),"""")
"),"")</f>
        <v/>
      </c>
      <c r="M446" s="3" t="str">
        <f aca="false">IFERROR(__xludf.dummyfunction("if($T446&lt;&gt;"""",REGEXEXTRACT($T446, M$1&amp;""[\w &amp;]*, (\d+\.\d+)""),"""")
"),"")</f>
        <v/>
      </c>
      <c r="N446" s="3" t="str">
        <f aca="false">IFERROR(__xludf.dummyfunction("if($T446&lt;&gt;"""",REGEXEXTRACT(SUBSTITUTE ($T446,N$1&amp;"" CE"",""""), N$1&amp;""[\w &amp;]*, (\d+\.\d+)""),"""")
"),"")</f>
        <v/>
      </c>
      <c r="O446" s="3" t="str">
        <f aca="false">IFERROR(__xludf.dummyfunction("if($T446&lt;&gt;"""",REGEXEXTRACT($T446, O$1&amp;""[\w &amp;]*, (\d+\.\d+)""),"""")
"),"")</f>
        <v/>
      </c>
      <c r="P446" s="2"/>
      <c r="Q446" s="2"/>
      <c r="R446" s="2"/>
      <c r="S446" s="2"/>
      <c r="T446" s="5"/>
    </row>
    <row r="447" customFormat="false" ht="15.75" hidden="false" customHeight="false" outlineLevel="0" collapsed="false">
      <c r="A447" s="4"/>
      <c r="B447" s="2"/>
      <c r="C447" s="2"/>
      <c r="D447" s="2"/>
      <c r="E447" s="2"/>
      <c r="F447" s="3" t="str">
        <f aca="false">IFERROR(__xludf.dummyfunction("if($T447&lt;&gt;"""",REGEXEXTRACT(SUBSTITUTE ($T447,F$1&amp;"" CE"",""""), F$1&amp;""[\w &amp;]*, (\d+\.\d+)""),"""")
"),"")</f>
        <v/>
      </c>
      <c r="G447" s="3" t="str">
        <f aca="false">IFERROR(__xludf.dummyfunction("if($T447&lt;&gt;"""",REGEXEXTRACT($T447, G$1&amp;""[\w &amp;]*, (\d+\.\d+)""),"""")
"),"")</f>
        <v/>
      </c>
      <c r="H447" s="3"/>
      <c r="I447" s="3" t="str">
        <f aca="false">IFERROR(__xludf.dummyfunction("if($T447&lt;&gt;"""",REGEXEXTRACT(SUBSTITUTE ($T447,I$1&amp;"" CE"",""""), I$1&amp;""[\w &amp;]*, (\d+\.\d+)""),"""")
"),"")</f>
        <v/>
      </c>
      <c r="J447" s="3" t="str">
        <f aca="false">IFERROR(__xludf.dummyfunction("if($T447&lt;&gt;"""",REGEXEXTRACT($T447, J$1&amp;""[\w &amp;]*, (\d+\.\d+)""),"""")
"),"")</f>
        <v/>
      </c>
      <c r="K447" s="3"/>
      <c r="L447" s="3" t="str">
        <f aca="false">IFERROR(__xludf.dummyfunction("if($T447&lt;&gt;"""",REGEXEXTRACT(SUBSTITUTE ($T447,L$1&amp;"" CE"",""""), L$1&amp;""[\w &amp;]*, (\d+\.\d+)""),"""")
"),"")</f>
        <v/>
      </c>
      <c r="M447" s="3" t="str">
        <f aca="false">IFERROR(__xludf.dummyfunction("if($T447&lt;&gt;"""",REGEXEXTRACT($T447, M$1&amp;""[\w &amp;]*, (\d+\.\d+)""),"""")
"),"")</f>
        <v/>
      </c>
      <c r="N447" s="3" t="str">
        <f aca="false">IFERROR(__xludf.dummyfunction("if($T447&lt;&gt;"""",REGEXEXTRACT(SUBSTITUTE ($T447,N$1&amp;"" CE"",""""), N$1&amp;""[\w &amp;]*, (\d+\.\d+)""),"""")
"),"")</f>
        <v/>
      </c>
      <c r="O447" s="3" t="str">
        <f aca="false">IFERROR(__xludf.dummyfunction("if($T447&lt;&gt;"""",REGEXEXTRACT($T447, O$1&amp;""[\w &amp;]*, (\d+\.\d+)""),"""")
"),"")</f>
        <v/>
      </c>
      <c r="P447" s="2"/>
      <c r="Q447" s="2"/>
      <c r="R447" s="2"/>
      <c r="S447" s="2"/>
      <c r="T447" s="5"/>
    </row>
    <row r="448" customFormat="false" ht="15.75" hidden="false" customHeight="false" outlineLevel="0" collapsed="false">
      <c r="A448" s="4"/>
      <c r="B448" s="2"/>
      <c r="C448" s="2"/>
      <c r="D448" s="2"/>
      <c r="E448" s="2"/>
      <c r="F448" s="3" t="str">
        <f aca="false">IFERROR(__xludf.dummyfunction("if($T448&lt;&gt;"""",REGEXEXTRACT(SUBSTITUTE ($T448,F$1&amp;"" CE"",""""), F$1&amp;""[\w &amp;]*, (\d+\.\d+)""),"""")
"),"")</f>
        <v/>
      </c>
      <c r="G448" s="3" t="str">
        <f aca="false">IFERROR(__xludf.dummyfunction("if($T448&lt;&gt;"""",REGEXEXTRACT($T448, G$1&amp;""[\w &amp;]*, (\d+\.\d+)""),"""")
"),"")</f>
        <v/>
      </c>
      <c r="H448" s="3"/>
      <c r="I448" s="3" t="str">
        <f aca="false">IFERROR(__xludf.dummyfunction("if($T448&lt;&gt;"""",REGEXEXTRACT(SUBSTITUTE ($T448,I$1&amp;"" CE"",""""), I$1&amp;""[\w &amp;]*, (\d+\.\d+)""),"""")
"),"")</f>
        <v/>
      </c>
      <c r="J448" s="3" t="str">
        <f aca="false">IFERROR(__xludf.dummyfunction("if($T448&lt;&gt;"""",REGEXEXTRACT($T448, J$1&amp;""[\w &amp;]*, (\d+\.\d+)""),"""")
"),"")</f>
        <v/>
      </c>
      <c r="K448" s="3"/>
      <c r="L448" s="3" t="str">
        <f aca="false">IFERROR(__xludf.dummyfunction("if($T448&lt;&gt;"""",REGEXEXTRACT(SUBSTITUTE ($T448,L$1&amp;"" CE"",""""), L$1&amp;""[\w &amp;]*, (\d+\.\d+)""),"""")
"),"")</f>
        <v/>
      </c>
      <c r="M448" s="3" t="str">
        <f aca="false">IFERROR(__xludf.dummyfunction("if($T448&lt;&gt;"""",REGEXEXTRACT($T448, M$1&amp;""[\w &amp;]*, (\d+\.\d+)""),"""")
"),"")</f>
        <v/>
      </c>
      <c r="N448" s="3" t="str">
        <f aca="false">IFERROR(__xludf.dummyfunction("if($T448&lt;&gt;"""",REGEXEXTRACT(SUBSTITUTE ($T448,N$1&amp;"" CE"",""""), N$1&amp;""[\w &amp;]*, (\d+\.\d+)""),"""")
"),"")</f>
        <v/>
      </c>
      <c r="O448" s="3" t="str">
        <f aca="false">IFERROR(__xludf.dummyfunction("if($T448&lt;&gt;"""",REGEXEXTRACT($T448, O$1&amp;""[\w &amp;]*, (\d+\.\d+)""),"""")
"),"")</f>
        <v/>
      </c>
      <c r="P448" s="2"/>
      <c r="Q448" s="2"/>
      <c r="R448" s="2"/>
      <c r="S448" s="2"/>
      <c r="T448" s="5"/>
    </row>
    <row r="449" customFormat="false" ht="15.75" hidden="false" customHeight="false" outlineLevel="0" collapsed="false">
      <c r="A449" s="4"/>
      <c r="B449" s="2"/>
      <c r="C449" s="2"/>
      <c r="D449" s="2"/>
      <c r="E449" s="2"/>
      <c r="F449" s="3" t="str">
        <f aca="false">IFERROR(__xludf.dummyfunction("if($T449&lt;&gt;"""",REGEXEXTRACT(SUBSTITUTE ($T449,F$1&amp;"" CE"",""""), F$1&amp;""[\w &amp;]*, (\d+\.\d+)""),"""")
"),"")</f>
        <v/>
      </c>
      <c r="G449" s="3" t="str">
        <f aca="false">IFERROR(__xludf.dummyfunction("if($T449&lt;&gt;"""",REGEXEXTRACT($T449, G$1&amp;""[\w &amp;]*, (\d+\.\d+)""),"""")
"),"")</f>
        <v/>
      </c>
      <c r="H449" s="3"/>
      <c r="I449" s="3" t="str">
        <f aca="false">IFERROR(__xludf.dummyfunction("if($T449&lt;&gt;"""",REGEXEXTRACT(SUBSTITUTE ($T449,I$1&amp;"" CE"",""""), I$1&amp;""[\w &amp;]*, (\d+\.\d+)""),"""")
"),"")</f>
        <v/>
      </c>
      <c r="J449" s="3" t="str">
        <f aca="false">IFERROR(__xludf.dummyfunction("if($T449&lt;&gt;"""",REGEXEXTRACT($T449, J$1&amp;""[\w &amp;]*, (\d+\.\d+)""),"""")
"),"")</f>
        <v/>
      </c>
      <c r="K449" s="3"/>
      <c r="L449" s="3" t="str">
        <f aca="false">IFERROR(__xludf.dummyfunction("if($T449&lt;&gt;"""",REGEXEXTRACT(SUBSTITUTE ($T449,L$1&amp;"" CE"",""""), L$1&amp;""[\w &amp;]*, (\d+\.\d+)""),"""")
"),"")</f>
        <v/>
      </c>
      <c r="M449" s="3" t="str">
        <f aca="false">IFERROR(__xludf.dummyfunction("if($T449&lt;&gt;"""",REGEXEXTRACT($T449, M$1&amp;""[\w &amp;]*, (\d+\.\d+)""),"""")
"),"")</f>
        <v/>
      </c>
      <c r="N449" s="3" t="str">
        <f aca="false">IFERROR(__xludf.dummyfunction("if($T449&lt;&gt;"""",REGEXEXTRACT(SUBSTITUTE ($T449,N$1&amp;"" CE"",""""), N$1&amp;""[\w &amp;]*, (\d+\.\d+)""),"""")
"),"")</f>
        <v/>
      </c>
      <c r="O449" s="3" t="str">
        <f aca="false">IFERROR(__xludf.dummyfunction("if($T449&lt;&gt;"""",REGEXEXTRACT($T449, O$1&amp;""[\w &amp;]*, (\d+\.\d+)""),"""")
"),"")</f>
        <v/>
      </c>
      <c r="P449" s="2"/>
      <c r="Q449" s="2"/>
      <c r="R449" s="2"/>
      <c r="S449" s="2"/>
      <c r="T449" s="5"/>
    </row>
    <row r="450" customFormat="false" ht="15.75" hidden="false" customHeight="false" outlineLevel="0" collapsed="false">
      <c r="A450" s="4"/>
      <c r="B450" s="2"/>
      <c r="C450" s="2"/>
      <c r="D450" s="2"/>
      <c r="E450" s="2"/>
      <c r="F450" s="3" t="str">
        <f aca="false">IFERROR(__xludf.dummyfunction("if($T450&lt;&gt;"""",REGEXEXTRACT(SUBSTITUTE ($T450,F$1&amp;"" CE"",""""), F$1&amp;""[\w &amp;]*, (\d+\.\d+)""),"""")
"),"")</f>
        <v/>
      </c>
      <c r="G450" s="3" t="str">
        <f aca="false">IFERROR(__xludf.dummyfunction("if($T450&lt;&gt;"""",REGEXEXTRACT($T450, G$1&amp;""[\w &amp;]*, (\d+\.\d+)""),"""")
"),"")</f>
        <v/>
      </c>
      <c r="H450" s="3"/>
      <c r="I450" s="3" t="str">
        <f aca="false">IFERROR(__xludf.dummyfunction("if($T450&lt;&gt;"""",REGEXEXTRACT(SUBSTITUTE ($T450,I$1&amp;"" CE"",""""), I$1&amp;""[\w &amp;]*, (\d+\.\d+)""),"""")
"),"")</f>
        <v/>
      </c>
      <c r="J450" s="3" t="str">
        <f aca="false">IFERROR(__xludf.dummyfunction("if($T450&lt;&gt;"""",REGEXEXTRACT($T450, J$1&amp;""[\w &amp;]*, (\d+\.\d+)""),"""")
"),"")</f>
        <v/>
      </c>
      <c r="K450" s="3"/>
      <c r="L450" s="3" t="str">
        <f aca="false">IFERROR(__xludf.dummyfunction("if($T450&lt;&gt;"""",REGEXEXTRACT(SUBSTITUTE ($T450,L$1&amp;"" CE"",""""), L$1&amp;""[\w &amp;]*, (\d+\.\d+)""),"""")
"),"")</f>
        <v/>
      </c>
      <c r="M450" s="3" t="str">
        <f aca="false">IFERROR(__xludf.dummyfunction("if($T450&lt;&gt;"""",REGEXEXTRACT($T450, M$1&amp;""[\w &amp;]*, (\d+\.\d+)""),"""")
"),"")</f>
        <v/>
      </c>
      <c r="N450" s="3" t="str">
        <f aca="false">IFERROR(__xludf.dummyfunction("if($T450&lt;&gt;"""",REGEXEXTRACT(SUBSTITUTE ($T450,N$1&amp;"" CE"",""""), N$1&amp;""[\w &amp;]*, (\d+\.\d+)""),"""")
"),"")</f>
        <v/>
      </c>
      <c r="O450" s="3" t="str">
        <f aca="false">IFERROR(__xludf.dummyfunction("if($T450&lt;&gt;"""",REGEXEXTRACT($T450, O$1&amp;""[\w &amp;]*, (\d+\.\d+)""),"""")
"),"")</f>
        <v/>
      </c>
      <c r="P450" s="2"/>
      <c r="Q450" s="2"/>
      <c r="R450" s="2"/>
      <c r="S450" s="2"/>
      <c r="T450" s="5"/>
    </row>
    <row r="451" customFormat="false" ht="15.75" hidden="false" customHeight="false" outlineLevel="0" collapsed="false">
      <c r="A451" s="4"/>
      <c r="B451" s="2"/>
      <c r="C451" s="2"/>
      <c r="D451" s="2"/>
      <c r="E451" s="2"/>
      <c r="F451" s="3" t="str">
        <f aca="false">IFERROR(__xludf.dummyfunction("if($T451&lt;&gt;"""",REGEXEXTRACT(SUBSTITUTE ($T451,F$1&amp;"" CE"",""""), F$1&amp;""[\w &amp;]*, (\d+\.\d+)""),"""")
"),"")</f>
        <v/>
      </c>
      <c r="G451" s="3" t="str">
        <f aca="false">IFERROR(__xludf.dummyfunction("if($T451&lt;&gt;"""",REGEXEXTRACT($T451, G$1&amp;""[\w &amp;]*, (\d+\.\d+)""),"""")
"),"")</f>
        <v/>
      </c>
      <c r="H451" s="3"/>
      <c r="I451" s="3" t="str">
        <f aca="false">IFERROR(__xludf.dummyfunction("if($T451&lt;&gt;"""",REGEXEXTRACT(SUBSTITUTE ($T451,I$1&amp;"" CE"",""""), I$1&amp;""[\w &amp;]*, (\d+\.\d+)""),"""")
"),"")</f>
        <v/>
      </c>
      <c r="J451" s="3" t="str">
        <f aca="false">IFERROR(__xludf.dummyfunction("if($T451&lt;&gt;"""",REGEXEXTRACT($T451, J$1&amp;""[\w &amp;]*, (\d+\.\d+)""),"""")
"),"")</f>
        <v/>
      </c>
      <c r="K451" s="3"/>
      <c r="L451" s="3" t="str">
        <f aca="false">IFERROR(__xludf.dummyfunction("if($T451&lt;&gt;"""",REGEXEXTRACT(SUBSTITUTE ($T451,L$1&amp;"" CE"",""""), L$1&amp;""[\w &amp;]*, (\d+\.\d+)""),"""")
"),"")</f>
        <v/>
      </c>
      <c r="M451" s="3" t="str">
        <f aca="false">IFERROR(__xludf.dummyfunction("if($T451&lt;&gt;"""",REGEXEXTRACT($T451, M$1&amp;""[\w &amp;]*, (\d+\.\d+)""),"""")
"),"")</f>
        <v/>
      </c>
      <c r="N451" s="3" t="str">
        <f aca="false">IFERROR(__xludf.dummyfunction("if($T451&lt;&gt;"""",REGEXEXTRACT(SUBSTITUTE ($T451,N$1&amp;"" CE"",""""), N$1&amp;""[\w &amp;]*, (\d+\.\d+)""),"""")
"),"")</f>
        <v/>
      </c>
      <c r="O451" s="3" t="str">
        <f aca="false">IFERROR(__xludf.dummyfunction("if($T451&lt;&gt;"""",REGEXEXTRACT($T451, O$1&amp;""[\w &amp;]*, (\d+\.\d+)""),"""")
"),"")</f>
        <v/>
      </c>
      <c r="P451" s="2"/>
      <c r="Q451" s="2"/>
      <c r="R451" s="2"/>
      <c r="S451" s="2"/>
      <c r="T451" s="5"/>
    </row>
    <row r="452" customFormat="false" ht="15.75" hidden="false" customHeight="false" outlineLevel="0" collapsed="false">
      <c r="A452" s="4"/>
      <c r="B452" s="2"/>
      <c r="C452" s="2"/>
      <c r="D452" s="2"/>
      <c r="E452" s="2"/>
      <c r="F452" s="3" t="str">
        <f aca="false">IFERROR(__xludf.dummyfunction("if($T452&lt;&gt;"""",REGEXEXTRACT(SUBSTITUTE ($T452,F$1&amp;"" CE"",""""), F$1&amp;""[\w &amp;]*, (\d+\.\d+)""),"""")
"),"")</f>
        <v/>
      </c>
      <c r="G452" s="3" t="str">
        <f aca="false">IFERROR(__xludf.dummyfunction("if($T452&lt;&gt;"""",REGEXEXTRACT($T452, G$1&amp;""[\w &amp;]*, (\d+\.\d+)""),"""")
"),"")</f>
        <v/>
      </c>
      <c r="H452" s="3"/>
      <c r="I452" s="3" t="str">
        <f aca="false">IFERROR(__xludf.dummyfunction("if($T452&lt;&gt;"""",REGEXEXTRACT(SUBSTITUTE ($T452,I$1&amp;"" CE"",""""), I$1&amp;""[\w &amp;]*, (\d+\.\d+)""),"""")
"),"")</f>
        <v/>
      </c>
      <c r="J452" s="3" t="str">
        <f aca="false">IFERROR(__xludf.dummyfunction("if($T452&lt;&gt;"""",REGEXEXTRACT($T452, J$1&amp;""[\w &amp;]*, (\d+\.\d+)""),"""")
"),"")</f>
        <v/>
      </c>
      <c r="K452" s="3"/>
      <c r="L452" s="3" t="str">
        <f aca="false">IFERROR(__xludf.dummyfunction("if($T452&lt;&gt;"""",REGEXEXTRACT(SUBSTITUTE ($T452,L$1&amp;"" CE"",""""), L$1&amp;""[\w &amp;]*, (\d+\.\d+)""),"""")
"),"")</f>
        <v/>
      </c>
      <c r="M452" s="3" t="str">
        <f aca="false">IFERROR(__xludf.dummyfunction("if($T452&lt;&gt;"""",REGEXEXTRACT($T452, M$1&amp;""[\w &amp;]*, (\d+\.\d+)""),"""")
"),"")</f>
        <v/>
      </c>
      <c r="N452" s="3" t="str">
        <f aca="false">IFERROR(__xludf.dummyfunction("if($T452&lt;&gt;"""",REGEXEXTRACT(SUBSTITUTE ($T452,N$1&amp;"" CE"",""""), N$1&amp;""[\w &amp;]*, (\d+\.\d+)""),"""")
"),"")</f>
        <v/>
      </c>
      <c r="O452" s="3" t="str">
        <f aca="false">IFERROR(__xludf.dummyfunction("if($T452&lt;&gt;"""",REGEXEXTRACT($T452, O$1&amp;""[\w &amp;]*, (\d+\.\d+)""),"""")
"),"")</f>
        <v/>
      </c>
      <c r="P452" s="2"/>
      <c r="Q452" s="2"/>
      <c r="R452" s="2"/>
      <c r="S452" s="2"/>
      <c r="T452" s="5"/>
    </row>
    <row r="453" customFormat="false" ht="15.75" hidden="false" customHeight="false" outlineLevel="0" collapsed="false">
      <c r="A453" s="4"/>
      <c r="B453" s="2"/>
      <c r="C453" s="2"/>
      <c r="D453" s="2"/>
      <c r="E453" s="2"/>
      <c r="F453" s="3" t="str">
        <f aca="false">IFERROR(__xludf.dummyfunction("if($T453&lt;&gt;"""",REGEXEXTRACT(SUBSTITUTE ($T453,F$1&amp;"" CE"",""""), F$1&amp;""[\w &amp;]*, (\d+\.\d+)""),"""")
"),"")</f>
        <v/>
      </c>
      <c r="G453" s="3" t="str">
        <f aca="false">IFERROR(__xludf.dummyfunction("if($T453&lt;&gt;"""",REGEXEXTRACT($T453, G$1&amp;""[\w &amp;]*, (\d+\.\d+)""),"""")
"),"")</f>
        <v/>
      </c>
      <c r="H453" s="3"/>
      <c r="I453" s="3" t="str">
        <f aca="false">IFERROR(__xludf.dummyfunction("if($T453&lt;&gt;"""",REGEXEXTRACT(SUBSTITUTE ($T453,I$1&amp;"" CE"",""""), I$1&amp;""[\w &amp;]*, (\d+\.\d+)""),"""")
"),"")</f>
        <v/>
      </c>
      <c r="J453" s="3" t="str">
        <f aca="false">IFERROR(__xludf.dummyfunction("if($T453&lt;&gt;"""",REGEXEXTRACT($T453, J$1&amp;""[\w &amp;]*, (\d+\.\d+)""),"""")
"),"")</f>
        <v/>
      </c>
      <c r="K453" s="3"/>
      <c r="L453" s="3" t="str">
        <f aca="false">IFERROR(__xludf.dummyfunction("if($T453&lt;&gt;"""",REGEXEXTRACT(SUBSTITUTE ($T453,L$1&amp;"" CE"",""""), L$1&amp;""[\w &amp;]*, (\d+\.\d+)""),"""")
"),"")</f>
        <v/>
      </c>
      <c r="M453" s="3" t="str">
        <f aca="false">IFERROR(__xludf.dummyfunction("if($T453&lt;&gt;"""",REGEXEXTRACT($T453, M$1&amp;""[\w &amp;]*, (\d+\.\d+)""),"""")
"),"")</f>
        <v/>
      </c>
      <c r="N453" s="3" t="str">
        <f aca="false">IFERROR(__xludf.dummyfunction("if($T453&lt;&gt;"""",REGEXEXTRACT(SUBSTITUTE ($T453,N$1&amp;"" CE"",""""), N$1&amp;""[\w &amp;]*, (\d+\.\d+)""),"""")
"),"")</f>
        <v/>
      </c>
      <c r="O453" s="3" t="str">
        <f aca="false">IFERROR(__xludf.dummyfunction("if($T453&lt;&gt;"""",REGEXEXTRACT($T453, O$1&amp;""[\w &amp;]*, (\d+\.\d+)""),"""")
"),"")</f>
        <v/>
      </c>
      <c r="P453" s="2"/>
      <c r="Q453" s="2"/>
      <c r="R453" s="2"/>
      <c r="S453" s="2"/>
      <c r="T453" s="5"/>
    </row>
    <row r="454" customFormat="false" ht="15.75" hidden="false" customHeight="false" outlineLevel="0" collapsed="false">
      <c r="A454" s="4"/>
      <c r="B454" s="2"/>
      <c r="C454" s="2"/>
      <c r="D454" s="2"/>
      <c r="E454" s="2"/>
      <c r="F454" s="3" t="str">
        <f aca="false">IFERROR(__xludf.dummyfunction("if($T454&lt;&gt;"""",REGEXEXTRACT(SUBSTITUTE ($T454,F$1&amp;"" CE"",""""), F$1&amp;""[\w &amp;]*, (\d+\.\d+)""),"""")
"),"")</f>
        <v/>
      </c>
      <c r="G454" s="3" t="str">
        <f aca="false">IFERROR(__xludf.dummyfunction("if($T454&lt;&gt;"""",REGEXEXTRACT($T454, G$1&amp;""[\w &amp;]*, (\d+\.\d+)""),"""")
"),"")</f>
        <v/>
      </c>
      <c r="H454" s="3"/>
      <c r="I454" s="3" t="str">
        <f aca="false">IFERROR(__xludf.dummyfunction("if($T454&lt;&gt;"""",REGEXEXTRACT(SUBSTITUTE ($T454,I$1&amp;"" CE"",""""), I$1&amp;""[\w &amp;]*, (\d+\.\d+)""),"""")
"),"")</f>
        <v/>
      </c>
      <c r="J454" s="3" t="str">
        <f aca="false">IFERROR(__xludf.dummyfunction("if($T454&lt;&gt;"""",REGEXEXTRACT($T454, J$1&amp;""[\w &amp;]*, (\d+\.\d+)""),"""")
"),"")</f>
        <v/>
      </c>
      <c r="K454" s="3"/>
      <c r="L454" s="3" t="str">
        <f aca="false">IFERROR(__xludf.dummyfunction("if($T454&lt;&gt;"""",REGEXEXTRACT(SUBSTITUTE ($T454,L$1&amp;"" CE"",""""), L$1&amp;""[\w &amp;]*, (\d+\.\d+)""),"""")
"),"")</f>
        <v/>
      </c>
      <c r="M454" s="3" t="str">
        <f aca="false">IFERROR(__xludf.dummyfunction("if($T454&lt;&gt;"""",REGEXEXTRACT($T454, M$1&amp;""[\w &amp;]*, (\d+\.\d+)""),"""")
"),"")</f>
        <v/>
      </c>
      <c r="N454" s="3" t="str">
        <f aca="false">IFERROR(__xludf.dummyfunction("if($T454&lt;&gt;"""",REGEXEXTRACT(SUBSTITUTE ($T454,N$1&amp;"" CE"",""""), N$1&amp;""[\w &amp;]*, (\d+\.\d+)""),"""")
"),"")</f>
        <v/>
      </c>
      <c r="O454" s="3" t="str">
        <f aca="false">IFERROR(__xludf.dummyfunction("if($T454&lt;&gt;"""",REGEXEXTRACT($T454, O$1&amp;""[\w &amp;]*, (\d+\.\d+)""),"""")
"),"")</f>
        <v/>
      </c>
      <c r="P454" s="2"/>
      <c r="Q454" s="2"/>
      <c r="R454" s="2"/>
      <c r="S454" s="2"/>
      <c r="T454" s="5"/>
    </row>
    <row r="455" customFormat="false" ht="15.75" hidden="false" customHeight="false" outlineLevel="0" collapsed="false">
      <c r="A455" s="4"/>
      <c r="B455" s="2"/>
      <c r="C455" s="2"/>
      <c r="D455" s="2"/>
      <c r="E455" s="2"/>
      <c r="F455" s="3" t="str">
        <f aca="false">IFERROR(__xludf.dummyfunction("if($T455&lt;&gt;"""",REGEXEXTRACT(SUBSTITUTE ($T455,F$1&amp;"" CE"",""""), F$1&amp;""[\w &amp;]*, (\d+\.\d+)""),"""")
"),"")</f>
        <v/>
      </c>
      <c r="G455" s="3" t="str">
        <f aca="false">IFERROR(__xludf.dummyfunction("if($T455&lt;&gt;"""",REGEXEXTRACT($T455, G$1&amp;""[\w &amp;]*, (\d+\.\d+)""),"""")
"),"")</f>
        <v/>
      </c>
      <c r="H455" s="3"/>
      <c r="I455" s="3" t="str">
        <f aca="false">IFERROR(__xludf.dummyfunction("if($T455&lt;&gt;"""",REGEXEXTRACT(SUBSTITUTE ($T455,I$1&amp;"" CE"",""""), I$1&amp;""[\w &amp;]*, (\d+\.\d+)""),"""")
"),"")</f>
        <v/>
      </c>
      <c r="J455" s="3" t="str">
        <f aca="false">IFERROR(__xludf.dummyfunction("if($T455&lt;&gt;"""",REGEXEXTRACT($T455, J$1&amp;""[\w &amp;]*, (\d+\.\d+)""),"""")
"),"")</f>
        <v/>
      </c>
      <c r="K455" s="3"/>
      <c r="L455" s="3" t="str">
        <f aca="false">IFERROR(__xludf.dummyfunction("if($T455&lt;&gt;"""",REGEXEXTRACT(SUBSTITUTE ($T455,L$1&amp;"" CE"",""""), L$1&amp;""[\w &amp;]*, (\d+\.\d+)""),"""")
"),"")</f>
        <v/>
      </c>
      <c r="M455" s="3" t="str">
        <f aca="false">IFERROR(__xludf.dummyfunction("if($T455&lt;&gt;"""",REGEXEXTRACT($T455, M$1&amp;""[\w &amp;]*, (\d+\.\d+)""),"""")
"),"")</f>
        <v/>
      </c>
      <c r="N455" s="3" t="str">
        <f aca="false">IFERROR(__xludf.dummyfunction("if($T455&lt;&gt;"""",REGEXEXTRACT(SUBSTITUTE ($T455,N$1&amp;"" CE"",""""), N$1&amp;""[\w &amp;]*, (\d+\.\d+)""),"""")
"),"")</f>
        <v/>
      </c>
      <c r="O455" s="3" t="str">
        <f aca="false">IFERROR(__xludf.dummyfunction("if($T455&lt;&gt;"""",REGEXEXTRACT($T455, O$1&amp;""[\w &amp;]*, (\d+\.\d+)""),"""")
"),"")</f>
        <v/>
      </c>
      <c r="P455" s="2"/>
      <c r="Q455" s="2"/>
      <c r="R455" s="2"/>
      <c r="S455" s="2"/>
      <c r="T455" s="5"/>
    </row>
    <row r="456" customFormat="false" ht="15.75" hidden="false" customHeight="false" outlineLevel="0" collapsed="false">
      <c r="A456" s="4"/>
      <c r="B456" s="2"/>
      <c r="C456" s="2"/>
      <c r="D456" s="2"/>
      <c r="E456" s="2"/>
      <c r="F456" s="3" t="str">
        <f aca="false">IFERROR(__xludf.dummyfunction("if($T456&lt;&gt;"""",REGEXEXTRACT(SUBSTITUTE ($T456,F$1&amp;"" CE"",""""), F$1&amp;""[\w &amp;]*, (\d+\.\d+)""),"""")
"),"")</f>
        <v/>
      </c>
      <c r="G456" s="3" t="str">
        <f aca="false">IFERROR(__xludf.dummyfunction("if($T456&lt;&gt;"""",REGEXEXTRACT($T456, G$1&amp;""[\w &amp;]*, (\d+\.\d+)""),"""")
"),"")</f>
        <v/>
      </c>
      <c r="H456" s="3"/>
      <c r="I456" s="3" t="str">
        <f aca="false">IFERROR(__xludf.dummyfunction("if($T456&lt;&gt;"""",REGEXEXTRACT(SUBSTITUTE ($T456,I$1&amp;"" CE"",""""), I$1&amp;""[\w &amp;]*, (\d+\.\d+)""),"""")
"),"")</f>
        <v/>
      </c>
      <c r="J456" s="3" t="str">
        <f aca="false">IFERROR(__xludf.dummyfunction("if($T456&lt;&gt;"""",REGEXEXTRACT($T456, J$1&amp;""[\w &amp;]*, (\d+\.\d+)""),"""")
"),"")</f>
        <v/>
      </c>
      <c r="K456" s="3"/>
      <c r="L456" s="3" t="str">
        <f aca="false">IFERROR(__xludf.dummyfunction("if($T456&lt;&gt;"""",REGEXEXTRACT(SUBSTITUTE ($T456,L$1&amp;"" CE"",""""), L$1&amp;""[\w &amp;]*, (\d+\.\d+)""),"""")
"),"")</f>
        <v/>
      </c>
      <c r="M456" s="3" t="str">
        <f aca="false">IFERROR(__xludf.dummyfunction("if($T456&lt;&gt;"""",REGEXEXTRACT($T456, M$1&amp;""[\w &amp;]*, (\d+\.\d+)""),"""")
"),"")</f>
        <v/>
      </c>
      <c r="N456" s="3" t="str">
        <f aca="false">IFERROR(__xludf.dummyfunction("if($T456&lt;&gt;"""",REGEXEXTRACT(SUBSTITUTE ($T456,N$1&amp;"" CE"",""""), N$1&amp;""[\w &amp;]*, (\d+\.\d+)""),"""")
"),"")</f>
        <v/>
      </c>
      <c r="O456" s="3" t="str">
        <f aca="false">IFERROR(__xludf.dummyfunction("if($T456&lt;&gt;"""",REGEXEXTRACT($T456, O$1&amp;""[\w &amp;]*, (\d+\.\d+)""),"""")
"),"")</f>
        <v/>
      </c>
      <c r="P456" s="2"/>
      <c r="Q456" s="2"/>
      <c r="R456" s="2"/>
      <c r="S456" s="2"/>
      <c r="T456" s="5"/>
    </row>
    <row r="457" customFormat="false" ht="15.75" hidden="false" customHeight="false" outlineLevel="0" collapsed="false">
      <c r="A457" s="4"/>
      <c r="B457" s="2"/>
      <c r="C457" s="2"/>
      <c r="D457" s="2"/>
      <c r="E457" s="2"/>
      <c r="F457" s="3" t="str">
        <f aca="false">IFERROR(__xludf.dummyfunction("if($T457&lt;&gt;"""",REGEXEXTRACT(SUBSTITUTE ($T457,F$1&amp;"" CE"",""""), F$1&amp;""[\w &amp;]*, (\d+\.\d+)""),"""")
"),"")</f>
        <v/>
      </c>
      <c r="G457" s="3" t="str">
        <f aca="false">IFERROR(__xludf.dummyfunction("if($T457&lt;&gt;"""",REGEXEXTRACT($T457, G$1&amp;""[\w &amp;]*, (\d+\.\d+)""),"""")
"),"")</f>
        <v/>
      </c>
      <c r="H457" s="3"/>
      <c r="I457" s="3" t="str">
        <f aca="false">IFERROR(__xludf.dummyfunction("if($T457&lt;&gt;"""",REGEXEXTRACT(SUBSTITUTE ($T457,I$1&amp;"" CE"",""""), I$1&amp;""[\w &amp;]*, (\d+\.\d+)""),"""")
"),"")</f>
        <v/>
      </c>
      <c r="J457" s="3" t="str">
        <f aca="false">IFERROR(__xludf.dummyfunction("if($T457&lt;&gt;"""",REGEXEXTRACT($T457, J$1&amp;""[\w &amp;]*, (\d+\.\d+)""),"""")
"),"")</f>
        <v/>
      </c>
      <c r="K457" s="3"/>
      <c r="L457" s="3" t="str">
        <f aca="false">IFERROR(__xludf.dummyfunction("if($T457&lt;&gt;"""",REGEXEXTRACT(SUBSTITUTE ($T457,L$1&amp;"" CE"",""""), L$1&amp;""[\w &amp;]*, (\d+\.\d+)""),"""")
"),"")</f>
        <v/>
      </c>
      <c r="M457" s="3" t="str">
        <f aca="false">IFERROR(__xludf.dummyfunction("if($T457&lt;&gt;"""",REGEXEXTRACT($T457, M$1&amp;""[\w &amp;]*, (\d+\.\d+)""),"""")
"),"")</f>
        <v/>
      </c>
      <c r="N457" s="3" t="str">
        <f aca="false">IFERROR(__xludf.dummyfunction("if($T457&lt;&gt;"""",REGEXEXTRACT(SUBSTITUTE ($T457,N$1&amp;"" CE"",""""), N$1&amp;""[\w &amp;]*, (\d+\.\d+)""),"""")
"),"")</f>
        <v/>
      </c>
      <c r="O457" s="3" t="str">
        <f aca="false">IFERROR(__xludf.dummyfunction("if($T457&lt;&gt;"""",REGEXEXTRACT($T457, O$1&amp;""[\w &amp;]*, (\d+\.\d+)""),"""")
"),"")</f>
        <v/>
      </c>
      <c r="P457" s="2"/>
      <c r="Q457" s="2"/>
      <c r="R457" s="2"/>
      <c r="S457" s="2"/>
      <c r="T457" s="5"/>
    </row>
    <row r="458" customFormat="false" ht="15.75" hidden="false" customHeight="false" outlineLevel="0" collapsed="false">
      <c r="A458" s="4"/>
      <c r="B458" s="2"/>
      <c r="C458" s="2"/>
      <c r="D458" s="2"/>
      <c r="E458" s="2"/>
      <c r="F458" s="3" t="str">
        <f aca="false">IFERROR(__xludf.dummyfunction("if($T458&lt;&gt;"""",REGEXEXTRACT(SUBSTITUTE ($T458,F$1&amp;"" CE"",""""), F$1&amp;""[\w &amp;]*, (\d+\.\d+)""),"""")
"),"")</f>
        <v/>
      </c>
      <c r="G458" s="3" t="str">
        <f aca="false">IFERROR(__xludf.dummyfunction("if($T458&lt;&gt;"""",REGEXEXTRACT($T458, G$1&amp;""[\w &amp;]*, (\d+\.\d+)""),"""")
"),"")</f>
        <v/>
      </c>
      <c r="H458" s="3"/>
      <c r="I458" s="3" t="str">
        <f aca="false">IFERROR(__xludf.dummyfunction("if($T458&lt;&gt;"""",REGEXEXTRACT(SUBSTITUTE ($T458,I$1&amp;"" CE"",""""), I$1&amp;""[\w &amp;]*, (\d+\.\d+)""),"""")
"),"")</f>
        <v/>
      </c>
      <c r="J458" s="3" t="str">
        <f aca="false">IFERROR(__xludf.dummyfunction("if($T458&lt;&gt;"""",REGEXEXTRACT($T458, J$1&amp;""[\w &amp;]*, (\d+\.\d+)""),"""")
"),"")</f>
        <v/>
      </c>
      <c r="K458" s="3"/>
      <c r="L458" s="3" t="str">
        <f aca="false">IFERROR(__xludf.dummyfunction("if($T458&lt;&gt;"""",REGEXEXTRACT(SUBSTITUTE ($T458,L$1&amp;"" CE"",""""), L$1&amp;""[\w &amp;]*, (\d+\.\d+)""),"""")
"),"")</f>
        <v/>
      </c>
      <c r="M458" s="3" t="str">
        <f aca="false">IFERROR(__xludf.dummyfunction("if($T458&lt;&gt;"""",REGEXEXTRACT($T458, M$1&amp;""[\w &amp;]*, (\d+\.\d+)""),"""")
"),"")</f>
        <v/>
      </c>
      <c r="N458" s="3" t="str">
        <f aca="false">IFERROR(__xludf.dummyfunction("if($T458&lt;&gt;"""",REGEXEXTRACT(SUBSTITUTE ($T458,N$1&amp;"" CE"",""""), N$1&amp;""[\w &amp;]*, (\d+\.\d+)""),"""")
"),"")</f>
        <v/>
      </c>
      <c r="O458" s="3" t="str">
        <f aca="false">IFERROR(__xludf.dummyfunction("if($T458&lt;&gt;"""",REGEXEXTRACT($T458, O$1&amp;""[\w &amp;]*, (\d+\.\d+)""),"""")
"),"")</f>
        <v/>
      </c>
      <c r="P458" s="2"/>
      <c r="Q458" s="2"/>
      <c r="R458" s="2"/>
      <c r="S458" s="2"/>
      <c r="T458" s="5"/>
    </row>
    <row r="459" customFormat="false" ht="15.75" hidden="false" customHeight="false" outlineLevel="0" collapsed="false">
      <c r="A459" s="4"/>
      <c r="B459" s="2"/>
      <c r="C459" s="2"/>
      <c r="D459" s="2"/>
      <c r="E459" s="2"/>
      <c r="F459" s="3" t="str">
        <f aca="false">IFERROR(__xludf.dummyfunction("if($T459&lt;&gt;"""",REGEXEXTRACT(SUBSTITUTE ($T459,F$1&amp;"" CE"",""""), F$1&amp;""[\w &amp;]*, (\d+\.\d+)""),"""")
"),"")</f>
        <v/>
      </c>
      <c r="G459" s="3" t="str">
        <f aca="false">IFERROR(__xludf.dummyfunction("if($T459&lt;&gt;"""",REGEXEXTRACT($T459, G$1&amp;""[\w &amp;]*, (\d+\.\d+)""),"""")
"),"")</f>
        <v/>
      </c>
      <c r="H459" s="3"/>
      <c r="I459" s="3" t="str">
        <f aca="false">IFERROR(__xludf.dummyfunction("if($T459&lt;&gt;"""",REGEXEXTRACT(SUBSTITUTE ($T459,I$1&amp;"" CE"",""""), I$1&amp;""[\w &amp;]*, (\d+\.\d+)""),"""")
"),"")</f>
        <v/>
      </c>
      <c r="J459" s="3" t="str">
        <f aca="false">IFERROR(__xludf.dummyfunction("if($T459&lt;&gt;"""",REGEXEXTRACT($T459, J$1&amp;""[\w &amp;]*, (\d+\.\d+)""),"""")
"),"")</f>
        <v/>
      </c>
      <c r="K459" s="3"/>
      <c r="L459" s="3" t="str">
        <f aca="false">IFERROR(__xludf.dummyfunction("if($T459&lt;&gt;"""",REGEXEXTRACT(SUBSTITUTE ($T459,L$1&amp;"" CE"",""""), L$1&amp;""[\w &amp;]*, (\d+\.\d+)""),"""")
"),"")</f>
        <v/>
      </c>
      <c r="M459" s="3" t="str">
        <f aca="false">IFERROR(__xludf.dummyfunction("if($T459&lt;&gt;"""",REGEXEXTRACT($T459, M$1&amp;""[\w &amp;]*, (\d+\.\d+)""),"""")
"),"")</f>
        <v/>
      </c>
      <c r="N459" s="3" t="str">
        <f aca="false">IFERROR(__xludf.dummyfunction("if($T459&lt;&gt;"""",REGEXEXTRACT(SUBSTITUTE ($T459,N$1&amp;"" CE"",""""), N$1&amp;""[\w &amp;]*, (\d+\.\d+)""),"""")
"),"")</f>
        <v/>
      </c>
      <c r="O459" s="3" t="str">
        <f aca="false">IFERROR(__xludf.dummyfunction("if($T459&lt;&gt;"""",REGEXEXTRACT($T459, O$1&amp;""[\w &amp;]*, (\d+\.\d+)""),"""")
"),"")</f>
        <v/>
      </c>
      <c r="P459" s="2"/>
      <c r="Q459" s="2"/>
      <c r="R459" s="2"/>
      <c r="S459" s="2"/>
      <c r="T459" s="5"/>
    </row>
    <row r="460" customFormat="false" ht="15.75" hidden="false" customHeight="false" outlineLevel="0" collapsed="false">
      <c r="A460" s="4"/>
      <c r="B460" s="2"/>
      <c r="C460" s="2"/>
      <c r="D460" s="2"/>
      <c r="E460" s="2"/>
      <c r="F460" s="3" t="str">
        <f aca="false">IFERROR(__xludf.dummyfunction("if($T460&lt;&gt;"""",REGEXEXTRACT(SUBSTITUTE ($T460,F$1&amp;"" CE"",""""), F$1&amp;""[\w &amp;]*, (\d+\.\d+)""),"""")
"),"")</f>
        <v/>
      </c>
      <c r="G460" s="3" t="str">
        <f aca="false">IFERROR(__xludf.dummyfunction("if($T460&lt;&gt;"""",REGEXEXTRACT($T460, G$1&amp;""[\w &amp;]*, (\d+\.\d+)""),"""")
"),"")</f>
        <v/>
      </c>
      <c r="H460" s="3"/>
      <c r="I460" s="3" t="str">
        <f aca="false">IFERROR(__xludf.dummyfunction("if($T460&lt;&gt;"""",REGEXEXTRACT(SUBSTITUTE ($T460,I$1&amp;"" CE"",""""), I$1&amp;""[\w &amp;]*, (\d+\.\d+)""),"""")
"),"")</f>
        <v/>
      </c>
      <c r="J460" s="3" t="str">
        <f aca="false">IFERROR(__xludf.dummyfunction("if($T460&lt;&gt;"""",REGEXEXTRACT($T460, J$1&amp;""[\w &amp;]*, (\d+\.\d+)""),"""")
"),"")</f>
        <v/>
      </c>
      <c r="K460" s="3"/>
      <c r="L460" s="3" t="str">
        <f aca="false">IFERROR(__xludf.dummyfunction("if($T460&lt;&gt;"""",REGEXEXTRACT(SUBSTITUTE ($T460,L$1&amp;"" CE"",""""), L$1&amp;""[\w &amp;]*, (\d+\.\d+)""),"""")
"),"")</f>
        <v/>
      </c>
      <c r="M460" s="3" t="str">
        <f aca="false">IFERROR(__xludf.dummyfunction("if($T460&lt;&gt;"""",REGEXEXTRACT($T460, M$1&amp;""[\w &amp;]*, (\d+\.\d+)""),"""")
"),"")</f>
        <v/>
      </c>
      <c r="N460" s="3" t="str">
        <f aca="false">IFERROR(__xludf.dummyfunction("if($T460&lt;&gt;"""",REGEXEXTRACT(SUBSTITUTE ($T460,N$1&amp;"" CE"",""""), N$1&amp;""[\w &amp;]*, (\d+\.\d+)""),"""")
"),"")</f>
        <v/>
      </c>
      <c r="O460" s="3" t="str">
        <f aca="false">IFERROR(__xludf.dummyfunction("if($T460&lt;&gt;"""",REGEXEXTRACT($T460, O$1&amp;""[\w &amp;]*, (\d+\.\d+)""),"""")
"),"")</f>
        <v/>
      </c>
      <c r="P460" s="2"/>
      <c r="Q460" s="2"/>
      <c r="R460" s="2"/>
      <c r="S460" s="2"/>
      <c r="T460" s="5"/>
    </row>
    <row r="461" customFormat="false" ht="15.75" hidden="false" customHeight="false" outlineLevel="0" collapsed="false">
      <c r="A461" s="4"/>
      <c r="B461" s="2"/>
      <c r="C461" s="2"/>
      <c r="D461" s="2"/>
      <c r="E461" s="2"/>
      <c r="F461" s="3" t="str">
        <f aca="false">IFERROR(__xludf.dummyfunction("if($T461&lt;&gt;"""",REGEXEXTRACT(SUBSTITUTE ($T461,F$1&amp;"" CE"",""""), F$1&amp;""[\w &amp;]*, (\d+\.\d+)""),"""")
"),"")</f>
        <v/>
      </c>
      <c r="G461" s="3" t="str">
        <f aca="false">IFERROR(__xludf.dummyfunction("if($T461&lt;&gt;"""",REGEXEXTRACT($T461, G$1&amp;""[\w &amp;]*, (\d+\.\d+)""),"""")
"),"")</f>
        <v/>
      </c>
      <c r="H461" s="3"/>
      <c r="I461" s="3" t="str">
        <f aca="false">IFERROR(__xludf.dummyfunction("if($T461&lt;&gt;"""",REGEXEXTRACT(SUBSTITUTE ($T461,I$1&amp;"" CE"",""""), I$1&amp;""[\w &amp;]*, (\d+\.\d+)""),"""")
"),"")</f>
        <v/>
      </c>
      <c r="J461" s="3" t="str">
        <f aca="false">IFERROR(__xludf.dummyfunction("if($T461&lt;&gt;"""",REGEXEXTRACT($T461, J$1&amp;""[\w &amp;]*, (\d+\.\d+)""),"""")
"),"")</f>
        <v/>
      </c>
      <c r="K461" s="3"/>
      <c r="L461" s="3" t="str">
        <f aca="false">IFERROR(__xludf.dummyfunction("if($T461&lt;&gt;"""",REGEXEXTRACT(SUBSTITUTE ($T461,L$1&amp;"" CE"",""""), L$1&amp;""[\w &amp;]*, (\d+\.\d+)""),"""")
"),"")</f>
        <v/>
      </c>
      <c r="M461" s="3" t="str">
        <f aca="false">IFERROR(__xludf.dummyfunction("if($T461&lt;&gt;"""",REGEXEXTRACT($T461, M$1&amp;""[\w &amp;]*, (\d+\.\d+)""),"""")
"),"")</f>
        <v/>
      </c>
      <c r="N461" s="3" t="str">
        <f aca="false">IFERROR(__xludf.dummyfunction("if($T461&lt;&gt;"""",REGEXEXTRACT(SUBSTITUTE ($T461,N$1&amp;"" CE"",""""), N$1&amp;""[\w &amp;]*, (\d+\.\d+)""),"""")
"),"")</f>
        <v/>
      </c>
      <c r="O461" s="3" t="str">
        <f aca="false">IFERROR(__xludf.dummyfunction("if($T461&lt;&gt;"""",REGEXEXTRACT($T461, O$1&amp;""[\w &amp;]*, (\d+\.\d+)""),"""")
"),"")</f>
        <v/>
      </c>
      <c r="P461" s="2"/>
      <c r="Q461" s="2"/>
      <c r="R461" s="2"/>
      <c r="S461" s="2"/>
      <c r="T461" s="5"/>
    </row>
    <row r="462" customFormat="false" ht="15.75" hidden="false" customHeight="false" outlineLevel="0" collapsed="false">
      <c r="A462" s="4"/>
      <c r="B462" s="2"/>
      <c r="C462" s="2"/>
      <c r="D462" s="2"/>
      <c r="E462" s="2"/>
      <c r="F462" s="3" t="str">
        <f aca="false">IFERROR(__xludf.dummyfunction("if($T462&lt;&gt;"""",REGEXEXTRACT(SUBSTITUTE ($T462,F$1&amp;"" CE"",""""), F$1&amp;""[\w &amp;]*, (\d+\.\d+)""),"""")
"),"")</f>
        <v/>
      </c>
      <c r="G462" s="3" t="str">
        <f aca="false">IFERROR(__xludf.dummyfunction("if($T462&lt;&gt;"""",REGEXEXTRACT($T462, G$1&amp;""[\w &amp;]*, (\d+\.\d+)""),"""")
"),"")</f>
        <v/>
      </c>
      <c r="H462" s="3"/>
      <c r="I462" s="3" t="str">
        <f aca="false">IFERROR(__xludf.dummyfunction("if($T462&lt;&gt;"""",REGEXEXTRACT(SUBSTITUTE ($T462,I$1&amp;"" CE"",""""), I$1&amp;""[\w &amp;]*, (\d+\.\d+)""),"""")
"),"")</f>
        <v/>
      </c>
      <c r="J462" s="3" t="str">
        <f aca="false">IFERROR(__xludf.dummyfunction("if($T462&lt;&gt;"""",REGEXEXTRACT($T462, J$1&amp;""[\w &amp;]*, (\d+\.\d+)""),"""")
"),"")</f>
        <v/>
      </c>
      <c r="K462" s="3"/>
      <c r="L462" s="3" t="str">
        <f aca="false">IFERROR(__xludf.dummyfunction("if($T462&lt;&gt;"""",REGEXEXTRACT(SUBSTITUTE ($T462,L$1&amp;"" CE"",""""), L$1&amp;""[\w &amp;]*, (\d+\.\d+)""),"""")
"),"")</f>
        <v/>
      </c>
      <c r="M462" s="3" t="str">
        <f aca="false">IFERROR(__xludf.dummyfunction("if($T462&lt;&gt;"""",REGEXEXTRACT($T462, M$1&amp;""[\w &amp;]*, (\d+\.\d+)""),"""")
"),"")</f>
        <v/>
      </c>
      <c r="N462" s="3" t="str">
        <f aca="false">IFERROR(__xludf.dummyfunction("if($T462&lt;&gt;"""",REGEXEXTRACT(SUBSTITUTE ($T462,N$1&amp;"" CE"",""""), N$1&amp;""[\w &amp;]*, (\d+\.\d+)""),"""")
"),"")</f>
        <v/>
      </c>
      <c r="O462" s="3" t="str">
        <f aca="false">IFERROR(__xludf.dummyfunction("if($T462&lt;&gt;"""",REGEXEXTRACT($T462, O$1&amp;""[\w &amp;]*, (\d+\.\d+)""),"""")
"),"")</f>
        <v/>
      </c>
      <c r="P462" s="2"/>
      <c r="Q462" s="2"/>
      <c r="R462" s="2"/>
      <c r="S462" s="2"/>
      <c r="T462" s="5"/>
    </row>
    <row r="463" customFormat="false" ht="15.75" hidden="false" customHeight="false" outlineLevel="0" collapsed="false">
      <c r="A463" s="4"/>
      <c r="B463" s="2"/>
      <c r="C463" s="2"/>
      <c r="D463" s="2"/>
      <c r="E463" s="2"/>
      <c r="F463" s="3" t="str">
        <f aca="false">IFERROR(__xludf.dummyfunction("if($T463&lt;&gt;"""",REGEXEXTRACT(SUBSTITUTE ($T463,F$1&amp;"" CE"",""""), F$1&amp;""[\w &amp;]*, (\d+\.\d+)""),"""")
"),"")</f>
        <v/>
      </c>
      <c r="G463" s="3" t="str">
        <f aca="false">IFERROR(__xludf.dummyfunction("if($T463&lt;&gt;"""",REGEXEXTRACT($T463, G$1&amp;""[\w &amp;]*, (\d+\.\d+)""),"""")
"),"")</f>
        <v/>
      </c>
      <c r="H463" s="3"/>
      <c r="I463" s="3" t="str">
        <f aca="false">IFERROR(__xludf.dummyfunction("if($T463&lt;&gt;"""",REGEXEXTRACT(SUBSTITUTE ($T463,I$1&amp;"" CE"",""""), I$1&amp;""[\w &amp;]*, (\d+\.\d+)""),"""")
"),"")</f>
        <v/>
      </c>
      <c r="J463" s="3" t="str">
        <f aca="false">IFERROR(__xludf.dummyfunction("if($T463&lt;&gt;"""",REGEXEXTRACT($T463, J$1&amp;""[\w &amp;]*, (\d+\.\d+)""),"""")
"),"")</f>
        <v/>
      </c>
      <c r="K463" s="3"/>
      <c r="L463" s="3" t="str">
        <f aca="false">IFERROR(__xludf.dummyfunction("if($T463&lt;&gt;"""",REGEXEXTRACT(SUBSTITUTE ($T463,L$1&amp;"" CE"",""""), L$1&amp;""[\w &amp;]*, (\d+\.\d+)""),"""")
"),"")</f>
        <v/>
      </c>
      <c r="M463" s="3" t="str">
        <f aca="false">IFERROR(__xludf.dummyfunction("if($T463&lt;&gt;"""",REGEXEXTRACT($T463, M$1&amp;""[\w &amp;]*, (\d+\.\d+)""),"""")
"),"")</f>
        <v/>
      </c>
      <c r="N463" s="3" t="str">
        <f aca="false">IFERROR(__xludf.dummyfunction("if($T463&lt;&gt;"""",REGEXEXTRACT(SUBSTITUTE ($T463,N$1&amp;"" CE"",""""), N$1&amp;""[\w &amp;]*, (\d+\.\d+)""),"""")
"),"")</f>
        <v/>
      </c>
      <c r="O463" s="3" t="str">
        <f aca="false">IFERROR(__xludf.dummyfunction("if($T463&lt;&gt;"""",REGEXEXTRACT($T463, O$1&amp;""[\w &amp;]*, (\d+\.\d+)""),"""")
"),"")</f>
        <v/>
      </c>
      <c r="P463" s="2"/>
      <c r="Q463" s="2"/>
      <c r="R463" s="2"/>
      <c r="S463" s="2"/>
      <c r="T463" s="5"/>
    </row>
    <row r="464" customFormat="false" ht="15.75" hidden="false" customHeight="false" outlineLevel="0" collapsed="false">
      <c r="A464" s="4"/>
      <c r="B464" s="2"/>
      <c r="C464" s="2"/>
      <c r="D464" s="2"/>
      <c r="E464" s="2"/>
      <c r="F464" s="3" t="str">
        <f aca="false">IFERROR(__xludf.dummyfunction("if($T464&lt;&gt;"""",REGEXEXTRACT(SUBSTITUTE ($T464,F$1&amp;"" CE"",""""), F$1&amp;""[\w &amp;]*, (\d+\.\d+)""),"""")
"),"")</f>
        <v/>
      </c>
      <c r="G464" s="3" t="str">
        <f aca="false">IFERROR(__xludf.dummyfunction("if($T464&lt;&gt;"""",REGEXEXTRACT($T464, G$1&amp;""[\w &amp;]*, (\d+\.\d+)""),"""")
"),"")</f>
        <v/>
      </c>
      <c r="H464" s="3"/>
      <c r="I464" s="3" t="str">
        <f aca="false">IFERROR(__xludf.dummyfunction("if($T464&lt;&gt;"""",REGEXEXTRACT(SUBSTITUTE ($T464,I$1&amp;"" CE"",""""), I$1&amp;""[\w &amp;]*, (\d+\.\d+)""),"""")
"),"")</f>
        <v/>
      </c>
      <c r="J464" s="3" t="str">
        <f aca="false">IFERROR(__xludf.dummyfunction("if($T464&lt;&gt;"""",REGEXEXTRACT($T464, J$1&amp;""[\w &amp;]*, (\d+\.\d+)""),"""")
"),"")</f>
        <v/>
      </c>
      <c r="K464" s="3"/>
      <c r="L464" s="3" t="str">
        <f aca="false">IFERROR(__xludf.dummyfunction("if($T464&lt;&gt;"""",REGEXEXTRACT(SUBSTITUTE ($T464,L$1&amp;"" CE"",""""), L$1&amp;""[\w &amp;]*, (\d+\.\d+)""),"""")
"),"")</f>
        <v/>
      </c>
      <c r="M464" s="3" t="str">
        <f aca="false">IFERROR(__xludf.dummyfunction("if($T464&lt;&gt;"""",REGEXEXTRACT($T464, M$1&amp;""[\w &amp;]*, (\d+\.\d+)""),"""")
"),"")</f>
        <v/>
      </c>
      <c r="N464" s="3" t="str">
        <f aca="false">IFERROR(__xludf.dummyfunction("if($T464&lt;&gt;"""",REGEXEXTRACT(SUBSTITUTE ($T464,N$1&amp;"" CE"",""""), N$1&amp;""[\w &amp;]*, (\d+\.\d+)""),"""")
"),"")</f>
        <v/>
      </c>
      <c r="O464" s="3" t="str">
        <f aca="false">IFERROR(__xludf.dummyfunction("if($T464&lt;&gt;"""",REGEXEXTRACT($T464, O$1&amp;""[\w &amp;]*, (\d+\.\d+)""),"""")
"),"")</f>
        <v/>
      </c>
      <c r="P464" s="2"/>
      <c r="Q464" s="2"/>
      <c r="R464" s="2"/>
      <c r="S464" s="2"/>
      <c r="T464" s="5"/>
    </row>
    <row r="465" customFormat="false" ht="15.75" hidden="false" customHeight="false" outlineLevel="0" collapsed="false">
      <c r="A465" s="4"/>
      <c r="B465" s="2"/>
      <c r="C465" s="2"/>
      <c r="D465" s="2"/>
      <c r="E465" s="2"/>
      <c r="F465" s="3" t="str">
        <f aca="false">IFERROR(__xludf.dummyfunction("if($T465&lt;&gt;"""",REGEXEXTRACT(SUBSTITUTE ($T465,F$1&amp;"" CE"",""""), F$1&amp;""[\w &amp;]*, (\d+\.\d+)""),"""")
"),"")</f>
        <v/>
      </c>
      <c r="G465" s="3" t="str">
        <f aca="false">IFERROR(__xludf.dummyfunction("if($T465&lt;&gt;"""",REGEXEXTRACT($T465, G$1&amp;""[\w &amp;]*, (\d+\.\d+)""),"""")
"),"")</f>
        <v/>
      </c>
      <c r="H465" s="3"/>
      <c r="I465" s="3" t="str">
        <f aca="false">IFERROR(__xludf.dummyfunction("if($T465&lt;&gt;"""",REGEXEXTRACT(SUBSTITUTE ($T465,I$1&amp;"" CE"",""""), I$1&amp;""[\w &amp;]*, (\d+\.\d+)""),"""")
"),"")</f>
        <v/>
      </c>
      <c r="J465" s="3" t="str">
        <f aca="false">IFERROR(__xludf.dummyfunction("if($T465&lt;&gt;"""",REGEXEXTRACT($T465, J$1&amp;""[\w &amp;]*, (\d+\.\d+)""),"""")
"),"")</f>
        <v/>
      </c>
      <c r="K465" s="3"/>
      <c r="L465" s="3" t="str">
        <f aca="false">IFERROR(__xludf.dummyfunction("if($T465&lt;&gt;"""",REGEXEXTRACT(SUBSTITUTE ($T465,L$1&amp;"" CE"",""""), L$1&amp;""[\w &amp;]*, (\d+\.\d+)""),"""")
"),"")</f>
        <v/>
      </c>
      <c r="M465" s="3" t="str">
        <f aca="false">IFERROR(__xludf.dummyfunction("if($T465&lt;&gt;"""",REGEXEXTRACT($T465, M$1&amp;""[\w &amp;]*, (\d+\.\d+)""),"""")
"),"")</f>
        <v/>
      </c>
      <c r="N465" s="3" t="str">
        <f aca="false">IFERROR(__xludf.dummyfunction("if($T465&lt;&gt;"""",REGEXEXTRACT(SUBSTITUTE ($T465,N$1&amp;"" CE"",""""), N$1&amp;""[\w &amp;]*, (\d+\.\d+)""),"""")
"),"")</f>
        <v/>
      </c>
      <c r="O465" s="3" t="str">
        <f aca="false">IFERROR(__xludf.dummyfunction("if($T465&lt;&gt;"""",REGEXEXTRACT($T465, O$1&amp;""[\w &amp;]*, (\d+\.\d+)""),"""")
"),"")</f>
        <v/>
      </c>
      <c r="P465" s="2"/>
      <c r="Q465" s="2"/>
      <c r="R465" s="2"/>
      <c r="S465" s="2"/>
      <c r="T465" s="5"/>
    </row>
    <row r="466" customFormat="false" ht="15.75" hidden="false" customHeight="false" outlineLevel="0" collapsed="false">
      <c r="A466" s="4"/>
      <c r="B466" s="2"/>
      <c r="C466" s="2"/>
      <c r="D466" s="2"/>
      <c r="E466" s="2"/>
      <c r="F466" s="3" t="str">
        <f aca="false">IFERROR(__xludf.dummyfunction("if($T466&lt;&gt;"""",REGEXEXTRACT(SUBSTITUTE ($T466,F$1&amp;"" CE"",""""), F$1&amp;""[\w &amp;]*, (\d+\.\d+)""),"""")
"),"")</f>
        <v/>
      </c>
      <c r="G466" s="3" t="str">
        <f aca="false">IFERROR(__xludf.dummyfunction("if($T466&lt;&gt;"""",REGEXEXTRACT($T466, G$1&amp;""[\w &amp;]*, (\d+\.\d+)""),"""")
"),"")</f>
        <v/>
      </c>
      <c r="H466" s="3"/>
      <c r="I466" s="3" t="str">
        <f aca="false">IFERROR(__xludf.dummyfunction("if($T466&lt;&gt;"""",REGEXEXTRACT(SUBSTITUTE ($T466,I$1&amp;"" CE"",""""), I$1&amp;""[\w &amp;]*, (\d+\.\d+)""),"""")
"),"")</f>
        <v/>
      </c>
      <c r="J466" s="3" t="str">
        <f aca="false">IFERROR(__xludf.dummyfunction("if($T466&lt;&gt;"""",REGEXEXTRACT($T466, J$1&amp;""[\w &amp;]*, (\d+\.\d+)""),"""")
"),"")</f>
        <v/>
      </c>
      <c r="K466" s="3"/>
      <c r="L466" s="3" t="str">
        <f aca="false">IFERROR(__xludf.dummyfunction("if($T466&lt;&gt;"""",REGEXEXTRACT(SUBSTITUTE ($T466,L$1&amp;"" CE"",""""), L$1&amp;""[\w &amp;]*, (\d+\.\d+)""),"""")
"),"")</f>
        <v/>
      </c>
      <c r="M466" s="3" t="str">
        <f aca="false">IFERROR(__xludf.dummyfunction("if($T466&lt;&gt;"""",REGEXEXTRACT($T466, M$1&amp;""[\w &amp;]*, (\d+\.\d+)""),"""")
"),"")</f>
        <v/>
      </c>
      <c r="N466" s="3" t="str">
        <f aca="false">IFERROR(__xludf.dummyfunction("if($T466&lt;&gt;"""",REGEXEXTRACT(SUBSTITUTE ($T466,N$1&amp;"" CE"",""""), N$1&amp;""[\w &amp;]*, (\d+\.\d+)""),"""")
"),"")</f>
        <v/>
      </c>
      <c r="O466" s="3" t="str">
        <f aca="false">IFERROR(__xludf.dummyfunction("if($T466&lt;&gt;"""",REGEXEXTRACT($T466, O$1&amp;""[\w &amp;]*, (\d+\.\d+)""),"""")
"),"")</f>
        <v/>
      </c>
      <c r="P466" s="2"/>
      <c r="Q466" s="2"/>
      <c r="R466" s="2"/>
      <c r="S466" s="2"/>
      <c r="T466" s="5"/>
    </row>
    <row r="467" customFormat="false" ht="15.75" hidden="false" customHeight="false" outlineLevel="0" collapsed="false">
      <c r="A467" s="4"/>
      <c r="B467" s="2"/>
      <c r="C467" s="2"/>
      <c r="D467" s="2"/>
      <c r="E467" s="2"/>
      <c r="F467" s="3" t="str">
        <f aca="false">IFERROR(__xludf.dummyfunction("if($T467&lt;&gt;"""",REGEXEXTRACT(SUBSTITUTE ($T467,F$1&amp;"" CE"",""""), F$1&amp;""[\w &amp;]*, (\d+\.\d+)""),"""")
"),"")</f>
        <v/>
      </c>
      <c r="G467" s="3" t="str">
        <f aca="false">IFERROR(__xludf.dummyfunction("if($T467&lt;&gt;"""",REGEXEXTRACT($T467, G$1&amp;""[\w &amp;]*, (\d+\.\d+)""),"""")
"),"")</f>
        <v/>
      </c>
      <c r="H467" s="3"/>
      <c r="I467" s="3" t="str">
        <f aca="false">IFERROR(__xludf.dummyfunction("if($T467&lt;&gt;"""",REGEXEXTRACT(SUBSTITUTE ($T467,I$1&amp;"" CE"",""""), I$1&amp;""[\w &amp;]*, (\d+\.\d+)""),"""")
"),"")</f>
        <v/>
      </c>
      <c r="J467" s="3" t="str">
        <f aca="false">IFERROR(__xludf.dummyfunction("if($T467&lt;&gt;"""",REGEXEXTRACT($T467, J$1&amp;""[\w &amp;]*, (\d+\.\d+)""),"""")
"),"")</f>
        <v/>
      </c>
      <c r="K467" s="3"/>
      <c r="L467" s="3" t="str">
        <f aca="false">IFERROR(__xludf.dummyfunction("if($T467&lt;&gt;"""",REGEXEXTRACT(SUBSTITUTE ($T467,L$1&amp;"" CE"",""""), L$1&amp;""[\w &amp;]*, (\d+\.\d+)""),"""")
"),"")</f>
        <v/>
      </c>
      <c r="M467" s="3" t="str">
        <f aca="false">IFERROR(__xludf.dummyfunction("if($T467&lt;&gt;"""",REGEXEXTRACT($T467, M$1&amp;""[\w &amp;]*, (\d+\.\d+)""),"""")
"),"")</f>
        <v/>
      </c>
      <c r="N467" s="3" t="str">
        <f aca="false">IFERROR(__xludf.dummyfunction("if($T467&lt;&gt;"""",REGEXEXTRACT(SUBSTITUTE ($T467,N$1&amp;"" CE"",""""), N$1&amp;""[\w &amp;]*, (\d+\.\d+)""),"""")
"),"")</f>
        <v/>
      </c>
      <c r="O467" s="3" t="str">
        <f aca="false">IFERROR(__xludf.dummyfunction("if($T467&lt;&gt;"""",REGEXEXTRACT($T467, O$1&amp;""[\w &amp;]*, (\d+\.\d+)""),"""")
"),"")</f>
        <v/>
      </c>
      <c r="P467" s="2"/>
      <c r="Q467" s="2"/>
      <c r="R467" s="2"/>
      <c r="S467" s="2"/>
      <c r="T467" s="5"/>
    </row>
    <row r="468" customFormat="false" ht="15.75" hidden="false" customHeight="false" outlineLevel="0" collapsed="false">
      <c r="A468" s="4"/>
      <c r="B468" s="2"/>
      <c r="C468" s="2"/>
      <c r="D468" s="2"/>
      <c r="E468" s="2"/>
      <c r="F468" s="3" t="str">
        <f aca="false">IFERROR(__xludf.dummyfunction("if($T468&lt;&gt;"""",REGEXEXTRACT(SUBSTITUTE ($T468,F$1&amp;"" CE"",""""), F$1&amp;""[\w &amp;]*, (\d+\.\d+)""),"""")
"),"")</f>
        <v/>
      </c>
      <c r="G468" s="3" t="str">
        <f aca="false">IFERROR(__xludf.dummyfunction("if($T468&lt;&gt;"""",REGEXEXTRACT($T468, G$1&amp;""[\w &amp;]*, (\d+\.\d+)""),"""")
"),"")</f>
        <v/>
      </c>
      <c r="H468" s="3"/>
      <c r="I468" s="3" t="str">
        <f aca="false">IFERROR(__xludf.dummyfunction("if($T468&lt;&gt;"""",REGEXEXTRACT(SUBSTITUTE ($T468,I$1&amp;"" CE"",""""), I$1&amp;""[\w &amp;]*, (\d+\.\d+)""),"""")
"),"")</f>
        <v/>
      </c>
      <c r="J468" s="3" t="str">
        <f aca="false">IFERROR(__xludf.dummyfunction("if($T468&lt;&gt;"""",REGEXEXTRACT($T468, J$1&amp;""[\w &amp;]*, (\d+\.\d+)""),"""")
"),"")</f>
        <v/>
      </c>
      <c r="K468" s="3"/>
      <c r="L468" s="3" t="str">
        <f aca="false">IFERROR(__xludf.dummyfunction("if($T468&lt;&gt;"""",REGEXEXTRACT(SUBSTITUTE ($T468,L$1&amp;"" CE"",""""), L$1&amp;""[\w &amp;]*, (\d+\.\d+)""),"""")
"),"")</f>
        <v/>
      </c>
      <c r="M468" s="3" t="str">
        <f aca="false">IFERROR(__xludf.dummyfunction("if($T468&lt;&gt;"""",REGEXEXTRACT($T468, M$1&amp;""[\w &amp;]*, (\d+\.\d+)""),"""")
"),"")</f>
        <v/>
      </c>
      <c r="N468" s="3" t="str">
        <f aca="false">IFERROR(__xludf.dummyfunction("if($T468&lt;&gt;"""",REGEXEXTRACT(SUBSTITUTE ($T468,N$1&amp;"" CE"",""""), N$1&amp;""[\w &amp;]*, (\d+\.\d+)""),"""")
"),"")</f>
        <v/>
      </c>
      <c r="O468" s="3" t="str">
        <f aca="false">IFERROR(__xludf.dummyfunction("if($T468&lt;&gt;"""",REGEXEXTRACT($T468, O$1&amp;""[\w &amp;]*, (\d+\.\d+)""),"""")
"),"")</f>
        <v/>
      </c>
      <c r="P468" s="2"/>
      <c r="Q468" s="2"/>
      <c r="R468" s="2"/>
      <c r="S468" s="2"/>
      <c r="T468" s="5"/>
    </row>
    <row r="469" customFormat="false" ht="15.75" hidden="false" customHeight="false" outlineLevel="0" collapsed="false">
      <c r="A469" s="4"/>
      <c r="B469" s="2"/>
      <c r="C469" s="2"/>
      <c r="D469" s="2"/>
      <c r="E469" s="2"/>
      <c r="F469" s="3" t="str">
        <f aca="false">IFERROR(__xludf.dummyfunction("if($T469&lt;&gt;"""",REGEXEXTRACT(SUBSTITUTE ($T469,F$1&amp;"" CE"",""""), F$1&amp;""[\w &amp;]*, (\d+\.\d+)""),"""")
"),"")</f>
        <v/>
      </c>
      <c r="G469" s="3" t="str">
        <f aca="false">IFERROR(__xludf.dummyfunction("if($T469&lt;&gt;"""",REGEXEXTRACT($T469, G$1&amp;""[\w &amp;]*, (\d+\.\d+)""),"""")
"),"")</f>
        <v/>
      </c>
      <c r="H469" s="3"/>
      <c r="I469" s="3" t="str">
        <f aca="false">IFERROR(__xludf.dummyfunction("if($T469&lt;&gt;"""",REGEXEXTRACT(SUBSTITUTE ($T469,I$1&amp;"" CE"",""""), I$1&amp;""[\w &amp;]*, (\d+\.\d+)""),"""")
"),"")</f>
        <v/>
      </c>
      <c r="J469" s="3" t="str">
        <f aca="false">IFERROR(__xludf.dummyfunction("if($T469&lt;&gt;"""",REGEXEXTRACT($T469, J$1&amp;""[\w &amp;]*, (\d+\.\d+)""),"""")
"),"")</f>
        <v/>
      </c>
      <c r="K469" s="3"/>
      <c r="L469" s="3" t="str">
        <f aca="false">IFERROR(__xludf.dummyfunction("if($T469&lt;&gt;"""",REGEXEXTRACT(SUBSTITUTE ($T469,L$1&amp;"" CE"",""""), L$1&amp;""[\w &amp;]*, (\d+\.\d+)""),"""")
"),"")</f>
        <v/>
      </c>
      <c r="M469" s="3" t="str">
        <f aca="false">IFERROR(__xludf.dummyfunction("if($T469&lt;&gt;"""",REGEXEXTRACT($T469, M$1&amp;""[\w &amp;]*, (\d+\.\d+)""),"""")
"),"")</f>
        <v/>
      </c>
      <c r="N469" s="3" t="str">
        <f aca="false">IFERROR(__xludf.dummyfunction("if($T469&lt;&gt;"""",REGEXEXTRACT(SUBSTITUTE ($T469,N$1&amp;"" CE"",""""), N$1&amp;""[\w &amp;]*, (\d+\.\d+)""),"""")
"),"")</f>
        <v/>
      </c>
      <c r="O469" s="3" t="str">
        <f aca="false">IFERROR(__xludf.dummyfunction("if($T469&lt;&gt;"""",REGEXEXTRACT($T469, O$1&amp;""[\w &amp;]*, (\d+\.\d+)""),"""")
"),"")</f>
        <v/>
      </c>
      <c r="P469" s="2"/>
      <c r="Q469" s="2"/>
      <c r="R469" s="2"/>
      <c r="S469" s="2"/>
      <c r="T469" s="5"/>
    </row>
    <row r="470" customFormat="false" ht="15.75" hidden="false" customHeight="false" outlineLevel="0" collapsed="false">
      <c r="A470" s="4"/>
      <c r="B470" s="2"/>
      <c r="C470" s="2"/>
      <c r="D470" s="2"/>
      <c r="E470" s="2"/>
      <c r="F470" s="3" t="str">
        <f aca="false">IFERROR(__xludf.dummyfunction("if($T470&lt;&gt;"""",REGEXEXTRACT(SUBSTITUTE ($T470,F$1&amp;"" CE"",""""), F$1&amp;""[\w &amp;]*, (\d+\.\d+)""),"""")
"),"")</f>
        <v/>
      </c>
      <c r="G470" s="3" t="str">
        <f aca="false">IFERROR(__xludf.dummyfunction("if($T470&lt;&gt;"""",REGEXEXTRACT($T470, G$1&amp;""[\w &amp;]*, (\d+\.\d+)""),"""")
"),"")</f>
        <v/>
      </c>
      <c r="H470" s="3"/>
      <c r="I470" s="3" t="str">
        <f aca="false">IFERROR(__xludf.dummyfunction("if($T470&lt;&gt;"""",REGEXEXTRACT(SUBSTITUTE ($T470,I$1&amp;"" CE"",""""), I$1&amp;""[\w &amp;]*, (\d+\.\d+)""),"""")
"),"")</f>
        <v/>
      </c>
      <c r="J470" s="3" t="str">
        <f aca="false">IFERROR(__xludf.dummyfunction("if($T470&lt;&gt;"""",REGEXEXTRACT($T470, J$1&amp;""[\w &amp;]*, (\d+\.\d+)""),"""")
"),"")</f>
        <v/>
      </c>
      <c r="K470" s="3"/>
      <c r="L470" s="3" t="str">
        <f aca="false">IFERROR(__xludf.dummyfunction("if($T470&lt;&gt;"""",REGEXEXTRACT(SUBSTITUTE ($T470,L$1&amp;"" CE"",""""), L$1&amp;""[\w &amp;]*, (\d+\.\d+)""),"""")
"),"")</f>
        <v/>
      </c>
      <c r="M470" s="3" t="str">
        <f aca="false">IFERROR(__xludf.dummyfunction("if($T470&lt;&gt;"""",REGEXEXTRACT($T470, M$1&amp;""[\w &amp;]*, (\d+\.\d+)""),"""")
"),"")</f>
        <v/>
      </c>
      <c r="N470" s="3" t="str">
        <f aca="false">IFERROR(__xludf.dummyfunction("if($T470&lt;&gt;"""",REGEXEXTRACT(SUBSTITUTE ($T470,N$1&amp;"" CE"",""""), N$1&amp;""[\w &amp;]*, (\d+\.\d+)""),"""")
"),"")</f>
        <v/>
      </c>
      <c r="O470" s="3" t="str">
        <f aca="false">IFERROR(__xludf.dummyfunction("if($T470&lt;&gt;"""",REGEXEXTRACT($T470, O$1&amp;""[\w &amp;]*, (\d+\.\d+)""),"""")
"),"")</f>
        <v/>
      </c>
      <c r="P470" s="2"/>
      <c r="Q470" s="2"/>
      <c r="R470" s="2"/>
      <c r="S470" s="2"/>
      <c r="T470" s="5"/>
    </row>
    <row r="471" customFormat="false" ht="15.75" hidden="false" customHeight="false" outlineLevel="0" collapsed="false">
      <c r="A471" s="4"/>
      <c r="B471" s="2"/>
      <c r="C471" s="2"/>
      <c r="D471" s="2"/>
      <c r="E471" s="2"/>
      <c r="F471" s="3" t="str">
        <f aca="false">IFERROR(__xludf.dummyfunction("if($T471&lt;&gt;"""",REGEXEXTRACT(SUBSTITUTE ($T471,F$1&amp;"" CE"",""""), F$1&amp;""[\w &amp;]*, (\d+\.\d+)""),"""")
"),"")</f>
        <v/>
      </c>
      <c r="G471" s="3" t="str">
        <f aca="false">IFERROR(__xludf.dummyfunction("if($T471&lt;&gt;"""",REGEXEXTRACT($T471, G$1&amp;""[\w &amp;]*, (\d+\.\d+)""),"""")
"),"")</f>
        <v/>
      </c>
      <c r="H471" s="3"/>
      <c r="I471" s="3" t="str">
        <f aca="false">IFERROR(__xludf.dummyfunction("if($T471&lt;&gt;"""",REGEXEXTRACT(SUBSTITUTE ($T471,I$1&amp;"" CE"",""""), I$1&amp;""[\w &amp;]*, (\d+\.\d+)""),"""")
"),"")</f>
        <v/>
      </c>
      <c r="J471" s="3" t="str">
        <f aca="false">IFERROR(__xludf.dummyfunction("if($T471&lt;&gt;"""",REGEXEXTRACT($T471, J$1&amp;""[\w &amp;]*, (\d+\.\d+)""),"""")
"),"")</f>
        <v/>
      </c>
      <c r="K471" s="3"/>
      <c r="L471" s="3" t="str">
        <f aca="false">IFERROR(__xludf.dummyfunction("if($T471&lt;&gt;"""",REGEXEXTRACT(SUBSTITUTE ($T471,L$1&amp;"" CE"",""""), L$1&amp;""[\w &amp;]*, (\d+\.\d+)""),"""")
"),"")</f>
        <v/>
      </c>
      <c r="M471" s="3" t="str">
        <f aca="false">IFERROR(__xludf.dummyfunction("if($T471&lt;&gt;"""",REGEXEXTRACT($T471, M$1&amp;""[\w &amp;]*, (\d+\.\d+)""),"""")
"),"")</f>
        <v/>
      </c>
      <c r="N471" s="3" t="str">
        <f aca="false">IFERROR(__xludf.dummyfunction("if($T471&lt;&gt;"""",REGEXEXTRACT(SUBSTITUTE ($T471,N$1&amp;"" CE"",""""), N$1&amp;""[\w &amp;]*, (\d+\.\d+)""),"""")
"),"")</f>
        <v/>
      </c>
      <c r="O471" s="3" t="str">
        <f aca="false">IFERROR(__xludf.dummyfunction("if($T471&lt;&gt;"""",REGEXEXTRACT($T471, O$1&amp;""[\w &amp;]*, (\d+\.\d+)""),"""")
"),"")</f>
        <v/>
      </c>
      <c r="P471" s="2"/>
      <c r="Q471" s="2"/>
      <c r="R471" s="2"/>
      <c r="S471" s="2"/>
      <c r="T471" s="5"/>
    </row>
    <row r="472" customFormat="false" ht="15.75" hidden="false" customHeight="false" outlineLevel="0" collapsed="false">
      <c r="A472" s="4"/>
      <c r="B472" s="2"/>
      <c r="C472" s="2"/>
      <c r="D472" s="2"/>
      <c r="E472" s="2"/>
      <c r="F472" s="3" t="str">
        <f aca="false">IFERROR(__xludf.dummyfunction("if($T472&lt;&gt;"""",REGEXEXTRACT(SUBSTITUTE ($T472,F$1&amp;"" CE"",""""), F$1&amp;""[\w &amp;]*, (\d+\.\d+)""),"""")
"),"")</f>
        <v/>
      </c>
      <c r="G472" s="3" t="str">
        <f aca="false">IFERROR(__xludf.dummyfunction("if($T472&lt;&gt;"""",REGEXEXTRACT($T472, G$1&amp;""[\w &amp;]*, (\d+\.\d+)""),"""")
"),"")</f>
        <v/>
      </c>
      <c r="H472" s="3"/>
      <c r="I472" s="3" t="str">
        <f aca="false">IFERROR(__xludf.dummyfunction("if($T472&lt;&gt;"""",REGEXEXTRACT(SUBSTITUTE ($T472,I$1&amp;"" CE"",""""), I$1&amp;""[\w &amp;]*, (\d+\.\d+)""),"""")
"),"")</f>
        <v/>
      </c>
      <c r="J472" s="3" t="str">
        <f aca="false">IFERROR(__xludf.dummyfunction("if($T472&lt;&gt;"""",REGEXEXTRACT($T472, J$1&amp;""[\w &amp;]*, (\d+\.\d+)""),"""")
"),"")</f>
        <v/>
      </c>
      <c r="K472" s="3"/>
      <c r="L472" s="3" t="str">
        <f aca="false">IFERROR(__xludf.dummyfunction("if($T472&lt;&gt;"""",REGEXEXTRACT(SUBSTITUTE ($T472,L$1&amp;"" CE"",""""), L$1&amp;""[\w &amp;]*, (\d+\.\d+)""),"""")
"),"")</f>
        <v/>
      </c>
      <c r="M472" s="3" t="str">
        <f aca="false">IFERROR(__xludf.dummyfunction("if($T472&lt;&gt;"""",REGEXEXTRACT($T472, M$1&amp;""[\w &amp;]*, (\d+\.\d+)""),"""")
"),"")</f>
        <v/>
      </c>
      <c r="N472" s="3" t="str">
        <f aca="false">IFERROR(__xludf.dummyfunction("if($T472&lt;&gt;"""",REGEXEXTRACT(SUBSTITUTE ($T472,N$1&amp;"" CE"",""""), N$1&amp;""[\w &amp;]*, (\d+\.\d+)""),"""")
"),"")</f>
        <v/>
      </c>
      <c r="O472" s="3" t="str">
        <f aca="false">IFERROR(__xludf.dummyfunction("if($T472&lt;&gt;"""",REGEXEXTRACT($T472, O$1&amp;""[\w &amp;]*, (\d+\.\d+)""),"""")
"),"")</f>
        <v/>
      </c>
      <c r="P472" s="2"/>
      <c r="Q472" s="2"/>
      <c r="R472" s="2"/>
      <c r="S472" s="2"/>
      <c r="T472" s="5"/>
    </row>
    <row r="473" customFormat="false" ht="15.75" hidden="false" customHeight="false" outlineLevel="0" collapsed="false">
      <c r="A473" s="4"/>
      <c r="B473" s="2"/>
      <c r="C473" s="2"/>
      <c r="D473" s="2"/>
      <c r="E473" s="2"/>
      <c r="F473" s="3" t="str">
        <f aca="false">IFERROR(__xludf.dummyfunction("if($T473&lt;&gt;"""",REGEXEXTRACT(SUBSTITUTE ($T473,F$1&amp;"" CE"",""""), F$1&amp;""[\w &amp;]*, (\d+\.\d+)""),"""")
"),"")</f>
        <v/>
      </c>
      <c r="G473" s="3" t="str">
        <f aca="false">IFERROR(__xludf.dummyfunction("if($T473&lt;&gt;"""",REGEXEXTRACT($T473, G$1&amp;""[\w &amp;]*, (\d+\.\d+)""),"""")
"),"")</f>
        <v/>
      </c>
      <c r="H473" s="3"/>
      <c r="I473" s="3" t="str">
        <f aca="false">IFERROR(__xludf.dummyfunction("if($T473&lt;&gt;"""",REGEXEXTRACT(SUBSTITUTE ($T473,I$1&amp;"" CE"",""""), I$1&amp;""[\w &amp;]*, (\d+\.\d+)""),"""")
"),"")</f>
        <v/>
      </c>
      <c r="J473" s="3" t="str">
        <f aca="false">IFERROR(__xludf.dummyfunction("if($T473&lt;&gt;"""",REGEXEXTRACT($T473, J$1&amp;""[\w &amp;]*, (\d+\.\d+)""),"""")
"),"")</f>
        <v/>
      </c>
      <c r="K473" s="3"/>
      <c r="L473" s="3" t="str">
        <f aca="false">IFERROR(__xludf.dummyfunction("if($T473&lt;&gt;"""",REGEXEXTRACT(SUBSTITUTE ($T473,L$1&amp;"" CE"",""""), L$1&amp;""[\w &amp;]*, (\d+\.\d+)""),"""")
"),"")</f>
        <v/>
      </c>
      <c r="M473" s="3" t="str">
        <f aca="false">IFERROR(__xludf.dummyfunction("if($T473&lt;&gt;"""",REGEXEXTRACT($T473, M$1&amp;""[\w &amp;]*, (\d+\.\d+)""),"""")
"),"")</f>
        <v/>
      </c>
      <c r="N473" s="3" t="str">
        <f aca="false">IFERROR(__xludf.dummyfunction("if($T473&lt;&gt;"""",REGEXEXTRACT(SUBSTITUTE ($T473,N$1&amp;"" CE"",""""), N$1&amp;""[\w &amp;]*, (\d+\.\d+)""),"""")
"),"")</f>
        <v/>
      </c>
      <c r="O473" s="3" t="str">
        <f aca="false">IFERROR(__xludf.dummyfunction("if($T473&lt;&gt;"""",REGEXEXTRACT($T473, O$1&amp;""[\w &amp;]*, (\d+\.\d+)""),"""")
"),"")</f>
        <v/>
      </c>
      <c r="P473" s="2"/>
      <c r="Q473" s="2"/>
      <c r="R473" s="2"/>
      <c r="S473" s="2"/>
      <c r="T473" s="5"/>
    </row>
    <row r="474" customFormat="false" ht="15.75" hidden="false" customHeight="false" outlineLevel="0" collapsed="false">
      <c r="A474" s="4"/>
      <c r="B474" s="2"/>
      <c r="C474" s="2"/>
      <c r="D474" s="2"/>
      <c r="E474" s="2"/>
      <c r="F474" s="3" t="str">
        <f aca="false">IFERROR(__xludf.dummyfunction("if($T474&lt;&gt;"""",REGEXEXTRACT(SUBSTITUTE ($T474,F$1&amp;"" CE"",""""), F$1&amp;""[\w &amp;]*, (\d+\.\d+)""),"""")
"),"")</f>
        <v/>
      </c>
      <c r="G474" s="3" t="str">
        <f aca="false">IFERROR(__xludf.dummyfunction("if($T474&lt;&gt;"""",REGEXEXTRACT($T474, G$1&amp;""[\w &amp;]*, (\d+\.\d+)""),"""")
"),"")</f>
        <v/>
      </c>
      <c r="H474" s="3"/>
      <c r="I474" s="3" t="str">
        <f aca="false">IFERROR(__xludf.dummyfunction("if($T474&lt;&gt;"""",REGEXEXTRACT(SUBSTITUTE ($T474,I$1&amp;"" CE"",""""), I$1&amp;""[\w &amp;]*, (\d+\.\d+)""),"""")
"),"")</f>
        <v/>
      </c>
      <c r="J474" s="3" t="str">
        <f aca="false">IFERROR(__xludf.dummyfunction("if($T474&lt;&gt;"""",REGEXEXTRACT($T474, J$1&amp;""[\w &amp;]*, (\d+\.\d+)""),"""")
"),"")</f>
        <v/>
      </c>
      <c r="K474" s="3"/>
      <c r="L474" s="3" t="str">
        <f aca="false">IFERROR(__xludf.dummyfunction("if($T474&lt;&gt;"""",REGEXEXTRACT(SUBSTITUTE ($T474,L$1&amp;"" CE"",""""), L$1&amp;""[\w &amp;]*, (\d+\.\d+)""),"""")
"),"")</f>
        <v/>
      </c>
      <c r="M474" s="3" t="str">
        <f aca="false">IFERROR(__xludf.dummyfunction("if($T474&lt;&gt;"""",REGEXEXTRACT($T474, M$1&amp;""[\w &amp;]*, (\d+\.\d+)""),"""")
"),"")</f>
        <v/>
      </c>
      <c r="N474" s="3" t="str">
        <f aca="false">IFERROR(__xludf.dummyfunction("if($T474&lt;&gt;"""",REGEXEXTRACT(SUBSTITUTE ($T474,N$1&amp;"" CE"",""""), N$1&amp;""[\w &amp;]*, (\d+\.\d+)""),"""")
"),"")</f>
        <v/>
      </c>
      <c r="O474" s="3" t="str">
        <f aca="false">IFERROR(__xludf.dummyfunction("if($T474&lt;&gt;"""",REGEXEXTRACT($T474, O$1&amp;""[\w &amp;]*, (\d+\.\d+)""),"""")
"),"")</f>
        <v/>
      </c>
      <c r="P474" s="2"/>
      <c r="Q474" s="2"/>
      <c r="R474" s="2"/>
      <c r="S474" s="2"/>
      <c r="T474" s="5"/>
    </row>
    <row r="475" customFormat="false" ht="15.75" hidden="false" customHeight="false" outlineLevel="0" collapsed="false">
      <c r="A475" s="4"/>
      <c r="B475" s="2"/>
      <c r="C475" s="2"/>
      <c r="D475" s="2"/>
      <c r="E475" s="2"/>
      <c r="F475" s="3" t="str">
        <f aca="false">IFERROR(__xludf.dummyfunction("if($T475&lt;&gt;"""",REGEXEXTRACT(SUBSTITUTE ($T475,F$1&amp;"" CE"",""""), F$1&amp;""[\w &amp;]*, (\d+\.\d+)""),"""")
"),"")</f>
        <v/>
      </c>
      <c r="G475" s="3" t="str">
        <f aca="false">IFERROR(__xludf.dummyfunction("if($T475&lt;&gt;"""",REGEXEXTRACT($T475, G$1&amp;""[\w &amp;]*, (\d+\.\d+)""),"""")
"),"")</f>
        <v/>
      </c>
      <c r="H475" s="3"/>
      <c r="I475" s="3" t="str">
        <f aca="false">IFERROR(__xludf.dummyfunction("if($T475&lt;&gt;"""",REGEXEXTRACT(SUBSTITUTE ($T475,I$1&amp;"" CE"",""""), I$1&amp;""[\w &amp;]*, (\d+\.\d+)""),"""")
"),"")</f>
        <v/>
      </c>
      <c r="J475" s="3" t="str">
        <f aca="false">IFERROR(__xludf.dummyfunction("if($T475&lt;&gt;"""",REGEXEXTRACT($T475, J$1&amp;""[\w &amp;]*, (\d+\.\d+)""),"""")
"),"")</f>
        <v/>
      </c>
      <c r="K475" s="3"/>
      <c r="L475" s="3" t="str">
        <f aca="false">IFERROR(__xludf.dummyfunction("if($T475&lt;&gt;"""",REGEXEXTRACT(SUBSTITUTE ($T475,L$1&amp;"" CE"",""""), L$1&amp;""[\w &amp;]*, (\d+\.\d+)""),"""")
"),"")</f>
        <v/>
      </c>
      <c r="M475" s="3" t="str">
        <f aca="false">IFERROR(__xludf.dummyfunction("if($T475&lt;&gt;"""",REGEXEXTRACT($T475, M$1&amp;""[\w &amp;]*, (\d+\.\d+)""),"""")
"),"")</f>
        <v/>
      </c>
      <c r="N475" s="3" t="str">
        <f aca="false">IFERROR(__xludf.dummyfunction("if($T475&lt;&gt;"""",REGEXEXTRACT(SUBSTITUTE ($T475,N$1&amp;"" CE"",""""), N$1&amp;""[\w &amp;]*, (\d+\.\d+)""),"""")
"),"")</f>
        <v/>
      </c>
      <c r="O475" s="3" t="str">
        <f aca="false">IFERROR(__xludf.dummyfunction("if($T475&lt;&gt;"""",REGEXEXTRACT($T475, O$1&amp;""[\w &amp;]*, (\d+\.\d+)""),"""")
"),"")</f>
        <v/>
      </c>
      <c r="P475" s="2"/>
      <c r="Q475" s="2"/>
      <c r="R475" s="2"/>
      <c r="S475" s="2"/>
      <c r="T475" s="5"/>
    </row>
    <row r="476" customFormat="false" ht="15.75" hidden="false" customHeight="false" outlineLevel="0" collapsed="false">
      <c r="A476" s="4"/>
      <c r="B476" s="2"/>
      <c r="C476" s="2"/>
      <c r="D476" s="2"/>
      <c r="E476" s="2"/>
      <c r="F476" s="3" t="str">
        <f aca="false">IFERROR(__xludf.dummyfunction("if($T476&lt;&gt;"""",REGEXEXTRACT(SUBSTITUTE ($T476,F$1&amp;"" CE"",""""), F$1&amp;""[\w &amp;]*, (\d+\.\d+)""),"""")
"),"")</f>
        <v/>
      </c>
      <c r="G476" s="3" t="str">
        <f aca="false">IFERROR(__xludf.dummyfunction("if($T476&lt;&gt;"""",REGEXEXTRACT($T476, G$1&amp;""[\w &amp;]*, (\d+\.\d+)""),"""")
"),"")</f>
        <v/>
      </c>
      <c r="H476" s="3"/>
      <c r="I476" s="3" t="str">
        <f aca="false">IFERROR(__xludf.dummyfunction("if($T476&lt;&gt;"""",REGEXEXTRACT(SUBSTITUTE ($T476,I$1&amp;"" CE"",""""), I$1&amp;""[\w &amp;]*, (\d+\.\d+)""),"""")
"),"")</f>
        <v/>
      </c>
      <c r="J476" s="3" t="str">
        <f aca="false">IFERROR(__xludf.dummyfunction("if($T476&lt;&gt;"""",REGEXEXTRACT($T476, J$1&amp;""[\w &amp;]*, (\d+\.\d+)""),"""")
"),"")</f>
        <v/>
      </c>
      <c r="K476" s="3"/>
      <c r="L476" s="3" t="str">
        <f aca="false">IFERROR(__xludf.dummyfunction("if($T476&lt;&gt;"""",REGEXEXTRACT(SUBSTITUTE ($T476,L$1&amp;"" CE"",""""), L$1&amp;""[\w &amp;]*, (\d+\.\d+)""),"""")
"),"")</f>
        <v/>
      </c>
      <c r="M476" s="3" t="str">
        <f aca="false">IFERROR(__xludf.dummyfunction("if($T476&lt;&gt;"""",REGEXEXTRACT($T476, M$1&amp;""[\w &amp;]*, (\d+\.\d+)""),"""")
"),"")</f>
        <v/>
      </c>
      <c r="N476" s="3" t="str">
        <f aca="false">IFERROR(__xludf.dummyfunction("if($T476&lt;&gt;"""",REGEXEXTRACT(SUBSTITUTE ($T476,N$1&amp;"" CE"",""""), N$1&amp;""[\w &amp;]*, (\d+\.\d+)""),"""")
"),"")</f>
        <v/>
      </c>
      <c r="O476" s="3" t="str">
        <f aca="false">IFERROR(__xludf.dummyfunction("if($T476&lt;&gt;"""",REGEXEXTRACT($T476, O$1&amp;""[\w &amp;]*, (\d+\.\d+)""),"""")
"),"")</f>
        <v/>
      </c>
      <c r="P476" s="2"/>
      <c r="Q476" s="2"/>
      <c r="R476" s="2"/>
      <c r="S476" s="2"/>
      <c r="T476" s="5"/>
    </row>
    <row r="477" customFormat="false" ht="15.75" hidden="false" customHeight="false" outlineLevel="0" collapsed="false">
      <c r="A477" s="4"/>
      <c r="B477" s="2"/>
      <c r="C477" s="2"/>
      <c r="D477" s="2"/>
      <c r="E477" s="2"/>
      <c r="F477" s="3" t="str">
        <f aca="false">IFERROR(__xludf.dummyfunction("if($T477&lt;&gt;"""",REGEXEXTRACT(SUBSTITUTE ($T477,F$1&amp;"" CE"",""""), F$1&amp;""[\w &amp;]*, (\d+\.\d+)""),"""")
"),"")</f>
        <v/>
      </c>
      <c r="G477" s="3" t="str">
        <f aca="false">IFERROR(__xludf.dummyfunction("if($T477&lt;&gt;"""",REGEXEXTRACT($T477, G$1&amp;""[\w &amp;]*, (\d+\.\d+)""),"""")
"),"")</f>
        <v/>
      </c>
      <c r="H477" s="3"/>
      <c r="I477" s="3" t="str">
        <f aca="false">IFERROR(__xludf.dummyfunction("if($T477&lt;&gt;"""",REGEXEXTRACT(SUBSTITUTE ($T477,I$1&amp;"" CE"",""""), I$1&amp;""[\w &amp;]*, (\d+\.\d+)""),"""")
"),"")</f>
        <v/>
      </c>
      <c r="J477" s="3" t="str">
        <f aca="false">IFERROR(__xludf.dummyfunction("if($T477&lt;&gt;"""",REGEXEXTRACT($T477, J$1&amp;""[\w &amp;]*, (\d+\.\d+)""),"""")
"),"")</f>
        <v/>
      </c>
      <c r="K477" s="3"/>
      <c r="L477" s="3" t="str">
        <f aca="false">IFERROR(__xludf.dummyfunction("if($T477&lt;&gt;"""",REGEXEXTRACT(SUBSTITUTE ($T477,L$1&amp;"" CE"",""""), L$1&amp;""[\w &amp;]*, (\d+\.\d+)""),"""")
"),"")</f>
        <v/>
      </c>
      <c r="M477" s="3" t="str">
        <f aca="false">IFERROR(__xludf.dummyfunction("if($T477&lt;&gt;"""",REGEXEXTRACT($T477, M$1&amp;""[\w &amp;]*, (\d+\.\d+)""),"""")
"),"")</f>
        <v/>
      </c>
      <c r="N477" s="3" t="str">
        <f aca="false">IFERROR(__xludf.dummyfunction("if($T477&lt;&gt;"""",REGEXEXTRACT(SUBSTITUTE ($T477,N$1&amp;"" CE"",""""), N$1&amp;""[\w &amp;]*, (\d+\.\d+)""),"""")
"),"")</f>
        <v/>
      </c>
      <c r="O477" s="3" t="str">
        <f aca="false">IFERROR(__xludf.dummyfunction("if($T477&lt;&gt;"""",REGEXEXTRACT($T477, O$1&amp;""[\w &amp;]*, (\d+\.\d+)""),"""")
"),"")</f>
        <v/>
      </c>
      <c r="P477" s="2"/>
      <c r="Q477" s="2"/>
      <c r="R477" s="2"/>
      <c r="S477" s="2"/>
      <c r="T477" s="5"/>
    </row>
    <row r="478" customFormat="false" ht="15.75" hidden="false" customHeight="false" outlineLevel="0" collapsed="false">
      <c r="A478" s="4"/>
      <c r="B478" s="2"/>
      <c r="C478" s="2"/>
      <c r="D478" s="2"/>
      <c r="E478" s="2"/>
      <c r="F478" s="3" t="str">
        <f aca="false">IFERROR(__xludf.dummyfunction("if($T478&lt;&gt;"""",REGEXEXTRACT(SUBSTITUTE ($T478,F$1&amp;"" CE"",""""), F$1&amp;""[\w &amp;]*, (\d+\.\d+)""),"""")
"),"")</f>
        <v/>
      </c>
      <c r="G478" s="3" t="str">
        <f aca="false">IFERROR(__xludf.dummyfunction("if($T478&lt;&gt;"""",REGEXEXTRACT($T478, G$1&amp;""[\w &amp;]*, (\d+\.\d+)""),"""")
"),"")</f>
        <v/>
      </c>
      <c r="H478" s="3"/>
      <c r="I478" s="3" t="str">
        <f aca="false">IFERROR(__xludf.dummyfunction("if($T478&lt;&gt;"""",REGEXEXTRACT(SUBSTITUTE ($T478,I$1&amp;"" CE"",""""), I$1&amp;""[\w &amp;]*, (\d+\.\d+)""),"""")
"),"")</f>
        <v/>
      </c>
      <c r="J478" s="3" t="str">
        <f aca="false">IFERROR(__xludf.dummyfunction("if($T478&lt;&gt;"""",REGEXEXTRACT($T478, J$1&amp;""[\w &amp;]*, (\d+\.\d+)""),"""")
"),"")</f>
        <v/>
      </c>
      <c r="K478" s="3"/>
      <c r="L478" s="3" t="str">
        <f aca="false">IFERROR(__xludf.dummyfunction("if($T478&lt;&gt;"""",REGEXEXTRACT(SUBSTITUTE ($T478,L$1&amp;"" CE"",""""), L$1&amp;""[\w &amp;]*, (\d+\.\d+)""),"""")
"),"")</f>
        <v/>
      </c>
      <c r="M478" s="3" t="str">
        <f aca="false">IFERROR(__xludf.dummyfunction("if($T478&lt;&gt;"""",REGEXEXTRACT($T478, M$1&amp;""[\w &amp;]*, (\d+\.\d+)""),"""")
"),"")</f>
        <v/>
      </c>
      <c r="N478" s="3" t="str">
        <f aca="false">IFERROR(__xludf.dummyfunction("if($T478&lt;&gt;"""",REGEXEXTRACT(SUBSTITUTE ($T478,N$1&amp;"" CE"",""""), N$1&amp;""[\w &amp;]*, (\d+\.\d+)""),"""")
"),"")</f>
        <v/>
      </c>
      <c r="O478" s="3" t="str">
        <f aca="false">IFERROR(__xludf.dummyfunction("if($T478&lt;&gt;"""",REGEXEXTRACT($T478, O$1&amp;""[\w &amp;]*, (\d+\.\d+)""),"""")
"),"")</f>
        <v/>
      </c>
      <c r="P478" s="2"/>
      <c r="Q478" s="2"/>
      <c r="R478" s="2"/>
      <c r="S478" s="2"/>
      <c r="T478" s="5"/>
    </row>
    <row r="479" customFormat="false" ht="15.75" hidden="false" customHeight="false" outlineLevel="0" collapsed="false">
      <c r="A479" s="4"/>
      <c r="B479" s="2"/>
      <c r="C479" s="2"/>
      <c r="D479" s="2"/>
      <c r="E479" s="2"/>
      <c r="F479" s="3" t="str">
        <f aca="false">IFERROR(__xludf.dummyfunction("if($T479&lt;&gt;"""",REGEXEXTRACT(SUBSTITUTE ($T479,F$1&amp;"" CE"",""""), F$1&amp;""[\w &amp;]*, (\d+\.\d+)""),"""")
"),"")</f>
        <v/>
      </c>
      <c r="G479" s="3" t="str">
        <f aca="false">IFERROR(__xludf.dummyfunction("if($T479&lt;&gt;"""",REGEXEXTRACT($T479, G$1&amp;""[\w &amp;]*, (\d+\.\d+)""),"""")
"),"")</f>
        <v/>
      </c>
      <c r="H479" s="3"/>
      <c r="I479" s="3" t="str">
        <f aca="false">IFERROR(__xludf.dummyfunction("if($T479&lt;&gt;"""",REGEXEXTRACT(SUBSTITUTE ($T479,I$1&amp;"" CE"",""""), I$1&amp;""[\w &amp;]*, (\d+\.\d+)""),"""")
"),"")</f>
        <v/>
      </c>
      <c r="J479" s="3" t="str">
        <f aca="false">IFERROR(__xludf.dummyfunction("if($T479&lt;&gt;"""",REGEXEXTRACT($T479, J$1&amp;""[\w &amp;]*, (\d+\.\d+)""),"""")
"),"")</f>
        <v/>
      </c>
      <c r="K479" s="3"/>
      <c r="L479" s="3" t="str">
        <f aca="false">IFERROR(__xludf.dummyfunction("if($T479&lt;&gt;"""",REGEXEXTRACT(SUBSTITUTE ($T479,L$1&amp;"" CE"",""""), L$1&amp;""[\w &amp;]*, (\d+\.\d+)""),"""")
"),"")</f>
        <v/>
      </c>
      <c r="M479" s="3" t="str">
        <f aca="false">IFERROR(__xludf.dummyfunction("if($T479&lt;&gt;"""",REGEXEXTRACT($T479, M$1&amp;""[\w &amp;]*, (\d+\.\d+)""),"""")
"),"")</f>
        <v/>
      </c>
      <c r="N479" s="3" t="str">
        <f aca="false">IFERROR(__xludf.dummyfunction("if($T479&lt;&gt;"""",REGEXEXTRACT(SUBSTITUTE ($T479,N$1&amp;"" CE"",""""), N$1&amp;""[\w &amp;]*, (\d+\.\d+)""),"""")
"),"")</f>
        <v/>
      </c>
      <c r="O479" s="3" t="str">
        <f aca="false">IFERROR(__xludf.dummyfunction("if($T479&lt;&gt;"""",REGEXEXTRACT($T479, O$1&amp;""[\w &amp;]*, (\d+\.\d+)""),"""")
"),"")</f>
        <v/>
      </c>
      <c r="P479" s="2"/>
      <c r="Q479" s="2"/>
      <c r="R479" s="2"/>
      <c r="S479" s="2"/>
      <c r="T479" s="5"/>
    </row>
    <row r="480" customFormat="false" ht="15.75" hidden="false" customHeight="false" outlineLevel="0" collapsed="false">
      <c r="A480" s="4"/>
      <c r="B480" s="2"/>
      <c r="C480" s="2"/>
      <c r="D480" s="2"/>
      <c r="E480" s="2"/>
      <c r="F480" s="3" t="str">
        <f aca="false">IFERROR(__xludf.dummyfunction("if($T480&lt;&gt;"""",REGEXEXTRACT(SUBSTITUTE ($T480,F$1&amp;"" CE"",""""), F$1&amp;""[\w &amp;]*, (\d+\.\d+)""),"""")
"),"")</f>
        <v/>
      </c>
      <c r="G480" s="3" t="str">
        <f aca="false">IFERROR(__xludf.dummyfunction("if($T480&lt;&gt;"""",REGEXEXTRACT($T480, G$1&amp;""[\w &amp;]*, (\d+\.\d+)""),"""")
"),"")</f>
        <v/>
      </c>
      <c r="H480" s="3"/>
      <c r="I480" s="3" t="str">
        <f aca="false">IFERROR(__xludf.dummyfunction("if($T480&lt;&gt;"""",REGEXEXTRACT(SUBSTITUTE ($T480,I$1&amp;"" CE"",""""), I$1&amp;""[\w &amp;]*, (\d+\.\d+)""),"""")
"),"")</f>
        <v/>
      </c>
      <c r="J480" s="3" t="str">
        <f aca="false">IFERROR(__xludf.dummyfunction("if($T480&lt;&gt;"""",REGEXEXTRACT($T480, J$1&amp;""[\w &amp;]*, (\d+\.\d+)""),"""")
"),"")</f>
        <v/>
      </c>
      <c r="K480" s="3"/>
      <c r="L480" s="3" t="str">
        <f aca="false">IFERROR(__xludf.dummyfunction("if($T480&lt;&gt;"""",REGEXEXTRACT(SUBSTITUTE ($T480,L$1&amp;"" CE"",""""), L$1&amp;""[\w &amp;]*, (\d+\.\d+)""),"""")
"),"")</f>
        <v/>
      </c>
      <c r="M480" s="3" t="str">
        <f aca="false">IFERROR(__xludf.dummyfunction("if($T480&lt;&gt;"""",REGEXEXTRACT($T480, M$1&amp;""[\w &amp;]*, (\d+\.\d+)""),"""")
"),"")</f>
        <v/>
      </c>
      <c r="N480" s="3" t="str">
        <f aca="false">IFERROR(__xludf.dummyfunction("if($T480&lt;&gt;"""",REGEXEXTRACT(SUBSTITUTE ($T480,N$1&amp;"" CE"",""""), N$1&amp;""[\w &amp;]*, (\d+\.\d+)""),"""")
"),"")</f>
        <v/>
      </c>
      <c r="O480" s="3" t="str">
        <f aca="false">IFERROR(__xludf.dummyfunction("if($T480&lt;&gt;"""",REGEXEXTRACT($T480, O$1&amp;""[\w &amp;]*, (\d+\.\d+)""),"""")
"),"")</f>
        <v/>
      </c>
      <c r="P480" s="2"/>
      <c r="Q480" s="2"/>
      <c r="R480" s="2"/>
      <c r="S480" s="2"/>
      <c r="T480" s="5"/>
    </row>
    <row r="481" customFormat="false" ht="15.75" hidden="false" customHeight="false" outlineLevel="0" collapsed="false">
      <c r="A481" s="4"/>
      <c r="B481" s="2"/>
      <c r="C481" s="2"/>
      <c r="D481" s="2"/>
      <c r="E481" s="2"/>
      <c r="F481" s="3" t="str">
        <f aca="false">IFERROR(__xludf.dummyfunction("if($T481&lt;&gt;"""",REGEXEXTRACT(SUBSTITUTE ($T481,F$1&amp;"" CE"",""""), F$1&amp;""[\w &amp;]*, (\d+\.\d+)""),"""")
"),"")</f>
        <v/>
      </c>
      <c r="G481" s="3" t="str">
        <f aca="false">IFERROR(__xludf.dummyfunction("if($T481&lt;&gt;"""",REGEXEXTRACT($T481, G$1&amp;""[\w &amp;]*, (\d+\.\d+)""),"""")
"),"")</f>
        <v/>
      </c>
      <c r="H481" s="3"/>
      <c r="I481" s="3" t="str">
        <f aca="false">IFERROR(__xludf.dummyfunction("if($T481&lt;&gt;"""",REGEXEXTRACT(SUBSTITUTE ($T481,I$1&amp;"" CE"",""""), I$1&amp;""[\w &amp;]*, (\d+\.\d+)""),"""")
"),"")</f>
        <v/>
      </c>
      <c r="J481" s="3" t="str">
        <f aca="false">IFERROR(__xludf.dummyfunction("if($T481&lt;&gt;"""",REGEXEXTRACT($T481, J$1&amp;""[\w &amp;]*, (\d+\.\d+)""),"""")
"),"")</f>
        <v/>
      </c>
      <c r="K481" s="3"/>
      <c r="L481" s="3" t="str">
        <f aca="false">IFERROR(__xludf.dummyfunction("if($T481&lt;&gt;"""",REGEXEXTRACT(SUBSTITUTE ($T481,L$1&amp;"" CE"",""""), L$1&amp;""[\w &amp;]*, (\d+\.\d+)""),"""")
"),"")</f>
        <v/>
      </c>
      <c r="M481" s="3" t="str">
        <f aca="false">IFERROR(__xludf.dummyfunction("if($T481&lt;&gt;"""",REGEXEXTRACT($T481, M$1&amp;""[\w &amp;]*, (\d+\.\d+)""),"""")
"),"")</f>
        <v/>
      </c>
      <c r="N481" s="3" t="str">
        <f aca="false">IFERROR(__xludf.dummyfunction("if($T481&lt;&gt;"""",REGEXEXTRACT(SUBSTITUTE ($T481,N$1&amp;"" CE"",""""), N$1&amp;""[\w &amp;]*, (\d+\.\d+)""),"""")
"),"")</f>
        <v/>
      </c>
      <c r="O481" s="3" t="str">
        <f aca="false">IFERROR(__xludf.dummyfunction("if($T481&lt;&gt;"""",REGEXEXTRACT($T481, O$1&amp;""[\w &amp;]*, (\d+\.\d+)""),"""")
"),"")</f>
        <v/>
      </c>
      <c r="P481" s="2"/>
      <c r="Q481" s="2"/>
      <c r="R481" s="2"/>
      <c r="S481" s="2"/>
      <c r="T481" s="5"/>
    </row>
    <row r="482" customFormat="false" ht="15.75" hidden="false" customHeight="false" outlineLevel="0" collapsed="false">
      <c r="A482" s="4"/>
      <c r="B482" s="2"/>
      <c r="C482" s="2"/>
      <c r="D482" s="2"/>
      <c r="E482" s="2"/>
      <c r="F482" s="3" t="str">
        <f aca="false">IFERROR(__xludf.dummyfunction("if($T482&lt;&gt;"""",REGEXEXTRACT(SUBSTITUTE ($T482,F$1&amp;"" CE"",""""), F$1&amp;""[\w &amp;]*, (\d+\.\d+)""),"""")
"),"")</f>
        <v/>
      </c>
      <c r="G482" s="3" t="str">
        <f aca="false">IFERROR(__xludf.dummyfunction("if($T482&lt;&gt;"""",REGEXEXTRACT($T482, G$1&amp;""[\w &amp;]*, (\d+\.\d+)""),"""")
"),"")</f>
        <v/>
      </c>
      <c r="H482" s="3"/>
      <c r="I482" s="3" t="str">
        <f aca="false">IFERROR(__xludf.dummyfunction("if($T482&lt;&gt;"""",REGEXEXTRACT(SUBSTITUTE ($T482,I$1&amp;"" CE"",""""), I$1&amp;""[\w &amp;]*, (\d+\.\d+)""),"""")
"),"")</f>
        <v/>
      </c>
      <c r="J482" s="3" t="str">
        <f aca="false">IFERROR(__xludf.dummyfunction("if($T482&lt;&gt;"""",REGEXEXTRACT($T482, J$1&amp;""[\w &amp;]*, (\d+\.\d+)""),"""")
"),"")</f>
        <v/>
      </c>
      <c r="K482" s="3"/>
      <c r="L482" s="3" t="str">
        <f aca="false">IFERROR(__xludf.dummyfunction("if($T482&lt;&gt;"""",REGEXEXTRACT(SUBSTITUTE ($T482,L$1&amp;"" CE"",""""), L$1&amp;""[\w &amp;]*, (\d+\.\d+)""),"""")
"),"")</f>
        <v/>
      </c>
      <c r="M482" s="3" t="str">
        <f aca="false">IFERROR(__xludf.dummyfunction("if($T482&lt;&gt;"""",REGEXEXTRACT($T482, M$1&amp;""[\w &amp;]*, (\d+\.\d+)""),"""")
"),"")</f>
        <v/>
      </c>
      <c r="N482" s="3" t="str">
        <f aca="false">IFERROR(__xludf.dummyfunction("if($T482&lt;&gt;"""",REGEXEXTRACT(SUBSTITUTE ($T482,N$1&amp;"" CE"",""""), N$1&amp;""[\w &amp;]*, (\d+\.\d+)""),"""")
"),"")</f>
        <v/>
      </c>
      <c r="O482" s="3" t="str">
        <f aca="false">IFERROR(__xludf.dummyfunction("if($T482&lt;&gt;"""",REGEXEXTRACT($T482, O$1&amp;""[\w &amp;]*, (\d+\.\d+)""),"""")
"),"")</f>
        <v/>
      </c>
      <c r="P482" s="2"/>
      <c r="Q482" s="2"/>
      <c r="R482" s="2"/>
      <c r="S482" s="2"/>
      <c r="T482" s="5"/>
    </row>
    <row r="483" customFormat="false" ht="15.75" hidden="false" customHeight="false" outlineLevel="0" collapsed="false">
      <c r="A483" s="4"/>
      <c r="B483" s="2"/>
      <c r="C483" s="2"/>
      <c r="D483" s="2"/>
      <c r="E483" s="2"/>
      <c r="F483" s="3" t="str">
        <f aca="false">IFERROR(__xludf.dummyfunction("if($T483&lt;&gt;"""",REGEXEXTRACT(SUBSTITUTE ($T483,F$1&amp;"" CE"",""""), F$1&amp;""[\w &amp;]*, (\d+\.\d+)""),"""")
"),"")</f>
        <v/>
      </c>
      <c r="G483" s="3" t="str">
        <f aca="false">IFERROR(__xludf.dummyfunction("if($T483&lt;&gt;"""",REGEXEXTRACT($T483, G$1&amp;""[\w &amp;]*, (\d+\.\d+)""),"""")
"),"")</f>
        <v/>
      </c>
      <c r="H483" s="3"/>
      <c r="I483" s="3" t="str">
        <f aca="false">IFERROR(__xludf.dummyfunction("if($T483&lt;&gt;"""",REGEXEXTRACT(SUBSTITUTE ($T483,I$1&amp;"" CE"",""""), I$1&amp;""[\w &amp;]*, (\d+\.\d+)""),"""")
"),"")</f>
        <v/>
      </c>
      <c r="J483" s="3" t="str">
        <f aca="false">IFERROR(__xludf.dummyfunction("if($T483&lt;&gt;"""",REGEXEXTRACT($T483, J$1&amp;""[\w &amp;]*, (\d+\.\d+)""),"""")
"),"")</f>
        <v/>
      </c>
      <c r="K483" s="3"/>
      <c r="L483" s="3" t="str">
        <f aca="false">IFERROR(__xludf.dummyfunction("if($T483&lt;&gt;"""",REGEXEXTRACT(SUBSTITUTE ($T483,L$1&amp;"" CE"",""""), L$1&amp;""[\w &amp;]*, (\d+\.\d+)""),"""")
"),"")</f>
        <v/>
      </c>
      <c r="M483" s="3" t="str">
        <f aca="false">IFERROR(__xludf.dummyfunction("if($T483&lt;&gt;"""",REGEXEXTRACT($T483, M$1&amp;""[\w &amp;]*, (\d+\.\d+)""),"""")
"),"")</f>
        <v/>
      </c>
      <c r="N483" s="3" t="str">
        <f aca="false">IFERROR(__xludf.dummyfunction("if($T483&lt;&gt;"""",REGEXEXTRACT(SUBSTITUTE ($T483,N$1&amp;"" CE"",""""), N$1&amp;""[\w &amp;]*, (\d+\.\d+)""),"""")
"),"")</f>
        <v/>
      </c>
      <c r="O483" s="3" t="str">
        <f aca="false">IFERROR(__xludf.dummyfunction("if($T483&lt;&gt;"""",REGEXEXTRACT($T483, O$1&amp;""[\w &amp;]*, (\d+\.\d+)""),"""")
"),"")</f>
        <v/>
      </c>
      <c r="P483" s="2"/>
      <c r="Q483" s="2"/>
      <c r="R483" s="2"/>
      <c r="S483" s="2"/>
      <c r="T483" s="5"/>
    </row>
    <row r="484" customFormat="false" ht="15.75" hidden="false" customHeight="false" outlineLevel="0" collapsed="false">
      <c r="A484" s="4"/>
      <c r="B484" s="2"/>
      <c r="C484" s="2"/>
      <c r="D484" s="2"/>
      <c r="E484" s="2"/>
      <c r="F484" s="3" t="str">
        <f aca="false">IFERROR(__xludf.dummyfunction("if($T484&lt;&gt;"""",REGEXEXTRACT(SUBSTITUTE ($T484,F$1&amp;"" CE"",""""), F$1&amp;""[\w &amp;]*, (\d+\.\d+)""),"""")
"),"")</f>
        <v/>
      </c>
      <c r="G484" s="3" t="str">
        <f aca="false">IFERROR(__xludf.dummyfunction("if($T484&lt;&gt;"""",REGEXEXTRACT($T484, G$1&amp;""[\w &amp;]*, (\d+\.\d+)""),"""")
"),"")</f>
        <v/>
      </c>
      <c r="H484" s="3"/>
      <c r="I484" s="3" t="str">
        <f aca="false">IFERROR(__xludf.dummyfunction("if($T484&lt;&gt;"""",REGEXEXTRACT(SUBSTITUTE ($T484,I$1&amp;"" CE"",""""), I$1&amp;""[\w &amp;]*, (\d+\.\d+)""),"""")
"),"")</f>
        <v/>
      </c>
      <c r="J484" s="3" t="str">
        <f aca="false">IFERROR(__xludf.dummyfunction("if($T484&lt;&gt;"""",REGEXEXTRACT($T484, J$1&amp;""[\w &amp;]*, (\d+\.\d+)""),"""")
"),"")</f>
        <v/>
      </c>
      <c r="K484" s="3"/>
      <c r="L484" s="3" t="str">
        <f aca="false">IFERROR(__xludf.dummyfunction("if($T484&lt;&gt;"""",REGEXEXTRACT(SUBSTITUTE ($T484,L$1&amp;"" CE"",""""), L$1&amp;""[\w &amp;]*, (\d+\.\d+)""),"""")
"),"")</f>
        <v/>
      </c>
      <c r="M484" s="3" t="str">
        <f aca="false">IFERROR(__xludf.dummyfunction("if($T484&lt;&gt;"""",REGEXEXTRACT($T484, M$1&amp;""[\w &amp;]*, (\d+\.\d+)""),"""")
"),"")</f>
        <v/>
      </c>
      <c r="N484" s="3" t="str">
        <f aca="false">IFERROR(__xludf.dummyfunction("if($T484&lt;&gt;"""",REGEXEXTRACT(SUBSTITUTE ($T484,N$1&amp;"" CE"",""""), N$1&amp;""[\w &amp;]*, (\d+\.\d+)""),"""")
"),"")</f>
        <v/>
      </c>
      <c r="O484" s="3" t="str">
        <f aca="false">IFERROR(__xludf.dummyfunction("if($T484&lt;&gt;"""",REGEXEXTRACT($T484, O$1&amp;""[\w &amp;]*, (\d+\.\d+)""),"""")
"),"")</f>
        <v/>
      </c>
      <c r="P484" s="2"/>
      <c r="Q484" s="2"/>
      <c r="R484" s="2"/>
      <c r="S484" s="2"/>
      <c r="T484" s="5"/>
    </row>
    <row r="485" customFormat="false" ht="15.75" hidden="false" customHeight="false" outlineLevel="0" collapsed="false">
      <c r="A485" s="4"/>
      <c r="B485" s="2"/>
      <c r="C485" s="2"/>
      <c r="D485" s="2"/>
      <c r="E485" s="2"/>
      <c r="F485" s="3" t="str">
        <f aca="false">IFERROR(__xludf.dummyfunction("if($T485&lt;&gt;"""",REGEXEXTRACT(SUBSTITUTE ($T485,F$1&amp;"" CE"",""""), F$1&amp;""[\w &amp;]*, (\d+\.\d+)""),"""")
"),"")</f>
        <v/>
      </c>
      <c r="G485" s="3" t="str">
        <f aca="false">IFERROR(__xludf.dummyfunction("if($T485&lt;&gt;"""",REGEXEXTRACT($T485, G$1&amp;""[\w &amp;]*, (\d+\.\d+)""),"""")
"),"")</f>
        <v/>
      </c>
      <c r="H485" s="3"/>
      <c r="I485" s="3" t="str">
        <f aca="false">IFERROR(__xludf.dummyfunction("if($T485&lt;&gt;"""",REGEXEXTRACT(SUBSTITUTE ($T485,I$1&amp;"" CE"",""""), I$1&amp;""[\w &amp;]*, (\d+\.\d+)""),"""")
"),"")</f>
        <v/>
      </c>
      <c r="J485" s="3" t="str">
        <f aca="false">IFERROR(__xludf.dummyfunction("if($T485&lt;&gt;"""",REGEXEXTRACT($T485, J$1&amp;""[\w &amp;]*, (\d+\.\d+)""),"""")
"),"")</f>
        <v/>
      </c>
      <c r="K485" s="3"/>
      <c r="L485" s="3" t="str">
        <f aca="false">IFERROR(__xludf.dummyfunction("if($T485&lt;&gt;"""",REGEXEXTRACT(SUBSTITUTE ($T485,L$1&amp;"" CE"",""""), L$1&amp;""[\w &amp;]*, (\d+\.\d+)""),"""")
"),"")</f>
        <v/>
      </c>
      <c r="M485" s="3" t="str">
        <f aca="false">IFERROR(__xludf.dummyfunction("if($T485&lt;&gt;"""",REGEXEXTRACT($T485, M$1&amp;""[\w &amp;]*, (\d+\.\d+)""),"""")
"),"")</f>
        <v/>
      </c>
      <c r="N485" s="3" t="str">
        <f aca="false">IFERROR(__xludf.dummyfunction("if($T485&lt;&gt;"""",REGEXEXTRACT(SUBSTITUTE ($T485,N$1&amp;"" CE"",""""), N$1&amp;""[\w &amp;]*, (\d+\.\d+)""),"""")
"),"")</f>
        <v/>
      </c>
      <c r="O485" s="3" t="str">
        <f aca="false">IFERROR(__xludf.dummyfunction("if($T485&lt;&gt;"""",REGEXEXTRACT($T485, O$1&amp;""[\w &amp;]*, (\d+\.\d+)""),"""")
"),"")</f>
        <v/>
      </c>
      <c r="P485" s="2"/>
      <c r="Q485" s="2"/>
      <c r="R485" s="2"/>
      <c r="S485" s="2"/>
      <c r="T485" s="5"/>
    </row>
    <row r="486" customFormat="false" ht="15.75" hidden="false" customHeight="false" outlineLevel="0" collapsed="false">
      <c r="A486" s="4"/>
      <c r="B486" s="2"/>
      <c r="C486" s="2"/>
      <c r="D486" s="2"/>
      <c r="E486" s="2"/>
      <c r="F486" s="3" t="str">
        <f aca="false">IFERROR(__xludf.dummyfunction("if($T486&lt;&gt;"""",REGEXEXTRACT(SUBSTITUTE ($T486,F$1&amp;"" CE"",""""), F$1&amp;""[\w &amp;]*, (\d+\.\d+)""),"""")
"),"")</f>
        <v/>
      </c>
      <c r="G486" s="3" t="str">
        <f aca="false">IFERROR(__xludf.dummyfunction("if($T486&lt;&gt;"""",REGEXEXTRACT($T486, G$1&amp;""[\w &amp;]*, (\d+\.\d+)""),"""")
"),"")</f>
        <v/>
      </c>
      <c r="H486" s="3"/>
      <c r="I486" s="3" t="str">
        <f aca="false">IFERROR(__xludf.dummyfunction("if($T486&lt;&gt;"""",REGEXEXTRACT(SUBSTITUTE ($T486,I$1&amp;"" CE"",""""), I$1&amp;""[\w &amp;]*, (\d+\.\d+)""),"""")
"),"")</f>
        <v/>
      </c>
      <c r="J486" s="3" t="str">
        <f aca="false">IFERROR(__xludf.dummyfunction("if($T486&lt;&gt;"""",REGEXEXTRACT($T486, J$1&amp;""[\w &amp;]*, (\d+\.\d+)""),"""")
"),"")</f>
        <v/>
      </c>
      <c r="K486" s="3"/>
      <c r="L486" s="3" t="str">
        <f aca="false">IFERROR(__xludf.dummyfunction("if($T486&lt;&gt;"""",REGEXEXTRACT(SUBSTITUTE ($T486,L$1&amp;"" CE"",""""), L$1&amp;""[\w &amp;]*, (\d+\.\d+)""),"""")
"),"")</f>
        <v/>
      </c>
      <c r="M486" s="3" t="str">
        <f aca="false">IFERROR(__xludf.dummyfunction("if($T486&lt;&gt;"""",REGEXEXTRACT($T486, M$1&amp;""[\w &amp;]*, (\d+\.\d+)""),"""")
"),"")</f>
        <v/>
      </c>
      <c r="N486" s="3" t="str">
        <f aca="false">IFERROR(__xludf.dummyfunction("if($T486&lt;&gt;"""",REGEXEXTRACT(SUBSTITUTE ($T486,N$1&amp;"" CE"",""""), N$1&amp;""[\w &amp;]*, (\d+\.\d+)""),"""")
"),"")</f>
        <v/>
      </c>
      <c r="O486" s="3" t="str">
        <f aca="false">IFERROR(__xludf.dummyfunction("if($T486&lt;&gt;"""",REGEXEXTRACT($T486, O$1&amp;""[\w &amp;]*, (\d+\.\d+)""),"""")
"),"")</f>
        <v/>
      </c>
      <c r="P486" s="2"/>
      <c r="Q486" s="2"/>
      <c r="R486" s="2"/>
      <c r="S486" s="2"/>
      <c r="T486" s="5"/>
    </row>
    <row r="487" customFormat="false" ht="15.75" hidden="false" customHeight="false" outlineLevel="0" collapsed="false">
      <c r="A487" s="4"/>
      <c r="B487" s="2"/>
      <c r="C487" s="2"/>
      <c r="D487" s="2"/>
      <c r="E487" s="2"/>
      <c r="F487" s="3" t="str">
        <f aca="false">IFERROR(__xludf.dummyfunction("if($T487&lt;&gt;"""",REGEXEXTRACT(SUBSTITUTE ($T487,F$1&amp;"" CE"",""""), F$1&amp;""[\w &amp;]*, (\d+\.\d+)""),"""")
"),"")</f>
        <v/>
      </c>
      <c r="G487" s="3" t="str">
        <f aca="false">IFERROR(__xludf.dummyfunction("if($T487&lt;&gt;"""",REGEXEXTRACT($T487, G$1&amp;""[\w &amp;]*, (\d+\.\d+)""),"""")
"),"")</f>
        <v/>
      </c>
      <c r="H487" s="3"/>
      <c r="I487" s="3" t="str">
        <f aca="false">IFERROR(__xludf.dummyfunction("if($T487&lt;&gt;"""",REGEXEXTRACT(SUBSTITUTE ($T487,I$1&amp;"" CE"",""""), I$1&amp;""[\w &amp;]*, (\d+\.\d+)""),"""")
"),"")</f>
        <v/>
      </c>
      <c r="J487" s="3" t="str">
        <f aca="false">IFERROR(__xludf.dummyfunction("if($T487&lt;&gt;"""",REGEXEXTRACT($T487, J$1&amp;""[\w &amp;]*, (\d+\.\d+)""),"""")
"),"")</f>
        <v/>
      </c>
      <c r="K487" s="3"/>
      <c r="L487" s="3" t="str">
        <f aca="false">IFERROR(__xludf.dummyfunction("if($T487&lt;&gt;"""",REGEXEXTRACT(SUBSTITUTE ($T487,L$1&amp;"" CE"",""""), L$1&amp;""[\w &amp;]*, (\d+\.\d+)""),"""")
"),"")</f>
        <v/>
      </c>
      <c r="M487" s="3" t="str">
        <f aca="false">IFERROR(__xludf.dummyfunction("if($T487&lt;&gt;"""",REGEXEXTRACT($T487, M$1&amp;""[\w &amp;]*, (\d+\.\d+)""),"""")
"),"")</f>
        <v/>
      </c>
      <c r="N487" s="3" t="str">
        <f aca="false">IFERROR(__xludf.dummyfunction("if($T487&lt;&gt;"""",REGEXEXTRACT(SUBSTITUTE ($T487,N$1&amp;"" CE"",""""), N$1&amp;""[\w &amp;]*, (\d+\.\d+)""),"""")
"),"")</f>
        <v/>
      </c>
      <c r="O487" s="3" t="str">
        <f aca="false">IFERROR(__xludf.dummyfunction("if($T487&lt;&gt;"""",REGEXEXTRACT($T487, O$1&amp;""[\w &amp;]*, (\d+\.\d+)""),"""")
"),"")</f>
        <v/>
      </c>
      <c r="P487" s="2"/>
      <c r="Q487" s="2"/>
      <c r="R487" s="2"/>
      <c r="S487" s="2"/>
      <c r="T487" s="5"/>
    </row>
    <row r="488" customFormat="false" ht="15.75" hidden="false" customHeight="false" outlineLevel="0" collapsed="false">
      <c r="A488" s="4"/>
      <c r="B488" s="2"/>
      <c r="C488" s="2"/>
      <c r="D488" s="2"/>
      <c r="E488" s="2"/>
      <c r="F488" s="3" t="str">
        <f aca="false">IFERROR(__xludf.dummyfunction("if($T488&lt;&gt;"""",REGEXEXTRACT(SUBSTITUTE ($T488,F$1&amp;"" CE"",""""), F$1&amp;""[\w &amp;]*, (\d+\.\d+)""),"""")
"),"")</f>
        <v/>
      </c>
      <c r="G488" s="3" t="str">
        <f aca="false">IFERROR(__xludf.dummyfunction("if($T488&lt;&gt;"""",REGEXEXTRACT($T488, G$1&amp;""[\w &amp;]*, (\d+\.\d+)""),"""")
"),"")</f>
        <v/>
      </c>
      <c r="H488" s="3"/>
      <c r="I488" s="3" t="str">
        <f aca="false">IFERROR(__xludf.dummyfunction("if($T488&lt;&gt;"""",REGEXEXTRACT(SUBSTITUTE ($T488,I$1&amp;"" CE"",""""), I$1&amp;""[\w &amp;]*, (\d+\.\d+)""),"""")
"),"")</f>
        <v/>
      </c>
      <c r="J488" s="3" t="str">
        <f aca="false">IFERROR(__xludf.dummyfunction("if($T488&lt;&gt;"""",REGEXEXTRACT($T488, J$1&amp;""[\w &amp;]*, (\d+\.\d+)""),"""")
"),"")</f>
        <v/>
      </c>
      <c r="K488" s="3"/>
      <c r="L488" s="3" t="str">
        <f aca="false">IFERROR(__xludf.dummyfunction("if($T488&lt;&gt;"""",REGEXEXTRACT(SUBSTITUTE ($T488,L$1&amp;"" CE"",""""), L$1&amp;""[\w &amp;]*, (\d+\.\d+)""),"""")
"),"")</f>
        <v/>
      </c>
      <c r="M488" s="3" t="str">
        <f aca="false">IFERROR(__xludf.dummyfunction("if($T488&lt;&gt;"""",REGEXEXTRACT($T488, M$1&amp;""[\w &amp;]*, (\d+\.\d+)""),"""")
"),"")</f>
        <v/>
      </c>
      <c r="N488" s="3" t="str">
        <f aca="false">IFERROR(__xludf.dummyfunction("if($T488&lt;&gt;"""",REGEXEXTRACT(SUBSTITUTE ($T488,N$1&amp;"" CE"",""""), N$1&amp;""[\w &amp;]*, (\d+\.\d+)""),"""")
"),"")</f>
        <v/>
      </c>
      <c r="O488" s="3" t="str">
        <f aca="false">IFERROR(__xludf.dummyfunction("if($T488&lt;&gt;"""",REGEXEXTRACT($T488, O$1&amp;""[\w &amp;]*, (\d+\.\d+)""),"""")
"),"")</f>
        <v/>
      </c>
      <c r="P488" s="2"/>
      <c r="Q488" s="2"/>
      <c r="R488" s="2"/>
      <c r="S488" s="2"/>
      <c r="T488" s="5"/>
    </row>
    <row r="489" customFormat="false" ht="15.75" hidden="false" customHeight="false" outlineLevel="0" collapsed="false">
      <c r="A489" s="4"/>
      <c r="B489" s="2"/>
      <c r="C489" s="2"/>
      <c r="D489" s="2"/>
      <c r="E489" s="2"/>
      <c r="F489" s="3" t="str">
        <f aca="false">IFERROR(__xludf.dummyfunction("if($T489&lt;&gt;"""",REGEXEXTRACT(SUBSTITUTE ($T489,F$1&amp;"" CE"",""""), F$1&amp;""[\w &amp;]*, (\d+\.\d+)""),"""")
"),"")</f>
        <v/>
      </c>
      <c r="G489" s="3" t="str">
        <f aca="false">IFERROR(__xludf.dummyfunction("if($T489&lt;&gt;"""",REGEXEXTRACT($T489, G$1&amp;""[\w &amp;]*, (\d+\.\d+)""),"""")
"),"")</f>
        <v/>
      </c>
      <c r="H489" s="3"/>
      <c r="I489" s="3" t="str">
        <f aca="false">IFERROR(__xludf.dummyfunction("if($T489&lt;&gt;"""",REGEXEXTRACT(SUBSTITUTE ($T489,I$1&amp;"" CE"",""""), I$1&amp;""[\w &amp;]*, (\d+\.\d+)""),"""")
"),"")</f>
        <v/>
      </c>
      <c r="J489" s="3" t="str">
        <f aca="false">IFERROR(__xludf.dummyfunction("if($T489&lt;&gt;"""",REGEXEXTRACT($T489, J$1&amp;""[\w &amp;]*, (\d+\.\d+)""),"""")
"),"")</f>
        <v/>
      </c>
      <c r="K489" s="3"/>
      <c r="L489" s="3" t="str">
        <f aca="false">IFERROR(__xludf.dummyfunction("if($T489&lt;&gt;"""",REGEXEXTRACT(SUBSTITUTE ($T489,L$1&amp;"" CE"",""""), L$1&amp;""[\w &amp;]*, (\d+\.\d+)""),"""")
"),"")</f>
        <v/>
      </c>
      <c r="M489" s="3" t="str">
        <f aca="false">IFERROR(__xludf.dummyfunction("if($T489&lt;&gt;"""",REGEXEXTRACT($T489, M$1&amp;""[\w &amp;]*, (\d+\.\d+)""),"""")
"),"")</f>
        <v/>
      </c>
      <c r="N489" s="3" t="str">
        <f aca="false">IFERROR(__xludf.dummyfunction("if($T489&lt;&gt;"""",REGEXEXTRACT(SUBSTITUTE ($T489,N$1&amp;"" CE"",""""), N$1&amp;""[\w &amp;]*, (\d+\.\d+)""),"""")
"),"")</f>
        <v/>
      </c>
      <c r="O489" s="3" t="str">
        <f aca="false">IFERROR(__xludf.dummyfunction("if($T489&lt;&gt;"""",REGEXEXTRACT($T489, O$1&amp;""[\w &amp;]*, (\d+\.\d+)""),"""")
"),"")</f>
        <v/>
      </c>
      <c r="P489" s="2"/>
      <c r="Q489" s="2"/>
      <c r="R489" s="2"/>
      <c r="S489" s="2"/>
      <c r="T489" s="5"/>
    </row>
    <row r="490" customFormat="false" ht="15.75" hidden="false" customHeight="false" outlineLevel="0" collapsed="false">
      <c r="A490" s="4"/>
      <c r="B490" s="2"/>
      <c r="C490" s="2"/>
      <c r="D490" s="2"/>
      <c r="E490" s="2"/>
      <c r="F490" s="3" t="str">
        <f aca="false">IFERROR(__xludf.dummyfunction("if($T490&lt;&gt;"""",REGEXEXTRACT(SUBSTITUTE ($T490,F$1&amp;"" CE"",""""), F$1&amp;""[\w &amp;]*, (\d+\.\d+)""),"""")
"),"")</f>
        <v/>
      </c>
      <c r="G490" s="3" t="str">
        <f aca="false">IFERROR(__xludf.dummyfunction("if($T490&lt;&gt;"""",REGEXEXTRACT($T490, G$1&amp;""[\w &amp;]*, (\d+\.\d+)""),"""")
"),"")</f>
        <v/>
      </c>
      <c r="H490" s="3"/>
      <c r="I490" s="3" t="str">
        <f aca="false">IFERROR(__xludf.dummyfunction("if($T490&lt;&gt;"""",REGEXEXTRACT(SUBSTITUTE ($T490,I$1&amp;"" CE"",""""), I$1&amp;""[\w &amp;]*, (\d+\.\d+)""),"""")
"),"")</f>
        <v/>
      </c>
      <c r="J490" s="3" t="str">
        <f aca="false">IFERROR(__xludf.dummyfunction("if($T490&lt;&gt;"""",REGEXEXTRACT($T490, J$1&amp;""[\w &amp;]*, (\d+\.\d+)""),"""")
"),"")</f>
        <v/>
      </c>
      <c r="K490" s="3"/>
      <c r="L490" s="3" t="str">
        <f aca="false">IFERROR(__xludf.dummyfunction("if($T490&lt;&gt;"""",REGEXEXTRACT(SUBSTITUTE ($T490,L$1&amp;"" CE"",""""), L$1&amp;""[\w &amp;]*, (\d+\.\d+)""),"""")
"),"")</f>
        <v/>
      </c>
      <c r="M490" s="3" t="str">
        <f aca="false">IFERROR(__xludf.dummyfunction("if($T490&lt;&gt;"""",REGEXEXTRACT($T490, M$1&amp;""[\w &amp;]*, (\d+\.\d+)""),"""")
"),"")</f>
        <v/>
      </c>
      <c r="N490" s="3" t="str">
        <f aca="false">IFERROR(__xludf.dummyfunction("if($T490&lt;&gt;"""",REGEXEXTRACT(SUBSTITUTE ($T490,N$1&amp;"" CE"",""""), N$1&amp;""[\w &amp;]*, (\d+\.\d+)""),"""")
"),"")</f>
        <v/>
      </c>
      <c r="O490" s="3" t="str">
        <f aca="false">IFERROR(__xludf.dummyfunction("if($T490&lt;&gt;"""",REGEXEXTRACT($T490, O$1&amp;""[\w &amp;]*, (\d+\.\d+)""),"""")
"),"")</f>
        <v/>
      </c>
      <c r="P490" s="2"/>
      <c r="Q490" s="2"/>
      <c r="R490" s="2"/>
      <c r="S490" s="2"/>
      <c r="T490" s="5"/>
    </row>
    <row r="491" customFormat="false" ht="15.75" hidden="false" customHeight="false" outlineLevel="0" collapsed="false">
      <c r="A491" s="4"/>
      <c r="B491" s="2"/>
      <c r="C491" s="2"/>
      <c r="D491" s="2"/>
      <c r="E491" s="2"/>
      <c r="F491" s="3" t="str">
        <f aca="false">IFERROR(__xludf.dummyfunction("if($T491&lt;&gt;"""",REGEXEXTRACT(SUBSTITUTE ($T491,F$1&amp;"" CE"",""""), F$1&amp;""[\w &amp;]*, (\d+\.\d+)""),"""")
"),"")</f>
        <v/>
      </c>
      <c r="G491" s="3" t="str">
        <f aca="false">IFERROR(__xludf.dummyfunction("if($T491&lt;&gt;"""",REGEXEXTRACT($T491, G$1&amp;""[\w &amp;]*, (\d+\.\d+)""),"""")
"),"")</f>
        <v/>
      </c>
      <c r="H491" s="3"/>
      <c r="I491" s="3" t="str">
        <f aca="false">IFERROR(__xludf.dummyfunction("if($T491&lt;&gt;"""",REGEXEXTRACT(SUBSTITUTE ($T491,I$1&amp;"" CE"",""""), I$1&amp;""[\w &amp;]*, (\d+\.\d+)""),"""")
"),"")</f>
        <v/>
      </c>
      <c r="J491" s="3" t="str">
        <f aca="false">IFERROR(__xludf.dummyfunction("if($T491&lt;&gt;"""",REGEXEXTRACT($T491, J$1&amp;""[\w &amp;]*, (\d+\.\d+)""),"""")
"),"")</f>
        <v/>
      </c>
      <c r="K491" s="3"/>
      <c r="L491" s="3" t="str">
        <f aca="false">IFERROR(__xludf.dummyfunction("if($T491&lt;&gt;"""",REGEXEXTRACT(SUBSTITUTE ($T491,L$1&amp;"" CE"",""""), L$1&amp;""[\w &amp;]*, (\d+\.\d+)""),"""")
"),"")</f>
        <v/>
      </c>
      <c r="M491" s="3" t="str">
        <f aca="false">IFERROR(__xludf.dummyfunction("if($T491&lt;&gt;"""",REGEXEXTRACT($T491, M$1&amp;""[\w &amp;]*, (\d+\.\d+)""),"""")
"),"")</f>
        <v/>
      </c>
      <c r="N491" s="3" t="str">
        <f aca="false">IFERROR(__xludf.dummyfunction("if($T491&lt;&gt;"""",REGEXEXTRACT(SUBSTITUTE ($T491,N$1&amp;"" CE"",""""), N$1&amp;""[\w &amp;]*, (\d+\.\d+)""),"""")
"),"")</f>
        <v/>
      </c>
      <c r="O491" s="3" t="str">
        <f aca="false">IFERROR(__xludf.dummyfunction("if($T491&lt;&gt;"""",REGEXEXTRACT($T491, O$1&amp;""[\w &amp;]*, (\d+\.\d+)""),"""")
"),"")</f>
        <v/>
      </c>
      <c r="P491" s="2"/>
      <c r="Q491" s="2"/>
      <c r="R491" s="2"/>
      <c r="S491" s="2"/>
      <c r="T491" s="5"/>
    </row>
    <row r="492" customFormat="false" ht="15.75" hidden="false" customHeight="false" outlineLevel="0" collapsed="false">
      <c r="A492" s="4"/>
      <c r="B492" s="2"/>
      <c r="C492" s="2"/>
      <c r="D492" s="2"/>
      <c r="E492" s="2"/>
      <c r="F492" s="3" t="str">
        <f aca="false">IFERROR(__xludf.dummyfunction("if($T492&lt;&gt;"""",REGEXEXTRACT(SUBSTITUTE ($T492,F$1&amp;"" CE"",""""), F$1&amp;""[\w &amp;]*, (\d+\.\d+)""),"""")
"),"")</f>
        <v/>
      </c>
      <c r="G492" s="3" t="str">
        <f aca="false">IFERROR(__xludf.dummyfunction("if($T492&lt;&gt;"""",REGEXEXTRACT($T492, G$1&amp;""[\w &amp;]*, (\d+\.\d+)""),"""")
"),"")</f>
        <v/>
      </c>
      <c r="H492" s="3"/>
      <c r="I492" s="3" t="str">
        <f aca="false">IFERROR(__xludf.dummyfunction("if($T492&lt;&gt;"""",REGEXEXTRACT(SUBSTITUTE ($T492,I$1&amp;"" CE"",""""), I$1&amp;""[\w &amp;]*, (\d+\.\d+)""),"""")
"),"")</f>
        <v/>
      </c>
      <c r="J492" s="3" t="str">
        <f aca="false">IFERROR(__xludf.dummyfunction("if($T492&lt;&gt;"""",REGEXEXTRACT($T492, J$1&amp;""[\w &amp;]*, (\d+\.\d+)""),"""")
"),"")</f>
        <v/>
      </c>
      <c r="K492" s="3"/>
      <c r="L492" s="3" t="str">
        <f aca="false">IFERROR(__xludf.dummyfunction("if($T492&lt;&gt;"""",REGEXEXTRACT(SUBSTITUTE ($T492,L$1&amp;"" CE"",""""), L$1&amp;""[\w &amp;]*, (\d+\.\d+)""),"""")
"),"")</f>
        <v/>
      </c>
      <c r="M492" s="3" t="str">
        <f aca="false">IFERROR(__xludf.dummyfunction("if($T492&lt;&gt;"""",REGEXEXTRACT($T492, M$1&amp;""[\w &amp;]*, (\d+\.\d+)""),"""")
"),"")</f>
        <v/>
      </c>
      <c r="N492" s="3" t="str">
        <f aca="false">IFERROR(__xludf.dummyfunction("if($T492&lt;&gt;"""",REGEXEXTRACT(SUBSTITUTE ($T492,N$1&amp;"" CE"",""""), N$1&amp;""[\w &amp;]*, (\d+\.\d+)""),"""")
"),"")</f>
        <v/>
      </c>
      <c r="O492" s="3" t="str">
        <f aca="false">IFERROR(__xludf.dummyfunction("if($T492&lt;&gt;"""",REGEXEXTRACT($T492, O$1&amp;""[\w &amp;]*, (\d+\.\d+)""),"""")
"),"")</f>
        <v/>
      </c>
      <c r="P492" s="2"/>
      <c r="Q492" s="2"/>
      <c r="R492" s="2"/>
      <c r="S492" s="2"/>
      <c r="T492" s="5"/>
    </row>
    <row r="493" customFormat="false" ht="15.75" hidden="false" customHeight="false" outlineLevel="0" collapsed="false">
      <c r="A493" s="4"/>
      <c r="B493" s="2"/>
      <c r="C493" s="2"/>
      <c r="D493" s="2"/>
      <c r="E493" s="2"/>
      <c r="F493" s="3" t="str">
        <f aca="false">IFERROR(__xludf.dummyfunction("if($T493&lt;&gt;"""",REGEXEXTRACT(SUBSTITUTE ($T493,F$1&amp;"" CE"",""""), F$1&amp;""[\w &amp;]*, (\d+\.\d+)""),"""")
"),"")</f>
        <v/>
      </c>
      <c r="G493" s="3" t="str">
        <f aca="false">IFERROR(__xludf.dummyfunction("if($T493&lt;&gt;"""",REGEXEXTRACT($T493, G$1&amp;""[\w &amp;]*, (\d+\.\d+)""),"""")
"),"")</f>
        <v/>
      </c>
      <c r="H493" s="3"/>
      <c r="I493" s="3" t="str">
        <f aca="false">IFERROR(__xludf.dummyfunction("if($T493&lt;&gt;"""",REGEXEXTRACT(SUBSTITUTE ($T493,I$1&amp;"" CE"",""""), I$1&amp;""[\w &amp;]*, (\d+\.\d+)""),"""")
"),"")</f>
        <v/>
      </c>
      <c r="J493" s="3" t="str">
        <f aca="false">IFERROR(__xludf.dummyfunction("if($T493&lt;&gt;"""",REGEXEXTRACT($T493, J$1&amp;""[\w &amp;]*, (\d+\.\d+)""),"""")
"),"")</f>
        <v/>
      </c>
      <c r="K493" s="3"/>
      <c r="L493" s="3" t="str">
        <f aca="false">IFERROR(__xludf.dummyfunction("if($T493&lt;&gt;"""",REGEXEXTRACT(SUBSTITUTE ($T493,L$1&amp;"" CE"",""""), L$1&amp;""[\w &amp;]*, (\d+\.\d+)""),"""")
"),"")</f>
        <v/>
      </c>
      <c r="M493" s="3" t="str">
        <f aca="false">IFERROR(__xludf.dummyfunction("if($T493&lt;&gt;"""",REGEXEXTRACT($T493, M$1&amp;""[\w &amp;]*, (\d+\.\d+)""),"""")
"),"")</f>
        <v/>
      </c>
      <c r="N493" s="3" t="str">
        <f aca="false">IFERROR(__xludf.dummyfunction("if($T493&lt;&gt;"""",REGEXEXTRACT(SUBSTITUTE ($T493,N$1&amp;"" CE"",""""), N$1&amp;""[\w &amp;]*, (\d+\.\d+)""),"""")
"),"")</f>
        <v/>
      </c>
      <c r="O493" s="3" t="str">
        <f aca="false">IFERROR(__xludf.dummyfunction("if($T493&lt;&gt;"""",REGEXEXTRACT($T493, O$1&amp;""[\w &amp;]*, (\d+\.\d+)""),"""")
"),"")</f>
        <v/>
      </c>
      <c r="P493" s="2"/>
      <c r="Q493" s="2"/>
      <c r="R493" s="2"/>
      <c r="S493" s="2"/>
      <c r="T493" s="5"/>
    </row>
    <row r="494" customFormat="false" ht="15.75" hidden="false" customHeight="false" outlineLevel="0" collapsed="false">
      <c r="A494" s="4"/>
      <c r="B494" s="2"/>
      <c r="C494" s="2"/>
      <c r="D494" s="2"/>
      <c r="E494" s="2"/>
      <c r="F494" s="3" t="str">
        <f aca="false">IFERROR(__xludf.dummyfunction("if($T494&lt;&gt;"""",REGEXEXTRACT(SUBSTITUTE ($T494,F$1&amp;"" CE"",""""), F$1&amp;""[\w &amp;]*, (\d+\.\d+)""),"""")
"),"")</f>
        <v/>
      </c>
      <c r="G494" s="3" t="str">
        <f aca="false">IFERROR(__xludf.dummyfunction("if($T494&lt;&gt;"""",REGEXEXTRACT($T494, G$1&amp;""[\w &amp;]*, (\d+\.\d+)""),"""")
"),"")</f>
        <v/>
      </c>
      <c r="H494" s="3"/>
      <c r="I494" s="3" t="str">
        <f aca="false">IFERROR(__xludf.dummyfunction("if($T494&lt;&gt;"""",REGEXEXTRACT(SUBSTITUTE ($T494,I$1&amp;"" CE"",""""), I$1&amp;""[\w &amp;]*, (\d+\.\d+)""),"""")
"),"")</f>
        <v/>
      </c>
      <c r="J494" s="3" t="str">
        <f aca="false">IFERROR(__xludf.dummyfunction("if($T494&lt;&gt;"""",REGEXEXTRACT($T494, J$1&amp;""[\w &amp;]*, (\d+\.\d+)""),"""")
"),"")</f>
        <v/>
      </c>
      <c r="K494" s="3"/>
      <c r="L494" s="3" t="str">
        <f aca="false">IFERROR(__xludf.dummyfunction("if($T494&lt;&gt;"""",REGEXEXTRACT(SUBSTITUTE ($T494,L$1&amp;"" CE"",""""), L$1&amp;""[\w &amp;]*, (\d+\.\d+)""),"""")
"),"")</f>
        <v/>
      </c>
      <c r="M494" s="3" t="str">
        <f aca="false">IFERROR(__xludf.dummyfunction("if($T494&lt;&gt;"""",REGEXEXTRACT($T494, M$1&amp;""[\w &amp;]*, (\d+\.\d+)""),"""")
"),"")</f>
        <v/>
      </c>
      <c r="N494" s="3" t="str">
        <f aca="false">IFERROR(__xludf.dummyfunction("if($T494&lt;&gt;"""",REGEXEXTRACT(SUBSTITUTE ($T494,N$1&amp;"" CE"",""""), N$1&amp;""[\w &amp;]*, (\d+\.\d+)""),"""")
"),"")</f>
        <v/>
      </c>
      <c r="O494" s="3" t="str">
        <f aca="false">IFERROR(__xludf.dummyfunction("if($T494&lt;&gt;"""",REGEXEXTRACT($T494, O$1&amp;""[\w &amp;]*, (\d+\.\d+)""),"""")
"),"")</f>
        <v/>
      </c>
      <c r="P494" s="2"/>
      <c r="Q494" s="2"/>
      <c r="R494" s="2"/>
      <c r="S494" s="2"/>
      <c r="T494" s="5"/>
    </row>
    <row r="495" customFormat="false" ht="15.75" hidden="false" customHeight="false" outlineLevel="0" collapsed="false">
      <c r="A495" s="4"/>
      <c r="B495" s="2"/>
      <c r="C495" s="2"/>
      <c r="D495" s="2"/>
      <c r="E495" s="2"/>
      <c r="F495" s="3" t="str">
        <f aca="false">IFERROR(__xludf.dummyfunction("if($T495&lt;&gt;"""",REGEXEXTRACT(SUBSTITUTE ($T495,F$1&amp;"" CE"",""""), F$1&amp;""[\w &amp;]*, (\d+\.\d+)""),"""")
"),"")</f>
        <v/>
      </c>
      <c r="G495" s="3" t="str">
        <f aca="false">IFERROR(__xludf.dummyfunction("if($T495&lt;&gt;"""",REGEXEXTRACT($T495, G$1&amp;""[\w &amp;]*, (\d+\.\d+)""),"""")
"),"")</f>
        <v/>
      </c>
      <c r="H495" s="3"/>
      <c r="I495" s="3" t="str">
        <f aca="false">IFERROR(__xludf.dummyfunction("if($T495&lt;&gt;"""",REGEXEXTRACT(SUBSTITUTE ($T495,I$1&amp;"" CE"",""""), I$1&amp;""[\w &amp;]*, (\d+\.\d+)""),"""")
"),"")</f>
        <v/>
      </c>
      <c r="J495" s="3" t="str">
        <f aca="false">IFERROR(__xludf.dummyfunction("if($T495&lt;&gt;"""",REGEXEXTRACT($T495, J$1&amp;""[\w &amp;]*, (\d+\.\d+)""),"""")
"),"")</f>
        <v/>
      </c>
      <c r="K495" s="3"/>
      <c r="L495" s="3" t="str">
        <f aca="false">IFERROR(__xludf.dummyfunction("if($T495&lt;&gt;"""",REGEXEXTRACT(SUBSTITUTE ($T495,L$1&amp;"" CE"",""""), L$1&amp;""[\w &amp;]*, (\d+\.\d+)""),"""")
"),"")</f>
        <v/>
      </c>
      <c r="M495" s="3" t="str">
        <f aca="false">IFERROR(__xludf.dummyfunction("if($T495&lt;&gt;"""",REGEXEXTRACT($T495, M$1&amp;""[\w &amp;]*, (\d+\.\d+)""),"""")
"),"")</f>
        <v/>
      </c>
      <c r="N495" s="3" t="str">
        <f aca="false">IFERROR(__xludf.dummyfunction("if($T495&lt;&gt;"""",REGEXEXTRACT(SUBSTITUTE ($T495,N$1&amp;"" CE"",""""), N$1&amp;""[\w &amp;]*, (\d+\.\d+)""),"""")
"),"")</f>
        <v/>
      </c>
      <c r="O495" s="3" t="str">
        <f aca="false">IFERROR(__xludf.dummyfunction("if($T495&lt;&gt;"""",REGEXEXTRACT($T495, O$1&amp;""[\w &amp;]*, (\d+\.\d+)""),"""")
"),"")</f>
        <v/>
      </c>
      <c r="P495" s="2"/>
      <c r="Q495" s="2"/>
      <c r="R495" s="2"/>
      <c r="S495" s="2"/>
      <c r="T495" s="5"/>
    </row>
    <row r="496" customFormat="false" ht="15.75" hidden="false" customHeight="false" outlineLevel="0" collapsed="false">
      <c r="A496" s="4"/>
      <c r="B496" s="2"/>
      <c r="C496" s="2"/>
      <c r="D496" s="2"/>
      <c r="E496" s="2"/>
      <c r="F496" s="3" t="str">
        <f aca="false">IFERROR(__xludf.dummyfunction("if($T496&lt;&gt;"""",REGEXEXTRACT(SUBSTITUTE ($T496,F$1&amp;"" CE"",""""), F$1&amp;""[\w &amp;]*, (\d+\.\d+)""),"""")
"),"")</f>
        <v/>
      </c>
      <c r="G496" s="3" t="str">
        <f aca="false">IFERROR(__xludf.dummyfunction("if($T496&lt;&gt;"""",REGEXEXTRACT($T496, G$1&amp;""[\w &amp;]*, (\d+\.\d+)""),"""")
"),"")</f>
        <v/>
      </c>
      <c r="H496" s="3"/>
      <c r="I496" s="3" t="str">
        <f aca="false">IFERROR(__xludf.dummyfunction("if($T496&lt;&gt;"""",REGEXEXTRACT(SUBSTITUTE ($T496,I$1&amp;"" CE"",""""), I$1&amp;""[\w &amp;]*, (\d+\.\d+)""),"""")
"),"")</f>
        <v/>
      </c>
      <c r="J496" s="3" t="str">
        <f aca="false">IFERROR(__xludf.dummyfunction("if($T496&lt;&gt;"""",REGEXEXTRACT($T496, J$1&amp;""[\w &amp;]*, (\d+\.\d+)""),"""")
"),"")</f>
        <v/>
      </c>
      <c r="K496" s="3"/>
      <c r="L496" s="3" t="str">
        <f aca="false">IFERROR(__xludf.dummyfunction("if($T496&lt;&gt;"""",REGEXEXTRACT(SUBSTITUTE ($T496,L$1&amp;"" CE"",""""), L$1&amp;""[\w &amp;]*, (\d+\.\d+)""),"""")
"),"")</f>
        <v/>
      </c>
      <c r="M496" s="3" t="str">
        <f aca="false">IFERROR(__xludf.dummyfunction("if($T496&lt;&gt;"""",REGEXEXTRACT($T496, M$1&amp;""[\w &amp;]*, (\d+\.\d+)""),"""")
"),"")</f>
        <v/>
      </c>
      <c r="N496" s="3" t="str">
        <f aca="false">IFERROR(__xludf.dummyfunction("if($T496&lt;&gt;"""",REGEXEXTRACT(SUBSTITUTE ($T496,N$1&amp;"" CE"",""""), N$1&amp;""[\w &amp;]*, (\d+\.\d+)""),"""")
"),"")</f>
        <v/>
      </c>
      <c r="O496" s="3" t="str">
        <f aca="false">IFERROR(__xludf.dummyfunction("if($T496&lt;&gt;"""",REGEXEXTRACT($T496, O$1&amp;""[\w &amp;]*, (\d+\.\d+)""),"""")
"),"")</f>
        <v/>
      </c>
      <c r="P496" s="2"/>
      <c r="Q496" s="2"/>
      <c r="R496" s="2"/>
      <c r="S496" s="2"/>
      <c r="T496" s="5"/>
    </row>
    <row r="497" customFormat="false" ht="15.75" hidden="false" customHeight="false" outlineLevel="0" collapsed="false">
      <c r="A497" s="4"/>
      <c r="B497" s="2"/>
      <c r="C497" s="2"/>
      <c r="D497" s="2"/>
      <c r="E497" s="2"/>
      <c r="F497" s="3" t="str">
        <f aca="false">IFERROR(__xludf.dummyfunction("if($T497&lt;&gt;"""",REGEXEXTRACT(SUBSTITUTE ($T497,F$1&amp;"" CE"",""""), F$1&amp;""[\w &amp;]*, (\d+\.\d+)""),"""")
"),"")</f>
        <v/>
      </c>
      <c r="G497" s="3" t="str">
        <f aca="false">IFERROR(__xludf.dummyfunction("if($T497&lt;&gt;"""",REGEXEXTRACT($T497, G$1&amp;""[\w &amp;]*, (\d+\.\d+)""),"""")
"),"")</f>
        <v/>
      </c>
      <c r="H497" s="3"/>
      <c r="I497" s="3" t="str">
        <f aca="false">IFERROR(__xludf.dummyfunction("if($T497&lt;&gt;"""",REGEXEXTRACT(SUBSTITUTE ($T497,I$1&amp;"" CE"",""""), I$1&amp;""[\w &amp;]*, (\d+\.\d+)""),"""")
"),"")</f>
        <v/>
      </c>
      <c r="J497" s="3" t="str">
        <f aca="false">IFERROR(__xludf.dummyfunction("if($T497&lt;&gt;"""",REGEXEXTRACT($T497, J$1&amp;""[\w &amp;]*, (\d+\.\d+)""),"""")
"),"")</f>
        <v/>
      </c>
      <c r="K497" s="3"/>
      <c r="L497" s="3" t="str">
        <f aca="false">IFERROR(__xludf.dummyfunction("if($T497&lt;&gt;"""",REGEXEXTRACT(SUBSTITUTE ($T497,L$1&amp;"" CE"",""""), L$1&amp;""[\w &amp;]*, (\d+\.\d+)""),"""")
"),"")</f>
        <v/>
      </c>
      <c r="M497" s="3" t="str">
        <f aca="false">IFERROR(__xludf.dummyfunction("if($T497&lt;&gt;"""",REGEXEXTRACT($T497, M$1&amp;""[\w &amp;]*, (\d+\.\d+)""),"""")
"),"")</f>
        <v/>
      </c>
      <c r="N497" s="3" t="str">
        <f aca="false">IFERROR(__xludf.dummyfunction("if($T497&lt;&gt;"""",REGEXEXTRACT(SUBSTITUTE ($T497,N$1&amp;"" CE"",""""), N$1&amp;""[\w &amp;]*, (\d+\.\d+)""),"""")
"),"")</f>
        <v/>
      </c>
      <c r="O497" s="3" t="str">
        <f aca="false">IFERROR(__xludf.dummyfunction("if($T497&lt;&gt;"""",REGEXEXTRACT($T497, O$1&amp;""[\w &amp;]*, (\d+\.\d+)""),"""")
"),"")</f>
        <v/>
      </c>
      <c r="P497" s="2"/>
      <c r="Q497" s="2"/>
      <c r="R497" s="2"/>
      <c r="S497" s="2"/>
      <c r="T497" s="5"/>
    </row>
    <row r="498" customFormat="false" ht="15.75" hidden="false" customHeight="false" outlineLevel="0" collapsed="false">
      <c r="A498" s="4"/>
      <c r="B498" s="2"/>
      <c r="C498" s="2"/>
      <c r="D498" s="2"/>
      <c r="E498" s="2"/>
      <c r="F498" s="3" t="str">
        <f aca="false">IFERROR(__xludf.dummyfunction("if($T498&lt;&gt;"""",REGEXEXTRACT(SUBSTITUTE ($T498,F$1&amp;"" CE"",""""), F$1&amp;""[\w &amp;]*, (\d+\.\d+)""),"""")
"),"")</f>
        <v/>
      </c>
      <c r="G498" s="3" t="str">
        <f aca="false">IFERROR(__xludf.dummyfunction("if($T498&lt;&gt;"""",REGEXEXTRACT($T498, G$1&amp;""[\w &amp;]*, (\d+\.\d+)""),"""")
"),"")</f>
        <v/>
      </c>
      <c r="H498" s="3"/>
      <c r="I498" s="3" t="str">
        <f aca="false">IFERROR(__xludf.dummyfunction("if($T498&lt;&gt;"""",REGEXEXTRACT(SUBSTITUTE ($T498,I$1&amp;"" CE"",""""), I$1&amp;""[\w &amp;]*, (\d+\.\d+)""),"""")
"),"")</f>
        <v/>
      </c>
      <c r="J498" s="3" t="str">
        <f aca="false">IFERROR(__xludf.dummyfunction("if($T498&lt;&gt;"""",REGEXEXTRACT($T498, J$1&amp;""[\w &amp;]*, (\d+\.\d+)""),"""")
"),"")</f>
        <v/>
      </c>
      <c r="K498" s="3"/>
      <c r="L498" s="3" t="str">
        <f aca="false">IFERROR(__xludf.dummyfunction("if($T498&lt;&gt;"""",REGEXEXTRACT(SUBSTITUTE ($T498,L$1&amp;"" CE"",""""), L$1&amp;""[\w &amp;]*, (\d+\.\d+)""),"""")
"),"")</f>
        <v/>
      </c>
      <c r="M498" s="3" t="str">
        <f aca="false">IFERROR(__xludf.dummyfunction("if($T498&lt;&gt;"""",REGEXEXTRACT($T498, M$1&amp;""[\w &amp;]*, (\d+\.\d+)""),"""")
"),"")</f>
        <v/>
      </c>
      <c r="N498" s="3" t="str">
        <f aca="false">IFERROR(__xludf.dummyfunction("if($T498&lt;&gt;"""",REGEXEXTRACT(SUBSTITUTE ($T498,N$1&amp;"" CE"",""""), N$1&amp;""[\w &amp;]*, (\d+\.\d+)""),"""")
"),"")</f>
        <v/>
      </c>
      <c r="O498" s="3" t="str">
        <f aca="false">IFERROR(__xludf.dummyfunction("if($T498&lt;&gt;"""",REGEXEXTRACT($T498, O$1&amp;""[\w &amp;]*, (\d+\.\d+)""),"""")
"),"")</f>
        <v/>
      </c>
      <c r="P498" s="2"/>
      <c r="Q498" s="2"/>
      <c r="R498" s="2"/>
      <c r="S498" s="2"/>
      <c r="T498" s="5"/>
    </row>
    <row r="499" customFormat="false" ht="15.75" hidden="false" customHeight="false" outlineLevel="0" collapsed="false">
      <c r="A499" s="4"/>
      <c r="B499" s="2"/>
      <c r="C499" s="2"/>
      <c r="D499" s="2"/>
      <c r="E499" s="2"/>
      <c r="F499" s="3" t="str">
        <f aca="false">IFERROR(__xludf.dummyfunction("if($T499&lt;&gt;"""",REGEXEXTRACT(SUBSTITUTE ($T499,F$1&amp;"" CE"",""""), F$1&amp;""[\w &amp;]*, (\d+\.\d+)""),"""")
"),"")</f>
        <v/>
      </c>
      <c r="G499" s="3" t="str">
        <f aca="false">IFERROR(__xludf.dummyfunction("if($T499&lt;&gt;"""",REGEXEXTRACT($T499, G$1&amp;""[\w &amp;]*, (\d+\.\d+)""),"""")
"),"")</f>
        <v/>
      </c>
      <c r="H499" s="3"/>
      <c r="I499" s="3" t="str">
        <f aca="false">IFERROR(__xludf.dummyfunction("if($T499&lt;&gt;"""",REGEXEXTRACT(SUBSTITUTE ($T499,I$1&amp;"" CE"",""""), I$1&amp;""[\w &amp;]*, (\d+\.\d+)""),"""")
"),"")</f>
        <v/>
      </c>
      <c r="J499" s="3" t="str">
        <f aca="false">IFERROR(__xludf.dummyfunction("if($T499&lt;&gt;"""",REGEXEXTRACT($T499, J$1&amp;""[\w &amp;]*, (\d+\.\d+)""),"""")
"),"")</f>
        <v/>
      </c>
      <c r="K499" s="3"/>
      <c r="L499" s="3" t="str">
        <f aca="false">IFERROR(__xludf.dummyfunction("if($T499&lt;&gt;"""",REGEXEXTRACT(SUBSTITUTE ($T499,L$1&amp;"" CE"",""""), L$1&amp;""[\w &amp;]*, (\d+\.\d+)""),"""")
"),"")</f>
        <v/>
      </c>
      <c r="M499" s="3" t="str">
        <f aca="false">IFERROR(__xludf.dummyfunction("if($T499&lt;&gt;"""",REGEXEXTRACT($T499, M$1&amp;""[\w &amp;]*, (\d+\.\d+)""),"""")
"),"")</f>
        <v/>
      </c>
      <c r="N499" s="3" t="str">
        <f aca="false">IFERROR(__xludf.dummyfunction("if($T499&lt;&gt;"""",REGEXEXTRACT(SUBSTITUTE ($T499,N$1&amp;"" CE"",""""), N$1&amp;""[\w &amp;]*, (\d+\.\d+)""),"""")
"),"")</f>
        <v/>
      </c>
      <c r="O499" s="3" t="str">
        <f aca="false">IFERROR(__xludf.dummyfunction("if($T499&lt;&gt;"""",REGEXEXTRACT($T499, O$1&amp;""[\w &amp;]*, (\d+\.\d+)""),"""")
"),"")</f>
        <v/>
      </c>
      <c r="P499" s="2"/>
      <c r="Q499" s="2"/>
      <c r="R499" s="2"/>
      <c r="S499" s="2"/>
      <c r="T499" s="5"/>
    </row>
    <row r="500" customFormat="false" ht="15.75" hidden="false" customHeight="false" outlineLevel="0" collapsed="false">
      <c r="A500" s="4"/>
      <c r="B500" s="2"/>
      <c r="C500" s="2"/>
      <c r="D500" s="2"/>
      <c r="E500" s="2"/>
      <c r="F500" s="3" t="str">
        <f aca="false">IFERROR(__xludf.dummyfunction("if($T500&lt;&gt;"""",REGEXEXTRACT(SUBSTITUTE ($T500,F$1&amp;"" CE"",""""), F$1&amp;""[\w &amp;]*, (\d+\.\d+)""),"""")
"),"")</f>
        <v/>
      </c>
      <c r="G500" s="3" t="str">
        <f aca="false">IFERROR(__xludf.dummyfunction("if($T500&lt;&gt;"""",REGEXEXTRACT($T500, G$1&amp;""[\w &amp;]*, (\d+\.\d+)""),"""")
"),"")</f>
        <v/>
      </c>
      <c r="H500" s="3"/>
      <c r="I500" s="3" t="str">
        <f aca="false">IFERROR(__xludf.dummyfunction("if($T500&lt;&gt;"""",REGEXEXTRACT(SUBSTITUTE ($T500,I$1&amp;"" CE"",""""), I$1&amp;""[\w &amp;]*, (\d+\.\d+)""),"""")
"),"")</f>
        <v/>
      </c>
      <c r="J500" s="3" t="str">
        <f aca="false">IFERROR(__xludf.dummyfunction("if($T500&lt;&gt;"""",REGEXEXTRACT($T500, J$1&amp;""[\w &amp;]*, (\d+\.\d+)""),"""")
"),"")</f>
        <v/>
      </c>
      <c r="K500" s="3"/>
      <c r="L500" s="3" t="str">
        <f aca="false">IFERROR(__xludf.dummyfunction("if($T500&lt;&gt;"""",REGEXEXTRACT(SUBSTITUTE ($T500,L$1&amp;"" CE"",""""), L$1&amp;""[\w &amp;]*, (\d+\.\d+)""),"""")
"),"")</f>
        <v/>
      </c>
      <c r="M500" s="3" t="str">
        <f aca="false">IFERROR(__xludf.dummyfunction("if($T500&lt;&gt;"""",REGEXEXTRACT($T500, M$1&amp;""[\w &amp;]*, (\d+\.\d+)""),"""")
"),"")</f>
        <v/>
      </c>
      <c r="N500" s="3" t="str">
        <f aca="false">IFERROR(__xludf.dummyfunction("if($T500&lt;&gt;"""",REGEXEXTRACT(SUBSTITUTE ($T500,N$1&amp;"" CE"",""""), N$1&amp;""[\w &amp;]*, (\d+\.\d+)""),"""")
"),"")</f>
        <v/>
      </c>
      <c r="O500" s="3" t="str">
        <f aca="false">IFERROR(__xludf.dummyfunction("if($T500&lt;&gt;"""",REGEXEXTRACT($T500, O$1&amp;""[\w &amp;]*, (\d+\.\d+)""),"""")
"),"")</f>
        <v/>
      </c>
      <c r="P500" s="2"/>
      <c r="Q500" s="2"/>
      <c r="R500" s="2"/>
      <c r="S500" s="2"/>
      <c r="T500" s="5"/>
    </row>
    <row r="501" customFormat="false" ht="15.75" hidden="false" customHeight="false" outlineLevel="0" collapsed="false">
      <c r="A501" s="4"/>
      <c r="B501" s="2"/>
      <c r="C501" s="2"/>
      <c r="D501" s="2"/>
      <c r="E501" s="2"/>
      <c r="F501" s="3" t="str">
        <f aca="false">IFERROR(__xludf.dummyfunction("if($T501&lt;&gt;"""",REGEXEXTRACT(SUBSTITUTE ($T501,F$1&amp;"" CE"",""""), F$1&amp;""[\w &amp;]*, (\d+\.\d+)""),"""")
"),"")</f>
        <v/>
      </c>
      <c r="G501" s="3" t="str">
        <f aca="false">IFERROR(__xludf.dummyfunction("if($T501&lt;&gt;"""",REGEXEXTRACT($T501, G$1&amp;""[\w &amp;]*, (\d+\.\d+)""),"""")
"),"")</f>
        <v/>
      </c>
      <c r="H501" s="3"/>
      <c r="I501" s="3" t="str">
        <f aca="false">IFERROR(__xludf.dummyfunction("if($T501&lt;&gt;"""",REGEXEXTRACT(SUBSTITUTE ($T501,I$1&amp;"" CE"",""""), I$1&amp;""[\w &amp;]*, (\d+\.\d+)""),"""")
"),"")</f>
        <v/>
      </c>
      <c r="J501" s="3" t="str">
        <f aca="false">IFERROR(__xludf.dummyfunction("if($T501&lt;&gt;"""",REGEXEXTRACT($T501, J$1&amp;""[\w &amp;]*, (\d+\.\d+)""),"""")
"),"")</f>
        <v/>
      </c>
      <c r="K501" s="3"/>
      <c r="L501" s="3" t="str">
        <f aca="false">IFERROR(__xludf.dummyfunction("if($T501&lt;&gt;"""",REGEXEXTRACT(SUBSTITUTE ($T501,L$1&amp;"" CE"",""""), L$1&amp;""[\w &amp;]*, (\d+\.\d+)""),"""")
"),"")</f>
        <v/>
      </c>
      <c r="M501" s="3" t="str">
        <f aca="false">IFERROR(__xludf.dummyfunction("if($T501&lt;&gt;"""",REGEXEXTRACT($T501, M$1&amp;""[\w &amp;]*, (\d+\.\d+)""),"""")
"),"")</f>
        <v/>
      </c>
      <c r="N501" s="3" t="str">
        <f aca="false">IFERROR(__xludf.dummyfunction("if($T501&lt;&gt;"""",REGEXEXTRACT(SUBSTITUTE ($T501,N$1&amp;"" CE"",""""), N$1&amp;""[\w &amp;]*, (\d+\.\d+)""),"""")
"),"")</f>
        <v/>
      </c>
      <c r="O501" s="3" t="str">
        <f aca="false">IFERROR(__xludf.dummyfunction("if($T501&lt;&gt;"""",REGEXEXTRACT($T501, O$1&amp;""[\w &amp;]*, (\d+\.\d+)""),"""")
"),"")</f>
        <v/>
      </c>
      <c r="P501" s="2"/>
      <c r="Q501" s="2"/>
      <c r="R501" s="2"/>
      <c r="S501" s="2"/>
      <c r="T501" s="5"/>
    </row>
    <row r="502" customFormat="false" ht="15.75" hidden="false" customHeight="false" outlineLevel="0" collapsed="false">
      <c r="A502" s="4"/>
      <c r="B502" s="2"/>
      <c r="C502" s="2"/>
      <c r="D502" s="2"/>
      <c r="E502" s="2"/>
      <c r="F502" s="3" t="str">
        <f aca="false">IFERROR(__xludf.dummyfunction("if($T502&lt;&gt;"""",REGEXEXTRACT(SUBSTITUTE ($T502,F$1&amp;"" CE"",""""), F$1&amp;""[\w &amp;]*, (\d+\.\d+)""),"""")
"),"")</f>
        <v/>
      </c>
      <c r="G502" s="3" t="str">
        <f aca="false">IFERROR(__xludf.dummyfunction("if($T502&lt;&gt;"""",REGEXEXTRACT($T502, G$1&amp;""[\w &amp;]*, (\d+\.\d+)""),"""")
"),"")</f>
        <v/>
      </c>
      <c r="H502" s="3"/>
      <c r="I502" s="3" t="str">
        <f aca="false">IFERROR(__xludf.dummyfunction("if($T502&lt;&gt;"""",REGEXEXTRACT(SUBSTITUTE ($T502,I$1&amp;"" CE"",""""), I$1&amp;""[\w &amp;]*, (\d+\.\d+)""),"""")
"),"")</f>
        <v/>
      </c>
      <c r="J502" s="3" t="str">
        <f aca="false">IFERROR(__xludf.dummyfunction("if($T502&lt;&gt;"""",REGEXEXTRACT($T502, J$1&amp;""[\w &amp;]*, (\d+\.\d+)""),"""")
"),"")</f>
        <v/>
      </c>
      <c r="K502" s="3"/>
      <c r="L502" s="3" t="str">
        <f aca="false">IFERROR(__xludf.dummyfunction("if($T502&lt;&gt;"""",REGEXEXTRACT(SUBSTITUTE ($T502,L$1&amp;"" CE"",""""), L$1&amp;""[\w &amp;]*, (\d+\.\d+)""),"""")
"),"")</f>
        <v/>
      </c>
      <c r="M502" s="3" t="str">
        <f aca="false">IFERROR(__xludf.dummyfunction("if($T502&lt;&gt;"""",REGEXEXTRACT($T502, M$1&amp;""[\w &amp;]*, (\d+\.\d+)""),"""")
"),"")</f>
        <v/>
      </c>
      <c r="N502" s="3" t="str">
        <f aca="false">IFERROR(__xludf.dummyfunction("if($T502&lt;&gt;"""",REGEXEXTRACT(SUBSTITUTE ($T502,N$1&amp;"" CE"",""""), N$1&amp;""[\w &amp;]*, (\d+\.\d+)""),"""")
"),"")</f>
        <v/>
      </c>
      <c r="O502" s="3" t="str">
        <f aca="false">IFERROR(__xludf.dummyfunction("if($T502&lt;&gt;"""",REGEXEXTRACT($T502, O$1&amp;""[\w &amp;]*, (\d+\.\d+)""),"""")
"),"")</f>
        <v/>
      </c>
      <c r="P502" s="2"/>
      <c r="Q502" s="2"/>
      <c r="R502" s="2"/>
      <c r="S502" s="2"/>
      <c r="T502" s="5"/>
    </row>
    <row r="503" customFormat="false" ht="15.75" hidden="false" customHeight="false" outlineLevel="0" collapsed="false">
      <c r="A503" s="4"/>
      <c r="B503" s="2"/>
      <c r="C503" s="2"/>
      <c r="D503" s="2"/>
      <c r="E503" s="2"/>
      <c r="F503" s="3" t="str">
        <f aca="false">IFERROR(__xludf.dummyfunction("if($T503&lt;&gt;"""",REGEXEXTRACT(SUBSTITUTE ($T503,F$1&amp;"" CE"",""""), F$1&amp;""[\w &amp;]*, (\d+\.\d+)""),"""")
"),"")</f>
        <v/>
      </c>
      <c r="G503" s="3" t="str">
        <f aca="false">IFERROR(__xludf.dummyfunction("if($T503&lt;&gt;"""",REGEXEXTRACT($T503, G$1&amp;""[\w &amp;]*, (\d+\.\d+)""),"""")
"),"")</f>
        <v/>
      </c>
      <c r="H503" s="3"/>
      <c r="I503" s="3" t="str">
        <f aca="false">IFERROR(__xludf.dummyfunction("if($T503&lt;&gt;"""",REGEXEXTRACT(SUBSTITUTE ($T503,I$1&amp;"" CE"",""""), I$1&amp;""[\w &amp;]*, (\d+\.\d+)""),"""")
"),"")</f>
        <v/>
      </c>
      <c r="J503" s="3" t="str">
        <f aca="false">IFERROR(__xludf.dummyfunction("if($T503&lt;&gt;"""",REGEXEXTRACT($T503, J$1&amp;""[\w &amp;]*, (\d+\.\d+)""),"""")
"),"")</f>
        <v/>
      </c>
      <c r="K503" s="3"/>
      <c r="L503" s="3" t="str">
        <f aca="false">IFERROR(__xludf.dummyfunction("if($T503&lt;&gt;"""",REGEXEXTRACT(SUBSTITUTE ($T503,L$1&amp;"" CE"",""""), L$1&amp;""[\w &amp;]*, (\d+\.\d+)""),"""")
"),"")</f>
        <v/>
      </c>
      <c r="M503" s="3" t="str">
        <f aca="false">IFERROR(__xludf.dummyfunction("if($T503&lt;&gt;"""",REGEXEXTRACT($T503, M$1&amp;""[\w &amp;]*, (\d+\.\d+)""),"""")
"),"")</f>
        <v/>
      </c>
      <c r="N503" s="3" t="str">
        <f aca="false">IFERROR(__xludf.dummyfunction("if($T503&lt;&gt;"""",REGEXEXTRACT(SUBSTITUTE ($T503,N$1&amp;"" CE"",""""), N$1&amp;""[\w &amp;]*, (\d+\.\d+)""),"""")
"),"")</f>
        <v/>
      </c>
      <c r="O503" s="3" t="str">
        <f aca="false">IFERROR(__xludf.dummyfunction("if($T503&lt;&gt;"""",REGEXEXTRACT($T503, O$1&amp;""[\w &amp;]*, (\d+\.\d+)""),"""")
"),"")</f>
        <v/>
      </c>
      <c r="P503" s="2"/>
      <c r="Q503" s="2"/>
      <c r="R503" s="2"/>
      <c r="S503" s="2"/>
      <c r="T503" s="5"/>
    </row>
    <row r="504" customFormat="false" ht="15.75" hidden="false" customHeight="false" outlineLevel="0" collapsed="false">
      <c r="A504" s="4"/>
      <c r="B504" s="2"/>
      <c r="C504" s="2"/>
      <c r="D504" s="2"/>
      <c r="E504" s="2"/>
      <c r="F504" s="3" t="str">
        <f aca="false">IFERROR(__xludf.dummyfunction("if($T504&lt;&gt;"""",REGEXEXTRACT(SUBSTITUTE ($T504,F$1&amp;"" CE"",""""), F$1&amp;""[\w &amp;]*, (\d+\.\d+)""),"""")
"),"")</f>
        <v/>
      </c>
      <c r="G504" s="3" t="str">
        <f aca="false">IFERROR(__xludf.dummyfunction("if($T504&lt;&gt;"""",REGEXEXTRACT($T504, G$1&amp;""[\w &amp;]*, (\d+\.\d+)""),"""")
"),"")</f>
        <v/>
      </c>
      <c r="H504" s="3"/>
      <c r="I504" s="3" t="str">
        <f aca="false">IFERROR(__xludf.dummyfunction("if($T504&lt;&gt;"""",REGEXEXTRACT(SUBSTITUTE ($T504,I$1&amp;"" CE"",""""), I$1&amp;""[\w &amp;]*, (\d+\.\d+)""),"""")
"),"")</f>
        <v/>
      </c>
      <c r="J504" s="3" t="str">
        <f aca="false">IFERROR(__xludf.dummyfunction("if($T504&lt;&gt;"""",REGEXEXTRACT($T504, J$1&amp;""[\w &amp;]*, (\d+\.\d+)""),"""")
"),"")</f>
        <v/>
      </c>
      <c r="K504" s="3"/>
      <c r="L504" s="3" t="str">
        <f aca="false">IFERROR(__xludf.dummyfunction("if($T504&lt;&gt;"""",REGEXEXTRACT(SUBSTITUTE ($T504,L$1&amp;"" CE"",""""), L$1&amp;""[\w &amp;]*, (\d+\.\d+)""),"""")
"),"")</f>
        <v/>
      </c>
      <c r="M504" s="3" t="str">
        <f aca="false">IFERROR(__xludf.dummyfunction("if($T504&lt;&gt;"""",REGEXEXTRACT($T504, M$1&amp;""[\w &amp;]*, (\d+\.\d+)""),"""")
"),"")</f>
        <v/>
      </c>
      <c r="N504" s="3" t="str">
        <f aca="false">IFERROR(__xludf.dummyfunction("if($T504&lt;&gt;"""",REGEXEXTRACT(SUBSTITUTE ($T504,N$1&amp;"" CE"",""""), N$1&amp;""[\w &amp;]*, (\d+\.\d+)""),"""")
"),"")</f>
        <v/>
      </c>
      <c r="O504" s="3" t="str">
        <f aca="false">IFERROR(__xludf.dummyfunction("if($T504&lt;&gt;"""",REGEXEXTRACT($T504, O$1&amp;""[\w &amp;]*, (\d+\.\d+)""),"""")
"),"")</f>
        <v/>
      </c>
      <c r="P504" s="2"/>
      <c r="Q504" s="2"/>
      <c r="R504" s="2"/>
      <c r="S504" s="2"/>
      <c r="T504" s="5"/>
    </row>
    <row r="505" customFormat="false" ht="15.75" hidden="false" customHeight="false" outlineLevel="0" collapsed="false">
      <c r="A505" s="4"/>
      <c r="B505" s="2"/>
      <c r="C505" s="2"/>
      <c r="D505" s="2"/>
      <c r="E505" s="2"/>
      <c r="F505" s="3" t="str">
        <f aca="false">IFERROR(__xludf.dummyfunction("if($T505&lt;&gt;"""",REGEXEXTRACT(SUBSTITUTE ($T505,F$1&amp;"" CE"",""""), F$1&amp;""[\w &amp;]*, (\d+\.\d+)""),"""")
"),"")</f>
        <v/>
      </c>
      <c r="G505" s="3" t="str">
        <f aca="false">IFERROR(__xludf.dummyfunction("if($T505&lt;&gt;"""",REGEXEXTRACT($T505, G$1&amp;""[\w &amp;]*, (\d+\.\d+)""),"""")
"),"")</f>
        <v/>
      </c>
      <c r="H505" s="3"/>
      <c r="I505" s="3" t="str">
        <f aca="false">IFERROR(__xludf.dummyfunction("if($T505&lt;&gt;"""",REGEXEXTRACT(SUBSTITUTE ($T505,I$1&amp;"" CE"",""""), I$1&amp;""[\w &amp;]*, (\d+\.\d+)""),"""")
"),"")</f>
        <v/>
      </c>
      <c r="J505" s="3" t="str">
        <f aca="false">IFERROR(__xludf.dummyfunction("if($T505&lt;&gt;"""",REGEXEXTRACT($T505, J$1&amp;""[\w &amp;]*, (\d+\.\d+)""),"""")
"),"")</f>
        <v/>
      </c>
      <c r="K505" s="3"/>
      <c r="L505" s="3" t="str">
        <f aca="false">IFERROR(__xludf.dummyfunction("if($T505&lt;&gt;"""",REGEXEXTRACT(SUBSTITUTE ($T505,L$1&amp;"" CE"",""""), L$1&amp;""[\w &amp;]*, (\d+\.\d+)""),"""")
"),"")</f>
        <v/>
      </c>
      <c r="M505" s="3" t="str">
        <f aca="false">IFERROR(__xludf.dummyfunction("if($T505&lt;&gt;"""",REGEXEXTRACT($T505, M$1&amp;""[\w &amp;]*, (\d+\.\d+)""),"""")
"),"")</f>
        <v/>
      </c>
      <c r="N505" s="3" t="str">
        <f aca="false">IFERROR(__xludf.dummyfunction("if($T505&lt;&gt;"""",REGEXEXTRACT(SUBSTITUTE ($T505,N$1&amp;"" CE"",""""), N$1&amp;""[\w &amp;]*, (\d+\.\d+)""),"""")
"),"")</f>
        <v/>
      </c>
      <c r="O505" s="3" t="str">
        <f aca="false">IFERROR(__xludf.dummyfunction("if($T505&lt;&gt;"""",REGEXEXTRACT($T505, O$1&amp;""[\w &amp;]*, (\d+\.\d+)""),"""")
"),"")</f>
        <v/>
      </c>
      <c r="P505" s="2"/>
      <c r="Q505" s="2"/>
      <c r="R505" s="2"/>
      <c r="S505" s="2"/>
      <c r="T505" s="5"/>
    </row>
    <row r="506" customFormat="false" ht="15.75" hidden="false" customHeight="false" outlineLevel="0" collapsed="false">
      <c r="A506" s="4"/>
      <c r="B506" s="2"/>
      <c r="C506" s="2"/>
      <c r="D506" s="2"/>
      <c r="E506" s="2"/>
      <c r="F506" s="3" t="str">
        <f aca="false">IFERROR(__xludf.dummyfunction("if($T506&lt;&gt;"""",REGEXEXTRACT(SUBSTITUTE ($T506,F$1&amp;"" CE"",""""), F$1&amp;""[\w &amp;]*, (\d+\.\d+)""),"""")
"),"")</f>
        <v/>
      </c>
      <c r="G506" s="3" t="str">
        <f aca="false">IFERROR(__xludf.dummyfunction("if($T506&lt;&gt;"""",REGEXEXTRACT($T506, G$1&amp;""[\w &amp;]*, (\d+\.\d+)""),"""")
"),"")</f>
        <v/>
      </c>
      <c r="H506" s="3"/>
      <c r="I506" s="3" t="str">
        <f aca="false">IFERROR(__xludf.dummyfunction("if($T506&lt;&gt;"""",REGEXEXTRACT(SUBSTITUTE ($T506,I$1&amp;"" CE"",""""), I$1&amp;""[\w &amp;]*, (\d+\.\d+)""),"""")
"),"")</f>
        <v/>
      </c>
      <c r="J506" s="3" t="str">
        <f aca="false">IFERROR(__xludf.dummyfunction("if($T506&lt;&gt;"""",REGEXEXTRACT($T506, J$1&amp;""[\w &amp;]*, (\d+\.\d+)""),"""")
"),"")</f>
        <v/>
      </c>
      <c r="K506" s="3"/>
      <c r="L506" s="3" t="str">
        <f aca="false">IFERROR(__xludf.dummyfunction("if($T506&lt;&gt;"""",REGEXEXTRACT(SUBSTITUTE ($T506,L$1&amp;"" CE"",""""), L$1&amp;""[\w &amp;]*, (\d+\.\d+)""),"""")
"),"")</f>
        <v/>
      </c>
      <c r="M506" s="3" t="str">
        <f aca="false">IFERROR(__xludf.dummyfunction("if($T506&lt;&gt;"""",REGEXEXTRACT($T506, M$1&amp;""[\w &amp;]*, (\d+\.\d+)""),"""")
"),"")</f>
        <v/>
      </c>
      <c r="N506" s="3" t="str">
        <f aca="false">IFERROR(__xludf.dummyfunction("if($T506&lt;&gt;"""",REGEXEXTRACT(SUBSTITUTE ($T506,N$1&amp;"" CE"",""""), N$1&amp;""[\w &amp;]*, (\d+\.\d+)""),"""")
"),"")</f>
        <v/>
      </c>
      <c r="O506" s="3" t="str">
        <f aca="false">IFERROR(__xludf.dummyfunction("if($T506&lt;&gt;"""",REGEXEXTRACT($T506, O$1&amp;""[\w &amp;]*, (\d+\.\d+)""),"""")
"),"")</f>
        <v/>
      </c>
      <c r="P506" s="2"/>
      <c r="Q506" s="2"/>
      <c r="R506" s="2"/>
      <c r="S506" s="2"/>
      <c r="T506" s="5"/>
    </row>
    <row r="507" customFormat="false" ht="15.75" hidden="false" customHeight="false" outlineLevel="0" collapsed="false">
      <c r="A507" s="4"/>
      <c r="B507" s="2"/>
      <c r="C507" s="2"/>
      <c r="D507" s="2"/>
      <c r="E507" s="2"/>
      <c r="F507" s="3" t="str">
        <f aca="false">IFERROR(__xludf.dummyfunction("if($T507&lt;&gt;"""",REGEXEXTRACT(SUBSTITUTE ($T507,F$1&amp;"" CE"",""""), F$1&amp;""[\w &amp;]*, (\d+\.\d+)""),"""")
"),"")</f>
        <v/>
      </c>
      <c r="G507" s="3" t="str">
        <f aca="false">IFERROR(__xludf.dummyfunction("if($T507&lt;&gt;"""",REGEXEXTRACT($T507, G$1&amp;""[\w &amp;]*, (\d+\.\d+)""),"""")
"),"")</f>
        <v/>
      </c>
      <c r="H507" s="3"/>
      <c r="I507" s="3" t="str">
        <f aca="false">IFERROR(__xludf.dummyfunction("if($T507&lt;&gt;"""",REGEXEXTRACT(SUBSTITUTE ($T507,I$1&amp;"" CE"",""""), I$1&amp;""[\w &amp;]*, (\d+\.\d+)""),"""")
"),"")</f>
        <v/>
      </c>
      <c r="J507" s="3" t="str">
        <f aca="false">IFERROR(__xludf.dummyfunction("if($T507&lt;&gt;"""",REGEXEXTRACT($T507, J$1&amp;""[\w &amp;]*, (\d+\.\d+)""),"""")
"),"")</f>
        <v/>
      </c>
      <c r="K507" s="3"/>
      <c r="L507" s="3" t="str">
        <f aca="false">IFERROR(__xludf.dummyfunction("if($T507&lt;&gt;"""",REGEXEXTRACT(SUBSTITUTE ($T507,L$1&amp;"" CE"",""""), L$1&amp;""[\w &amp;]*, (\d+\.\d+)""),"""")
"),"")</f>
        <v/>
      </c>
      <c r="M507" s="3" t="str">
        <f aca="false">IFERROR(__xludf.dummyfunction("if($T507&lt;&gt;"""",REGEXEXTRACT($T507, M$1&amp;""[\w &amp;]*, (\d+\.\d+)""),"""")
"),"")</f>
        <v/>
      </c>
      <c r="N507" s="3" t="str">
        <f aca="false">IFERROR(__xludf.dummyfunction("if($T507&lt;&gt;"""",REGEXEXTRACT(SUBSTITUTE ($T507,N$1&amp;"" CE"",""""), N$1&amp;""[\w &amp;]*, (\d+\.\d+)""),"""")
"),"")</f>
        <v/>
      </c>
      <c r="O507" s="3" t="str">
        <f aca="false">IFERROR(__xludf.dummyfunction("if($T507&lt;&gt;"""",REGEXEXTRACT($T507, O$1&amp;""[\w &amp;]*, (\d+\.\d+)""),"""")
"),"")</f>
        <v/>
      </c>
      <c r="P507" s="2"/>
      <c r="Q507" s="2"/>
      <c r="R507" s="2"/>
      <c r="S507" s="2"/>
      <c r="T507" s="5"/>
    </row>
    <row r="508" customFormat="false" ht="15.75" hidden="false" customHeight="false" outlineLevel="0" collapsed="false">
      <c r="A508" s="4"/>
      <c r="B508" s="2"/>
      <c r="C508" s="2"/>
      <c r="D508" s="2"/>
      <c r="E508" s="2"/>
      <c r="F508" s="3" t="str">
        <f aca="false">IFERROR(__xludf.dummyfunction("if($T508&lt;&gt;"""",REGEXEXTRACT(SUBSTITUTE ($T508,F$1&amp;"" CE"",""""), F$1&amp;""[\w &amp;]*, (\d+\.\d+)""),"""")
"),"")</f>
        <v/>
      </c>
      <c r="G508" s="3" t="str">
        <f aca="false">IFERROR(__xludf.dummyfunction("if($T508&lt;&gt;"""",REGEXEXTRACT($T508, G$1&amp;""[\w &amp;]*, (\d+\.\d+)""),"""")
"),"")</f>
        <v/>
      </c>
      <c r="H508" s="3"/>
      <c r="I508" s="3" t="str">
        <f aca="false">IFERROR(__xludf.dummyfunction("if($T508&lt;&gt;"""",REGEXEXTRACT(SUBSTITUTE ($T508,I$1&amp;"" CE"",""""), I$1&amp;""[\w &amp;]*, (\d+\.\d+)""),"""")
"),"")</f>
        <v/>
      </c>
      <c r="J508" s="3" t="str">
        <f aca="false">IFERROR(__xludf.dummyfunction("if($T508&lt;&gt;"""",REGEXEXTRACT($T508, J$1&amp;""[\w &amp;]*, (\d+\.\d+)""),"""")
"),"")</f>
        <v/>
      </c>
      <c r="K508" s="3"/>
      <c r="L508" s="3" t="str">
        <f aca="false">IFERROR(__xludf.dummyfunction("if($T508&lt;&gt;"""",REGEXEXTRACT(SUBSTITUTE ($T508,L$1&amp;"" CE"",""""), L$1&amp;""[\w &amp;]*, (\d+\.\d+)""),"""")
"),"")</f>
        <v/>
      </c>
      <c r="M508" s="3" t="str">
        <f aca="false">IFERROR(__xludf.dummyfunction("if($T508&lt;&gt;"""",REGEXEXTRACT($T508, M$1&amp;""[\w &amp;]*, (\d+\.\d+)""),"""")
"),"")</f>
        <v/>
      </c>
      <c r="N508" s="3" t="str">
        <f aca="false">IFERROR(__xludf.dummyfunction("if($T508&lt;&gt;"""",REGEXEXTRACT(SUBSTITUTE ($T508,N$1&amp;"" CE"",""""), N$1&amp;""[\w &amp;]*, (\d+\.\d+)""),"""")
"),"")</f>
        <v/>
      </c>
      <c r="O508" s="3" t="str">
        <f aca="false">IFERROR(__xludf.dummyfunction("if($T508&lt;&gt;"""",REGEXEXTRACT($T508, O$1&amp;""[\w &amp;]*, (\d+\.\d+)""),"""")
"),"")</f>
        <v/>
      </c>
      <c r="P508" s="2"/>
      <c r="Q508" s="2"/>
      <c r="R508" s="2"/>
      <c r="S508" s="2"/>
      <c r="T508" s="5"/>
    </row>
    <row r="509" customFormat="false" ht="15.75" hidden="false" customHeight="false" outlineLevel="0" collapsed="false">
      <c r="A509" s="4"/>
      <c r="B509" s="2"/>
      <c r="C509" s="2"/>
      <c r="D509" s="2"/>
      <c r="E509" s="2"/>
      <c r="F509" s="3" t="str">
        <f aca="false">IFERROR(__xludf.dummyfunction("if($T509&lt;&gt;"""",REGEXEXTRACT(SUBSTITUTE ($T509,F$1&amp;"" CE"",""""), F$1&amp;""[\w &amp;]*, (\d+\.\d+)""),"""")
"),"")</f>
        <v/>
      </c>
      <c r="G509" s="3" t="str">
        <f aca="false">IFERROR(__xludf.dummyfunction("if($T509&lt;&gt;"""",REGEXEXTRACT($T509, G$1&amp;""[\w &amp;]*, (\d+\.\d+)""),"""")
"),"")</f>
        <v/>
      </c>
      <c r="H509" s="3"/>
      <c r="I509" s="3" t="str">
        <f aca="false">IFERROR(__xludf.dummyfunction("if($T509&lt;&gt;"""",REGEXEXTRACT(SUBSTITUTE ($T509,I$1&amp;"" CE"",""""), I$1&amp;""[\w &amp;]*, (\d+\.\d+)""),"""")
"),"")</f>
        <v/>
      </c>
      <c r="J509" s="3" t="str">
        <f aca="false">IFERROR(__xludf.dummyfunction("if($T509&lt;&gt;"""",REGEXEXTRACT($T509, J$1&amp;""[\w &amp;]*, (\d+\.\d+)""),"""")
"),"")</f>
        <v/>
      </c>
      <c r="K509" s="3"/>
      <c r="L509" s="3" t="str">
        <f aca="false">IFERROR(__xludf.dummyfunction("if($T509&lt;&gt;"""",REGEXEXTRACT(SUBSTITUTE ($T509,L$1&amp;"" CE"",""""), L$1&amp;""[\w &amp;]*, (\d+\.\d+)""),"""")
"),"")</f>
        <v/>
      </c>
      <c r="M509" s="3" t="str">
        <f aca="false">IFERROR(__xludf.dummyfunction("if($T509&lt;&gt;"""",REGEXEXTRACT($T509, M$1&amp;""[\w &amp;]*, (\d+\.\d+)""),"""")
"),"")</f>
        <v/>
      </c>
      <c r="N509" s="3" t="str">
        <f aca="false">IFERROR(__xludf.dummyfunction("if($T509&lt;&gt;"""",REGEXEXTRACT(SUBSTITUTE ($T509,N$1&amp;"" CE"",""""), N$1&amp;""[\w &amp;]*, (\d+\.\d+)""),"""")
"),"")</f>
        <v/>
      </c>
      <c r="O509" s="3" t="str">
        <f aca="false">IFERROR(__xludf.dummyfunction("if($T509&lt;&gt;"""",REGEXEXTRACT($T509, O$1&amp;""[\w &amp;]*, (\d+\.\d+)""),"""")
"),"")</f>
        <v/>
      </c>
      <c r="P509" s="2"/>
      <c r="Q509" s="2"/>
      <c r="R509" s="2"/>
      <c r="S509" s="2"/>
      <c r="T509" s="5"/>
    </row>
    <row r="510" customFormat="false" ht="15.75" hidden="false" customHeight="false" outlineLevel="0" collapsed="false">
      <c r="A510" s="4"/>
      <c r="B510" s="2"/>
      <c r="C510" s="2"/>
      <c r="D510" s="2"/>
      <c r="E510" s="2"/>
      <c r="F510" s="3" t="str">
        <f aca="false">IFERROR(__xludf.dummyfunction("if($T510&lt;&gt;"""",REGEXEXTRACT(SUBSTITUTE ($T510,F$1&amp;"" CE"",""""), F$1&amp;""[\w &amp;]*, (\d+\.\d+)""),"""")
"),"")</f>
        <v/>
      </c>
      <c r="G510" s="3" t="str">
        <f aca="false">IFERROR(__xludf.dummyfunction("if($T510&lt;&gt;"""",REGEXEXTRACT($T510, G$1&amp;""[\w &amp;]*, (\d+\.\d+)""),"""")
"),"")</f>
        <v/>
      </c>
      <c r="H510" s="3"/>
      <c r="I510" s="3" t="str">
        <f aca="false">IFERROR(__xludf.dummyfunction("if($T510&lt;&gt;"""",REGEXEXTRACT(SUBSTITUTE ($T510,I$1&amp;"" CE"",""""), I$1&amp;""[\w &amp;]*, (\d+\.\d+)""),"""")
"),"")</f>
        <v/>
      </c>
      <c r="J510" s="3" t="str">
        <f aca="false">IFERROR(__xludf.dummyfunction("if($T510&lt;&gt;"""",REGEXEXTRACT($T510, J$1&amp;""[\w &amp;]*, (\d+\.\d+)""),"""")
"),"")</f>
        <v/>
      </c>
      <c r="K510" s="3"/>
      <c r="L510" s="3" t="str">
        <f aca="false">IFERROR(__xludf.dummyfunction("if($T510&lt;&gt;"""",REGEXEXTRACT(SUBSTITUTE ($T510,L$1&amp;"" CE"",""""), L$1&amp;""[\w &amp;]*, (\d+\.\d+)""),"""")
"),"")</f>
        <v/>
      </c>
      <c r="M510" s="3" t="str">
        <f aca="false">IFERROR(__xludf.dummyfunction("if($T510&lt;&gt;"""",REGEXEXTRACT($T510, M$1&amp;""[\w &amp;]*, (\d+\.\d+)""),"""")
"),"")</f>
        <v/>
      </c>
      <c r="N510" s="3" t="str">
        <f aca="false">IFERROR(__xludf.dummyfunction("if($T510&lt;&gt;"""",REGEXEXTRACT(SUBSTITUTE ($T510,N$1&amp;"" CE"",""""), N$1&amp;""[\w &amp;]*, (\d+\.\d+)""),"""")
"),"")</f>
        <v/>
      </c>
      <c r="O510" s="3" t="str">
        <f aca="false">IFERROR(__xludf.dummyfunction("if($T510&lt;&gt;"""",REGEXEXTRACT($T510, O$1&amp;""[\w &amp;]*, (\d+\.\d+)""),"""")
"),"")</f>
        <v/>
      </c>
      <c r="P510" s="2"/>
      <c r="Q510" s="2"/>
      <c r="R510" s="2"/>
      <c r="S510" s="2"/>
      <c r="T510" s="5"/>
    </row>
    <row r="511" customFormat="false" ht="15.75" hidden="false" customHeight="false" outlineLevel="0" collapsed="false">
      <c r="A511" s="4"/>
      <c r="B511" s="2"/>
      <c r="C511" s="2"/>
      <c r="D511" s="2"/>
      <c r="E511" s="2"/>
      <c r="F511" s="3" t="str">
        <f aca="false">IFERROR(__xludf.dummyfunction("if($T511&lt;&gt;"""",REGEXEXTRACT(SUBSTITUTE ($T511,F$1&amp;"" CE"",""""), F$1&amp;""[\w &amp;]*, (\d+\.\d+)""),"""")
"),"")</f>
        <v/>
      </c>
      <c r="G511" s="3" t="str">
        <f aca="false">IFERROR(__xludf.dummyfunction("if($T511&lt;&gt;"""",REGEXEXTRACT($T511, G$1&amp;""[\w &amp;]*, (\d+\.\d+)""),"""")
"),"")</f>
        <v/>
      </c>
      <c r="H511" s="3"/>
      <c r="I511" s="3" t="str">
        <f aca="false">IFERROR(__xludf.dummyfunction("if($T511&lt;&gt;"""",REGEXEXTRACT(SUBSTITUTE ($T511,I$1&amp;"" CE"",""""), I$1&amp;""[\w &amp;]*, (\d+\.\d+)""),"""")
"),"")</f>
        <v/>
      </c>
      <c r="J511" s="3" t="str">
        <f aca="false">IFERROR(__xludf.dummyfunction("if($T511&lt;&gt;"""",REGEXEXTRACT($T511, J$1&amp;""[\w &amp;]*, (\d+\.\d+)""),"""")
"),"")</f>
        <v/>
      </c>
      <c r="K511" s="3"/>
      <c r="L511" s="3" t="str">
        <f aca="false">IFERROR(__xludf.dummyfunction("if($T511&lt;&gt;"""",REGEXEXTRACT(SUBSTITUTE ($T511,L$1&amp;"" CE"",""""), L$1&amp;""[\w &amp;]*, (\d+\.\d+)""),"""")
"),"")</f>
        <v/>
      </c>
      <c r="M511" s="3" t="str">
        <f aca="false">IFERROR(__xludf.dummyfunction("if($T511&lt;&gt;"""",REGEXEXTRACT($T511, M$1&amp;""[\w &amp;]*, (\d+\.\d+)""),"""")
"),"")</f>
        <v/>
      </c>
      <c r="N511" s="3" t="str">
        <f aca="false">IFERROR(__xludf.dummyfunction("if($T511&lt;&gt;"""",REGEXEXTRACT(SUBSTITUTE ($T511,N$1&amp;"" CE"",""""), N$1&amp;""[\w &amp;]*, (\d+\.\d+)""),"""")
"),"")</f>
        <v/>
      </c>
      <c r="O511" s="3" t="str">
        <f aca="false">IFERROR(__xludf.dummyfunction("if($T511&lt;&gt;"""",REGEXEXTRACT($T511, O$1&amp;""[\w &amp;]*, (\d+\.\d+)""),"""")
"),"")</f>
        <v/>
      </c>
      <c r="P511" s="2"/>
      <c r="Q511" s="2"/>
      <c r="R511" s="2"/>
      <c r="S511" s="2"/>
      <c r="T511" s="5"/>
    </row>
    <row r="512" customFormat="false" ht="15.75" hidden="false" customHeight="false" outlineLevel="0" collapsed="false">
      <c r="A512" s="4"/>
      <c r="B512" s="2"/>
      <c r="C512" s="2"/>
      <c r="D512" s="2"/>
      <c r="E512" s="2"/>
      <c r="F512" s="3" t="str">
        <f aca="false">IFERROR(__xludf.dummyfunction("if($T512&lt;&gt;"""",REGEXEXTRACT(SUBSTITUTE ($T512,F$1&amp;"" CE"",""""), F$1&amp;""[\w &amp;]*, (\d+\.\d+)""),"""")
"),"")</f>
        <v/>
      </c>
      <c r="G512" s="3" t="str">
        <f aca="false">IFERROR(__xludf.dummyfunction("if($T512&lt;&gt;"""",REGEXEXTRACT($T512, G$1&amp;""[\w &amp;]*, (\d+\.\d+)""),"""")
"),"")</f>
        <v/>
      </c>
      <c r="H512" s="3"/>
      <c r="I512" s="3" t="str">
        <f aca="false">IFERROR(__xludf.dummyfunction("if($T512&lt;&gt;"""",REGEXEXTRACT(SUBSTITUTE ($T512,I$1&amp;"" CE"",""""), I$1&amp;""[\w &amp;]*, (\d+\.\d+)""),"""")
"),"")</f>
        <v/>
      </c>
      <c r="J512" s="3" t="str">
        <f aca="false">IFERROR(__xludf.dummyfunction("if($T512&lt;&gt;"""",REGEXEXTRACT($T512, J$1&amp;""[\w &amp;]*, (\d+\.\d+)""),"""")
"),"")</f>
        <v/>
      </c>
      <c r="K512" s="3"/>
      <c r="L512" s="3" t="str">
        <f aca="false">IFERROR(__xludf.dummyfunction("if($T512&lt;&gt;"""",REGEXEXTRACT(SUBSTITUTE ($T512,L$1&amp;"" CE"",""""), L$1&amp;""[\w &amp;]*, (\d+\.\d+)""),"""")
"),"")</f>
        <v/>
      </c>
      <c r="M512" s="3" t="str">
        <f aca="false">IFERROR(__xludf.dummyfunction("if($T512&lt;&gt;"""",REGEXEXTRACT($T512, M$1&amp;""[\w &amp;]*, (\d+\.\d+)""),"""")
"),"")</f>
        <v/>
      </c>
      <c r="N512" s="3" t="str">
        <f aca="false">IFERROR(__xludf.dummyfunction("if($T512&lt;&gt;"""",REGEXEXTRACT(SUBSTITUTE ($T512,N$1&amp;"" CE"",""""), N$1&amp;""[\w &amp;]*, (\d+\.\d+)""),"""")
"),"")</f>
        <v/>
      </c>
      <c r="O512" s="3" t="str">
        <f aca="false">IFERROR(__xludf.dummyfunction("if($T512&lt;&gt;"""",REGEXEXTRACT($T512, O$1&amp;""[\w &amp;]*, (\d+\.\d+)""),"""")
"),"")</f>
        <v/>
      </c>
      <c r="P512" s="2"/>
      <c r="Q512" s="2"/>
      <c r="R512" s="2"/>
      <c r="S512" s="2"/>
      <c r="T512" s="5"/>
    </row>
    <row r="513" customFormat="false" ht="15.75" hidden="false" customHeight="false" outlineLevel="0" collapsed="false">
      <c r="A513" s="4"/>
      <c r="B513" s="2"/>
      <c r="C513" s="2"/>
      <c r="D513" s="2"/>
      <c r="E513" s="2"/>
      <c r="F513" s="3" t="str">
        <f aca="false">IFERROR(__xludf.dummyfunction("if($T513&lt;&gt;"""",REGEXEXTRACT(SUBSTITUTE ($T513,F$1&amp;"" CE"",""""), F$1&amp;""[\w &amp;]*, (\d+\.\d+)""),"""")
"),"")</f>
        <v/>
      </c>
      <c r="G513" s="3" t="str">
        <f aca="false">IFERROR(__xludf.dummyfunction("if($T513&lt;&gt;"""",REGEXEXTRACT($T513, G$1&amp;""[\w &amp;]*, (\d+\.\d+)""),"""")
"),"")</f>
        <v/>
      </c>
      <c r="H513" s="3"/>
      <c r="I513" s="3" t="str">
        <f aca="false">IFERROR(__xludf.dummyfunction("if($T513&lt;&gt;"""",REGEXEXTRACT(SUBSTITUTE ($T513,I$1&amp;"" CE"",""""), I$1&amp;""[\w &amp;]*, (\d+\.\d+)""),"""")
"),"")</f>
        <v/>
      </c>
      <c r="J513" s="3" t="str">
        <f aca="false">IFERROR(__xludf.dummyfunction("if($T513&lt;&gt;"""",REGEXEXTRACT($T513, J$1&amp;""[\w &amp;]*, (\d+\.\d+)""),"""")
"),"")</f>
        <v/>
      </c>
      <c r="K513" s="3"/>
      <c r="L513" s="3" t="str">
        <f aca="false">IFERROR(__xludf.dummyfunction("if($T513&lt;&gt;"""",REGEXEXTRACT(SUBSTITUTE ($T513,L$1&amp;"" CE"",""""), L$1&amp;""[\w &amp;]*, (\d+\.\d+)""),"""")
"),"")</f>
        <v/>
      </c>
      <c r="M513" s="3" t="str">
        <f aca="false">IFERROR(__xludf.dummyfunction("if($T513&lt;&gt;"""",REGEXEXTRACT($T513, M$1&amp;""[\w &amp;]*, (\d+\.\d+)""),"""")
"),"")</f>
        <v/>
      </c>
      <c r="N513" s="3" t="str">
        <f aca="false">IFERROR(__xludf.dummyfunction("if($T513&lt;&gt;"""",REGEXEXTRACT(SUBSTITUTE ($T513,N$1&amp;"" CE"",""""), N$1&amp;""[\w &amp;]*, (\d+\.\d+)""),"""")
"),"")</f>
        <v/>
      </c>
      <c r="O513" s="3" t="str">
        <f aca="false">IFERROR(__xludf.dummyfunction("if($T513&lt;&gt;"""",REGEXEXTRACT($T513, O$1&amp;""[\w &amp;]*, (\d+\.\d+)""),"""")
"),"")</f>
        <v/>
      </c>
      <c r="P513" s="2"/>
      <c r="Q513" s="2"/>
      <c r="R513" s="2"/>
      <c r="S513" s="2"/>
      <c r="T513" s="5"/>
    </row>
    <row r="514" customFormat="false" ht="15.75" hidden="false" customHeight="false" outlineLevel="0" collapsed="false">
      <c r="A514" s="4"/>
      <c r="B514" s="2"/>
      <c r="C514" s="2"/>
      <c r="D514" s="2"/>
      <c r="E514" s="2"/>
      <c r="F514" s="3" t="str">
        <f aca="false">IFERROR(__xludf.dummyfunction("if($T514&lt;&gt;"""",REGEXEXTRACT(SUBSTITUTE ($T514,F$1&amp;"" CE"",""""), F$1&amp;""[\w &amp;]*, (\d+\.\d+)""),"""")
"),"")</f>
        <v/>
      </c>
      <c r="G514" s="3" t="str">
        <f aca="false">IFERROR(__xludf.dummyfunction("if($T514&lt;&gt;"""",REGEXEXTRACT($T514, G$1&amp;""[\w &amp;]*, (\d+\.\d+)""),"""")
"),"")</f>
        <v/>
      </c>
      <c r="H514" s="3"/>
      <c r="I514" s="3" t="str">
        <f aca="false">IFERROR(__xludf.dummyfunction("if($T514&lt;&gt;"""",REGEXEXTRACT(SUBSTITUTE ($T514,I$1&amp;"" CE"",""""), I$1&amp;""[\w &amp;]*, (\d+\.\d+)""),"""")
"),"")</f>
        <v/>
      </c>
      <c r="J514" s="3" t="str">
        <f aca="false">IFERROR(__xludf.dummyfunction("if($T514&lt;&gt;"""",REGEXEXTRACT($T514, J$1&amp;""[\w &amp;]*, (\d+\.\d+)""),"""")
"),"")</f>
        <v/>
      </c>
      <c r="K514" s="3"/>
      <c r="L514" s="3" t="str">
        <f aca="false">IFERROR(__xludf.dummyfunction("if($T514&lt;&gt;"""",REGEXEXTRACT(SUBSTITUTE ($T514,L$1&amp;"" CE"",""""), L$1&amp;""[\w &amp;]*, (\d+\.\d+)""),"""")
"),"")</f>
        <v/>
      </c>
      <c r="M514" s="3" t="str">
        <f aca="false">IFERROR(__xludf.dummyfunction("if($T514&lt;&gt;"""",REGEXEXTRACT($T514, M$1&amp;""[\w &amp;]*, (\d+\.\d+)""),"""")
"),"")</f>
        <v/>
      </c>
      <c r="N514" s="3" t="str">
        <f aca="false">IFERROR(__xludf.dummyfunction("if($T514&lt;&gt;"""",REGEXEXTRACT(SUBSTITUTE ($T514,N$1&amp;"" CE"",""""), N$1&amp;""[\w &amp;]*, (\d+\.\d+)""),"""")
"),"")</f>
        <v/>
      </c>
      <c r="O514" s="3" t="str">
        <f aca="false">IFERROR(__xludf.dummyfunction("if($T514&lt;&gt;"""",REGEXEXTRACT($T514, O$1&amp;""[\w &amp;]*, (\d+\.\d+)""),"""")
"),"")</f>
        <v/>
      </c>
      <c r="P514" s="2"/>
      <c r="Q514" s="2"/>
      <c r="R514" s="2"/>
      <c r="S514" s="2"/>
      <c r="T514" s="5"/>
    </row>
    <row r="515" customFormat="false" ht="15.75" hidden="false" customHeight="false" outlineLevel="0" collapsed="false">
      <c r="A515" s="4"/>
      <c r="B515" s="2"/>
      <c r="C515" s="2"/>
      <c r="D515" s="2"/>
      <c r="E515" s="2"/>
      <c r="F515" s="3" t="str">
        <f aca="false">IFERROR(__xludf.dummyfunction("if($T515&lt;&gt;"""",REGEXEXTRACT(SUBSTITUTE ($T515,F$1&amp;"" CE"",""""), F$1&amp;""[\w &amp;]*, (\d+\.\d+)""),"""")
"),"")</f>
        <v/>
      </c>
      <c r="G515" s="3" t="str">
        <f aca="false">IFERROR(__xludf.dummyfunction("if($T515&lt;&gt;"""",REGEXEXTRACT($T515, G$1&amp;""[\w &amp;]*, (\d+\.\d+)""),"""")
"),"")</f>
        <v/>
      </c>
      <c r="H515" s="3"/>
      <c r="I515" s="3" t="str">
        <f aca="false">IFERROR(__xludf.dummyfunction("if($T515&lt;&gt;"""",REGEXEXTRACT(SUBSTITUTE ($T515,I$1&amp;"" CE"",""""), I$1&amp;""[\w &amp;]*, (\d+\.\d+)""),"""")
"),"")</f>
        <v/>
      </c>
      <c r="J515" s="3" t="str">
        <f aca="false">IFERROR(__xludf.dummyfunction("if($T515&lt;&gt;"""",REGEXEXTRACT($T515, J$1&amp;""[\w &amp;]*, (\d+\.\d+)""),"""")
"),"")</f>
        <v/>
      </c>
      <c r="K515" s="3"/>
      <c r="L515" s="3" t="str">
        <f aca="false">IFERROR(__xludf.dummyfunction("if($T515&lt;&gt;"""",REGEXEXTRACT(SUBSTITUTE ($T515,L$1&amp;"" CE"",""""), L$1&amp;""[\w &amp;]*, (\d+\.\d+)""),"""")
"),"")</f>
        <v/>
      </c>
      <c r="M515" s="3" t="str">
        <f aca="false">IFERROR(__xludf.dummyfunction("if($T515&lt;&gt;"""",REGEXEXTRACT($T515, M$1&amp;""[\w &amp;]*, (\d+\.\d+)""),"""")
"),"")</f>
        <v/>
      </c>
      <c r="N515" s="3" t="str">
        <f aca="false">IFERROR(__xludf.dummyfunction("if($T515&lt;&gt;"""",REGEXEXTRACT(SUBSTITUTE ($T515,N$1&amp;"" CE"",""""), N$1&amp;""[\w &amp;]*, (\d+\.\d+)""),"""")
"),"")</f>
        <v/>
      </c>
      <c r="O515" s="3" t="str">
        <f aca="false">IFERROR(__xludf.dummyfunction("if($T515&lt;&gt;"""",REGEXEXTRACT($T515, O$1&amp;""[\w &amp;]*, (\d+\.\d+)""),"""")
"),"")</f>
        <v/>
      </c>
      <c r="P515" s="2"/>
      <c r="Q515" s="2"/>
      <c r="R515" s="2"/>
      <c r="S515" s="2"/>
      <c r="T515" s="5"/>
    </row>
    <row r="516" customFormat="false" ht="15.75" hidden="false" customHeight="false" outlineLevel="0" collapsed="false">
      <c r="A516" s="4"/>
      <c r="B516" s="2"/>
      <c r="C516" s="2"/>
      <c r="D516" s="2"/>
      <c r="E516" s="2"/>
      <c r="F516" s="3" t="str">
        <f aca="false">IFERROR(__xludf.dummyfunction("if($T516&lt;&gt;"""",REGEXEXTRACT(SUBSTITUTE ($T516,F$1&amp;"" CE"",""""), F$1&amp;""[\w &amp;]*, (\d+\.\d+)""),"""")
"),"")</f>
        <v/>
      </c>
      <c r="G516" s="3" t="str">
        <f aca="false">IFERROR(__xludf.dummyfunction("if($T516&lt;&gt;"""",REGEXEXTRACT($T516, G$1&amp;""[\w &amp;]*, (\d+\.\d+)""),"""")
"),"")</f>
        <v/>
      </c>
      <c r="H516" s="3"/>
      <c r="I516" s="3" t="str">
        <f aca="false">IFERROR(__xludf.dummyfunction("if($T516&lt;&gt;"""",REGEXEXTRACT(SUBSTITUTE ($T516,I$1&amp;"" CE"",""""), I$1&amp;""[\w &amp;]*, (\d+\.\d+)""),"""")
"),"")</f>
        <v/>
      </c>
      <c r="J516" s="3" t="str">
        <f aca="false">IFERROR(__xludf.dummyfunction("if($T516&lt;&gt;"""",REGEXEXTRACT($T516, J$1&amp;""[\w &amp;]*, (\d+\.\d+)""),"""")
"),"")</f>
        <v/>
      </c>
      <c r="K516" s="3"/>
      <c r="L516" s="3" t="str">
        <f aca="false">IFERROR(__xludf.dummyfunction("if($T516&lt;&gt;"""",REGEXEXTRACT(SUBSTITUTE ($T516,L$1&amp;"" CE"",""""), L$1&amp;""[\w &amp;]*, (\d+\.\d+)""),"""")
"),"")</f>
        <v/>
      </c>
      <c r="M516" s="3" t="str">
        <f aca="false">IFERROR(__xludf.dummyfunction("if($T516&lt;&gt;"""",REGEXEXTRACT($T516, M$1&amp;""[\w &amp;]*, (\d+\.\d+)""),"""")
"),"")</f>
        <v/>
      </c>
      <c r="N516" s="3" t="str">
        <f aca="false">IFERROR(__xludf.dummyfunction("if($T516&lt;&gt;"""",REGEXEXTRACT(SUBSTITUTE ($T516,N$1&amp;"" CE"",""""), N$1&amp;""[\w &amp;]*, (\d+\.\d+)""),"""")
"),"")</f>
        <v/>
      </c>
      <c r="O516" s="3" t="str">
        <f aca="false">IFERROR(__xludf.dummyfunction("if($T516&lt;&gt;"""",REGEXEXTRACT($T516, O$1&amp;""[\w &amp;]*, (\d+\.\d+)""),"""")
"),"")</f>
        <v/>
      </c>
      <c r="P516" s="2"/>
      <c r="Q516" s="2"/>
      <c r="R516" s="2"/>
      <c r="S516" s="2"/>
      <c r="T516" s="5"/>
    </row>
    <row r="517" customFormat="false" ht="15.75" hidden="false" customHeight="false" outlineLevel="0" collapsed="false">
      <c r="A517" s="4"/>
      <c r="B517" s="2"/>
      <c r="C517" s="2"/>
      <c r="D517" s="2"/>
      <c r="E517" s="2"/>
      <c r="F517" s="3" t="str">
        <f aca="false">IFERROR(__xludf.dummyfunction("if($T517&lt;&gt;"""",REGEXEXTRACT(SUBSTITUTE ($T517,F$1&amp;"" CE"",""""), F$1&amp;""[\w &amp;]*, (\d+\.\d+)""),"""")
"),"")</f>
        <v/>
      </c>
      <c r="G517" s="3" t="str">
        <f aca="false">IFERROR(__xludf.dummyfunction("if($T517&lt;&gt;"""",REGEXEXTRACT($T517, G$1&amp;""[\w &amp;]*, (\d+\.\d+)""),"""")
"),"")</f>
        <v/>
      </c>
      <c r="H517" s="3"/>
      <c r="I517" s="3" t="str">
        <f aca="false">IFERROR(__xludf.dummyfunction("if($T517&lt;&gt;"""",REGEXEXTRACT(SUBSTITUTE ($T517,I$1&amp;"" CE"",""""), I$1&amp;""[\w &amp;]*, (\d+\.\d+)""),"""")
"),"")</f>
        <v/>
      </c>
      <c r="J517" s="3" t="str">
        <f aca="false">IFERROR(__xludf.dummyfunction("if($T517&lt;&gt;"""",REGEXEXTRACT($T517, J$1&amp;""[\w &amp;]*, (\d+\.\d+)""),"""")
"),"")</f>
        <v/>
      </c>
      <c r="K517" s="3"/>
      <c r="L517" s="3" t="str">
        <f aca="false">IFERROR(__xludf.dummyfunction("if($T517&lt;&gt;"""",REGEXEXTRACT(SUBSTITUTE ($T517,L$1&amp;"" CE"",""""), L$1&amp;""[\w &amp;]*, (\d+\.\d+)""),"""")
"),"")</f>
        <v/>
      </c>
      <c r="M517" s="3" t="str">
        <f aca="false">IFERROR(__xludf.dummyfunction("if($T517&lt;&gt;"""",REGEXEXTRACT($T517, M$1&amp;""[\w &amp;]*, (\d+\.\d+)""),"""")
"),"")</f>
        <v/>
      </c>
      <c r="N517" s="3" t="str">
        <f aca="false">IFERROR(__xludf.dummyfunction("if($T517&lt;&gt;"""",REGEXEXTRACT(SUBSTITUTE ($T517,N$1&amp;"" CE"",""""), N$1&amp;""[\w &amp;]*, (\d+\.\d+)""),"""")
"),"")</f>
        <v/>
      </c>
      <c r="O517" s="3" t="str">
        <f aca="false">IFERROR(__xludf.dummyfunction("if($T517&lt;&gt;"""",REGEXEXTRACT($T517, O$1&amp;""[\w &amp;]*, (\d+\.\d+)""),"""")
"),"")</f>
        <v/>
      </c>
      <c r="P517" s="2"/>
      <c r="Q517" s="2"/>
      <c r="R517" s="2"/>
      <c r="S517" s="2"/>
      <c r="T517" s="5"/>
    </row>
    <row r="518" customFormat="false" ht="15.75" hidden="false" customHeight="false" outlineLevel="0" collapsed="false">
      <c r="A518" s="4"/>
      <c r="B518" s="2"/>
      <c r="C518" s="2"/>
      <c r="D518" s="2"/>
      <c r="E518" s="2"/>
      <c r="F518" s="3" t="str">
        <f aca="false">IFERROR(__xludf.dummyfunction("if($T518&lt;&gt;"""",REGEXEXTRACT(SUBSTITUTE ($T518,F$1&amp;"" CE"",""""), F$1&amp;""[\w &amp;]*, (\d+\.\d+)""),"""")
"),"")</f>
        <v/>
      </c>
      <c r="G518" s="3" t="str">
        <f aca="false">IFERROR(__xludf.dummyfunction("if($T518&lt;&gt;"""",REGEXEXTRACT($T518, G$1&amp;""[\w &amp;]*, (\d+\.\d+)""),"""")
"),"")</f>
        <v/>
      </c>
      <c r="H518" s="3"/>
      <c r="I518" s="3" t="str">
        <f aca="false">IFERROR(__xludf.dummyfunction("if($T518&lt;&gt;"""",REGEXEXTRACT(SUBSTITUTE ($T518,I$1&amp;"" CE"",""""), I$1&amp;""[\w &amp;]*, (\d+\.\d+)""),"""")
"),"")</f>
        <v/>
      </c>
      <c r="J518" s="3" t="str">
        <f aca="false">IFERROR(__xludf.dummyfunction("if($T518&lt;&gt;"""",REGEXEXTRACT($T518, J$1&amp;""[\w &amp;]*, (\d+\.\d+)""),"""")
"),"")</f>
        <v/>
      </c>
      <c r="K518" s="3"/>
      <c r="L518" s="3" t="str">
        <f aca="false">IFERROR(__xludf.dummyfunction("if($T518&lt;&gt;"""",REGEXEXTRACT(SUBSTITUTE ($T518,L$1&amp;"" CE"",""""), L$1&amp;""[\w &amp;]*, (\d+\.\d+)""),"""")
"),"")</f>
        <v/>
      </c>
      <c r="M518" s="3" t="str">
        <f aca="false">IFERROR(__xludf.dummyfunction("if($T518&lt;&gt;"""",REGEXEXTRACT($T518, M$1&amp;""[\w &amp;]*, (\d+\.\d+)""),"""")
"),"")</f>
        <v/>
      </c>
      <c r="N518" s="3" t="str">
        <f aca="false">IFERROR(__xludf.dummyfunction("if($T518&lt;&gt;"""",REGEXEXTRACT(SUBSTITUTE ($T518,N$1&amp;"" CE"",""""), N$1&amp;""[\w &amp;]*, (\d+\.\d+)""),"""")
"),"")</f>
        <v/>
      </c>
      <c r="O518" s="3" t="str">
        <f aca="false">IFERROR(__xludf.dummyfunction("if($T518&lt;&gt;"""",REGEXEXTRACT($T518, O$1&amp;""[\w &amp;]*, (\d+\.\d+)""),"""")
"),"")</f>
        <v/>
      </c>
      <c r="P518" s="2"/>
      <c r="Q518" s="2"/>
      <c r="R518" s="2"/>
      <c r="S518" s="2"/>
      <c r="T518" s="5"/>
    </row>
    <row r="519" customFormat="false" ht="15.75" hidden="false" customHeight="false" outlineLevel="0" collapsed="false">
      <c r="A519" s="4"/>
      <c r="B519" s="2"/>
      <c r="C519" s="2"/>
      <c r="D519" s="2"/>
      <c r="E519" s="2"/>
      <c r="F519" s="3" t="str">
        <f aca="false">IFERROR(__xludf.dummyfunction("if($T519&lt;&gt;"""",REGEXEXTRACT(SUBSTITUTE ($T519,F$1&amp;"" CE"",""""), F$1&amp;""[\w &amp;]*, (\d+\.\d+)""),"""")
"),"")</f>
        <v/>
      </c>
      <c r="G519" s="3" t="str">
        <f aca="false">IFERROR(__xludf.dummyfunction("if($T519&lt;&gt;"""",REGEXEXTRACT($T519, G$1&amp;""[\w &amp;]*, (\d+\.\d+)""),"""")
"),"")</f>
        <v/>
      </c>
      <c r="H519" s="3"/>
      <c r="I519" s="3" t="str">
        <f aca="false">IFERROR(__xludf.dummyfunction("if($T519&lt;&gt;"""",REGEXEXTRACT(SUBSTITUTE ($T519,I$1&amp;"" CE"",""""), I$1&amp;""[\w &amp;]*, (\d+\.\d+)""),"""")
"),"")</f>
        <v/>
      </c>
      <c r="J519" s="3" t="str">
        <f aca="false">IFERROR(__xludf.dummyfunction("if($T519&lt;&gt;"""",REGEXEXTRACT($T519, J$1&amp;""[\w &amp;]*, (\d+\.\d+)""),"""")
"),"")</f>
        <v/>
      </c>
      <c r="K519" s="3"/>
      <c r="L519" s="3" t="str">
        <f aca="false">IFERROR(__xludf.dummyfunction("if($T519&lt;&gt;"""",REGEXEXTRACT(SUBSTITUTE ($T519,L$1&amp;"" CE"",""""), L$1&amp;""[\w &amp;]*, (\d+\.\d+)""),"""")
"),"")</f>
        <v/>
      </c>
      <c r="M519" s="3" t="str">
        <f aca="false">IFERROR(__xludf.dummyfunction("if($T519&lt;&gt;"""",REGEXEXTRACT($T519, M$1&amp;""[\w &amp;]*, (\d+\.\d+)""),"""")
"),"")</f>
        <v/>
      </c>
      <c r="N519" s="3" t="str">
        <f aca="false">IFERROR(__xludf.dummyfunction("if($T519&lt;&gt;"""",REGEXEXTRACT(SUBSTITUTE ($T519,N$1&amp;"" CE"",""""), N$1&amp;""[\w &amp;]*, (\d+\.\d+)""),"""")
"),"")</f>
        <v/>
      </c>
      <c r="O519" s="3" t="str">
        <f aca="false">IFERROR(__xludf.dummyfunction("if($T519&lt;&gt;"""",REGEXEXTRACT($T519, O$1&amp;""[\w &amp;]*, (\d+\.\d+)""),"""")
"),"")</f>
        <v/>
      </c>
      <c r="P519" s="2"/>
      <c r="Q519" s="2"/>
      <c r="R519" s="2"/>
      <c r="S519" s="2"/>
      <c r="T519" s="5"/>
    </row>
    <row r="520" customFormat="false" ht="15.75" hidden="false" customHeight="false" outlineLevel="0" collapsed="false">
      <c r="A520" s="4"/>
      <c r="B520" s="2"/>
      <c r="C520" s="2"/>
      <c r="D520" s="2"/>
      <c r="E520" s="2"/>
      <c r="F520" s="3" t="str">
        <f aca="false">IFERROR(__xludf.dummyfunction("if($T520&lt;&gt;"""",REGEXEXTRACT(SUBSTITUTE ($T520,F$1&amp;"" CE"",""""), F$1&amp;""[\w &amp;]*, (\d+\.\d+)""),"""")
"),"")</f>
        <v/>
      </c>
      <c r="G520" s="3" t="str">
        <f aca="false">IFERROR(__xludf.dummyfunction("if($T520&lt;&gt;"""",REGEXEXTRACT($T520, G$1&amp;""[\w &amp;]*, (\d+\.\d+)""),"""")
"),"")</f>
        <v/>
      </c>
      <c r="H520" s="3"/>
      <c r="I520" s="3" t="str">
        <f aca="false">IFERROR(__xludf.dummyfunction("if($T520&lt;&gt;"""",REGEXEXTRACT(SUBSTITUTE ($T520,I$1&amp;"" CE"",""""), I$1&amp;""[\w &amp;]*, (\d+\.\d+)""),"""")
"),"")</f>
        <v/>
      </c>
      <c r="J520" s="3" t="str">
        <f aca="false">IFERROR(__xludf.dummyfunction("if($T520&lt;&gt;"""",REGEXEXTRACT($T520, J$1&amp;""[\w &amp;]*, (\d+\.\d+)""),"""")
"),"")</f>
        <v/>
      </c>
      <c r="K520" s="3"/>
      <c r="L520" s="3" t="str">
        <f aca="false">IFERROR(__xludf.dummyfunction("if($T520&lt;&gt;"""",REGEXEXTRACT(SUBSTITUTE ($T520,L$1&amp;"" CE"",""""), L$1&amp;""[\w &amp;]*, (\d+\.\d+)""),"""")
"),"")</f>
        <v/>
      </c>
      <c r="M520" s="3" t="str">
        <f aca="false">IFERROR(__xludf.dummyfunction("if($T520&lt;&gt;"""",REGEXEXTRACT($T520, M$1&amp;""[\w &amp;]*, (\d+\.\d+)""),"""")
"),"")</f>
        <v/>
      </c>
      <c r="N520" s="3" t="str">
        <f aca="false">IFERROR(__xludf.dummyfunction("if($T520&lt;&gt;"""",REGEXEXTRACT(SUBSTITUTE ($T520,N$1&amp;"" CE"",""""), N$1&amp;""[\w &amp;]*, (\d+\.\d+)""),"""")
"),"")</f>
        <v/>
      </c>
      <c r="O520" s="3" t="str">
        <f aca="false">IFERROR(__xludf.dummyfunction("if($T520&lt;&gt;"""",REGEXEXTRACT($T520, O$1&amp;""[\w &amp;]*, (\d+\.\d+)""),"""")
"),"")</f>
        <v/>
      </c>
      <c r="P520" s="2"/>
      <c r="Q520" s="2"/>
      <c r="R520" s="2"/>
      <c r="S520" s="2"/>
      <c r="T520" s="5"/>
    </row>
    <row r="521" customFormat="false" ht="15.75" hidden="false" customHeight="false" outlineLevel="0" collapsed="false">
      <c r="A521" s="4"/>
      <c r="B521" s="2"/>
      <c r="C521" s="2"/>
      <c r="D521" s="2"/>
      <c r="E521" s="2"/>
      <c r="F521" s="3" t="str">
        <f aca="false">IFERROR(__xludf.dummyfunction("if($T521&lt;&gt;"""",REGEXEXTRACT(SUBSTITUTE ($T521,F$1&amp;"" CE"",""""), F$1&amp;""[\w &amp;]*, (\d+\.\d+)""),"""")
"),"")</f>
        <v/>
      </c>
      <c r="G521" s="3" t="str">
        <f aca="false">IFERROR(__xludf.dummyfunction("if($T521&lt;&gt;"""",REGEXEXTRACT($T521, G$1&amp;""[\w &amp;]*, (\d+\.\d+)""),"""")
"),"")</f>
        <v/>
      </c>
      <c r="H521" s="3"/>
      <c r="I521" s="3" t="str">
        <f aca="false">IFERROR(__xludf.dummyfunction("if($T521&lt;&gt;"""",REGEXEXTRACT(SUBSTITUTE ($T521,I$1&amp;"" CE"",""""), I$1&amp;""[\w &amp;]*, (\d+\.\d+)""),"""")
"),"")</f>
        <v/>
      </c>
      <c r="J521" s="3" t="str">
        <f aca="false">IFERROR(__xludf.dummyfunction("if($T521&lt;&gt;"""",REGEXEXTRACT($T521, J$1&amp;""[\w &amp;]*, (\d+\.\d+)""),"""")
"),"")</f>
        <v/>
      </c>
      <c r="K521" s="3"/>
      <c r="L521" s="3" t="str">
        <f aca="false">IFERROR(__xludf.dummyfunction("if($T521&lt;&gt;"""",REGEXEXTRACT(SUBSTITUTE ($T521,L$1&amp;"" CE"",""""), L$1&amp;""[\w &amp;]*, (\d+\.\d+)""),"""")
"),"")</f>
        <v/>
      </c>
      <c r="M521" s="3" t="str">
        <f aca="false">IFERROR(__xludf.dummyfunction("if($T521&lt;&gt;"""",REGEXEXTRACT($T521, M$1&amp;""[\w &amp;]*, (\d+\.\d+)""),"""")
"),"")</f>
        <v/>
      </c>
      <c r="N521" s="3" t="str">
        <f aca="false">IFERROR(__xludf.dummyfunction("if($T521&lt;&gt;"""",REGEXEXTRACT(SUBSTITUTE ($T521,N$1&amp;"" CE"",""""), N$1&amp;""[\w &amp;]*, (\d+\.\d+)""),"""")
"),"")</f>
        <v/>
      </c>
      <c r="O521" s="3" t="str">
        <f aca="false">IFERROR(__xludf.dummyfunction("if($T521&lt;&gt;"""",REGEXEXTRACT($T521, O$1&amp;""[\w &amp;]*, (\d+\.\d+)""),"""")
"),"")</f>
        <v/>
      </c>
      <c r="P521" s="2"/>
      <c r="Q521" s="2"/>
      <c r="R521" s="2"/>
      <c r="S521" s="2"/>
      <c r="T521" s="5"/>
    </row>
    <row r="522" customFormat="false" ht="15.75" hidden="false" customHeight="false" outlineLevel="0" collapsed="false">
      <c r="A522" s="4"/>
      <c r="B522" s="2"/>
      <c r="C522" s="2"/>
      <c r="D522" s="2"/>
      <c r="E522" s="2"/>
      <c r="F522" s="3" t="str">
        <f aca="false">IFERROR(__xludf.dummyfunction("if($T522&lt;&gt;"""",REGEXEXTRACT(SUBSTITUTE ($T522,F$1&amp;"" CE"",""""), F$1&amp;""[\w &amp;]*, (\d+\.\d+)""),"""")
"),"")</f>
        <v/>
      </c>
      <c r="G522" s="3" t="str">
        <f aca="false">IFERROR(__xludf.dummyfunction("if($T522&lt;&gt;"""",REGEXEXTRACT($T522, G$1&amp;""[\w &amp;]*, (\d+\.\d+)""),"""")
"),"")</f>
        <v/>
      </c>
      <c r="H522" s="3"/>
      <c r="I522" s="3" t="str">
        <f aca="false">IFERROR(__xludf.dummyfunction("if($T522&lt;&gt;"""",REGEXEXTRACT(SUBSTITUTE ($T522,I$1&amp;"" CE"",""""), I$1&amp;""[\w &amp;]*, (\d+\.\d+)""),"""")
"),"")</f>
        <v/>
      </c>
      <c r="J522" s="3" t="str">
        <f aca="false">IFERROR(__xludf.dummyfunction("if($T522&lt;&gt;"""",REGEXEXTRACT($T522, J$1&amp;""[\w &amp;]*, (\d+\.\d+)""),"""")
"),"")</f>
        <v/>
      </c>
      <c r="K522" s="3"/>
      <c r="L522" s="3" t="str">
        <f aca="false">IFERROR(__xludf.dummyfunction("if($T522&lt;&gt;"""",REGEXEXTRACT(SUBSTITUTE ($T522,L$1&amp;"" CE"",""""), L$1&amp;""[\w &amp;]*, (\d+\.\d+)""),"""")
"),"")</f>
        <v/>
      </c>
      <c r="M522" s="3" t="str">
        <f aca="false">IFERROR(__xludf.dummyfunction("if($T522&lt;&gt;"""",REGEXEXTRACT($T522, M$1&amp;""[\w &amp;]*, (\d+\.\d+)""),"""")
"),"")</f>
        <v/>
      </c>
      <c r="N522" s="3" t="str">
        <f aca="false">IFERROR(__xludf.dummyfunction("if($T522&lt;&gt;"""",REGEXEXTRACT(SUBSTITUTE ($T522,N$1&amp;"" CE"",""""), N$1&amp;""[\w &amp;]*, (\d+\.\d+)""),"""")
"),"")</f>
        <v/>
      </c>
      <c r="O522" s="3" t="str">
        <f aca="false">IFERROR(__xludf.dummyfunction("if($T522&lt;&gt;"""",REGEXEXTRACT($T522, O$1&amp;""[\w &amp;]*, (\d+\.\d+)""),"""")
"),"")</f>
        <v/>
      </c>
      <c r="P522" s="2"/>
      <c r="Q522" s="2"/>
      <c r="R522" s="2"/>
      <c r="S522" s="2"/>
      <c r="T522" s="5"/>
    </row>
    <row r="523" customFormat="false" ht="15.75" hidden="false" customHeight="false" outlineLevel="0" collapsed="false">
      <c r="A523" s="4"/>
      <c r="B523" s="2"/>
      <c r="C523" s="2"/>
      <c r="D523" s="2"/>
      <c r="E523" s="2"/>
      <c r="F523" s="3" t="str">
        <f aca="false">IFERROR(__xludf.dummyfunction("if($T523&lt;&gt;"""",REGEXEXTRACT(SUBSTITUTE ($T523,F$1&amp;"" CE"",""""), F$1&amp;""[\w &amp;]*, (\d+\.\d+)""),"""")
"),"")</f>
        <v/>
      </c>
      <c r="G523" s="3" t="str">
        <f aca="false">IFERROR(__xludf.dummyfunction("if($T523&lt;&gt;"""",REGEXEXTRACT($T523, G$1&amp;""[\w &amp;]*, (\d+\.\d+)""),"""")
"),"")</f>
        <v/>
      </c>
      <c r="H523" s="3"/>
      <c r="I523" s="3" t="str">
        <f aca="false">IFERROR(__xludf.dummyfunction("if($T523&lt;&gt;"""",REGEXEXTRACT(SUBSTITUTE ($T523,I$1&amp;"" CE"",""""), I$1&amp;""[\w &amp;]*, (\d+\.\d+)""),"""")
"),"")</f>
        <v/>
      </c>
      <c r="J523" s="3" t="str">
        <f aca="false">IFERROR(__xludf.dummyfunction("if($T523&lt;&gt;"""",REGEXEXTRACT($T523, J$1&amp;""[\w &amp;]*, (\d+\.\d+)""),"""")
"),"")</f>
        <v/>
      </c>
      <c r="K523" s="3"/>
      <c r="L523" s="3" t="str">
        <f aca="false">IFERROR(__xludf.dummyfunction("if($T523&lt;&gt;"""",REGEXEXTRACT(SUBSTITUTE ($T523,L$1&amp;"" CE"",""""), L$1&amp;""[\w &amp;]*, (\d+\.\d+)""),"""")
"),"")</f>
        <v/>
      </c>
      <c r="M523" s="3" t="str">
        <f aca="false">IFERROR(__xludf.dummyfunction("if($T523&lt;&gt;"""",REGEXEXTRACT($T523, M$1&amp;""[\w &amp;]*, (\d+\.\d+)""),"""")
"),"")</f>
        <v/>
      </c>
      <c r="N523" s="3" t="str">
        <f aca="false">IFERROR(__xludf.dummyfunction("if($T523&lt;&gt;"""",REGEXEXTRACT(SUBSTITUTE ($T523,N$1&amp;"" CE"",""""), N$1&amp;""[\w &amp;]*, (\d+\.\d+)""),"""")
"),"")</f>
        <v/>
      </c>
      <c r="O523" s="3" t="str">
        <f aca="false">IFERROR(__xludf.dummyfunction("if($T523&lt;&gt;"""",REGEXEXTRACT($T523, O$1&amp;""[\w &amp;]*, (\d+\.\d+)""),"""")
"),"")</f>
        <v/>
      </c>
      <c r="P523" s="2"/>
      <c r="Q523" s="2"/>
      <c r="R523" s="2"/>
      <c r="S523" s="2"/>
      <c r="T523" s="5"/>
    </row>
    <row r="524" customFormat="false" ht="15.75" hidden="false" customHeight="false" outlineLevel="0" collapsed="false">
      <c r="A524" s="4"/>
      <c r="B524" s="2"/>
      <c r="C524" s="2"/>
      <c r="D524" s="2"/>
      <c r="E524" s="2"/>
      <c r="F524" s="3" t="str">
        <f aca="false">IFERROR(__xludf.dummyfunction("if($T524&lt;&gt;"""",REGEXEXTRACT(SUBSTITUTE ($T524,F$1&amp;"" CE"",""""), F$1&amp;""[\w &amp;]*, (\d+\.\d+)""),"""")
"),"")</f>
        <v/>
      </c>
      <c r="G524" s="3" t="str">
        <f aca="false">IFERROR(__xludf.dummyfunction("if($T524&lt;&gt;"""",REGEXEXTRACT($T524, G$1&amp;""[\w &amp;]*, (\d+\.\d+)""),"""")
"),"")</f>
        <v/>
      </c>
      <c r="H524" s="3"/>
      <c r="I524" s="3" t="str">
        <f aca="false">IFERROR(__xludf.dummyfunction("if($T524&lt;&gt;"""",REGEXEXTRACT(SUBSTITUTE ($T524,I$1&amp;"" CE"",""""), I$1&amp;""[\w &amp;]*, (\d+\.\d+)""),"""")
"),"")</f>
        <v/>
      </c>
      <c r="J524" s="3" t="str">
        <f aca="false">IFERROR(__xludf.dummyfunction("if($T524&lt;&gt;"""",REGEXEXTRACT($T524, J$1&amp;""[\w &amp;]*, (\d+\.\d+)""),"""")
"),"")</f>
        <v/>
      </c>
      <c r="K524" s="3"/>
      <c r="L524" s="3" t="str">
        <f aca="false">IFERROR(__xludf.dummyfunction("if($T524&lt;&gt;"""",REGEXEXTRACT(SUBSTITUTE ($T524,L$1&amp;"" CE"",""""), L$1&amp;""[\w &amp;]*, (\d+\.\d+)""),"""")
"),"")</f>
        <v/>
      </c>
      <c r="M524" s="3" t="str">
        <f aca="false">IFERROR(__xludf.dummyfunction("if($T524&lt;&gt;"""",REGEXEXTRACT($T524, M$1&amp;""[\w &amp;]*, (\d+\.\d+)""),"""")
"),"")</f>
        <v/>
      </c>
      <c r="N524" s="3" t="str">
        <f aca="false">IFERROR(__xludf.dummyfunction("if($T524&lt;&gt;"""",REGEXEXTRACT(SUBSTITUTE ($T524,N$1&amp;"" CE"",""""), N$1&amp;""[\w &amp;]*, (\d+\.\d+)""),"""")
"),"")</f>
        <v/>
      </c>
      <c r="O524" s="3" t="str">
        <f aca="false">IFERROR(__xludf.dummyfunction("if($T524&lt;&gt;"""",REGEXEXTRACT($T524, O$1&amp;""[\w &amp;]*, (\d+\.\d+)""),"""")
"),"")</f>
        <v/>
      </c>
      <c r="P524" s="2"/>
      <c r="Q524" s="2"/>
      <c r="R524" s="2"/>
      <c r="S524" s="2"/>
      <c r="T524" s="5"/>
    </row>
    <row r="525" customFormat="false" ht="15.75" hidden="false" customHeight="false" outlineLevel="0" collapsed="false">
      <c r="A525" s="4"/>
      <c r="B525" s="2"/>
      <c r="C525" s="2"/>
      <c r="D525" s="2"/>
      <c r="E525" s="2"/>
      <c r="F525" s="3" t="str">
        <f aca="false">IFERROR(__xludf.dummyfunction("if($T525&lt;&gt;"""",REGEXEXTRACT(SUBSTITUTE ($T525,F$1&amp;"" CE"",""""), F$1&amp;""[\w &amp;]*, (\d+\.\d+)""),"""")
"),"")</f>
        <v/>
      </c>
      <c r="G525" s="3" t="str">
        <f aca="false">IFERROR(__xludf.dummyfunction("if($T525&lt;&gt;"""",REGEXEXTRACT($T525, G$1&amp;""[\w &amp;]*, (\d+\.\d+)""),"""")
"),"")</f>
        <v/>
      </c>
      <c r="H525" s="3"/>
      <c r="I525" s="3" t="str">
        <f aca="false">IFERROR(__xludf.dummyfunction("if($T525&lt;&gt;"""",REGEXEXTRACT(SUBSTITUTE ($T525,I$1&amp;"" CE"",""""), I$1&amp;""[\w &amp;]*, (\d+\.\d+)""),"""")
"),"")</f>
        <v/>
      </c>
      <c r="J525" s="3" t="str">
        <f aca="false">IFERROR(__xludf.dummyfunction("if($T525&lt;&gt;"""",REGEXEXTRACT($T525, J$1&amp;""[\w &amp;]*, (\d+\.\d+)""),"""")
"),"")</f>
        <v/>
      </c>
      <c r="K525" s="3"/>
      <c r="L525" s="3" t="str">
        <f aca="false">IFERROR(__xludf.dummyfunction("if($T525&lt;&gt;"""",REGEXEXTRACT(SUBSTITUTE ($T525,L$1&amp;"" CE"",""""), L$1&amp;""[\w &amp;]*, (\d+\.\d+)""),"""")
"),"")</f>
        <v/>
      </c>
      <c r="M525" s="3" t="str">
        <f aca="false">IFERROR(__xludf.dummyfunction("if($T525&lt;&gt;"""",REGEXEXTRACT($T525, M$1&amp;""[\w &amp;]*, (\d+\.\d+)""),"""")
"),"")</f>
        <v/>
      </c>
      <c r="N525" s="3" t="str">
        <f aca="false">IFERROR(__xludf.dummyfunction("if($T525&lt;&gt;"""",REGEXEXTRACT(SUBSTITUTE ($T525,N$1&amp;"" CE"",""""), N$1&amp;""[\w &amp;]*, (\d+\.\d+)""),"""")
"),"")</f>
        <v/>
      </c>
      <c r="O525" s="3" t="str">
        <f aca="false">IFERROR(__xludf.dummyfunction("if($T525&lt;&gt;"""",REGEXEXTRACT($T525, O$1&amp;""[\w &amp;]*, (\d+\.\d+)""),"""")
"),"")</f>
        <v/>
      </c>
      <c r="P525" s="2"/>
      <c r="Q525" s="2"/>
      <c r="R525" s="2"/>
      <c r="S525" s="2"/>
      <c r="T525" s="5"/>
    </row>
    <row r="526" customFormat="false" ht="15.75" hidden="false" customHeight="false" outlineLevel="0" collapsed="false">
      <c r="A526" s="4"/>
      <c r="B526" s="2"/>
      <c r="C526" s="2"/>
      <c r="D526" s="2"/>
      <c r="E526" s="2"/>
      <c r="F526" s="3" t="str">
        <f aca="false">IFERROR(__xludf.dummyfunction("if($T526&lt;&gt;"""",REGEXEXTRACT(SUBSTITUTE ($T526,F$1&amp;"" CE"",""""), F$1&amp;""[\w &amp;]*, (\d+\.\d+)""),"""")
"),"")</f>
        <v/>
      </c>
      <c r="G526" s="3" t="str">
        <f aca="false">IFERROR(__xludf.dummyfunction("if($T526&lt;&gt;"""",REGEXEXTRACT($T526, G$1&amp;""[\w &amp;]*, (\d+\.\d+)""),"""")
"),"")</f>
        <v/>
      </c>
      <c r="H526" s="3"/>
      <c r="I526" s="3" t="str">
        <f aca="false">IFERROR(__xludf.dummyfunction("if($T526&lt;&gt;"""",REGEXEXTRACT(SUBSTITUTE ($T526,I$1&amp;"" CE"",""""), I$1&amp;""[\w &amp;]*, (\d+\.\d+)""),"""")
"),"")</f>
        <v/>
      </c>
      <c r="J526" s="3" t="str">
        <f aca="false">IFERROR(__xludf.dummyfunction("if($T526&lt;&gt;"""",REGEXEXTRACT($T526, J$1&amp;""[\w &amp;]*, (\d+\.\d+)""),"""")
"),"")</f>
        <v/>
      </c>
      <c r="K526" s="3"/>
      <c r="L526" s="3" t="str">
        <f aca="false">IFERROR(__xludf.dummyfunction("if($T526&lt;&gt;"""",REGEXEXTRACT(SUBSTITUTE ($T526,L$1&amp;"" CE"",""""), L$1&amp;""[\w &amp;]*, (\d+\.\d+)""),"""")
"),"")</f>
        <v/>
      </c>
      <c r="M526" s="3" t="str">
        <f aca="false">IFERROR(__xludf.dummyfunction("if($T526&lt;&gt;"""",REGEXEXTRACT($T526, M$1&amp;""[\w &amp;]*, (\d+\.\d+)""),"""")
"),"")</f>
        <v/>
      </c>
      <c r="N526" s="3" t="str">
        <f aca="false">IFERROR(__xludf.dummyfunction("if($T526&lt;&gt;"""",REGEXEXTRACT(SUBSTITUTE ($T526,N$1&amp;"" CE"",""""), N$1&amp;""[\w &amp;]*, (\d+\.\d+)""),"""")
"),"")</f>
        <v/>
      </c>
      <c r="O526" s="3" t="str">
        <f aca="false">IFERROR(__xludf.dummyfunction("if($T526&lt;&gt;"""",REGEXEXTRACT($T526, O$1&amp;""[\w &amp;]*, (\d+\.\d+)""),"""")
"),"")</f>
        <v/>
      </c>
      <c r="P526" s="2"/>
      <c r="Q526" s="2"/>
      <c r="R526" s="2"/>
      <c r="S526" s="2"/>
      <c r="T526" s="5"/>
    </row>
    <row r="527" customFormat="false" ht="15.75" hidden="false" customHeight="false" outlineLevel="0" collapsed="false">
      <c r="A527" s="4"/>
      <c r="B527" s="2"/>
      <c r="C527" s="2"/>
      <c r="D527" s="2"/>
      <c r="E527" s="2"/>
      <c r="F527" s="3" t="str">
        <f aca="false">IFERROR(__xludf.dummyfunction("if($T527&lt;&gt;"""",REGEXEXTRACT(SUBSTITUTE ($T527,F$1&amp;"" CE"",""""), F$1&amp;""[\w &amp;]*, (\d+\.\d+)""),"""")
"),"")</f>
        <v/>
      </c>
      <c r="G527" s="3" t="str">
        <f aca="false">IFERROR(__xludf.dummyfunction("if($T527&lt;&gt;"""",REGEXEXTRACT($T527, G$1&amp;""[\w &amp;]*, (\d+\.\d+)""),"""")
"),"")</f>
        <v/>
      </c>
      <c r="H527" s="3"/>
      <c r="I527" s="3" t="str">
        <f aca="false">IFERROR(__xludf.dummyfunction("if($T527&lt;&gt;"""",REGEXEXTRACT(SUBSTITUTE ($T527,I$1&amp;"" CE"",""""), I$1&amp;""[\w &amp;]*, (\d+\.\d+)""),"""")
"),"")</f>
        <v/>
      </c>
      <c r="J527" s="3" t="str">
        <f aca="false">IFERROR(__xludf.dummyfunction("if($T527&lt;&gt;"""",REGEXEXTRACT($T527, J$1&amp;""[\w &amp;]*, (\d+\.\d+)""),"""")
"),"")</f>
        <v/>
      </c>
      <c r="K527" s="3"/>
      <c r="L527" s="3" t="str">
        <f aca="false">IFERROR(__xludf.dummyfunction("if($T527&lt;&gt;"""",REGEXEXTRACT(SUBSTITUTE ($T527,L$1&amp;"" CE"",""""), L$1&amp;""[\w &amp;]*, (\d+\.\d+)""),"""")
"),"")</f>
        <v/>
      </c>
      <c r="M527" s="3" t="str">
        <f aca="false">IFERROR(__xludf.dummyfunction("if($T527&lt;&gt;"""",REGEXEXTRACT($T527, M$1&amp;""[\w &amp;]*, (\d+\.\d+)""),"""")
"),"")</f>
        <v/>
      </c>
      <c r="N527" s="3" t="str">
        <f aca="false">IFERROR(__xludf.dummyfunction("if($T527&lt;&gt;"""",REGEXEXTRACT(SUBSTITUTE ($T527,N$1&amp;"" CE"",""""), N$1&amp;""[\w &amp;]*, (\d+\.\d+)""),"""")
"),"")</f>
        <v/>
      </c>
      <c r="O527" s="3" t="str">
        <f aca="false">IFERROR(__xludf.dummyfunction("if($T527&lt;&gt;"""",REGEXEXTRACT($T527, O$1&amp;""[\w &amp;]*, (\d+\.\d+)""),"""")
"),"")</f>
        <v/>
      </c>
      <c r="P527" s="2"/>
      <c r="Q527" s="2"/>
      <c r="R527" s="2"/>
      <c r="S527" s="2"/>
      <c r="T527" s="5"/>
    </row>
    <row r="528" customFormat="false" ht="15.75" hidden="false" customHeight="false" outlineLevel="0" collapsed="false">
      <c r="A528" s="4"/>
      <c r="B528" s="2"/>
      <c r="C528" s="2"/>
      <c r="D528" s="2"/>
      <c r="E528" s="2"/>
      <c r="F528" s="3" t="str">
        <f aca="false">IFERROR(__xludf.dummyfunction("if($T528&lt;&gt;"""",REGEXEXTRACT(SUBSTITUTE ($T528,F$1&amp;"" CE"",""""), F$1&amp;""[\w &amp;]*, (\d+\.\d+)""),"""")
"),"")</f>
        <v/>
      </c>
      <c r="G528" s="3" t="str">
        <f aca="false">IFERROR(__xludf.dummyfunction("if($T528&lt;&gt;"""",REGEXEXTRACT($T528, G$1&amp;""[\w &amp;]*, (\d+\.\d+)""),"""")
"),"")</f>
        <v/>
      </c>
      <c r="H528" s="3"/>
      <c r="I528" s="3" t="str">
        <f aca="false">IFERROR(__xludf.dummyfunction("if($T528&lt;&gt;"""",REGEXEXTRACT(SUBSTITUTE ($T528,I$1&amp;"" CE"",""""), I$1&amp;""[\w &amp;]*, (\d+\.\d+)""),"""")
"),"")</f>
        <v/>
      </c>
      <c r="J528" s="3" t="str">
        <f aca="false">IFERROR(__xludf.dummyfunction("if($T528&lt;&gt;"""",REGEXEXTRACT($T528, J$1&amp;""[\w &amp;]*, (\d+\.\d+)""),"""")
"),"")</f>
        <v/>
      </c>
      <c r="K528" s="3"/>
      <c r="L528" s="3" t="str">
        <f aca="false">IFERROR(__xludf.dummyfunction("if($T528&lt;&gt;"""",REGEXEXTRACT(SUBSTITUTE ($T528,L$1&amp;"" CE"",""""), L$1&amp;""[\w &amp;]*, (\d+\.\d+)""),"""")
"),"")</f>
        <v/>
      </c>
      <c r="M528" s="3" t="str">
        <f aca="false">IFERROR(__xludf.dummyfunction("if($T528&lt;&gt;"""",REGEXEXTRACT($T528, M$1&amp;""[\w &amp;]*, (\d+\.\d+)""),"""")
"),"")</f>
        <v/>
      </c>
      <c r="N528" s="3" t="str">
        <f aca="false">IFERROR(__xludf.dummyfunction("if($T528&lt;&gt;"""",REGEXEXTRACT(SUBSTITUTE ($T528,N$1&amp;"" CE"",""""), N$1&amp;""[\w &amp;]*, (\d+\.\d+)""),"""")
"),"")</f>
        <v/>
      </c>
      <c r="O528" s="3" t="str">
        <f aca="false">IFERROR(__xludf.dummyfunction("if($T528&lt;&gt;"""",REGEXEXTRACT($T528, O$1&amp;""[\w &amp;]*, (\d+\.\d+)""),"""")
"),"")</f>
        <v/>
      </c>
      <c r="P528" s="2"/>
      <c r="Q528" s="2"/>
      <c r="R528" s="2"/>
      <c r="S528" s="2"/>
      <c r="T528" s="5"/>
    </row>
    <row r="529" customFormat="false" ht="15.75" hidden="false" customHeight="false" outlineLevel="0" collapsed="false">
      <c r="A529" s="4"/>
      <c r="B529" s="2"/>
      <c r="C529" s="2"/>
      <c r="D529" s="2"/>
      <c r="E529" s="2"/>
      <c r="F529" s="3" t="str">
        <f aca="false">IFERROR(__xludf.dummyfunction("if($T529&lt;&gt;"""",REGEXEXTRACT(SUBSTITUTE ($T529,F$1&amp;"" CE"",""""), F$1&amp;""[\w &amp;]*, (\d+\.\d+)""),"""")
"),"")</f>
        <v/>
      </c>
      <c r="G529" s="3" t="str">
        <f aca="false">IFERROR(__xludf.dummyfunction("if($T529&lt;&gt;"""",REGEXEXTRACT($T529, G$1&amp;""[\w &amp;]*, (\d+\.\d+)""),"""")
"),"")</f>
        <v/>
      </c>
      <c r="H529" s="3"/>
      <c r="I529" s="3" t="str">
        <f aca="false">IFERROR(__xludf.dummyfunction("if($T529&lt;&gt;"""",REGEXEXTRACT(SUBSTITUTE ($T529,I$1&amp;"" CE"",""""), I$1&amp;""[\w &amp;]*, (\d+\.\d+)""),"""")
"),"")</f>
        <v/>
      </c>
      <c r="J529" s="3" t="str">
        <f aca="false">IFERROR(__xludf.dummyfunction("if($T529&lt;&gt;"""",REGEXEXTRACT($T529, J$1&amp;""[\w &amp;]*, (\d+\.\d+)""),"""")
"),"")</f>
        <v/>
      </c>
      <c r="K529" s="3"/>
      <c r="L529" s="3" t="str">
        <f aca="false">IFERROR(__xludf.dummyfunction("if($T529&lt;&gt;"""",REGEXEXTRACT(SUBSTITUTE ($T529,L$1&amp;"" CE"",""""), L$1&amp;""[\w &amp;]*, (\d+\.\d+)""),"""")
"),"")</f>
        <v/>
      </c>
      <c r="M529" s="3" t="str">
        <f aca="false">IFERROR(__xludf.dummyfunction("if($T529&lt;&gt;"""",REGEXEXTRACT($T529, M$1&amp;""[\w &amp;]*, (\d+\.\d+)""),"""")
"),"")</f>
        <v/>
      </c>
      <c r="N529" s="3" t="str">
        <f aca="false">IFERROR(__xludf.dummyfunction("if($T529&lt;&gt;"""",REGEXEXTRACT(SUBSTITUTE ($T529,N$1&amp;"" CE"",""""), N$1&amp;""[\w &amp;]*, (\d+\.\d+)""),"""")
"),"")</f>
        <v/>
      </c>
      <c r="O529" s="3" t="str">
        <f aca="false">IFERROR(__xludf.dummyfunction("if($T529&lt;&gt;"""",REGEXEXTRACT($T529, O$1&amp;""[\w &amp;]*, (\d+\.\d+)""),"""")
"),"")</f>
        <v/>
      </c>
      <c r="P529" s="2"/>
      <c r="Q529" s="2"/>
      <c r="R529" s="2"/>
      <c r="S529" s="2"/>
      <c r="T529" s="5"/>
    </row>
    <row r="530" customFormat="false" ht="15.75" hidden="false" customHeight="false" outlineLevel="0" collapsed="false">
      <c r="A530" s="4"/>
      <c r="B530" s="2"/>
      <c r="C530" s="2"/>
      <c r="D530" s="2"/>
      <c r="E530" s="2"/>
      <c r="F530" s="3" t="str">
        <f aca="false">IFERROR(__xludf.dummyfunction("if($T530&lt;&gt;"""",REGEXEXTRACT(SUBSTITUTE ($T530,F$1&amp;"" CE"",""""), F$1&amp;""[\w &amp;]*, (\d+\.\d+)""),"""")
"),"")</f>
        <v/>
      </c>
      <c r="G530" s="3" t="str">
        <f aca="false">IFERROR(__xludf.dummyfunction("if($T530&lt;&gt;"""",REGEXEXTRACT($T530, G$1&amp;""[\w &amp;]*, (\d+\.\d+)""),"""")
"),"")</f>
        <v/>
      </c>
      <c r="H530" s="3"/>
      <c r="I530" s="3" t="str">
        <f aca="false">IFERROR(__xludf.dummyfunction("if($T530&lt;&gt;"""",REGEXEXTRACT(SUBSTITUTE ($T530,I$1&amp;"" CE"",""""), I$1&amp;""[\w &amp;]*, (\d+\.\d+)""),"""")
"),"")</f>
        <v/>
      </c>
      <c r="J530" s="3" t="str">
        <f aca="false">IFERROR(__xludf.dummyfunction("if($T530&lt;&gt;"""",REGEXEXTRACT($T530, J$1&amp;""[\w &amp;]*, (\d+\.\d+)""),"""")
"),"")</f>
        <v/>
      </c>
      <c r="K530" s="3"/>
      <c r="L530" s="3" t="str">
        <f aca="false">IFERROR(__xludf.dummyfunction("if($T530&lt;&gt;"""",REGEXEXTRACT(SUBSTITUTE ($T530,L$1&amp;"" CE"",""""), L$1&amp;""[\w &amp;]*, (\d+\.\d+)""),"""")
"),"")</f>
        <v/>
      </c>
      <c r="M530" s="3" t="str">
        <f aca="false">IFERROR(__xludf.dummyfunction("if($T530&lt;&gt;"""",REGEXEXTRACT($T530, M$1&amp;""[\w &amp;]*, (\d+\.\d+)""),"""")
"),"")</f>
        <v/>
      </c>
      <c r="N530" s="3" t="str">
        <f aca="false">IFERROR(__xludf.dummyfunction("if($T530&lt;&gt;"""",REGEXEXTRACT(SUBSTITUTE ($T530,N$1&amp;"" CE"",""""), N$1&amp;""[\w &amp;]*, (\d+\.\d+)""),"""")
"),"")</f>
        <v/>
      </c>
      <c r="O530" s="3" t="str">
        <f aca="false">IFERROR(__xludf.dummyfunction("if($T530&lt;&gt;"""",REGEXEXTRACT($T530, O$1&amp;""[\w &amp;]*, (\d+\.\d+)""),"""")
"),"")</f>
        <v/>
      </c>
      <c r="P530" s="2"/>
      <c r="Q530" s="2"/>
      <c r="R530" s="2"/>
      <c r="S530" s="2"/>
      <c r="T530" s="5"/>
    </row>
    <row r="531" customFormat="false" ht="15.75" hidden="false" customHeight="false" outlineLevel="0" collapsed="false">
      <c r="A531" s="4"/>
      <c r="B531" s="2"/>
      <c r="C531" s="2"/>
      <c r="D531" s="2"/>
      <c r="E531" s="2"/>
      <c r="F531" s="3" t="str">
        <f aca="false">IFERROR(__xludf.dummyfunction("if($T531&lt;&gt;"""",REGEXEXTRACT(SUBSTITUTE ($T531,F$1&amp;"" CE"",""""), F$1&amp;""[\w &amp;]*, (\d+\.\d+)""),"""")
"),"")</f>
        <v/>
      </c>
      <c r="G531" s="3" t="str">
        <f aca="false">IFERROR(__xludf.dummyfunction("if($T531&lt;&gt;"""",REGEXEXTRACT($T531, G$1&amp;""[\w &amp;]*, (\d+\.\d+)""),"""")
"),"")</f>
        <v/>
      </c>
      <c r="H531" s="3"/>
      <c r="I531" s="3" t="str">
        <f aca="false">IFERROR(__xludf.dummyfunction("if($T531&lt;&gt;"""",REGEXEXTRACT(SUBSTITUTE ($T531,I$1&amp;"" CE"",""""), I$1&amp;""[\w &amp;]*, (\d+\.\d+)""),"""")
"),"")</f>
        <v/>
      </c>
      <c r="J531" s="3" t="str">
        <f aca="false">IFERROR(__xludf.dummyfunction("if($T531&lt;&gt;"""",REGEXEXTRACT($T531, J$1&amp;""[\w &amp;]*, (\d+\.\d+)""),"""")
"),"")</f>
        <v/>
      </c>
      <c r="K531" s="3"/>
      <c r="L531" s="3" t="str">
        <f aca="false">IFERROR(__xludf.dummyfunction("if($T531&lt;&gt;"""",REGEXEXTRACT(SUBSTITUTE ($T531,L$1&amp;"" CE"",""""), L$1&amp;""[\w &amp;]*, (\d+\.\d+)""),"""")
"),"")</f>
        <v/>
      </c>
      <c r="M531" s="3" t="str">
        <f aca="false">IFERROR(__xludf.dummyfunction("if($T531&lt;&gt;"""",REGEXEXTRACT($T531, M$1&amp;""[\w &amp;]*, (\d+\.\d+)""),"""")
"),"")</f>
        <v/>
      </c>
      <c r="N531" s="3" t="str">
        <f aca="false">IFERROR(__xludf.dummyfunction("if($T531&lt;&gt;"""",REGEXEXTRACT(SUBSTITUTE ($T531,N$1&amp;"" CE"",""""), N$1&amp;""[\w &amp;]*, (\d+\.\d+)""),"""")
"),"")</f>
        <v/>
      </c>
      <c r="O531" s="3" t="str">
        <f aca="false">IFERROR(__xludf.dummyfunction("if($T531&lt;&gt;"""",REGEXEXTRACT($T531, O$1&amp;""[\w &amp;]*, (\d+\.\d+)""),"""")
"),"")</f>
        <v/>
      </c>
      <c r="P531" s="2"/>
      <c r="Q531" s="2"/>
      <c r="R531" s="2"/>
      <c r="S531" s="2"/>
      <c r="T531" s="5"/>
    </row>
    <row r="532" customFormat="false" ht="15.75" hidden="false" customHeight="false" outlineLevel="0" collapsed="false">
      <c r="A532" s="4"/>
      <c r="B532" s="2"/>
      <c r="C532" s="2"/>
      <c r="D532" s="2"/>
      <c r="E532" s="2"/>
      <c r="F532" s="3" t="str">
        <f aca="false">IFERROR(__xludf.dummyfunction("if($T532&lt;&gt;"""",REGEXEXTRACT(SUBSTITUTE ($T532,F$1&amp;"" CE"",""""), F$1&amp;""[\w &amp;]*, (\d+\.\d+)""),"""")
"),"")</f>
        <v/>
      </c>
      <c r="G532" s="3" t="str">
        <f aca="false">IFERROR(__xludf.dummyfunction("if($T532&lt;&gt;"""",REGEXEXTRACT($T532, G$1&amp;""[\w &amp;]*, (\d+\.\d+)""),"""")
"),"")</f>
        <v/>
      </c>
      <c r="H532" s="3"/>
      <c r="I532" s="3" t="str">
        <f aca="false">IFERROR(__xludf.dummyfunction("if($T532&lt;&gt;"""",REGEXEXTRACT(SUBSTITUTE ($T532,I$1&amp;"" CE"",""""), I$1&amp;""[\w &amp;]*, (\d+\.\d+)""),"""")
"),"")</f>
        <v/>
      </c>
      <c r="J532" s="3" t="str">
        <f aca="false">IFERROR(__xludf.dummyfunction("if($T532&lt;&gt;"""",REGEXEXTRACT($T532, J$1&amp;""[\w &amp;]*, (\d+\.\d+)""),"""")
"),"")</f>
        <v/>
      </c>
      <c r="K532" s="3"/>
      <c r="L532" s="3" t="str">
        <f aca="false">IFERROR(__xludf.dummyfunction("if($T532&lt;&gt;"""",REGEXEXTRACT(SUBSTITUTE ($T532,L$1&amp;"" CE"",""""), L$1&amp;""[\w &amp;]*, (\d+\.\d+)""),"""")
"),"")</f>
        <v/>
      </c>
      <c r="M532" s="3" t="str">
        <f aca="false">IFERROR(__xludf.dummyfunction("if($T532&lt;&gt;"""",REGEXEXTRACT($T532, M$1&amp;""[\w &amp;]*, (\d+\.\d+)""),"""")
"),"")</f>
        <v/>
      </c>
      <c r="N532" s="3" t="str">
        <f aca="false">IFERROR(__xludf.dummyfunction("if($T532&lt;&gt;"""",REGEXEXTRACT(SUBSTITUTE ($T532,N$1&amp;"" CE"",""""), N$1&amp;""[\w &amp;]*, (\d+\.\d+)""),"""")
"),"")</f>
        <v/>
      </c>
      <c r="O532" s="3" t="str">
        <f aca="false">IFERROR(__xludf.dummyfunction("if($T532&lt;&gt;"""",REGEXEXTRACT($T532, O$1&amp;""[\w &amp;]*, (\d+\.\d+)""),"""")
"),"")</f>
        <v/>
      </c>
      <c r="P532" s="2"/>
      <c r="Q532" s="2"/>
      <c r="R532" s="2"/>
      <c r="S532" s="2"/>
      <c r="T532" s="5"/>
    </row>
    <row r="533" customFormat="false" ht="15.75" hidden="false" customHeight="false" outlineLevel="0" collapsed="false">
      <c r="A533" s="4"/>
      <c r="B533" s="2"/>
      <c r="C533" s="2"/>
      <c r="D533" s="2"/>
      <c r="E533" s="2"/>
      <c r="F533" s="3" t="str">
        <f aca="false">IFERROR(__xludf.dummyfunction("if($T533&lt;&gt;"""",REGEXEXTRACT(SUBSTITUTE ($T533,F$1&amp;"" CE"",""""), F$1&amp;""[\w &amp;]*, (\d+\.\d+)""),"""")
"),"")</f>
        <v/>
      </c>
      <c r="G533" s="3" t="str">
        <f aca="false">IFERROR(__xludf.dummyfunction("if($T533&lt;&gt;"""",REGEXEXTRACT($T533, G$1&amp;""[\w &amp;]*, (\d+\.\d+)""),"""")
"),"")</f>
        <v/>
      </c>
      <c r="H533" s="3"/>
      <c r="I533" s="3" t="str">
        <f aca="false">IFERROR(__xludf.dummyfunction("if($T533&lt;&gt;"""",REGEXEXTRACT(SUBSTITUTE ($T533,I$1&amp;"" CE"",""""), I$1&amp;""[\w &amp;]*, (\d+\.\d+)""),"""")
"),"")</f>
        <v/>
      </c>
      <c r="J533" s="3" t="str">
        <f aca="false">IFERROR(__xludf.dummyfunction("if($T533&lt;&gt;"""",REGEXEXTRACT($T533, J$1&amp;""[\w &amp;]*, (\d+\.\d+)""),"""")
"),"")</f>
        <v/>
      </c>
      <c r="K533" s="3"/>
      <c r="L533" s="3" t="str">
        <f aca="false">IFERROR(__xludf.dummyfunction("if($T533&lt;&gt;"""",REGEXEXTRACT(SUBSTITUTE ($T533,L$1&amp;"" CE"",""""), L$1&amp;""[\w &amp;]*, (\d+\.\d+)""),"""")
"),"")</f>
        <v/>
      </c>
      <c r="M533" s="3" t="str">
        <f aca="false">IFERROR(__xludf.dummyfunction("if($T533&lt;&gt;"""",REGEXEXTRACT($T533, M$1&amp;""[\w &amp;]*, (\d+\.\d+)""),"""")
"),"")</f>
        <v/>
      </c>
      <c r="N533" s="3" t="str">
        <f aca="false">IFERROR(__xludf.dummyfunction("if($T533&lt;&gt;"""",REGEXEXTRACT(SUBSTITUTE ($T533,N$1&amp;"" CE"",""""), N$1&amp;""[\w &amp;]*, (\d+\.\d+)""),"""")
"),"")</f>
        <v/>
      </c>
      <c r="O533" s="3" t="str">
        <f aca="false">IFERROR(__xludf.dummyfunction("if($T533&lt;&gt;"""",REGEXEXTRACT($T533, O$1&amp;""[\w &amp;]*, (\d+\.\d+)""),"""")
"),"")</f>
        <v/>
      </c>
      <c r="P533" s="2"/>
      <c r="Q533" s="2"/>
      <c r="R533" s="2"/>
      <c r="S533" s="2"/>
      <c r="T533" s="5"/>
    </row>
    <row r="534" customFormat="false" ht="15.75" hidden="false" customHeight="false" outlineLevel="0" collapsed="false">
      <c r="A534" s="4"/>
      <c r="B534" s="2"/>
      <c r="C534" s="2"/>
      <c r="D534" s="2"/>
      <c r="E534" s="2"/>
      <c r="F534" s="3" t="str">
        <f aca="false">IFERROR(__xludf.dummyfunction("if($T534&lt;&gt;"""",REGEXEXTRACT(SUBSTITUTE ($T534,F$1&amp;"" CE"",""""), F$1&amp;""[\w &amp;]*, (\d+\.\d+)""),"""")
"),"")</f>
        <v/>
      </c>
      <c r="G534" s="3" t="str">
        <f aca="false">IFERROR(__xludf.dummyfunction("if($T534&lt;&gt;"""",REGEXEXTRACT($T534, G$1&amp;""[\w &amp;]*, (\d+\.\d+)""),"""")
"),"")</f>
        <v/>
      </c>
      <c r="H534" s="3"/>
      <c r="I534" s="3" t="str">
        <f aca="false">IFERROR(__xludf.dummyfunction("if($T534&lt;&gt;"""",REGEXEXTRACT(SUBSTITUTE ($T534,I$1&amp;"" CE"",""""), I$1&amp;""[\w &amp;]*, (\d+\.\d+)""),"""")
"),"")</f>
        <v/>
      </c>
      <c r="J534" s="3" t="str">
        <f aca="false">IFERROR(__xludf.dummyfunction("if($T534&lt;&gt;"""",REGEXEXTRACT($T534, J$1&amp;""[\w &amp;]*, (\d+\.\d+)""),"""")
"),"")</f>
        <v/>
      </c>
      <c r="K534" s="3"/>
      <c r="L534" s="3" t="str">
        <f aca="false">IFERROR(__xludf.dummyfunction("if($T534&lt;&gt;"""",REGEXEXTRACT(SUBSTITUTE ($T534,L$1&amp;"" CE"",""""), L$1&amp;""[\w &amp;]*, (\d+\.\d+)""),"""")
"),"")</f>
        <v/>
      </c>
      <c r="M534" s="3" t="str">
        <f aca="false">IFERROR(__xludf.dummyfunction("if($T534&lt;&gt;"""",REGEXEXTRACT($T534, M$1&amp;""[\w &amp;]*, (\d+\.\d+)""),"""")
"),"")</f>
        <v/>
      </c>
      <c r="N534" s="3" t="str">
        <f aca="false">IFERROR(__xludf.dummyfunction("if($T534&lt;&gt;"""",REGEXEXTRACT(SUBSTITUTE ($T534,N$1&amp;"" CE"",""""), N$1&amp;""[\w &amp;]*, (\d+\.\d+)""),"""")
"),"")</f>
        <v/>
      </c>
      <c r="O534" s="3" t="str">
        <f aca="false">IFERROR(__xludf.dummyfunction("if($T534&lt;&gt;"""",REGEXEXTRACT($T534, O$1&amp;""[\w &amp;]*, (\d+\.\d+)""),"""")
"),"")</f>
        <v/>
      </c>
      <c r="P534" s="2"/>
      <c r="Q534" s="2"/>
      <c r="R534" s="2"/>
      <c r="S534" s="2"/>
      <c r="T534" s="5"/>
    </row>
    <row r="535" customFormat="false" ht="15.75" hidden="false" customHeight="false" outlineLevel="0" collapsed="false">
      <c r="A535" s="4"/>
      <c r="B535" s="2"/>
      <c r="C535" s="2"/>
      <c r="D535" s="2"/>
      <c r="E535" s="2"/>
      <c r="F535" s="3" t="str">
        <f aca="false">IFERROR(__xludf.dummyfunction("if($T535&lt;&gt;"""",REGEXEXTRACT(SUBSTITUTE ($T535,F$1&amp;"" CE"",""""), F$1&amp;""[\w &amp;]*, (\d+\.\d+)""),"""")
"),"")</f>
        <v/>
      </c>
      <c r="G535" s="3" t="str">
        <f aca="false">IFERROR(__xludf.dummyfunction("if($T535&lt;&gt;"""",REGEXEXTRACT($T535, G$1&amp;""[\w &amp;]*, (\d+\.\d+)""),"""")
"),"")</f>
        <v/>
      </c>
      <c r="H535" s="3"/>
      <c r="I535" s="3" t="str">
        <f aca="false">IFERROR(__xludf.dummyfunction("if($T535&lt;&gt;"""",REGEXEXTRACT(SUBSTITUTE ($T535,I$1&amp;"" CE"",""""), I$1&amp;""[\w &amp;]*, (\d+\.\d+)""),"""")
"),"")</f>
        <v/>
      </c>
      <c r="J535" s="3" t="str">
        <f aca="false">IFERROR(__xludf.dummyfunction("if($T535&lt;&gt;"""",REGEXEXTRACT($T535, J$1&amp;""[\w &amp;]*, (\d+\.\d+)""),"""")
"),"")</f>
        <v/>
      </c>
      <c r="K535" s="3"/>
      <c r="L535" s="3" t="str">
        <f aca="false">IFERROR(__xludf.dummyfunction("if($T535&lt;&gt;"""",REGEXEXTRACT(SUBSTITUTE ($T535,L$1&amp;"" CE"",""""), L$1&amp;""[\w &amp;]*, (\d+\.\d+)""),"""")
"),"")</f>
        <v/>
      </c>
      <c r="M535" s="3" t="str">
        <f aca="false">IFERROR(__xludf.dummyfunction("if($T535&lt;&gt;"""",REGEXEXTRACT($T535, M$1&amp;""[\w &amp;]*, (\d+\.\d+)""),"""")
"),"")</f>
        <v/>
      </c>
      <c r="N535" s="3" t="str">
        <f aca="false">IFERROR(__xludf.dummyfunction("if($T535&lt;&gt;"""",REGEXEXTRACT(SUBSTITUTE ($T535,N$1&amp;"" CE"",""""), N$1&amp;""[\w &amp;]*, (\d+\.\d+)""),"""")
"),"")</f>
        <v/>
      </c>
      <c r="O535" s="3" t="str">
        <f aca="false">IFERROR(__xludf.dummyfunction("if($T535&lt;&gt;"""",REGEXEXTRACT($T535, O$1&amp;""[\w &amp;]*, (\d+\.\d+)""),"""")
"),"")</f>
        <v/>
      </c>
      <c r="P535" s="2"/>
      <c r="Q535" s="2"/>
      <c r="R535" s="2"/>
      <c r="S535" s="2"/>
      <c r="T535" s="5"/>
    </row>
    <row r="536" customFormat="false" ht="15.75" hidden="false" customHeight="false" outlineLevel="0" collapsed="false">
      <c r="A536" s="4"/>
      <c r="B536" s="2"/>
      <c r="C536" s="2"/>
      <c r="D536" s="2"/>
      <c r="E536" s="2"/>
      <c r="F536" s="3" t="str">
        <f aca="false">IFERROR(__xludf.dummyfunction("if($T536&lt;&gt;"""",REGEXEXTRACT(SUBSTITUTE ($T536,F$1&amp;"" CE"",""""), F$1&amp;""[\w &amp;]*, (\d+\.\d+)""),"""")
"),"")</f>
        <v/>
      </c>
      <c r="G536" s="3" t="str">
        <f aca="false">IFERROR(__xludf.dummyfunction("if($T536&lt;&gt;"""",REGEXEXTRACT($T536, G$1&amp;""[\w &amp;]*, (\d+\.\d+)""),"""")
"),"")</f>
        <v/>
      </c>
      <c r="H536" s="3"/>
      <c r="I536" s="3" t="str">
        <f aca="false">IFERROR(__xludf.dummyfunction("if($T536&lt;&gt;"""",REGEXEXTRACT(SUBSTITUTE ($T536,I$1&amp;"" CE"",""""), I$1&amp;""[\w &amp;]*, (\d+\.\d+)""),"""")
"),"")</f>
        <v/>
      </c>
      <c r="J536" s="3" t="str">
        <f aca="false">IFERROR(__xludf.dummyfunction("if($T536&lt;&gt;"""",REGEXEXTRACT($T536, J$1&amp;""[\w &amp;]*, (\d+\.\d+)""),"""")
"),"")</f>
        <v/>
      </c>
      <c r="K536" s="3"/>
      <c r="L536" s="3" t="str">
        <f aca="false">IFERROR(__xludf.dummyfunction("if($T536&lt;&gt;"""",REGEXEXTRACT(SUBSTITUTE ($T536,L$1&amp;"" CE"",""""), L$1&amp;""[\w &amp;]*, (\d+\.\d+)""),"""")
"),"")</f>
        <v/>
      </c>
      <c r="M536" s="3" t="str">
        <f aca="false">IFERROR(__xludf.dummyfunction("if($T536&lt;&gt;"""",REGEXEXTRACT($T536, M$1&amp;""[\w &amp;]*, (\d+\.\d+)""),"""")
"),"")</f>
        <v/>
      </c>
      <c r="N536" s="3" t="str">
        <f aca="false">IFERROR(__xludf.dummyfunction("if($T536&lt;&gt;"""",REGEXEXTRACT(SUBSTITUTE ($T536,N$1&amp;"" CE"",""""), N$1&amp;""[\w &amp;]*, (\d+\.\d+)""),"""")
"),"")</f>
        <v/>
      </c>
      <c r="O536" s="3" t="str">
        <f aca="false">IFERROR(__xludf.dummyfunction("if($T536&lt;&gt;"""",REGEXEXTRACT($T536, O$1&amp;""[\w &amp;]*, (\d+\.\d+)""),"""")
"),"")</f>
        <v/>
      </c>
      <c r="P536" s="2"/>
      <c r="Q536" s="2"/>
      <c r="R536" s="2"/>
      <c r="S536" s="2"/>
      <c r="T536" s="5"/>
    </row>
    <row r="537" customFormat="false" ht="15.75" hidden="false" customHeight="false" outlineLevel="0" collapsed="false">
      <c r="A537" s="4"/>
      <c r="B537" s="2"/>
      <c r="C537" s="2"/>
      <c r="D537" s="2"/>
      <c r="E537" s="2"/>
      <c r="F537" s="3" t="str">
        <f aca="false">IFERROR(__xludf.dummyfunction("if($T537&lt;&gt;"""",REGEXEXTRACT(SUBSTITUTE ($T537,F$1&amp;"" CE"",""""), F$1&amp;""[\w &amp;]*, (\d+\.\d+)""),"""")
"),"")</f>
        <v/>
      </c>
      <c r="G537" s="3" t="str">
        <f aca="false">IFERROR(__xludf.dummyfunction("if($T537&lt;&gt;"""",REGEXEXTRACT($T537, G$1&amp;""[\w &amp;]*, (\d+\.\d+)""),"""")
"),"")</f>
        <v/>
      </c>
      <c r="H537" s="3"/>
      <c r="I537" s="3" t="str">
        <f aca="false">IFERROR(__xludf.dummyfunction("if($T537&lt;&gt;"""",REGEXEXTRACT(SUBSTITUTE ($T537,I$1&amp;"" CE"",""""), I$1&amp;""[\w &amp;]*, (\d+\.\d+)""),"""")
"),"")</f>
        <v/>
      </c>
      <c r="J537" s="3" t="str">
        <f aca="false">IFERROR(__xludf.dummyfunction("if($T537&lt;&gt;"""",REGEXEXTRACT($T537, J$1&amp;""[\w &amp;]*, (\d+\.\d+)""),"""")
"),"")</f>
        <v/>
      </c>
      <c r="K537" s="3"/>
      <c r="L537" s="3" t="str">
        <f aca="false">IFERROR(__xludf.dummyfunction("if($T537&lt;&gt;"""",REGEXEXTRACT(SUBSTITUTE ($T537,L$1&amp;"" CE"",""""), L$1&amp;""[\w &amp;]*, (\d+\.\d+)""),"""")
"),"")</f>
        <v/>
      </c>
      <c r="M537" s="3" t="str">
        <f aca="false">IFERROR(__xludf.dummyfunction("if($T537&lt;&gt;"""",REGEXEXTRACT($T537, M$1&amp;""[\w &amp;]*, (\d+\.\d+)""),"""")
"),"")</f>
        <v/>
      </c>
      <c r="N537" s="3" t="str">
        <f aca="false">IFERROR(__xludf.dummyfunction("if($T537&lt;&gt;"""",REGEXEXTRACT(SUBSTITUTE ($T537,N$1&amp;"" CE"",""""), N$1&amp;""[\w &amp;]*, (\d+\.\d+)""),"""")
"),"")</f>
        <v/>
      </c>
      <c r="O537" s="3" t="str">
        <f aca="false">IFERROR(__xludf.dummyfunction("if($T537&lt;&gt;"""",REGEXEXTRACT($T537, O$1&amp;""[\w &amp;]*, (\d+\.\d+)""),"""")
"),"")</f>
        <v/>
      </c>
      <c r="P537" s="2"/>
      <c r="Q537" s="2"/>
      <c r="R537" s="2"/>
      <c r="S537" s="2"/>
      <c r="T537" s="5"/>
    </row>
    <row r="538" customFormat="false" ht="15.75" hidden="false" customHeight="false" outlineLevel="0" collapsed="false">
      <c r="A538" s="4"/>
      <c r="B538" s="2"/>
      <c r="C538" s="2"/>
      <c r="D538" s="2"/>
      <c r="E538" s="2"/>
      <c r="F538" s="3" t="str">
        <f aca="false">IFERROR(__xludf.dummyfunction("if($T538&lt;&gt;"""",REGEXEXTRACT(SUBSTITUTE ($T538,F$1&amp;"" CE"",""""), F$1&amp;""[\w &amp;]*, (\d+\.\d+)""),"""")
"),"")</f>
        <v/>
      </c>
      <c r="G538" s="3" t="str">
        <f aca="false">IFERROR(__xludf.dummyfunction("if($T538&lt;&gt;"""",REGEXEXTRACT($T538, G$1&amp;""[\w &amp;]*, (\d+\.\d+)""),"""")
"),"")</f>
        <v/>
      </c>
      <c r="H538" s="3"/>
      <c r="I538" s="3" t="str">
        <f aca="false">IFERROR(__xludf.dummyfunction("if($T538&lt;&gt;"""",REGEXEXTRACT(SUBSTITUTE ($T538,I$1&amp;"" CE"",""""), I$1&amp;""[\w &amp;]*, (\d+\.\d+)""),"""")
"),"")</f>
        <v/>
      </c>
      <c r="J538" s="3" t="str">
        <f aca="false">IFERROR(__xludf.dummyfunction("if($T538&lt;&gt;"""",REGEXEXTRACT($T538, J$1&amp;""[\w &amp;]*, (\d+\.\d+)""),"""")
"),"")</f>
        <v/>
      </c>
      <c r="K538" s="3"/>
      <c r="L538" s="3" t="str">
        <f aca="false">IFERROR(__xludf.dummyfunction("if($T538&lt;&gt;"""",REGEXEXTRACT(SUBSTITUTE ($T538,L$1&amp;"" CE"",""""), L$1&amp;""[\w &amp;]*, (\d+\.\d+)""),"""")
"),"")</f>
        <v/>
      </c>
      <c r="M538" s="3" t="str">
        <f aca="false">IFERROR(__xludf.dummyfunction("if($T538&lt;&gt;"""",REGEXEXTRACT($T538, M$1&amp;""[\w &amp;]*, (\d+\.\d+)""),"""")
"),"")</f>
        <v/>
      </c>
      <c r="N538" s="3" t="str">
        <f aca="false">IFERROR(__xludf.dummyfunction("if($T538&lt;&gt;"""",REGEXEXTRACT(SUBSTITUTE ($T538,N$1&amp;"" CE"",""""), N$1&amp;""[\w &amp;]*, (\d+\.\d+)""),"""")
"),"")</f>
        <v/>
      </c>
      <c r="O538" s="3" t="str">
        <f aca="false">IFERROR(__xludf.dummyfunction("if($T538&lt;&gt;"""",REGEXEXTRACT($T538, O$1&amp;""[\w &amp;]*, (\d+\.\d+)""),"""")
"),"")</f>
        <v/>
      </c>
      <c r="P538" s="2"/>
      <c r="Q538" s="2"/>
      <c r="R538" s="2"/>
      <c r="S538" s="2"/>
      <c r="T538" s="5"/>
    </row>
    <row r="539" customFormat="false" ht="15.75" hidden="false" customHeight="false" outlineLevel="0" collapsed="false">
      <c r="A539" s="4"/>
      <c r="B539" s="2"/>
      <c r="C539" s="2"/>
      <c r="D539" s="2"/>
      <c r="E539" s="2"/>
      <c r="F539" s="3" t="str">
        <f aca="false">IFERROR(__xludf.dummyfunction("if($T539&lt;&gt;"""",REGEXEXTRACT(SUBSTITUTE ($T539,F$1&amp;"" CE"",""""), F$1&amp;""[\w &amp;]*, (\d+\.\d+)""),"""")
"),"")</f>
        <v/>
      </c>
      <c r="G539" s="3" t="str">
        <f aca="false">IFERROR(__xludf.dummyfunction("if($T539&lt;&gt;"""",REGEXEXTRACT($T539, G$1&amp;""[\w &amp;]*, (\d+\.\d+)""),"""")
"),"")</f>
        <v/>
      </c>
      <c r="H539" s="3"/>
      <c r="I539" s="3" t="str">
        <f aca="false">IFERROR(__xludf.dummyfunction("if($T539&lt;&gt;"""",REGEXEXTRACT(SUBSTITUTE ($T539,I$1&amp;"" CE"",""""), I$1&amp;""[\w &amp;]*, (\d+\.\d+)""),"""")
"),"")</f>
        <v/>
      </c>
      <c r="J539" s="3" t="str">
        <f aca="false">IFERROR(__xludf.dummyfunction("if($T539&lt;&gt;"""",REGEXEXTRACT($T539, J$1&amp;""[\w &amp;]*, (\d+\.\d+)""),"""")
"),"")</f>
        <v/>
      </c>
      <c r="K539" s="3"/>
      <c r="L539" s="3" t="str">
        <f aca="false">IFERROR(__xludf.dummyfunction("if($T539&lt;&gt;"""",REGEXEXTRACT(SUBSTITUTE ($T539,L$1&amp;"" CE"",""""), L$1&amp;""[\w &amp;]*, (\d+\.\d+)""),"""")
"),"")</f>
        <v/>
      </c>
      <c r="M539" s="3" t="str">
        <f aca="false">IFERROR(__xludf.dummyfunction("if($T539&lt;&gt;"""",REGEXEXTRACT($T539, M$1&amp;""[\w &amp;]*, (\d+\.\d+)""),"""")
"),"")</f>
        <v/>
      </c>
      <c r="N539" s="3" t="str">
        <f aca="false">IFERROR(__xludf.dummyfunction("if($T539&lt;&gt;"""",REGEXEXTRACT(SUBSTITUTE ($T539,N$1&amp;"" CE"",""""), N$1&amp;""[\w &amp;]*, (\d+\.\d+)""),"""")
"),"")</f>
        <v/>
      </c>
      <c r="O539" s="3" t="str">
        <f aca="false">IFERROR(__xludf.dummyfunction("if($T539&lt;&gt;"""",REGEXEXTRACT($T539, O$1&amp;""[\w &amp;]*, (\d+\.\d+)""),"""")
"),"")</f>
        <v/>
      </c>
      <c r="P539" s="2"/>
      <c r="Q539" s="2"/>
      <c r="R539" s="2"/>
      <c r="S539" s="2"/>
      <c r="T539" s="5"/>
    </row>
    <row r="540" customFormat="false" ht="15.75" hidden="false" customHeight="false" outlineLevel="0" collapsed="false">
      <c r="A540" s="4"/>
      <c r="B540" s="2"/>
      <c r="C540" s="2"/>
      <c r="D540" s="2"/>
      <c r="E540" s="2"/>
      <c r="F540" s="3" t="str">
        <f aca="false">IFERROR(__xludf.dummyfunction("if($T540&lt;&gt;"""",REGEXEXTRACT(SUBSTITUTE ($T540,F$1&amp;"" CE"",""""), F$1&amp;""[\w &amp;]*, (\d+\.\d+)""),"""")
"),"")</f>
        <v/>
      </c>
      <c r="G540" s="3" t="str">
        <f aca="false">IFERROR(__xludf.dummyfunction("if($T540&lt;&gt;"""",REGEXEXTRACT($T540, G$1&amp;""[\w &amp;]*, (\d+\.\d+)""),"""")
"),"")</f>
        <v/>
      </c>
      <c r="H540" s="3"/>
      <c r="I540" s="3" t="str">
        <f aca="false">IFERROR(__xludf.dummyfunction("if($T540&lt;&gt;"""",REGEXEXTRACT(SUBSTITUTE ($T540,I$1&amp;"" CE"",""""), I$1&amp;""[\w &amp;]*, (\d+\.\d+)""),"""")
"),"")</f>
        <v/>
      </c>
      <c r="J540" s="3" t="str">
        <f aca="false">IFERROR(__xludf.dummyfunction("if($T540&lt;&gt;"""",REGEXEXTRACT($T540, J$1&amp;""[\w &amp;]*, (\d+\.\d+)""),"""")
"),"")</f>
        <v/>
      </c>
      <c r="K540" s="3"/>
      <c r="L540" s="3" t="str">
        <f aca="false">IFERROR(__xludf.dummyfunction("if($T540&lt;&gt;"""",REGEXEXTRACT(SUBSTITUTE ($T540,L$1&amp;"" CE"",""""), L$1&amp;""[\w &amp;]*, (\d+\.\d+)""),"""")
"),"")</f>
        <v/>
      </c>
      <c r="M540" s="3" t="str">
        <f aca="false">IFERROR(__xludf.dummyfunction("if($T540&lt;&gt;"""",REGEXEXTRACT($T540, M$1&amp;""[\w &amp;]*, (\d+\.\d+)""),"""")
"),"")</f>
        <v/>
      </c>
      <c r="N540" s="3" t="str">
        <f aca="false">IFERROR(__xludf.dummyfunction("if($T540&lt;&gt;"""",REGEXEXTRACT(SUBSTITUTE ($T540,N$1&amp;"" CE"",""""), N$1&amp;""[\w &amp;]*, (\d+\.\d+)""),"""")
"),"")</f>
        <v/>
      </c>
      <c r="O540" s="3" t="str">
        <f aca="false">IFERROR(__xludf.dummyfunction("if($T540&lt;&gt;"""",REGEXEXTRACT($T540, O$1&amp;""[\w &amp;]*, (\d+\.\d+)""),"""")
"),"")</f>
        <v/>
      </c>
      <c r="P540" s="2"/>
      <c r="Q540" s="2"/>
      <c r="R540" s="2"/>
      <c r="S540" s="2"/>
      <c r="T540" s="5"/>
    </row>
    <row r="541" customFormat="false" ht="15.75" hidden="false" customHeight="false" outlineLevel="0" collapsed="false">
      <c r="A541" s="4"/>
      <c r="B541" s="2"/>
      <c r="C541" s="2"/>
      <c r="D541" s="2"/>
      <c r="E541" s="2"/>
      <c r="F541" s="3" t="str">
        <f aca="false">IFERROR(__xludf.dummyfunction("if($T541&lt;&gt;"""",REGEXEXTRACT(SUBSTITUTE ($T541,F$1&amp;"" CE"",""""), F$1&amp;""[\w &amp;]*, (\d+\.\d+)""),"""")
"),"")</f>
        <v/>
      </c>
      <c r="G541" s="3" t="str">
        <f aca="false">IFERROR(__xludf.dummyfunction("if($T541&lt;&gt;"""",REGEXEXTRACT($T541, G$1&amp;""[\w &amp;]*, (\d+\.\d+)""),"""")
"),"")</f>
        <v/>
      </c>
      <c r="H541" s="3"/>
      <c r="I541" s="3" t="str">
        <f aca="false">IFERROR(__xludf.dummyfunction("if($T541&lt;&gt;"""",REGEXEXTRACT(SUBSTITUTE ($T541,I$1&amp;"" CE"",""""), I$1&amp;""[\w &amp;]*, (\d+\.\d+)""),"""")
"),"")</f>
        <v/>
      </c>
      <c r="J541" s="3" t="str">
        <f aca="false">IFERROR(__xludf.dummyfunction("if($T541&lt;&gt;"""",REGEXEXTRACT($T541, J$1&amp;""[\w &amp;]*, (\d+\.\d+)""),"""")
"),"")</f>
        <v/>
      </c>
      <c r="K541" s="3"/>
      <c r="L541" s="3" t="str">
        <f aca="false">IFERROR(__xludf.dummyfunction("if($T541&lt;&gt;"""",REGEXEXTRACT(SUBSTITUTE ($T541,L$1&amp;"" CE"",""""), L$1&amp;""[\w &amp;]*, (\d+\.\d+)""),"""")
"),"")</f>
        <v/>
      </c>
      <c r="M541" s="3" t="str">
        <f aca="false">IFERROR(__xludf.dummyfunction("if($T541&lt;&gt;"""",REGEXEXTRACT($T541, M$1&amp;""[\w &amp;]*, (\d+\.\d+)""),"""")
"),"")</f>
        <v/>
      </c>
      <c r="N541" s="3" t="str">
        <f aca="false">IFERROR(__xludf.dummyfunction("if($T541&lt;&gt;"""",REGEXEXTRACT(SUBSTITUTE ($T541,N$1&amp;"" CE"",""""), N$1&amp;""[\w &amp;]*, (\d+\.\d+)""),"""")
"),"")</f>
        <v/>
      </c>
      <c r="O541" s="3" t="str">
        <f aca="false">IFERROR(__xludf.dummyfunction("if($T541&lt;&gt;"""",REGEXEXTRACT($T541, O$1&amp;""[\w &amp;]*, (\d+\.\d+)""),"""")
"),"")</f>
        <v/>
      </c>
      <c r="P541" s="2"/>
      <c r="Q541" s="2"/>
      <c r="R541" s="2"/>
      <c r="S541" s="2"/>
      <c r="T541" s="5"/>
    </row>
    <row r="542" customFormat="false" ht="15.75" hidden="false" customHeight="false" outlineLevel="0" collapsed="false">
      <c r="A542" s="4"/>
      <c r="B542" s="2"/>
      <c r="C542" s="2"/>
      <c r="D542" s="2"/>
      <c r="E542" s="2"/>
      <c r="F542" s="3" t="str">
        <f aca="false">IFERROR(__xludf.dummyfunction("if($T542&lt;&gt;"""",REGEXEXTRACT(SUBSTITUTE ($T542,F$1&amp;"" CE"",""""), F$1&amp;""[\w &amp;]*, (\d+\.\d+)""),"""")
"),"")</f>
        <v/>
      </c>
      <c r="G542" s="3" t="str">
        <f aca="false">IFERROR(__xludf.dummyfunction("if($T542&lt;&gt;"""",REGEXEXTRACT($T542, G$1&amp;""[\w &amp;]*, (\d+\.\d+)""),"""")
"),"")</f>
        <v/>
      </c>
      <c r="H542" s="3"/>
      <c r="I542" s="3" t="str">
        <f aca="false">IFERROR(__xludf.dummyfunction("if($T542&lt;&gt;"""",REGEXEXTRACT(SUBSTITUTE ($T542,I$1&amp;"" CE"",""""), I$1&amp;""[\w &amp;]*, (\d+\.\d+)""),"""")
"),"")</f>
        <v/>
      </c>
      <c r="J542" s="3" t="str">
        <f aca="false">IFERROR(__xludf.dummyfunction("if($T542&lt;&gt;"""",REGEXEXTRACT($T542, J$1&amp;""[\w &amp;]*, (\d+\.\d+)""),"""")
"),"")</f>
        <v/>
      </c>
      <c r="K542" s="3"/>
      <c r="L542" s="3" t="str">
        <f aca="false">IFERROR(__xludf.dummyfunction("if($T542&lt;&gt;"""",REGEXEXTRACT(SUBSTITUTE ($T542,L$1&amp;"" CE"",""""), L$1&amp;""[\w &amp;]*, (\d+\.\d+)""),"""")
"),"")</f>
        <v/>
      </c>
      <c r="M542" s="3" t="str">
        <f aca="false">IFERROR(__xludf.dummyfunction("if($T542&lt;&gt;"""",REGEXEXTRACT($T542, M$1&amp;""[\w &amp;]*, (\d+\.\d+)""),"""")
"),"")</f>
        <v/>
      </c>
      <c r="N542" s="3" t="str">
        <f aca="false">IFERROR(__xludf.dummyfunction("if($T542&lt;&gt;"""",REGEXEXTRACT(SUBSTITUTE ($T542,N$1&amp;"" CE"",""""), N$1&amp;""[\w &amp;]*, (\d+\.\d+)""),"""")
"),"")</f>
        <v/>
      </c>
      <c r="O542" s="3" t="str">
        <f aca="false">IFERROR(__xludf.dummyfunction("if($T542&lt;&gt;"""",REGEXEXTRACT($T542, O$1&amp;""[\w &amp;]*, (\d+\.\d+)""),"""")
"),"")</f>
        <v/>
      </c>
      <c r="P542" s="2"/>
      <c r="Q542" s="2"/>
      <c r="R542" s="2"/>
      <c r="S542" s="2"/>
      <c r="T542" s="5"/>
    </row>
    <row r="543" customFormat="false" ht="15.75" hidden="false" customHeight="false" outlineLevel="0" collapsed="false">
      <c r="A543" s="4"/>
      <c r="B543" s="2"/>
      <c r="C543" s="2"/>
      <c r="D543" s="2"/>
      <c r="E543" s="2"/>
      <c r="F543" s="3" t="str">
        <f aca="false">IFERROR(__xludf.dummyfunction("if($T543&lt;&gt;"""",REGEXEXTRACT(SUBSTITUTE ($T543,F$1&amp;"" CE"",""""), F$1&amp;""[\w &amp;]*, (\d+\.\d+)""),"""")
"),"")</f>
        <v/>
      </c>
      <c r="G543" s="3" t="str">
        <f aca="false">IFERROR(__xludf.dummyfunction("if($T543&lt;&gt;"""",REGEXEXTRACT($T543, G$1&amp;""[\w &amp;]*, (\d+\.\d+)""),"""")
"),"")</f>
        <v/>
      </c>
      <c r="H543" s="3"/>
      <c r="I543" s="3" t="str">
        <f aca="false">IFERROR(__xludf.dummyfunction("if($T543&lt;&gt;"""",REGEXEXTRACT(SUBSTITUTE ($T543,I$1&amp;"" CE"",""""), I$1&amp;""[\w &amp;]*, (\d+\.\d+)""),"""")
"),"")</f>
        <v/>
      </c>
      <c r="J543" s="3" t="str">
        <f aca="false">IFERROR(__xludf.dummyfunction("if($T543&lt;&gt;"""",REGEXEXTRACT($T543, J$1&amp;""[\w &amp;]*, (\d+\.\d+)""),"""")
"),"")</f>
        <v/>
      </c>
      <c r="K543" s="3"/>
      <c r="L543" s="3" t="str">
        <f aca="false">IFERROR(__xludf.dummyfunction("if($T543&lt;&gt;"""",REGEXEXTRACT(SUBSTITUTE ($T543,L$1&amp;"" CE"",""""), L$1&amp;""[\w &amp;]*, (\d+\.\d+)""),"""")
"),"")</f>
        <v/>
      </c>
      <c r="M543" s="3" t="str">
        <f aca="false">IFERROR(__xludf.dummyfunction("if($T543&lt;&gt;"""",REGEXEXTRACT($T543, M$1&amp;""[\w &amp;]*, (\d+\.\d+)""),"""")
"),"")</f>
        <v/>
      </c>
      <c r="N543" s="3" t="str">
        <f aca="false">IFERROR(__xludf.dummyfunction("if($T543&lt;&gt;"""",REGEXEXTRACT(SUBSTITUTE ($T543,N$1&amp;"" CE"",""""), N$1&amp;""[\w &amp;]*, (\d+\.\d+)""),"""")
"),"")</f>
        <v/>
      </c>
      <c r="O543" s="3" t="str">
        <f aca="false">IFERROR(__xludf.dummyfunction("if($T543&lt;&gt;"""",REGEXEXTRACT($T543, O$1&amp;""[\w &amp;]*, (\d+\.\d+)""),"""")
"),"")</f>
        <v/>
      </c>
      <c r="P543" s="2"/>
      <c r="Q543" s="2"/>
      <c r="R543" s="2"/>
      <c r="S543" s="2"/>
      <c r="T543" s="5"/>
    </row>
    <row r="544" customFormat="false" ht="15.75" hidden="false" customHeight="false" outlineLevel="0" collapsed="false">
      <c r="A544" s="4"/>
      <c r="B544" s="2"/>
      <c r="C544" s="2"/>
      <c r="D544" s="2"/>
      <c r="E544" s="2"/>
      <c r="F544" s="3" t="str">
        <f aca="false">IFERROR(__xludf.dummyfunction("if($T544&lt;&gt;"""",REGEXEXTRACT(SUBSTITUTE ($T544,F$1&amp;"" CE"",""""), F$1&amp;""[\w &amp;]*, (\d+\.\d+)""),"""")
"),"")</f>
        <v/>
      </c>
      <c r="G544" s="3" t="str">
        <f aca="false">IFERROR(__xludf.dummyfunction("if($T544&lt;&gt;"""",REGEXEXTRACT($T544, G$1&amp;""[\w &amp;]*, (\d+\.\d+)""),"""")
"),"")</f>
        <v/>
      </c>
      <c r="H544" s="3"/>
      <c r="I544" s="3" t="str">
        <f aca="false">IFERROR(__xludf.dummyfunction("if($T544&lt;&gt;"""",REGEXEXTRACT(SUBSTITUTE ($T544,I$1&amp;"" CE"",""""), I$1&amp;""[\w &amp;]*, (\d+\.\d+)""),"""")
"),"")</f>
        <v/>
      </c>
      <c r="J544" s="3" t="str">
        <f aca="false">IFERROR(__xludf.dummyfunction("if($T544&lt;&gt;"""",REGEXEXTRACT($T544, J$1&amp;""[\w &amp;]*, (\d+\.\d+)""),"""")
"),"")</f>
        <v/>
      </c>
      <c r="K544" s="3"/>
      <c r="L544" s="3" t="str">
        <f aca="false">IFERROR(__xludf.dummyfunction("if($T544&lt;&gt;"""",REGEXEXTRACT(SUBSTITUTE ($T544,L$1&amp;"" CE"",""""), L$1&amp;""[\w &amp;]*, (\d+\.\d+)""),"""")
"),"")</f>
        <v/>
      </c>
      <c r="M544" s="3" t="str">
        <f aca="false">IFERROR(__xludf.dummyfunction("if($T544&lt;&gt;"""",REGEXEXTRACT($T544, M$1&amp;""[\w &amp;]*, (\d+\.\d+)""),"""")
"),"")</f>
        <v/>
      </c>
      <c r="N544" s="3" t="str">
        <f aca="false">IFERROR(__xludf.dummyfunction("if($T544&lt;&gt;"""",REGEXEXTRACT(SUBSTITUTE ($T544,N$1&amp;"" CE"",""""), N$1&amp;""[\w &amp;]*, (\d+\.\d+)""),"""")
"),"")</f>
        <v/>
      </c>
      <c r="O544" s="3" t="str">
        <f aca="false">IFERROR(__xludf.dummyfunction("if($T544&lt;&gt;"""",REGEXEXTRACT($T544, O$1&amp;""[\w &amp;]*, (\d+\.\d+)""),"""")
"),"")</f>
        <v/>
      </c>
      <c r="P544" s="2"/>
      <c r="Q544" s="2"/>
      <c r="R544" s="2"/>
      <c r="S544" s="2"/>
      <c r="T544" s="5"/>
    </row>
    <row r="545" customFormat="false" ht="15.75" hidden="false" customHeight="false" outlineLevel="0" collapsed="false">
      <c r="A545" s="4"/>
      <c r="B545" s="2"/>
      <c r="C545" s="2"/>
      <c r="D545" s="2"/>
      <c r="E545" s="2"/>
      <c r="F545" s="3" t="str">
        <f aca="false">IFERROR(__xludf.dummyfunction("if($T545&lt;&gt;"""",REGEXEXTRACT(SUBSTITUTE ($T545,F$1&amp;"" CE"",""""), F$1&amp;""[\w &amp;]*, (\d+\.\d+)""),"""")
"),"")</f>
        <v/>
      </c>
      <c r="G545" s="3" t="str">
        <f aca="false">IFERROR(__xludf.dummyfunction("if($T545&lt;&gt;"""",REGEXEXTRACT($T545, G$1&amp;""[\w &amp;]*, (\d+\.\d+)""),"""")
"),"")</f>
        <v/>
      </c>
      <c r="H545" s="3"/>
      <c r="I545" s="3" t="str">
        <f aca="false">IFERROR(__xludf.dummyfunction("if($T545&lt;&gt;"""",REGEXEXTRACT(SUBSTITUTE ($T545,I$1&amp;"" CE"",""""), I$1&amp;""[\w &amp;]*, (\d+\.\d+)""),"""")
"),"")</f>
        <v/>
      </c>
      <c r="J545" s="3" t="str">
        <f aca="false">IFERROR(__xludf.dummyfunction("if($T545&lt;&gt;"""",REGEXEXTRACT($T545, J$1&amp;""[\w &amp;]*, (\d+\.\d+)""),"""")
"),"")</f>
        <v/>
      </c>
      <c r="K545" s="3"/>
      <c r="L545" s="3" t="str">
        <f aca="false">IFERROR(__xludf.dummyfunction("if($T545&lt;&gt;"""",REGEXEXTRACT(SUBSTITUTE ($T545,L$1&amp;"" CE"",""""), L$1&amp;""[\w &amp;]*, (\d+\.\d+)""),"""")
"),"")</f>
        <v/>
      </c>
      <c r="M545" s="3" t="str">
        <f aca="false">IFERROR(__xludf.dummyfunction("if($T545&lt;&gt;"""",REGEXEXTRACT($T545, M$1&amp;""[\w &amp;]*, (\d+\.\d+)""),"""")
"),"")</f>
        <v/>
      </c>
      <c r="N545" s="3" t="str">
        <f aca="false">IFERROR(__xludf.dummyfunction("if($T545&lt;&gt;"""",REGEXEXTRACT(SUBSTITUTE ($T545,N$1&amp;"" CE"",""""), N$1&amp;""[\w &amp;]*, (\d+\.\d+)""),"""")
"),"")</f>
        <v/>
      </c>
      <c r="O545" s="3" t="str">
        <f aca="false">IFERROR(__xludf.dummyfunction("if($T545&lt;&gt;"""",REGEXEXTRACT($T545, O$1&amp;""[\w &amp;]*, (\d+\.\d+)""),"""")
"),"")</f>
        <v/>
      </c>
      <c r="P545" s="2"/>
      <c r="Q545" s="2"/>
      <c r="R545" s="2"/>
      <c r="S545" s="2"/>
      <c r="T545" s="5"/>
    </row>
    <row r="546" customFormat="false" ht="15.75" hidden="false" customHeight="false" outlineLevel="0" collapsed="false">
      <c r="A546" s="4"/>
      <c r="B546" s="2"/>
      <c r="C546" s="2"/>
      <c r="D546" s="2"/>
      <c r="E546" s="2"/>
      <c r="F546" s="3" t="str">
        <f aca="false">IFERROR(__xludf.dummyfunction("if($T546&lt;&gt;"""",REGEXEXTRACT(SUBSTITUTE ($T546,F$1&amp;"" CE"",""""), F$1&amp;""[\w &amp;]*, (\d+\.\d+)""),"""")
"),"")</f>
        <v/>
      </c>
      <c r="G546" s="3" t="str">
        <f aca="false">IFERROR(__xludf.dummyfunction("if($T546&lt;&gt;"""",REGEXEXTRACT($T546, G$1&amp;""[\w &amp;]*, (\d+\.\d+)""),"""")
"),"")</f>
        <v/>
      </c>
      <c r="H546" s="3"/>
      <c r="I546" s="3" t="str">
        <f aca="false">IFERROR(__xludf.dummyfunction("if($T546&lt;&gt;"""",REGEXEXTRACT(SUBSTITUTE ($T546,I$1&amp;"" CE"",""""), I$1&amp;""[\w &amp;]*, (\d+\.\d+)""),"""")
"),"")</f>
        <v/>
      </c>
      <c r="J546" s="3" t="str">
        <f aca="false">IFERROR(__xludf.dummyfunction("if($T546&lt;&gt;"""",REGEXEXTRACT($T546, J$1&amp;""[\w &amp;]*, (\d+\.\d+)""),"""")
"),"")</f>
        <v/>
      </c>
      <c r="K546" s="3"/>
      <c r="L546" s="3" t="str">
        <f aca="false">IFERROR(__xludf.dummyfunction("if($T546&lt;&gt;"""",REGEXEXTRACT(SUBSTITUTE ($T546,L$1&amp;"" CE"",""""), L$1&amp;""[\w &amp;]*, (\d+\.\d+)""),"""")
"),"")</f>
        <v/>
      </c>
      <c r="M546" s="3" t="str">
        <f aca="false">IFERROR(__xludf.dummyfunction("if($T546&lt;&gt;"""",REGEXEXTRACT($T546, M$1&amp;""[\w &amp;]*, (\d+\.\d+)""),"""")
"),"")</f>
        <v/>
      </c>
      <c r="N546" s="3" t="str">
        <f aca="false">IFERROR(__xludf.dummyfunction("if($T546&lt;&gt;"""",REGEXEXTRACT(SUBSTITUTE ($T546,N$1&amp;"" CE"",""""), N$1&amp;""[\w &amp;]*, (\d+\.\d+)""),"""")
"),"")</f>
        <v/>
      </c>
      <c r="O546" s="3" t="str">
        <f aca="false">IFERROR(__xludf.dummyfunction("if($T546&lt;&gt;"""",REGEXEXTRACT($T546, O$1&amp;""[\w &amp;]*, (\d+\.\d+)""),"""")
"),"")</f>
        <v/>
      </c>
      <c r="P546" s="2"/>
      <c r="Q546" s="2"/>
      <c r="R546" s="2"/>
      <c r="S546" s="2"/>
      <c r="T546" s="5"/>
    </row>
    <row r="547" customFormat="false" ht="15.75" hidden="false" customHeight="false" outlineLevel="0" collapsed="false">
      <c r="A547" s="4"/>
      <c r="B547" s="2"/>
      <c r="C547" s="2"/>
      <c r="D547" s="2"/>
      <c r="E547" s="2"/>
      <c r="F547" s="3" t="str">
        <f aca="false">IFERROR(__xludf.dummyfunction("if($T547&lt;&gt;"""",REGEXEXTRACT(SUBSTITUTE ($T547,F$1&amp;"" CE"",""""), F$1&amp;""[\w &amp;]*, (\d+\.\d+)""),"""")
"),"")</f>
        <v/>
      </c>
      <c r="G547" s="3" t="str">
        <f aca="false">IFERROR(__xludf.dummyfunction("if($T547&lt;&gt;"""",REGEXEXTRACT($T547, G$1&amp;""[\w &amp;]*, (\d+\.\d+)""),"""")
"),"")</f>
        <v/>
      </c>
      <c r="H547" s="3"/>
      <c r="I547" s="3" t="str">
        <f aca="false">IFERROR(__xludf.dummyfunction("if($T547&lt;&gt;"""",REGEXEXTRACT(SUBSTITUTE ($T547,I$1&amp;"" CE"",""""), I$1&amp;""[\w &amp;]*, (\d+\.\d+)""),"""")
"),"")</f>
        <v/>
      </c>
      <c r="J547" s="3" t="str">
        <f aca="false">IFERROR(__xludf.dummyfunction("if($T547&lt;&gt;"""",REGEXEXTRACT($T547, J$1&amp;""[\w &amp;]*, (\d+\.\d+)""),"""")
"),"")</f>
        <v/>
      </c>
      <c r="K547" s="3"/>
      <c r="L547" s="3" t="str">
        <f aca="false">IFERROR(__xludf.dummyfunction("if($T547&lt;&gt;"""",REGEXEXTRACT(SUBSTITUTE ($T547,L$1&amp;"" CE"",""""), L$1&amp;""[\w &amp;]*, (\d+\.\d+)""),"""")
"),"")</f>
        <v/>
      </c>
      <c r="M547" s="3" t="str">
        <f aca="false">IFERROR(__xludf.dummyfunction("if($T547&lt;&gt;"""",REGEXEXTRACT($T547, M$1&amp;""[\w &amp;]*, (\d+\.\d+)""),"""")
"),"")</f>
        <v/>
      </c>
      <c r="N547" s="3" t="str">
        <f aca="false">IFERROR(__xludf.dummyfunction("if($T547&lt;&gt;"""",REGEXEXTRACT(SUBSTITUTE ($T547,N$1&amp;"" CE"",""""), N$1&amp;""[\w &amp;]*, (\d+\.\d+)""),"""")
"),"")</f>
        <v/>
      </c>
      <c r="O547" s="3" t="str">
        <f aca="false">IFERROR(__xludf.dummyfunction("if($T547&lt;&gt;"""",REGEXEXTRACT($T547, O$1&amp;""[\w &amp;]*, (\d+\.\d+)""),"""")
"),"")</f>
        <v/>
      </c>
      <c r="P547" s="2"/>
      <c r="Q547" s="2"/>
      <c r="R547" s="2"/>
      <c r="S547" s="2"/>
      <c r="T547" s="5"/>
    </row>
    <row r="548" customFormat="false" ht="15.75" hidden="false" customHeight="false" outlineLevel="0" collapsed="false">
      <c r="A548" s="4"/>
      <c r="B548" s="2"/>
      <c r="C548" s="2"/>
      <c r="D548" s="2"/>
      <c r="E548" s="2"/>
      <c r="F548" s="3" t="str">
        <f aca="false">IFERROR(__xludf.dummyfunction("if($T548&lt;&gt;"""",REGEXEXTRACT(SUBSTITUTE ($T548,F$1&amp;"" CE"",""""), F$1&amp;""[\w &amp;]*, (\d+\.\d+)""),"""")
"),"")</f>
        <v/>
      </c>
      <c r="G548" s="3" t="str">
        <f aca="false">IFERROR(__xludf.dummyfunction("if($T548&lt;&gt;"""",REGEXEXTRACT($T548, G$1&amp;""[\w &amp;]*, (\d+\.\d+)""),"""")
"),"")</f>
        <v/>
      </c>
      <c r="H548" s="3"/>
      <c r="I548" s="3" t="str">
        <f aca="false">IFERROR(__xludf.dummyfunction("if($T548&lt;&gt;"""",REGEXEXTRACT(SUBSTITUTE ($T548,I$1&amp;"" CE"",""""), I$1&amp;""[\w &amp;]*, (\d+\.\d+)""),"""")
"),"")</f>
        <v/>
      </c>
      <c r="J548" s="3" t="str">
        <f aca="false">IFERROR(__xludf.dummyfunction("if($T548&lt;&gt;"""",REGEXEXTRACT($T548, J$1&amp;""[\w &amp;]*, (\d+\.\d+)""),"""")
"),"")</f>
        <v/>
      </c>
      <c r="K548" s="3"/>
      <c r="L548" s="3" t="str">
        <f aca="false">IFERROR(__xludf.dummyfunction("if($T548&lt;&gt;"""",REGEXEXTRACT(SUBSTITUTE ($T548,L$1&amp;"" CE"",""""), L$1&amp;""[\w &amp;]*, (\d+\.\d+)""),"""")
"),"")</f>
        <v/>
      </c>
      <c r="M548" s="3" t="str">
        <f aca="false">IFERROR(__xludf.dummyfunction("if($T548&lt;&gt;"""",REGEXEXTRACT($T548, M$1&amp;""[\w &amp;]*, (\d+\.\d+)""),"""")
"),"")</f>
        <v/>
      </c>
      <c r="N548" s="3" t="str">
        <f aca="false">IFERROR(__xludf.dummyfunction("if($T548&lt;&gt;"""",REGEXEXTRACT(SUBSTITUTE ($T548,N$1&amp;"" CE"",""""), N$1&amp;""[\w &amp;]*, (\d+\.\d+)""),"""")
"),"")</f>
        <v/>
      </c>
      <c r="O548" s="3" t="str">
        <f aca="false">IFERROR(__xludf.dummyfunction("if($T548&lt;&gt;"""",REGEXEXTRACT($T548, O$1&amp;""[\w &amp;]*, (\d+\.\d+)""),"""")
"),"")</f>
        <v/>
      </c>
      <c r="P548" s="2"/>
      <c r="Q548" s="2"/>
      <c r="R548" s="2"/>
      <c r="S548" s="2"/>
      <c r="T548" s="5"/>
    </row>
    <row r="549" customFormat="false" ht="15.75" hidden="false" customHeight="false" outlineLevel="0" collapsed="false">
      <c r="A549" s="4"/>
      <c r="B549" s="2"/>
      <c r="C549" s="2"/>
      <c r="D549" s="2"/>
      <c r="E549" s="2"/>
      <c r="F549" s="3" t="str">
        <f aca="false">IFERROR(__xludf.dummyfunction("if($T549&lt;&gt;"""",REGEXEXTRACT(SUBSTITUTE ($T549,F$1&amp;"" CE"",""""), F$1&amp;""[\w &amp;]*, (\d+\.\d+)""),"""")
"),"")</f>
        <v/>
      </c>
      <c r="G549" s="3" t="str">
        <f aca="false">IFERROR(__xludf.dummyfunction("if($T549&lt;&gt;"""",REGEXEXTRACT($T549, G$1&amp;""[\w &amp;]*, (\d+\.\d+)""),"""")
"),"")</f>
        <v/>
      </c>
      <c r="H549" s="3"/>
      <c r="I549" s="3" t="str">
        <f aca="false">IFERROR(__xludf.dummyfunction("if($T549&lt;&gt;"""",REGEXEXTRACT(SUBSTITUTE ($T549,I$1&amp;"" CE"",""""), I$1&amp;""[\w &amp;]*, (\d+\.\d+)""),"""")
"),"")</f>
        <v/>
      </c>
      <c r="J549" s="3" t="str">
        <f aca="false">IFERROR(__xludf.dummyfunction("if($T549&lt;&gt;"""",REGEXEXTRACT($T549, J$1&amp;""[\w &amp;]*, (\d+\.\d+)""),"""")
"),"")</f>
        <v/>
      </c>
      <c r="K549" s="3"/>
      <c r="L549" s="3" t="str">
        <f aca="false">IFERROR(__xludf.dummyfunction("if($T549&lt;&gt;"""",REGEXEXTRACT(SUBSTITUTE ($T549,L$1&amp;"" CE"",""""), L$1&amp;""[\w &amp;]*, (\d+\.\d+)""),"""")
"),"")</f>
        <v/>
      </c>
      <c r="M549" s="3" t="str">
        <f aca="false">IFERROR(__xludf.dummyfunction("if($T549&lt;&gt;"""",REGEXEXTRACT($T549, M$1&amp;""[\w &amp;]*, (\d+\.\d+)""),"""")
"),"")</f>
        <v/>
      </c>
      <c r="N549" s="3" t="str">
        <f aca="false">IFERROR(__xludf.dummyfunction("if($T549&lt;&gt;"""",REGEXEXTRACT(SUBSTITUTE ($T549,N$1&amp;"" CE"",""""), N$1&amp;""[\w &amp;]*, (\d+\.\d+)""),"""")
"),"")</f>
        <v/>
      </c>
      <c r="O549" s="3" t="str">
        <f aca="false">IFERROR(__xludf.dummyfunction("if($T549&lt;&gt;"""",REGEXEXTRACT($T549, O$1&amp;""[\w &amp;]*, (\d+\.\d+)""),"""")
"),"")</f>
        <v/>
      </c>
      <c r="P549" s="2"/>
      <c r="Q549" s="2"/>
      <c r="R549" s="2"/>
      <c r="S549" s="2"/>
      <c r="T549" s="5"/>
    </row>
    <row r="550" customFormat="false" ht="15.75" hidden="false" customHeight="false" outlineLevel="0" collapsed="false">
      <c r="A550" s="4"/>
      <c r="B550" s="2"/>
      <c r="C550" s="2"/>
      <c r="D550" s="2"/>
      <c r="E550" s="2"/>
      <c r="F550" s="3" t="str">
        <f aca="false">IFERROR(__xludf.dummyfunction("if($T550&lt;&gt;"""",REGEXEXTRACT(SUBSTITUTE ($T550,F$1&amp;"" CE"",""""), F$1&amp;""[\w &amp;]*, (\d+\.\d+)""),"""")
"),"")</f>
        <v/>
      </c>
      <c r="G550" s="3" t="str">
        <f aca="false">IFERROR(__xludf.dummyfunction("if($T550&lt;&gt;"""",REGEXEXTRACT($T550, G$1&amp;""[\w &amp;]*, (\d+\.\d+)""),"""")
"),"")</f>
        <v/>
      </c>
      <c r="H550" s="3"/>
      <c r="I550" s="3" t="str">
        <f aca="false">IFERROR(__xludf.dummyfunction("if($T550&lt;&gt;"""",REGEXEXTRACT(SUBSTITUTE ($T550,I$1&amp;"" CE"",""""), I$1&amp;""[\w &amp;]*, (\d+\.\d+)""),"""")
"),"")</f>
        <v/>
      </c>
      <c r="J550" s="3" t="str">
        <f aca="false">IFERROR(__xludf.dummyfunction("if($T550&lt;&gt;"""",REGEXEXTRACT($T550, J$1&amp;""[\w &amp;]*, (\d+\.\d+)""),"""")
"),"")</f>
        <v/>
      </c>
      <c r="K550" s="3"/>
      <c r="L550" s="3" t="str">
        <f aca="false">IFERROR(__xludf.dummyfunction("if($T550&lt;&gt;"""",REGEXEXTRACT(SUBSTITUTE ($T550,L$1&amp;"" CE"",""""), L$1&amp;""[\w &amp;]*, (\d+\.\d+)""),"""")
"),"")</f>
        <v/>
      </c>
      <c r="M550" s="3" t="str">
        <f aca="false">IFERROR(__xludf.dummyfunction("if($T550&lt;&gt;"""",REGEXEXTRACT($T550, M$1&amp;""[\w &amp;]*, (\d+\.\d+)""),"""")
"),"")</f>
        <v/>
      </c>
      <c r="N550" s="3" t="str">
        <f aca="false">IFERROR(__xludf.dummyfunction("if($T550&lt;&gt;"""",REGEXEXTRACT(SUBSTITUTE ($T550,N$1&amp;"" CE"",""""), N$1&amp;""[\w &amp;]*, (\d+\.\d+)""),"""")
"),"")</f>
        <v/>
      </c>
      <c r="O550" s="3" t="str">
        <f aca="false">IFERROR(__xludf.dummyfunction("if($T550&lt;&gt;"""",REGEXEXTRACT($T550, O$1&amp;""[\w &amp;]*, (\d+\.\d+)""),"""")
"),"")</f>
        <v/>
      </c>
      <c r="P550" s="2"/>
      <c r="Q550" s="2"/>
      <c r="R550" s="2"/>
      <c r="S550" s="2"/>
      <c r="T550" s="5"/>
    </row>
    <row r="551" customFormat="false" ht="15.75" hidden="false" customHeight="false" outlineLevel="0" collapsed="false">
      <c r="A551" s="4"/>
      <c r="B551" s="2"/>
      <c r="C551" s="2"/>
      <c r="D551" s="2"/>
      <c r="E551" s="2"/>
      <c r="F551" s="3" t="str">
        <f aca="false">IFERROR(__xludf.dummyfunction("if($T551&lt;&gt;"""",REGEXEXTRACT(SUBSTITUTE ($T551,F$1&amp;"" CE"",""""), F$1&amp;""[\w &amp;]*, (\d+\.\d+)""),"""")
"),"")</f>
        <v/>
      </c>
      <c r="G551" s="3" t="str">
        <f aca="false">IFERROR(__xludf.dummyfunction("if($T551&lt;&gt;"""",REGEXEXTRACT($T551, G$1&amp;""[\w &amp;]*, (\d+\.\d+)""),"""")
"),"")</f>
        <v/>
      </c>
      <c r="H551" s="3"/>
      <c r="I551" s="3" t="str">
        <f aca="false">IFERROR(__xludf.dummyfunction("if($T551&lt;&gt;"""",REGEXEXTRACT(SUBSTITUTE ($T551,I$1&amp;"" CE"",""""), I$1&amp;""[\w &amp;]*, (\d+\.\d+)""),"""")
"),"")</f>
        <v/>
      </c>
      <c r="J551" s="3" t="str">
        <f aca="false">IFERROR(__xludf.dummyfunction("if($T551&lt;&gt;"""",REGEXEXTRACT($T551, J$1&amp;""[\w &amp;]*, (\d+\.\d+)""),"""")
"),"")</f>
        <v/>
      </c>
      <c r="K551" s="3"/>
      <c r="L551" s="3" t="str">
        <f aca="false">IFERROR(__xludf.dummyfunction("if($T551&lt;&gt;"""",REGEXEXTRACT(SUBSTITUTE ($T551,L$1&amp;"" CE"",""""), L$1&amp;""[\w &amp;]*, (\d+\.\d+)""),"""")
"),"")</f>
        <v/>
      </c>
      <c r="M551" s="3" t="str">
        <f aca="false">IFERROR(__xludf.dummyfunction("if($T551&lt;&gt;"""",REGEXEXTRACT($T551, M$1&amp;""[\w &amp;]*, (\d+\.\d+)""),"""")
"),"")</f>
        <v/>
      </c>
      <c r="N551" s="3" t="str">
        <f aca="false">IFERROR(__xludf.dummyfunction("if($T551&lt;&gt;"""",REGEXEXTRACT(SUBSTITUTE ($T551,N$1&amp;"" CE"",""""), N$1&amp;""[\w &amp;]*, (\d+\.\d+)""),"""")
"),"")</f>
        <v/>
      </c>
      <c r="O551" s="3" t="str">
        <f aca="false">IFERROR(__xludf.dummyfunction("if($T551&lt;&gt;"""",REGEXEXTRACT($T551, O$1&amp;""[\w &amp;]*, (\d+\.\d+)""),"""")
"),"")</f>
        <v/>
      </c>
      <c r="P551" s="2"/>
      <c r="Q551" s="2"/>
      <c r="R551" s="2"/>
      <c r="S551" s="2"/>
      <c r="T551" s="5"/>
    </row>
    <row r="552" customFormat="false" ht="15.75" hidden="false" customHeight="false" outlineLevel="0" collapsed="false">
      <c r="A552" s="4"/>
      <c r="B552" s="2"/>
      <c r="C552" s="2"/>
      <c r="D552" s="2"/>
      <c r="E552" s="2"/>
      <c r="F552" s="3" t="str">
        <f aca="false">IFERROR(__xludf.dummyfunction("if($T552&lt;&gt;"""",REGEXEXTRACT(SUBSTITUTE ($T552,F$1&amp;"" CE"",""""), F$1&amp;""[\w &amp;]*, (\d+\.\d+)""),"""")
"),"")</f>
        <v/>
      </c>
      <c r="G552" s="3" t="str">
        <f aca="false">IFERROR(__xludf.dummyfunction("if($T552&lt;&gt;"""",REGEXEXTRACT($T552, G$1&amp;""[\w &amp;]*, (\d+\.\d+)""),"""")
"),"")</f>
        <v/>
      </c>
      <c r="H552" s="3"/>
      <c r="I552" s="3" t="str">
        <f aca="false">IFERROR(__xludf.dummyfunction("if($T552&lt;&gt;"""",REGEXEXTRACT(SUBSTITUTE ($T552,I$1&amp;"" CE"",""""), I$1&amp;""[\w &amp;]*, (\d+\.\d+)""),"""")
"),"")</f>
        <v/>
      </c>
      <c r="J552" s="3" t="str">
        <f aca="false">IFERROR(__xludf.dummyfunction("if($T552&lt;&gt;"""",REGEXEXTRACT($T552, J$1&amp;""[\w &amp;]*, (\d+\.\d+)""),"""")
"),"")</f>
        <v/>
      </c>
      <c r="K552" s="3"/>
      <c r="L552" s="3" t="str">
        <f aca="false">IFERROR(__xludf.dummyfunction("if($T552&lt;&gt;"""",REGEXEXTRACT(SUBSTITUTE ($T552,L$1&amp;"" CE"",""""), L$1&amp;""[\w &amp;]*, (\d+\.\d+)""),"""")
"),"")</f>
        <v/>
      </c>
      <c r="M552" s="3" t="str">
        <f aca="false">IFERROR(__xludf.dummyfunction("if($T552&lt;&gt;"""",REGEXEXTRACT($T552, M$1&amp;""[\w &amp;]*, (\d+\.\d+)""),"""")
"),"")</f>
        <v/>
      </c>
      <c r="N552" s="3" t="str">
        <f aca="false">IFERROR(__xludf.dummyfunction("if($T552&lt;&gt;"""",REGEXEXTRACT(SUBSTITUTE ($T552,N$1&amp;"" CE"",""""), N$1&amp;""[\w &amp;]*, (\d+\.\d+)""),"""")
"),"")</f>
        <v/>
      </c>
      <c r="O552" s="3" t="str">
        <f aca="false">IFERROR(__xludf.dummyfunction("if($T552&lt;&gt;"""",REGEXEXTRACT($T552, O$1&amp;""[\w &amp;]*, (\d+\.\d+)""),"""")
"),"")</f>
        <v/>
      </c>
      <c r="P552" s="2"/>
      <c r="Q552" s="2"/>
      <c r="R552" s="2"/>
      <c r="S552" s="2"/>
      <c r="T552" s="5"/>
    </row>
    <row r="553" customFormat="false" ht="15.75" hidden="false" customHeight="false" outlineLevel="0" collapsed="false">
      <c r="A553" s="4"/>
      <c r="B553" s="2"/>
      <c r="C553" s="2"/>
      <c r="D553" s="2"/>
      <c r="E553" s="2"/>
      <c r="F553" s="3" t="str">
        <f aca="false">IFERROR(__xludf.dummyfunction("if($T553&lt;&gt;"""",REGEXEXTRACT(SUBSTITUTE ($T553,F$1&amp;"" CE"",""""), F$1&amp;""[\w &amp;]*, (\d+\.\d+)""),"""")
"),"")</f>
        <v/>
      </c>
      <c r="G553" s="3" t="str">
        <f aca="false">IFERROR(__xludf.dummyfunction("if($T553&lt;&gt;"""",REGEXEXTRACT($T553, G$1&amp;""[\w &amp;]*, (\d+\.\d+)""),"""")
"),"")</f>
        <v/>
      </c>
      <c r="H553" s="3"/>
      <c r="I553" s="3" t="str">
        <f aca="false">IFERROR(__xludf.dummyfunction("if($T553&lt;&gt;"""",REGEXEXTRACT(SUBSTITUTE ($T553,I$1&amp;"" CE"",""""), I$1&amp;""[\w &amp;]*, (\d+\.\d+)""),"""")
"),"")</f>
        <v/>
      </c>
      <c r="J553" s="3" t="str">
        <f aca="false">IFERROR(__xludf.dummyfunction("if($T553&lt;&gt;"""",REGEXEXTRACT($T553, J$1&amp;""[\w &amp;]*, (\d+\.\d+)""),"""")
"),"")</f>
        <v/>
      </c>
      <c r="K553" s="3"/>
      <c r="L553" s="3" t="str">
        <f aca="false">IFERROR(__xludf.dummyfunction("if($T553&lt;&gt;"""",REGEXEXTRACT(SUBSTITUTE ($T553,L$1&amp;"" CE"",""""), L$1&amp;""[\w &amp;]*, (\d+\.\d+)""),"""")
"),"")</f>
        <v/>
      </c>
      <c r="M553" s="3" t="str">
        <f aca="false">IFERROR(__xludf.dummyfunction("if($T553&lt;&gt;"""",REGEXEXTRACT($T553, M$1&amp;""[\w &amp;]*, (\d+\.\d+)""),"""")
"),"")</f>
        <v/>
      </c>
      <c r="N553" s="3" t="str">
        <f aca="false">IFERROR(__xludf.dummyfunction("if($T553&lt;&gt;"""",REGEXEXTRACT(SUBSTITUTE ($T553,N$1&amp;"" CE"",""""), N$1&amp;""[\w &amp;]*, (\d+\.\d+)""),"""")
"),"")</f>
        <v/>
      </c>
      <c r="O553" s="3" t="str">
        <f aca="false">IFERROR(__xludf.dummyfunction("if($T553&lt;&gt;"""",REGEXEXTRACT($T553, O$1&amp;""[\w &amp;]*, (\d+\.\d+)""),"""")
"),"")</f>
        <v/>
      </c>
      <c r="P553" s="2"/>
      <c r="Q553" s="2"/>
      <c r="R553" s="2"/>
      <c r="S553" s="2"/>
      <c r="T553" s="5"/>
    </row>
    <row r="554" customFormat="false" ht="15.75" hidden="false" customHeight="false" outlineLevel="0" collapsed="false">
      <c r="A554" s="4"/>
      <c r="B554" s="2"/>
      <c r="C554" s="2"/>
      <c r="D554" s="2"/>
      <c r="E554" s="2"/>
      <c r="F554" s="3" t="str">
        <f aca="false">IFERROR(__xludf.dummyfunction("if($T554&lt;&gt;"""",REGEXEXTRACT(SUBSTITUTE ($T554,F$1&amp;"" CE"",""""), F$1&amp;""[\w &amp;]*, (\d+\.\d+)""),"""")
"),"")</f>
        <v/>
      </c>
      <c r="G554" s="3" t="str">
        <f aca="false">IFERROR(__xludf.dummyfunction("if($T554&lt;&gt;"""",REGEXEXTRACT($T554, G$1&amp;""[\w &amp;]*, (\d+\.\d+)""),"""")
"),"")</f>
        <v/>
      </c>
      <c r="H554" s="3"/>
      <c r="I554" s="3" t="str">
        <f aca="false">IFERROR(__xludf.dummyfunction("if($T554&lt;&gt;"""",REGEXEXTRACT(SUBSTITUTE ($T554,I$1&amp;"" CE"",""""), I$1&amp;""[\w &amp;]*, (\d+\.\d+)""),"""")
"),"")</f>
        <v/>
      </c>
      <c r="J554" s="3" t="str">
        <f aca="false">IFERROR(__xludf.dummyfunction("if($T554&lt;&gt;"""",REGEXEXTRACT($T554, J$1&amp;""[\w &amp;]*, (\d+\.\d+)""),"""")
"),"")</f>
        <v/>
      </c>
      <c r="K554" s="3"/>
      <c r="L554" s="3" t="str">
        <f aca="false">IFERROR(__xludf.dummyfunction("if($T554&lt;&gt;"""",REGEXEXTRACT(SUBSTITUTE ($T554,L$1&amp;"" CE"",""""), L$1&amp;""[\w &amp;]*, (\d+\.\d+)""),"""")
"),"")</f>
        <v/>
      </c>
      <c r="M554" s="3" t="str">
        <f aca="false">IFERROR(__xludf.dummyfunction("if($T554&lt;&gt;"""",REGEXEXTRACT($T554, M$1&amp;""[\w &amp;]*, (\d+\.\d+)""),"""")
"),"")</f>
        <v/>
      </c>
      <c r="N554" s="3" t="str">
        <f aca="false">IFERROR(__xludf.dummyfunction("if($T554&lt;&gt;"""",REGEXEXTRACT(SUBSTITUTE ($T554,N$1&amp;"" CE"",""""), N$1&amp;""[\w &amp;]*, (\d+\.\d+)""),"""")
"),"")</f>
        <v/>
      </c>
      <c r="O554" s="3" t="str">
        <f aca="false">IFERROR(__xludf.dummyfunction("if($T554&lt;&gt;"""",REGEXEXTRACT($T554, O$1&amp;""[\w &amp;]*, (\d+\.\d+)""),"""")
"),"")</f>
        <v/>
      </c>
      <c r="P554" s="2"/>
      <c r="Q554" s="2"/>
      <c r="R554" s="2"/>
      <c r="S554" s="2"/>
      <c r="T554" s="5"/>
    </row>
    <row r="555" customFormat="false" ht="15.75" hidden="false" customHeight="false" outlineLevel="0" collapsed="false">
      <c r="A555" s="4"/>
      <c r="B555" s="2"/>
      <c r="C555" s="2"/>
      <c r="D555" s="2"/>
      <c r="E555" s="2"/>
      <c r="F555" s="3" t="str">
        <f aca="false">IFERROR(__xludf.dummyfunction("if($T555&lt;&gt;"""",REGEXEXTRACT(SUBSTITUTE ($T555,F$1&amp;"" CE"",""""), F$1&amp;""[\w &amp;]*, (\d+\.\d+)""),"""")
"),"")</f>
        <v/>
      </c>
      <c r="G555" s="3" t="str">
        <f aca="false">IFERROR(__xludf.dummyfunction("if($T555&lt;&gt;"""",REGEXEXTRACT($T555, G$1&amp;""[\w &amp;]*, (\d+\.\d+)""),"""")
"),"")</f>
        <v/>
      </c>
      <c r="H555" s="3"/>
      <c r="I555" s="3" t="str">
        <f aca="false">IFERROR(__xludf.dummyfunction("if($T555&lt;&gt;"""",REGEXEXTRACT(SUBSTITUTE ($T555,I$1&amp;"" CE"",""""), I$1&amp;""[\w &amp;]*, (\d+\.\d+)""),"""")
"),"")</f>
        <v/>
      </c>
      <c r="J555" s="3" t="str">
        <f aca="false">IFERROR(__xludf.dummyfunction("if($T555&lt;&gt;"""",REGEXEXTRACT($T555, J$1&amp;""[\w &amp;]*, (\d+\.\d+)""),"""")
"),"")</f>
        <v/>
      </c>
      <c r="K555" s="3"/>
      <c r="L555" s="3" t="str">
        <f aca="false">IFERROR(__xludf.dummyfunction("if($T555&lt;&gt;"""",REGEXEXTRACT(SUBSTITUTE ($T555,L$1&amp;"" CE"",""""), L$1&amp;""[\w &amp;]*, (\d+\.\d+)""),"""")
"),"")</f>
        <v/>
      </c>
      <c r="M555" s="3" t="str">
        <f aca="false">IFERROR(__xludf.dummyfunction("if($T555&lt;&gt;"""",REGEXEXTRACT($T555, M$1&amp;""[\w &amp;]*, (\d+\.\d+)""),"""")
"),"")</f>
        <v/>
      </c>
      <c r="N555" s="3" t="str">
        <f aca="false">IFERROR(__xludf.dummyfunction("if($T555&lt;&gt;"""",REGEXEXTRACT(SUBSTITUTE ($T555,N$1&amp;"" CE"",""""), N$1&amp;""[\w &amp;]*, (\d+\.\d+)""),"""")
"),"")</f>
        <v/>
      </c>
      <c r="O555" s="3" t="str">
        <f aca="false">IFERROR(__xludf.dummyfunction("if($T555&lt;&gt;"""",REGEXEXTRACT($T555, O$1&amp;""[\w &amp;]*, (\d+\.\d+)""),"""")
"),"")</f>
        <v/>
      </c>
      <c r="P555" s="2"/>
      <c r="Q555" s="2"/>
      <c r="R555" s="2"/>
      <c r="S555" s="2"/>
      <c r="T555" s="5"/>
    </row>
    <row r="556" customFormat="false" ht="15.75" hidden="false" customHeight="false" outlineLevel="0" collapsed="false">
      <c r="A556" s="4"/>
      <c r="B556" s="2"/>
      <c r="C556" s="2"/>
      <c r="D556" s="2"/>
      <c r="E556" s="2"/>
      <c r="F556" s="3" t="str">
        <f aca="false">IFERROR(__xludf.dummyfunction("if($T556&lt;&gt;"""",REGEXEXTRACT(SUBSTITUTE ($T556,F$1&amp;"" CE"",""""), F$1&amp;""[\w &amp;]*, (\d+\.\d+)""),"""")
"),"")</f>
        <v/>
      </c>
      <c r="G556" s="3" t="str">
        <f aca="false">IFERROR(__xludf.dummyfunction("if($T556&lt;&gt;"""",REGEXEXTRACT($T556, G$1&amp;""[\w &amp;]*, (\d+\.\d+)""),"""")
"),"")</f>
        <v/>
      </c>
      <c r="H556" s="3"/>
      <c r="I556" s="3" t="str">
        <f aca="false">IFERROR(__xludf.dummyfunction("if($T556&lt;&gt;"""",REGEXEXTRACT(SUBSTITUTE ($T556,I$1&amp;"" CE"",""""), I$1&amp;""[\w &amp;]*, (\d+\.\d+)""),"""")
"),"")</f>
        <v/>
      </c>
      <c r="J556" s="3" t="str">
        <f aca="false">IFERROR(__xludf.dummyfunction("if($T556&lt;&gt;"""",REGEXEXTRACT($T556, J$1&amp;""[\w &amp;]*, (\d+\.\d+)""),"""")
"),"")</f>
        <v/>
      </c>
      <c r="K556" s="3"/>
      <c r="L556" s="3" t="str">
        <f aca="false">IFERROR(__xludf.dummyfunction("if($T556&lt;&gt;"""",REGEXEXTRACT(SUBSTITUTE ($T556,L$1&amp;"" CE"",""""), L$1&amp;""[\w &amp;]*, (\d+\.\d+)""),"""")
"),"")</f>
        <v/>
      </c>
      <c r="M556" s="3" t="str">
        <f aca="false">IFERROR(__xludf.dummyfunction("if($T556&lt;&gt;"""",REGEXEXTRACT($T556, M$1&amp;""[\w &amp;]*, (\d+\.\d+)""),"""")
"),"")</f>
        <v/>
      </c>
      <c r="N556" s="3" t="str">
        <f aca="false">IFERROR(__xludf.dummyfunction("if($T556&lt;&gt;"""",REGEXEXTRACT(SUBSTITUTE ($T556,N$1&amp;"" CE"",""""), N$1&amp;""[\w &amp;]*, (\d+\.\d+)""),"""")
"),"")</f>
        <v/>
      </c>
      <c r="O556" s="3" t="str">
        <f aca="false">IFERROR(__xludf.dummyfunction("if($T556&lt;&gt;"""",REGEXEXTRACT($T556, O$1&amp;""[\w &amp;]*, (\d+\.\d+)""),"""")
"),"")</f>
        <v/>
      </c>
      <c r="P556" s="2"/>
      <c r="Q556" s="2"/>
      <c r="R556" s="2"/>
      <c r="S556" s="2"/>
      <c r="T556" s="5"/>
    </row>
    <row r="557" customFormat="false" ht="15.75" hidden="false" customHeight="false" outlineLevel="0" collapsed="false">
      <c r="A557" s="4"/>
      <c r="B557" s="2"/>
      <c r="C557" s="2"/>
      <c r="D557" s="2"/>
      <c r="E557" s="2"/>
      <c r="F557" s="3" t="str">
        <f aca="false">IFERROR(__xludf.dummyfunction("if($T557&lt;&gt;"""",REGEXEXTRACT(SUBSTITUTE ($T557,F$1&amp;"" CE"",""""), F$1&amp;""[\w &amp;]*, (\d+\.\d+)""),"""")
"),"")</f>
        <v/>
      </c>
      <c r="G557" s="3" t="str">
        <f aca="false">IFERROR(__xludf.dummyfunction("if($T557&lt;&gt;"""",REGEXEXTRACT($T557, G$1&amp;""[\w &amp;]*, (\d+\.\d+)""),"""")
"),"")</f>
        <v/>
      </c>
      <c r="H557" s="3"/>
      <c r="I557" s="3" t="str">
        <f aca="false">IFERROR(__xludf.dummyfunction("if($T557&lt;&gt;"""",REGEXEXTRACT(SUBSTITUTE ($T557,I$1&amp;"" CE"",""""), I$1&amp;""[\w &amp;]*, (\d+\.\d+)""),"""")
"),"")</f>
        <v/>
      </c>
      <c r="J557" s="3" t="str">
        <f aca="false">IFERROR(__xludf.dummyfunction("if($T557&lt;&gt;"""",REGEXEXTRACT($T557, J$1&amp;""[\w &amp;]*, (\d+\.\d+)""),"""")
"),"")</f>
        <v/>
      </c>
      <c r="K557" s="3"/>
      <c r="L557" s="3" t="str">
        <f aca="false">IFERROR(__xludf.dummyfunction("if($T557&lt;&gt;"""",REGEXEXTRACT(SUBSTITUTE ($T557,L$1&amp;"" CE"",""""), L$1&amp;""[\w &amp;]*, (\d+\.\d+)""),"""")
"),"")</f>
        <v/>
      </c>
      <c r="M557" s="3" t="str">
        <f aca="false">IFERROR(__xludf.dummyfunction("if($T557&lt;&gt;"""",REGEXEXTRACT($T557, M$1&amp;""[\w &amp;]*, (\d+\.\d+)""),"""")
"),"")</f>
        <v/>
      </c>
      <c r="N557" s="3" t="str">
        <f aca="false">IFERROR(__xludf.dummyfunction("if($T557&lt;&gt;"""",REGEXEXTRACT(SUBSTITUTE ($T557,N$1&amp;"" CE"",""""), N$1&amp;""[\w &amp;]*, (\d+\.\d+)""),"""")
"),"")</f>
        <v/>
      </c>
      <c r="O557" s="3" t="str">
        <f aca="false">IFERROR(__xludf.dummyfunction("if($T557&lt;&gt;"""",REGEXEXTRACT($T557, O$1&amp;""[\w &amp;]*, (\d+\.\d+)""),"""")
"),"")</f>
        <v/>
      </c>
      <c r="P557" s="2"/>
      <c r="Q557" s="2"/>
      <c r="R557" s="2"/>
      <c r="S557" s="2"/>
      <c r="T557" s="5"/>
    </row>
    <row r="558" customFormat="false" ht="15.75" hidden="false" customHeight="false" outlineLevel="0" collapsed="false">
      <c r="A558" s="4"/>
      <c r="B558" s="2"/>
      <c r="C558" s="2"/>
      <c r="D558" s="2"/>
      <c r="E558" s="2"/>
      <c r="F558" s="3" t="str">
        <f aca="false">IFERROR(__xludf.dummyfunction("if($T558&lt;&gt;"""",REGEXEXTRACT(SUBSTITUTE ($T558,F$1&amp;"" CE"",""""), F$1&amp;""[\w &amp;]*, (\d+\.\d+)""),"""")
"),"")</f>
        <v/>
      </c>
      <c r="G558" s="3" t="str">
        <f aca="false">IFERROR(__xludf.dummyfunction("if($T558&lt;&gt;"""",REGEXEXTRACT($T558, G$1&amp;""[\w &amp;]*, (\d+\.\d+)""),"""")
"),"")</f>
        <v/>
      </c>
      <c r="H558" s="3"/>
      <c r="I558" s="3" t="str">
        <f aca="false">IFERROR(__xludf.dummyfunction("if($T558&lt;&gt;"""",REGEXEXTRACT(SUBSTITUTE ($T558,I$1&amp;"" CE"",""""), I$1&amp;""[\w &amp;]*, (\d+\.\d+)""),"""")
"),"")</f>
        <v/>
      </c>
      <c r="J558" s="3" t="str">
        <f aca="false">IFERROR(__xludf.dummyfunction("if($T558&lt;&gt;"""",REGEXEXTRACT($T558, J$1&amp;""[\w &amp;]*, (\d+\.\d+)""),"""")
"),"")</f>
        <v/>
      </c>
      <c r="K558" s="3"/>
      <c r="L558" s="3" t="str">
        <f aca="false">IFERROR(__xludf.dummyfunction("if($T558&lt;&gt;"""",REGEXEXTRACT(SUBSTITUTE ($T558,L$1&amp;"" CE"",""""), L$1&amp;""[\w &amp;]*, (\d+\.\d+)""),"""")
"),"")</f>
        <v/>
      </c>
      <c r="M558" s="3" t="str">
        <f aca="false">IFERROR(__xludf.dummyfunction("if($T558&lt;&gt;"""",REGEXEXTRACT($T558, M$1&amp;""[\w &amp;]*, (\d+\.\d+)""),"""")
"),"")</f>
        <v/>
      </c>
      <c r="N558" s="3" t="str">
        <f aca="false">IFERROR(__xludf.dummyfunction("if($T558&lt;&gt;"""",REGEXEXTRACT(SUBSTITUTE ($T558,N$1&amp;"" CE"",""""), N$1&amp;""[\w &amp;]*, (\d+\.\d+)""),"""")
"),"")</f>
        <v/>
      </c>
      <c r="O558" s="3" t="str">
        <f aca="false">IFERROR(__xludf.dummyfunction("if($T558&lt;&gt;"""",REGEXEXTRACT($T558, O$1&amp;""[\w &amp;]*, (\d+\.\d+)""),"""")
"),"")</f>
        <v/>
      </c>
      <c r="P558" s="2"/>
      <c r="Q558" s="2"/>
      <c r="R558" s="2"/>
      <c r="S558" s="2"/>
      <c r="T558" s="5"/>
    </row>
    <row r="559" customFormat="false" ht="15.75" hidden="false" customHeight="false" outlineLevel="0" collapsed="false">
      <c r="A559" s="4"/>
      <c r="B559" s="2"/>
      <c r="C559" s="2"/>
      <c r="D559" s="2"/>
      <c r="E559" s="2"/>
      <c r="F559" s="3" t="str">
        <f aca="false">IFERROR(__xludf.dummyfunction("if($T559&lt;&gt;"""",REGEXEXTRACT(SUBSTITUTE ($T559,F$1&amp;"" CE"",""""), F$1&amp;""[\w &amp;]*, (\d+\.\d+)""),"""")
"),"")</f>
        <v/>
      </c>
      <c r="G559" s="3" t="str">
        <f aca="false">IFERROR(__xludf.dummyfunction("if($T559&lt;&gt;"""",REGEXEXTRACT($T559, G$1&amp;""[\w &amp;]*, (\d+\.\d+)""),"""")
"),"")</f>
        <v/>
      </c>
      <c r="H559" s="3"/>
      <c r="I559" s="3" t="str">
        <f aca="false">IFERROR(__xludf.dummyfunction("if($T559&lt;&gt;"""",REGEXEXTRACT(SUBSTITUTE ($T559,I$1&amp;"" CE"",""""), I$1&amp;""[\w &amp;]*, (\d+\.\d+)""),"""")
"),"")</f>
        <v/>
      </c>
      <c r="J559" s="3" t="str">
        <f aca="false">IFERROR(__xludf.dummyfunction("if($T559&lt;&gt;"""",REGEXEXTRACT($T559, J$1&amp;""[\w &amp;]*, (\d+\.\d+)""),"""")
"),"")</f>
        <v/>
      </c>
      <c r="K559" s="3"/>
      <c r="L559" s="3" t="str">
        <f aca="false">IFERROR(__xludf.dummyfunction("if($T559&lt;&gt;"""",REGEXEXTRACT(SUBSTITUTE ($T559,L$1&amp;"" CE"",""""), L$1&amp;""[\w &amp;]*, (\d+\.\d+)""),"""")
"),"")</f>
        <v/>
      </c>
      <c r="M559" s="3" t="str">
        <f aca="false">IFERROR(__xludf.dummyfunction("if($T559&lt;&gt;"""",REGEXEXTRACT($T559, M$1&amp;""[\w &amp;]*, (\d+\.\d+)""),"""")
"),"")</f>
        <v/>
      </c>
      <c r="N559" s="3" t="str">
        <f aca="false">IFERROR(__xludf.dummyfunction("if($T559&lt;&gt;"""",REGEXEXTRACT(SUBSTITUTE ($T559,N$1&amp;"" CE"",""""), N$1&amp;""[\w &amp;]*, (\d+\.\d+)""),"""")
"),"")</f>
        <v/>
      </c>
      <c r="O559" s="3" t="str">
        <f aca="false">IFERROR(__xludf.dummyfunction("if($T559&lt;&gt;"""",REGEXEXTRACT($T559, O$1&amp;""[\w &amp;]*, (\d+\.\d+)""),"""")
"),"")</f>
        <v/>
      </c>
      <c r="P559" s="2"/>
      <c r="Q559" s="2"/>
      <c r="R559" s="2"/>
      <c r="S559" s="2"/>
      <c r="T559" s="5"/>
    </row>
    <row r="560" customFormat="false" ht="15.75" hidden="false" customHeight="false" outlineLevel="0" collapsed="false">
      <c r="A560" s="4"/>
      <c r="B560" s="2"/>
      <c r="C560" s="2"/>
      <c r="D560" s="2"/>
      <c r="E560" s="2"/>
      <c r="F560" s="3" t="str">
        <f aca="false">IFERROR(__xludf.dummyfunction("if($T560&lt;&gt;"""",REGEXEXTRACT(SUBSTITUTE ($T560,F$1&amp;"" CE"",""""), F$1&amp;""[\w &amp;]*, (\d+\.\d+)""),"""")
"),"")</f>
        <v/>
      </c>
      <c r="G560" s="3" t="str">
        <f aca="false">IFERROR(__xludf.dummyfunction("if($T560&lt;&gt;"""",REGEXEXTRACT($T560, G$1&amp;""[\w &amp;]*, (\d+\.\d+)""),"""")
"),"")</f>
        <v/>
      </c>
      <c r="H560" s="3"/>
      <c r="I560" s="3" t="str">
        <f aca="false">IFERROR(__xludf.dummyfunction("if($T560&lt;&gt;"""",REGEXEXTRACT(SUBSTITUTE ($T560,I$1&amp;"" CE"",""""), I$1&amp;""[\w &amp;]*, (\d+\.\d+)""),"""")
"),"")</f>
        <v/>
      </c>
      <c r="J560" s="3" t="str">
        <f aca="false">IFERROR(__xludf.dummyfunction("if($T560&lt;&gt;"""",REGEXEXTRACT($T560, J$1&amp;""[\w &amp;]*, (\d+\.\d+)""),"""")
"),"")</f>
        <v/>
      </c>
      <c r="K560" s="3"/>
      <c r="L560" s="3" t="str">
        <f aca="false">IFERROR(__xludf.dummyfunction("if($T560&lt;&gt;"""",REGEXEXTRACT(SUBSTITUTE ($T560,L$1&amp;"" CE"",""""), L$1&amp;""[\w &amp;]*, (\d+\.\d+)""),"""")
"),"")</f>
        <v/>
      </c>
      <c r="M560" s="3" t="str">
        <f aca="false">IFERROR(__xludf.dummyfunction("if($T560&lt;&gt;"""",REGEXEXTRACT($T560, M$1&amp;""[\w &amp;]*, (\d+\.\d+)""),"""")
"),"")</f>
        <v/>
      </c>
      <c r="N560" s="3" t="str">
        <f aca="false">IFERROR(__xludf.dummyfunction("if($T560&lt;&gt;"""",REGEXEXTRACT(SUBSTITUTE ($T560,N$1&amp;"" CE"",""""), N$1&amp;""[\w &amp;]*, (\d+\.\d+)""),"""")
"),"")</f>
        <v/>
      </c>
      <c r="O560" s="3" t="str">
        <f aca="false">IFERROR(__xludf.dummyfunction("if($T560&lt;&gt;"""",REGEXEXTRACT($T560, O$1&amp;""[\w &amp;]*, (\d+\.\d+)""),"""")
"),"")</f>
        <v/>
      </c>
      <c r="P560" s="2"/>
      <c r="Q560" s="2"/>
      <c r="R560" s="2"/>
      <c r="S560" s="2"/>
      <c r="T560" s="5"/>
    </row>
    <row r="561" customFormat="false" ht="15.75" hidden="false" customHeight="false" outlineLevel="0" collapsed="false">
      <c r="A561" s="4"/>
      <c r="B561" s="2"/>
      <c r="C561" s="2"/>
      <c r="D561" s="2"/>
      <c r="E561" s="2"/>
      <c r="F561" s="3" t="str">
        <f aca="false">IFERROR(__xludf.dummyfunction("if($T561&lt;&gt;"""",REGEXEXTRACT(SUBSTITUTE ($T561,F$1&amp;"" CE"",""""), F$1&amp;""[\w &amp;]*, (\d+\.\d+)""),"""")
"),"")</f>
        <v/>
      </c>
      <c r="G561" s="3" t="str">
        <f aca="false">IFERROR(__xludf.dummyfunction("if($T561&lt;&gt;"""",REGEXEXTRACT($T561, G$1&amp;""[\w &amp;]*, (\d+\.\d+)""),"""")
"),"")</f>
        <v/>
      </c>
      <c r="H561" s="3"/>
      <c r="I561" s="3" t="str">
        <f aca="false">IFERROR(__xludf.dummyfunction("if($T561&lt;&gt;"""",REGEXEXTRACT(SUBSTITUTE ($T561,I$1&amp;"" CE"",""""), I$1&amp;""[\w &amp;]*, (\d+\.\d+)""),"""")
"),"")</f>
        <v/>
      </c>
      <c r="J561" s="3" t="str">
        <f aca="false">IFERROR(__xludf.dummyfunction("if($T561&lt;&gt;"""",REGEXEXTRACT($T561, J$1&amp;""[\w &amp;]*, (\d+\.\d+)""),"""")
"),"")</f>
        <v/>
      </c>
      <c r="K561" s="3"/>
      <c r="L561" s="3" t="str">
        <f aca="false">IFERROR(__xludf.dummyfunction("if($T561&lt;&gt;"""",REGEXEXTRACT(SUBSTITUTE ($T561,L$1&amp;"" CE"",""""), L$1&amp;""[\w &amp;]*, (\d+\.\d+)""),"""")
"),"")</f>
        <v/>
      </c>
      <c r="M561" s="3" t="str">
        <f aca="false">IFERROR(__xludf.dummyfunction("if($T561&lt;&gt;"""",REGEXEXTRACT($T561, M$1&amp;""[\w &amp;]*, (\d+\.\d+)""),"""")
"),"")</f>
        <v/>
      </c>
      <c r="N561" s="3" t="str">
        <f aca="false">IFERROR(__xludf.dummyfunction("if($T561&lt;&gt;"""",REGEXEXTRACT(SUBSTITUTE ($T561,N$1&amp;"" CE"",""""), N$1&amp;""[\w &amp;]*, (\d+\.\d+)""),"""")
"),"")</f>
        <v/>
      </c>
      <c r="O561" s="3" t="str">
        <f aca="false">IFERROR(__xludf.dummyfunction("if($T561&lt;&gt;"""",REGEXEXTRACT($T561, O$1&amp;""[\w &amp;]*, (\d+\.\d+)""),"""")
"),"")</f>
        <v/>
      </c>
      <c r="P561" s="2"/>
      <c r="Q561" s="2"/>
      <c r="R561" s="2"/>
      <c r="S561" s="2"/>
      <c r="T561" s="5"/>
    </row>
    <row r="562" customFormat="false" ht="15.75" hidden="false" customHeight="false" outlineLevel="0" collapsed="false">
      <c r="A562" s="4"/>
      <c r="B562" s="2"/>
      <c r="C562" s="2"/>
      <c r="D562" s="2"/>
      <c r="E562" s="2"/>
      <c r="F562" s="3" t="str">
        <f aca="false">IFERROR(__xludf.dummyfunction("if($T562&lt;&gt;"""",REGEXEXTRACT(SUBSTITUTE ($T562,F$1&amp;"" CE"",""""), F$1&amp;""[\w &amp;]*, (\d+\.\d+)""),"""")
"),"")</f>
        <v/>
      </c>
      <c r="G562" s="3" t="str">
        <f aca="false">IFERROR(__xludf.dummyfunction("if($T562&lt;&gt;"""",REGEXEXTRACT($T562, G$1&amp;""[\w &amp;]*, (\d+\.\d+)""),"""")
"),"")</f>
        <v/>
      </c>
      <c r="H562" s="3"/>
      <c r="I562" s="3" t="str">
        <f aca="false">IFERROR(__xludf.dummyfunction("if($T562&lt;&gt;"""",REGEXEXTRACT(SUBSTITUTE ($T562,I$1&amp;"" CE"",""""), I$1&amp;""[\w &amp;]*, (\d+\.\d+)""),"""")
"),"")</f>
        <v/>
      </c>
      <c r="J562" s="3" t="str">
        <f aca="false">IFERROR(__xludf.dummyfunction("if($T562&lt;&gt;"""",REGEXEXTRACT($T562, J$1&amp;""[\w &amp;]*, (\d+\.\d+)""),"""")
"),"")</f>
        <v/>
      </c>
      <c r="K562" s="3"/>
      <c r="L562" s="3" t="str">
        <f aca="false">IFERROR(__xludf.dummyfunction("if($T562&lt;&gt;"""",REGEXEXTRACT(SUBSTITUTE ($T562,L$1&amp;"" CE"",""""), L$1&amp;""[\w &amp;]*, (\d+\.\d+)""),"""")
"),"")</f>
        <v/>
      </c>
      <c r="M562" s="3" t="str">
        <f aca="false">IFERROR(__xludf.dummyfunction("if($T562&lt;&gt;"""",REGEXEXTRACT($T562, M$1&amp;""[\w &amp;]*, (\d+\.\d+)""),"""")
"),"")</f>
        <v/>
      </c>
      <c r="N562" s="3" t="str">
        <f aca="false">IFERROR(__xludf.dummyfunction("if($T562&lt;&gt;"""",REGEXEXTRACT(SUBSTITUTE ($T562,N$1&amp;"" CE"",""""), N$1&amp;""[\w &amp;]*, (\d+\.\d+)""),"""")
"),"")</f>
        <v/>
      </c>
      <c r="O562" s="3" t="str">
        <f aca="false">IFERROR(__xludf.dummyfunction("if($T562&lt;&gt;"""",REGEXEXTRACT($T562, O$1&amp;""[\w &amp;]*, (\d+\.\d+)""),"""")
"),"")</f>
        <v/>
      </c>
      <c r="P562" s="2"/>
      <c r="Q562" s="2"/>
      <c r="R562" s="2"/>
      <c r="S562" s="2"/>
      <c r="T562" s="5"/>
    </row>
    <row r="563" customFormat="false" ht="15.75" hidden="false" customHeight="false" outlineLevel="0" collapsed="false">
      <c r="A563" s="4"/>
      <c r="B563" s="2"/>
      <c r="C563" s="2"/>
      <c r="D563" s="2"/>
      <c r="E563" s="2"/>
      <c r="F563" s="3" t="str">
        <f aca="false">IFERROR(__xludf.dummyfunction("if($T563&lt;&gt;"""",REGEXEXTRACT(SUBSTITUTE ($T563,F$1&amp;"" CE"",""""), F$1&amp;""[\w &amp;]*, (\d+\.\d+)""),"""")
"),"")</f>
        <v/>
      </c>
      <c r="G563" s="3" t="str">
        <f aca="false">IFERROR(__xludf.dummyfunction("if($T563&lt;&gt;"""",REGEXEXTRACT($T563, G$1&amp;""[\w &amp;]*, (\d+\.\d+)""),"""")
"),"")</f>
        <v/>
      </c>
      <c r="H563" s="3"/>
      <c r="I563" s="3" t="str">
        <f aca="false">IFERROR(__xludf.dummyfunction("if($T563&lt;&gt;"""",REGEXEXTRACT(SUBSTITUTE ($T563,I$1&amp;"" CE"",""""), I$1&amp;""[\w &amp;]*, (\d+\.\d+)""),"""")
"),"")</f>
        <v/>
      </c>
      <c r="J563" s="3" t="str">
        <f aca="false">IFERROR(__xludf.dummyfunction("if($T563&lt;&gt;"""",REGEXEXTRACT($T563, J$1&amp;""[\w &amp;]*, (\d+\.\d+)""),"""")
"),"")</f>
        <v/>
      </c>
      <c r="K563" s="3"/>
      <c r="L563" s="3" t="str">
        <f aca="false">IFERROR(__xludf.dummyfunction("if($T563&lt;&gt;"""",REGEXEXTRACT(SUBSTITUTE ($T563,L$1&amp;"" CE"",""""), L$1&amp;""[\w &amp;]*, (\d+\.\d+)""),"""")
"),"")</f>
        <v/>
      </c>
      <c r="M563" s="3" t="str">
        <f aca="false">IFERROR(__xludf.dummyfunction("if($T563&lt;&gt;"""",REGEXEXTRACT($T563, M$1&amp;""[\w &amp;]*, (\d+\.\d+)""),"""")
"),"")</f>
        <v/>
      </c>
      <c r="N563" s="3" t="str">
        <f aca="false">IFERROR(__xludf.dummyfunction("if($T563&lt;&gt;"""",REGEXEXTRACT(SUBSTITUTE ($T563,N$1&amp;"" CE"",""""), N$1&amp;""[\w &amp;]*, (\d+\.\d+)""),"""")
"),"")</f>
        <v/>
      </c>
      <c r="O563" s="3" t="str">
        <f aca="false">IFERROR(__xludf.dummyfunction("if($T563&lt;&gt;"""",REGEXEXTRACT($T563, O$1&amp;""[\w &amp;]*, (\d+\.\d+)""),"""")
"),"")</f>
        <v/>
      </c>
      <c r="P563" s="2"/>
      <c r="Q563" s="2"/>
      <c r="R563" s="2"/>
      <c r="S563" s="2"/>
      <c r="T563" s="5"/>
    </row>
    <row r="564" customFormat="false" ht="15.75" hidden="false" customHeight="false" outlineLevel="0" collapsed="false">
      <c r="A564" s="4"/>
      <c r="B564" s="2"/>
      <c r="C564" s="2"/>
      <c r="D564" s="2"/>
      <c r="E564" s="2"/>
      <c r="F564" s="3" t="str">
        <f aca="false">IFERROR(__xludf.dummyfunction("if($T564&lt;&gt;"""",REGEXEXTRACT(SUBSTITUTE ($T564,F$1&amp;"" CE"",""""), F$1&amp;""[\w &amp;]*, (\d+\.\d+)""),"""")
"),"")</f>
        <v/>
      </c>
      <c r="G564" s="3" t="str">
        <f aca="false">IFERROR(__xludf.dummyfunction("if($T564&lt;&gt;"""",REGEXEXTRACT($T564, G$1&amp;""[\w &amp;]*, (\d+\.\d+)""),"""")
"),"")</f>
        <v/>
      </c>
      <c r="H564" s="3"/>
      <c r="I564" s="3" t="str">
        <f aca="false">IFERROR(__xludf.dummyfunction("if($T564&lt;&gt;"""",REGEXEXTRACT(SUBSTITUTE ($T564,I$1&amp;"" CE"",""""), I$1&amp;""[\w &amp;]*, (\d+\.\d+)""),"""")
"),"")</f>
        <v/>
      </c>
      <c r="J564" s="3" t="str">
        <f aca="false">IFERROR(__xludf.dummyfunction("if($T564&lt;&gt;"""",REGEXEXTRACT($T564, J$1&amp;""[\w &amp;]*, (\d+\.\d+)""),"""")
"),"")</f>
        <v/>
      </c>
      <c r="K564" s="3"/>
      <c r="L564" s="3" t="str">
        <f aca="false">IFERROR(__xludf.dummyfunction("if($T564&lt;&gt;"""",REGEXEXTRACT(SUBSTITUTE ($T564,L$1&amp;"" CE"",""""), L$1&amp;""[\w &amp;]*, (\d+\.\d+)""),"""")
"),"")</f>
        <v/>
      </c>
      <c r="M564" s="3" t="str">
        <f aca="false">IFERROR(__xludf.dummyfunction("if($T564&lt;&gt;"""",REGEXEXTRACT($T564, M$1&amp;""[\w &amp;]*, (\d+\.\d+)""),"""")
"),"")</f>
        <v/>
      </c>
      <c r="N564" s="3" t="str">
        <f aca="false">IFERROR(__xludf.dummyfunction("if($T564&lt;&gt;"""",REGEXEXTRACT(SUBSTITUTE ($T564,N$1&amp;"" CE"",""""), N$1&amp;""[\w &amp;]*, (\d+\.\d+)""),"""")
"),"")</f>
        <v/>
      </c>
      <c r="O564" s="3" t="str">
        <f aca="false">IFERROR(__xludf.dummyfunction("if($T564&lt;&gt;"""",REGEXEXTRACT($T564, O$1&amp;""[\w &amp;]*, (\d+\.\d+)""),"""")
"),"")</f>
        <v/>
      </c>
      <c r="P564" s="2"/>
      <c r="Q564" s="2"/>
      <c r="R564" s="2"/>
      <c r="S564" s="2"/>
      <c r="T564" s="5"/>
    </row>
    <row r="565" customFormat="false" ht="15.75" hidden="false" customHeight="false" outlineLevel="0" collapsed="false">
      <c r="A565" s="4"/>
      <c r="B565" s="2"/>
      <c r="C565" s="2"/>
      <c r="D565" s="2"/>
      <c r="E565" s="2"/>
      <c r="F565" s="3" t="str">
        <f aca="false">IFERROR(__xludf.dummyfunction("if($T565&lt;&gt;"""",REGEXEXTRACT(SUBSTITUTE ($T565,F$1&amp;"" CE"",""""), F$1&amp;""[\w &amp;]*, (\d+\.\d+)""),"""")
"),"")</f>
        <v/>
      </c>
      <c r="G565" s="3" t="str">
        <f aca="false">IFERROR(__xludf.dummyfunction("if($T565&lt;&gt;"""",REGEXEXTRACT($T565, G$1&amp;""[\w &amp;]*, (\d+\.\d+)""),"""")
"),"")</f>
        <v/>
      </c>
      <c r="H565" s="3"/>
      <c r="I565" s="3" t="str">
        <f aca="false">IFERROR(__xludf.dummyfunction("if($T565&lt;&gt;"""",REGEXEXTRACT(SUBSTITUTE ($T565,I$1&amp;"" CE"",""""), I$1&amp;""[\w &amp;]*, (\d+\.\d+)""),"""")
"),"")</f>
        <v/>
      </c>
      <c r="J565" s="3" t="str">
        <f aca="false">IFERROR(__xludf.dummyfunction("if($T565&lt;&gt;"""",REGEXEXTRACT($T565, J$1&amp;""[\w &amp;]*, (\d+\.\d+)""),"""")
"),"")</f>
        <v/>
      </c>
      <c r="K565" s="3"/>
      <c r="L565" s="3" t="str">
        <f aca="false">IFERROR(__xludf.dummyfunction("if($T565&lt;&gt;"""",REGEXEXTRACT(SUBSTITUTE ($T565,L$1&amp;"" CE"",""""), L$1&amp;""[\w &amp;]*, (\d+\.\d+)""),"""")
"),"")</f>
        <v/>
      </c>
      <c r="M565" s="3" t="str">
        <f aca="false">IFERROR(__xludf.dummyfunction("if($T565&lt;&gt;"""",REGEXEXTRACT($T565, M$1&amp;""[\w &amp;]*, (\d+\.\d+)""),"""")
"),"")</f>
        <v/>
      </c>
      <c r="N565" s="3" t="str">
        <f aca="false">IFERROR(__xludf.dummyfunction("if($T565&lt;&gt;"""",REGEXEXTRACT(SUBSTITUTE ($T565,N$1&amp;"" CE"",""""), N$1&amp;""[\w &amp;]*, (\d+\.\d+)""),"""")
"),"")</f>
        <v/>
      </c>
      <c r="O565" s="3" t="str">
        <f aca="false">IFERROR(__xludf.dummyfunction("if($T565&lt;&gt;"""",REGEXEXTRACT($T565, O$1&amp;""[\w &amp;]*, (\d+\.\d+)""),"""")
"),"")</f>
        <v/>
      </c>
      <c r="P565" s="2"/>
      <c r="Q565" s="2"/>
      <c r="R565" s="2"/>
      <c r="S565" s="2"/>
      <c r="T565" s="5"/>
    </row>
    <row r="566" customFormat="false" ht="15.75" hidden="false" customHeight="false" outlineLevel="0" collapsed="false">
      <c r="A566" s="4"/>
      <c r="B566" s="2"/>
      <c r="C566" s="2"/>
      <c r="D566" s="2"/>
      <c r="E566" s="2"/>
      <c r="F566" s="3" t="str">
        <f aca="false">IFERROR(__xludf.dummyfunction("if($T566&lt;&gt;"""",REGEXEXTRACT(SUBSTITUTE ($T566,F$1&amp;"" CE"",""""), F$1&amp;""[\w &amp;]*, (\d+\.\d+)""),"""")
"),"")</f>
        <v/>
      </c>
      <c r="G566" s="3" t="str">
        <f aca="false">IFERROR(__xludf.dummyfunction("if($T566&lt;&gt;"""",REGEXEXTRACT($T566, G$1&amp;""[\w &amp;]*, (\d+\.\d+)""),"""")
"),"")</f>
        <v/>
      </c>
      <c r="H566" s="3"/>
      <c r="I566" s="3" t="str">
        <f aca="false">IFERROR(__xludf.dummyfunction("if($T566&lt;&gt;"""",REGEXEXTRACT(SUBSTITUTE ($T566,I$1&amp;"" CE"",""""), I$1&amp;""[\w &amp;]*, (\d+\.\d+)""),"""")
"),"")</f>
        <v/>
      </c>
      <c r="J566" s="3" t="str">
        <f aca="false">IFERROR(__xludf.dummyfunction("if($T566&lt;&gt;"""",REGEXEXTRACT($T566, J$1&amp;""[\w &amp;]*, (\d+\.\d+)""),"""")
"),"")</f>
        <v/>
      </c>
      <c r="K566" s="3"/>
      <c r="L566" s="3" t="str">
        <f aca="false">IFERROR(__xludf.dummyfunction("if($T566&lt;&gt;"""",REGEXEXTRACT(SUBSTITUTE ($T566,L$1&amp;"" CE"",""""), L$1&amp;""[\w &amp;]*, (\d+\.\d+)""),"""")
"),"")</f>
        <v/>
      </c>
      <c r="M566" s="3" t="str">
        <f aca="false">IFERROR(__xludf.dummyfunction("if($T566&lt;&gt;"""",REGEXEXTRACT($T566, M$1&amp;""[\w &amp;]*, (\d+\.\d+)""),"""")
"),"")</f>
        <v/>
      </c>
      <c r="N566" s="3" t="str">
        <f aca="false">IFERROR(__xludf.dummyfunction("if($T566&lt;&gt;"""",REGEXEXTRACT(SUBSTITUTE ($T566,N$1&amp;"" CE"",""""), N$1&amp;""[\w &amp;]*, (\d+\.\d+)""),"""")
"),"")</f>
        <v/>
      </c>
      <c r="O566" s="3" t="str">
        <f aca="false">IFERROR(__xludf.dummyfunction("if($T566&lt;&gt;"""",REGEXEXTRACT($T566, O$1&amp;""[\w &amp;]*, (\d+\.\d+)""),"""")
"),"")</f>
        <v/>
      </c>
      <c r="P566" s="2"/>
      <c r="Q566" s="2"/>
      <c r="R566" s="2"/>
      <c r="S566" s="2"/>
      <c r="T566" s="5"/>
    </row>
    <row r="567" customFormat="false" ht="15.75" hidden="false" customHeight="false" outlineLevel="0" collapsed="false">
      <c r="A567" s="4"/>
      <c r="B567" s="2"/>
      <c r="C567" s="2"/>
      <c r="D567" s="2"/>
      <c r="E567" s="2"/>
      <c r="F567" s="3" t="str">
        <f aca="false">IFERROR(__xludf.dummyfunction("if($T567&lt;&gt;"""",REGEXEXTRACT(SUBSTITUTE ($T567,F$1&amp;"" CE"",""""), F$1&amp;""[\w &amp;]*, (\d+\.\d+)""),"""")
"),"")</f>
        <v/>
      </c>
      <c r="G567" s="3" t="str">
        <f aca="false">IFERROR(__xludf.dummyfunction("if($T567&lt;&gt;"""",REGEXEXTRACT($T567, G$1&amp;""[\w &amp;]*, (\d+\.\d+)""),"""")
"),"")</f>
        <v/>
      </c>
      <c r="H567" s="3"/>
      <c r="I567" s="3" t="str">
        <f aca="false">IFERROR(__xludf.dummyfunction("if($T567&lt;&gt;"""",REGEXEXTRACT(SUBSTITUTE ($T567,I$1&amp;"" CE"",""""), I$1&amp;""[\w &amp;]*, (\d+\.\d+)""),"""")
"),"")</f>
        <v/>
      </c>
      <c r="J567" s="3" t="str">
        <f aca="false">IFERROR(__xludf.dummyfunction("if($T567&lt;&gt;"""",REGEXEXTRACT($T567, J$1&amp;""[\w &amp;]*, (\d+\.\d+)""),"""")
"),"")</f>
        <v/>
      </c>
      <c r="K567" s="3"/>
      <c r="L567" s="3" t="str">
        <f aca="false">IFERROR(__xludf.dummyfunction("if($T567&lt;&gt;"""",REGEXEXTRACT(SUBSTITUTE ($T567,L$1&amp;"" CE"",""""), L$1&amp;""[\w &amp;]*, (\d+\.\d+)""),"""")
"),"")</f>
        <v/>
      </c>
      <c r="M567" s="3" t="str">
        <f aca="false">IFERROR(__xludf.dummyfunction("if($T567&lt;&gt;"""",REGEXEXTRACT($T567, M$1&amp;""[\w &amp;]*, (\d+\.\d+)""),"""")
"),"")</f>
        <v/>
      </c>
      <c r="N567" s="3" t="str">
        <f aca="false">IFERROR(__xludf.dummyfunction("if($T567&lt;&gt;"""",REGEXEXTRACT(SUBSTITUTE ($T567,N$1&amp;"" CE"",""""), N$1&amp;""[\w &amp;]*, (\d+\.\d+)""),"""")
"),"")</f>
        <v/>
      </c>
      <c r="O567" s="3" t="str">
        <f aca="false">IFERROR(__xludf.dummyfunction("if($T567&lt;&gt;"""",REGEXEXTRACT($T567, O$1&amp;""[\w &amp;]*, (\d+\.\d+)""),"""")
"),"")</f>
        <v/>
      </c>
      <c r="P567" s="2"/>
      <c r="Q567" s="2"/>
      <c r="R567" s="2"/>
      <c r="S567" s="2"/>
      <c r="T567" s="5"/>
    </row>
    <row r="568" customFormat="false" ht="15.75" hidden="false" customHeight="false" outlineLevel="0" collapsed="false">
      <c r="A568" s="4"/>
      <c r="B568" s="2"/>
      <c r="C568" s="2"/>
      <c r="D568" s="2"/>
      <c r="E568" s="2"/>
      <c r="F568" s="3" t="str">
        <f aca="false">IFERROR(__xludf.dummyfunction("if($T568&lt;&gt;"""",REGEXEXTRACT(SUBSTITUTE ($T568,F$1&amp;"" CE"",""""), F$1&amp;""[\w &amp;]*, (\d+\.\d+)""),"""")
"),"")</f>
        <v/>
      </c>
      <c r="G568" s="3" t="str">
        <f aca="false">IFERROR(__xludf.dummyfunction("if($T568&lt;&gt;"""",REGEXEXTRACT($T568, G$1&amp;""[\w &amp;]*, (\d+\.\d+)""),"""")
"),"")</f>
        <v/>
      </c>
      <c r="H568" s="3"/>
      <c r="I568" s="3" t="str">
        <f aca="false">IFERROR(__xludf.dummyfunction("if($T568&lt;&gt;"""",REGEXEXTRACT(SUBSTITUTE ($T568,I$1&amp;"" CE"",""""), I$1&amp;""[\w &amp;]*, (\d+\.\d+)""),"""")
"),"")</f>
        <v/>
      </c>
      <c r="J568" s="3" t="str">
        <f aca="false">IFERROR(__xludf.dummyfunction("if($T568&lt;&gt;"""",REGEXEXTRACT($T568, J$1&amp;""[\w &amp;]*, (\d+\.\d+)""),"""")
"),"")</f>
        <v/>
      </c>
      <c r="K568" s="3"/>
      <c r="L568" s="3" t="str">
        <f aca="false">IFERROR(__xludf.dummyfunction("if($T568&lt;&gt;"""",REGEXEXTRACT(SUBSTITUTE ($T568,L$1&amp;"" CE"",""""), L$1&amp;""[\w &amp;]*, (\d+\.\d+)""),"""")
"),"")</f>
        <v/>
      </c>
      <c r="M568" s="3" t="str">
        <f aca="false">IFERROR(__xludf.dummyfunction("if($T568&lt;&gt;"""",REGEXEXTRACT($T568, M$1&amp;""[\w &amp;]*, (\d+\.\d+)""),"""")
"),"")</f>
        <v/>
      </c>
      <c r="N568" s="3" t="str">
        <f aca="false">IFERROR(__xludf.dummyfunction("if($T568&lt;&gt;"""",REGEXEXTRACT(SUBSTITUTE ($T568,N$1&amp;"" CE"",""""), N$1&amp;""[\w &amp;]*, (\d+\.\d+)""),"""")
"),"")</f>
        <v/>
      </c>
      <c r="O568" s="3" t="str">
        <f aca="false">IFERROR(__xludf.dummyfunction("if($T568&lt;&gt;"""",REGEXEXTRACT($T568, O$1&amp;""[\w &amp;]*, (\d+\.\d+)""),"""")
"),"")</f>
        <v/>
      </c>
      <c r="P568" s="2"/>
      <c r="Q568" s="2"/>
      <c r="R568" s="2"/>
      <c r="S568" s="2"/>
      <c r="T568" s="5"/>
    </row>
    <row r="569" customFormat="false" ht="15.75" hidden="false" customHeight="false" outlineLevel="0" collapsed="false">
      <c r="A569" s="4"/>
      <c r="B569" s="2"/>
      <c r="C569" s="2"/>
      <c r="D569" s="2"/>
      <c r="E569" s="2"/>
      <c r="F569" s="3" t="str">
        <f aca="false">IFERROR(__xludf.dummyfunction("if($T569&lt;&gt;"""",REGEXEXTRACT(SUBSTITUTE ($T569,F$1&amp;"" CE"",""""), F$1&amp;""[\w &amp;]*, (\d+\.\d+)""),"""")
"),"")</f>
        <v/>
      </c>
      <c r="G569" s="3" t="str">
        <f aca="false">IFERROR(__xludf.dummyfunction("if($T569&lt;&gt;"""",REGEXEXTRACT($T569, G$1&amp;""[\w &amp;]*, (\d+\.\d+)""),"""")
"),"")</f>
        <v/>
      </c>
      <c r="H569" s="3"/>
      <c r="I569" s="3" t="str">
        <f aca="false">IFERROR(__xludf.dummyfunction("if($T569&lt;&gt;"""",REGEXEXTRACT(SUBSTITUTE ($T569,I$1&amp;"" CE"",""""), I$1&amp;""[\w &amp;]*, (\d+\.\d+)""),"""")
"),"")</f>
        <v/>
      </c>
      <c r="J569" s="3" t="str">
        <f aca="false">IFERROR(__xludf.dummyfunction("if($T569&lt;&gt;"""",REGEXEXTRACT($T569, J$1&amp;""[\w &amp;]*, (\d+\.\d+)""),"""")
"),"")</f>
        <v/>
      </c>
      <c r="K569" s="3"/>
      <c r="L569" s="3" t="str">
        <f aca="false">IFERROR(__xludf.dummyfunction("if($T569&lt;&gt;"""",REGEXEXTRACT(SUBSTITUTE ($T569,L$1&amp;"" CE"",""""), L$1&amp;""[\w &amp;]*, (\d+\.\d+)""),"""")
"),"")</f>
        <v/>
      </c>
      <c r="M569" s="3" t="str">
        <f aca="false">IFERROR(__xludf.dummyfunction("if($T569&lt;&gt;"""",REGEXEXTRACT($T569, M$1&amp;""[\w &amp;]*, (\d+\.\d+)""),"""")
"),"")</f>
        <v/>
      </c>
      <c r="N569" s="3" t="str">
        <f aca="false">IFERROR(__xludf.dummyfunction("if($T569&lt;&gt;"""",REGEXEXTRACT(SUBSTITUTE ($T569,N$1&amp;"" CE"",""""), N$1&amp;""[\w &amp;]*, (\d+\.\d+)""),"""")
"),"")</f>
        <v/>
      </c>
      <c r="O569" s="3" t="str">
        <f aca="false">IFERROR(__xludf.dummyfunction("if($T569&lt;&gt;"""",REGEXEXTRACT($T569, O$1&amp;""[\w &amp;]*, (\d+\.\d+)""),"""")
"),"")</f>
        <v/>
      </c>
      <c r="P569" s="2"/>
      <c r="Q569" s="2"/>
      <c r="R569" s="2"/>
      <c r="S569" s="2"/>
      <c r="T569" s="5"/>
    </row>
    <row r="570" customFormat="false" ht="15.75" hidden="false" customHeight="false" outlineLevel="0" collapsed="false">
      <c r="A570" s="4"/>
      <c r="B570" s="2"/>
      <c r="C570" s="2"/>
      <c r="D570" s="2"/>
      <c r="E570" s="2"/>
      <c r="F570" s="3" t="str">
        <f aca="false">IFERROR(__xludf.dummyfunction("if($T570&lt;&gt;"""",REGEXEXTRACT(SUBSTITUTE ($T570,F$1&amp;"" CE"",""""), F$1&amp;""[\w &amp;]*, (\d+\.\d+)""),"""")
"),"")</f>
        <v/>
      </c>
      <c r="G570" s="3" t="str">
        <f aca="false">IFERROR(__xludf.dummyfunction("if($T570&lt;&gt;"""",REGEXEXTRACT($T570, G$1&amp;""[\w &amp;]*, (\d+\.\d+)""),"""")
"),"")</f>
        <v/>
      </c>
      <c r="H570" s="3"/>
      <c r="I570" s="3" t="str">
        <f aca="false">IFERROR(__xludf.dummyfunction("if($T570&lt;&gt;"""",REGEXEXTRACT(SUBSTITUTE ($T570,I$1&amp;"" CE"",""""), I$1&amp;""[\w &amp;]*, (\d+\.\d+)""),"""")
"),"")</f>
        <v/>
      </c>
      <c r="J570" s="3" t="str">
        <f aca="false">IFERROR(__xludf.dummyfunction("if($T570&lt;&gt;"""",REGEXEXTRACT($T570, J$1&amp;""[\w &amp;]*, (\d+\.\d+)""),"""")
"),"")</f>
        <v/>
      </c>
      <c r="K570" s="3"/>
      <c r="L570" s="3" t="str">
        <f aca="false">IFERROR(__xludf.dummyfunction("if($T570&lt;&gt;"""",REGEXEXTRACT(SUBSTITUTE ($T570,L$1&amp;"" CE"",""""), L$1&amp;""[\w &amp;]*, (\d+\.\d+)""),"""")
"),"")</f>
        <v/>
      </c>
      <c r="M570" s="3" t="str">
        <f aca="false">IFERROR(__xludf.dummyfunction("if($T570&lt;&gt;"""",REGEXEXTRACT($T570, M$1&amp;""[\w &amp;]*, (\d+\.\d+)""),"""")
"),"")</f>
        <v/>
      </c>
      <c r="N570" s="3" t="str">
        <f aca="false">IFERROR(__xludf.dummyfunction("if($T570&lt;&gt;"""",REGEXEXTRACT(SUBSTITUTE ($T570,N$1&amp;"" CE"",""""), N$1&amp;""[\w &amp;]*, (\d+\.\d+)""),"""")
"),"")</f>
        <v/>
      </c>
      <c r="O570" s="3" t="str">
        <f aca="false">IFERROR(__xludf.dummyfunction("if($T570&lt;&gt;"""",REGEXEXTRACT($T570, O$1&amp;""[\w &amp;]*, (\d+\.\d+)""),"""")
"),"")</f>
        <v/>
      </c>
      <c r="P570" s="2"/>
      <c r="Q570" s="2"/>
      <c r="R570" s="2"/>
      <c r="S570" s="2"/>
      <c r="T570" s="5"/>
    </row>
    <row r="571" customFormat="false" ht="15.75" hidden="false" customHeight="false" outlineLevel="0" collapsed="false">
      <c r="A571" s="4"/>
      <c r="B571" s="2"/>
      <c r="C571" s="2"/>
      <c r="D571" s="2"/>
      <c r="E571" s="2"/>
      <c r="F571" s="3" t="str">
        <f aca="false">IFERROR(__xludf.dummyfunction("if($T571&lt;&gt;"""",REGEXEXTRACT(SUBSTITUTE ($T571,F$1&amp;"" CE"",""""), F$1&amp;""[\w &amp;]*, (\d+\.\d+)""),"""")
"),"")</f>
        <v/>
      </c>
      <c r="G571" s="3" t="str">
        <f aca="false">IFERROR(__xludf.dummyfunction("if($T571&lt;&gt;"""",REGEXEXTRACT($T571, G$1&amp;""[\w &amp;]*, (\d+\.\d+)""),"""")
"),"")</f>
        <v/>
      </c>
      <c r="H571" s="3"/>
      <c r="I571" s="3" t="str">
        <f aca="false">IFERROR(__xludf.dummyfunction("if($T571&lt;&gt;"""",REGEXEXTRACT(SUBSTITUTE ($T571,I$1&amp;"" CE"",""""), I$1&amp;""[\w &amp;]*, (\d+\.\d+)""),"""")
"),"")</f>
        <v/>
      </c>
      <c r="J571" s="3" t="str">
        <f aca="false">IFERROR(__xludf.dummyfunction("if($T571&lt;&gt;"""",REGEXEXTRACT($T571, J$1&amp;""[\w &amp;]*, (\d+\.\d+)""),"""")
"),"")</f>
        <v/>
      </c>
      <c r="K571" s="3"/>
      <c r="L571" s="3" t="str">
        <f aca="false">IFERROR(__xludf.dummyfunction("if($T571&lt;&gt;"""",REGEXEXTRACT(SUBSTITUTE ($T571,L$1&amp;"" CE"",""""), L$1&amp;""[\w &amp;]*, (\d+\.\d+)""),"""")
"),"")</f>
        <v/>
      </c>
      <c r="M571" s="3" t="str">
        <f aca="false">IFERROR(__xludf.dummyfunction("if($T571&lt;&gt;"""",REGEXEXTRACT($T571, M$1&amp;""[\w &amp;]*, (\d+\.\d+)""),"""")
"),"")</f>
        <v/>
      </c>
      <c r="N571" s="3" t="str">
        <f aca="false">IFERROR(__xludf.dummyfunction("if($T571&lt;&gt;"""",REGEXEXTRACT(SUBSTITUTE ($T571,N$1&amp;"" CE"",""""), N$1&amp;""[\w &amp;]*, (\d+\.\d+)""),"""")
"),"")</f>
        <v/>
      </c>
      <c r="O571" s="3" t="str">
        <f aca="false">IFERROR(__xludf.dummyfunction("if($T571&lt;&gt;"""",REGEXEXTRACT($T571, O$1&amp;""[\w &amp;]*, (\d+\.\d+)""),"""")
"),"")</f>
        <v/>
      </c>
      <c r="P571" s="2"/>
      <c r="Q571" s="2"/>
      <c r="R571" s="2"/>
      <c r="S571" s="2"/>
      <c r="T571" s="5"/>
    </row>
    <row r="572" customFormat="false" ht="15.75" hidden="false" customHeight="false" outlineLevel="0" collapsed="false">
      <c r="A572" s="4"/>
      <c r="B572" s="2"/>
      <c r="C572" s="2"/>
      <c r="D572" s="2"/>
      <c r="E572" s="2"/>
      <c r="F572" s="3" t="str">
        <f aca="false">IFERROR(__xludf.dummyfunction("if($T572&lt;&gt;"""",REGEXEXTRACT(SUBSTITUTE ($T572,F$1&amp;"" CE"",""""), F$1&amp;""[\w &amp;]*, (\d+\.\d+)""),"""")
"),"")</f>
        <v/>
      </c>
      <c r="G572" s="3" t="str">
        <f aca="false">IFERROR(__xludf.dummyfunction("if($T572&lt;&gt;"""",REGEXEXTRACT($T572, G$1&amp;""[\w &amp;]*, (\d+\.\d+)""),"""")
"),"")</f>
        <v/>
      </c>
      <c r="H572" s="3"/>
      <c r="I572" s="3" t="str">
        <f aca="false">IFERROR(__xludf.dummyfunction("if($T572&lt;&gt;"""",REGEXEXTRACT(SUBSTITUTE ($T572,I$1&amp;"" CE"",""""), I$1&amp;""[\w &amp;]*, (\d+\.\d+)""),"""")
"),"")</f>
        <v/>
      </c>
      <c r="J572" s="3" t="str">
        <f aca="false">IFERROR(__xludf.dummyfunction("if($T572&lt;&gt;"""",REGEXEXTRACT($T572, J$1&amp;""[\w &amp;]*, (\d+\.\d+)""),"""")
"),"")</f>
        <v/>
      </c>
      <c r="K572" s="3"/>
      <c r="L572" s="3" t="str">
        <f aca="false">IFERROR(__xludf.dummyfunction("if($T572&lt;&gt;"""",REGEXEXTRACT(SUBSTITUTE ($T572,L$1&amp;"" CE"",""""), L$1&amp;""[\w &amp;]*, (\d+\.\d+)""),"""")
"),"")</f>
        <v/>
      </c>
      <c r="M572" s="3" t="str">
        <f aca="false">IFERROR(__xludf.dummyfunction("if($T572&lt;&gt;"""",REGEXEXTRACT($T572, M$1&amp;""[\w &amp;]*, (\d+\.\d+)""),"""")
"),"")</f>
        <v/>
      </c>
      <c r="N572" s="3" t="str">
        <f aca="false">IFERROR(__xludf.dummyfunction("if($T572&lt;&gt;"""",REGEXEXTRACT(SUBSTITUTE ($T572,N$1&amp;"" CE"",""""), N$1&amp;""[\w &amp;]*, (\d+\.\d+)""),"""")
"),"")</f>
        <v/>
      </c>
      <c r="O572" s="3" t="str">
        <f aca="false">IFERROR(__xludf.dummyfunction("if($T572&lt;&gt;"""",REGEXEXTRACT($T572, O$1&amp;""[\w &amp;]*, (\d+\.\d+)""),"""")
"),"")</f>
        <v/>
      </c>
      <c r="P572" s="2"/>
      <c r="Q572" s="2"/>
      <c r="R572" s="2"/>
      <c r="S572" s="2"/>
      <c r="T572" s="5"/>
    </row>
    <row r="573" customFormat="false" ht="15.75" hidden="false" customHeight="false" outlineLevel="0" collapsed="false">
      <c r="A573" s="4"/>
      <c r="B573" s="2"/>
      <c r="C573" s="2"/>
      <c r="D573" s="2"/>
      <c r="E573" s="2"/>
      <c r="F573" s="3" t="str">
        <f aca="false">IFERROR(__xludf.dummyfunction("if($T573&lt;&gt;"""",REGEXEXTRACT(SUBSTITUTE ($T573,F$1&amp;"" CE"",""""), F$1&amp;""[\w &amp;]*, (\d+\.\d+)""),"""")
"),"")</f>
        <v/>
      </c>
      <c r="G573" s="3" t="str">
        <f aca="false">IFERROR(__xludf.dummyfunction("if($T573&lt;&gt;"""",REGEXEXTRACT($T573, G$1&amp;""[\w &amp;]*, (\d+\.\d+)""),"""")
"),"")</f>
        <v/>
      </c>
      <c r="H573" s="3"/>
      <c r="I573" s="3" t="str">
        <f aca="false">IFERROR(__xludf.dummyfunction("if($T573&lt;&gt;"""",REGEXEXTRACT(SUBSTITUTE ($T573,I$1&amp;"" CE"",""""), I$1&amp;""[\w &amp;]*, (\d+\.\d+)""),"""")
"),"")</f>
        <v/>
      </c>
      <c r="J573" s="3" t="str">
        <f aca="false">IFERROR(__xludf.dummyfunction("if($T573&lt;&gt;"""",REGEXEXTRACT($T573, J$1&amp;""[\w &amp;]*, (\d+\.\d+)""),"""")
"),"")</f>
        <v/>
      </c>
      <c r="K573" s="3"/>
      <c r="L573" s="3" t="str">
        <f aca="false">IFERROR(__xludf.dummyfunction("if($T573&lt;&gt;"""",REGEXEXTRACT(SUBSTITUTE ($T573,L$1&amp;"" CE"",""""), L$1&amp;""[\w &amp;]*, (\d+\.\d+)""),"""")
"),"")</f>
        <v/>
      </c>
      <c r="M573" s="3" t="str">
        <f aca="false">IFERROR(__xludf.dummyfunction("if($T573&lt;&gt;"""",REGEXEXTRACT($T573, M$1&amp;""[\w &amp;]*, (\d+\.\d+)""),"""")
"),"")</f>
        <v/>
      </c>
      <c r="N573" s="3" t="str">
        <f aca="false">IFERROR(__xludf.dummyfunction("if($T573&lt;&gt;"""",REGEXEXTRACT(SUBSTITUTE ($T573,N$1&amp;"" CE"",""""), N$1&amp;""[\w &amp;]*, (\d+\.\d+)""),"""")
"),"")</f>
        <v/>
      </c>
      <c r="O573" s="3" t="str">
        <f aca="false">IFERROR(__xludf.dummyfunction("if($T573&lt;&gt;"""",REGEXEXTRACT($T573, O$1&amp;""[\w &amp;]*, (\d+\.\d+)""),"""")
"),"")</f>
        <v/>
      </c>
      <c r="P573" s="2"/>
      <c r="Q573" s="2"/>
      <c r="R573" s="2"/>
      <c r="S573" s="2"/>
      <c r="T573" s="5"/>
    </row>
    <row r="574" customFormat="false" ht="15.75" hidden="false" customHeight="false" outlineLevel="0" collapsed="false">
      <c r="A574" s="4"/>
      <c r="B574" s="2"/>
      <c r="C574" s="2"/>
      <c r="D574" s="2"/>
      <c r="E574" s="2"/>
      <c r="F574" s="3" t="str">
        <f aca="false">IFERROR(__xludf.dummyfunction("if($T574&lt;&gt;"""",REGEXEXTRACT(SUBSTITUTE ($T574,F$1&amp;"" CE"",""""), F$1&amp;""[\w &amp;]*, (\d+\.\d+)""),"""")
"),"")</f>
        <v/>
      </c>
      <c r="G574" s="3" t="str">
        <f aca="false">IFERROR(__xludf.dummyfunction("if($T574&lt;&gt;"""",REGEXEXTRACT($T574, G$1&amp;""[\w &amp;]*, (\d+\.\d+)""),"""")
"),"")</f>
        <v/>
      </c>
      <c r="H574" s="3"/>
      <c r="I574" s="3" t="str">
        <f aca="false">IFERROR(__xludf.dummyfunction("if($T574&lt;&gt;"""",REGEXEXTRACT(SUBSTITUTE ($T574,I$1&amp;"" CE"",""""), I$1&amp;""[\w &amp;]*, (\d+\.\d+)""),"""")
"),"")</f>
        <v/>
      </c>
      <c r="J574" s="3" t="str">
        <f aca="false">IFERROR(__xludf.dummyfunction("if($T574&lt;&gt;"""",REGEXEXTRACT($T574, J$1&amp;""[\w &amp;]*, (\d+\.\d+)""),"""")
"),"")</f>
        <v/>
      </c>
      <c r="K574" s="3"/>
      <c r="L574" s="3" t="str">
        <f aca="false">IFERROR(__xludf.dummyfunction("if($T574&lt;&gt;"""",REGEXEXTRACT(SUBSTITUTE ($T574,L$1&amp;"" CE"",""""), L$1&amp;""[\w &amp;]*, (\d+\.\d+)""),"""")
"),"")</f>
        <v/>
      </c>
      <c r="M574" s="3" t="str">
        <f aca="false">IFERROR(__xludf.dummyfunction("if($T574&lt;&gt;"""",REGEXEXTRACT($T574, M$1&amp;""[\w &amp;]*, (\d+\.\d+)""),"""")
"),"")</f>
        <v/>
      </c>
      <c r="N574" s="3" t="str">
        <f aca="false">IFERROR(__xludf.dummyfunction("if($T574&lt;&gt;"""",REGEXEXTRACT(SUBSTITUTE ($T574,N$1&amp;"" CE"",""""), N$1&amp;""[\w &amp;]*, (\d+\.\d+)""),"""")
"),"")</f>
        <v/>
      </c>
      <c r="O574" s="3" t="str">
        <f aca="false">IFERROR(__xludf.dummyfunction("if($T574&lt;&gt;"""",REGEXEXTRACT($T574, O$1&amp;""[\w &amp;]*, (\d+\.\d+)""),"""")
"),"")</f>
        <v/>
      </c>
      <c r="P574" s="2"/>
      <c r="Q574" s="2"/>
      <c r="R574" s="2"/>
      <c r="S574" s="2"/>
      <c r="T574" s="5"/>
    </row>
    <row r="575" customFormat="false" ht="15.75" hidden="false" customHeight="false" outlineLevel="0" collapsed="false">
      <c r="A575" s="4"/>
      <c r="B575" s="2"/>
      <c r="C575" s="2"/>
      <c r="D575" s="2"/>
      <c r="E575" s="2"/>
      <c r="F575" s="3" t="str">
        <f aca="false">IFERROR(__xludf.dummyfunction("if($T575&lt;&gt;"""",REGEXEXTRACT(SUBSTITUTE ($T575,F$1&amp;"" CE"",""""), F$1&amp;""[\w &amp;]*, (\d+\.\d+)""),"""")
"),"")</f>
        <v/>
      </c>
      <c r="G575" s="3" t="str">
        <f aca="false">IFERROR(__xludf.dummyfunction("if($T575&lt;&gt;"""",REGEXEXTRACT($T575, G$1&amp;""[\w &amp;]*, (\d+\.\d+)""),"""")
"),"")</f>
        <v/>
      </c>
      <c r="H575" s="3"/>
      <c r="I575" s="3" t="str">
        <f aca="false">IFERROR(__xludf.dummyfunction("if($T575&lt;&gt;"""",REGEXEXTRACT(SUBSTITUTE ($T575,I$1&amp;"" CE"",""""), I$1&amp;""[\w &amp;]*, (\d+\.\d+)""),"""")
"),"")</f>
        <v/>
      </c>
      <c r="J575" s="3" t="str">
        <f aca="false">IFERROR(__xludf.dummyfunction("if($T575&lt;&gt;"""",REGEXEXTRACT($T575, J$1&amp;""[\w &amp;]*, (\d+\.\d+)""),"""")
"),"")</f>
        <v/>
      </c>
      <c r="K575" s="3"/>
      <c r="L575" s="3" t="str">
        <f aca="false">IFERROR(__xludf.dummyfunction("if($T575&lt;&gt;"""",REGEXEXTRACT(SUBSTITUTE ($T575,L$1&amp;"" CE"",""""), L$1&amp;""[\w &amp;]*, (\d+\.\d+)""),"""")
"),"")</f>
        <v/>
      </c>
      <c r="M575" s="3" t="str">
        <f aca="false">IFERROR(__xludf.dummyfunction("if($T575&lt;&gt;"""",REGEXEXTRACT($T575, M$1&amp;""[\w &amp;]*, (\d+\.\d+)""),"""")
"),"")</f>
        <v/>
      </c>
      <c r="N575" s="3" t="str">
        <f aca="false">IFERROR(__xludf.dummyfunction("if($T575&lt;&gt;"""",REGEXEXTRACT(SUBSTITUTE ($T575,N$1&amp;"" CE"",""""), N$1&amp;""[\w &amp;]*, (\d+\.\d+)""),"""")
"),"")</f>
        <v/>
      </c>
      <c r="O575" s="3" t="str">
        <f aca="false">IFERROR(__xludf.dummyfunction("if($T575&lt;&gt;"""",REGEXEXTRACT($T575, O$1&amp;""[\w &amp;]*, (\d+\.\d+)""),"""")
"),"")</f>
        <v/>
      </c>
      <c r="P575" s="2"/>
      <c r="Q575" s="2"/>
      <c r="R575" s="2"/>
      <c r="S575" s="2"/>
      <c r="T575" s="5"/>
    </row>
    <row r="576" customFormat="false" ht="15.75" hidden="false" customHeight="false" outlineLevel="0" collapsed="false">
      <c r="A576" s="4"/>
      <c r="B576" s="2"/>
      <c r="C576" s="2"/>
      <c r="D576" s="2"/>
      <c r="E576" s="2"/>
      <c r="F576" s="3" t="str">
        <f aca="false">IFERROR(__xludf.dummyfunction("if($T576&lt;&gt;"""",REGEXEXTRACT(SUBSTITUTE ($T576,F$1&amp;"" CE"",""""), F$1&amp;""[\w &amp;]*, (\d+\.\d+)""),"""")
"),"")</f>
        <v/>
      </c>
      <c r="G576" s="3" t="str">
        <f aca="false">IFERROR(__xludf.dummyfunction("if($T576&lt;&gt;"""",REGEXEXTRACT($T576, G$1&amp;""[\w &amp;]*, (\d+\.\d+)""),"""")
"),"")</f>
        <v/>
      </c>
      <c r="H576" s="3"/>
      <c r="I576" s="3" t="str">
        <f aca="false">IFERROR(__xludf.dummyfunction("if($T576&lt;&gt;"""",REGEXEXTRACT(SUBSTITUTE ($T576,I$1&amp;"" CE"",""""), I$1&amp;""[\w &amp;]*, (\d+\.\d+)""),"""")
"),"")</f>
        <v/>
      </c>
      <c r="J576" s="3" t="str">
        <f aca="false">IFERROR(__xludf.dummyfunction("if($T576&lt;&gt;"""",REGEXEXTRACT($T576, J$1&amp;""[\w &amp;]*, (\d+\.\d+)""),"""")
"),"")</f>
        <v/>
      </c>
      <c r="K576" s="3"/>
      <c r="L576" s="3" t="str">
        <f aca="false">IFERROR(__xludf.dummyfunction("if($T576&lt;&gt;"""",REGEXEXTRACT(SUBSTITUTE ($T576,L$1&amp;"" CE"",""""), L$1&amp;""[\w &amp;]*, (\d+\.\d+)""),"""")
"),"")</f>
        <v/>
      </c>
      <c r="M576" s="3" t="str">
        <f aca="false">IFERROR(__xludf.dummyfunction("if($T576&lt;&gt;"""",REGEXEXTRACT($T576, M$1&amp;""[\w &amp;]*, (\d+\.\d+)""),"""")
"),"")</f>
        <v/>
      </c>
      <c r="N576" s="3" t="str">
        <f aca="false">IFERROR(__xludf.dummyfunction("if($T576&lt;&gt;"""",REGEXEXTRACT(SUBSTITUTE ($T576,N$1&amp;"" CE"",""""), N$1&amp;""[\w &amp;]*, (\d+\.\d+)""),"""")
"),"")</f>
        <v/>
      </c>
      <c r="O576" s="3" t="str">
        <f aca="false">IFERROR(__xludf.dummyfunction("if($T576&lt;&gt;"""",REGEXEXTRACT($T576, O$1&amp;""[\w &amp;]*, (\d+\.\d+)""),"""")
"),"")</f>
        <v/>
      </c>
      <c r="P576" s="2"/>
      <c r="Q576" s="2"/>
      <c r="R576" s="2"/>
      <c r="S576" s="2"/>
      <c r="T576" s="5"/>
    </row>
    <row r="577" customFormat="false" ht="15.75" hidden="false" customHeight="false" outlineLevel="0" collapsed="false">
      <c r="A577" s="4"/>
      <c r="B577" s="2"/>
      <c r="C577" s="2"/>
      <c r="D577" s="2"/>
      <c r="E577" s="2"/>
      <c r="F577" s="3" t="str">
        <f aca="false">IFERROR(__xludf.dummyfunction("if($T577&lt;&gt;"""",REGEXEXTRACT(SUBSTITUTE ($T577,F$1&amp;"" CE"",""""), F$1&amp;""[\w &amp;]*, (\d+\.\d+)""),"""")
"),"")</f>
        <v/>
      </c>
      <c r="G577" s="3" t="str">
        <f aca="false">IFERROR(__xludf.dummyfunction("if($T577&lt;&gt;"""",REGEXEXTRACT($T577, G$1&amp;""[\w &amp;]*, (\d+\.\d+)""),"""")
"),"")</f>
        <v/>
      </c>
      <c r="H577" s="3"/>
      <c r="I577" s="3" t="str">
        <f aca="false">IFERROR(__xludf.dummyfunction("if($T577&lt;&gt;"""",REGEXEXTRACT(SUBSTITUTE ($T577,I$1&amp;"" CE"",""""), I$1&amp;""[\w &amp;]*, (\d+\.\d+)""),"""")
"),"")</f>
        <v/>
      </c>
      <c r="J577" s="3" t="str">
        <f aca="false">IFERROR(__xludf.dummyfunction("if($T577&lt;&gt;"""",REGEXEXTRACT($T577, J$1&amp;""[\w &amp;]*, (\d+\.\d+)""),"""")
"),"")</f>
        <v/>
      </c>
      <c r="K577" s="3"/>
      <c r="L577" s="3" t="str">
        <f aca="false">IFERROR(__xludf.dummyfunction("if($T577&lt;&gt;"""",REGEXEXTRACT(SUBSTITUTE ($T577,L$1&amp;"" CE"",""""), L$1&amp;""[\w &amp;]*, (\d+\.\d+)""),"""")
"),"")</f>
        <v/>
      </c>
      <c r="M577" s="3" t="str">
        <f aca="false">IFERROR(__xludf.dummyfunction("if($T577&lt;&gt;"""",REGEXEXTRACT($T577, M$1&amp;""[\w &amp;]*, (\d+\.\d+)""),"""")
"),"")</f>
        <v/>
      </c>
      <c r="N577" s="3" t="str">
        <f aca="false">IFERROR(__xludf.dummyfunction("if($T577&lt;&gt;"""",REGEXEXTRACT(SUBSTITUTE ($T577,N$1&amp;"" CE"",""""), N$1&amp;""[\w &amp;]*, (\d+\.\d+)""),"""")
"),"")</f>
        <v/>
      </c>
      <c r="O577" s="3" t="str">
        <f aca="false">IFERROR(__xludf.dummyfunction("if($T577&lt;&gt;"""",REGEXEXTRACT($T577, O$1&amp;""[\w &amp;]*, (\d+\.\d+)""),"""")
"),"")</f>
        <v/>
      </c>
      <c r="P577" s="2"/>
      <c r="Q577" s="2"/>
      <c r="R577" s="2"/>
      <c r="S577" s="2"/>
      <c r="T577" s="5"/>
    </row>
    <row r="578" customFormat="false" ht="15.75" hidden="false" customHeight="false" outlineLevel="0" collapsed="false">
      <c r="A578" s="4"/>
      <c r="B578" s="2"/>
      <c r="C578" s="2"/>
      <c r="D578" s="2"/>
      <c r="E578" s="2"/>
      <c r="F578" s="3" t="str">
        <f aca="false">IFERROR(__xludf.dummyfunction("if($T578&lt;&gt;"""",REGEXEXTRACT(SUBSTITUTE ($T578,F$1&amp;"" CE"",""""), F$1&amp;""[\w &amp;]*, (\d+\.\d+)""),"""")
"),"")</f>
        <v/>
      </c>
      <c r="G578" s="3" t="str">
        <f aca="false">IFERROR(__xludf.dummyfunction("if($T578&lt;&gt;"""",REGEXEXTRACT($T578, G$1&amp;""[\w &amp;]*, (\d+\.\d+)""),"""")
"),"")</f>
        <v/>
      </c>
      <c r="H578" s="3"/>
      <c r="I578" s="3" t="str">
        <f aca="false">IFERROR(__xludf.dummyfunction("if($T578&lt;&gt;"""",REGEXEXTRACT(SUBSTITUTE ($T578,I$1&amp;"" CE"",""""), I$1&amp;""[\w &amp;]*, (\d+\.\d+)""),"""")
"),"")</f>
        <v/>
      </c>
      <c r="J578" s="3" t="str">
        <f aca="false">IFERROR(__xludf.dummyfunction("if($T578&lt;&gt;"""",REGEXEXTRACT($T578, J$1&amp;""[\w &amp;]*, (\d+\.\d+)""),"""")
"),"")</f>
        <v/>
      </c>
      <c r="K578" s="3"/>
      <c r="L578" s="3" t="str">
        <f aca="false">IFERROR(__xludf.dummyfunction("if($T578&lt;&gt;"""",REGEXEXTRACT(SUBSTITUTE ($T578,L$1&amp;"" CE"",""""), L$1&amp;""[\w &amp;]*, (\d+\.\d+)""),"""")
"),"")</f>
        <v/>
      </c>
      <c r="M578" s="3" t="str">
        <f aca="false">IFERROR(__xludf.dummyfunction("if($T578&lt;&gt;"""",REGEXEXTRACT($T578, M$1&amp;""[\w &amp;]*, (\d+\.\d+)""),"""")
"),"")</f>
        <v/>
      </c>
      <c r="N578" s="3" t="str">
        <f aca="false">IFERROR(__xludf.dummyfunction("if($T578&lt;&gt;"""",REGEXEXTRACT(SUBSTITUTE ($T578,N$1&amp;"" CE"",""""), N$1&amp;""[\w &amp;]*, (\d+\.\d+)""),"""")
"),"")</f>
        <v/>
      </c>
      <c r="O578" s="3" t="str">
        <f aca="false">IFERROR(__xludf.dummyfunction("if($T578&lt;&gt;"""",REGEXEXTRACT($T578, O$1&amp;""[\w &amp;]*, (\d+\.\d+)""),"""")
"),"")</f>
        <v/>
      </c>
      <c r="P578" s="2"/>
      <c r="Q578" s="2"/>
      <c r="R578" s="2"/>
      <c r="S578" s="2"/>
      <c r="T578" s="5"/>
    </row>
    <row r="579" customFormat="false" ht="15.75" hidden="false" customHeight="false" outlineLevel="0" collapsed="false">
      <c r="A579" s="4"/>
      <c r="B579" s="2"/>
      <c r="C579" s="2"/>
      <c r="D579" s="2"/>
      <c r="E579" s="2"/>
      <c r="F579" s="3" t="str">
        <f aca="false">IFERROR(__xludf.dummyfunction("if($T579&lt;&gt;"""",REGEXEXTRACT(SUBSTITUTE ($T579,F$1&amp;"" CE"",""""), F$1&amp;""[\w &amp;]*, (\d+\.\d+)""),"""")
"),"")</f>
        <v/>
      </c>
      <c r="G579" s="3" t="str">
        <f aca="false">IFERROR(__xludf.dummyfunction("if($T579&lt;&gt;"""",REGEXEXTRACT($T579, G$1&amp;""[\w &amp;]*, (\d+\.\d+)""),"""")
"),"")</f>
        <v/>
      </c>
      <c r="H579" s="3"/>
      <c r="I579" s="3" t="str">
        <f aca="false">IFERROR(__xludf.dummyfunction("if($T579&lt;&gt;"""",REGEXEXTRACT(SUBSTITUTE ($T579,I$1&amp;"" CE"",""""), I$1&amp;""[\w &amp;]*, (\d+\.\d+)""),"""")
"),"")</f>
        <v/>
      </c>
      <c r="J579" s="3" t="str">
        <f aca="false">IFERROR(__xludf.dummyfunction("if($T579&lt;&gt;"""",REGEXEXTRACT($T579, J$1&amp;""[\w &amp;]*, (\d+\.\d+)""),"""")
"),"")</f>
        <v/>
      </c>
      <c r="K579" s="3"/>
      <c r="L579" s="3" t="str">
        <f aca="false">IFERROR(__xludf.dummyfunction("if($T579&lt;&gt;"""",REGEXEXTRACT(SUBSTITUTE ($T579,L$1&amp;"" CE"",""""), L$1&amp;""[\w &amp;]*, (\d+\.\d+)""),"""")
"),"")</f>
        <v/>
      </c>
      <c r="M579" s="3" t="str">
        <f aca="false">IFERROR(__xludf.dummyfunction("if($T579&lt;&gt;"""",REGEXEXTRACT($T579, M$1&amp;""[\w &amp;]*, (\d+\.\d+)""),"""")
"),"")</f>
        <v/>
      </c>
      <c r="N579" s="3" t="str">
        <f aca="false">IFERROR(__xludf.dummyfunction("if($T579&lt;&gt;"""",REGEXEXTRACT(SUBSTITUTE ($T579,N$1&amp;"" CE"",""""), N$1&amp;""[\w &amp;]*, (\d+\.\d+)""),"""")
"),"")</f>
        <v/>
      </c>
      <c r="O579" s="3" t="str">
        <f aca="false">IFERROR(__xludf.dummyfunction("if($T579&lt;&gt;"""",REGEXEXTRACT($T579, O$1&amp;""[\w &amp;]*, (\d+\.\d+)""),"""")
"),"")</f>
        <v/>
      </c>
      <c r="P579" s="2"/>
      <c r="Q579" s="2"/>
      <c r="R579" s="2"/>
      <c r="S579" s="2"/>
      <c r="T579" s="5"/>
    </row>
    <row r="580" customFormat="false" ht="15.75" hidden="false" customHeight="false" outlineLevel="0" collapsed="false">
      <c r="A580" s="4"/>
      <c r="B580" s="2"/>
      <c r="C580" s="2"/>
      <c r="D580" s="2"/>
      <c r="E580" s="2"/>
      <c r="F580" s="3" t="str">
        <f aca="false">IFERROR(__xludf.dummyfunction("if($T580&lt;&gt;"""",REGEXEXTRACT(SUBSTITUTE ($T580,F$1&amp;"" CE"",""""), F$1&amp;""[\w &amp;]*, (\d+\.\d+)""),"""")
"),"")</f>
        <v/>
      </c>
      <c r="G580" s="3" t="str">
        <f aca="false">IFERROR(__xludf.dummyfunction("if($T580&lt;&gt;"""",REGEXEXTRACT($T580, G$1&amp;""[\w &amp;]*, (\d+\.\d+)""),"""")
"),"")</f>
        <v/>
      </c>
      <c r="H580" s="3"/>
      <c r="I580" s="3" t="str">
        <f aca="false">IFERROR(__xludf.dummyfunction("if($T580&lt;&gt;"""",REGEXEXTRACT(SUBSTITUTE ($T580,I$1&amp;"" CE"",""""), I$1&amp;""[\w &amp;]*, (\d+\.\d+)""),"""")
"),"")</f>
        <v/>
      </c>
      <c r="J580" s="3" t="str">
        <f aca="false">IFERROR(__xludf.dummyfunction("if($T580&lt;&gt;"""",REGEXEXTRACT($T580, J$1&amp;""[\w &amp;]*, (\d+\.\d+)""),"""")
"),"")</f>
        <v/>
      </c>
      <c r="K580" s="3"/>
      <c r="L580" s="3" t="str">
        <f aca="false">IFERROR(__xludf.dummyfunction("if($T580&lt;&gt;"""",REGEXEXTRACT(SUBSTITUTE ($T580,L$1&amp;"" CE"",""""), L$1&amp;""[\w &amp;]*, (\d+\.\d+)""),"""")
"),"")</f>
        <v/>
      </c>
      <c r="M580" s="3" t="str">
        <f aca="false">IFERROR(__xludf.dummyfunction("if($T580&lt;&gt;"""",REGEXEXTRACT($T580, M$1&amp;""[\w &amp;]*, (\d+\.\d+)""),"""")
"),"")</f>
        <v/>
      </c>
      <c r="N580" s="3" t="str">
        <f aca="false">IFERROR(__xludf.dummyfunction("if($T580&lt;&gt;"""",REGEXEXTRACT(SUBSTITUTE ($T580,N$1&amp;"" CE"",""""), N$1&amp;""[\w &amp;]*, (\d+\.\d+)""),"""")
"),"")</f>
        <v/>
      </c>
      <c r="O580" s="3" t="str">
        <f aca="false">IFERROR(__xludf.dummyfunction("if($T580&lt;&gt;"""",REGEXEXTRACT($T580, O$1&amp;""[\w &amp;]*, (\d+\.\d+)""),"""")
"),"")</f>
        <v/>
      </c>
      <c r="P580" s="2"/>
      <c r="Q580" s="2"/>
      <c r="R580" s="2"/>
      <c r="S580" s="2"/>
      <c r="T580" s="5"/>
    </row>
    <row r="581" customFormat="false" ht="15.75" hidden="false" customHeight="false" outlineLevel="0" collapsed="false">
      <c r="A581" s="4"/>
      <c r="B581" s="2"/>
      <c r="C581" s="2"/>
      <c r="D581" s="2"/>
      <c r="E581" s="2"/>
      <c r="F581" s="3" t="str">
        <f aca="false">IFERROR(__xludf.dummyfunction("if($T581&lt;&gt;"""",REGEXEXTRACT(SUBSTITUTE ($T581,F$1&amp;"" CE"",""""), F$1&amp;""[\w &amp;]*, (\d+\.\d+)""),"""")
"),"")</f>
        <v/>
      </c>
      <c r="G581" s="3" t="str">
        <f aca="false">IFERROR(__xludf.dummyfunction("if($T581&lt;&gt;"""",REGEXEXTRACT($T581, G$1&amp;""[\w &amp;]*, (\d+\.\d+)""),"""")
"),"")</f>
        <v/>
      </c>
      <c r="H581" s="3"/>
      <c r="I581" s="3" t="str">
        <f aca="false">IFERROR(__xludf.dummyfunction("if($T581&lt;&gt;"""",REGEXEXTRACT(SUBSTITUTE ($T581,I$1&amp;"" CE"",""""), I$1&amp;""[\w &amp;]*, (\d+\.\d+)""),"""")
"),"")</f>
        <v/>
      </c>
      <c r="J581" s="3" t="str">
        <f aca="false">IFERROR(__xludf.dummyfunction("if($T581&lt;&gt;"""",REGEXEXTRACT($T581, J$1&amp;""[\w &amp;]*, (\d+\.\d+)""),"""")
"),"")</f>
        <v/>
      </c>
      <c r="K581" s="3"/>
      <c r="L581" s="3" t="str">
        <f aca="false">IFERROR(__xludf.dummyfunction("if($T581&lt;&gt;"""",REGEXEXTRACT(SUBSTITUTE ($T581,L$1&amp;"" CE"",""""), L$1&amp;""[\w &amp;]*, (\d+\.\d+)""),"""")
"),"")</f>
        <v/>
      </c>
      <c r="M581" s="3" t="str">
        <f aca="false">IFERROR(__xludf.dummyfunction("if($T581&lt;&gt;"""",REGEXEXTRACT($T581, M$1&amp;""[\w &amp;]*, (\d+\.\d+)""),"""")
"),"")</f>
        <v/>
      </c>
      <c r="N581" s="3" t="str">
        <f aca="false">IFERROR(__xludf.dummyfunction("if($T581&lt;&gt;"""",REGEXEXTRACT(SUBSTITUTE ($T581,N$1&amp;"" CE"",""""), N$1&amp;""[\w &amp;]*, (\d+\.\d+)""),"""")
"),"")</f>
        <v/>
      </c>
      <c r="O581" s="3" t="str">
        <f aca="false">IFERROR(__xludf.dummyfunction("if($T581&lt;&gt;"""",REGEXEXTRACT($T581, O$1&amp;""[\w &amp;]*, (\d+\.\d+)""),"""")
"),"")</f>
        <v/>
      </c>
      <c r="P581" s="2"/>
      <c r="Q581" s="2"/>
      <c r="R581" s="2"/>
      <c r="S581" s="2"/>
      <c r="T581" s="5"/>
    </row>
    <row r="582" customFormat="false" ht="15.75" hidden="false" customHeight="false" outlineLevel="0" collapsed="false">
      <c r="A582" s="4"/>
      <c r="B582" s="2"/>
      <c r="C582" s="2"/>
      <c r="D582" s="2"/>
      <c r="E582" s="2"/>
      <c r="F582" s="3" t="str">
        <f aca="false">IFERROR(__xludf.dummyfunction("if($T582&lt;&gt;"""",REGEXEXTRACT(SUBSTITUTE ($T582,F$1&amp;"" CE"",""""), F$1&amp;""[\w &amp;]*, (\d+\.\d+)""),"""")
"),"")</f>
        <v/>
      </c>
      <c r="G582" s="3" t="str">
        <f aca="false">IFERROR(__xludf.dummyfunction("if($T582&lt;&gt;"""",REGEXEXTRACT($T582, G$1&amp;""[\w &amp;]*, (\d+\.\d+)""),"""")
"),"")</f>
        <v/>
      </c>
      <c r="H582" s="3"/>
      <c r="I582" s="3" t="str">
        <f aca="false">IFERROR(__xludf.dummyfunction("if($T582&lt;&gt;"""",REGEXEXTRACT(SUBSTITUTE ($T582,I$1&amp;"" CE"",""""), I$1&amp;""[\w &amp;]*, (\d+\.\d+)""),"""")
"),"")</f>
        <v/>
      </c>
      <c r="J582" s="3" t="str">
        <f aca="false">IFERROR(__xludf.dummyfunction("if($T582&lt;&gt;"""",REGEXEXTRACT($T582, J$1&amp;""[\w &amp;]*, (\d+\.\d+)""),"""")
"),"")</f>
        <v/>
      </c>
      <c r="K582" s="3"/>
      <c r="L582" s="3" t="str">
        <f aca="false">IFERROR(__xludf.dummyfunction("if($T582&lt;&gt;"""",REGEXEXTRACT(SUBSTITUTE ($T582,L$1&amp;"" CE"",""""), L$1&amp;""[\w &amp;]*, (\d+\.\d+)""),"""")
"),"")</f>
        <v/>
      </c>
      <c r="M582" s="3" t="str">
        <f aca="false">IFERROR(__xludf.dummyfunction("if($T582&lt;&gt;"""",REGEXEXTRACT($T582, M$1&amp;""[\w &amp;]*, (\d+\.\d+)""),"""")
"),"")</f>
        <v/>
      </c>
      <c r="N582" s="3" t="str">
        <f aca="false">IFERROR(__xludf.dummyfunction("if($T582&lt;&gt;"""",REGEXEXTRACT(SUBSTITUTE ($T582,N$1&amp;"" CE"",""""), N$1&amp;""[\w &amp;]*, (\d+\.\d+)""),"""")
"),"")</f>
        <v/>
      </c>
      <c r="O582" s="3" t="str">
        <f aca="false">IFERROR(__xludf.dummyfunction("if($T582&lt;&gt;"""",REGEXEXTRACT($T582, O$1&amp;""[\w &amp;]*, (\d+\.\d+)""),"""")
"),"")</f>
        <v/>
      </c>
      <c r="P582" s="2"/>
      <c r="Q582" s="2"/>
      <c r="R582" s="2"/>
      <c r="S582" s="2"/>
      <c r="T582" s="5"/>
    </row>
    <row r="583" customFormat="false" ht="15.75" hidden="false" customHeight="false" outlineLevel="0" collapsed="false">
      <c r="A583" s="4"/>
      <c r="B583" s="2"/>
      <c r="C583" s="2"/>
      <c r="D583" s="2"/>
      <c r="E583" s="2"/>
      <c r="F583" s="3" t="str">
        <f aca="false">IFERROR(__xludf.dummyfunction("if($T583&lt;&gt;"""",REGEXEXTRACT(SUBSTITUTE ($T583,F$1&amp;"" CE"",""""), F$1&amp;""[\w &amp;]*, (\d+\.\d+)""),"""")
"),"")</f>
        <v/>
      </c>
      <c r="G583" s="3" t="str">
        <f aca="false">IFERROR(__xludf.dummyfunction("if($T583&lt;&gt;"""",REGEXEXTRACT($T583, G$1&amp;""[\w &amp;]*, (\d+\.\d+)""),"""")
"),"")</f>
        <v/>
      </c>
      <c r="H583" s="3"/>
      <c r="I583" s="3" t="str">
        <f aca="false">IFERROR(__xludf.dummyfunction("if($T583&lt;&gt;"""",REGEXEXTRACT(SUBSTITUTE ($T583,I$1&amp;"" CE"",""""), I$1&amp;""[\w &amp;]*, (\d+\.\d+)""),"""")
"),"")</f>
        <v/>
      </c>
      <c r="J583" s="3" t="str">
        <f aca="false">IFERROR(__xludf.dummyfunction("if($T583&lt;&gt;"""",REGEXEXTRACT($T583, J$1&amp;""[\w &amp;]*, (\d+\.\d+)""),"""")
"),"")</f>
        <v/>
      </c>
      <c r="K583" s="3"/>
      <c r="L583" s="3" t="str">
        <f aca="false">IFERROR(__xludf.dummyfunction("if($T583&lt;&gt;"""",REGEXEXTRACT(SUBSTITUTE ($T583,L$1&amp;"" CE"",""""), L$1&amp;""[\w &amp;]*, (\d+\.\d+)""),"""")
"),"")</f>
        <v/>
      </c>
      <c r="M583" s="3" t="str">
        <f aca="false">IFERROR(__xludf.dummyfunction("if($T583&lt;&gt;"""",REGEXEXTRACT($T583, M$1&amp;""[\w &amp;]*, (\d+\.\d+)""),"""")
"),"")</f>
        <v/>
      </c>
      <c r="N583" s="3" t="str">
        <f aca="false">IFERROR(__xludf.dummyfunction("if($T583&lt;&gt;"""",REGEXEXTRACT(SUBSTITUTE ($T583,N$1&amp;"" CE"",""""), N$1&amp;""[\w &amp;]*, (\d+\.\d+)""),"""")
"),"")</f>
        <v/>
      </c>
      <c r="O583" s="3" t="str">
        <f aca="false">IFERROR(__xludf.dummyfunction("if($T583&lt;&gt;"""",REGEXEXTRACT($T583, O$1&amp;""[\w &amp;]*, (\d+\.\d+)""),"""")
"),"")</f>
        <v/>
      </c>
      <c r="P583" s="2"/>
      <c r="Q583" s="2"/>
      <c r="R583" s="2"/>
      <c r="S583" s="2"/>
      <c r="T583" s="5"/>
    </row>
    <row r="584" customFormat="false" ht="15.75" hidden="false" customHeight="false" outlineLevel="0" collapsed="false">
      <c r="A584" s="4"/>
      <c r="B584" s="2"/>
      <c r="C584" s="2"/>
      <c r="D584" s="2"/>
      <c r="E584" s="2"/>
      <c r="F584" s="3" t="str">
        <f aca="false">IFERROR(__xludf.dummyfunction("if($T584&lt;&gt;"""",REGEXEXTRACT(SUBSTITUTE ($T584,F$1&amp;"" CE"",""""), F$1&amp;""[\w &amp;]*, (\d+\.\d+)""),"""")
"),"")</f>
        <v/>
      </c>
      <c r="G584" s="3" t="str">
        <f aca="false">IFERROR(__xludf.dummyfunction("if($T584&lt;&gt;"""",REGEXEXTRACT($T584, G$1&amp;""[\w &amp;]*, (\d+\.\d+)""),"""")
"),"")</f>
        <v/>
      </c>
      <c r="H584" s="3"/>
      <c r="I584" s="3" t="str">
        <f aca="false">IFERROR(__xludf.dummyfunction("if($T584&lt;&gt;"""",REGEXEXTRACT(SUBSTITUTE ($T584,I$1&amp;"" CE"",""""), I$1&amp;""[\w &amp;]*, (\d+\.\d+)""),"""")
"),"")</f>
        <v/>
      </c>
      <c r="J584" s="3" t="str">
        <f aca="false">IFERROR(__xludf.dummyfunction("if($T584&lt;&gt;"""",REGEXEXTRACT($T584, J$1&amp;""[\w &amp;]*, (\d+\.\d+)""),"""")
"),"")</f>
        <v/>
      </c>
      <c r="K584" s="3"/>
      <c r="L584" s="3" t="str">
        <f aca="false">IFERROR(__xludf.dummyfunction("if($T584&lt;&gt;"""",REGEXEXTRACT(SUBSTITUTE ($T584,L$1&amp;"" CE"",""""), L$1&amp;""[\w &amp;]*, (\d+\.\d+)""),"""")
"),"")</f>
        <v/>
      </c>
      <c r="M584" s="3" t="str">
        <f aca="false">IFERROR(__xludf.dummyfunction("if($T584&lt;&gt;"""",REGEXEXTRACT($T584, M$1&amp;""[\w &amp;]*, (\d+\.\d+)""),"""")
"),"")</f>
        <v/>
      </c>
      <c r="N584" s="3" t="str">
        <f aca="false">IFERROR(__xludf.dummyfunction("if($T584&lt;&gt;"""",REGEXEXTRACT(SUBSTITUTE ($T584,N$1&amp;"" CE"",""""), N$1&amp;""[\w &amp;]*, (\d+\.\d+)""),"""")
"),"")</f>
        <v/>
      </c>
      <c r="O584" s="3" t="str">
        <f aca="false">IFERROR(__xludf.dummyfunction("if($T584&lt;&gt;"""",REGEXEXTRACT($T584, O$1&amp;""[\w &amp;]*, (\d+\.\d+)""),"""")
"),"")</f>
        <v/>
      </c>
      <c r="P584" s="2"/>
      <c r="Q584" s="2"/>
      <c r="R584" s="2"/>
      <c r="S584" s="2"/>
      <c r="T584" s="5"/>
    </row>
    <row r="585" customFormat="false" ht="15.75" hidden="false" customHeight="false" outlineLevel="0" collapsed="false">
      <c r="A585" s="4"/>
      <c r="B585" s="2"/>
      <c r="C585" s="2"/>
      <c r="D585" s="2"/>
      <c r="E585" s="2"/>
      <c r="F585" s="3" t="str">
        <f aca="false">IFERROR(__xludf.dummyfunction("if($T585&lt;&gt;"""",REGEXEXTRACT(SUBSTITUTE ($T585,F$1&amp;"" CE"",""""), F$1&amp;""[\w &amp;]*, (\d+\.\d+)""),"""")
"),"")</f>
        <v/>
      </c>
      <c r="G585" s="3" t="str">
        <f aca="false">IFERROR(__xludf.dummyfunction("if($T585&lt;&gt;"""",REGEXEXTRACT($T585, G$1&amp;""[\w &amp;]*, (\d+\.\d+)""),"""")
"),"")</f>
        <v/>
      </c>
      <c r="H585" s="3"/>
      <c r="I585" s="3" t="str">
        <f aca="false">IFERROR(__xludf.dummyfunction("if($T585&lt;&gt;"""",REGEXEXTRACT(SUBSTITUTE ($T585,I$1&amp;"" CE"",""""), I$1&amp;""[\w &amp;]*, (\d+\.\d+)""),"""")
"),"")</f>
        <v/>
      </c>
      <c r="J585" s="3" t="str">
        <f aca="false">IFERROR(__xludf.dummyfunction("if($T585&lt;&gt;"""",REGEXEXTRACT($T585, J$1&amp;""[\w &amp;]*, (\d+\.\d+)""),"""")
"),"")</f>
        <v/>
      </c>
      <c r="K585" s="3"/>
      <c r="L585" s="3" t="str">
        <f aca="false">IFERROR(__xludf.dummyfunction("if($T585&lt;&gt;"""",REGEXEXTRACT(SUBSTITUTE ($T585,L$1&amp;"" CE"",""""), L$1&amp;""[\w &amp;]*, (\d+\.\d+)""),"""")
"),"")</f>
        <v/>
      </c>
      <c r="M585" s="3" t="str">
        <f aca="false">IFERROR(__xludf.dummyfunction("if($T585&lt;&gt;"""",REGEXEXTRACT($T585, M$1&amp;""[\w &amp;]*, (\d+\.\d+)""),"""")
"),"")</f>
        <v/>
      </c>
      <c r="N585" s="3" t="str">
        <f aca="false">IFERROR(__xludf.dummyfunction("if($T585&lt;&gt;"""",REGEXEXTRACT(SUBSTITUTE ($T585,N$1&amp;"" CE"",""""), N$1&amp;""[\w &amp;]*, (\d+\.\d+)""),"""")
"),"")</f>
        <v/>
      </c>
      <c r="O585" s="3" t="str">
        <f aca="false">IFERROR(__xludf.dummyfunction("if($T585&lt;&gt;"""",REGEXEXTRACT($T585, O$1&amp;""[\w &amp;]*, (\d+\.\d+)""),"""")
"),"")</f>
        <v/>
      </c>
      <c r="P585" s="2"/>
      <c r="Q585" s="2"/>
      <c r="R585" s="2"/>
      <c r="S585" s="2"/>
      <c r="T585" s="5"/>
    </row>
    <row r="586" customFormat="false" ht="15.75" hidden="false" customHeight="false" outlineLevel="0" collapsed="false">
      <c r="A586" s="4"/>
      <c r="B586" s="2"/>
      <c r="C586" s="2"/>
      <c r="D586" s="2"/>
      <c r="E586" s="2"/>
      <c r="F586" s="3" t="str">
        <f aca="false">IFERROR(__xludf.dummyfunction("if($T586&lt;&gt;"""",REGEXEXTRACT(SUBSTITUTE ($T586,F$1&amp;"" CE"",""""), F$1&amp;""[\w &amp;]*, (\d+\.\d+)""),"""")
"),"")</f>
        <v/>
      </c>
      <c r="G586" s="3" t="str">
        <f aca="false">IFERROR(__xludf.dummyfunction("if($T586&lt;&gt;"""",REGEXEXTRACT($T586, G$1&amp;""[\w &amp;]*, (\d+\.\d+)""),"""")
"),"")</f>
        <v/>
      </c>
      <c r="H586" s="3"/>
      <c r="I586" s="3" t="str">
        <f aca="false">IFERROR(__xludf.dummyfunction("if($T586&lt;&gt;"""",REGEXEXTRACT(SUBSTITUTE ($T586,I$1&amp;"" CE"",""""), I$1&amp;""[\w &amp;]*, (\d+\.\d+)""),"""")
"),"")</f>
        <v/>
      </c>
      <c r="J586" s="3" t="str">
        <f aca="false">IFERROR(__xludf.dummyfunction("if($T586&lt;&gt;"""",REGEXEXTRACT($T586, J$1&amp;""[\w &amp;]*, (\d+\.\d+)""),"""")
"),"")</f>
        <v/>
      </c>
      <c r="K586" s="3"/>
      <c r="L586" s="3" t="str">
        <f aca="false">IFERROR(__xludf.dummyfunction("if($T586&lt;&gt;"""",REGEXEXTRACT(SUBSTITUTE ($T586,L$1&amp;"" CE"",""""), L$1&amp;""[\w &amp;]*, (\d+\.\d+)""),"""")
"),"")</f>
        <v/>
      </c>
      <c r="M586" s="3" t="str">
        <f aca="false">IFERROR(__xludf.dummyfunction("if($T586&lt;&gt;"""",REGEXEXTRACT($T586, M$1&amp;""[\w &amp;]*, (\d+\.\d+)""),"""")
"),"")</f>
        <v/>
      </c>
      <c r="N586" s="3" t="str">
        <f aca="false">IFERROR(__xludf.dummyfunction("if($T586&lt;&gt;"""",REGEXEXTRACT(SUBSTITUTE ($T586,N$1&amp;"" CE"",""""), N$1&amp;""[\w &amp;]*, (\d+\.\d+)""),"""")
"),"")</f>
        <v/>
      </c>
      <c r="O586" s="3" t="str">
        <f aca="false">IFERROR(__xludf.dummyfunction("if($T586&lt;&gt;"""",REGEXEXTRACT($T586, O$1&amp;""[\w &amp;]*, (\d+\.\d+)""),"""")
"),"")</f>
        <v/>
      </c>
      <c r="P586" s="2"/>
      <c r="Q586" s="2"/>
      <c r="R586" s="2"/>
      <c r="S586" s="2"/>
      <c r="T586" s="5"/>
    </row>
    <row r="587" customFormat="false" ht="15.75" hidden="false" customHeight="false" outlineLevel="0" collapsed="false">
      <c r="A587" s="4"/>
      <c r="B587" s="2"/>
      <c r="C587" s="2"/>
      <c r="D587" s="2"/>
      <c r="E587" s="2"/>
      <c r="F587" s="3" t="str">
        <f aca="false">IFERROR(__xludf.dummyfunction("if($T587&lt;&gt;"""",REGEXEXTRACT(SUBSTITUTE ($T587,F$1&amp;"" CE"",""""), F$1&amp;""[\w &amp;]*, (\d+\.\d+)""),"""")
"),"")</f>
        <v/>
      </c>
      <c r="G587" s="3" t="str">
        <f aca="false">IFERROR(__xludf.dummyfunction("if($T587&lt;&gt;"""",REGEXEXTRACT($T587, G$1&amp;""[\w &amp;]*, (\d+\.\d+)""),"""")
"),"")</f>
        <v/>
      </c>
      <c r="H587" s="3"/>
      <c r="I587" s="3" t="str">
        <f aca="false">IFERROR(__xludf.dummyfunction("if($T587&lt;&gt;"""",REGEXEXTRACT(SUBSTITUTE ($T587,I$1&amp;"" CE"",""""), I$1&amp;""[\w &amp;]*, (\d+\.\d+)""),"""")
"),"")</f>
        <v/>
      </c>
      <c r="J587" s="3" t="str">
        <f aca="false">IFERROR(__xludf.dummyfunction("if($T587&lt;&gt;"""",REGEXEXTRACT($T587, J$1&amp;""[\w &amp;]*, (\d+\.\d+)""),"""")
"),"")</f>
        <v/>
      </c>
      <c r="K587" s="3"/>
      <c r="L587" s="3" t="str">
        <f aca="false">IFERROR(__xludf.dummyfunction("if($T587&lt;&gt;"""",REGEXEXTRACT(SUBSTITUTE ($T587,L$1&amp;"" CE"",""""), L$1&amp;""[\w &amp;]*, (\d+\.\d+)""),"""")
"),"")</f>
        <v/>
      </c>
      <c r="M587" s="3" t="str">
        <f aca="false">IFERROR(__xludf.dummyfunction("if($T587&lt;&gt;"""",REGEXEXTRACT($T587, M$1&amp;""[\w &amp;]*, (\d+\.\d+)""),"""")
"),"")</f>
        <v/>
      </c>
      <c r="N587" s="3" t="str">
        <f aca="false">IFERROR(__xludf.dummyfunction("if($T587&lt;&gt;"""",REGEXEXTRACT(SUBSTITUTE ($T587,N$1&amp;"" CE"",""""), N$1&amp;""[\w &amp;]*, (\d+\.\d+)""),"""")
"),"")</f>
        <v/>
      </c>
      <c r="O587" s="3" t="str">
        <f aca="false">IFERROR(__xludf.dummyfunction("if($T587&lt;&gt;"""",REGEXEXTRACT($T587, O$1&amp;""[\w &amp;]*, (\d+\.\d+)""),"""")
"),"")</f>
        <v/>
      </c>
      <c r="P587" s="2"/>
      <c r="Q587" s="2"/>
      <c r="R587" s="2"/>
      <c r="S587" s="2"/>
      <c r="T587" s="5"/>
    </row>
    <row r="588" customFormat="false" ht="15.75" hidden="false" customHeight="false" outlineLevel="0" collapsed="false">
      <c r="A588" s="4"/>
      <c r="B588" s="2"/>
      <c r="C588" s="2"/>
      <c r="D588" s="2"/>
      <c r="E588" s="2"/>
      <c r="F588" s="3" t="str">
        <f aca="false">IFERROR(__xludf.dummyfunction("if($T588&lt;&gt;"""",REGEXEXTRACT(SUBSTITUTE ($T588,F$1&amp;"" CE"",""""), F$1&amp;""[\w &amp;]*, (\d+\.\d+)""),"""")
"),"")</f>
        <v/>
      </c>
      <c r="G588" s="3" t="str">
        <f aca="false">IFERROR(__xludf.dummyfunction("if($T588&lt;&gt;"""",REGEXEXTRACT($T588, G$1&amp;""[\w &amp;]*, (\d+\.\d+)""),"""")
"),"")</f>
        <v/>
      </c>
      <c r="H588" s="3"/>
      <c r="I588" s="3" t="str">
        <f aca="false">IFERROR(__xludf.dummyfunction("if($T588&lt;&gt;"""",REGEXEXTRACT(SUBSTITUTE ($T588,I$1&amp;"" CE"",""""), I$1&amp;""[\w &amp;]*, (\d+\.\d+)""),"""")
"),"")</f>
        <v/>
      </c>
      <c r="J588" s="3" t="str">
        <f aca="false">IFERROR(__xludf.dummyfunction("if($T588&lt;&gt;"""",REGEXEXTRACT($T588, J$1&amp;""[\w &amp;]*, (\d+\.\d+)""),"""")
"),"")</f>
        <v/>
      </c>
      <c r="K588" s="3"/>
      <c r="L588" s="3" t="str">
        <f aca="false">IFERROR(__xludf.dummyfunction("if($T588&lt;&gt;"""",REGEXEXTRACT(SUBSTITUTE ($T588,L$1&amp;"" CE"",""""), L$1&amp;""[\w &amp;]*, (\d+\.\d+)""),"""")
"),"")</f>
        <v/>
      </c>
      <c r="M588" s="3" t="str">
        <f aca="false">IFERROR(__xludf.dummyfunction("if($T588&lt;&gt;"""",REGEXEXTRACT($T588, M$1&amp;""[\w &amp;]*, (\d+\.\d+)""),"""")
"),"")</f>
        <v/>
      </c>
      <c r="N588" s="3" t="str">
        <f aca="false">IFERROR(__xludf.dummyfunction("if($T588&lt;&gt;"""",REGEXEXTRACT(SUBSTITUTE ($T588,N$1&amp;"" CE"",""""), N$1&amp;""[\w &amp;]*, (\d+\.\d+)""),"""")
"),"")</f>
        <v/>
      </c>
      <c r="O588" s="3" t="str">
        <f aca="false">IFERROR(__xludf.dummyfunction("if($T588&lt;&gt;"""",REGEXEXTRACT($T588, O$1&amp;""[\w &amp;]*, (\d+\.\d+)""),"""")
"),"")</f>
        <v/>
      </c>
      <c r="P588" s="2"/>
      <c r="Q588" s="2"/>
      <c r="R588" s="2"/>
      <c r="S588" s="2"/>
      <c r="T588" s="5"/>
    </row>
    <row r="589" customFormat="false" ht="15.75" hidden="false" customHeight="false" outlineLevel="0" collapsed="false">
      <c r="A589" s="4"/>
      <c r="B589" s="2"/>
      <c r="C589" s="2"/>
      <c r="D589" s="2"/>
      <c r="E589" s="2"/>
      <c r="F589" s="3" t="str">
        <f aca="false">IFERROR(__xludf.dummyfunction("if($T589&lt;&gt;"""",REGEXEXTRACT(SUBSTITUTE ($T589,F$1&amp;"" CE"",""""), F$1&amp;""[\w &amp;]*, (\d+\.\d+)""),"""")
"),"")</f>
        <v/>
      </c>
      <c r="G589" s="3" t="str">
        <f aca="false">IFERROR(__xludf.dummyfunction("if($T589&lt;&gt;"""",REGEXEXTRACT($T589, G$1&amp;""[\w &amp;]*, (\d+\.\d+)""),"""")
"),"")</f>
        <v/>
      </c>
      <c r="H589" s="3"/>
      <c r="I589" s="3" t="str">
        <f aca="false">IFERROR(__xludf.dummyfunction("if($T589&lt;&gt;"""",REGEXEXTRACT(SUBSTITUTE ($T589,I$1&amp;"" CE"",""""), I$1&amp;""[\w &amp;]*, (\d+\.\d+)""),"""")
"),"")</f>
        <v/>
      </c>
      <c r="J589" s="3" t="str">
        <f aca="false">IFERROR(__xludf.dummyfunction("if($T589&lt;&gt;"""",REGEXEXTRACT($T589, J$1&amp;""[\w &amp;]*, (\d+\.\d+)""),"""")
"),"")</f>
        <v/>
      </c>
      <c r="K589" s="3"/>
      <c r="L589" s="3" t="str">
        <f aca="false">IFERROR(__xludf.dummyfunction("if($T589&lt;&gt;"""",REGEXEXTRACT(SUBSTITUTE ($T589,L$1&amp;"" CE"",""""), L$1&amp;""[\w &amp;]*, (\d+\.\d+)""),"""")
"),"")</f>
        <v/>
      </c>
      <c r="M589" s="3" t="str">
        <f aca="false">IFERROR(__xludf.dummyfunction("if($T589&lt;&gt;"""",REGEXEXTRACT($T589, M$1&amp;""[\w &amp;]*, (\d+\.\d+)""),"""")
"),"")</f>
        <v/>
      </c>
      <c r="N589" s="3" t="str">
        <f aca="false">IFERROR(__xludf.dummyfunction("if($T589&lt;&gt;"""",REGEXEXTRACT(SUBSTITUTE ($T589,N$1&amp;"" CE"",""""), N$1&amp;""[\w &amp;]*, (\d+\.\d+)""),"""")
"),"")</f>
        <v/>
      </c>
      <c r="O589" s="3" t="str">
        <f aca="false">IFERROR(__xludf.dummyfunction("if($T589&lt;&gt;"""",REGEXEXTRACT($T589, O$1&amp;""[\w &amp;]*, (\d+\.\d+)""),"""")
"),"")</f>
        <v/>
      </c>
      <c r="P589" s="2"/>
      <c r="Q589" s="2"/>
      <c r="R589" s="2"/>
      <c r="S589" s="2"/>
      <c r="T589" s="5"/>
    </row>
    <row r="590" customFormat="false" ht="15.75" hidden="false" customHeight="false" outlineLevel="0" collapsed="false">
      <c r="A590" s="4"/>
      <c r="B590" s="2"/>
      <c r="C590" s="2"/>
      <c r="D590" s="2"/>
      <c r="E590" s="2"/>
      <c r="F590" s="3" t="str">
        <f aca="false">IFERROR(__xludf.dummyfunction("if($T590&lt;&gt;"""",REGEXEXTRACT(SUBSTITUTE ($T590,F$1&amp;"" CE"",""""), F$1&amp;""[\w &amp;]*, (\d+\.\d+)""),"""")
"),"")</f>
        <v/>
      </c>
      <c r="G590" s="3" t="str">
        <f aca="false">IFERROR(__xludf.dummyfunction("if($T590&lt;&gt;"""",REGEXEXTRACT($T590, G$1&amp;""[\w &amp;]*, (\d+\.\d+)""),"""")
"),"")</f>
        <v/>
      </c>
      <c r="H590" s="3"/>
      <c r="I590" s="3" t="str">
        <f aca="false">IFERROR(__xludf.dummyfunction("if($T590&lt;&gt;"""",REGEXEXTRACT(SUBSTITUTE ($T590,I$1&amp;"" CE"",""""), I$1&amp;""[\w &amp;]*, (\d+\.\d+)""),"""")
"),"")</f>
        <v/>
      </c>
      <c r="J590" s="3" t="str">
        <f aca="false">IFERROR(__xludf.dummyfunction("if($T590&lt;&gt;"""",REGEXEXTRACT($T590, J$1&amp;""[\w &amp;]*, (\d+\.\d+)""),"""")
"),"")</f>
        <v/>
      </c>
      <c r="K590" s="3"/>
      <c r="L590" s="3" t="str">
        <f aca="false">IFERROR(__xludf.dummyfunction("if($T590&lt;&gt;"""",REGEXEXTRACT(SUBSTITUTE ($T590,L$1&amp;"" CE"",""""), L$1&amp;""[\w &amp;]*, (\d+\.\d+)""),"""")
"),"")</f>
        <v/>
      </c>
      <c r="M590" s="3" t="str">
        <f aca="false">IFERROR(__xludf.dummyfunction("if($T590&lt;&gt;"""",REGEXEXTRACT($T590, M$1&amp;""[\w &amp;]*, (\d+\.\d+)""),"""")
"),"")</f>
        <v/>
      </c>
      <c r="N590" s="3" t="str">
        <f aca="false">IFERROR(__xludf.dummyfunction("if($T590&lt;&gt;"""",REGEXEXTRACT(SUBSTITUTE ($T590,N$1&amp;"" CE"",""""), N$1&amp;""[\w &amp;]*, (\d+\.\d+)""),"""")
"),"")</f>
        <v/>
      </c>
      <c r="O590" s="3" t="str">
        <f aca="false">IFERROR(__xludf.dummyfunction("if($T590&lt;&gt;"""",REGEXEXTRACT($T590, O$1&amp;""[\w &amp;]*, (\d+\.\d+)""),"""")
"),"")</f>
        <v/>
      </c>
      <c r="P590" s="2"/>
      <c r="Q590" s="2"/>
      <c r="R590" s="2"/>
      <c r="S590" s="2"/>
      <c r="T590" s="5"/>
    </row>
    <row r="591" customFormat="false" ht="15.75" hidden="false" customHeight="false" outlineLevel="0" collapsed="false">
      <c r="A591" s="4"/>
      <c r="B591" s="2"/>
      <c r="C591" s="2"/>
      <c r="D591" s="2"/>
      <c r="E591" s="2"/>
      <c r="F591" s="3" t="str">
        <f aca="false">IFERROR(__xludf.dummyfunction("if($T591&lt;&gt;"""",REGEXEXTRACT(SUBSTITUTE ($T591,F$1&amp;"" CE"",""""), F$1&amp;""[\w &amp;]*, (\d+\.\d+)""),"""")
"),"")</f>
        <v/>
      </c>
      <c r="G591" s="3" t="str">
        <f aca="false">IFERROR(__xludf.dummyfunction("if($T591&lt;&gt;"""",REGEXEXTRACT($T591, G$1&amp;""[\w &amp;]*, (\d+\.\d+)""),"""")
"),"")</f>
        <v/>
      </c>
      <c r="H591" s="3"/>
      <c r="I591" s="3" t="str">
        <f aca="false">IFERROR(__xludf.dummyfunction("if($T591&lt;&gt;"""",REGEXEXTRACT(SUBSTITUTE ($T591,I$1&amp;"" CE"",""""), I$1&amp;""[\w &amp;]*, (\d+\.\d+)""),"""")
"),"")</f>
        <v/>
      </c>
      <c r="J591" s="3" t="str">
        <f aca="false">IFERROR(__xludf.dummyfunction("if($T591&lt;&gt;"""",REGEXEXTRACT($T591, J$1&amp;""[\w &amp;]*, (\d+\.\d+)""),"""")
"),"")</f>
        <v/>
      </c>
      <c r="K591" s="3"/>
      <c r="L591" s="3" t="str">
        <f aca="false">IFERROR(__xludf.dummyfunction("if($T591&lt;&gt;"""",REGEXEXTRACT(SUBSTITUTE ($T591,L$1&amp;"" CE"",""""), L$1&amp;""[\w &amp;]*, (\d+\.\d+)""),"""")
"),"")</f>
        <v/>
      </c>
      <c r="M591" s="3" t="str">
        <f aca="false">IFERROR(__xludf.dummyfunction("if($T591&lt;&gt;"""",REGEXEXTRACT($T591, M$1&amp;""[\w &amp;]*, (\d+\.\d+)""),"""")
"),"")</f>
        <v/>
      </c>
      <c r="N591" s="3" t="str">
        <f aca="false">IFERROR(__xludf.dummyfunction("if($T591&lt;&gt;"""",REGEXEXTRACT(SUBSTITUTE ($T591,N$1&amp;"" CE"",""""), N$1&amp;""[\w &amp;]*, (\d+\.\d+)""),"""")
"),"")</f>
        <v/>
      </c>
      <c r="O591" s="3" t="str">
        <f aca="false">IFERROR(__xludf.dummyfunction("if($T591&lt;&gt;"""",REGEXEXTRACT($T591, O$1&amp;""[\w &amp;]*, (\d+\.\d+)""),"""")
"),"")</f>
        <v/>
      </c>
      <c r="P591" s="2"/>
      <c r="Q591" s="2"/>
      <c r="R591" s="2"/>
      <c r="S591" s="2"/>
      <c r="T591" s="5"/>
    </row>
    <row r="592" customFormat="false" ht="15.75" hidden="false" customHeight="false" outlineLevel="0" collapsed="false">
      <c r="A592" s="4"/>
      <c r="B592" s="2"/>
      <c r="C592" s="2"/>
      <c r="D592" s="2"/>
      <c r="E592" s="2"/>
      <c r="F592" s="3" t="str">
        <f aca="false">IFERROR(__xludf.dummyfunction("if($T592&lt;&gt;"""",REGEXEXTRACT(SUBSTITUTE ($T592,F$1&amp;"" CE"",""""), F$1&amp;""[\w &amp;]*, (\d+\.\d+)""),"""")
"),"")</f>
        <v/>
      </c>
      <c r="G592" s="3" t="str">
        <f aca="false">IFERROR(__xludf.dummyfunction("if($T592&lt;&gt;"""",REGEXEXTRACT($T592, G$1&amp;""[\w &amp;]*, (\d+\.\d+)""),"""")
"),"")</f>
        <v/>
      </c>
      <c r="H592" s="3"/>
      <c r="I592" s="3" t="str">
        <f aca="false">IFERROR(__xludf.dummyfunction("if($T592&lt;&gt;"""",REGEXEXTRACT(SUBSTITUTE ($T592,I$1&amp;"" CE"",""""), I$1&amp;""[\w &amp;]*, (\d+\.\d+)""),"""")
"),"")</f>
        <v/>
      </c>
      <c r="J592" s="3" t="str">
        <f aca="false">IFERROR(__xludf.dummyfunction("if($T592&lt;&gt;"""",REGEXEXTRACT($T592, J$1&amp;""[\w &amp;]*, (\d+\.\d+)""),"""")
"),"")</f>
        <v/>
      </c>
      <c r="K592" s="3"/>
      <c r="L592" s="3" t="str">
        <f aca="false">IFERROR(__xludf.dummyfunction("if($T592&lt;&gt;"""",REGEXEXTRACT(SUBSTITUTE ($T592,L$1&amp;"" CE"",""""), L$1&amp;""[\w &amp;]*, (\d+\.\d+)""),"""")
"),"")</f>
        <v/>
      </c>
      <c r="M592" s="3" t="str">
        <f aca="false">IFERROR(__xludf.dummyfunction("if($T592&lt;&gt;"""",REGEXEXTRACT($T592, M$1&amp;""[\w &amp;]*, (\d+\.\d+)""),"""")
"),"")</f>
        <v/>
      </c>
      <c r="N592" s="3" t="str">
        <f aca="false">IFERROR(__xludf.dummyfunction("if($T592&lt;&gt;"""",REGEXEXTRACT(SUBSTITUTE ($T592,N$1&amp;"" CE"",""""), N$1&amp;""[\w &amp;]*, (\d+\.\d+)""),"""")
"),"")</f>
        <v/>
      </c>
      <c r="O592" s="3" t="str">
        <f aca="false">IFERROR(__xludf.dummyfunction("if($T592&lt;&gt;"""",REGEXEXTRACT($T592, O$1&amp;""[\w &amp;]*, (\d+\.\d+)""),"""")
"),"")</f>
        <v/>
      </c>
      <c r="P592" s="2"/>
      <c r="Q592" s="2"/>
      <c r="R592" s="2"/>
      <c r="S592" s="2"/>
      <c r="T592" s="5"/>
    </row>
    <row r="593" customFormat="false" ht="15.75" hidden="false" customHeight="false" outlineLevel="0" collapsed="false">
      <c r="A593" s="4"/>
      <c r="B593" s="2"/>
      <c r="C593" s="2"/>
      <c r="D593" s="2"/>
      <c r="E593" s="2"/>
      <c r="F593" s="3" t="str">
        <f aca="false">IFERROR(__xludf.dummyfunction("if($T593&lt;&gt;"""",REGEXEXTRACT(SUBSTITUTE ($T593,F$1&amp;"" CE"",""""), F$1&amp;""[\w &amp;]*, (\d+\.\d+)""),"""")
"),"")</f>
        <v/>
      </c>
      <c r="G593" s="3" t="str">
        <f aca="false">IFERROR(__xludf.dummyfunction("if($T593&lt;&gt;"""",REGEXEXTRACT($T593, G$1&amp;""[\w &amp;]*, (\d+\.\d+)""),"""")
"),"")</f>
        <v/>
      </c>
      <c r="H593" s="3"/>
      <c r="I593" s="3" t="str">
        <f aca="false">IFERROR(__xludf.dummyfunction("if($T593&lt;&gt;"""",REGEXEXTRACT(SUBSTITUTE ($T593,I$1&amp;"" CE"",""""), I$1&amp;""[\w &amp;]*, (\d+\.\d+)""),"""")
"),"")</f>
        <v/>
      </c>
      <c r="J593" s="3" t="str">
        <f aca="false">IFERROR(__xludf.dummyfunction("if($T593&lt;&gt;"""",REGEXEXTRACT($T593, J$1&amp;""[\w &amp;]*, (\d+\.\d+)""),"""")
"),"")</f>
        <v/>
      </c>
      <c r="K593" s="3"/>
      <c r="L593" s="3" t="str">
        <f aca="false">IFERROR(__xludf.dummyfunction("if($T593&lt;&gt;"""",REGEXEXTRACT(SUBSTITUTE ($T593,L$1&amp;"" CE"",""""), L$1&amp;""[\w &amp;]*, (\d+\.\d+)""),"""")
"),"")</f>
        <v/>
      </c>
      <c r="M593" s="3" t="str">
        <f aca="false">IFERROR(__xludf.dummyfunction("if($T593&lt;&gt;"""",REGEXEXTRACT($T593, M$1&amp;""[\w &amp;]*, (\d+\.\d+)""),"""")
"),"")</f>
        <v/>
      </c>
      <c r="N593" s="3" t="str">
        <f aca="false">IFERROR(__xludf.dummyfunction("if($T593&lt;&gt;"""",REGEXEXTRACT(SUBSTITUTE ($T593,N$1&amp;"" CE"",""""), N$1&amp;""[\w &amp;]*, (\d+\.\d+)""),"""")
"),"")</f>
        <v/>
      </c>
      <c r="O593" s="3" t="str">
        <f aca="false">IFERROR(__xludf.dummyfunction("if($T593&lt;&gt;"""",REGEXEXTRACT($T593, O$1&amp;""[\w &amp;]*, (\d+\.\d+)""),"""")
"),"")</f>
        <v/>
      </c>
      <c r="P593" s="2"/>
      <c r="Q593" s="2"/>
      <c r="R593" s="2"/>
      <c r="S593" s="2"/>
      <c r="T593" s="5"/>
    </row>
    <row r="594" customFormat="false" ht="15.75" hidden="false" customHeight="false" outlineLevel="0" collapsed="false">
      <c r="A594" s="4"/>
      <c r="B594" s="2"/>
      <c r="C594" s="2"/>
      <c r="D594" s="2"/>
      <c r="E594" s="2"/>
      <c r="F594" s="3" t="str">
        <f aca="false">IFERROR(__xludf.dummyfunction("if($T594&lt;&gt;"""",REGEXEXTRACT(SUBSTITUTE ($T594,F$1&amp;"" CE"",""""), F$1&amp;""[\w &amp;]*, (\d+\.\d+)""),"""")
"),"")</f>
        <v/>
      </c>
      <c r="G594" s="3" t="str">
        <f aca="false">IFERROR(__xludf.dummyfunction("if($T594&lt;&gt;"""",REGEXEXTRACT($T594, G$1&amp;""[\w &amp;]*, (\d+\.\d+)""),"""")
"),"")</f>
        <v/>
      </c>
      <c r="H594" s="3"/>
      <c r="I594" s="3" t="str">
        <f aca="false">IFERROR(__xludf.dummyfunction("if($T594&lt;&gt;"""",REGEXEXTRACT(SUBSTITUTE ($T594,I$1&amp;"" CE"",""""), I$1&amp;""[\w &amp;]*, (\d+\.\d+)""),"""")
"),"")</f>
        <v/>
      </c>
      <c r="J594" s="3" t="str">
        <f aca="false">IFERROR(__xludf.dummyfunction("if($T594&lt;&gt;"""",REGEXEXTRACT($T594, J$1&amp;""[\w &amp;]*, (\d+\.\d+)""),"""")
"),"")</f>
        <v/>
      </c>
      <c r="K594" s="3"/>
      <c r="L594" s="3" t="str">
        <f aca="false">IFERROR(__xludf.dummyfunction("if($T594&lt;&gt;"""",REGEXEXTRACT(SUBSTITUTE ($T594,L$1&amp;"" CE"",""""), L$1&amp;""[\w &amp;]*, (\d+\.\d+)""),"""")
"),"")</f>
        <v/>
      </c>
      <c r="M594" s="3" t="str">
        <f aca="false">IFERROR(__xludf.dummyfunction("if($T594&lt;&gt;"""",REGEXEXTRACT($T594, M$1&amp;""[\w &amp;]*, (\d+\.\d+)""),"""")
"),"")</f>
        <v/>
      </c>
      <c r="N594" s="3" t="str">
        <f aca="false">IFERROR(__xludf.dummyfunction("if($T594&lt;&gt;"""",REGEXEXTRACT(SUBSTITUTE ($T594,N$1&amp;"" CE"",""""), N$1&amp;""[\w &amp;]*, (\d+\.\d+)""),"""")
"),"")</f>
        <v/>
      </c>
      <c r="O594" s="3" t="str">
        <f aca="false">IFERROR(__xludf.dummyfunction("if($T594&lt;&gt;"""",REGEXEXTRACT($T594, O$1&amp;""[\w &amp;]*, (\d+\.\d+)""),"""")
"),"")</f>
        <v/>
      </c>
      <c r="P594" s="2"/>
      <c r="Q594" s="2"/>
      <c r="R594" s="2"/>
      <c r="S594" s="2"/>
      <c r="T594" s="5"/>
    </row>
    <row r="595" customFormat="false" ht="15.75" hidden="false" customHeight="false" outlineLevel="0" collapsed="false">
      <c r="A595" s="4"/>
      <c r="B595" s="2"/>
      <c r="C595" s="2"/>
      <c r="D595" s="2"/>
      <c r="E595" s="2"/>
      <c r="F595" s="3" t="str">
        <f aca="false">IFERROR(__xludf.dummyfunction("if($T595&lt;&gt;"""",REGEXEXTRACT(SUBSTITUTE ($T595,F$1&amp;"" CE"",""""), F$1&amp;""[\w &amp;]*, (\d+\.\d+)""),"""")
"),"")</f>
        <v/>
      </c>
      <c r="G595" s="3" t="str">
        <f aca="false">IFERROR(__xludf.dummyfunction("if($T595&lt;&gt;"""",REGEXEXTRACT($T595, G$1&amp;""[\w &amp;]*, (\d+\.\d+)""),"""")
"),"")</f>
        <v/>
      </c>
      <c r="H595" s="3"/>
      <c r="I595" s="3" t="str">
        <f aca="false">IFERROR(__xludf.dummyfunction("if($T595&lt;&gt;"""",REGEXEXTRACT(SUBSTITUTE ($T595,I$1&amp;"" CE"",""""), I$1&amp;""[\w &amp;]*, (\d+\.\d+)""),"""")
"),"")</f>
        <v/>
      </c>
      <c r="J595" s="3" t="str">
        <f aca="false">IFERROR(__xludf.dummyfunction("if($T595&lt;&gt;"""",REGEXEXTRACT($T595, J$1&amp;""[\w &amp;]*, (\d+\.\d+)""),"""")
"),"")</f>
        <v/>
      </c>
      <c r="K595" s="3"/>
      <c r="L595" s="3" t="str">
        <f aca="false">IFERROR(__xludf.dummyfunction("if($T595&lt;&gt;"""",REGEXEXTRACT(SUBSTITUTE ($T595,L$1&amp;"" CE"",""""), L$1&amp;""[\w &amp;]*, (\d+\.\d+)""),"""")
"),"")</f>
        <v/>
      </c>
      <c r="M595" s="3" t="str">
        <f aca="false">IFERROR(__xludf.dummyfunction("if($T595&lt;&gt;"""",REGEXEXTRACT($T595, M$1&amp;""[\w &amp;]*, (\d+\.\d+)""),"""")
"),"")</f>
        <v/>
      </c>
      <c r="N595" s="3" t="str">
        <f aca="false">IFERROR(__xludf.dummyfunction("if($T595&lt;&gt;"""",REGEXEXTRACT(SUBSTITUTE ($T595,N$1&amp;"" CE"",""""), N$1&amp;""[\w &amp;]*, (\d+\.\d+)""),"""")
"),"")</f>
        <v/>
      </c>
      <c r="O595" s="3" t="str">
        <f aca="false">IFERROR(__xludf.dummyfunction("if($T595&lt;&gt;"""",REGEXEXTRACT($T595, O$1&amp;""[\w &amp;]*, (\d+\.\d+)""),"""")
"),"")</f>
        <v/>
      </c>
      <c r="P595" s="2"/>
      <c r="Q595" s="2"/>
      <c r="R595" s="2"/>
      <c r="S595" s="2"/>
      <c r="T595" s="5"/>
    </row>
    <row r="596" customFormat="false" ht="15.75" hidden="false" customHeight="false" outlineLevel="0" collapsed="false">
      <c r="A596" s="4"/>
      <c r="B596" s="2"/>
      <c r="C596" s="2"/>
      <c r="D596" s="2"/>
      <c r="E596" s="2"/>
      <c r="F596" s="3" t="str">
        <f aca="false">IFERROR(__xludf.dummyfunction("if($T596&lt;&gt;"""",REGEXEXTRACT(SUBSTITUTE ($T596,F$1&amp;"" CE"",""""), F$1&amp;""[\w &amp;]*, (\d+\.\d+)""),"""")
"),"")</f>
        <v/>
      </c>
      <c r="G596" s="3" t="str">
        <f aca="false">IFERROR(__xludf.dummyfunction("if($T596&lt;&gt;"""",REGEXEXTRACT($T596, G$1&amp;""[\w &amp;]*, (\d+\.\d+)""),"""")
"),"")</f>
        <v/>
      </c>
      <c r="H596" s="3"/>
      <c r="I596" s="3" t="str">
        <f aca="false">IFERROR(__xludf.dummyfunction("if($T596&lt;&gt;"""",REGEXEXTRACT(SUBSTITUTE ($T596,I$1&amp;"" CE"",""""), I$1&amp;""[\w &amp;]*, (\d+\.\d+)""),"""")
"),"")</f>
        <v/>
      </c>
      <c r="J596" s="3" t="str">
        <f aca="false">IFERROR(__xludf.dummyfunction("if($T596&lt;&gt;"""",REGEXEXTRACT($T596, J$1&amp;""[\w &amp;]*, (\d+\.\d+)""),"""")
"),"")</f>
        <v/>
      </c>
      <c r="K596" s="3"/>
      <c r="L596" s="3" t="str">
        <f aca="false">IFERROR(__xludf.dummyfunction("if($T596&lt;&gt;"""",REGEXEXTRACT(SUBSTITUTE ($T596,L$1&amp;"" CE"",""""), L$1&amp;""[\w &amp;]*, (\d+\.\d+)""),"""")
"),"")</f>
        <v/>
      </c>
      <c r="M596" s="3" t="str">
        <f aca="false">IFERROR(__xludf.dummyfunction("if($T596&lt;&gt;"""",REGEXEXTRACT($T596, M$1&amp;""[\w &amp;]*, (\d+\.\d+)""),"""")
"),"")</f>
        <v/>
      </c>
      <c r="N596" s="3" t="str">
        <f aca="false">IFERROR(__xludf.dummyfunction("if($T596&lt;&gt;"""",REGEXEXTRACT(SUBSTITUTE ($T596,N$1&amp;"" CE"",""""), N$1&amp;""[\w &amp;]*, (\d+\.\d+)""),"""")
"),"")</f>
        <v/>
      </c>
      <c r="O596" s="3" t="str">
        <f aca="false">IFERROR(__xludf.dummyfunction("if($T596&lt;&gt;"""",REGEXEXTRACT($T596, O$1&amp;""[\w &amp;]*, (\d+\.\d+)""),"""")
"),"")</f>
        <v/>
      </c>
      <c r="P596" s="2"/>
      <c r="Q596" s="2"/>
      <c r="R596" s="2"/>
      <c r="S596" s="2"/>
      <c r="T596" s="5"/>
    </row>
    <row r="597" customFormat="false" ht="15.75" hidden="false" customHeight="false" outlineLevel="0" collapsed="false">
      <c r="A597" s="4"/>
      <c r="B597" s="2"/>
      <c r="C597" s="2"/>
      <c r="D597" s="2"/>
      <c r="E597" s="2"/>
      <c r="F597" s="3" t="str">
        <f aca="false">IFERROR(__xludf.dummyfunction("if($T597&lt;&gt;"""",REGEXEXTRACT(SUBSTITUTE ($T597,F$1&amp;"" CE"",""""), F$1&amp;""[\w &amp;]*, (\d+\.\d+)""),"""")
"),"")</f>
        <v/>
      </c>
      <c r="G597" s="3" t="str">
        <f aca="false">IFERROR(__xludf.dummyfunction("if($T597&lt;&gt;"""",REGEXEXTRACT($T597, G$1&amp;""[\w &amp;]*, (\d+\.\d+)""),"""")
"),"")</f>
        <v/>
      </c>
      <c r="H597" s="3"/>
      <c r="I597" s="3" t="str">
        <f aca="false">IFERROR(__xludf.dummyfunction("if($T597&lt;&gt;"""",REGEXEXTRACT(SUBSTITUTE ($T597,I$1&amp;"" CE"",""""), I$1&amp;""[\w &amp;]*, (\d+\.\d+)""),"""")
"),"")</f>
        <v/>
      </c>
      <c r="J597" s="3" t="str">
        <f aca="false">IFERROR(__xludf.dummyfunction("if($T597&lt;&gt;"""",REGEXEXTRACT($T597, J$1&amp;""[\w &amp;]*, (\d+\.\d+)""),"""")
"),"")</f>
        <v/>
      </c>
      <c r="K597" s="3"/>
      <c r="L597" s="3" t="str">
        <f aca="false">IFERROR(__xludf.dummyfunction("if($T597&lt;&gt;"""",REGEXEXTRACT(SUBSTITUTE ($T597,L$1&amp;"" CE"",""""), L$1&amp;""[\w &amp;]*, (\d+\.\d+)""),"""")
"),"")</f>
        <v/>
      </c>
      <c r="M597" s="3" t="str">
        <f aca="false">IFERROR(__xludf.dummyfunction("if($T597&lt;&gt;"""",REGEXEXTRACT($T597, M$1&amp;""[\w &amp;]*, (\d+\.\d+)""),"""")
"),"")</f>
        <v/>
      </c>
      <c r="N597" s="3" t="str">
        <f aca="false">IFERROR(__xludf.dummyfunction("if($T597&lt;&gt;"""",REGEXEXTRACT(SUBSTITUTE ($T597,N$1&amp;"" CE"",""""), N$1&amp;""[\w &amp;]*, (\d+\.\d+)""),"""")
"),"")</f>
        <v/>
      </c>
      <c r="O597" s="3" t="str">
        <f aca="false">IFERROR(__xludf.dummyfunction("if($T597&lt;&gt;"""",REGEXEXTRACT($T597, O$1&amp;""[\w &amp;]*, (\d+\.\d+)""),"""")
"),"")</f>
        <v/>
      </c>
      <c r="P597" s="2"/>
      <c r="Q597" s="2"/>
      <c r="R597" s="2"/>
      <c r="S597" s="2"/>
      <c r="T597" s="5"/>
    </row>
    <row r="598" customFormat="false" ht="15.75" hidden="false" customHeight="false" outlineLevel="0" collapsed="false">
      <c r="A598" s="4"/>
      <c r="B598" s="2"/>
      <c r="C598" s="2"/>
      <c r="D598" s="2"/>
      <c r="E598" s="2"/>
      <c r="F598" s="3" t="str">
        <f aca="false">IFERROR(__xludf.dummyfunction("if($T598&lt;&gt;"""",REGEXEXTRACT(SUBSTITUTE ($T598,F$1&amp;"" CE"",""""), F$1&amp;""[\w &amp;]*, (\d+\.\d+)""),"""")
"),"")</f>
        <v/>
      </c>
      <c r="G598" s="3" t="str">
        <f aca="false">IFERROR(__xludf.dummyfunction("if($T598&lt;&gt;"""",REGEXEXTRACT($T598, G$1&amp;""[\w &amp;]*, (\d+\.\d+)""),"""")
"),"")</f>
        <v/>
      </c>
      <c r="H598" s="3"/>
      <c r="I598" s="3" t="str">
        <f aca="false">IFERROR(__xludf.dummyfunction("if($T598&lt;&gt;"""",REGEXEXTRACT(SUBSTITUTE ($T598,I$1&amp;"" CE"",""""), I$1&amp;""[\w &amp;]*, (\d+\.\d+)""),"""")
"),"")</f>
        <v/>
      </c>
      <c r="J598" s="3" t="str">
        <f aca="false">IFERROR(__xludf.dummyfunction("if($T598&lt;&gt;"""",REGEXEXTRACT($T598, J$1&amp;""[\w &amp;]*, (\d+\.\d+)""),"""")
"),"")</f>
        <v/>
      </c>
      <c r="K598" s="3"/>
      <c r="L598" s="3" t="str">
        <f aca="false">IFERROR(__xludf.dummyfunction("if($T598&lt;&gt;"""",REGEXEXTRACT(SUBSTITUTE ($T598,L$1&amp;"" CE"",""""), L$1&amp;""[\w &amp;]*, (\d+\.\d+)""),"""")
"),"")</f>
        <v/>
      </c>
      <c r="M598" s="3" t="str">
        <f aca="false">IFERROR(__xludf.dummyfunction("if($T598&lt;&gt;"""",REGEXEXTRACT($T598, M$1&amp;""[\w &amp;]*, (\d+\.\d+)""),"""")
"),"")</f>
        <v/>
      </c>
      <c r="N598" s="3" t="str">
        <f aca="false">IFERROR(__xludf.dummyfunction("if($T598&lt;&gt;"""",REGEXEXTRACT(SUBSTITUTE ($T598,N$1&amp;"" CE"",""""), N$1&amp;""[\w &amp;]*, (\d+\.\d+)""),"""")
"),"")</f>
        <v/>
      </c>
      <c r="O598" s="3" t="str">
        <f aca="false">IFERROR(__xludf.dummyfunction("if($T598&lt;&gt;"""",REGEXEXTRACT($T598, O$1&amp;""[\w &amp;]*, (\d+\.\d+)""),"""")
"),"")</f>
        <v/>
      </c>
      <c r="P598" s="2"/>
      <c r="Q598" s="2"/>
      <c r="R598" s="2"/>
      <c r="S598" s="2"/>
      <c r="T598" s="5"/>
    </row>
    <row r="599" customFormat="false" ht="15.75" hidden="false" customHeight="false" outlineLevel="0" collapsed="false">
      <c r="A599" s="4"/>
      <c r="B599" s="2"/>
      <c r="C599" s="2"/>
      <c r="D599" s="2"/>
      <c r="E599" s="2"/>
      <c r="F599" s="3" t="str">
        <f aca="false">IFERROR(__xludf.dummyfunction("if($T599&lt;&gt;"""",REGEXEXTRACT(SUBSTITUTE ($T599,F$1&amp;"" CE"",""""), F$1&amp;""[\w &amp;]*, (\d+\.\d+)""),"""")
"),"")</f>
        <v/>
      </c>
      <c r="G599" s="3" t="str">
        <f aca="false">IFERROR(__xludf.dummyfunction("if($T599&lt;&gt;"""",REGEXEXTRACT($T599, G$1&amp;""[\w &amp;]*, (\d+\.\d+)""),"""")
"),"")</f>
        <v/>
      </c>
      <c r="H599" s="3"/>
      <c r="I599" s="3" t="str">
        <f aca="false">IFERROR(__xludf.dummyfunction("if($T599&lt;&gt;"""",REGEXEXTRACT(SUBSTITUTE ($T599,I$1&amp;"" CE"",""""), I$1&amp;""[\w &amp;]*, (\d+\.\d+)""),"""")
"),"")</f>
        <v/>
      </c>
      <c r="J599" s="3" t="str">
        <f aca="false">IFERROR(__xludf.dummyfunction("if($T599&lt;&gt;"""",REGEXEXTRACT($T599, J$1&amp;""[\w &amp;]*, (\d+\.\d+)""),"""")
"),"")</f>
        <v/>
      </c>
      <c r="K599" s="3"/>
      <c r="L599" s="3" t="str">
        <f aca="false">IFERROR(__xludf.dummyfunction("if($T599&lt;&gt;"""",REGEXEXTRACT(SUBSTITUTE ($T599,L$1&amp;"" CE"",""""), L$1&amp;""[\w &amp;]*, (\d+\.\d+)""),"""")
"),"")</f>
        <v/>
      </c>
      <c r="M599" s="3" t="str">
        <f aca="false">IFERROR(__xludf.dummyfunction("if($T599&lt;&gt;"""",REGEXEXTRACT($T599, M$1&amp;""[\w &amp;]*, (\d+\.\d+)""),"""")
"),"")</f>
        <v/>
      </c>
      <c r="N599" s="3" t="str">
        <f aca="false">IFERROR(__xludf.dummyfunction("if($T599&lt;&gt;"""",REGEXEXTRACT(SUBSTITUTE ($T599,N$1&amp;"" CE"",""""), N$1&amp;""[\w &amp;]*, (\d+\.\d+)""),"""")
"),"")</f>
        <v/>
      </c>
      <c r="O599" s="3" t="str">
        <f aca="false">IFERROR(__xludf.dummyfunction("if($T599&lt;&gt;"""",REGEXEXTRACT($T599, O$1&amp;""[\w &amp;]*, (\d+\.\d+)""),"""")
"),"")</f>
        <v/>
      </c>
      <c r="P599" s="2"/>
      <c r="Q599" s="2"/>
      <c r="R599" s="2"/>
      <c r="S599" s="2"/>
      <c r="T599" s="5"/>
    </row>
    <row r="600" customFormat="false" ht="15.75" hidden="false" customHeight="false" outlineLevel="0" collapsed="false">
      <c r="A600" s="4"/>
      <c r="B600" s="2"/>
      <c r="C600" s="2"/>
      <c r="D600" s="2"/>
      <c r="E600" s="2"/>
      <c r="F600" s="3" t="str">
        <f aca="false">IFERROR(__xludf.dummyfunction("if($T600&lt;&gt;"""",REGEXEXTRACT(SUBSTITUTE ($T600,F$1&amp;"" CE"",""""), F$1&amp;""[\w &amp;]*, (\d+\.\d+)""),"""")
"),"")</f>
        <v/>
      </c>
      <c r="G600" s="3" t="str">
        <f aca="false">IFERROR(__xludf.dummyfunction("if($T600&lt;&gt;"""",REGEXEXTRACT($T600, G$1&amp;""[\w &amp;]*, (\d+\.\d+)""),"""")
"),"")</f>
        <v/>
      </c>
      <c r="H600" s="3"/>
      <c r="I600" s="3" t="str">
        <f aca="false">IFERROR(__xludf.dummyfunction("if($T600&lt;&gt;"""",REGEXEXTRACT(SUBSTITUTE ($T600,I$1&amp;"" CE"",""""), I$1&amp;""[\w &amp;]*, (\d+\.\d+)""),"""")
"),"")</f>
        <v/>
      </c>
      <c r="J600" s="3" t="str">
        <f aca="false">IFERROR(__xludf.dummyfunction("if($T600&lt;&gt;"""",REGEXEXTRACT($T600, J$1&amp;""[\w &amp;]*, (\d+\.\d+)""),"""")
"),"")</f>
        <v/>
      </c>
      <c r="K600" s="3"/>
      <c r="L600" s="3" t="str">
        <f aca="false">IFERROR(__xludf.dummyfunction("if($T600&lt;&gt;"""",REGEXEXTRACT(SUBSTITUTE ($T600,L$1&amp;"" CE"",""""), L$1&amp;""[\w &amp;]*, (\d+\.\d+)""),"""")
"),"")</f>
        <v/>
      </c>
      <c r="M600" s="3" t="str">
        <f aca="false">IFERROR(__xludf.dummyfunction("if($T600&lt;&gt;"""",REGEXEXTRACT($T600, M$1&amp;""[\w &amp;]*, (\d+\.\d+)""),"""")
"),"")</f>
        <v/>
      </c>
      <c r="N600" s="3" t="str">
        <f aca="false">IFERROR(__xludf.dummyfunction("if($T600&lt;&gt;"""",REGEXEXTRACT(SUBSTITUTE ($T600,N$1&amp;"" CE"",""""), N$1&amp;""[\w &amp;]*, (\d+\.\d+)""),"""")
"),"")</f>
        <v/>
      </c>
      <c r="O600" s="3" t="str">
        <f aca="false">IFERROR(__xludf.dummyfunction("if($T600&lt;&gt;"""",REGEXEXTRACT($T600, O$1&amp;""[\w &amp;]*, (\d+\.\d+)""),"""")
"),"")</f>
        <v/>
      </c>
      <c r="P600" s="2"/>
      <c r="Q600" s="2"/>
      <c r="R600" s="2"/>
      <c r="S600" s="2"/>
      <c r="T600" s="5"/>
    </row>
    <row r="601" customFormat="false" ht="15.75" hidden="false" customHeight="false" outlineLevel="0" collapsed="false">
      <c r="A601" s="4"/>
      <c r="B601" s="2"/>
      <c r="C601" s="2"/>
      <c r="D601" s="2"/>
      <c r="E601" s="2"/>
      <c r="F601" s="3" t="str">
        <f aca="false">IFERROR(__xludf.dummyfunction("if($T601&lt;&gt;"""",REGEXEXTRACT(SUBSTITUTE ($T601,F$1&amp;"" CE"",""""), F$1&amp;""[\w &amp;]*, (\d+\.\d+)""),"""")
"),"")</f>
        <v/>
      </c>
      <c r="G601" s="3" t="str">
        <f aca="false">IFERROR(__xludf.dummyfunction("if($T601&lt;&gt;"""",REGEXEXTRACT($T601, G$1&amp;""[\w &amp;]*, (\d+\.\d+)""),"""")
"),"")</f>
        <v/>
      </c>
      <c r="H601" s="3"/>
      <c r="I601" s="3" t="str">
        <f aca="false">IFERROR(__xludf.dummyfunction("if($T601&lt;&gt;"""",REGEXEXTRACT(SUBSTITUTE ($T601,I$1&amp;"" CE"",""""), I$1&amp;""[\w &amp;]*, (\d+\.\d+)""),"""")
"),"")</f>
        <v/>
      </c>
      <c r="J601" s="3" t="str">
        <f aca="false">IFERROR(__xludf.dummyfunction("if($T601&lt;&gt;"""",REGEXEXTRACT($T601, J$1&amp;""[\w &amp;]*, (\d+\.\d+)""),"""")
"),"")</f>
        <v/>
      </c>
      <c r="K601" s="3"/>
      <c r="L601" s="3" t="str">
        <f aca="false">IFERROR(__xludf.dummyfunction("if($T601&lt;&gt;"""",REGEXEXTRACT(SUBSTITUTE ($T601,L$1&amp;"" CE"",""""), L$1&amp;""[\w &amp;]*, (\d+\.\d+)""),"""")
"),"")</f>
        <v/>
      </c>
      <c r="M601" s="3" t="str">
        <f aca="false">IFERROR(__xludf.dummyfunction("if($T601&lt;&gt;"""",REGEXEXTRACT($T601, M$1&amp;""[\w &amp;]*, (\d+\.\d+)""),"""")
"),"")</f>
        <v/>
      </c>
      <c r="N601" s="3" t="str">
        <f aca="false">IFERROR(__xludf.dummyfunction("if($T601&lt;&gt;"""",REGEXEXTRACT(SUBSTITUTE ($T601,N$1&amp;"" CE"",""""), N$1&amp;""[\w &amp;]*, (\d+\.\d+)""),"""")
"),"")</f>
        <v/>
      </c>
      <c r="O601" s="3" t="str">
        <f aca="false">IFERROR(__xludf.dummyfunction("if($T601&lt;&gt;"""",REGEXEXTRACT($T601, O$1&amp;""[\w &amp;]*, (\d+\.\d+)""),"""")
"),"")</f>
        <v/>
      </c>
      <c r="P601" s="2"/>
      <c r="Q601" s="2"/>
      <c r="R601" s="2"/>
      <c r="S601" s="2"/>
      <c r="T601" s="5"/>
    </row>
    <row r="602" customFormat="false" ht="15.75" hidden="false" customHeight="false" outlineLevel="0" collapsed="false">
      <c r="A602" s="4"/>
      <c r="B602" s="2"/>
      <c r="C602" s="2"/>
      <c r="D602" s="2"/>
      <c r="E602" s="2"/>
      <c r="F602" s="3" t="str">
        <f aca="false">IFERROR(__xludf.dummyfunction("if($T602&lt;&gt;"""",REGEXEXTRACT(SUBSTITUTE ($T602,F$1&amp;"" CE"",""""), F$1&amp;""[\w &amp;]*, (\d+\.\d+)""),"""")
"),"")</f>
        <v/>
      </c>
      <c r="G602" s="3" t="str">
        <f aca="false">IFERROR(__xludf.dummyfunction("if($T602&lt;&gt;"""",REGEXEXTRACT($T602, G$1&amp;""[\w &amp;]*, (\d+\.\d+)""),"""")
"),"")</f>
        <v/>
      </c>
      <c r="H602" s="3"/>
      <c r="I602" s="3" t="str">
        <f aca="false">IFERROR(__xludf.dummyfunction("if($T602&lt;&gt;"""",REGEXEXTRACT(SUBSTITUTE ($T602,I$1&amp;"" CE"",""""), I$1&amp;""[\w &amp;]*, (\d+\.\d+)""),"""")
"),"")</f>
        <v/>
      </c>
      <c r="J602" s="3" t="str">
        <f aca="false">IFERROR(__xludf.dummyfunction("if($T602&lt;&gt;"""",REGEXEXTRACT($T602, J$1&amp;""[\w &amp;]*, (\d+\.\d+)""),"""")
"),"")</f>
        <v/>
      </c>
      <c r="K602" s="3"/>
      <c r="L602" s="3" t="str">
        <f aca="false">IFERROR(__xludf.dummyfunction("if($T602&lt;&gt;"""",REGEXEXTRACT(SUBSTITUTE ($T602,L$1&amp;"" CE"",""""), L$1&amp;""[\w &amp;]*, (\d+\.\d+)""),"""")
"),"")</f>
        <v/>
      </c>
      <c r="M602" s="3" t="str">
        <f aca="false">IFERROR(__xludf.dummyfunction("if($T602&lt;&gt;"""",REGEXEXTRACT($T602, M$1&amp;""[\w &amp;]*, (\d+\.\d+)""),"""")
"),"")</f>
        <v/>
      </c>
      <c r="N602" s="3" t="str">
        <f aca="false">IFERROR(__xludf.dummyfunction("if($T602&lt;&gt;"""",REGEXEXTRACT(SUBSTITUTE ($T602,N$1&amp;"" CE"",""""), N$1&amp;""[\w &amp;]*, (\d+\.\d+)""),"""")
"),"")</f>
        <v/>
      </c>
      <c r="O602" s="3" t="str">
        <f aca="false">IFERROR(__xludf.dummyfunction("if($T602&lt;&gt;"""",REGEXEXTRACT($T602, O$1&amp;""[\w &amp;]*, (\d+\.\d+)""),"""")
"),"")</f>
        <v/>
      </c>
      <c r="P602" s="2"/>
      <c r="Q602" s="2"/>
      <c r="R602" s="2"/>
      <c r="S602" s="2"/>
      <c r="T602" s="5"/>
    </row>
    <row r="603" customFormat="false" ht="15.75" hidden="false" customHeight="false" outlineLevel="0" collapsed="false">
      <c r="A603" s="4"/>
      <c r="B603" s="2"/>
      <c r="C603" s="2"/>
      <c r="D603" s="2"/>
      <c r="E603" s="2"/>
      <c r="F603" s="3" t="str">
        <f aca="false">IFERROR(__xludf.dummyfunction("if($T603&lt;&gt;"""",REGEXEXTRACT(SUBSTITUTE ($T603,F$1&amp;"" CE"",""""), F$1&amp;""[\w &amp;]*, (\d+\.\d+)""),"""")
"),"")</f>
        <v/>
      </c>
      <c r="G603" s="3" t="str">
        <f aca="false">IFERROR(__xludf.dummyfunction("if($T603&lt;&gt;"""",REGEXEXTRACT($T603, G$1&amp;""[\w &amp;]*, (\d+\.\d+)""),"""")
"),"")</f>
        <v/>
      </c>
      <c r="H603" s="3"/>
      <c r="I603" s="3" t="str">
        <f aca="false">IFERROR(__xludf.dummyfunction("if($T603&lt;&gt;"""",REGEXEXTRACT(SUBSTITUTE ($T603,I$1&amp;"" CE"",""""), I$1&amp;""[\w &amp;]*, (\d+\.\d+)""),"""")
"),"")</f>
        <v/>
      </c>
      <c r="J603" s="3" t="str">
        <f aca="false">IFERROR(__xludf.dummyfunction("if($T603&lt;&gt;"""",REGEXEXTRACT($T603, J$1&amp;""[\w &amp;]*, (\d+\.\d+)""),"""")
"),"")</f>
        <v/>
      </c>
      <c r="K603" s="3"/>
      <c r="L603" s="3" t="str">
        <f aca="false">IFERROR(__xludf.dummyfunction("if($T603&lt;&gt;"""",REGEXEXTRACT(SUBSTITUTE ($T603,L$1&amp;"" CE"",""""), L$1&amp;""[\w &amp;]*, (\d+\.\d+)""),"""")
"),"")</f>
        <v/>
      </c>
      <c r="M603" s="3" t="str">
        <f aca="false">IFERROR(__xludf.dummyfunction("if($T603&lt;&gt;"""",REGEXEXTRACT($T603, M$1&amp;""[\w &amp;]*, (\d+\.\d+)""),"""")
"),"")</f>
        <v/>
      </c>
      <c r="N603" s="3" t="str">
        <f aca="false">IFERROR(__xludf.dummyfunction("if($T603&lt;&gt;"""",REGEXEXTRACT(SUBSTITUTE ($T603,N$1&amp;"" CE"",""""), N$1&amp;""[\w &amp;]*, (\d+\.\d+)""),"""")
"),"")</f>
        <v/>
      </c>
      <c r="O603" s="3" t="str">
        <f aca="false">IFERROR(__xludf.dummyfunction("if($T603&lt;&gt;"""",REGEXEXTRACT($T603, O$1&amp;""[\w &amp;]*, (\d+\.\d+)""),"""")
"),"")</f>
        <v/>
      </c>
      <c r="P603" s="2"/>
      <c r="Q603" s="2"/>
      <c r="R603" s="2"/>
      <c r="S603" s="2"/>
      <c r="T603" s="5"/>
    </row>
    <row r="604" customFormat="false" ht="15.75" hidden="false" customHeight="false" outlineLevel="0" collapsed="false">
      <c r="A604" s="4"/>
      <c r="B604" s="2"/>
      <c r="C604" s="2"/>
      <c r="D604" s="2"/>
      <c r="E604" s="2"/>
      <c r="F604" s="3" t="str">
        <f aca="false">IFERROR(__xludf.dummyfunction("if($T604&lt;&gt;"""",REGEXEXTRACT(SUBSTITUTE ($T604,F$1&amp;"" CE"",""""), F$1&amp;""[\w &amp;]*, (\d+\.\d+)""),"""")
"),"")</f>
        <v/>
      </c>
      <c r="G604" s="3" t="str">
        <f aca="false">IFERROR(__xludf.dummyfunction("if($T604&lt;&gt;"""",REGEXEXTRACT($T604, G$1&amp;""[\w &amp;]*, (\d+\.\d+)""),"""")
"),"")</f>
        <v/>
      </c>
      <c r="H604" s="3"/>
      <c r="I604" s="3" t="str">
        <f aca="false">IFERROR(__xludf.dummyfunction("if($T604&lt;&gt;"""",REGEXEXTRACT(SUBSTITUTE ($T604,I$1&amp;"" CE"",""""), I$1&amp;""[\w &amp;]*, (\d+\.\d+)""),"""")
"),"")</f>
        <v/>
      </c>
      <c r="J604" s="3" t="str">
        <f aca="false">IFERROR(__xludf.dummyfunction("if($T604&lt;&gt;"""",REGEXEXTRACT($T604, J$1&amp;""[\w &amp;]*, (\d+\.\d+)""),"""")
"),"")</f>
        <v/>
      </c>
      <c r="K604" s="3"/>
      <c r="L604" s="3" t="str">
        <f aca="false">IFERROR(__xludf.dummyfunction("if($T604&lt;&gt;"""",REGEXEXTRACT(SUBSTITUTE ($T604,L$1&amp;"" CE"",""""), L$1&amp;""[\w &amp;]*, (\d+\.\d+)""),"""")
"),"")</f>
        <v/>
      </c>
      <c r="M604" s="3" t="str">
        <f aca="false">IFERROR(__xludf.dummyfunction("if($T604&lt;&gt;"""",REGEXEXTRACT($T604, M$1&amp;""[\w &amp;]*, (\d+\.\d+)""),"""")
"),"")</f>
        <v/>
      </c>
      <c r="N604" s="3" t="str">
        <f aca="false">IFERROR(__xludf.dummyfunction("if($T604&lt;&gt;"""",REGEXEXTRACT(SUBSTITUTE ($T604,N$1&amp;"" CE"",""""), N$1&amp;""[\w &amp;]*, (\d+\.\d+)""),"""")
"),"")</f>
        <v/>
      </c>
      <c r="O604" s="3" t="str">
        <f aca="false">IFERROR(__xludf.dummyfunction("if($T604&lt;&gt;"""",REGEXEXTRACT($T604, O$1&amp;""[\w &amp;]*, (\d+\.\d+)""),"""")
"),"")</f>
        <v/>
      </c>
      <c r="P604" s="2"/>
      <c r="Q604" s="2"/>
      <c r="R604" s="2"/>
      <c r="S604" s="2"/>
      <c r="T604" s="5"/>
    </row>
    <row r="605" customFormat="false" ht="15.75" hidden="false" customHeight="false" outlineLevel="0" collapsed="false">
      <c r="A605" s="4"/>
      <c r="B605" s="2"/>
      <c r="C605" s="2"/>
      <c r="D605" s="2"/>
      <c r="E605" s="2"/>
      <c r="F605" s="3" t="str">
        <f aca="false">IFERROR(__xludf.dummyfunction("if($T605&lt;&gt;"""",REGEXEXTRACT(SUBSTITUTE ($T605,F$1&amp;"" CE"",""""), F$1&amp;""[\w &amp;]*, (\d+\.\d+)""),"""")
"),"")</f>
        <v/>
      </c>
      <c r="G605" s="3" t="str">
        <f aca="false">IFERROR(__xludf.dummyfunction("if($T605&lt;&gt;"""",REGEXEXTRACT($T605, G$1&amp;""[\w &amp;]*, (\d+\.\d+)""),"""")
"),"")</f>
        <v/>
      </c>
      <c r="H605" s="3"/>
      <c r="I605" s="3" t="str">
        <f aca="false">IFERROR(__xludf.dummyfunction("if($T605&lt;&gt;"""",REGEXEXTRACT(SUBSTITUTE ($T605,I$1&amp;"" CE"",""""), I$1&amp;""[\w &amp;]*, (\d+\.\d+)""),"""")
"),"")</f>
        <v/>
      </c>
      <c r="J605" s="3" t="str">
        <f aca="false">IFERROR(__xludf.dummyfunction("if($T605&lt;&gt;"""",REGEXEXTRACT($T605, J$1&amp;""[\w &amp;]*, (\d+\.\d+)""),"""")
"),"")</f>
        <v/>
      </c>
      <c r="K605" s="3"/>
      <c r="L605" s="3" t="str">
        <f aca="false">IFERROR(__xludf.dummyfunction("if($T605&lt;&gt;"""",REGEXEXTRACT(SUBSTITUTE ($T605,L$1&amp;"" CE"",""""), L$1&amp;""[\w &amp;]*, (\d+\.\d+)""),"""")
"),"")</f>
        <v/>
      </c>
      <c r="M605" s="3" t="str">
        <f aca="false">IFERROR(__xludf.dummyfunction("if($T605&lt;&gt;"""",REGEXEXTRACT($T605, M$1&amp;""[\w &amp;]*, (\d+\.\d+)""),"""")
"),"")</f>
        <v/>
      </c>
      <c r="N605" s="3" t="str">
        <f aca="false">IFERROR(__xludf.dummyfunction("if($T605&lt;&gt;"""",REGEXEXTRACT(SUBSTITUTE ($T605,N$1&amp;"" CE"",""""), N$1&amp;""[\w &amp;]*, (\d+\.\d+)""),"""")
"),"")</f>
        <v/>
      </c>
      <c r="O605" s="3" t="str">
        <f aca="false">IFERROR(__xludf.dummyfunction("if($T605&lt;&gt;"""",REGEXEXTRACT($T605, O$1&amp;""[\w &amp;]*, (\d+\.\d+)""),"""")
"),"")</f>
        <v/>
      </c>
      <c r="P605" s="2"/>
      <c r="Q605" s="2"/>
      <c r="R605" s="2"/>
      <c r="S605" s="2"/>
      <c r="T605" s="5"/>
    </row>
    <row r="606" customFormat="false" ht="15.75" hidden="false" customHeight="false" outlineLevel="0" collapsed="false">
      <c r="A606" s="4"/>
      <c r="B606" s="2"/>
      <c r="C606" s="2"/>
      <c r="D606" s="2"/>
      <c r="E606" s="2"/>
      <c r="F606" s="3" t="str">
        <f aca="false">IFERROR(__xludf.dummyfunction("if($T606&lt;&gt;"""",REGEXEXTRACT(SUBSTITUTE ($T606,F$1&amp;"" CE"",""""), F$1&amp;""[\w &amp;]*, (\d+\.\d+)""),"""")
"),"")</f>
        <v/>
      </c>
      <c r="G606" s="3" t="str">
        <f aca="false">IFERROR(__xludf.dummyfunction("if($T606&lt;&gt;"""",REGEXEXTRACT($T606, G$1&amp;""[\w &amp;]*, (\d+\.\d+)""),"""")
"),"")</f>
        <v/>
      </c>
      <c r="H606" s="3"/>
      <c r="I606" s="3" t="str">
        <f aca="false">IFERROR(__xludf.dummyfunction("if($T606&lt;&gt;"""",REGEXEXTRACT(SUBSTITUTE ($T606,I$1&amp;"" CE"",""""), I$1&amp;""[\w &amp;]*, (\d+\.\d+)""),"""")
"),"")</f>
        <v/>
      </c>
      <c r="J606" s="3" t="str">
        <f aca="false">IFERROR(__xludf.dummyfunction("if($T606&lt;&gt;"""",REGEXEXTRACT($T606, J$1&amp;""[\w &amp;]*, (\d+\.\d+)""),"""")
"),"")</f>
        <v/>
      </c>
      <c r="K606" s="3"/>
      <c r="L606" s="3" t="str">
        <f aca="false">IFERROR(__xludf.dummyfunction("if($T606&lt;&gt;"""",REGEXEXTRACT(SUBSTITUTE ($T606,L$1&amp;"" CE"",""""), L$1&amp;""[\w &amp;]*, (\d+\.\d+)""),"""")
"),"")</f>
        <v/>
      </c>
      <c r="M606" s="3" t="str">
        <f aca="false">IFERROR(__xludf.dummyfunction("if($T606&lt;&gt;"""",REGEXEXTRACT($T606, M$1&amp;""[\w &amp;]*, (\d+\.\d+)""),"""")
"),"")</f>
        <v/>
      </c>
      <c r="N606" s="3" t="str">
        <f aca="false">IFERROR(__xludf.dummyfunction("if($T606&lt;&gt;"""",REGEXEXTRACT(SUBSTITUTE ($T606,N$1&amp;"" CE"",""""), N$1&amp;""[\w &amp;]*, (\d+\.\d+)""),"""")
"),"")</f>
        <v/>
      </c>
      <c r="O606" s="3" t="str">
        <f aca="false">IFERROR(__xludf.dummyfunction("if($T606&lt;&gt;"""",REGEXEXTRACT($T606, O$1&amp;""[\w &amp;]*, (\d+\.\d+)""),"""")
"),"")</f>
        <v/>
      </c>
      <c r="P606" s="2"/>
      <c r="Q606" s="2"/>
      <c r="R606" s="2"/>
      <c r="S606" s="2"/>
      <c r="T606" s="5"/>
    </row>
    <row r="607" customFormat="false" ht="15.75" hidden="false" customHeight="false" outlineLevel="0" collapsed="false">
      <c r="A607" s="4"/>
      <c r="B607" s="2"/>
      <c r="C607" s="2"/>
      <c r="D607" s="2"/>
      <c r="E607" s="2"/>
      <c r="F607" s="3" t="str">
        <f aca="false">IFERROR(__xludf.dummyfunction("if($T607&lt;&gt;"""",REGEXEXTRACT(SUBSTITUTE ($T607,F$1&amp;"" CE"",""""), F$1&amp;""[\w &amp;]*, (\d+\.\d+)""),"""")
"),"")</f>
        <v/>
      </c>
      <c r="G607" s="3" t="str">
        <f aca="false">IFERROR(__xludf.dummyfunction("if($T607&lt;&gt;"""",REGEXEXTRACT($T607, G$1&amp;""[\w &amp;]*, (\d+\.\d+)""),"""")
"),"")</f>
        <v/>
      </c>
      <c r="H607" s="3"/>
      <c r="I607" s="3" t="str">
        <f aca="false">IFERROR(__xludf.dummyfunction("if($T607&lt;&gt;"""",REGEXEXTRACT(SUBSTITUTE ($T607,I$1&amp;"" CE"",""""), I$1&amp;""[\w &amp;]*, (\d+\.\d+)""),"""")
"),"")</f>
        <v/>
      </c>
      <c r="J607" s="3" t="str">
        <f aca="false">IFERROR(__xludf.dummyfunction("if($T607&lt;&gt;"""",REGEXEXTRACT($T607, J$1&amp;""[\w &amp;]*, (\d+\.\d+)""),"""")
"),"")</f>
        <v/>
      </c>
      <c r="K607" s="3"/>
      <c r="L607" s="3" t="str">
        <f aca="false">IFERROR(__xludf.dummyfunction("if($T607&lt;&gt;"""",REGEXEXTRACT(SUBSTITUTE ($T607,L$1&amp;"" CE"",""""), L$1&amp;""[\w &amp;]*, (\d+\.\d+)""),"""")
"),"")</f>
        <v/>
      </c>
      <c r="M607" s="3" t="str">
        <f aca="false">IFERROR(__xludf.dummyfunction("if($T607&lt;&gt;"""",REGEXEXTRACT($T607, M$1&amp;""[\w &amp;]*, (\d+\.\d+)""),"""")
"),"")</f>
        <v/>
      </c>
      <c r="N607" s="3" t="str">
        <f aca="false">IFERROR(__xludf.dummyfunction("if($T607&lt;&gt;"""",REGEXEXTRACT(SUBSTITUTE ($T607,N$1&amp;"" CE"",""""), N$1&amp;""[\w &amp;]*, (\d+\.\d+)""),"""")
"),"")</f>
        <v/>
      </c>
      <c r="O607" s="3" t="str">
        <f aca="false">IFERROR(__xludf.dummyfunction("if($T607&lt;&gt;"""",REGEXEXTRACT($T607, O$1&amp;""[\w &amp;]*, (\d+\.\d+)""),"""")
"),"")</f>
        <v/>
      </c>
      <c r="P607" s="2"/>
      <c r="Q607" s="2"/>
      <c r="R607" s="2"/>
      <c r="S607" s="2"/>
      <c r="T607" s="5"/>
    </row>
    <row r="608" customFormat="false" ht="15.75" hidden="false" customHeight="false" outlineLevel="0" collapsed="false">
      <c r="A608" s="4"/>
      <c r="B608" s="2"/>
      <c r="C608" s="2"/>
      <c r="D608" s="2"/>
      <c r="E608" s="2"/>
      <c r="F608" s="3" t="str">
        <f aca="false">IFERROR(__xludf.dummyfunction("if($T608&lt;&gt;"""",REGEXEXTRACT(SUBSTITUTE ($T608,F$1&amp;"" CE"",""""), F$1&amp;""[\w &amp;]*, (\d+\.\d+)""),"""")
"),"")</f>
        <v/>
      </c>
      <c r="G608" s="3" t="str">
        <f aca="false">IFERROR(__xludf.dummyfunction("if($T608&lt;&gt;"""",REGEXEXTRACT($T608, G$1&amp;""[\w &amp;]*, (\d+\.\d+)""),"""")
"),"")</f>
        <v/>
      </c>
      <c r="H608" s="3"/>
      <c r="I608" s="3" t="str">
        <f aca="false">IFERROR(__xludf.dummyfunction("if($T608&lt;&gt;"""",REGEXEXTRACT(SUBSTITUTE ($T608,I$1&amp;"" CE"",""""), I$1&amp;""[\w &amp;]*, (\d+\.\d+)""),"""")
"),"")</f>
        <v/>
      </c>
      <c r="J608" s="3" t="str">
        <f aca="false">IFERROR(__xludf.dummyfunction("if($T608&lt;&gt;"""",REGEXEXTRACT($T608, J$1&amp;""[\w &amp;]*, (\d+\.\d+)""),"""")
"),"")</f>
        <v/>
      </c>
      <c r="K608" s="3"/>
      <c r="L608" s="3" t="str">
        <f aca="false">IFERROR(__xludf.dummyfunction("if($T608&lt;&gt;"""",REGEXEXTRACT(SUBSTITUTE ($T608,L$1&amp;"" CE"",""""), L$1&amp;""[\w &amp;]*, (\d+\.\d+)""),"""")
"),"")</f>
        <v/>
      </c>
      <c r="M608" s="3" t="str">
        <f aca="false">IFERROR(__xludf.dummyfunction("if($T608&lt;&gt;"""",REGEXEXTRACT($T608, M$1&amp;""[\w &amp;]*, (\d+\.\d+)""),"""")
"),"")</f>
        <v/>
      </c>
      <c r="N608" s="3" t="str">
        <f aca="false">IFERROR(__xludf.dummyfunction("if($T608&lt;&gt;"""",REGEXEXTRACT(SUBSTITUTE ($T608,N$1&amp;"" CE"",""""), N$1&amp;""[\w &amp;]*, (\d+\.\d+)""),"""")
"),"")</f>
        <v/>
      </c>
      <c r="O608" s="3" t="str">
        <f aca="false">IFERROR(__xludf.dummyfunction("if($T608&lt;&gt;"""",REGEXEXTRACT($T608, O$1&amp;""[\w &amp;]*, (\d+\.\d+)""),"""")
"),"")</f>
        <v/>
      </c>
      <c r="P608" s="2"/>
      <c r="Q608" s="2"/>
      <c r="R608" s="2"/>
      <c r="S608" s="2"/>
      <c r="T608" s="5"/>
    </row>
    <row r="609" customFormat="false" ht="15.75" hidden="false" customHeight="false" outlineLevel="0" collapsed="false">
      <c r="A609" s="4"/>
      <c r="B609" s="2"/>
      <c r="C609" s="2"/>
      <c r="D609" s="2"/>
      <c r="E609" s="2"/>
      <c r="F609" s="3" t="str">
        <f aca="false">IFERROR(__xludf.dummyfunction("if($T609&lt;&gt;"""",REGEXEXTRACT(SUBSTITUTE ($T609,F$1&amp;"" CE"",""""), F$1&amp;""[\w &amp;]*, (\d+\.\d+)""),"""")
"),"")</f>
        <v/>
      </c>
      <c r="G609" s="3" t="str">
        <f aca="false">IFERROR(__xludf.dummyfunction("if($T609&lt;&gt;"""",REGEXEXTRACT($T609, G$1&amp;""[\w &amp;]*, (\d+\.\d+)""),"""")
"),"")</f>
        <v/>
      </c>
      <c r="H609" s="3"/>
      <c r="I609" s="3" t="str">
        <f aca="false">IFERROR(__xludf.dummyfunction("if($T609&lt;&gt;"""",REGEXEXTRACT(SUBSTITUTE ($T609,I$1&amp;"" CE"",""""), I$1&amp;""[\w &amp;]*, (\d+\.\d+)""),"""")
"),"")</f>
        <v/>
      </c>
      <c r="J609" s="3" t="str">
        <f aca="false">IFERROR(__xludf.dummyfunction("if($T609&lt;&gt;"""",REGEXEXTRACT($T609, J$1&amp;""[\w &amp;]*, (\d+\.\d+)""),"""")
"),"")</f>
        <v/>
      </c>
      <c r="K609" s="3"/>
      <c r="L609" s="3" t="str">
        <f aca="false">IFERROR(__xludf.dummyfunction("if($T609&lt;&gt;"""",REGEXEXTRACT(SUBSTITUTE ($T609,L$1&amp;"" CE"",""""), L$1&amp;""[\w &amp;]*, (\d+\.\d+)""),"""")
"),"")</f>
        <v/>
      </c>
      <c r="M609" s="3" t="str">
        <f aca="false">IFERROR(__xludf.dummyfunction("if($T609&lt;&gt;"""",REGEXEXTRACT($T609, M$1&amp;""[\w &amp;]*, (\d+\.\d+)""),"""")
"),"")</f>
        <v/>
      </c>
      <c r="N609" s="3" t="str">
        <f aca="false">IFERROR(__xludf.dummyfunction("if($T609&lt;&gt;"""",REGEXEXTRACT(SUBSTITUTE ($T609,N$1&amp;"" CE"",""""), N$1&amp;""[\w &amp;]*, (\d+\.\d+)""),"""")
"),"")</f>
        <v/>
      </c>
      <c r="O609" s="3" t="str">
        <f aca="false">IFERROR(__xludf.dummyfunction("if($T609&lt;&gt;"""",REGEXEXTRACT($T609, O$1&amp;""[\w &amp;]*, (\d+\.\d+)""),"""")
"),"")</f>
        <v/>
      </c>
      <c r="P609" s="2"/>
      <c r="Q609" s="2"/>
      <c r="R609" s="2"/>
      <c r="S609" s="2"/>
      <c r="T609" s="5"/>
    </row>
    <row r="610" customFormat="false" ht="15.75" hidden="false" customHeight="false" outlineLevel="0" collapsed="false">
      <c r="A610" s="4"/>
      <c r="B610" s="2"/>
      <c r="C610" s="2"/>
      <c r="D610" s="2"/>
      <c r="E610" s="2"/>
      <c r="F610" s="3" t="str">
        <f aca="false">IFERROR(__xludf.dummyfunction("if($T610&lt;&gt;"""",REGEXEXTRACT(SUBSTITUTE ($T610,F$1&amp;"" CE"",""""), F$1&amp;""[\w &amp;]*, (\d+\.\d+)""),"""")
"),"")</f>
        <v/>
      </c>
      <c r="G610" s="3" t="str">
        <f aca="false">IFERROR(__xludf.dummyfunction("if($T610&lt;&gt;"""",REGEXEXTRACT($T610, G$1&amp;""[\w &amp;]*, (\d+\.\d+)""),"""")
"),"")</f>
        <v/>
      </c>
      <c r="H610" s="3"/>
      <c r="I610" s="3" t="str">
        <f aca="false">IFERROR(__xludf.dummyfunction("if($T610&lt;&gt;"""",REGEXEXTRACT(SUBSTITUTE ($T610,I$1&amp;"" CE"",""""), I$1&amp;""[\w &amp;]*, (\d+\.\d+)""),"""")
"),"")</f>
        <v/>
      </c>
      <c r="J610" s="3" t="str">
        <f aca="false">IFERROR(__xludf.dummyfunction("if($T610&lt;&gt;"""",REGEXEXTRACT($T610, J$1&amp;""[\w &amp;]*, (\d+\.\d+)""),"""")
"),"")</f>
        <v/>
      </c>
      <c r="K610" s="3"/>
      <c r="L610" s="3" t="str">
        <f aca="false">IFERROR(__xludf.dummyfunction("if($T610&lt;&gt;"""",REGEXEXTRACT(SUBSTITUTE ($T610,L$1&amp;"" CE"",""""), L$1&amp;""[\w &amp;]*, (\d+\.\d+)""),"""")
"),"")</f>
        <v/>
      </c>
      <c r="M610" s="3" t="str">
        <f aca="false">IFERROR(__xludf.dummyfunction("if($T610&lt;&gt;"""",REGEXEXTRACT($T610, M$1&amp;""[\w &amp;]*, (\d+\.\d+)""),"""")
"),"")</f>
        <v/>
      </c>
      <c r="N610" s="3" t="str">
        <f aca="false">IFERROR(__xludf.dummyfunction("if($T610&lt;&gt;"""",REGEXEXTRACT(SUBSTITUTE ($T610,N$1&amp;"" CE"",""""), N$1&amp;""[\w &amp;]*, (\d+\.\d+)""),"""")
"),"")</f>
        <v/>
      </c>
      <c r="O610" s="3" t="str">
        <f aca="false">IFERROR(__xludf.dummyfunction("if($T610&lt;&gt;"""",REGEXEXTRACT($T610, O$1&amp;""[\w &amp;]*, (\d+\.\d+)""),"""")
"),"")</f>
        <v/>
      </c>
      <c r="P610" s="2"/>
      <c r="Q610" s="2"/>
      <c r="R610" s="2"/>
      <c r="S610" s="2"/>
      <c r="T610" s="5"/>
    </row>
    <row r="611" customFormat="false" ht="15.75" hidden="false" customHeight="false" outlineLevel="0" collapsed="false">
      <c r="A611" s="4"/>
      <c r="B611" s="2"/>
      <c r="C611" s="2"/>
      <c r="D611" s="2"/>
      <c r="E611" s="2"/>
      <c r="F611" s="3" t="str">
        <f aca="false">IFERROR(__xludf.dummyfunction("if($T611&lt;&gt;"""",REGEXEXTRACT(SUBSTITUTE ($T611,F$1&amp;"" CE"",""""), F$1&amp;""[\w &amp;]*, (\d+\.\d+)""),"""")
"),"")</f>
        <v/>
      </c>
      <c r="G611" s="3" t="str">
        <f aca="false">IFERROR(__xludf.dummyfunction("if($T611&lt;&gt;"""",REGEXEXTRACT($T611, G$1&amp;""[\w &amp;]*, (\d+\.\d+)""),"""")
"),"")</f>
        <v/>
      </c>
      <c r="H611" s="3"/>
      <c r="I611" s="3" t="str">
        <f aca="false">IFERROR(__xludf.dummyfunction("if($T611&lt;&gt;"""",REGEXEXTRACT(SUBSTITUTE ($T611,I$1&amp;"" CE"",""""), I$1&amp;""[\w &amp;]*, (\d+\.\d+)""),"""")
"),"")</f>
        <v/>
      </c>
      <c r="J611" s="3" t="str">
        <f aca="false">IFERROR(__xludf.dummyfunction("if($T611&lt;&gt;"""",REGEXEXTRACT($T611, J$1&amp;""[\w &amp;]*, (\d+\.\d+)""),"""")
"),"")</f>
        <v/>
      </c>
      <c r="K611" s="3"/>
      <c r="L611" s="3" t="str">
        <f aca="false">IFERROR(__xludf.dummyfunction("if($T611&lt;&gt;"""",REGEXEXTRACT(SUBSTITUTE ($T611,L$1&amp;"" CE"",""""), L$1&amp;""[\w &amp;]*, (\d+\.\d+)""),"""")
"),"")</f>
        <v/>
      </c>
      <c r="M611" s="3" t="str">
        <f aca="false">IFERROR(__xludf.dummyfunction("if($T611&lt;&gt;"""",REGEXEXTRACT($T611, M$1&amp;""[\w &amp;]*, (\d+\.\d+)""),"""")
"),"")</f>
        <v/>
      </c>
      <c r="N611" s="3" t="str">
        <f aca="false">IFERROR(__xludf.dummyfunction("if($T611&lt;&gt;"""",REGEXEXTRACT(SUBSTITUTE ($T611,N$1&amp;"" CE"",""""), N$1&amp;""[\w &amp;]*, (\d+\.\d+)""),"""")
"),"")</f>
        <v/>
      </c>
      <c r="O611" s="3" t="str">
        <f aca="false">IFERROR(__xludf.dummyfunction("if($T611&lt;&gt;"""",REGEXEXTRACT($T611, O$1&amp;""[\w &amp;]*, (\d+\.\d+)""),"""")
"),"")</f>
        <v/>
      </c>
      <c r="P611" s="2"/>
      <c r="Q611" s="2"/>
      <c r="R611" s="2"/>
      <c r="S611" s="2"/>
      <c r="T611" s="5"/>
    </row>
    <row r="612" customFormat="false" ht="15.75" hidden="false" customHeight="false" outlineLevel="0" collapsed="false">
      <c r="A612" s="4"/>
      <c r="B612" s="2"/>
      <c r="C612" s="2"/>
      <c r="D612" s="2"/>
      <c r="E612" s="2"/>
      <c r="F612" s="3" t="str">
        <f aca="false">IFERROR(__xludf.dummyfunction("if($T612&lt;&gt;"""",REGEXEXTRACT(SUBSTITUTE ($T612,F$1&amp;"" CE"",""""), F$1&amp;""[\w &amp;]*, (\d+\.\d+)""),"""")
"),"")</f>
        <v/>
      </c>
      <c r="G612" s="3" t="str">
        <f aca="false">IFERROR(__xludf.dummyfunction("if($T612&lt;&gt;"""",REGEXEXTRACT($T612, G$1&amp;""[\w &amp;]*, (\d+\.\d+)""),"""")
"),"")</f>
        <v/>
      </c>
      <c r="H612" s="3"/>
      <c r="I612" s="3" t="str">
        <f aca="false">IFERROR(__xludf.dummyfunction("if($T612&lt;&gt;"""",REGEXEXTRACT(SUBSTITUTE ($T612,I$1&amp;"" CE"",""""), I$1&amp;""[\w &amp;]*, (\d+\.\d+)""),"""")
"),"")</f>
        <v/>
      </c>
      <c r="J612" s="3" t="str">
        <f aca="false">IFERROR(__xludf.dummyfunction("if($T612&lt;&gt;"""",REGEXEXTRACT($T612, J$1&amp;""[\w &amp;]*, (\d+\.\d+)""),"""")
"),"")</f>
        <v/>
      </c>
      <c r="K612" s="3"/>
      <c r="L612" s="3" t="str">
        <f aca="false">IFERROR(__xludf.dummyfunction("if($T612&lt;&gt;"""",REGEXEXTRACT(SUBSTITUTE ($T612,L$1&amp;"" CE"",""""), L$1&amp;""[\w &amp;]*, (\d+\.\d+)""),"""")
"),"")</f>
        <v/>
      </c>
      <c r="M612" s="3" t="str">
        <f aca="false">IFERROR(__xludf.dummyfunction("if($T612&lt;&gt;"""",REGEXEXTRACT($T612, M$1&amp;""[\w &amp;]*, (\d+\.\d+)""),"""")
"),"")</f>
        <v/>
      </c>
      <c r="N612" s="3" t="str">
        <f aca="false">IFERROR(__xludf.dummyfunction("if($T612&lt;&gt;"""",REGEXEXTRACT(SUBSTITUTE ($T612,N$1&amp;"" CE"",""""), N$1&amp;""[\w &amp;]*, (\d+\.\d+)""),"""")
"),"")</f>
        <v/>
      </c>
      <c r="O612" s="3" t="str">
        <f aca="false">IFERROR(__xludf.dummyfunction("if($T612&lt;&gt;"""",REGEXEXTRACT($T612, O$1&amp;""[\w &amp;]*, (\d+\.\d+)""),"""")
"),"")</f>
        <v/>
      </c>
      <c r="P612" s="2"/>
      <c r="Q612" s="2"/>
      <c r="R612" s="2"/>
      <c r="S612" s="2"/>
      <c r="T612" s="5"/>
    </row>
    <row r="613" customFormat="false" ht="15.75" hidden="false" customHeight="false" outlineLevel="0" collapsed="false">
      <c r="A613" s="4"/>
      <c r="B613" s="2"/>
      <c r="C613" s="2"/>
      <c r="D613" s="2"/>
      <c r="E613" s="2"/>
      <c r="F613" s="3" t="str">
        <f aca="false">IFERROR(__xludf.dummyfunction("if($T613&lt;&gt;"""",REGEXEXTRACT(SUBSTITUTE ($T613,F$1&amp;"" CE"",""""), F$1&amp;""[\w &amp;]*, (\d+\.\d+)""),"""")
"),"")</f>
        <v/>
      </c>
      <c r="G613" s="3" t="str">
        <f aca="false">IFERROR(__xludf.dummyfunction("if($T613&lt;&gt;"""",REGEXEXTRACT($T613, G$1&amp;""[\w &amp;]*, (\d+\.\d+)""),"""")
"),"")</f>
        <v/>
      </c>
      <c r="H613" s="3"/>
      <c r="I613" s="3" t="str">
        <f aca="false">IFERROR(__xludf.dummyfunction("if($T613&lt;&gt;"""",REGEXEXTRACT(SUBSTITUTE ($T613,I$1&amp;"" CE"",""""), I$1&amp;""[\w &amp;]*, (\d+\.\d+)""),"""")
"),"")</f>
        <v/>
      </c>
      <c r="J613" s="3" t="str">
        <f aca="false">IFERROR(__xludf.dummyfunction("if($T613&lt;&gt;"""",REGEXEXTRACT($T613, J$1&amp;""[\w &amp;]*, (\d+\.\d+)""),"""")
"),"")</f>
        <v/>
      </c>
      <c r="K613" s="3"/>
      <c r="L613" s="3" t="str">
        <f aca="false">IFERROR(__xludf.dummyfunction("if($T613&lt;&gt;"""",REGEXEXTRACT(SUBSTITUTE ($T613,L$1&amp;"" CE"",""""), L$1&amp;""[\w &amp;]*, (\d+\.\d+)""),"""")
"),"")</f>
        <v/>
      </c>
      <c r="M613" s="3" t="str">
        <f aca="false">IFERROR(__xludf.dummyfunction("if($T613&lt;&gt;"""",REGEXEXTRACT($T613, M$1&amp;""[\w &amp;]*, (\d+\.\d+)""),"""")
"),"")</f>
        <v/>
      </c>
      <c r="N613" s="3" t="str">
        <f aca="false">IFERROR(__xludf.dummyfunction("if($T613&lt;&gt;"""",REGEXEXTRACT(SUBSTITUTE ($T613,N$1&amp;"" CE"",""""), N$1&amp;""[\w &amp;]*, (\d+\.\d+)""),"""")
"),"")</f>
        <v/>
      </c>
      <c r="O613" s="3" t="str">
        <f aca="false">IFERROR(__xludf.dummyfunction("if($T613&lt;&gt;"""",REGEXEXTRACT($T613, O$1&amp;""[\w &amp;]*, (\d+\.\d+)""),"""")
"),"")</f>
        <v/>
      </c>
      <c r="P613" s="2"/>
      <c r="Q613" s="2"/>
      <c r="R613" s="2"/>
      <c r="S613" s="2"/>
      <c r="T613" s="5"/>
    </row>
    <row r="614" customFormat="false" ht="15.75" hidden="false" customHeight="false" outlineLevel="0" collapsed="false">
      <c r="A614" s="4"/>
      <c r="B614" s="2"/>
      <c r="C614" s="2"/>
      <c r="D614" s="2"/>
      <c r="E614" s="2"/>
      <c r="F614" s="3" t="str">
        <f aca="false">IFERROR(__xludf.dummyfunction("if($T614&lt;&gt;"""",REGEXEXTRACT(SUBSTITUTE ($T614,F$1&amp;"" CE"",""""), F$1&amp;""[\w &amp;]*, (\d+\.\d+)""),"""")
"),"")</f>
        <v/>
      </c>
      <c r="G614" s="3" t="str">
        <f aca="false">IFERROR(__xludf.dummyfunction("if($T614&lt;&gt;"""",REGEXEXTRACT($T614, G$1&amp;""[\w &amp;]*, (\d+\.\d+)""),"""")
"),"")</f>
        <v/>
      </c>
      <c r="H614" s="3"/>
      <c r="I614" s="3" t="str">
        <f aca="false">IFERROR(__xludf.dummyfunction("if($T614&lt;&gt;"""",REGEXEXTRACT(SUBSTITUTE ($T614,I$1&amp;"" CE"",""""), I$1&amp;""[\w &amp;]*, (\d+\.\d+)""),"""")
"),"")</f>
        <v/>
      </c>
      <c r="J614" s="3" t="str">
        <f aca="false">IFERROR(__xludf.dummyfunction("if($T614&lt;&gt;"""",REGEXEXTRACT($T614, J$1&amp;""[\w &amp;]*, (\d+\.\d+)""),"""")
"),"")</f>
        <v/>
      </c>
      <c r="K614" s="3"/>
      <c r="L614" s="3" t="str">
        <f aca="false">IFERROR(__xludf.dummyfunction("if($T614&lt;&gt;"""",REGEXEXTRACT(SUBSTITUTE ($T614,L$1&amp;"" CE"",""""), L$1&amp;""[\w &amp;]*, (\d+\.\d+)""),"""")
"),"")</f>
        <v/>
      </c>
      <c r="M614" s="3" t="str">
        <f aca="false">IFERROR(__xludf.dummyfunction("if($T614&lt;&gt;"""",REGEXEXTRACT($T614, M$1&amp;""[\w &amp;]*, (\d+\.\d+)""),"""")
"),"")</f>
        <v/>
      </c>
      <c r="N614" s="3" t="str">
        <f aca="false">IFERROR(__xludf.dummyfunction("if($T614&lt;&gt;"""",REGEXEXTRACT(SUBSTITUTE ($T614,N$1&amp;"" CE"",""""), N$1&amp;""[\w &amp;]*, (\d+\.\d+)""),"""")
"),"")</f>
        <v/>
      </c>
      <c r="O614" s="3" t="str">
        <f aca="false">IFERROR(__xludf.dummyfunction("if($T614&lt;&gt;"""",REGEXEXTRACT($T614, O$1&amp;""[\w &amp;]*, (\d+\.\d+)""),"""")
"),"")</f>
        <v/>
      </c>
      <c r="P614" s="2"/>
      <c r="Q614" s="2"/>
      <c r="R614" s="2"/>
      <c r="S614" s="2"/>
      <c r="T614" s="5"/>
    </row>
    <row r="615" customFormat="false" ht="15.75" hidden="false" customHeight="false" outlineLevel="0" collapsed="false">
      <c r="A615" s="4"/>
      <c r="B615" s="2"/>
      <c r="C615" s="2"/>
      <c r="D615" s="2"/>
      <c r="E615" s="2"/>
      <c r="F615" s="3" t="str">
        <f aca="false">IFERROR(__xludf.dummyfunction("if($T615&lt;&gt;"""",REGEXEXTRACT(SUBSTITUTE ($T615,F$1&amp;"" CE"",""""), F$1&amp;""[\w &amp;]*, (\d+\.\d+)""),"""")
"),"")</f>
        <v/>
      </c>
      <c r="G615" s="3" t="str">
        <f aca="false">IFERROR(__xludf.dummyfunction("if($T615&lt;&gt;"""",REGEXEXTRACT($T615, G$1&amp;""[\w &amp;]*, (\d+\.\d+)""),"""")
"),"")</f>
        <v/>
      </c>
      <c r="H615" s="3"/>
      <c r="I615" s="3" t="str">
        <f aca="false">IFERROR(__xludf.dummyfunction("if($T615&lt;&gt;"""",REGEXEXTRACT(SUBSTITUTE ($T615,I$1&amp;"" CE"",""""), I$1&amp;""[\w &amp;]*, (\d+\.\d+)""),"""")
"),"")</f>
        <v/>
      </c>
      <c r="J615" s="3" t="str">
        <f aca="false">IFERROR(__xludf.dummyfunction("if($T615&lt;&gt;"""",REGEXEXTRACT($T615, J$1&amp;""[\w &amp;]*, (\d+\.\d+)""),"""")
"),"")</f>
        <v/>
      </c>
      <c r="K615" s="3"/>
      <c r="L615" s="3" t="str">
        <f aca="false">IFERROR(__xludf.dummyfunction("if($T615&lt;&gt;"""",REGEXEXTRACT(SUBSTITUTE ($T615,L$1&amp;"" CE"",""""), L$1&amp;""[\w &amp;]*, (\d+\.\d+)""),"""")
"),"")</f>
        <v/>
      </c>
      <c r="M615" s="3" t="str">
        <f aca="false">IFERROR(__xludf.dummyfunction("if($T615&lt;&gt;"""",REGEXEXTRACT($T615, M$1&amp;""[\w &amp;]*, (\d+\.\d+)""),"""")
"),"")</f>
        <v/>
      </c>
      <c r="N615" s="3" t="str">
        <f aca="false">IFERROR(__xludf.dummyfunction("if($T615&lt;&gt;"""",REGEXEXTRACT(SUBSTITUTE ($T615,N$1&amp;"" CE"",""""), N$1&amp;""[\w &amp;]*, (\d+\.\d+)""),"""")
"),"")</f>
        <v/>
      </c>
      <c r="O615" s="3" t="str">
        <f aca="false">IFERROR(__xludf.dummyfunction("if($T615&lt;&gt;"""",REGEXEXTRACT($T615, O$1&amp;""[\w &amp;]*, (\d+\.\d+)""),"""")
"),"")</f>
        <v/>
      </c>
      <c r="P615" s="2"/>
      <c r="Q615" s="2"/>
      <c r="R615" s="2"/>
      <c r="S615" s="2"/>
      <c r="T615" s="5"/>
    </row>
    <row r="616" customFormat="false" ht="15.75" hidden="false" customHeight="false" outlineLevel="0" collapsed="false">
      <c r="A616" s="4"/>
      <c r="B616" s="2"/>
      <c r="C616" s="2"/>
      <c r="D616" s="2"/>
      <c r="E616" s="2"/>
      <c r="F616" s="3" t="str">
        <f aca="false">IFERROR(__xludf.dummyfunction("if($T616&lt;&gt;"""",REGEXEXTRACT(SUBSTITUTE ($T616,F$1&amp;"" CE"",""""), F$1&amp;""[\w &amp;]*, (\d+\.\d+)""),"""")
"),"")</f>
        <v/>
      </c>
      <c r="G616" s="3" t="str">
        <f aca="false">IFERROR(__xludf.dummyfunction("if($T616&lt;&gt;"""",REGEXEXTRACT($T616, G$1&amp;""[\w &amp;]*, (\d+\.\d+)""),"""")
"),"")</f>
        <v/>
      </c>
      <c r="H616" s="3"/>
      <c r="I616" s="3" t="str">
        <f aca="false">IFERROR(__xludf.dummyfunction("if($T616&lt;&gt;"""",REGEXEXTRACT(SUBSTITUTE ($T616,I$1&amp;"" CE"",""""), I$1&amp;""[\w &amp;]*, (\d+\.\d+)""),"""")
"),"")</f>
        <v/>
      </c>
      <c r="J616" s="3" t="str">
        <f aca="false">IFERROR(__xludf.dummyfunction("if($T616&lt;&gt;"""",REGEXEXTRACT($T616, J$1&amp;""[\w &amp;]*, (\d+\.\d+)""),"""")
"),"")</f>
        <v/>
      </c>
      <c r="K616" s="3"/>
      <c r="L616" s="3" t="str">
        <f aca="false">IFERROR(__xludf.dummyfunction("if($T616&lt;&gt;"""",REGEXEXTRACT(SUBSTITUTE ($T616,L$1&amp;"" CE"",""""), L$1&amp;""[\w &amp;]*, (\d+\.\d+)""),"""")
"),"")</f>
        <v/>
      </c>
      <c r="M616" s="3" t="str">
        <f aca="false">IFERROR(__xludf.dummyfunction("if($T616&lt;&gt;"""",REGEXEXTRACT($T616, M$1&amp;""[\w &amp;]*, (\d+\.\d+)""),"""")
"),"")</f>
        <v/>
      </c>
      <c r="N616" s="3" t="str">
        <f aca="false">IFERROR(__xludf.dummyfunction("if($T616&lt;&gt;"""",REGEXEXTRACT(SUBSTITUTE ($T616,N$1&amp;"" CE"",""""), N$1&amp;""[\w &amp;]*, (\d+\.\d+)""),"""")
"),"")</f>
        <v/>
      </c>
      <c r="O616" s="3" t="str">
        <f aca="false">IFERROR(__xludf.dummyfunction("if($T616&lt;&gt;"""",REGEXEXTRACT($T616, O$1&amp;""[\w &amp;]*, (\d+\.\d+)""),"""")
"),"")</f>
        <v/>
      </c>
      <c r="P616" s="2"/>
      <c r="Q616" s="2"/>
      <c r="R616" s="2"/>
      <c r="S616" s="2"/>
      <c r="T616" s="5"/>
    </row>
    <row r="617" customFormat="false" ht="15.75" hidden="false" customHeight="false" outlineLevel="0" collapsed="false">
      <c r="A617" s="4"/>
      <c r="B617" s="2"/>
      <c r="C617" s="2"/>
      <c r="D617" s="2"/>
      <c r="E617" s="2"/>
      <c r="F617" s="3" t="str">
        <f aca="false">IFERROR(__xludf.dummyfunction("if($T617&lt;&gt;"""",REGEXEXTRACT(SUBSTITUTE ($T617,F$1&amp;"" CE"",""""), F$1&amp;""[\w &amp;]*, (\d+\.\d+)""),"""")
"),"")</f>
        <v/>
      </c>
      <c r="G617" s="3" t="str">
        <f aca="false">IFERROR(__xludf.dummyfunction("if($T617&lt;&gt;"""",REGEXEXTRACT($T617, G$1&amp;""[\w &amp;]*, (\d+\.\d+)""),"""")
"),"")</f>
        <v/>
      </c>
      <c r="H617" s="3"/>
      <c r="I617" s="3" t="str">
        <f aca="false">IFERROR(__xludf.dummyfunction("if($T617&lt;&gt;"""",REGEXEXTRACT(SUBSTITUTE ($T617,I$1&amp;"" CE"",""""), I$1&amp;""[\w &amp;]*, (\d+\.\d+)""),"""")
"),"")</f>
        <v/>
      </c>
      <c r="J617" s="3" t="str">
        <f aca="false">IFERROR(__xludf.dummyfunction("if($T617&lt;&gt;"""",REGEXEXTRACT($T617, J$1&amp;""[\w &amp;]*, (\d+\.\d+)""),"""")
"),"")</f>
        <v/>
      </c>
      <c r="K617" s="3"/>
      <c r="L617" s="3" t="str">
        <f aca="false">IFERROR(__xludf.dummyfunction("if($T617&lt;&gt;"""",REGEXEXTRACT(SUBSTITUTE ($T617,L$1&amp;"" CE"",""""), L$1&amp;""[\w &amp;]*, (\d+\.\d+)""),"""")
"),"")</f>
        <v/>
      </c>
      <c r="M617" s="3" t="str">
        <f aca="false">IFERROR(__xludf.dummyfunction("if($T617&lt;&gt;"""",REGEXEXTRACT($T617, M$1&amp;""[\w &amp;]*, (\d+\.\d+)""),"""")
"),"")</f>
        <v/>
      </c>
      <c r="N617" s="3" t="str">
        <f aca="false">IFERROR(__xludf.dummyfunction("if($T617&lt;&gt;"""",REGEXEXTRACT(SUBSTITUTE ($T617,N$1&amp;"" CE"",""""), N$1&amp;""[\w &amp;]*, (\d+\.\d+)""),"""")
"),"")</f>
        <v/>
      </c>
      <c r="O617" s="3" t="str">
        <f aca="false">IFERROR(__xludf.dummyfunction("if($T617&lt;&gt;"""",REGEXEXTRACT($T617, O$1&amp;""[\w &amp;]*, (\d+\.\d+)""),"""")
"),"")</f>
        <v/>
      </c>
      <c r="P617" s="2"/>
      <c r="Q617" s="2"/>
      <c r="R617" s="2"/>
      <c r="S617" s="2"/>
      <c r="T617" s="5"/>
    </row>
    <row r="618" customFormat="false" ht="15.75" hidden="false" customHeight="false" outlineLevel="0" collapsed="false">
      <c r="A618" s="4"/>
      <c r="B618" s="2"/>
      <c r="C618" s="2"/>
      <c r="D618" s="2"/>
      <c r="E618" s="2"/>
      <c r="F618" s="3" t="str">
        <f aca="false">IFERROR(__xludf.dummyfunction("if($T618&lt;&gt;"""",REGEXEXTRACT(SUBSTITUTE ($T618,F$1&amp;"" CE"",""""), F$1&amp;""[\w &amp;]*, (\d+\.\d+)""),"""")
"),"")</f>
        <v/>
      </c>
      <c r="G618" s="3" t="str">
        <f aca="false">IFERROR(__xludf.dummyfunction("if($T618&lt;&gt;"""",REGEXEXTRACT($T618, G$1&amp;""[\w &amp;]*, (\d+\.\d+)""),"""")
"),"")</f>
        <v/>
      </c>
      <c r="H618" s="3"/>
      <c r="I618" s="3" t="str">
        <f aca="false">IFERROR(__xludf.dummyfunction("if($T618&lt;&gt;"""",REGEXEXTRACT(SUBSTITUTE ($T618,I$1&amp;"" CE"",""""), I$1&amp;""[\w &amp;]*, (\d+\.\d+)""),"""")
"),"")</f>
        <v/>
      </c>
      <c r="J618" s="3" t="str">
        <f aca="false">IFERROR(__xludf.dummyfunction("if($T618&lt;&gt;"""",REGEXEXTRACT($T618, J$1&amp;""[\w &amp;]*, (\d+\.\d+)""),"""")
"),"")</f>
        <v/>
      </c>
      <c r="K618" s="3"/>
      <c r="L618" s="3" t="str">
        <f aca="false">IFERROR(__xludf.dummyfunction("if($T618&lt;&gt;"""",REGEXEXTRACT(SUBSTITUTE ($T618,L$1&amp;"" CE"",""""), L$1&amp;""[\w &amp;]*, (\d+\.\d+)""),"""")
"),"")</f>
        <v/>
      </c>
      <c r="M618" s="3" t="str">
        <f aca="false">IFERROR(__xludf.dummyfunction("if($T618&lt;&gt;"""",REGEXEXTRACT($T618, M$1&amp;""[\w &amp;]*, (\d+\.\d+)""),"""")
"),"")</f>
        <v/>
      </c>
      <c r="N618" s="3" t="str">
        <f aca="false">IFERROR(__xludf.dummyfunction("if($T618&lt;&gt;"""",REGEXEXTRACT(SUBSTITUTE ($T618,N$1&amp;"" CE"",""""), N$1&amp;""[\w &amp;]*, (\d+\.\d+)""),"""")
"),"")</f>
        <v/>
      </c>
      <c r="O618" s="3" t="str">
        <f aca="false">IFERROR(__xludf.dummyfunction("if($T618&lt;&gt;"""",REGEXEXTRACT($T618, O$1&amp;""[\w &amp;]*, (\d+\.\d+)""),"""")
"),"")</f>
        <v/>
      </c>
      <c r="P618" s="2"/>
      <c r="Q618" s="2"/>
      <c r="R618" s="2"/>
      <c r="S618" s="2"/>
      <c r="T618" s="5"/>
    </row>
    <row r="619" customFormat="false" ht="15.75" hidden="false" customHeight="false" outlineLevel="0" collapsed="false">
      <c r="A619" s="4"/>
      <c r="B619" s="2"/>
      <c r="C619" s="2"/>
      <c r="D619" s="2"/>
      <c r="E619" s="2"/>
      <c r="F619" s="3" t="str">
        <f aca="false">IFERROR(__xludf.dummyfunction("if($T619&lt;&gt;"""",REGEXEXTRACT(SUBSTITUTE ($T619,F$1&amp;"" CE"",""""), F$1&amp;""[\w &amp;]*, (\d+\.\d+)""),"""")
"),"")</f>
        <v/>
      </c>
      <c r="G619" s="3" t="str">
        <f aca="false">IFERROR(__xludf.dummyfunction("if($T619&lt;&gt;"""",REGEXEXTRACT($T619, G$1&amp;""[\w &amp;]*, (\d+\.\d+)""),"""")
"),"")</f>
        <v/>
      </c>
      <c r="H619" s="3"/>
      <c r="I619" s="3" t="str">
        <f aca="false">IFERROR(__xludf.dummyfunction("if($T619&lt;&gt;"""",REGEXEXTRACT(SUBSTITUTE ($T619,I$1&amp;"" CE"",""""), I$1&amp;""[\w &amp;]*, (\d+\.\d+)""),"""")
"),"")</f>
        <v/>
      </c>
      <c r="J619" s="3" t="str">
        <f aca="false">IFERROR(__xludf.dummyfunction("if($T619&lt;&gt;"""",REGEXEXTRACT($T619, J$1&amp;""[\w &amp;]*, (\d+\.\d+)""),"""")
"),"")</f>
        <v/>
      </c>
      <c r="K619" s="3"/>
      <c r="L619" s="3" t="str">
        <f aca="false">IFERROR(__xludf.dummyfunction("if($T619&lt;&gt;"""",REGEXEXTRACT(SUBSTITUTE ($T619,L$1&amp;"" CE"",""""), L$1&amp;""[\w &amp;]*, (\d+\.\d+)""),"""")
"),"")</f>
        <v/>
      </c>
      <c r="M619" s="3" t="str">
        <f aca="false">IFERROR(__xludf.dummyfunction("if($T619&lt;&gt;"""",REGEXEXTRACT($T619, M$1&amp;""[\w &amp;]*, (\d+\.\d+)""),"""")
"),"")</f>
        <v/>
      </c>
      <c r="N619" s="3" t="str">
        <f aca="false">IFERROR(__xludf.dummyfunction("if($T619&lt;&gt;"""",REGEXEXTRACT(SUBSTITUTE ($T619,N$1&amp;"" CE"",""""), N$1&amp;""[\w &amp;]*, (\d+\.\d+)""),"""")
"),"")</f>
        <v/>
      </c>
      <c r="O619" s="3" t="str">
        <f aca="false">IFERROR(__xludf.dummyfunction("if($T619&lt;&gt;"""",REGEXEXTRACT($T619, O$1&amp;""[\w &amp;]*, (\d+\.\d+)""),"""")
"),"")</f>
        <v/>
      </c>
      <c r="P619" s="2"/>
      <c r="Q619" s="2"/>
      <c r="R619" s="2"/>
      <c r="S619" s="2"/>
      <c r="T619" s="5"/>
    </row>
    <row r="620" customFormat="false" ht="15.75" hidden="false" customHeight="false" outlineLevel="0" collapsed="false">
      <c r="A620" s="4"/>
      <c r="B620" s="2"/>
      <c r="C620" s="2"/>
      <c r="D620" s="2"/>
      <c r="E620" s="2"/>
      <c r="F620" s="3" t="str">
        <f aca="false">IFERROR(__xludf.dummyfunction("if($T620&lt;&gt;"""",REGEXEXTRACT(SUBSTITUTE ($T620,F$1&amp;"" CE"",""""), F$1&amp;""[\w &amp;]*, (\d+\.\d+)""),"""")
"),"")</f>
        <v/>
      </c>
      <c r="G620" s="3" t="str">
        <f aca="false">IFERROR(__xludf.dummyfunction("if($T620&lt;&gt;"""",REGEXEXTRACT($T620, G$1&amp;""[\w &amp;]*, (\d+\.\d+)""),"""")
"),"")</f>
        <v/>
      </c>
      <c r="H620" s="3"/>
      <c r="I620" s="3" t="str">
        <f aca="false">IFERROR(__xludf.dummyfunction("if($T620&lt;&gt;"""",REGEXEXTRACT(SUBSTITUTE ($T620,I$1&amp;"" CE"",""""), I$1&amp;""[\w &amp;]*, (\d+\.\d+)""),"""")
"),"")</f>
        <v/>
      </c>
      <c r="J620" s="3" t="str">
        <f aca="false">IFERROR(__xludf.dummyfunction("if($T620&lt;&gt;"""",REGEXEXTRACT($T620, J$1&amp;""[\w &amp;]*, (\d+\.\d+)""),"""")
"),"")</f>
        <v/>
      </c>
      <c r="K620" s="3"/>
      <c r="L620" s="3" t="str">
        <f aca="false">IFERROR(__xludf.dummyfunction("if($T620&lt;&gt;"""",REGEXEXTRACT(SUBSTITUTE ($T620,L$1&amp;"" CE"",""""), L$1&amp;""[\w &amp;]*, (\d+\.\d+)""),"""")
"),"")</f>
        <v/>
      </c>
      <c r="M620" s="3" t="str">
        <f aca="false">IFERROR(__xludf.dummyfunction("if($T620&lt;&gt;"""",REGEXEXTRACT($T620, M$1&amp;""[\w &amp;]*, (\d+\.\d+)""),"""")
"),"")</f>
        <v/>
      </c>
      <c r="N620" s="3" t="str">
        <f aca="false">IFERROR(__xludf.dummyfunction("if($T620&lt;&gt;"""",REGEXEXTRACT(SUBSTITUTE ($T620,N$1&amp;"" CE"",""""), N$1&amp;""[\w &amp;]*, (\d+\.\d+)""),"""")
"),"")</f>
        <v/>
      </c>
      <c r="O620" s="3" t="str">
        <f aca="false">IFERROR(__xludf.dummyfunction("if($T620&lt;&gt;"""",REGEXEXTRACT($T620, O$1&amp;""[\w &amp;]*, (\d+\.\d+)""),"""")
"),"")</f>
        <v/>
      </c>
      <c r="P620" s="2"/>
      <c r="Q620" s="2"/>
      <c r="R620" s="2"/>
      <c r="S620" s="2"/>
      <c r="T620" s="5"/>
    </row>
    <row r="621" customFormat="false" ht="15.75" hidden="false" customHeight="false" outlineLevel="0" collapsed="false">
      <c r="A621" s="4"/>
      <c r="B621" s="2"/>
      <c r="C621" s="2"/>
      <c r="D621" s="2"/>
      <c r="E621" s="2"/>
      <c r="F621" s="3" t="str">
        <f aca="false">IFERROR(__xludf.dummyfunction("if($T621&lt;&gt;"""",REGEXEXTRACT(SUBSTITUTE ($T621,F$1&amp;"" CE"",""""), F$1&amp;""[\w &amp;]*, (\d+\.\d+)""),"""")
"),"")</f>
        <v/>
      </c>
      <c r="G621" s="3" t="str">
        <f aca="false">IFERROR(__xludf.dummyfunction("if($T621&lt;&gt;"""",REGEXEXTRACT($T621, G$1&amp;""[\w &amp;]*, (\d+\.\d+)""),"""")
"),"")</f>
        <v/>
      </c>
      <c r="H621" s="3"/>
      <c r="I621" s="3" t="str">
        <f aca="false">IFERROR(__xludf.dummyfunction("if($T621&lt;&gt;"""",REGEXEXTRACT(SUBSTITUTE ($T621,I$1&amp;"" CE"",""""), I$1&amp;""[\w &amp;]*, (\d+\.\d+)""),"""")
"),"")</f>
        <v/>
      </c>
      <c r="J621" s="3" t="str">
        <f aca="false">IFERROR(__xludf.dummyfunction("if($T621&lt;&gt;"""",REGEXEXTRACT($T621, J$1&amp;""[\w &amp;]*, (\d+\.\d+)""),"""")
"),"")</f>
        <v/>
      </c>
      <c r="K621" s="3"/>
      <c r="L621" s="3" t="str">
        <f aca="false">IFERROR(__xludf.dummyfunction("if($T621&lt;&gt;"""",REGEXEXTRACT(SUBSTITUTE ($T621,L$1&amp;"" CE"",""""), L$1&amp;""[\w &amp;]*, (\d+\.\d+)""),"""")
"),"")</f>
        <v/>
      </c>
      <c r="M621" s="3" t="str">
        <f aca="false">IFERROR(__xludf.dummyfunction("if($T621&lt;&gt;"""",REGEXEXTRACT($T621, M$1&amp;""[\w &amp;]*, (\d+\.\d+)""),"""")
"),"")</f>
        <v/>
      </c>
      <c r="N621" s="3" t="str">
        <f aca="false">IFERROR(__xludf.dummyfunction("if($T621&lt;&gt;"""",REGEXEXTRACT(SUBSTITUTE ($T621,N$1&amp;"" CE"",""""), N$1&amp;""[\w &amp;]*, (\d+\.\d+)""),"""")
"),"")</f>
        <v/>
      </c>
      <c r="O621" s="3" t="str">
        <f aca="false">IFERROR(__xludf.dummyfunction("if($T621&lt;&gt;"""",REGEXEXTRACT($T621, O$1&amp;""[\w &amp;]*, (\d+\.\d+)""),"""")
"),"")</f>
        <v/>
      </c>
      <c r="P621" s="2"/>
      <c r="Q621" s="2"/>
      <c r="R621" s="2"/>
      <c r="S621" s="2"/>
      <c r="T621" s="5"/>
    </row>
    <row r="622" customFormat="false" ht="15.75" hidden="false" customHeight="false" outlineLevel="0" collapsed="false">
      <c r="A622" s="4"/>
      <c r="B622" s="2"/>
      <c r="C622" s="2"/>
      <c r="D622" s="2"/>
      <c r="E622" s="2"/>
      <c r="F622" s="3" t="str">
        <f aca="false">IFERROR(__xludf.dummyfunction("if($T622&lt;&gt;"""",REGEXEXTRACT(SUBSTITUTE ($T622,F$1&amp;"" CE"",""""), F$1&amp;""[\w &amp;]*, (\d+\.\d+)""),"""")
"),"")</f>
        <v/>
      </c>
      <c r="G622" s="3" t="str">
        <f aca="false">IFERROR(__xludf.dummyfunction("if($T622&lt;&gt;"""",REGEXEXTRACT($T622, G$1&amp;""[\w &amp;]*, (\d+\.\d+)""),"""")
"),"")</f>
        <v/>
      </c>
      <c r="H622" s="3"/>
      <c r="I622" s="3" t="str">
        <f aca="false">IFERROR(__xludf.dummyfunction("if($T622&lt;&gt;"""",REGEXEXTRACT(SUBSTITUTE ($T622,I$1&amp;"" CE"",""""), I$1&amp;""[\w &amp;]*, (\d+\.\d+)""),"""")
"),"")</f>
        <v/>
      </c>
      <c r="J622" s="3" t="str">
        <f aca="false">IFERROR(__xludf.dummyfunction("if($T622&lt;&gt;"""",REGEXEXTRACT($T622, J$1&amp;""[\w &amp;]*, (\d+\.\d+)""),"""")
"),"")</f>
        <v/>
      </c>
      <c r="K622" s="3"/>
      <c r="L622" s="3" t="str">
        <f aca="false">IFERROR(__xludf.dummyfunction("if($T622&lt;&gt;"""",REGEXEXTRACT(SUBSTITUTE ($T622,L$1&amp;"" CE"",""""), L$1&amp;""[\w &amp;]*, (\d+\.\d+)""),"""")
"),"")</f>
        <v/>
      </c>
      <c r="M622" s="3" t="str">
        <f aca="false">IFERROR(__xludf.dummyfunction("if($T622&lt;&gt;"""",REGEXEXTRACT($T622, M$1&amp;""[\w &amp;]*, (\d+\.\d+)""),"""")
"),"")</f>
        <v/>
      </c>
      <c r="N622" s="3" t="str">
        <f aca="false">IFERROR(__xludf.dummyfunction("if($T622&lt;&gt;"""",REGEXEXTRACT(SUBSTITUTE ($T622,N$1&amp;"" CE"",""""), N$1&amp;""[\w &amp;]*, (\d+\.\d+)""),"""")
"),"")</f>
        <v/>
      </c>
      <c r="O622" s="3" t="str">
        <f aca="false">IFERROR(__xludf.dummyfunction("if($T622&lt;&gt;"""",REGEXEXTRACT($T622, O$1&amp;""[\w &amp;]*, (\d+\.\d+)""),"""")
"),"")</f>
        <v/>
      </c>
      <c r="P622" s="2"/>
      <c r="Q622" s="2"/>
      <c r="R622" s="2"/>
      <c r="S622" s="2"/>
      <c r="T622" s="5"/>
    </row>
    <row r="623" customFormat="false" ht="15.75" hidden="false" customHeight="false" outlineLevel="0" collapsed="false">
      <c r="A623" s="4"/>
      <c r="B623" s="2"/>
      <c r="C623" s="2"/>
      <c r="D623" s="2"/>
      <c r="E623" s="2"/>
      <c r="F623" s="3" t="str">
        <f aca="false">IFERROR(__xludf.dummyfunction("if($T623&lt;&gt;"""",REGEXEXTRACT(SUBSTITUTE ($T623,F$1&amp;"" CE"",""""), F$1&amp;""[\w &amp;]*, (\d+\.\d+)""),"""")
"),"")</f>
        <v/>
      </c>
      <c r="G623" s="3" t="str">
        <f aca="false">IFERROR(__xludf.dummyfunction("if($T623&lt;&gt;"""",REGEXEXTRACT($T623, G$1&amp;""[\w &amp;]*, (\d+\.\d+)""),"""")
"),"")</f>
        <v/>
      </c>
      <c r="H623" s="3"/>
      <c r="I623" s="3" t="str">
        <f aca="false">IFERROR(__xludf.dummyfunction("if($T623&lt;&gt;"""",REGEXEXTRACT(SUBSTITUTE ($T623,I$1&amp;"" CE"",""""), I$1&amp;""[\w &amp;]*, (\d+\.\d+)""),"""")
"),"")</f>
        <v/>
      </c>
      <c r="J623" s="3" t="str">
        <f aca="false">IFERROR(__xludf.dummyfunction("if($T623&lt;&gt;"""",REGEXEXTRACT($T623, J$1&amp;""[\w &amp;]*, (\d+\.\d+)""),"""")
"),"")</f>
        <v/>
      </c>
      <c r="K623" s="3"/>
      <c r="L623" s="3" t="str">
        <f aca="false">IFERROR(__xludf.dummyfunction("if($T623&lt;&gt;"""",REGEXEXTRACT(SUBSTITUTE ($T623,L$1&amp;"" CE"",""""), L$1&amp;""[\w &amp;]*, (\d+\.\d+)""),"""")
"),"")</f>
        <v/>
      </c>
      <c r="M623" s="3" t="str">
        <f aca="false">IFERROR(__xludf.dummyfunction("if($T623&lt;&gt;"""",REGEXEXTRACT($T623, M$1&amp;""[\w &amp;]*, (\d+\.\d+)""),"""")
"),"")</f>
        <v/>
      </c>
      <c r="N623" s="3" t="str">
        <f aca="false">IFERROR(__xludf.dummyfunction("if($T623&lt;&gt;"""",REGEXEXTRACT(SUBSTITUTE ($T623,N$1&amp;"" CE"",""""), N$1&amp;""[\w &amp;]*, (\d+\.\d+)""),"""")
"),"")</f>
        <v/>
      </c>
      <c r="O623" s="3" t="str">
        <f aca="false">IFERROR(__xludf.dummyfunction("if($T623&lt;&gt;"""",REGEXEXTRACT($T623, O$1&amp;""[\w &amp;]*, (\d+\.\d+)""),"""")
"),"")</f>
        <v/>
      </c>
      <c r="P623" s="2"/>
      <c r="Q623" s="2"/>
      <c r="R623" s="2"/>
      <c r="S623" s="2"/>
      <c r="T623" s="5"/>
    </row>
    <row r="624" customFormat="false" ht="15.75" hidden="false" customHeight="false" outlineLevel="0" collapsed="false">
      <c r="A624" s="4"/>
      <c r="B624" s="2"/>
      <c r="C624" s="2"/>
      <c r="D624" s="2"/>
      <c r="E624" s="2"/>
      <c r="F624" s="3" t="str">
        <f aca="false">IFERROR(__xludf.dummyfunction("if($T624&lt;&gt;"""",REGEXEXTRACT(SUBSTITUTE ($T624,F$1&amp;"" CE"",""""), F$1&amp;""[\w &amp;]*, (\d+\.\d+)""),"""")
"),"")</f>
        <v/>
      </c>
      <c r="G624" s="3" t="str">
        <f aca="false">IFERROR(__xludf.dummyfunction("if($T624&lt;&gt;"""",REGEXEXTRACT($T624, G$1&amp;""[\w &amp;]*, (\d+\.\d+)""),"""")
"),"")</f>
        <v/>
      </c>
      <c r="H624" s="3"/>
      <c r="I624" s="3" t="str">
        <f aca="false">IFERROR(__xludf.dummyfunction("if($T624&lt;&gt;"""",REGEXEXTRACT(SUBSTITUTE ($T624,I$1&amp;"" CE"",""""), I$1&amp;""[\w &amp;]*, (\d+\.\d+)""),"""")
"),"")</f>
        <v/>
      </c>
      <c r="J624" s="3" t="str">
        <f aca="false">IFERROR(__xludf.dummyfunction("if($T624&lt;&gt;"""",REGEXEXTRACT($T624, J$1&amp;""[\w &amp;]*, (\d+\.\d+)""),"""")
"),"")</f>
        <v/>
      </c>
      <c r="K624" s="3"/>
      <c r="L624" s="3" t="str">
        <f aca="false">IFERROR(__xludf.dummyfunction("if($T624&lt;&gt;"""",REGEXEXTRACT(SUBSTITUTE ($T624,L$1&amp;"" CE"",""""), L$1&amp;""[\w &amp;]*, (\d+\.\d+)""),"""")
"),"")</f>
        <v/>
      </c>
      <c r="M624" s="3" t="str">
        <f aca="false">IFERROR(__xludf.dummyfunction("if($T624&lt;&gt;"""",REGEXEXTRACT($T624, M$1&amp;""[\w &amp;]*, (\d+\.\d+)""),"""")
"),"")</f>
        <v/>
      </c>
      <c r="N624" s="3" t="str">
        <f aca="false">IFERROR(__xludf.dummyfunction("if($T624&lt;&gt;"""",REGEXEXTRACT(SUBSTITUTE ($T624,N$1&amp;"" CE"",""""), N$1&amp;""[\w &amp;]*, (\d+\.\d+)""),"""")
"),"")</f>
        <v/>
      </c>
      <c r="O624" s="3" t="str">
        <f aca="false">IFERROR(__xludf.dummyfunction("if($T624&lt;&gt;"""",REGEXEXTRACT($T624, O$1&amp;""[\w &amp;]*, (\d+\.\d+)""),"""")
"),"")</f>
        <v/>
      </c>
      <c r="P624" s="2"/>
      <c r="Q624" s="2"/>
      <c r="R624" s="2"/>
      <c r="S624" s="2"/>
      <c r="T624" s="5"/>
    </row>
    <row r="625" customFormat="false" ht="15.75" hidden="false" customHeight="false" outlineLevel="0" collapsed="false">
      <c r="A625" s="4"/>
      <c r="B625" s="2"/>
      <c r="C625" s="2"/>
      <c r="D625" s="2"/>
      <c r="E625" s="2"/>
      <c r="F625" s="3" t="str">
        <f aca="false">IFERROR(__xludf.dummyfunction("if($T625&lt;&gt;"""",REGEXEXTRACT(SUBSTITUTE ($T625,F$1&amp;"" CE"",""""), F$1&amp;""[\w &amp;]*, (\d+\.\d+)""),"""")
"),"")</f>
        <v/>
      </c>
      <c r="G625" s="3" t="str">
        <f aca="false">IFERROR(__xludf.dummyfunction("if($T625&lt;&gt;"""",REGEXEXTRACT($T625, G$1&amp;""[\w &amp;]*, (\d+\.\d+)""),"""")
"),"")</f>
        <v/>
      </c>
      <c r="H625" s="3"/>
      <c r="I625" s="3" t="str">
        <f aca="false">IFERROR(__xludf.dummyfunction("if($T625&lt;&gt;"""",REGEXEXTRACT(SUBSTITUTE ($T625,I$1&amp;"" CE"",""""), I$1&amp;""[\w &amp;]*, (\d+\.\d+)""),"""")
"),"")</f>
        <v/>
      </c>
      <c r="J625" s="3" t="str">
        <f aca="false">IFERROR(__xludf.dummyfunction("if($T625&lt;&gt;"""",REGEXEXTRACT($T625, J$1&amp;""[\w &amp;]*, (\d+\.\d+)""),"""")
"),"")</f>
        <v/>
      </c>
      <c r="K625" s="3"/>
      <c r="L625" s="3" t="str">
        <f aca="false">IFERROR(__xludf.dummyfunction("if($T625&lt;&gt;"""",REGEXEXTRACT(SUBSTITUTE ($T625,L$1&amp;"" CE"",""""), L$1&amp;""[\w &amp;]*, (\d+\.\d+)""),"""")
"),"")</f>
        <v/>
      </c>
      <c r="M625" s="3" t="str">
        <f aca="false">IFERROR(__xludf.dummyfunction("if($T625&lt;&gt;"""",REGEXEXTRACT($T625, M$1&amp;""[\w &amp;]*, (\d+\.\d+)""),"""")
"),"")</f>
        <v/>
      </c>
      <c r="N625" s="3" t="str">
        <f aca="false">IFERROR(__xludf.dummyfunction("if($T625&lt;&gt;"""",REGEXEXTRACT(SUBSTITUTE ($T625,N$1&amp;"" CE"",""""), N$1&amp;""[\w &amp;]*, (\d+\.\d+)""),"""")
"),"")</f>
        <v/>
      </c>
      <c r="O625" s="3" t="str">
        <f aca="false">IFERROR(__xludf.dummyfunction("if($T625&lt;&gt;"""",REGEXEXTRACT($T625, O$1&amp;""[\w &amp;]*, (\d+\.\d+)""),"""")
"),"")</f>
        <v/>
      </c>
      <c r="P625" s="2"/>
      <c r="Q625" s="2"/>
      <c r="R625" s="2"/>
      <c r="S625" s="2"/>
      <c r="T625" s="5"/>
    </row>
    <row r="626" customFormat="false" ht="15.75" hidden="false" customHeight="false" outlineLevel="0" collapsed="false">
      <c r="A626" s="4"/>
      <c r="B626" s="2"/>
      <c r="C626" s="2"/>
      <c r="D626" s="2"/>
      <c r="E626" s="2"/>
      <c r="F626" s="3" t="str">
        <f aca="false">IFERROR(__xludf.dummyfunction("if($T626&lt;&gt;"""",REGEXEXTRACT(SUBSTITUTE ($T626,F$1&amp;"" CE"",""""), F$1&amp;""[\w &amp;]*, (\d+\.\d+)""),"""")
"),"")</f>
        <v/>
      </c>
      <c r="G626" s="3" t="str">
        <f aca="false">IFERROR(__xludf.dummyfunction("if($T626&lt;&gt;"""",REGEXEXTRACT($T626, G$1&amp;""[\w &amp;]*, (\d+\.\d+)""),"""")
"),"")</f>
        <v/>
      </c>
      <c r="H626" s="3"/>
      <c r="I626" s="3" t="str">
        <f aca="false">IFERROR(__xludf.dummyfunction("if($T626&lt;&gt;"""",REGEXEXTRACT(SUBSTITUTE ($T626,I$1&amp;"" CE"",""""), I$1&amp;""[\w &amp;]*, (\d+\.\d+)""),"""")
"),"")</f>
        <v/>
      </c>
      <c r="J626" s="3" t="str">
        <f aca="false">IFERROR(__xludf.dummyfunction("if($T626&lt;&gt;"""",REGEXEXTRACT($T626, J$1&amp;""[\w &amp;]*, (\d+\.\d+)""),"""")
"),"")</f>
        <v/>
      </c>
      <c r="K626" s="3"/>
      <c r="L626" s="3" t="str">
        <f aca="false">IFERROR(__xludf.dummyfunction("if($T626&lt;&gt;"""",REGEXEXTRACT(SUBSTITUTE ($T626,L$1&amp;"" CE"",""""), L$1&amp;""[\w &amp;]*, (\d+\.\d+)""),"""")
"),"")</f>
        <v/>
      </c>
      <c r="M626" s="3" t="str">
        <f aca="false">IFERROR(__xludf.dummyfunction("if($T626&lt;&gt;"""",REGEXEXTRACT($T626, M$1&amp;""[\w &amp;]*, (\d+\.\d+)""),"""")
"),"")</f>
        <v/>
      </c>
      <c r="N626" s="3" t="str">
        <f aca="false">IFERROR(__xludf.dummyfunction("if($T626&lt;&gt;"""",REGEXEXTRACT(SUBSTITUTE ($T626,N$1&amp;"" CE"",""""), N$1&amp;""[\w &amp;]*, (\d+\.\d+)""),"""")
"),"")</f>
        <v/>
      </c>
      <c r="O626" s="3" t="str">
        <f aca="false">IFERROR(__xludf.dummyfunction("if($T626&lt;&gt;"""",REGEXEXTRACT($T626, O$1&amp;""[\w &amp;]*, (\d+\.\d+)""),"""")
"),"")</f>
        <v/>
      </c>
      <c r="P626" s="2"/>
      <c r="Q626" s="2"/>
      <c r="R626" s="2"/>
      <c r="S626" s="2"/>
      <c r="T626" s="5"/>
    </row>
    <row r="627" customFormat="false" ht="15.75" hidden="false" customHeight="false" outlineLevel="0" collapsed="false">
      <c r="A627" s="4"/>
      <c r="B627" s="2"/>
      <c r="C627" s="2"/>
      <c r="D627" s="2"/>
      <c r="E627" s="2"/>
      <c r="F627" s="3" t="str">
        <f aca="false">IFERROR(__xludf.dummyfunction("if($T627&lt;&gt;"""",REGEXEXTRACT(SUBSTITUTE ($T627,F$1&amp;"" CE"",""""), F$1&amp;""[\w &amp;]*, (\d+\.\d+)""),"""")
"),"")</f>
        <v/>
      </c>
      <c r="G627" s="3" t="str">
        <f aca="false">IFERROR(__xludf.dummyfunction("if($T627&lt;&gt;"""",REGEXEXTRACT($T627, G$1&amp;""[\w &amp;]*, (\d+\.\d+)""),"""")
"),"")</f>
        <v/>
      </c>
      <c r="H627" s="3"/>
      <c r="I627" s="3" t="str">
        <f aca="false">IFERROR(__xludf.dummyfunction("if($T627&lt;&gt;"""",REGEXEXTRACT(SUBSTITUTE ($T627,I$1&amp;"" CE"",""""), I$1&amp;""[\w &amp;]*, (\d+\.\d+)""),"""")
"),"")</f>
        <v/>
      </c>
      <c r="J627" s="3" t="str">
        <f aca="false">IFERROR(__xludf.dummyfunction("if($T627&lt;&gt;"""",REGEXEXTRACT($T627, J$1&amp;""[\w &amp;]*, (\d+\.\d+)""),"""")
"),"")</f>
        <v/>
      </c>
      <c r="K627" s="3"/>
      <c r="L627" s="3" t="str">
        <f aca="false">IFERROR(__xludf.dummyfunction("if($T627&lt;&gt;"""",REGEXEXTRACT(SUBSTITUTE ($T627,L$1&amp;"" CE"",""""), L$1&amp;""[\w &amp;]*, (\d+\.\d+)""),"""")
"),"")</f>
        <v/>
      </c>
      <c r="M627" s="3" t="str">
        <f aca="false">IFERROR(__xludf.dummyfunction("if($T627&lt;&gt;"""",REGEXEXTRACT($T627, M$1&amp;""[\w &amp;]*, (\d+\.\d+)""),"""")
"),"")</f>
        <v/>
      </c>
      <c r="N627" s="3" t="str">
        <f aca="false">IFERROR(__xludf.dummyfunction("if($T627&lt;&gt;"""",REGEXEXTRACT(SUBSTITUTE ($T627,N$1&amp;"" CE"",""""), N$1&amp;""[\w &amp;]*, (\d+\.\d+)""),"""")
"),"")</f>
        <v/>
      </c>
      <c r="O627" s="3" t="str">
        <f aca="false">IFERROR(__xludf.dummyfunction("if($T627&lt;&gt;"""",REGEXEXTRACT($T627, O$1&amp;""[\w &amp;]*, (\d+\.\d+)""),"""")
"),"")</f>
        <v/>
      </c>
      <c r="P627" s="2"/>
      <c r="Q627" s="2"/>
      <c r="R627" s="2"/>
      <c r="S627" s="2"/>
      <c r="T627" s="5"/>
    </row>
    <row r="628" customFormat="false" ht="15.75" hidden="false" customHeight="false" outlineLevel="0" collapsed="false">
      <c r="A628" s="4"/>
      <c r="B628" s="2"/>
      <c r="C628" s="2"/>
      <c r="D628" s="2"/>
      <c r="E628" s="2"/>
      <c r="F628" s="3" t="str">
        <f aca="false">IFERROR(__xludf.dummyfunction("if($T628&lt;&gt;"""",REGEXEXTRACT(SUBSTITUTE ($T628,F$1&amp;"" CE"",""""), F$1&amp;""[\w &amp;]*, (\d+\.\d+)""),"""")
"),"")</f>
        <v/>
      </c>
      <c r="G628" s="3" t="str">
        <f aca="false">IFERROR(__xludf.dummyfunction("if($T628&lt;&gt;"""",REGEXEXTRACT($T628, G$1&amp;""[\w &amp;]*, (\d+\.\d+)""),"""")
"),"")</f>
        <v/>
      </c>
      <c r="H628" s="3"/>
      <c r="I628" s="3" t="str">
        <f aca="false">IFERROR(__xludf.dummyfunction("if($T628&lt;&gt;"""",REGEXEXTRACT(SUBSTITUTE ($T628,I$1&amp;"" CE"",""""), I$1&amp;""[\w &amp;]*, (\d+\.\d+)""),"""")
"),"")</f>
        <v/>
      </c>
      <c r="J628" s="3" t="str">
        <f aca="false">IFERROR(__xludf.dummyfunction("if($T628&lt;&gt;"""",REGEXEXTRACT($T628, J$1&amp;""[\w &amp;]*, (\d+\.\d+)""),"""")
"),"")</f>
        <v/>
      </c>
      <c r="K628" s="3"/>
      <c r="L628" s="3" t="str">
        <f aca="false">IFERROR(__xludf.dummyfunction("if($T628&lt;&gt;"""",REGEXEXTRACT(SUBSTITUTE ($T628,L$1&amp;"" CE"",""""), L$1&amp;""[\w &amp;]*, (\d+\.\d+)""),"""")
"),"")</f>
        <v/>
      </c>
      <c r="M628" s="3" t="str">
        <f aca="false">IFERROR(__xludf.dummyfunction("if($T628&lt;&gt;"""",REGEXEXTRACT($T628, M$1&amp;""[\w &amp;]*, (\d+\.\d+)""),"""")
"),"")</f>
        <v/>
      </c>
      <c r="N628" s="3" t="str">
        <f aca="false">IFERROR(__xludf.dummyfunction("if($T628&lt;&gt;"""",REGEXEXTRACT(SUBSTITUTE ($T628,N$1&amp;"" CE"",""""), N$1&amp;""[\w &amp;]*, (\d+\.\d+)""),"""")
"),"")</f>
        <v/>
      </c>
      <c r="O628" s="3" t="str">
        <f aca="false">IFERROR(__xludf.dummyfunction("if($T628&lt;&gt;"""",REGEXEXTRACT($T628, O$1&amp;""[\w &amp;]*, (\d+\.\d+)""),"""")
"),"")</f>
        <v/>
      </c>
      <c r="P628" s="2"/>
      <c r="Q628" s="2"/>
      <c r="R628" s="2"/>
      <c r="S628" s="2"/>
      <c r="T628" s="5"/>
    </row>
    <row r="629" customFormat="false" ht="15.75" hidden="false" customHeight="false" outlineLevel="0" collapsed="false">
      <c r="A629" s="4"/>
      <c r="B629" s="2"/>
      <c r="C629" s="2"/>
      <c r="D629" s="2"/>
      <c r="E629" s="2"/>
      <c r="F629" s="3" t="str">
        <f aca="false">IFERROR(__xludf.dummyfunction("if($T629&lt;&gt;"""",REGEXEXTRACT(SUBSTITUTE ($T629,F$1&amp;"" CE"",""""), F$1&amp;""[\w &amp;]*, (\d+\.\d+)""),"""")
"),"")</f>
        <v/>
      </c>
      <c r="G629" s="3" t="str">
        <f aca="false">IFERROR(__xludf.dummyfunction("if($T629&lt;&gt;"""",REGEXEXTRACT($T629, G$1&amp;""[\w &amp;]*, (\d+\.\d+)""),"""")
"),"")</f>
        <v/>
      </c>
      <c r="H629" s="3"/>
      <c r="I629" s="3" t="str">
        <f aca="false">IFERROR(__xludf.dummyfunction("if($T629&lt;&gt;"""",REGEXEXTRACT(SUBSTITUTE ($T629,I$1&amp;"" CE"",""""), I$1&amp;""[\w &amp;]*, (\d+\.\d+)""),"""")
"),"")</f>
        <v/>
      </c>
      <c r="J629" s="3" t="str">
        <f aca="false">IFERROR(__xludf.dummyfunction("if($T629&lt;&gt;"""",REGEXEXTRACT($T629, J$1&amp;""[\w &amp;]*, (\d+\.\d+)""),"""")
"),"")</f>
        <v/>
      </c>
      <c r="K629" s="3"/>
      <c r="L629" s="3" t="str">
        <f aca="false">IFERROR(__xludf.dummyfunction("if($T629&lt;&gt;"""",REGEXEXTRACT(SUBSTITUTE ($T629,L$1&amp;"" CE"",""""), L$1&amp;""[\w &amp;]*, (\d+\.\d+)""),"""")
"),"")</f>
        <v/>
      </c>
      <c r="M629" s="3" t="str">
        <f aca="false">IFERROR(__xludf.dummyfunction("if($T629&lt;&gt;"""",REGEXEXTRACT($T629, M$1&amp;""[\w &amp;]*, (\d+\.\d+)""),"""")
"),"")</f>
        <v/>
      </c>
      <c r="N629" s="3" t="str">
        <f aca="false">IFERROR(__xludf.dummyfunction("if($T629&lt;&gt;"""",REGEXEXTRACT(SUBSTITUTE ($T629,N$1&amp;"" CE"",""""), N$1&amp;""[\w &amp;]*, (\d+\.\d+)""),"""")
"),"")</f>
        <v/>
      </c>
      <c r="O629" s="3" t="str">
        <f aca="false">IFERROR(__xludf.dummyfunction("if($T629&lt;&gt;"""",REGEXEXTRACT($T629, O$1&amp;""[\w &amp;]*, (\d+\.\d+)""),"""")
"),"")</f>
        <v/>
      </c>
      <c r="P629" s="2"/>
      <c r="Q629" s="2"/>
      <c r="R629" s="2"/>
      <c r="S629" s="2"/>
      <c r="T629" s="5"/>
    </row>
    <row r="630" customFormat="false" ht="15.75" hidden="false" customHeight="false" outlineLevel="0" collapsed="false">
      <c r="A630" s="4"/>
      <c r="B630" s="2"/>
      <c r="C630" s="2"/>
      <c r="D630" s="2"/>
      <c r="E630" s="2"/>
      <c r="F630" s="3" t="str">
        <f aca="false">IFERROR(__xludf.dummyfunction("if($T630&lt;&gt;"""",REGEXEXTRACT(SUBSTITUTE ($T630,F$1&amp;"" CE"",""""), F$1&amp;""[\w &amp;]*, (\d+\.\d+)""),"""")
"),"")</f>
        <v/>
      </c>
      <c r="G630" s="3" t="str">
        <f aca="false">IFERROR(__xludf.dummyfunction("if($T630&lt;&gt;"""",REGEXEXTRACT($T630, G$1&amp;""[\w &amp;]*, (\d+\.\d+)""),"""")
"),"")</f>
        <v/>
      </c>
      <c r="H630" s="3"/>
      <c r="I630" s="3" t="str">
        <f aca="false">IFERROR(__xludf.dummyfunction("if($T630&lt;&gt;"""",REGEXEXTRACT(SUBSTITUTE ($T630,I$1&amp;"" CE"",""""), I$1&amp;""[\w &amp;]*, (\d+\.\d+)""),"""")
"),"")</f>
        <v/>
      </c>
      <c r="J630" s="3" t="str">
        <f aca="false">IFERROR(__xludf.dummyfunction("if($T630&lt;&gt;"""",REGEXEXTRACT($T630, J$1&amp;""[\w &amp;]*, (\d+\.\d+)""),"""")
"),"")</f>
        <v/>
      </c>
      <c r="K630" s="3"/>
      <c r="L630" s="3" t="str">
        <f aca="false">IFERROR(__xludf.dummyfunction("if($T630&lt;&gt;"""",REGEXEXTRACT(SUBSTITUTE ($T630,L$1&amp;"" CE"",""""), L$1&amp;""[\w &amp;]*, (\d+\.\d+)""),"""")
"),"")</f>
        <v/>
      </c>
      <c r="M630" s="3" t="str">
        <f aca="false">IFERROR(__xludf.dummyfunction("if($T630&lt;&gt;"""",REGEXEXTRACT($T630, M$1&amp;""[\w &amp;]*, (\d+\.\d+)""),"""")
"),"")</f>
        <v/>
      </c>
      <c r="N630" s="3" t="str">
        <f aca="false">IFERROR(__xludf.dummyfunction("if($T630&lt;&gt;"""",REGEXEXTRACT(SUBSTITUTE ($T630,N$1&amp;"" CE"",""""), N$1&amp;""[\w &amp;]*, (\d+\.\d+)""),"""")
"),"")</f>
        <v/>
      </c>
      <c r="O630" s="3" t="str">
        <f aca="false">IFERROR(__xludf.dummyfunction("if($T630&lt;&gt;"""",REGEXEXTRACT($T630, O$1&amp;""[\w &amp;]*, (\d+\.\d+)""),"""")
"),"")</f>
        <v/>
      </c>
      <c r="P630" s="2"/>
      <c r="Q630" s="2"/>
      <c r="R630" s="2"/>
      <c r="S630" s="2"/>
      <c r="T630" s="5"/>
    </row>
    <row r="631" customFormat="false" ht="15.75" hidden="false" customHeight="false" outlineLevel="0" collapsed="false">
      <c r="A631" s="4"/>
      <c r="B631" s="2"/>
      <c r="C631" s="2"/>
      <c r="D631" s="2"/>
      <c r="E631" s="2"/>
      <c r="F631" s="3" t="str">
        <f aca="false">IFERROR(__xludf.dummyfunction("if($T631&lt;&gt;"""",REGEXEXTRACT(SUBSTITUTE ($T631,F$1&amp;"" CE"",""""), F$1&amp;""[\w &amp;]*, (\d+\.\d+)""),"""")
"),"")</f>
        <v/>
      </c>
      <c r="G631" s="3" t="str">
        <f aca="false">IFERROR(__xludf.dummyfunction("if($T631&lt;&gt;"""",REGEXEXTRACT($T631, G$1&amp;""[\w &amp;]*, (\d+\.\d+)""),"""")
"),"")</f>
        <v/>
      </c>
      <c r="H631" s="3"/>
      <c r="I631" s="3" t="str">
        <f aca="false">IFERROR(__xludf.dummyfunction("if($T631&lt;&gt;"""",REGEXEXTRACT(SUBSTITUTE ($T631,I$1&amp;"" CE"",""""), I$1&amp;""[\w &amp;]*, (\d+\.\d+)""),"""")
"),"")</f>
        <v/>
      </c>
      <c r="J631" s="3" t="str">
        <f aca="false">IFERROR(__xludf.dummyfunction("if($T631&lt;&gt;"""",REGEXEXTRACT($T631, J$1&amp;""[\w &amp;]*, (\d+\.\d+)""),"""")
"),"")</f>
        <v/>
      </c>
      <c r="K631" s="3"/>
      <c r="L631" s="3" t="str">
        <f aca="false">IFERROR(__xludf.dummyfunction("if($T631&lt;&gt;"""",REGEXEXTRACT(SUBSTITUTE ($T631,L$1&amp;"" CE"",""""), L$1&amp;""[\w &amp;]*, (\d+\.\d+)""),"""")
"),"")</f>
        <v/>
      </c>
      <c r="M631" s="3" t="str">
        <f aca="false">IFERROR(__xludf.dummyfunction("if($T631&lt;&gt;"""",REGEXEXTRACT($T631, M$1&amp;""[\w &amp;]*, (\d+\.\d+)""),"""")
"),"")</f>
        <v/>
      </c>
      <c r="N631" s="3" t="str">
        <f aca="false">IFERROR(__xludf.dummyfunction("if($T631&lt;&gt;"""",REGEXEXTRACT(SUBSTITUTE ($T631,N$1&amp;"" CE"",""""), N$1&amp;""[\w &amp;]*, (\d+\.\d+)""),"""")
"),"")</f>
        <v/>
      </c>
      <c r="O631" s="3" t="str">
        <f aca="false">IFERROR(__xludf.dummyfunction("if($T631&lt;&gt;"""",REGEXEXTRACT($T631, O$1&amp;""[\w &amp;]*, (\d+\.\d+)""),"""")
"),"")</f>
        <v/>
      </c>
      <c r="P631" s="2"/>
      <c r="Q631" s="2"/>
      <c r="R631" s="2"/>
      <c r="S631" s="2"/>
      <c r="T631" s="5"/>
    </row>
    <row r="632" customFormat="false" ht="15.75" hidden="false" customHeight="false" outlineLevel="0" collapsed="false">
      <c r="A632" s="4"/>
      <c r="B632" s="2"/>
      <c r="C632" s="2"/>
      <c r="D632" s="2"/>
      <c r="E632" s="2"/>
      <c r="F632" s="3" t="str">
        <f aca="false">IFERROR(__xludf.dummyfunction("if($T632&lt;&gt;"""",REGEXEXTRACT(SUBSTITUTE ($T632,F$1&amp;"" CE"",""""), F$1&amp;""[\w &amp;]*, (\d+\.\d+)""),"""")
"),"")</f>
        <v/>
      </c>
      <c r="G632" s="3" t="str">
        <f aca="false">IFERROR(__xludf.dummyfunction("if($T632&lt;&gt;"""",REGEXEXTRACT($T632, G$1&amp;""[\w &amp;]*, (\d+\.\d+)""),"""")
"),"")</f>
        <v/>
      </c>
      <c r="H632" s="3"/>
      <c r="I632" s="3" t="str">
        <f aca="false">IFERROR(__xludf.dummyfunction("if($T632&lt;&gt;"""",REGEXEXTRACT(SUBSTITUTE ($T632,I$1&amp;"" CE"",""""), I$1&amp;""[\w &amp;]*, (\d+\.\d+)""),"""")
"),"")</f>
        <v/>
      </c>
      <c r="J632" s="3" t="str">
        <f aca="false">IFERROR(__xludf.dummyfunction("if($T632&lt;&gt;"""",REGEXEXTRACT($T632, J$1&amp;""[\w &amp;]*, (\d+\.\d+)""),"""")
"),"")</f>
        <v/>
      </c>
      <c r="K632" s="3"/>
      <c r="L632" s="3" t="str">
        <f aca="false">IFERROR(__xludf.dummyfunction("if($T632&lt;&gt;"""",REGEXEXTRACT(SUBSTITUTE ($T632,L$1&amp;"" CE"",""""), L$1&amp;""[\w &amp;]*, (\d+\.\d+)""),"""")
"),"")</f>
        <v/>
      </c>
      <c r="M632" s="3" t="str">
        <f aca="false">IFERROR(__xludf.dummyfunction("if($T632&lt;&gt;"""",REGEXEXTRACT($T632, M$1&amp;""[\w &amp;]*, (\d+\.\d+)""),"""")
"),"")</f>
        <v/>
      </c>
      <c r="N632" s="3" t="str">
        <f aca="false">IFERROR(__xludf.dummyfunction("if($T632&lt;&gt;"""",REGEXEXTRACT(SUBSTITUTE ($T632,N$1&amp;"" CE"",""""), N$1&amp;""[\w &amp;]*, (\d+\.\d+)""),"""")
"),"")</f>
        <v/>
      </c>
      <c r="O632" s="3" t="str">
        <f aca="false">IFERROR(__xludf.dummyfunction("if($T632&lt;&gt;"""",REGEXEXTRACT($T632, O$1&amp;""[\w &amp;]*, (\d+\.\d+)""),"""")
"),"")</f>
        <v/>
      </c>
      <c r="P632" s="2"/>
      <c r="Q632" s="2"/>
      <c r="R632" s="2"/>
      <c r="S632" s="2"/>
      <c r="T632" s="5"/>
    </row>
    <row r="633" customFormat="false" ht="15.75" hidden="false" customHeight="false" outlineLevel="0" collapsed="false">
      <c r="A633" s="4"/>
      <c r="B633" s="2"/>
      <c r="C633" s="2"/>
      <c r="D633" s="2"/>
      <c r="E633" s="2"/>
      <c r="F633" s="3" t="str">
        <f aca="false">IFERROR(__xludf.dummyfunction("if($T633&lt;&gt;"""",REGEXEXTRACT(SUBSTITUTE ($T633,F$1&amp;"" CE"",""""), F$1&amp;""[\w &amp;]*, (\d+\.\d+)""),"""")
"),"")</f>
        <v/>
      </c>
      <c r="G633" s="3" t="str">
        <f aca="false">IFERROR(__xludf.dummyfunction("if($T633&lt;&gt;"""",REGEXEXTRACT($T633, G$1&amp;""[\w &amp;]*, (\d+\.\d+)""),"""")
"),"")</f>
        <v/>
      </c>
      <c r="H633" s="3"/>
      <c r="I633" s="3" t="str">
        <f aca="false">IFERROR(__xludf.dummyfunction("if($T633&lt;&gt;"""",REGEXEXTRACT(SUBSTITUTE ($T633,I$1&amp;"" CE"",""""), I$1&amp;""[\w &amp;]*, (\d+\.\d+)""),"""")
"),"")</f>
        <v/>
      </c>
      <c r="J633" s="3" t="str">
        <f aca="false">IFERROR(__xludf.dummyfunction("if($T633&lt;&gt;"""",REGEXEXTRACT($T633, J$1&amp;""[\w &amp;]*, (\d+\.\d+)""),"""")
"),"")</f>
        <v/>
      </c>
      <c r="K633" s="3"/>
      <c r="L633" s="3" t="str">
        <f aca="false">IFERROR(__xludf.dummyfunction("if($T633&lt;&gt;"""",REGEXEXTRACT(SUBSTITUTE ($T633,L$1&amp;"" CE"",""""), L$1&amp;""[\w &amp;]*, (\d+\.\d+)""),"""")
"),"")</f>
        <v/>
      </c>
      <c r="M633" s="3" t="str">
        <f aca="false">IFERROR(__xludf.dummyfunction("if($T633&lt;&gt;"""",REGEXEXTRACT($T633, M$1&amp;""[\w &amp;]*, (\d+\.\d+)""),"""")
"),"")</f>
        <v/>
      </c>
      <c r="N633" s="3" t="str">
        <f aca="false">IFERROR(__xludf.dummyfunction("if($T633&lt;&gt;"""",REGEXEXTRACT(SUBSTITUTE ($T633,N$1&amp;"" CE"",""""), N$1&amp;""[\w &amp;]*, (\d+\.\d+)""),"""")
"),"")</f>
        <v/>
      </c>
      <c r="O633" s="3" t="str">
        <f aca="false">IFERROR(__xludf.dummyfunction("if($T633&lt;&gt;"""",REGEXEXTRACT($T633, O$1&amp;""[\w &amp;]*, (\d+\.\d+)""),"""")
"),"")</f>
        <v/>
      </c>
      <c r="P633" s="2"/>
      <c r="Q633" s="2"/>
      <c r="R633" s="2"/>
      <c r="S633" s="2"/>
      <c r="T633" s="5"/>
    </row>
    <row r="634" customFormat="false" ht="15.75" hidden="false" customHeight="false" outlineLevel="0" collapsed="false">
      <c r="A634" s="4"/>
      <c r="B634" s="2"/>
      <c r="C634" s="2"/>
      <c r="D634" s="2"/>
      <c r="E634" s="2"/>
      <c r="F634" s="3" t="str">
        <f aca="false">IFERROR(__xludf.dummyfunction("if($T634&lt;&gt;"""",REGEXEXTRACT(SUBSTITUTE ($T634,F$1&amp;"" CE"",""""), F$1&amp;""[\w &amp;]*, (\d+\.\d+)""),"""")
"),"")</f>
        <v/>
      </c>
      <c r="G634" s="3" t="str">
        <f aca="false">IFERROR(__xludf.dummyfunction("if($T634&lt;&gt;"""",REGEXEXTRACT($T634, G$1&amp;""[\w &amp;]*, (\d+\.\d+)""),"""")
"),"")</f>
        <v/>
      </c>
      <c r="H634" s="3"/>
      <c r="I634" s="3" t="str">
        <f aca="false">IFERROR(__xludf.dummyfunction("if($T634&lt;&gt;"""",REGEXEXTRACT(SUBSTITUTE ($T634,I$1&amp;"" CE"",""""), I$1&amp;""[\w &amp;]*, (\d+\.\d+)""),"""")
"),"")</f>
        <v/>
      </c>
      <c r="J634" s="3" t="str">
        <f aca="false">IFERROR(__xludf.dummyfunction("if($T634&lt;&gt;"""",REGEXEXTRACT($T634, J$1&amp;""[\w &amp;]*, (\d+\.\d+)""),"""")
"),"")</f>
        <v/>
      </c>
      <c r="K634" s="3"/>
      <c r="L634" s="3" t="str">
        <f aca="false">IFERROR(__xludf.dummyfunction("if($T634&lt;&gt;"""",REGEXEXTRACT(SUBSTITUTE ($T634,L$1&amp;"" CE"",""""), L$1&amp;""[\w &amp;]*, (\d+\.\d+)""),"""")
"),"")</f>
        <v/>
      </c>
      <c r="M634" s="3" t="str">
        <f aca="false">IFERROR(__xludf.dummyfunction("if($T634&lt;&gt;"""",REGEXEXTRACT($T634, M$1&amp;""[\w &amp;]*, (\d+\.\d+)""),"""")
"),"")</f>
        <v/>
      </c>
      <c r="N634" s="3" t="str">
        <f aca="false">IFERROR(__xludf.dummyfunction("if($T634&lt;&gt;"""",REGEXEXTRACT(SUBSTITUTE ($T634,N$1&amp;"" CE"",""""), N$1&amp;""[\w &amp;]*, (\d+\.\d+)""),"""")
"),"")</f>
        <v/>
      </c>
      <c r="O634" s="3" t="str">
        <f aca="false">IFERROR(__xludf.dummyfunction("if($T634&lt;&gt;"""",REGEXEXTRACT($T634, O$1&amp;""[\w &amp;]*, (\d+\.\d+)""),"""")
"),"")</f>
        <v/>
      </c>
      <c r="P634" s="2"/>
      <c r="Q634" s="2"/>
      <c r="R634" s="2"/>
      <c r="S634" s="2"/>
      <c r="T634" s="5"/>
    </row>
    <row r="635" customFormat="false" ht="15.75" hidden="false" customHeight="false" outlineLevel="0" collapsed="false">
      <c r="A635" s="4"/>
      <c r="B635" s="2"/>
      <c r="C635" s="2"/>
      <c r="D635" s="2"/>
      <c r="E635" s="2"/>
      <c r="F635" s="3" t="str">
        <f aca="false">IFERROR(__xludf.dummyfunction("if($T635&lt;&gt;"""",REGEXEXTRACT(SUBSTITUTE ($T635,F$1&amp;"" CE"",""""), F$1&amp;""[\w &amp;]*, (\d+\.\d+)""),"""")
"),"")</f>
        <v/>
      </c>
      <c r="G635" s="3" t="str">
        <f aca="false">IFERROR(__xludf.dummyfunction("if($T635&lt;&gt;"""",REGEXEXTRACT($T635, G$1&amp;""[\w &amp;]*, (\d+\.\d+)""),"""")
"),"")</f>
        <v/>
      </c>
      <c r="H635" s="3"/>
      <c r="I635" s="3" t="str">
        <f aca="false">IFERROR(__xludf.dummyfunction("if($T635&lt;&gt;"""",REGEXEXTRACT(SUBSTITUTE ($T635,I$1&amp;"" CE"",""""), I$1&amp;""[\w &amp;]*, (\d+\.\d+)""),"""")
"),"")</f>
        <v/>
      </c>
      <c r="J635" s="3" t="str">
        <f aca="false">IFERROR(__xludf.dummyfunction("if($T635&lt;&gt;"""",REGEXEXTRACT($T635, J$1&amp;""[\w &amp;]*, (\d+\.\d+)""),"""")
"),"")</f>
        <v/>
      </c>
      <c r="K635" s="3"/>
      <c r="L635" s="3" t="str">
        <f aca="false">IFERROR(__xludf.dummyfunction("if($T635&lt;&gt;"""",REGEXEXTRACT(SUBSTITUTE ($T635,L$1&amp;"" CE"",""""), L$1&amp;""[\w &amp;]*, (\d+\.\d+)""),"""")
"),"")</f>
        <v/>
      </c>
      <c r="M635" s="3" t="str">
        <f aca="false">IFERROR(__xludf.dummyfunction("if($T635&lt;&gt;"""",REGEXEXTRACT($T635, M$1&amp;""[\w &amp;]*, (\d+\.\d+)""),"""")
"),"")</f>
        <v/>
      </c>
      <c r="N635" s="3" t="str">
        <f aca="false">IFERROR(__xludf.dummyfunction("if($T635&lt;&gt;"""",REGEXEXTRACT(SUBSTITUTE ($T635,N$1&amp;"" CE"",""""), N$1&amp;""[\w &amp;]*, (\d+\.\d+)""),"""")
"),"")</f>
        <v/>
      </c>
      <c r="O635" s="3" t="str">
        <f aca="false">IFERROR(__xludf.dummyfunction("if($T635&lt;&gt;"""",REGEXEXTRACT($T635, O$1&amp;""[\w &amp;]*, (\d+\.\d+)""),"""")
"),"")</f>
        <v/>
      </c>
      <c r="P635" s="2"/>
      <c r="Q635" s="2"/>
      <c r="R635" s="2"/>
      <c r="S635" s="2"/>
      <c r="T635" s="5"/>
    </row>
    <row r="636" customFormat="false" ht="15.75" hidden="false" customHeight="false" outlineLevel="0" collapsed="false">
      <c r="A636" s="4"/>
      <c r="B636" s="2"/>
      <c r="C636" s="2"/>
      <c r="D636" s="2"/>
      <c r="E636" s="2"/>
      <c r="F636" s="3" t="str">
        <f aca="false">IFERROR(__xludf.dummyfunction("if($T636&lt;&gt;"""",REGEXEXTRACT(SUBSTITUTE ($T636,F$1&amp;"" CE"",""""), F$1&amp;""[\w &amp;]*, (\d+\.\d+)""),"""")
"),"")</f>
        <v/>
      </c>
      <c r="G636" s="3" t="str">
        <f aca="false">IFERROR(__xludf.dummyfunction("if($T636&lt;&gt;"""",REGEXEXTRACT($T636, G$1&amp;""[\w &amp;]*, (\d+\.\d+)""),"""")
"),"")</f>
        <v/>
      </c>
      <c r="H636" s="3"/>
      <c r="I636" s="3" t="str">
        <f aca="false">IFERROR(__xludf.dummyfunction("if($T636&lt;&gt;"""",REGEXEXTRACT(SUBSTITUTE ($T636,I$1&amp;"" CE"",""""), I$1&amp;""[\w &amp;]*, (\d+\.\d+)""),"""")
"),"")</f>
        <v/>
      </c>
      <c r="J636" s="3" t="str">
        <f aca="false">IFERROR(__xludf.dummyfunction("if($T636&lt;&gt;"""",REGEXEXTRACT($T636, J$1&amp;""[\w &amp;]*, (\d+\.\d+)""),"""")
"),"")</f>
        <v/>
      </c>
      <c r="K636" s="3"/>
      <c r="L636" s="3" t="str">
        <f aca="false">IFERROR(__xludf.dummyfunction("if($T636&lt;&gt;"""",REGEXEXTRACT(SUBSTITUTE ($T636,L$1&amp;"" CE"",""""), L$1&amp;""[\w &amp;]*, (\d+\.\d+)""),"""")
"),"")</f>
        <v/>
      </c>
      <c r="M636" s="3" t="str">
        <f aca="false">IFERROR(__xludf.dummyfunction("if($T636&lt;&gt;"""",REGEXEXTRACT($T636, M$1&amp;""[\w &amp;]*, (\d+\.\d+)""),"""")
"),"")</f>
        <v/>
      </c>
      <c r="N636" s="3" t="str">
        <f aca="false">IFERROR(__xludf.dummyfunction("if($T636&lt;&gt;"""",REGEXEXTRACT(SUBSTITUTE ($T636,N$1&amp;"" CE"",""""), N$1&amp;""[\w &amp;]*, (\d+\.\d+)""),"""")
"),"")</f>
        <v/>
      </c>
      <c r="O636" s="3" t="str">
        <f aca="false">IFERROR(__xludf.dummyfunction("if($T636&lt;&gt;"""",REGEXEXTRACT($T636, O$1&amp;""[\w &amp;]*, (\d+\.\d+)""),"""")
"),"")</f>
        <v/>
      </c>
      <c r="P636" s="2"/>
      <c r="Q636" s="2"/>
      <c r="R636" s="2"/>
      <c r="S636" s="2"/>
      <c r="T636" s="5"/>
    </row>
    <row r="637" customFormat="false" ht="15.75" hidden="false" customHeight="false" outlineLevel="0" collapsed="false">
      <c r="A637" s="4"/>
      <c r="B637" s="2"/>
      <c r="C637" s="2"/>
      <c r="D637" s="2"/>
      <c r="E637" s="2"/>
      <c r="F637" s="3" t="str">
        <f aca="false">IFERROR(__xludf.dummyfunction("if($T637&lt;&gt;"""",REGEXEXTRACT(SUBSTITUTE ($T637,F$1&amp;"" CE"",""""), F$1&amp;""[\w &amp;]*, (\d+\.\d+)""),"""")
"),"")</f>
        <v/>
      </c>
      <c r="G637" s="3" t="str">
        <f aca="false">IFERROR(__xludf.dummyfunction("if($T637&lt;&gt;"""",REGEXEXTRACT($T637, G$1&amp;""[\w &amp;]*, (\d+\.\d+)""),"""")
"),"")</f>
        <v/>
      </c>
      <c r="H637" s="3"/>
      <c r="I637" s="3" t="str">
        <f aca="false">IFERROR(__xludf.dummyfunction("if($T637&lt;&gt;"""",REGEXEXTRACT(SUBSTITUTE ($T637,I$1&amp;"" CE"",""""), I$1&amp;""[\w &amp;]*, (\d+\.\d+)""),"""")
"),"")</f>
        <v/>
      </c>
      <c r="J637" s="3" t="str">
        <f aca="false">IFERROR(__xludf.dummyfunction("if($T637&lt;&gt;"""",REGEXEXTRACT($T637, J$1&amp;""[\w &amp;]*, (\d+\.\d+)""),"""")
"),"")</f>
        <v/>
      </c>
      <c r="K637" s="3"/>
      <c r="L637" s="3" t="str">
        <f aca="false">IFERROR(__xludf.dummyfunction("if($T637&lt;&gt;"""",REGEXEXTRACT(SUBSTITUTE ($T637,L$1&amp;"" CE"",""""), L$1&amp;""[\w &amp;]*, (\d+\.\d+)""),"""")
"),"")</f>
        <v/>
      </c>
      <c r="M637" s="3" t="str">
        <f aca="false">IFERROR(__xludf.dummyfunction("if($T637&lt;&gt;"""",REGEXEXTRACT($T637, M$1&amp;""[\w &amp;]*, (\d+\.\d+)""),"""")
"),"")</f>
        <v/>
      </c>
      <c r="N637" s="3" t="str">
        <f aca="false">IFERROR(__xludf.dummyfunction("if($T637&lt;&gt;"""",REGEXEXTRACT(SUBSTITUTE ($T637,N$1&amp;"" CE"",""""), N$1&amp;""[\w &amp;]*, (\d+\.\d+)""),"""")
"),"")</f>
        <v/>
      </c>
      <c r="O637" s="3" t="str">
        <f aca="false">IFERROR(__xludf.dummyfunction("if($T637&lt;&gt;"""",REGEXEXTRACT($T637, O$1&amp;""[\w &amp;]*, (\d+\.\d+)""),"""")
"),"")</f>
        <v/>
      </c>
      <c r="P637" s="2"/>
      <c r="Q637" s="2"/>
      <c r="R637" s="2"/>
      <c r="S637" s="2"/>
      <c r="T637" s="5"/>
    </row>
    <row r="638" customFormat="false" ht="15.75" hidden="false" customHeight="false" outlineLevel="0" collapsed="false">
      <c r="A638" s="4"/>
      <c r="B638" s="2"/>
      <c r="C638" s="2"/>
      <c r="D638" s="2"/>
      <c r="E638" s="2"/>
      <c r="F638" s="3" t="str">
        <f aca="false">IFERROR(__xludf.dummyfunction("if($T638&lt;&gt;"""",REGEXEXTRACT(SUBSTITUTE ($T638,F$1&amp;"" CE"",""""), F$1&amp;""[\w &amp;]*, (\d+\.\d+)""),"""")
"),"")</f>
        <v/>
      </c>
      <c r="G638" s="3" t="str">
        <f aca="false">IFERROR(__xludf.dummyfunction("if($T638&lt;&gt;"""",REGEXEXTRACT($T638, G$1&amp;""[\w &amp;]*, (\d+\.\d+)""),"""")
"),"")</f>
        <v/>
      </c>
      <c r="H638" s="3"/>
      <c r="I638" s="3" t="str">
        <f aca="false">IFERROR(__xludf.dummyfunction("if($T638&lt;&gt;"""",REGEXEXTRACT(SUBSTITUTE ($T638,I$1&amp;"" CE"",""""), I$1&amp;""[\w &amp;]*, (\d+\.\d+)""),"""")
"),"")</f>
        <v/>
      </c>
      <c r="J638" s="3" t="str">
        <f aca="false">IFERROR(__xludf.dummyfunction("if($T638&lt;&gt;"""",REGEXEXTRACT($T638, J$1&amp;""[\w &amp;]*, (\d+\.\d+)""),"""")
"),"")</f>
        <v/>
      </c>
      <c r="K638" s="3"/>
      <c r="L638" s="3" t="str">
        <f aca="false">IFERROR(__xludf.dummyfunction("if($T638&lt;&gt;"""",REGEXEXTRACT(SUBSTITUTE ($T638,L$1&amp;"" CE"",""""), L$1&amp;""[\w &amp;]*, (\d+\.\d+)""),"""")
"),"")</f>
        <v/>
      </c>
      <c r="M638" s="3" t="str">
        <f aca="false">IFERROR(__xludf.dummyfunction("if($T638&lt;&gt;"""",REGEXEXTRACT($T638, M$1&amp;""[\w &amp;]*, (\d+\.\d+)""),"""")
"),"")</f>
        <v/>
      </c>
      <c r="N638" s="3" t="str">
        <f aca="false">IFERROR(__xludf.dummyfunction("if($T638&lt;&gt;"""",REGEXEXTRACT(SUBSTITUTE ($T638,N$1&amp;"" CE"",""""), N$1&amp;""[\w &amp;]*, (\d+\.\d+)""),"""")
"),"")</f>
        <v/>
      </c>
      <c r="O638" s="3" t="str">
        <f aca="false">IFERROR(__xludf.dummyfunction("if($T638&lt;&gt;"""",REGEXEXTRACT($T638, O$1&amp;""[\w &amp;]*, (\d+\.\d+)""),"""")
"),"")</f>
        <v/>
      </c>
      <c r="P638" s="2"/>
      <c r="Q638" s="2"/>
      <c r="R638" s="2"/>
      <c r="S638" s="2"/>
      <c r="T638" s="5"/>
    </row>
    <row r="639" customFormat="false" ht="15.75" hidden="false" customHeight="false" outlineLevel="0" collapsed="false">
      <c r="A639" s="4"/>
      <c r="B639" s="2"/>
      <c r="C639" s="2"/>
      <c r="D639" s="2"/>
      <c r="E639" s="2"/>
      <c r="F639" s="3" t="str">
        <f aca="false">IFERROR(__xludf.dummyfunction("if($T639&lt;&gt;"""",REGEXEXTRACT(SUBSTITUTE ($T639,F$1&amp;"" CE"",""""), F$1&amp;""[\w &amp;]*, (\d+\.\d+)""),"""")
"),"")</f>
        <v/>
      </c>
      <c r="G639" s="3" t="str">
        <f aca="false">IFERROR(__xludf.dummyfunction("if($T639&lt;&gt;"""",REGEXEXTRACT($T639, G$1&amp;""[\w &amp;]*, (\d+\.\d+)""),"""")
"),"")</f>
        <v/>
      </c>
      <c r="H639" s="3"/>
      <c r="I639" s="3" t="str">
        <f aca="false">IFERROR(__xludf.dummyfunction("if($T639&lt;&gt;"""",REGEXEXTRACT(SUBSTITUTE ($T639,I$1&amp;"" CE"",""""), I$1&amp;""[\w &amp;]*, (\d+\.\d+)""),"""")
"),"")</f>
        <v/>
      </c>
      <c r="J639" s="3" t="str">
        <f aca="false">IFERROR(__xludf.dummyfunction("if($T639&lt;&gt;"""",REGEXEXTRACT($T639, J$1&amp;""[\w &amp;]*, (\d+\.\d+)""),"""")
"),"")</f>
        <v/>
      </c>
      <c r="K639" s="3"/>
      <c r="L639" s="3" t="str">
        <f aca="false">IFERROR(__xludf.dummyfunction("if($T639&lt;&gt;"""",REGEXEXTRACT(SUBSTITUTE ($T639,L$1&amp;"" CE"",""""), L$1&amp;""[\w &amp;]*, (\d+\.\d+)""),"""")
"),"")</f>
        <v/>
      </c>
      <c r="M639" s="3" t="str">
        <f aca="false">IFERROR(__xludf.dummyfunction("if($T639&lt;&gt;"""",REGEXEXTRACT($T639, M$1&amp;""[\w &amp;]*, (\d+\.\d+)""),"""")
"),"")</f>
        <v/>
      </c>
      <c r="N639" s="3" t="str">
        <f aca="false">IFERROR(__xludf.dummyfunction("if($T639&lt;&gt;"""",REGEXEXTRACT(SUBSTITUTE ($T639,N$1&amp;"" CE"",""""), N$1&amp;""[\w &amp;]*, (\d+\.\d+)""),"""")
"),"")</f>
        <v/>
      </c>
      <c r="O639" s="3" t="str">
        <f aca="false">IFERROR(__xludf.dummyfunction("if($T639&lt;&gt;"""",REGEXEXTRACT($T639, O$1&amp;""[\w &amp;]*, (\d+\.\d+)""),"""")
"),"")</f>
        <v/>
      </c>
      <c r="P639" s="2"/>
      <c r="Q639" s="2"/>
      <c r="R639" s="2"/>
      <c r="S639" s="2"/>
      <c r="T639" s="5"/>
    </row>
    <row r="640" customFormat="false" ht="15.75" hidden="false" customHeight="false" outlineLevel="0" collapsed="false">
      <c r="A640" s="4"/>
      <c r="B640" s="2"/>
      <c r="C640" s="2"/>
      <c r="D640" s="2"/>
      <c r="E640" s="2"/>
      <c r="F640" s="3" t="str">
        <f aca="false">IFERROR(__xludf.dummyfunction("if($T640&lt;&gt;"""",REGEXEXTRACT(SUBSTITUTE ($T640,F$1&amp;"" CE"",""""), F$1&amp;""[\w &amp;]*, (\d+\.\d+)""),"""")
"),"")</f>
        <v/>
      </c>
      <c r="G640" s="3" t="str">
        <f aca="false">IFERROR(__xludf.dummyfunction("if($T640&lt;&gt;"""",REGEXEXTRACT($T640, G$1&amp;""[\w &amp;]*, (\d+\.\d+)""),"""")
"),"")</f>
        <v/>
      </c>
      <c r="H640" s="3"/>
      <c r="I640" s="3" t="str">
        <f aca="false">IFERROR(__xludf.dummyfunction("if($T640&lt;&gt;"""",REGEXEXTRACT(SUBSTITUTE ($T640,I$1&amp;"" CE"",""""), I$1&amp;""[\w &amp;]*, (\d+\.\d+)""),"""")
"),"")</f>
        <v/>
      </c>
      <c r="J640" s="3" t="str">
        <f aca="false">IFERROR(__xludf.dummyfunction("if($T640&lt;&gt;"""",REGEXEXTRACT($T640, J$1&amp;""[\w &amp;]*, (\d+\.\d+)""),"""")
"),"")</f>
        <v/>
      </c>
      <c r="K640" s="3"/>
      <c r="L640" s="3" t="str">
        <f aca="false">IFERROR(__xludf.dummyfunction("if($T640&lt;&gt;"""",REGEXEXTRACT(SUBSTITUTE ($T640,L$1&amp;"" CE"",""""), L$1&amp;""[\w &amp;]*, (\d+\.\d+)""),"""")
"),"")</f>
        <v/>
      </c>
      <c r="M640" s="3" t="str">
        <f aca="false">IFERROR(__xludf.dummyfunction("if($T640&lt;&gt;"""",REGEXEXTRACT($T640, M$1&amp;""[\w &amp;]*, (\d+\.\d+)""),"""")
"),"")</f>
        <v/>
      </c>
      <c r="N640" s="3" t="str">
        <f aca="false">IFERROR(__xludf.dummyfunction("if($T640&lt;&gt;"""",REGEXEXTRACT(SUBSTITUTE ($T640,N$1&amp;"" CE"",""""), N$1&amp;""[\w &amp;]*, (\d+\.\d+)""),"""")
"),"")</f>
        <v/>
      </c>
      <c r="O640" s="3" t="str">
        <f aca="false">IFERROR(__xludf.dummyfunction("if($T640&lt;&gt;"""",REGEXEXTRACT($T640, O$1&amp;""[\w &amp;]*, (\d+\.\d+)""),"""")
"),"")</f>
        <v/>
      </c>
      <c r="P640" s="2"/>
      <c r="Q640" s="2"/>
      <c r="R640" s="2"/>
      <c r="S640" s="2"/>
      <c r="T640" s="5"/>
    </row>
    <row r="641" customFormat="false" ht="15.75" hidden="false" customHeight="false" outlineLevel="0" collapsed="false">
      <c r="A641" s="4"/>
      <c r="B641" s="2"/>
      <c r="C641" s="2"/>
      <c r="D641" s="2"/>
      <c r="E641" s="2"/>
      <c r="F641" s="3" t="str">
        <f aca="false">IFERROR(__xludf.dummyfunction("if($T641&lt;&gt;"""",REGEXEXTRACT(SUBSTITUTE ($T641,F$1&amp;"" CE"",""""), F$1&amp;""[\w &amp;]*, (\d+\.\d+)""),"""")
"),"")</f>
        <v/>
      </c>
      <c r="G641" s="3" t="str">
        <f aca="false">IFERROR(__xludf.dummyfunction("if($T641&lt;&gt;"""",REGEXEXTRACT($T641, G$1&amp;""[\w &amp;]*, (\d+\.\d+)""),"""")
"),"")</f>
        <v/>
      </c>
      <c r="H641" s="3"/>
      <c r="I641" s="3" t="str">
        <f aca="false">IFERROR(__xludf.dummyfunction("if($T641&lt;&gt;"""",REGEXEXTRACT(SUBSTITUTE ($T641,I$1&amp;"" CE"",""""), I$1&amp;""[\w &amp;]*, (\d+\.\d+)""),"""")
"),"")</f>
        <v/>
      </c>
      <c r="J641" s="3" t="str">
        <f aca="false">IFERROR(__xludf.dummyfunction("if($T641&lt;&gt;"""",REGEXEXTRACT($T641, J$1&amp;""[\w &amp;]*, (\d+\.\d+)""),"""")
"),"")</f>
        <v/>
      </c>
      <c r="K641" s="3"/>
      <c r="L641" s="3" t="str">
        <f aca="false">IFERROR(__xludf.dummyfunction("if($T641&lt;&gt;"""",REGEXEXTRACT(SUBSTITUTE ($T641,L$1&amp;"" CE"",""""), L$1&amp;""[\w &amp;]*, (\d+\.\d+)""),"""")
"),"")</f>
        <v/>
      </c>
      <c r="M641" s="3" t="str">
        <f aca="false">IFERROR(__xludf.dummyfunction("if($T641&lt;&gt;"""",REGEXEXTRACT($T641, M$1&amp;""[\w &amp;]*, (\d+\.\d+)""),"""")
"),"")</f>
        <v/>
      </c>
      <c r="N641" s="3" t="str">
        <f aca="false">IFERROR(__xludf.dummyfunction("if($T641&lt;&gt;"""",REGEXEXTRACT(SUBSTITUTE ($T641,N$1&amp;"" CE"",""""), N$1&amp;""[\w &amp;]*, (\d+\.\d+)""),"""")
"),"")</f>
        <v/>
      </c>
      <c r="O641" s="3" t="str">
        <f aca="false">IFERROR(__xludf.dummyfunction("if($T641&lt;&gt;"""",REGEXEXTRACT($T641, O$1&amp;""[\w &amp;]*, (\d+\.\d+)""),"""")
"),"")</f>
        <v/>
      </c>
      <c r="P641" s="2"/>
      <c r="Q641" s="2"/>
      <c r="R641" s="2"/>
      <c r="S641" s="2"/>
      <c r="T641" s="5"/>
    </row>
    <row r="642" customFormat="false" ht="15.75" hidden="false" customHeight="false" outlineLevel="0" collapsed="false">
      <c r="A642" s="4"/>
      <c r="B642" s="2"/>
      <c r="C642" s="2"/>
      <c r="D642" s="2"/>
      <c r="E642" s="2"/>
      <c r="F642" s="3" t="str">
        <f aca="false">IFERROR(__xludf.dummyfunction("if($T642&lt;&gt;"""",REGEXEXTRACT(SUBSTITUTE ($T642,F$1&amp;"" CE"",""""), F$1&amp;""[\w &amp;]*, (\d+\.\d+)""),"""")
"),"")</f>
        <v/>
      </c>
      <c r="G642" s="3" t="str">
        <f aca="false">IFERROR(__xludf.dummyfunction("if($T642&lt;&gt;"""",REGEXEXTRACT($T642, G$1&amp;""[\w &amp;]*, (\d+\.\d+)""),"""")
"),"")</f>
        <v/>
      </c>
      <c r="H642" s="3"/>
      <c r="I642" s="3" t="str">
        <f aca="false">IFERROR(__xludf.dummyfunction("if($T642&lt;&gt;"""",REGEXEXTRACT(SUBSTITUTE ($T642,I$1&amp;"" CE"",""""), I$1&amp;""[\w &amp;]*, (\d+\.\d+)""),"""")
"),"")</f>
        <v/>
      </c>
      <c r="J642" s="3" t="str">
        <f aca="false">IFERROR(__xludf.dummyfunction("if($T642&lt;&gt;"""",REGEXEXTRACT($T642, J$1&amp;""[\w &amp;]*, (\d+\.\d+)""),"""")
"),"")</f>
        <v/>
      </c>
      <c r="K642" s="3"/>
      <c r="L642" s="3" t="str">
        <f aca="false">IFERROR(__xludf.dummyfunction("if($T642&lt;&gt;"""",REGEXEXTRACT(SUBSTITUTE ($T642,L$1&amp;"" CE"",""""), L$1&amp;""[\w &amp;]*, (\d+\.\d+)""),"""")
"),"")</f>
        <v/>
      </c>
      <c r="M642" s="3" t="str">
        <f aca="false">IFERROR(__xludf.dummyfunction("if($T642&lt;&gt;"""",REGEXEXTRACT($T642, M$1&amp;""[\w &amp;]*, (\d+\.\d+)""),"""")
"),"")</f>
        <v/>
      </c>
      <c r="N642" s="3" t="str">
        <f aca="false">IFERROR(__xludf.dummyfunction("if($T642&lt;&gt;"""",REGEXEXTRACT(SUBSTITUTE ($T642,N$1&amp;"" CE"",""""), N$1&amp;""[\w &amp;]*, (\d+\.\d+)""),"""")
"),"")</f>
        <v/>
      </c>
      <c r="O642" s="3" t="str">
        <f aca="false">IFERROR(__xludf.dummyfunction("if($T642&lt;&gt;"""",REGEXEXTRACT($T642, O$1&amp;""[\w &amp;]*, (\d+\.\d+)""),"""")
"),"")</f>
        <v/>
      </c>
      <c r="P642" s="2"/>
      <c r="Q642" s="2"/>
      <c r="R642" s="2"/>
      <c r="S642" s="2"/>
      <c r="T642" s="5"/>
    </row>
    <row r="643" customFormat="false" ht="15.75" hidden="false" customHeight="false" outlineLevel="0" collapsed="false">
      <c r="A643" s="4"/>
      <c r="B643" s="2"/>
      <c r="C643" s="2"/>
      <c r="D643" s="2"/>
      <c r="E643" s="2"/>
      <c r="F643" s="3" t="str">
        <f aca="false">IFERROR(__xludf.dummyfunction("if($T643&lt;&gt;"""",REGEXEXTRACT(SUBSTITUTE ($T643,F$1&amp;"" CE"",""""), F$1&amp;""[\w &amp;]*, (\d+\.\d+)""),"""")
"),"")</f>
        <v/>
      </c>
      <c r="G643" s="3" t="str">
        <f aca="false">IFERROR(__xludf.dummyfunction("if($T643&lt;&gt;"""",REGEXEXTRACT($T643, G$1&amp;""[\w &amp;]*, (\d+\.\d+)""),"""")
"),"")</f>
        <v/>
      </c>
      <c r="H643" s="3"/>
      <c r="I643" s="3" t="str">
        <f aca="false">IFERROR(__xludf.dummyfunction("if($T643&lt;&gt;"""",REGEXEXTRACT(SUBSTITUTE ($T643,I$1&amp;"" CE"",""""), I$1&amp;""[\w &amp;]*, (\d+\.\d+)""),"""")
"),"")</f>
        <v/>
      </c>
      <c r="J643" s="3" t="str">
        <f aca="false">IFERROR(__xludf.dummyfunction("if($T643&lt;&gt;"""",REGEXEXTRACT($T643, J$1&amp;""[\w &amp;]*, (\d+\.\d+)""),"""")
"),"")</f>
        <v/>
      </c>
      <c r="K643" s="3"/>
      <c r="L643" s="3" t="str">
        <f aca="false">IFERROR(__xludf.dummyfunction("if($T643&lt;&gt;"""",REGEXEXTRACT(SUBSTITUTE ($T643,L$1&amp;"" CE"",""""), L$1&amp;""[\w &amp;]*, (\d+\.\d+)""),"""")
"),"")</f>
        <v/>
      </c>
      <c r="M643" s="3" t="str">
        <f aca="false">IFERROR(__xludf.dummyfunction("if($T643&lt;&gt;"""",REGEXEXTRACT($T643, M$1&amp;""[\w &amp;]*, (\d+\.\d+)""),"""")
"),"")</f>
        <v/>
      </c>
      <c r="N643" s="3" t="str">
        <f aca="false">IFERROR(__xludf.dummyfunction("if($T643&lt;&gt;"""",REGEXEXTRACT(SUBSTITUTE ($T643,N$1&amp;"" CE"",""""), N$1&amp;""[\w &amp;]*, (\d+\.\d+)""),"""")
"),"")</f>
        <v/>
      </c>
      <c r="O643" s="3" t="str">
        <f aca="false">IFERROR(__xludf.dummyfunction("if($T643&lt;&gt;"""",REGEXEXTRACT($T643, O$1&amp;""[\w &amp;]*, (\d+\.\d+)""),"""")
"),"")</f>
        <v/>
      </c>
      <c r="P643" s="2"/>
      <c r="Q643" s="2"/>
      <c r="R643" s="2"/>
      <c r="S643" s="2"/>
      <c r="T643" s="5"/>
    </row>
    <row r="644" customFormat="false" ht="15.75" hidden="false" customHeight="false" outlineLevel="0" collapsed="false">
      <c r="A644" s="4"/>
      <c r="B644" s="2"/>
      <c r="C644" s="2"/>
      <c r="D644" s="2"/>
      <c r="E644" s="2"/>
      <c r="F644" s="3" t="str">
        <f aca="false">IFERROR(__xludf.dummyfunction("if($T644&lt;&gt;"""",REGEXEXTRACT(SUBSTITUTE ($T644,F$1&amp;"" CE"",""""), F$1&amp;""[\w &amp;]*, (\d+\.\d+)""),"""")
"),"")</f>
        <v/>
      </c>
      <c r="G644" s="3" t="str">
        <f aca="false">IFERROR(__xludf.dummyfunction("if($T644&lt;&gt;"""",REGEXEXTRACT($T644, G$1&amp;""[\w &amp;]*, (\d+\.\d+)""),"""")
"),"")</f>
        <v/>
      </c>
      <c r="H644" s="3"/>
      <c r="I644" s="3" t="str">
        <f aca="false">IFERROR(__xludf.dummyfunction("if($T644&lt;&gt;"""",REGEXEXTRACT(SUBSTITUTE ($T644,I$1&amp;"" CE"",""""), I$1&amp;""[\w &amp;]*, (\d+\.\d+)""),"""")
"),"")</f>
        <v/>
      </c>
      <c r="J644" s="3" t="str">
        <f aca="false">IFERROR(__xludf.dummyfunction("if($T644&lt;&gt;"""",REGEXEXTRACT($T644, J$1&amp;""[\w &amp;]*, (\d+\.\d+)""),"""")
"),"")</f>
        <v/>
      </c>
      <c r="K644" s="3"/>
      <c r="L644" s="3" t="str">
        <f aca="false">IFERROR(__xludf.dummyfunction("if($T644&lt;&gt;"""",REGEXEXTRACT(SUBSTITUTE ($T644,L$1&amp;"" CE"",""""), L$1&amp;""[\w &amp;]*, (\d+\.\d+)""),"""")
"),"")</f>
        <v/>
      </c>
      <c r="M644" s="3" t="str">
        <f aca="false">IFERROR(__xludf.dummyfunction("if($T644&lt;&gt;"""",REGEXEXTRACT($T644, M$1&amp;""[\w &amp;]*, (\d+\.\d+)""),"""")
"),"")</f>
        <v/>
      </c>
      <c r="N644" s="3" t="str">
        <f aca="false">IFERROR(__xludf.dummyfunction("if($T644&lt;&gt;"""",REGEXEXTRACT(SUBSTITUTE ($T644,N$1&amp;"" CE"",""""), N$1&amp;""[\w &amp;]*, (\d+\.\d+)""),"""")
"),"")</f>
        <v/>
      </c>
      <c r="O644" s="3" t="str">
        <f aca="false">IFERROR(__xludf.dummyfunction("if($T644&lt;&gt;"""",REGEXEXTRACT($T644, O$1&amp;""[\w &amp;]*, (\d+\.\d+)""),"""")
"),"")</f>
        <v/>
      </c>
      <c r="P644" s="2"/>
      <c r="Q644" s="2"/>
      <c r="R644" s="2"/>
      <c r="S644" s="2"/>
      <c r="T644" s="5"/>
    </row>
    <row r="645" customFormat="false" ht="15.75" hidden="false" customHeight="false" outlineLevel="0" collapsed="false">
      <c r="A645" s="4"/>
      <c r="B645" s="2"/>
      <c r="C645" s="2"/>
      <c r="D645" s="2"/>
      <c r="E645" s="2"/>
      <c r="F645" s="3" t="str">
        <f aca="false">IFERROR(__xludf.dummyfunction("if($T645&lt;&gt;"""",REGEXEXTRACT(SUBSTITUTE ($T645,F$1&amp;"" CE"",""""), F$1&amp;""[\w &amp;]*, (\d+\.\d+)""),"""")
"),"")</f>
        <v/>
      </c>
      <c r="G645" s="3" t="str">
        <f aca="false">IFERROR(__xludf.dummyfunction("if($T645&lt;&gt;"""",REGEXEXTRACT($T645, G$1&amp;""[\w &amp;]*, (\d+\.\d+)""),"""")
"),"")</f>
        <v/>
      </c>
      <c r="H645" s="3"/>
      <c r="I645" s="3" t="str">
        <f aca="false">IFERROR(__xludf.dummyfunction("if($T645&lt;&gt;"""",REGEXEXTRACT(SUBSTITUTE ($T645,I$1&amp;"" CE"",""""), I$1&amp;""[\w &amp;]*, (\d+\.\d+)""),"""")
"),"")</f>
        <v/>
      </c>
      <c r="J645" s="3" t="str">
        <f aca="false">IFERROR(__xludf.dummyfunction("if($T645&lt;&gt;"""",REGEXEXTRACT($T645, J$1&amp;""[\w &amp;]*, (\d+\.\d+)""),"""")
"),"")</f>
        <v/>
      </c>
      <c r="K645" s="3"/>
      <c r="L645" s="3" t="str">
        <f aca="false">IFERROR(__xludf.dummyfunction("if($T645&lt;&gt;"""",REGEXEXTRACT(SUBSTITUTE ($T645,L$1&amp;"" CE"",""""), L$1&amp;""[\w &amp;]*, (\d+\.\d+)""),"""")
"),"")</f>
        <v/>
      </c>
      <c r="M645" s="3" t="str">
        <f aca="false">IFERROR(__xludf.dummyfunction("if($T645&lt;&gt;"""",REGEXEXTRACT($T645, M$1&amp;""[\w &amp;]*, (\d+\.\d+)""),"""")
"),"")</f>
        <v/>
      </c>
      <c r="N645" s="3" t="str">
        <f aca="false">IFERROR(__xludf.dummyfunction("if($T645&lt;&gt;"""",REGEXEXTRACT(SUBSTITUTE ($T645,N$1&amp;"" CE"",""""), N$1&amp;""[\w &amp;]*, (\d+\.\d+)""),"""")
"),"")</f>
        <v/>
      </c>
      <c r="O645" s="3" t="str">
        <f aca="false">IFERROR(__xludf.dummyfunction("if($T645&lt;&gt;"""",REGEXEXTRACT($T645, O$1&amp;""[\w &amp;]*, (\d+\.\d+)""),"""")
"),"")</f>
        <v/>
      </c>
      <c r="P645" s="2"/>
      <c r="Q645" s="2"/>
      <c r="R645" s="2"/>
      <c r="S645" s="2"/>
      <c r="T645" s="5"/>
    </row>
    <row r="646" customFormat="false" ht="15.75" hidden="false" customHeight="false" outlineLevel="0" collapsed="false">
      <c r="A646" s="4"/>
      <c r="B646" s="2"/>
      <c r="C646" s="2"/>
      <c r="D646" s="2"/>
      <c r="E646" s="2"/>
      <c r="F646" s="3" t="str">
        <f aca="false">IFERROR(__xludf.dummyfunction("if($T646&lt;&gt;"""",REGEXEXTRACT(SUBSTITUTE ($T646,F$1&amp;"" CE"",""""), F$1&amp;""[\w &amp;]*, (\d+\.\d+)""),"""")
"),"")</f>
        <v/>
      </c>
      <c r="G646" s="3" t="str">
        <f aca="false">IFERROR(__xludf.dummyfunction("if($T646&lt;&gt;"""",REGEXEXTRACT($T646, G$1&amp;""[\w &amp;]*, (\d+\.\d+)""),"""")
"),"")</f>
        <v/>
      </c>
      <c r="H646" s="3"/>
      <c r="I646" s="3" t="str">
        <f aca="false">IFERROR(__xludf.dummyfunction("if($T646&lt;&gt;"""",REGEXEXTRACT(SUBSTITUTE ($T646,I$1&amp;"" CE"",""""), I$1&amp;""[\w &amp;]*, (\d+\.\d+)""),"""")
"),"")</f>
        <v/>
      </c>
      <c r="J646" s="3" t="str">
        <f aca="false">IFERROR(__xludf.dummyfunction("if($T646&lt;&gt;"""",REGEXEXTRACT($T646, J$1&amp;""[\w &amp;]*, (\d+\.\d+)""),"""")
"),"")</f>
        <v/>
      </c>
      <c r="K646" s="3"/>
      <c r="L646" s="3" t="str">
        <f aca="false">IFERROR(__xludf.dummyfunction("if($T646&lt;&gt;"""",REGEXEXTRACT(SUBSTITUTE ($T646,L$1&amp;"" CE"",""""), L$1&amp;""[\w &amp;]*, (\d+\.\d+)""),"""")
"),"")</f>
        <v/>
      </c>
      <c r="M646" s="3" t="str">
        <f aca="false">IFERROR(__xludf.dummyfunction("if($T646&lt;&gt;"""",REGEXEXTRACT($T646, M$1&amp;""[\w &amp;]*, (\d+\.\d+)""),"""")
"),"")</f>
        <v/>
      </c>
      <c r="N646" s="3" t="str">
        <f aca="false">IFERROR(__xludf.dummyfunction("if($T646&lt;&gt;"""",REGEXEXTRACT(SUBSTITUTE ($T646,N$1&amp;"" CE"",""""), N$1&amp;""[\w &amp;]*, (\d+\.\d+)""),"""")
"),"")</f>
        <v/>
      </c>
      <c r="O646" s="3" t="str">
        <f aca="false">IFERROR(__xludf.dummyfunction("if($T646&lt;&gt;"""",REGEXEXTRACT($T646, O$1&amp;""[\w &amp;]*, (\d+\.\d+)""),"""")
"),"")</f>
        <v/>
      </c>
      <c r="P646" s="2"/>
      <c r="Q646" s="2"/>
      <c r="R646" s="2"/>
      <c r="S646" s="2"/>
      <c r="T646" s="5"/>
    </row>
    <row r="647" customFormat="false" ht="15.75" hidden="false" customHeight="false" outlineLevel="0" collapsed="false">
      <c r="A647" s="4"/>
      <c r="B647" s="2"/>
      <c r="C647" s="2"/>
      <c r="D647" s="2"/>
      <c r="E647" s="2"/>
      <c r="F647" s="3" t="str">
        <f aca="false">IFERROR(__xludf.dummyfunction("if($T647&lt;&gt;"""",REGEXEXTRACT(SUBSTITUTE ($T647,F$1&amp;"" CE"",""""), F$1&amp;""[\w &amp;]*, (\d+\.\d+)""),"""")
"),"")</f>
        <v/>
      </c>
      <c r="G647" s="3" t="str">
        <f aca="false">IFERROR(__xludf.dummyfunction("if($T647&lt;&gt;"""",REGEXEXTRACT($T647, G$1&amp;""[\w &amp;]*, (\d+\.\d+)""),"""")
"),"")</f>
        <v/>
      </c>
      <c r="H647" s="3"/>
      <c r="I647" s="3" t="str">
        <f aca="false">IFERROR(__xludf.dummyfunction("if($T647&lt;&gt;"""",REGEXEXTRACT(SUBSTITUTE ($T647,I$1&amp;"" CE"",""""), I$1&amp;""[\w &amp;]*, (\d+\.\d+)""),"""")
"),"")</f>
        <v/>
      </c>
      <c r="J647" s="3" t="str">
        <f aca="false">IFERROR(__xludf.dummyfunction("if($T647&lt;&gt;"""",REGEXEXTRACT($T647, J$1&amp;""[\w &amp;]*, (\d+\.\d+)""),"""")
"),"")</f>
        <v/>
      </c>
      <c r="K647" s="3"/>
      <c r="L647" s="3" t="str">
        <f aca="false">IFERROR(__xludf.dummyfunction("if($T647&lt;&gt;"""",REGEXEXTRACT(SUBSTITUTE ($T647,L$1&amp;"" CE"",""""), L$1&amp;""[\w &amp;]*, (\d+\.\d+)""),"""")
"),"")</f>
        <v/>
      </c>
      <c r="M647" s="3" t="str">
        <f aca="false">IFERROR(__xludf.dummyfunction("if($T647&lt;&gt;"""",REGEXEXTRACT($T647, M$1&amp;""[\w &amp;]*, (\d+\.\d+)""),"""")
"),"")</f>
        <v/>
      </c>
      <c r="N647" s="3" t="str">
        <f aca="false">IFERROR(__xludf.dummyfunction("if($T647&lt;&gt;"""",REGEXEXTRACT(SUBSTITUTE ($T647,N$1&amp;"" CE"",""""), N$1&amp;""[\w &amp;]*, (\d+\.\d+)""),"""")
"),"")</f>
        <v/>
      </c>
      <c r="O647" s="3" t="str">
        <f aca="false">IFERROR(__xludf.dummyfunction("if($T647&lt;&gt;"""",REGEXEXTRACT($T647, O$1&amp;""[\w &amp;]*, (\d+\.\d+)""),"""")
"),"")</f>
        <v/>
      </c>
      <c r="P647" s="2"/>
      <c r="Q647" s="2"/>
      <c r="R647" s="2"/>
      <c r="S647" s="2"/>
      <c r="T647" s="5"/>
    </row>
    <row r="648" customFormat="false" ht="15.75" hidden="false" customHeight="false" outlineLevel="0" collapsed="false">
      <c r="A648" s="4"/>
      <c r="B648" s="2"/>
      <c r="C648" s="2"/>
      <c r="D648" s="2"/>
      <c r="E648" s="2"/>
      <c r="F648" s="3" t="str">
        <f aca="false">IFERROR(__xludf.dummyfunction("if($T648&lt;&gt;"""",REGEXEXTRACT(SUBSTITUTE ($T648,F$1&amp;"" CE"",""""), F$1&amp;""[\w &amp;]*, (\d+\.\d+)""),"""")
"),"")</f>
        <v/>
      </c>
      <c r="G648" s="3" t="str">
        <f aca="false">IFERROR(__xludf.dummyfunction("if($T648&lt;&gt;"""",REGEXEXTRACT($T648, G$1&amp;""[\w &amp;]*, (\d+\.\d+)""),"""")
"),"")</f>
        <v/>
      </c>
      <c r="H648" s="3"/>
      <c r="I648" s="3" t="str">
        <f aca="false">IFERROR(__xludf.dummyfunction("if($T648&lt;&gt;"""",REGEXEXTRACT(SUBSTITUTE ($T648,I$1&amp;"" CE"",""""), I$1&amp;""[\w &amp;]*, (\d+\.\d+)""),"""")
"),"")</f>
        <v/>
      </c>
      <c r="J648" s="3" t="str">
        <f aca="false">IFERROR(__xludf.dummyfunction("if($T648&lt;&gt;"""",REGEXEXTRACT($T648, J$1&amp;""[\w &amp;]*, (\d+\.\d+)""),"""")
"),"")</f>
        <v/>
      </c>
      <c r="K648" s="3"/>
      <c r="L648" s="3" t="str">
        <f aca="false">IFERROR(__xludf.dummyfunction("if($T648&lt;&gt;"""",REGEXEXTRACT(SUBSTITUTE ($T648,L$1&amp;"" CE"",""""), L$1&amp;""[\w &amp;]*, (\d+\.\d+)""),"""")
"),"")</f>
        <v/>
      </c>
      <c r="M648" s="3" t="str">
        <f aca="false">IFERROR(__xludf.dummyfunction("if($T648&lt;&gt;"""",REGEXEXTRACT($T648, M$1&amp;""[\w &amp;]*, (\d+\.\d+)""),"""")
"),"")</f>
        <v/>
      </c>
      <c r="N648" s="3" t="str">
        <f aca="false">IFERROR(__xludf.dummyfunction("if($T648&lt;&gt;"""",REGEXEXTRACT(SUBSTITUTE ($T648,N$1&amp;"" CE"",""""), N$1&amp;""[\w &amp;]*, (\d+\.\d+)""),"""")
"),"")</f>
        <v/>
      </c>
      <c r="O648" s="3" t="str">
        <f aca="false">IFERROR(__xludf.dummyfunction("if($T648&lt;&gt;"""",REGEXEXTRACT($T648, O$1&amp;""[\w &amp;]*, (\d+\.\d+)""),"""")
"),"")</f>
        <v/>
      </c>
      <c r="P648" s="2"/>
      <c r="Q648" s="2"/>
      <c r="R648" s="2"/>
      <c r="S648" s="2"/>
      <c r="T648" s="5"/>
    </row>
    <row r="649" customFormat="false" ht="15.75" hidden="false" customHeight="false" outlineLevel="0" collapsed="false">
      <c r="A649" s="4"/>
      <c r="B649" s="2"/>
      <c r="C649" s="2"/>
      <c r="D649" s="2"/>
      <c r="E649" s="2"/>
      <c r="F649" s="3" t="str">
        <f aca="false">IFERROR(__xludf.dummyfunction("if($T649&lt;&gt;"""",REGEXEXTRACT(SUBSTITUTE ($T649,F$1&amp;"" CE"",""""), F$1&amp;""[\w &amp;]*, (\d+\.\d+)""),"""")
"),"")</f>
        <v/>
      </c>
      <c r="G649" s="3" t="str">
        <f aca="false">IFERROR(__xludf.dummyfunction("if($T649&lt;&gt;"""",REGEXEXTRACT($T649, G$1&amp;""[\w &amp;]*, (\d+\.\d+)""),"""")
"),"")</f>
        <v/>
      </c>
      <c r="H649" s="3"/>
      <c r="I649" s="3" t="str">
        <f aca="false">IFERROR(__xludf.dummyfunction("if($T649&lt;&gt;"""",REGEXEXTRACT(SUBSTITUTE ($T649,I$1&amp;"" CE"",""""), I$1&amp;""[\w &amp;]*, (\d+\.\d+)""),"""")
"),"")</f>
        <v/>
      </c>
      <c r="J649" s="3" t="str">
        <f aca="false">IFERROR(__xludf.dummyfunction("if($T649&lt;&gt;"""",REGEXEXTRACT($T649, J$1&amp;""[\w &amp;]*, (\d+\.\d+)""),"""")
"),"")</f>
        <v/>
      </c>
      <c r="K649" s="3"/>
      <c r="L649" s="3" t="str">
        <f aca="false">IFERROR(__xludf.dummyfunction("if($T649&lt;&gt;"""",REGEXEXTRACT(SUBSTITUTE ($T649,L$1&amp;"" CE"",""""), L$1&amp;""[\w &amp;]*, (\d+\.\d+)""),"""")
"),"")</f>
        <v/>
      </c>
      <c r="M649" s="3" t="str">
        <f aca="false">IFERROR(__xludf.dummyfunction("if($T649&lt;&gt;"""",REGEXEXTRACT($T649, M$1&amp;""[\w &amp;]*, (\d+\.\d+)""),"""")
"),"")</f>
        <v/>
      </c>
      <c r="N649" s="3" t="str">
        <f aca="false">IFERROR(__xludf.dummyfunction("if($T649&lt;&gt;"""",REGEXEXTRACT(SUBSTITUTE ($T649,N$1&amp;"" CE"",""""), N$1&amp;""[\w &amp;]*, (\d+\.\d+)""),"""")
"),"")</f>
        <v/>
      </c>
      <c r="O649" s="3" t="str">
        <f aca="false">IFERROR(__xludf.dummyfunction("if($T649&lt;&gt;"""",REGEXEXTRACT($T649, O$1&amp;""[\w &amp;]*, (\d+\.\d+)""),"""")
"),"")</f>
        <v/>
      </c>
      <c r="P649" s="2"/>
      <c r="Q649" s="2"/>
      <c r="R649" s="2"/>
      <c r="S649" s="2"/>
      <c r="T649" s="5"/>
    </row>
    <row r="650" customFormat="false" ht="15.75" hidden="false" customHeight="false" outlineLevel="0" collapsed="false">
      <c r="A650" s="4"/>
      <c r="B650" s="2"/>
      <c r="C650" s="2"/>
      <c r="D650" s="2"/>
      <c r="E650" s="2"/>
      <c r="F650" s="3" t="str">
        <f aca="false">IFERROR(__xludf.dummyfunction("if($T650&lt;&gt;"""",REGEXEXTRACT(SUBSTITUTE ($T650,F$1&amp;"" CE"",""""), F$1&amp;""[\w &amp;]*, (\d+\.\d+)""),"""")
"),"")</f>
        <v/>
      </c>
      <c r="G650" s="3" t="str">
        <f aca="false">IFERROR(__xludf.dummyfunction("if($T650&lt;&gt;"""",REGEXEXTRACT($T650, G$1&amp;""[\w &amp;]*, (\d+\.\d+)""),"""")
"),"")</f>
        <v/>
      </c>
      <c r="H650" s="3"/>
      <c r="I650" s="3" t="str">
        <f aca="false">IFERROR(__xludf.dummyfunction("if($T650&lt;&gt;"""",REGEXEXTRACT(SUBSTITUTE ($T650,I$1&amp;"" CE"",""""), I$1&amp;""[\w &amp;]*, (\d+\.\d+)""),"""")
"),"")</f>
        <v/>
      </c>
      <c r="J650" s="3" t="str">
        <f aca="false">IFERROR(__xludf.dummyfunction("if($T650&lt;&gt;"""",REGEXEXTRACT($T650, J$1&amp;""[\w &amp;]*, (\d+\.\d+)""),"""")
"),"")</f>
        <v/>
      </c>
      <c r="K650" s="3"/>
      <c r="L650" s="3" t="str">
        <f aca="false">IFERROR(__xludf.dummyfunction("if($T650&lt;&gt;"""",REGEXEXTRACT(SUBSTITUTE ($T650,L$1&amp;"" CE"",""""), L$1&amp;""[\w &amp;]*, (\d+\.\d+)""),"""")
"),"")</f>
        <v/>
      </c>
      <c r="M650" s="3" t="str">
        <f aca="false">IFERROR(__xludf.dummyfunction("if($T650&lt;&gt;"""",REGEXEXTRACT($T650, M$1&amp;""[\w &amp;]*, (\d+\.\d+)""),"""")
"),"")</f>
        <v/>
      </c>
      <c r="N650" s="3" t="str">
        <f aca="false">IFERROR(__xludf.dummyfunction("if($T650&lt;&gt;"""",REGEXEXTRACT(SUBSTITUTE ($T650,N$1&amp;"" CE"",""""), N$1&amp;""[\w &amp;]*, (\d+\.\d+)""),"""")
"),"")</f>
        <v/>
      </c>
      <c r="O650" s="3" t="str">
        <f aca="false">IFERROR(__xludf.dummyfunction("if($T650&lt;&gt;"""",REGEXEXTRACT($T650, O$1&amp;""[\w &amp;]*, (\d+\.\d+)""),"""")
"),"")</f>
        <v/>
      </c>
      <c r="P650" s="2"/>
      <c r="Q650" s="2"/>
      <c r="R650" s="2"/>
      <c r="S650" s="2"/>
      <c r="T650" s="5"/>
    </row>
    <row r="651" customFormat="false" ht="15.75" hidden="false" customHeight="false" outlineLevel="0" collapsed="false">
      <c r="A651" s="4"/>
      <c r="B651" s="2"/>
      <c r="C651" s="2"/>
      <c r="D651" s="2"/>
      <c r="E651" s="2"/>
      <c r="F651" s="3" t="str">
        <f aca="false">IFERROR(__xludf.dummyfunction("if($T651&lt;&gt;"""",REGEXEXTRACT(SUBSTITUTE ($T651,F$1&amp;"" CE"",""""), F$1&amp;""[\w &amp;]*, (\d+\.\d+)""),"""")
"),"")</f>
        <v/>
      </c>
      <c r="G651" s="3" t="str">
        <f aca="false">IFERROR(__xludf.dummyfunction("if($T651&lt;&gt;"""",REGEXEXTRACT($T651, G$1&amp;""[\w &amp;]*, (\d+\.\d+)""),"""")
"),"")</f>
        <v/>
      </c>
      <c r="H651" s="3"/>
      <c r="I651" s="3" t="str">
        <f aca="false">IFERROR(__xludf.dummyfunction("if($T651&lt;&gt;"""",REGEXEXTRACT(SUBSTITUTE ($T651,I$1&amp;"" CE"",""""), I$1&amp;""[\w &amp;]*, (\d+\.\d+)""),"""")
"),"")</f>
        <v/>
      </c>
      <c r="J651" s="3" t="str">
        <f aca="false">IFERROR(__xludf.dummyfunction("if($T651&lt;&gt;"""",REGEXEXTRACT($T651, J$1&amp;""[\w &amp;]*, (\d+\.\d+)""),"""")
"),"")</f>
        <v/>
      </c>
      <c r="K651" s="3"/>
      <c r="L651" s="3" t="str">
        <f aca="false">IFERROR(__xludf.dummyfunction("if($T651&lt;&gt;"""",REGEXEXTRACT(SUBSTITUTE ($T651,L$1&amp;"" CE"",""""), L$1&amp;""[\w &amp;]*, (\d+\.\d+)""),"""")
"),"")</f>
        <v/>
      </c>
      <c r="M651" s="3" t="str">
        <f aca="false">IFERROR(__xludf.dummyfunction("if($T651&lt;&gt;"""",REGEXEXTRACT($T651, M$1&amp;""[\w &amp;]*, (\d+\.\d+)""),"""")
"),"")</f>
        <v/>
      </c>
      <c r="N651" s="3" t="str">
        <f aca="false">IFERROR(__xludf.dummyfunction("if($T651&lt;&gt;"""",REGEXEXTRACT(SUBSTITUTE ($T651,N$1&amp;"" CE"",""""), N$1&amp;""[\w &amp;]*, (\d+\.\d+)""),"""")
"),"")</f>
        <v/>
      </c>
      <c r="O651" s="3" t="str">
        <f aca="false">IFERROR(__xludf.dummyfunction("if($T651&lt;&gt;"""",REGEXEXTRACT($T651, O$1&amp;""[\w &amp;]*, (\d+\.\d+)""),"""")
"),"")</f>
        <v/>
      </c>
      <c r="P651" s="2"/>
      <c r="Q651" s="2"/>
      <c r="R651" s="2"/>
      <c r="S651" s="2"/>
      <c r="T651" s="5"/>
    </row>
    <row r="652" customFormat="false" ht="15.75" hidden="false" customHeight="false" outlineLevel="0" collapsed="false">
      <c r="A652" s="4"/>
      <c r="B652" s="2"/>
      <c r="C652" s="2"/>
      <c r="D652" s="2"/>
      <c r="E652" s="2"/>
      <c r="F652" s="3" t="str">
        <f aca="false">IFERROR(__xludf.dummyfunction("if($T652&lt;&gt;"""",REGEXEXTRACT(SUBSTITUTE ($T652,F$1&amp;"" CE"",""""), F$1&amp;""[\w &amp;]*, (\d+\.\d+)""),"""")
"),"")</f>
        <v/>
      </c>
      <c r="G652" s="3" t="str">
        <f aca="false">IFERROR(__xludf.dummyfunction("if($T652&lt;&gt;"""",REGEXEXTRACT($T652, G$1&amp;""[\w &amp;]*, (\d+\.\d+)""),"""")
"),"")</f>
        <v/>
      </c>
      <c r="H652" s="3"/>
      <c r="I652" s="3" t="str">
        <f aca="false">IFERROR(__xludf.dummyfunction("if($T652&lt;&gt;"""",REGEXEXTRACT(SUBSTITUTE ($T652,I$1&amp;"" CE"",""""), I$1&amp;""[\w &amp;]*, (\d+\.\d+)""),"""")
"),"")</f>
        <v/>
      </c>
      <c r="J652" s="3" t="str">
        <f aca="false">IFERROR(__xludf.dummyfunction("if($T652&lt;&gt;"""",REGEXEXTRACT($T652, J$1&amp;""[\w &amp;]*, (\d+\.\d+)""),"""")
"),"")</f>
        <v/>
      </c>
      <c r="K652" s="3"/>
      <c r="L652" s="3" t="str">
        <f aca="false">IFERROR(__xludf.dummyfunction("if($T652&lt;&gt;"""",REGEXEXTRACT(SUBSTITUTE ($T652,L$1&amp;"" CE"",""""), L$1&amp;""[\w &amp;]*, (\d+\.\d+)""),"""")
"),"")</f>
        <v/>
      </c>
      <c r="M652" s="3" t="str">
        <f aca="false">IFERROR(__xludf.dummyfunction("if($T652&lt;&gt;"""",REGEXEXTRACT($T652, M$1&amp;""[\w &amp;]*, (\d+\.\d+)""),"""")
"),"")</f>
        <v/>
      </c>
      <c r="N652" s="3" t="str">
        <f aca="false">IFERROR(__xludf.dummyfunction("if($T652&lt;&gt;"""",REGEXEXTRACT(SUBSTITUTE ($T652,N$1&amp;"" CE"",""""), N$1&amp;""[\w &amp;]*, (\d+\.\d+)""),"""")
"),"")</f>
        <v/>
      </c>
      <c r="O652" s="3" t="str">
        <f aca="false">IFERROR(__xludf.dummyfunction("if($T652&lt;&gt;"""",REGEXEXTRACT($T652, O$1&amp;""[\w &amp;]*, (\d+\.\d+)""),"""")
"),"")</f>
        <v/>
      </c>
      <c r="P652" s="2"/>
      <c r="Q652" s="2"/>
      <c r="R652" s="2"/>
      <c r="S652" s="2"/>
      <c r="T652" s="5"/>
    </row>
    <row r="653" customFormat="false" ht="15.75" hidden="false" customHeight="false" outlineLevel="0" collapsed="false">
      <c r="A653" s="4"/>
      <c r="B653" s="2"/>
      <c r="C653" s="2"/>
      <c r="D653" s="2"/>
      <c r="E653" s="2"/>
      <c r="F653" s="3" t="str">
        <f aca="false">IFERROR(__xludf.dummyfunction("if($T653&lt;&gt;"""",REGEXEXTRACT(SUBSTITUTE ($T653,F$1&amp;"" CE"",""""), F$1&amp;""[\w &amp;]*, (\d+\.\d+)""),"""")
"),"")</f>
        <v/>
      </c>
      <c r="G653" s="3" t="str">
        <f aca="false">IFERROR(__xludf.dummyfunction("if($T653&lt;&gt;"""",REGEXEXTRACT($T653, G$1&amp;""[\w &amp;]*, (\d+\.\d+)""),"""")
"),"")</f>
        <v/>
      </c>
      <c r="H653" s="3"/>
      <c r="I653" s="3" t="str">
        <f aca="false">IFERROR(__xludf.dummyfunction("if($T653&lt;&gt;"""",REGEXEXTRACT(SUBSTITUTE ($T653,I$1&amp;"" CE"",""""), I$1&amp;""[\w &amp;]*, (\d+\.\d+)""),"""")
"),"")</f>
        <v/>
      </c>
      <c r="J653" s="3" t="str">
        <f aca="false">IFERROR(__xludf.dummyfunction("if($T653&lt;&gt;"""",REGEXEXTRACT($T653, J$1&amp;""[\w &amp;]*, (\d+\.\d+)""),"""")
"),"")</f>
        <v/>
      </c>
      <c r="K653" s="3"/>
      <c r="L653" s="3" t="str">
        <f aca="false">IFERROR(__xludf.dummyfunction("if($T653&lt;&gt;"""",REGEXEXTRACT(SUBSTITUTE ($T653,L$1&amp;"" CE"",""""), L$1&amp;""[\w &amp;]*, (\d+\.\d+)""),"""")
"),"")</f>
        <v/>
      </c>
      <c r="M653" s="3" t="str">
        <f aca="false">IFERROR(__xludf.dummyfunction("if($T653&lt;&gt;"""",REGEXEXTRACT($T653, M$1&amp;""[\w &amp;]*, (\d+\.\d+)""),"""")
"),"")</f>
        <v/>
      </c>
      <c r="N653" s="3" t="str">
        <f aca="false">IFERROR(__xludf.dummyfunction("if($T653&lt;&gt;"""",REGEXEXTRACT(SUBSTITUTE ($T653,N$1&amp;"" CE"",""""), N$1&amp;""[\w &amp;]*, (\d+\.\d+)""),"""")
"),"")</f>
        <v/>
      </c>
      <c r="O653" s="3" t="str">
        <f aca="false">IFERROR(__xludf.dummyfunction("if($T653&lt;&gt;"""",REGEXEXTRACT($T653, O$1&amp;""[\w &amp;]*, (\d+\.\d+)""),"""")
"),"")</f>
        <v/>
      </c>
      <c r="P653" s="2"/>
      <c r="Q653" s="2"/>
      <c r="R653" s="2"/>
      <c r="S653" s="2"/>
      <c r="T653" s="5"/>
    </row>
    <row r="654" customFormat="false" ht="15.75" hidden="false" customHeight="false" outlineLevel="0" collapsed="false">
      <c r="A654" s="4"/>
      <c r="B654" s="2"/>
      <c r="C654" s="2"/>
      <c r="D654" s="2"/>
      <c r="E654" s="2"/>
      <c r="F654" s="3" t="str">
        <f aca="false">IFERROR(__xludf.dummyfunction("if($T654&lt;&gt;"""",REGEXEXTRACT(SUBSTITUTE ($T654,F$1&amp;"" CE"",""""), F$1&amp;""[\w &amp;]*, (\d+\.\d+)""),"""")
"),"")</f>
        <v/>
      </c>
      <c r="G654" s="3" t="str">
        <f aca="false">IFERROR(__xludf.dummyfunction("if($T654&lt;&gt;"""",REGEXEXTRACT($T654, G$1&amp;""[\w &amp;]*, (\d+\.\d+)""),"""")
"),"")</f>
        <v/>
      </c>
      <c r="H654" s="3"/>
      <c r="I654" s="3" t="str">
        <f aca="false">IFERROR(__xludf.dummyfunction("if($T654&lt;&gt;"""",REGEXEXTRACT(SUBSTITUTE ($T654,I$1&amp;"" CE"",""""), I$1&amp;""[\w &amp;]*, (\d+\.\d+)""),"""")
"),"")</f>
        <v/>
      </c>
      <c r="J654" s="3" t="str">
        <f aca="false">IFERROR(__xludf.dummyfunction("if($T654&lt;&gt;"""",REGEXEXTRACT($T654, J$1&amp;""[\w &amp;]*, (\d+\.\d+)""),"""")
"),"")</f>
        <v/>
      </c>
      <c r="K654" s="3"/>
      <c r="L654" s="3" t="str">
        <f aca="false">IFERROR(__xludf.dummyfunction("if($T654&lt;&gt;"""",REGEXEXTRACT(SUBSTITUTE ($T654,L$1&amp;"" CE"",""""), L$1&amp;""[\w &amp;]*, (\d+\.\d+)""),"""")
"),"")</f>
        <v/>
      </c>
      <c r="M654" s="3" t="str">
        <f aca="false">IFERROR(__xludf.dummyfunction("if($T654&lt;&gt;"""",REGEXEXTRACT($T654, M$1&amp;""[\w &amp;]*, (\d+\.\d+)""),"""")
"),"")</f>
        <v/>
      </c>
      <c r="N654" s="3" t="str">
        <f aca="false">IFERROR(__xludf.dummyfunction("if($T654&lt;&gt;"""",REGEXEXTRACT(SUBSTITUTE ($T654,N$1&amp;"" CE"",""""), N$1&amp;""[\w &amp;]*, (\d+\.\d+)""),"""")
"),"")</f>
        <v/>
      </c>
      <c r="O654" s="3" t="str">
        <f aca="false">IFERROR(__xludf.dummyfunction("if($T654&lt;&gt;"""",REGEXEXTRACT($T654, O$1&amp;""[\w &amp;]*, (\d+\.\d+)""),"""")
"),"")</f>
        <v/>
      </c>
      <c r="P654" s="2"/>
      <c r="Q654" s="2"/>
      <c r="R654" s="2"/>
      <c r="S654" s="2"/>
      <c r="T654" s="5"/>
    </row>
    <row r="655" customFormat="false" ht="15.75" hidden="false" customHeight="false" outlineLevel="0" collapsed="false">
      <c r="A655" s="4"/>
      <c r="B655" s="2"/>
      <c r="C655" s="2"/>
      <c r="D655" s="2"/>
      <c r="E655" s="2"/>
      <c r="F655" s="3" t="str">
        <f aca="false">IFERROR(__xludf.dummyfunction("if($T655&lt;&gt;"""",REGEXEXTRACT(SUBSTITUTE ($T655,F$1&amp;"" CE"",""""), F$1&amp;""[\w &amp;]*, (\d+\.\d+)""),"""")
"),"")</f>
        <v/>
      </c>
      <c r="G655" s="3" t="str">
        <f aca="false">IFERROR(__xludf.dummyfunction("if($T655&lt;&gt;"""",REGEXEXTRACT($T655, G$1&amp;""[\w &amp;]*, (\d+\.\d+)""),"""")
"),"")</f>
        <v/>
      </c>
      <c r="H655" s="3"/>
      <c r="I655" s="3" t="str">
        <f aca="false">IFERROR(__xludf.dummyfunction("if($T655&lt;&gt;"""",REGEXEXTRACT(SUBSTITUTE ($T655,I$1&amp;"" CE"",""""), I$1&amp;""[\w &amp;]*, (\d+\.\d+)""),"""")
"),"")</f>
        <v/>
      </c>
      <c r="J655" s="3" t="str">
        <f aca="false">IFERROR(__xludf.dummyfunction("if($T655&lt;&gt;"""",REGEXEXTRACT($T655, J$1&amp;""[\w &amp;]*, (\d+\.\d+)""),"""")
"),"")</f>
        <v/>
      </c>
      <c r="K655" s="3"/>
      <c r="L655" s="3" t="str">
        <f aca="false">IFERROR(__xludf.dummyfunction("if($T655&lt;&gt;"""",REGEXEXTRACT(SUBSTITUTE ($T655,L$1&amp;"" CE"",""""), L$1&amp;""[\w &amp;]*, (\d+\.\d+)""),"""")
"),"")</f>
        <v/>
      </c>
      <c r="M655" s="3" t="str">
        <f aca="false">IFERROR(__xludf.dummyfunction("if($T655&lt;&gt;"""",REGEXEXTRACT($T655, M$1&amp;""[\w &amp;]*, (\d+\.\d+)""),"""")
"),"")</f>
        <v/>
      </c>
      <c r="N655" s="3" t="str">
        <f aca="false">IFERROR(__xludf.dummyfunction("if($T655&lt;&gt;"""",REGEXEXTRACT(SUBSTITUTE ($T655,N$1&amp;"" CE"",""""), N$1&amp;""[\w &amp;]*, (\d+\.\d+)""),"""")
"),"")</f>
        <v/>
      </c>
      <c r="O655" s="3" t="str">
        <f aca="false">IFERROR(__xludf.dummyfunction("if($T655&lt;&gt;"""",REGEXEXTRACT($T655, O$1&amp;""[\w &amp;]*, (\d+\.\d+)""),"""")
"),"")</f>
        <v/>
      </c>
      <c r="P655" s="2"/>
      <c r="Q655" s="2"/>
      <c r="R655" s="2"/>
      <c r="S655" s="2"/>
      <c r="T655" s="5"/>
    </row>
    <row r="656" customFormat="false" ht="15.75" hidden="false" customHeight="false" outlineLevel="0" collapsed="false">
      <c r="A656" s="4"/>
      <c r="B656" s="2"/>
      <c r="C656" s="2"/>
      <c r="D656" s="2"/>
      <c r="E656" s="2"/>
      <c r="F656" s="3" t="str">
        <f aca="false">IFERROR(__xludf.dummyfunction("if($T656&lt;&gt;"""",REGEXEXTRACT(SUBSTITUTE ($T656,F$1&amp;"" CE"",""""), F$1&amp;""[\w &amp;]*, (\d+\.\d+)""),"""")
"),"")</f>
        <v/>
      </c>
      <c r="G656" s="3" t="str">
        <f aca="false">IFERROR(__xludf.dummyfunction("if($T656&lt;&gt;"""",REGEXEXTRACT($T656, G$1&amp;""[\w &amp;]*, (\d+\.\d+)""),"""")
"),"")</f>
        <v/>
      </c>
      <c r="H656" s="3"/>
      <c r="I656" s="3" t="str">
        <f aca="false">IFERROR(__xludf.dummyfunction("if($T656&lt;&gt;"""",REGEXEXTRACT(SUBSTITUTE ($T656,I$1&amp;"" CE"",""""), I$1&amp;""[\w &amp;]*, (\d+\.\d+)""),"""")
"),"")</f>
        <v/>
      </c>
      <c r="J656" s="3" t="str">
        <f aca="false">IFERROR(__xludf.dummyfunction("if($T656&lt;&gt;"""",REGEXEXTRACT($T656, J$1&amp;""[\w &amp;]*, (\d+\.\d+)""),"""")
"),"")</f>
        <v/>
      </c>
      <c r="K656" s="3"/>
      <c r="L656" s="3" t="str">
        <f aca="false">IFERROR(__xludf.dummyfunction("if($T656&lt;&gt;"""",REGEXEXTRACT(SUBSTITUTE ($T656,L$1&amp;"" CE"",""""), L$1&amp;""[\w &amp;]*, (\d+\.\d+)""),"""")
"),"")</f>
        <v/>
      </c>
      <c r="M656" s="3" t="str">
        <f aca="false">IFERROR(__xludf.dummyfunction("if($T656&lt;&gt;"""",REGEXEXTRACT($T656, M$1&amp;""[\w &amp;]*, (\d+\.\d+)""),"""")
"),"")</f>
        <v/>
      </c>
      <c r="N656" s="3" t="str">
        <f aca="false">IFERROR(__xludf.dummyfunction("if($T656&lt;&gt;"""",REGEXEXTRACT(SUBSTITUTE ($T656,N$1&amp;"" CE"",""""), N$1&amp;""[\w &amp;]*, (\d+\.\d+)""),"""")
"),"")</f>
        <v/>
      </c>
      <c r="O656" s="3" t="str">
        <f aca="false">IFERROR(__xludf.dummyfunction("if($T656&lt;&gt;"""",REGEXEXTRACT($T656, O$1&amp;""[\w &amp;]*, (\d+\.\d+)""),"""")
"),"")</f>
        <v/>
      </c>
      <c r="P656" s="2"/>
      <c r="Q656" s="2"/>
      <c r="R656" s="2"/>
      <c r="S656" s="2"/>
      <c r="T656" s="5"/>
    </row>
    <row r="657" customFormat="false" ht="15.75" hidden="false" customHeight="false" outlineLevel="0" collapsed="false">
      <c r="A657" s="4"/>
      <c r="B657" s="2"/>
      <c r="C657" s="2"/>
      <c r="D657" s="2"/>
      <c r="E657" s="2"/>
      <c r="F657" s="3" t="str">
        <f aca="false">IFERROR(__xludf.dummyfunction("if($T657&lt;&gt;"""",REGEXEXTRACT(SUBSTITUTE ($T657,F$1&amp;"" CE"",""""), F$1&amp;""[\w &amp;]*, (\d+\.\d+)""),"""")
"),"")</f>
        <v/>
      </c>
      <c r="G657" s="3" t="str">
        <f aca="false">IFERROR(__xludf.dummyfunction("if($T657&lt;&gt;"""",REGEXEXTRACT($T657, G$1&amp;""[\w &amp;]*, (\d+\.\d+)""),"""")
"),"")</f>
        <v/>
      </c>
      <c r="H657" s="3"/>
      <c r="I657" s="3" t="str">
        <f aca="false">IFERROR(__xludf.dummyfunction("if($T657&lt;&gt;"""",REGEXEXTRACT(SUBSTITUTE ($T657,I$1&amp;"" CE"",""""), I$1&amp;""[\w &amp;]*, (\d+\.\d+)""),"""")
"),"")</f>
        <v/>
      </c>
      <c r="J657" s="3" t="str">
        <f aca="false">IFERROR(__xludf.dummyfunction("if($T657&lt;&gt;"""",REGEXEXTRACT($T657, J$1&amp;""[\w &amp;]*, (\d+\.\d+)""),"""")
"),"")</f>
        <v/>
      </c>
      <c r="K657" s="3"/>
      <c r="L657" s="3" t="str">
        <f aca="false">IFERROR(__xludf.dummyfunction("if($T657&lt;&gt;"""",REGEXEXTRACT(SUBSTITUTE ($T657,L$1&amp;"" CE"",""""), L$1&amp;""[\w &amp;]*, (\d+\.\d+)""),"""")
"),"")</f>
        <v/>
      </c>
      <c r="M657" s="3" t="str">
        <f aca="false">IFERROR(__xludf.dummyfunction("if($T657&lt;&gt;"""",REGEXEXTRACT($T657, M$1&amp;""[\w &amp;]*, (\d+\.\d+)""),"""")
"),"")</f>
        <v/>
      </c>
      <c r="N657" s="3" t="str">
        <f aca="false">IFERROR(__xludf.dummyfunction("if($T657&lt;&gt;"""",REGEXEXTRACT(SUBSTITUTE ($T657,N$1&amp;"" CE"",""""), N$1&amp;""[\w &amp;]*, (\d+\.\d+)""),"""")
"),"")</f>
        <v/>
      </c>
      <c r="O657" s="3" t="str">
        <f aca="false">IFERROR(__xludf.dummyfunction("if($T657&lt;&gt;"""",REGEXEXTRACT($T657, O$1&amp;""[\w &amp;]*, (\d+\.\d+)""),"""")
"),"")</f>
        <v/>
      </c>
      <c r="P657" s="2"/>
      <c r="Q657" s="2"/>
      <c r="R657" s="2"/>
      <c r="S657" s="2"/>
      <c r="T657" s="5"/>
    </row>
    <row r="658" customFormat="false" ht="15.75" hidden="false" customHeight="false" outlineLevel="0" collapsed="false">
      <c r="A658" s="4"/>
      <c r="B658" s="2"/>
      <c r="C658" s="2"/>
      <c r="D658" s="2"/>
      <c r="E658" s="2"/>
      <c r="F658" s="3" t="str">
        <f aca="false">IFERROR(__xludf.dummyfunction("if($T658&lt;&gt;"""",REGEXEXTRACT(SUBSTITUTE ($T658,F$1&amp;"" CE"",""""), F$1&amp;""[\w &amp;]*, (\d+\.\d+)""),"""")
"),"")</f>
        <v/>
      </c>
      <c r="G658" s="3" t="str">
        <f aca="false">IFERROR(__xludf.dummyfunction("if($T658&lt;&gt;"""",REGEXEXTRACT($T658, G$1&amp;""[\w &amp;]*, (\d+\.\d+)""),"""")
"),"")</f>
        <v/>
      </c>
      <c r="H658" s="3"/>
      <c r="I658" s="3" t="str">
        <f aca="false">IFERROR(__xludf.dummyfunction("if($T658&lt;&gt;"""",REGEXEXTRACT(SUBSTITUTE ($T658,I$1&amp;"" CE"",""""), I$1&amp;""[\w &amp;]*, (\d+\.\d+)""),"""")
"),"")</f>
        <v/>
      </c>
      <c r="J658" s="3" t="str">
        <f aca="false">IFERROR(__xludf.dummyfunction("if($T658&lt;&gt;"""",REGEXEXTRACT($T658, J$1&amp;""[\w &amp;]*, (\d+\.\d+)""),"""")
"),"")</f>
        <v/>
      </c>
      <c r="K658" s="3"/>
      <c r="L658" s="3" t="str">
        <f aca="false">IFERROR(__xludf.dummyfunction("if($T658&lt;&gt;"""",REGEXEXTRACT(SUBSTITUTE ($T658,L$1&amp;"" CE"",""""), L$1&amp;""[\w &amp;]*, (\d+\.\d+)""),"""")
"),"")</f>
        <v/>
      </c>
      <c r="M658" s="3" t="str">
        <f aca="false">IFERROR(__xludf.dummyfunction("if($T658&lt;&gt;"""",REGEXEXTRACT($T658, M$1&amp;""[\w &amp;]*, (\d+\.\d+)""),"""")
"),"")</f>
        <v/>
      </c>
      <c r="N658" s="3" t="str">
        <f aca="false">IFERROR(__xludf.dummyfunction("if($T658&lt;&gt;"""",REGEXEXTRACT(SUBSTITUTE ($T658,N$1&amp;"" CE"",""""), N$1&amp;""[\w &amp;]*, (\d+\.\d+)""),"""")
"),"")</f>
        <v/>
      </c>
      <c r="O658" s="3" t="str">
        <f aca="false">IFERROR(__xludf.dummyfunction("if($T658&lt;&gt;"""",REGEXEXTRACT($T658, O$1&amp;""[\w &amp;]*, (\d+\.\d+)""),"""")
"),"")</f>
        <v/>
      </c>
      <c r="P658" s="2"/>
      <c r="Q658" s="2"/>
      <c r="R658" s="2"/>
      <c r="S658" s="2"/>
      <c r="T658" s="5"/>
    </row>
    <row r="659" customFormat="false" ht="15.75" hidden="false" customHeight="false" outlineLevel="0" collapsed="false">
      <c r="A659" s="4"/>
      <c r="B659" s="2"/>
      <c r="C659" s="2"/>
      <c r="D659" s="2"/>
      <c r="E659" s="2"/>
      <c r="F659" s="3" t="str">
        <f aca="false">IFERROR(__xludf.dummyfunction("if($T659&lt;&gt;"""",REGEXEXTRACT(SUBSTITUTE ($T659,F$1&amp;"" CE"",""""), F$1&amp;""[\w &amp;]*, (\d+\.\d+)""),"""")
"),"")</f>
        <v/>
      </c>
      <c r="G659" s="3" t="str">
        <f aca="false">IFERROR(__xludf.dummyfunction("if($T659&lt;&gt;"""",REGEXEXTRACT($T659, G$1&amp;""[\w &amp;]*, (\d+\.\d+)""),"""")
"),"")</f>
        <v/>
      </c>
      <c r="H659" s="3"/>
      <c r="I659" s="3" t="str">
        <f aca="false">IFERROR(__xludf.dummyfunction("if($T659&lt;&gt;"""",REGEXEXTRACT(SUBSTITUTE ($T659,I$1&amp;"" CE"",""""), I$1&amp;""[\w &amp;]*, (\d+\.\d+)""),"""")
"),"")</f>
        <v/>
      </c>
      <c r="J659" s="3" t="str">
        <f aca="false">IFERROR(__xludf.dummyfunction("if($T659&lt;&gt;"""",REGEXEXTRACT($T659, J$1&amp;""[\w &amp;]*, (\d+\.\d+)""),"""")
"),"")</f>
        <v/>
      </c>
      <c r="K659" s="3"/>
      <c r="L659" s="3" t="str">
        <f aca="false">IFERROR(__xludf.dummyfunction("if($T659&lt;&gt;"""",REGEXEXTRACT(SUBSTITUTE ($T659,L$1&amp;"" CE"",""""), L$1&amp;""[\w &amp;]*, (\d+\.\d+)""),"""")
"),"")</f>
        <v/>
      </c>
      <c r="M659" s="3" t="str">
        <f aca="false">IFERROR(__xludf.dummyfunction("if($T659&lt;&gt;"""",REGEXEXTRACT($T659, M$1&amp;""[\w &amp;]*, (\d+\.\d+)""),"""")
"),"")</f>
        <v/>
      </c>
      <c r="N659" s="3" t="str">
        <f aca="false">IFERROR(__xludf.dummyfunction("if($T659&lt;&gt;"""",REGEXEXTRACT(SUBSTITUTE ($T659,N$1&amp;"" CE"",""""), N$1&amp;""[\w &amp;]*, (\d+\.\d+)""),"""")
"),"")</f>
        <v/>
      </c>
      <c r="O659" s="3" t="str">
        <f aca="false">IFERROR(__xludf.dummyfunction("if($T659&lt;&gt;"""",REGEXEXTRACT($T659, O$1&amp;""[\w &amp;]*, (\d+\.\d+)""),"""")
"),"")</f>
        <v/>
      </c>
      <c r="P659" s="2"/>
      <c r="Q659" s="2"/>
      <c r="R659" s="2"/>
      <c r="S659" s="2"/>
      <c r="T659" s="5"/>
    </row>
    <row r="660" customFormat="false" ht="15.75" hidden="false" customHeight="false" outlineLevel="0" collapsed="false">
      <c r="A660" s="4"/>
      <c r="B660" s="2"/>
      <c r="C660" s="2"/>
      <c r="D660" s="2"/>
      <c r="E660" s="2"/>
      <c r="F660" s="3" t="str">
        <f aca="false">IFERROR(__xludf.dummyfunction("if($T660&lt;&gt;"""",REGEXEXTRACT(SUBSTITUTE ($T660,F$1&amp;"" CE"",""""), F$1&amp;""[\w &amp;]*, (\d+\.\d+)""),"""")
"),"")</f>
        <v/>
      </c>
      <c r="G660" s="3" t="str">
        <f aca="false">IFERROR(__xludf.dummyfunction("if($T660&lt;&gt;"""",REGEXEXTRACT($T660, G$1&amp;""[\w &amp;]*, (\d+\.\d+)""),"""")
"),"")</f>
        <v/>
      </c>
      <c r="H660" s="3"/>
      <c r="I660" s="3" t="str">
        <f aca="false">IFERROR(__xludf.dummyfunction("if($T660&lt;&gt;"""",REGEXEXTRACT(SUBSTITUTE ($T660,I$1&amp;"" CE"",""""), I$1&amp;""[\w &amp;]*, (\d+\.\d+)""),"""")
"),"")</f>
        <v/>
      </c>
      <c r="J660" s="3" t="str">
        <f aca="false">IFERROR(__xludf.dummyfunction("if($T660&lt;&gt;"""",REGEXEXTRACT($T660, J$1&amp;""[\w &amp;]*, (\d+\.\d+)""),"""")
"),"")</f>
        <v/>
      </c>
      <c r="K660" s="3"/>
      <c r="L660" s="3" t="str">
        <f aca="false">IFERROR(__xludf.dummyfunction("if($T660&lt;&gt;"""",REGEXEXTRACT(SUBSTITUTE ($T660,L$1&amp;"" CE"",""""), L$1&amp;""[\w &amp;]*, (\d+\.\d+)""),"""")
"),"")</f>
        <v/>
      </c>
      <c r="M660" s="3" t="str">
        <f aca="false">IFERROR(__xludf.dummyfunction("if($T660&lt;&gt;"""",REGEXEXTRACT($T660, M$1&amp;""[\w &amp;]*, (\d+\.\d+)""),"""")
"),"")</f>
        <v/>
      </c>
      <c r="N660" s="3" t="str">
        <f aca="false">IFERROR(__xludf.dummyfunction("if($T660&lt;&gt;"""",REGEXEXTRACT(SUBSTITUTE ($T660,N$1&amp;"" CE"",""""), N$1&amp;""[\w &amp;]*, (\d+\.\d+)""),"""")
"),"")</f>
        <v/>
      </c>
      <c r="O660" s="3" t="str">
        <f aca="false">IFERROR(__xludf.dummyfunction("if($T660&lt;&gt;"""",REGEXEXTRACT($T660, O$1&amp;""[\w &amp;]*, (\d+\.\d+)""),"""")
"),"")</f>
        <v/>
      </c>
      <c r="P660" s="2"/>
      <c r="Q660" s="2"/>
      <c r="R660" s="2"/>
      <c r="S660" s="2"/>
      <c r="T660" s="5"/>
    </row>
    <row r="661" customFormat="false" ht="15.75" hidden="false" customHeight="false" outlineLevel="0" collapsed="false">
      <c r="A661" s="4"/>
      <c r="B661" s="2"/>
      <c r="C661" s="2"/>
      <c r="D661" s="2"/>
      <c r="E661" s="2"/>
      <c r="F661" s="3" t="str">
        <f aca="false">IFERROR(__xludf.dummyfunction("if($T661&lt;&gt;"""",REGEXEXTRACT(SUBSTITUTE ($T661,F$1&amp;"" CE"",""""), F$1&amp;""[\w &amp;]*, (\d+\.\d+)""),"""")
"),"")</f>
        <v/>
      </c>
      <c r="G661" s="3" t="str">
        <f aca="false">IFERROR(__xludf.dummyfunction("if($T661&lt;&gt;"""",REGEXEXTRACT($T661, G$1&amp;""[\w &amp;]*, (\d+\.\d+)""),"""")
"),"")</f>
        <v/>
      </c>
      <c r="H661" s="3"/>
      <c r="I661" s="3" t="str">
        <f aca="false">IFERROR(__xludf.dummyfunction("if($T661&lt;&gt;"""",REGEXEXTRACT(SUBSTITUTE ($T661,I$1&amp;"" CE"",""""), I$1&amp;""[\w &amp;]*, (\d+\.\d+)""),"""")
"),"")</f>
        <v/>
      </c>
      <c r="J661" s="3" t="str">
        <f aca="false">IFERROR(__xludf.dummyfunction("if($T661&lt;&gt;"""",REGEXEXTRACT($T661, J$1&amp;""[\w &amp;]*, (\d+\.\d+)""),"""")
"),"")</f>
        <v/>
      </c>
      <c r="K661" s="3"/>
      <c r="L661" s="3" t="str">
        <f aca="false">IFERROR(__xludf.dummyfunction("if($T661&lt;&gt;"""",REGEXEXTRACT(SUBSTITUTE ($T661,L$1&amp;"" CE"",""""), L$1&amp;""[\w &amp;]*, (\d+\.\d+)""),"""")
"),"")</f>
        <v/>
      </c>
      <c r="M661" s="3" t="str">
        <f aca="false">IFERROR(__xludf.dummyfunction("if($T661&lt;&gt;"""",REGEXEXTRACT($T661, M$1&amp;""[\w &amp;]*, (\d+\.\d+)""),"""")
"),"")</f>
        <v/>
      </c>
      <c r="N661" s="3" t="str">
        <f aca="false">IFERROR(__xludf.dummyfunction("if($T661&lt;&gt;"""",REGEXEXTRACT(SUBSTITUTE ($T661,N$1&amp;"" CE"",""""), N$1&amp;""[\w &amp;]*, (\d+\.\d+)""),"""")
"),"")</f>
        <v/>
      </c>
      <c r="O661" s="3" t="str">
        <f aca="false">IFERROR(__xludf.dummyfunction("if($T661&lt;&gt;"""",REGEXEXTRACT($T661, O$1&amp;""[\w &amp;]*, (\d+\.\d+)""),"""")
"),"")</f>
        <v/>
      </c>
      <c r="P661" s="2"/>
      <c r="Q661" s="2"/>
      <c r="R661" s="2"/>
      <c r="S661" s="2"/>
      <c r="T661" s="5"/>
    </row>
    <row r="662" customFormat="false" ht="15.75" hidden="false" customHeight="false" outlineLevel="0" collapsed="false">
      <c r="A662" s="4"/>
      <c r="B662" s="2"/>
      <c r="C662" s="2"/>
      <c r="D662" s="2"/>
      <c r="E662" s="2"/>
      <c r="F662" s="3" t="str">
        <f aca="false">IFERROR(__xludf.dummyfunction("if($T662&lt;&gt;"""",REGEXEXTRACT(SUBSTITUTE ($T662,F$1&amp;"" CE"",""""), F$1&amp;""[\w &amp;]*, (\d+\.\d+)""),"""")
"),"")</f>
        <v/>
      </c>
      <c r="G662" s="3" t="str">
        <f aca="false">IFERROR(__xludf.dummyfunction("if($T662&lt;&gt;"""",REGEXEXTRACT($T662, G$1&amp;""[\w &amp;]*, (\d+\.\d+)""),"""")
"),"")</f>
        <v/>
      </c>
      <c r="H662" s="3"/>
      <c r="I662" s="3" t="str">
        <f aca="false">IFERROR(__xludf.dummyfunction("if($T662&lt;&gt;"""",REGEXEXTRACT(SUBSTITUTE ($T662,I$1&amp;"" CE"",""""), I$1&amp;""[\w &amp;]*, (\d+\.\d+)""),"""")
"),"")</f>
        <v/>
      </c>
      <c r="J662" s="3" t="str">
        <f aca="false">IFERROR(__xludf.dummyfunction("if($T662&lt;&gt;"""",REGEXEXTRACT($T662, J$1&amp;""[\w &amp;]*, (\d+\.\d+)""),"""")
"),"")</f>
        <v/>
      </c>
      <c r="K662" s="3"/>
      <c r="L662" s="3" t="str">
        <f aca="false">IFERROR(__xludf.dummyfunction("if($T662&lt;&gt;"""",REGEXEXTRACT(SUBSTITUTE ($T662,L$1&amp;"" CE"",""""), L$1&amp;""[\w &amp;]*, (\d+\.\d+)""),"""")
"),"")</f>
        <v/>
      </c>
      <c r="M662" s="3" t="str">
        <f aca="false">IFERROR(__xludf.dummyfunction("if($T662&lt;&gt;"""",REGEXEXTRACT($T662, M$1&amp;""[\w &amp;]*, (\d+\.\d+)""),"""")
"),"")</f>
        <v/>
      </c>
      <c r="N662" s="3" t="str">
        <f aca="false">IFERROR(__xludf.dummyfunction("if($T662&lt;&gt;"""",REGEXEXTRACT(SUBSTITUTE ($T662,N$1&amp;"" CE"",""""), N$1&amp;""[\w &amp;]*, (\d+\.\d+)""),"""")
"),"")</f>
        <v/>
      </c>
      <c r="O662" s="3" t="str">
        <f aca="false">IFERROR(__xludf.dummyfunction("if($T662&lt;&gt;"""",REGEXEXTRACT($T662, O$1&amp;""[\w &amp;]*, (\d+\.\d+)""),"""")
"),"")</f>
        <v/>
      </c>
      <c r="P662" s="2"/>
      <c r="Q662" s="2"/>
      <c r="R662" s="2"/>
      <c r="S662" s="2"/>
      <c r="T662" s="5"/>
    </row>
    <row r="663" customFormat="false" ht="15.75" hidden="false" customHeight="false" outlineLevel="0" collapsed="false">
      <c r="A663" s="4"/>
      <c r="B663" s="2"/>
      <c r="C663" s="2"/>
      <c r="D663" s="2"/>
      <c r="E663" s="2"/>
      <c r="F663" s="3" t="str">
        <f aca="false">IFERROR(__xludf.dummyfunction("if($T663&lt;&gt;"""",REGEXEXTRACT(SUBSTITUTE ($T663,F$1&amp;"" CE"",""""), F$1&amp;""[\w &amp;]*, (\d+\.\d+)""),"""")
"),"")</f>
        <v/>
      </c>
      <c r="G663" s="3" t="str">
        <f aca="false">IFERROR(__xludf.dummyfunction("if($T663&lt;&gt;"""",REGEXEXTRACT($T663, G$1&amp;""[\w &amp;]*, (\d+\.\d+)""),"""")
"),"")</f>
        <v/>
      </c>
      <c r="H663" s="3"/>
      <c r="I663" s="3" t="str">
        <f aca="false">IFERROR(__xludf.dummyfunction("if($T663&lt;&gt;"""",REGEXEXTRACT(SUBSTITUTE ($T663,I$1&amp;"" CE"",""""), I$1&amp;""[\w &amp;]*, (\d+\.\d+)""),"""")
"),"")</f>
        <v/>
      </c>
      <c r="J663" s="3" t="str">
        <f aca="false">IFERROR(__xludf.dummyfunction("if($T663&lt;&gt;"""",REGEXEXTRACT($T663, J$1&amp;""[\w &amp;]*, (\d+\.\d+)""),"""")
"),"")</f>
        <v/>
      </c>
      <c r="K663" s="3"/>
      <c r="L663" s="3" t="str">
        <f aca="false">IFERROR(__xludf.dummyfunction("if($T663&lt;&gt;"""",REGEXEXTRACT(SUBSTITUTE ($T663,L$1&amp;"" CE"",""""), L$1&amp;""[\w &amp;]*, (\d+\.\d+)""),"""")
"),"")</f>
        <v/>
      </c>
      <c r="M663" s="3" t="str">
        <f aca="false">IFERROR(__xludf.dummyfunction("if($T663&lt;&gt;"""",REGEXEXTRACT($T663, M$1&amp;""[\w &amp;]*, (\d+\.\d+)""),"""")
"),"")</f>
        <v/>
      </c>
      <c r="N663" s="3" t="str">
        <f aca="false">IFERROR(__xludf.dummyfunction("if($T663&lt;&gt;"""",REGEXEXTRACT(SUBSTITUTE ($T663,N$1&amp;"" CE"",""""), N$1&amp;""[\w &amp;]*, (\d+\.\d+)""),"""")
"),"")</f>
        <v/>
      </c>
      <c r="O663" s="3" t="str">
        <f aca="false">IFERROR(__xludf.dummyfunction("if($T663&lt;&gt;"""",REGEXEXTRACT($T663, O$1&amp;""[\w &amp;]*, (\d+\.\d+)""),"""")
"),"")</f>
        <v/>
      </c>
      <c r="P663" s="2"/>
      <c r="Q663" s="2"/>
      <c r="R663" s="2"/>
      <c r="S663" s="2"/>
      <c r="T663" s="5"/>
    </row>
    <row r="664" customFormat="false" ht="15.75" hidden="false" customHeight="false" outlineLevel="0" collapsed="false">
      <c r="A664" s="4"/>
      <c r="B664" s="2"/>
      <c r="C664" s="2"/>
      <c r="D664" s="2"/>
      <c r="E664" s="2"/>
      <c r="F664" s="3" t="str">
        <f aca="false">IFERROR(__xludf.dummyfunction("if($T664&lt;&gt;"""",REGEXEXTRACT(SUBSTITUTE ($T664,F$1&amp;"" CE"",""""), F$1&amp;""[\w &amp;]*, (\d+\.\d+)""),"""")
"),"")</f>
        <v/>
      </c>
      <c r="G664" s="3" t="str">
        <f aca="false">IFERROR(__xludf.dummyfunction("if($T664&lt;&gt;"""",REGEXEXTRACT($T664, G$1&amp;""[\w &amp;]*, (\d+\.\d+)""),"""")
"),"")</f>
        <v/>
      </c>
      <c r="H664" s="3"/>
      <c r="I664" s="3" t="str">
        <f aca="false">IFERROR(__xludf.dummyfunction("if($T664&lt;&gt;"""",REGEXEXTRACT(SUBSTITUTE ($T664,I$1&amp;"" CE"",""""), I$1&amp;""[\w &amp;]*, (\d+\.\d+)""),"""")
"),"")</f>
        <v/>
      </c>
      <c r="J664" s="3" t="str">
        <f aca="false">IFERROR(__xludf.dummyfunction("if($T664&lt;&gt;"""",REGEXEXTRACT($T664, J$1&amp;""[\w &amp;]*, (\d+\.\d+)""),"""")
"),"")</f>
        <v/>
      </c>
      <c r="K664" s="3"/>
      <c r="L664" s="3" t="str">
        <f aca="false">IFERROR(__xludf.dummyfunction("if($T664&lt;&gt;"""",REGEXEXTRACT(SUBSTITUTE ($T664,L$1&amp;"" CE"",""""), L$1&amp;""[\w &amp;]*, (\d+\.\d+)""),"""")
"),"")</f>
        <v/>
      </c>
      <c r="M664" s="3" t="str">
        <f aca="false">IFERROR(__xludf.dummyfunction("if($T664&lt;&gt;"""",REGEXEXTRACT($T664, M$1&amp;""[\w &amp;]*, (\d+\.\d+)""),"""")
"),"")</f>
        <v/>
      </c>
      <c r="N664" s="3" t="str">
        <f aca="false">IFERROR(__xludf.dummyfunction("if($T664&lt;&gt;"""",REGEXEXTRACT(SUBSTITUTE ($T664,N$1&amp;"" CE"",""""), N$1&amp;""[\w &amp;]*, (\d+\.\d+)""),"""")
"),"")</f>
        <v/>
      </c>
      <c r="O664" s="3" t="str">
        <f aca="false">IFERROR(__xludf.dummyfunction("if($T664&lt;&gt;"""",REGEXEXTRACT($T664, O$1&amp;""[\w &amp;]*, (\d+\.\d+)""),"""")
"),"")</f>
        <v/>
      </c>
      <c r="P664" s="2"/>
      <c r="Q664" s="2"/>
      <c r="R664" s="2"/>
      <c r="S664" s="2"/>
      <c r="T664" s="5"/>
    </row>
    <row r="665" customFormat="false" ht="15.75" hidden="false" customHeight="false" outlineLevel="0" collapsed="false">
      <c r="A665" s="4"/>
      <c r="B665" s="2"/>
      <c r="C665" s="2"/>
      <c r="D665" s="2"/>
      <c r="E665" s="2"/>
      <c r="F665" s="3" t="str">
        <f aca="false">IFERROR(__xludf.dummyfunction("if($T665&lt;&gt;"""",REGEXEXTRACT(SUBSTITUTE ($T665,F$1&amp;"" CE"",""""), F$1&amp;""[\w &amp;]*, (\d+\.\d+)""),"""")
"),"")</f>
        <v/>
      </c>
      <c r="G665" s="3" t="str">
        <f aca="false">IFERROR(__xludf.dummyfunction("if($T665&lt;&gt;"""",REGEXEXTRACT($T665, G$1&amp;""[\w &amp;]*, (\d+\.\d+)""),"""")
"),"")</f>
        <v/>
      </c>
      <c r="H665" s="3"/>
      <c r="I665" s="3" t="str">
        <f aca="false">IFERROR(__xludf.dummyfunction("if($T665&lt;&gt;"""",REGEXEXTRACT(SUBSTITUTE ($T665,I$1&amp;"" CE"",""""), I$1&amp;""[\w &amp;]*, (\d+\.\d+)""),"""")
"),"")</f>
        <v/>
      </c>
      <c r="J665" s="3" t="str">
        <f aca="false">IFERROR(__xludf.dummyfunction("if($T665&lt;&gt;"""",REGEXEXTRACT($T665, J$1&amp;""[\w &amp;]*, (\d+\.\d+)""),"""")
"),"")</f>
        <v/>
      </c>
      <c r="K665" s="3"/>
      <c r="L665" s="3" t="str">
        <f aca="false">IFERROR(__xludf.dummyfunction("if($T665&lt;&gt;"""",REGEXEXTRACT(SUBSTITUTE ($T665,L$1&amp;"" CE"",""""), L$1&amp;""[\w &amp;]*, (\d+\.\d+)""),"""")
"),"")</f>
        <v/>
      </c>
      <c r="M665" s="3" t="str">
        <f aca="false">IFERROR(__xludf.dummyfunction("if($T665&lt;&gt;"""",REGEXEXTRACT($T665, M$1&amp;""[\w &amp;]*, (\d+\.\d+)""),"""")
"),"")</f>
        <v/>
      </c>
      <c r="N665" s="3" t="str">
        <f aca="false">IFERROR(__xludf.dummyfunction("if($T665&lt;&gt;"""",REGEXEXTRACT(SUBSTITUTE ($T665,N$1&amp;"" CE"",""""), N$1&amp;""[\w &amp;]*, (\d+\.\d+)""),"""")
"),"")</f>
        <v/>
      </c>
      <c r="O665" s="3" t="str">
        <f aca="false">IFERROR(__xludf.dummyfunction("if($T665&lt;&gt;"""",REGEXEXTRACT($T665, O$1&amp;""[\w &amp;]*, (\d+\.\d+)""),"""")
"),"")</f>
        <v/>
      </c>
      <c r="P665" s="2"/>
      <c r="Q665" s="2"/>
      <c r="R665" s="2"/>
      <c r="S665" s="2"/>
      <c r="T665" s="5"/>
    </row>
    <row r="666" customFormat="false" ht="15.75" hidden="false" customHeight="false" outlineLevel="0" collapsed="false">
      <c r="A666" s="4"/>
      <c r="B666" s="2"/>
      <c r="C666" s="2"/>
      <c r="D666" s="2"/>
      <c r="E666" s="2"/>
      <c r="F666" s="3" t="str">
        <f aca="false">IFERROR(__xludf.dummyfunction("if($T666&lt;&gt;"""",REGEXEXTRACT(SUBSTITUTE ($T666,F$1&amp;"" CE"",""""), F$1&amp;""[\w &amp;]*, (\d+\.\d+)""),"""")
"),"")</f>
        <v/>
      </c>
      <c r="G666" s="3" t="str">
        <f aca="false">IFERROR(__xludf.dummyfunction("if($T666&lt;&gt;"""",REGEXEXTRACT($T666, G$1&amp;""[\w &amp;]*, (\d+\.\d+)""),"""")
"),"")</f>
        <v/>
      </c>
      <c r="H666" s="3"/>
      <c r="I666" s="3" t="str">
        <f aca="false">IFERROR(__xludf.dummyfunction("if($T666&lt;&gt;"""",REGEXEXTRACT(SUBSTITUTE ($T666,I$1&amp;"" CE"",""""), I$1&amp;""[\w &amp;]*, (\d+\.\d+)""),"""")
"),"")</f>
        <v/>
      </c>
      <c r="J666" s="3" t="str">
        <f aca="false">IFERROR(__xludf.dummyfunction("if($T666&lt;&gt;"""",REGEXEXTRACT($T666, J$1&amp;""[\w &amp;]*, (\d+\.\d+)""),"""")
"),"")</f>
        <v/>
      </c>
      <c r="K666" s="3"/>
      <c r="L666" s="3" t="str">
        <f aca="false">IFERROR(__xludf.dummyfunction("if($T666&lt;&gt;"""",REGEXEXTRACT(SUBSTITUTE ($T666,L$1&amp;"" CE"",""""), L$1&amp;""[\w &amp;]*, (\d+\.\d+)""),"""")
"),"")</f>
        <v/>
      </c>
      <c r="M666" s="3" t="str">
        <f aca="false">IFERROR(__xludf.dummyfunction("if($T666&lt;&gt;"""",REGEXEXTRACT($T666, M$1&amp;""[\w &amp;]*, (\d+\.\d+)""),"""")
"),"")</f>
        <v/>
      </c>
      <c r="N666" s="3" t="str">
        <f aca="false">IFERROR(__xludf.dummyfunction("if($T666&lt;&gt;"""",REGEXEXTRACT(SUBSTITUTE ($T666,N$1&amp;"" CE"",""""), N$1&amp;""[\w &amp;]*, (\d+\.\d+)""),"""")
"),"")</f>
        <v/>
      </c>
      <c r="O666" s="3" t="str">
        <f aca="false">IFERROR(__xludf.dummyfunction("if($T666&lt;&gt;"""",REGEXEXTRACT($T666, O$1&amp;""[\w &amp;]*, (\d+\.\d+)""),"""")
"),"")</f>
        <v/>
      </c>
      <c r="P666" s="2"/>
      <c r="Q666" s="2"/>
      <c r="R666" s="2"/>
      <c r="S666" s="2"/>
      <c r="T666" s="5"/>
    </row>
    <row r="667" customFormat="false" ht="15.75" hidden="false" customHeight="false" outlineLevel="0" collapsed="false">
      <c r="A667" s="4"/>
      <c r="B667" s="2"/>
      <c r="C667" s="2"/>
      <c r="D667" s="2"/>
      <c r="E667" s="2"/>
      <c r="F667" s="3" t="str">
        <f aca="false">IFERROR(__xludf.dummyfunction("if($T667&lt;&gt;"""",REGEXEXTRACT(SUBSTITUTE ($T667,F$1&amp;"" CE"",""""), F$1&amp;""[\w &amp;]*, (\d+\.\d+)""),"""")
"),"")</f>
        <v/>
      </c>
      <c r="G667" s="3" t="str">
        <f aca="false">IFERROR(__xludf.dummyfunction("if($T667&lt;&gt;"""",REGEXEXTRACT($T667, G$1&amp;""[\w &amp;]*, (\d+\.\d+)""),"""")
"),"")</f>
        <v/>
      </c>
      <c r="H667" s="3"/>
      <c r="I667" s="3" t="str">
        <f aca="false">IFERROR(__xludf.dummyfunction("if($T667&lt;&gt;"""",REGEXEXTRACT(SUBSTITUTE ($T667,I$1&amp;"" CE"",""""), I$1&amp;""[\w &amp;]*, (\d+\.\d+)""),"""")
"),"")</f>
        <v/>
      </c>
      <c r="J667" s="3" t="str">
        <f aca="false">IFERROR(__xludf.dummyfunction("if($T667&lt;&gt;"""",REGEXEXTRACT($T667, J$1&amp;""[\w &amp;]*, (\d+\.\d+)""),"""")
"),"")</f>
        <v/>
      </c>
      <c r="K667" s="3"/>
      <c r="L667" s="3" t="str">
        <f aca="false">IFERROR(__xludf.dummyfunction("if($T667&lt;&gt;"""",REGEXEXTRACT(SUBSTITUTE ($T667,L$1&amp;"" CE"",""""), L$1&amp;""[\w &amp;]*, (\d+\.\d+)""),"""")
"),"")</f>
        <v/>
      </c>
      <c r="M667" s="3" t="str">
        <f aca="false">IFERROR(__xludf.dummyfunction("if($T667&lt;&gt;"""",REGEXEXTRACT($T667, M$1&amp;""[\w &amp;]*, (\d+\.\d+)""),"""")
"),"")</f>
        <v/>
      </c>
      <c r="N667" s="3" t="str">
        <f aca="false">IFERROR(__xludf.dummyfunction("if($T667&lt;&gt;"""",REGEXEXTRACT(SUBSTITUTE ($T667,N$1&amp;"" CE"",""""), N$1&amp;""[\w &amp;]*, (\d+\.\d+)""),"""")
"),"")</f>
        <v/>
      </c>
      <c r="O667" s="3" t="str">
        <f aca="false">IFERROR(__xludf.dummyfunction("if($T667&lt;&gt;"""",REGEXEXTRACT($T667, O$1&amp;""[\w &amp;]*, (\d+\.\d+)""),"""")
"),"")</f>
        <v/>
      </c>
      <c r="P667" s="2"/>
      <c r="Q667" s="2"/>
      <c r="R667" s="2"/>
      <c r="S667" s="2"/>
      <c r="T667" s="5"/>
    </row>
    <row r="668" customFormat="false" ht="15.75" hidden="false" customHeight="false" outlineLevel="0" collapsed="false">
      <c r="A668" s="4"/>
      <c r="B668" s="2"/>
      <c r="C668" s="2"/>
      <c r="D668" s="2"/>
      <c r="E668" s="2"/>
      <c r="F668" s="3" t="str">
        <f aca="false">IFERROR(__xludf.dummyfunction("if($T668&lt;&gt;"""",REGEXEXTRACT(SUBSTITUTE ($T668,F$1&amp;"" CE"",""""), F$1&amp;""[\w &amp;]*, (\d+\.\d+)""),"""")
"),"")</f>
        <v/>
      </c>
      <c r="G668" s="3" t="str">
        <f aca="false">IFERROR(__xludf.dummyfunction("if($T668&lt;&gt;"""",REGEXEXTRACT($T668, G$1&amp;""[\w &amp;]*, (\d+\.\d+)""),"""")
"),"")</f>
        <v/>
      </c>
      <c r="H668" s="3"/>
      <c r="I668" s="3" t="str">
        <f aca="false">IFERROR(__xludf.dummyfunction("if($T668&lt;&gt;"""",REGEXEXTRACT(SUBSTITUTE ($T668,I$1&amp;"" CE"",""""), I$1&amp;""[\w &amp;]*, (\d+\.\d+)""),"""")
"),"")</f>
        <v/>
      </c>
      <c r="J668" s="3" t="str">
        <f aca="false">IFERROR(__xludf.dummyfunction("if($T668&lt;&gt;"""",REGEXEXTRACT($T668, J$1&amp;""[\w &amp;]*, (\d+\.\d+)""),"""")
"),"")</f>
        <v/>
      </c>
      <c r="K668" s="3"/>
      <c r="L668" s="3" t="str">
        <f aca="false">IFERROR(__xludf.dummyfunction("if($T668&lt;&gt;"""",REGEXEXTRACT(SUBSTITUTE ($T668,L$1&amp;"" CE"",""""), L$1&amp;""[\w &amp;]*, (\d+\.\d+)""),"""")
"),"")</f>
        <v/>
      </c>
      <c r="M668" s="3" t="str">
        <f aca="false">IFERROR(__xludf.dummyfunction("if($T668&lt;&gt;"""",REGEXEXTRACT($T668, M$1&amp;""[\w &amp;]*, (\d+\.\d+)""),"""")
"),"")</f>
        <v/>
      </c>
      <c r="N668" s="3" t="str">
        <f aca="false">IFERROR(__xludf.dummyfunction("if($T668&lt;&gt;"""",REGEXEXTRACT(SUBSTITUTE ($T668,N$1&amp;"" CE"",""""), N$1&amp;""[\w &amp;]*, (\d+\.\d+)""),"""")
"),"")</f>
        <v/>
      </c>
      <c r="O668" s="3" t="str">
        <f aca="false">IFERROR(__xludf.dummyfunction("if($T668&lt;&gt;"""",REGEXEXTRACT($T668, O$1&amp;""[\w &amp;]*, (\d+\.\d+)""),"""")
"),"")</f>
        <v/>
      </c>
      <c r="P668" s="2"/>
      <c r="Q668" s="2"/>
      <c r="R668" s="2"/>
      <c r="S668" s="2"/>
      <c r="T668" s="5"/>
    </row>
    <row r="669" customFormat="false" ht="15.75" hidden="false" customHeight="false" outlineLevel="0" collapsed="false">
      <c r="A669" s="4"/>
      <c r="B669" s="2"/>
      <c r="C669" s="2"/>
      <c r="D669" s="2"/>
      <c r="E669" s="2"/>
      <c r="F669" s="3" t="str">
        <f aca="false">IFERROR(__xludf.dummyfunction("if($T669&lt;&gt;"""",REGEXEXTRACT(SUBSTITUTE ($T669,F$1&amp;"" CE"",""""), F$1&amp;""[\w &amp;]*, (\d+\.\d+)""),"""")
"),"")</f>
        <v/>
      </c>
      <c r="G669" s="3" t="str">
        <f aca="false">IFERROR(__xludf.dummyfunction("if($T669&lt;&gt;"""",REGEXEXTRACT($T669, G$1&amp;""[\w &amp;]*, (\d+\.\d+)""),"""")
"),"")</f>
        <v/>
      </c>
      <c r="H669" s="3"/>
      <c r="I669" s="3" t="str">
        <f aca="false">IFERROR(__xludf.dummyfunction("if($T669&lt;&gt;"""",REGEXEXTRACT(SUBSTITUTE ($T669,I$1&amp;"" CE"",""""), I$1&amp;""[\w &amp;]*, (\d+\.\d+)""),"""")
"),"")</f>
        <v/>
      </c>
      <c r="J669" s="3" t="str">
        <f aca="false">IFERROR(__xludf.dummyfunction("if($T669&lt;&gt;"""",REGEXEXTRACT($T669, J$1&amp;""[\w &amp;]*, (\d+\.\d+)""),"""")
"),"")</f>
        <v/>
      </c>
      <c r="K669" s="3"/>
      <c r="L669" s="3" t="str">
        <f aca="false">IFERROR(__xludf.dummyfunction("if($T669&lt;&gt;"""",REGEXEXTRACT(SUBSTITUTE ($T669,L$1&amp;"" CE"",""""), L$1&amp;""[\w &amp;]*, (\d+\.\d+)""),"""")
"),"")</f>
        <v/>
      </c>
      <c r="M669" s="3" t="str">
        <f aca="false">IFERROR(__xludf.dummyfunction("if($T669&lt;&gt;"""",REGEXEXTRACT($T669, M$1&amp;""[\w &amp;]*, (\d+\.\d+)""),"""")
"),"")</f>
        <v/>
      </c>
      <c r="N669" s="3" t="str">
        <f aca="false">IFERROR(__xludf.dummyfunction("if($T669&lt;&gt;"""",REGEXEXTRACT(SUBSTITUTE ($T669,N$1&amp;"" CE"",""""), N$1&amp;""[\w &amp;]*, (\d+\.\d+)""),"""")
"),"")</f>
        <v/>
      </c>
      <c r="O669" s="3" t="str">
        <f aca="false">IFERROR(__xludf.dummyfunction("if($T669&lt;&gt;"""",REGEXEXTRACT($T669, O$1&amp;""[\w &amp;]*, (\d+\.\d+)""),"""")
"),"")</f>
        <v/>
      </c>
      <c r="P669" s="2"/>
      <c r="Q669" s="2"/>
      <c r="R669" s="2"/>
      <c r="S669" s="2"/>
      <c r="T669" s="5"/>
    </row>
    <row r="670" customFormat="false" ht="15.75" hidden="false" customHeight="false" outlineLevel="0" collapsed="false">
      <c r="A670" s="4"/>
      <c r="B670" s="2"/>
      <c r="C670" s="2"/>
      <c r="D670" s="2"/>
      <c r="E670" s="2"/>
      <c r="F670" s="3" t="str">
        <f aca="false">IFERROR(__xludf.dummyfunction("if($T670&lt;&gt;"""",REGEXEXTRACT(SUBSTITUTE ($T670,F$1&amp;"" CE"",""""), F$1&amp;""[\w &amp;]*, (\d+\.\d+)""),"""")
"),"")</f>
        <v/>
      </c>
      <c r="G670" s="3" t="str">
        <f aca="false">IFERROR(__xludf.dummyfunction("if($T670&lt;&gt;"""",REGEXEXTRACT($T670, G$1&amp;""[\w &amp;]*, (\d+\.\d+)""),"""")
"),"")</f>
        <v/>
      </c>
      <c r="H670" s="3"/>
      <c r="I670" s="3" t="str">
        <f aca="false">IFERROR(__xludf.dummyfunction("if($T670&lt;&gt;"""",REGEXEXTRACT(SUBSTITUTE ($T670,I$1&amp;"" CE"",""""), I$1&amp;""[\w &amp;]*, (\d+\.\d+)""),"""")
"),"")</f>
        <v/>
      </c>
      <c r="J670" s="3" t="str">
        <f aca="false">IFERROR(__xludf.dummyfunction("if($T670&lt;&gt;"""",REGEXEXTRACT($T670, J$1&amp;""[\w &amp;]*, (\d+\.\d+)""),"""")
"),"")</f>
        <v/>
      </c>
      <c r="K670" s="3"/>
      <c r="L670" s="3" t="str">
        <f aca="false">IFERROR(__xludf.dummyfunction("if($T670&lt;&gt;"""",REGEXEXTRACT(SUBSTITUTE ($T670,L$1&amp;"" CE"",""""), L$1&amp;""[\w &amp;]*, (\d+\.\d+)""),"""")
"),"")</f>
        <v/>
      </c>
      <c r="M670" s="3" t="str">
        <f aca="false">IFERROR(__xludf.dummyfunction("if($T670&lt;&gt;"""",REGEXEXTRACT($T670, M$1&amp;""[\w &amp;]*, (\d+\.\d+)""),"""")
"),"")</f>
        <v/>
      </c>
      <c r="N670" s="3" t="str">
        <f aca="false">IFERROR(__xludf.dummyfunction("if($T670&lt;&gt;"""",REGEXEXTRACT(SUBSTITUTE ($T670,N$1&amp;"" CE"",""""), N$1&amp;""[\w &amp;]*, (\d+\.\d+)""),"""")
"),"")</f>
        <v/>
      </c>
      <c r="O670" s="3" t="str">
        <f aca="false">IFERROR(__xludf.dummyfunction("if($T670&lt;&gt;"""",REGEXEXTRACT($T670, O$1&amp;""[\w &amp;]*, (\d+\.\d+)""),"""")
"),"")</f>
        <v/>
      </c>
      <c r="P670" s="2"/>
      <c r="Q670" s="2"/>
      <c r="R670" s="2"/>
      <c r="S670" s="2"/>
      <c r="T670" s="5"/>
    </row>
    <row r="671" customFormat="false" ht="15.75" hidden="false" customHeight="false" outlineLevel="0" collapsed="false">
      <c r="A671" s="4"/>
      <c r="B671" s="2"/>
      <c r="C671" s="2"/>
      <c r="D671" s="2"/>
      <c r="E671" s="2"/>
      <c r="F671" s="3" t="str">
        <f aca="false">IFERROR(__xludf.dummyfunction("if($T671&lt;&gt;"""",REGEXEXTRACT(SUBSTITUTE ($T671,F$1&amp;"" CE"",""""), F$1&amp;""[\w &amp;]*, (\d+\.\d+)""),"""")
"),"")</f>
        <v/>
      </c>
      <c r="G671" s="3" t="str">
        <f aca="false">IFERROR(__xludf.dummyfunction("if($T671&lt;&gt;"""",REGEXEXTRACT($T671, G$1&amp;""[\w &amp;]*, (\d+\.\d+)""),"""")
"),"")</f>
        <v/>
      </c>
      <c r="H671" s="3"/>
      <c r="I671" s="3" t="str">
        <f aca="false">IFERROR(__xludf.dummyfunction("if($T671&lt;&gt;"""",REGEXEXTRACT(SUBSTITUTE ($T671,I$1&amp;"" CE"",""""), I$1&amp;""[\w &amp;]*, (\d+\.\d+)""),"""")
"),"")</f>
        <v/>
      </c>
      <c r="J671" s="3" t="str">
        <f aca="false">IFERROR(__xludf.dummyfunction("if($T671&lt;&gt;"""",REGEXEXTRACT($T671, J$1&amp;""[\w &amp;]*, (\d+\.\d+)""),"""")
"),"")</f>
        <v/>
      </c>
      <c r="K671" s="3"/>
      <c r="L671" s="3" t="str">
        <f aca="false">IFERROR(__xludf.dummyfunction("if($T671&lt;&gt;"""",REGEXEXTRACT(SUBSTITUTE ($T671,L$1&amp;"" CE"",""""), L$1&amp;""[\w &amp;]*, (\d+\.\d+)""),"""")
"),"")</f>
        <v/>
      </c>
      <c r="M671" s="3" t="str">
        <f aca="false">IFERROR(__xludf.dummyfunction("if($T671&lt;&gt;"""",REGEXEXTRACT($T671, M$1&amp;""[\w &amp;]*, (\d+\.\d+)""),"""")
"),"")</f>
        <v/>
      </c>
      <c r="N671" s="3" t="str">
        <f aca="false">IFERROR(__xludf.dummyfunction("if($T671&lt;&gt;"""",REGEXEXTRACT(SUBSTITUTE ($T671,N$1&amp;"" CE"",""""), N$1&amp;""[\w &amp;]*, (\d+\.\d+)""),"""")
"),"")</f>
        <v/>
      </c>
      <c r="O671" s="3" t="str">
        <f aca="false">IFERROR(__xludf.dummyfunction("if($T671&lt;&gt;"""",REGEXEXTRACT($T671, O$1&amp;""[\w &amp;]*, (\d+\.\d+)""),"""")
"),"")</f>
        <v/>
      </c>
      <c r="P671" s="2"/>
      <c r="Q671" s="2"/>
      <c r="R671" s="2"/>
      <c r="S671" s="2"/>
      <c r="T671" s="5"/>
    </row>
    <row r="672" customFormat="false" ht="15.75" hidden="false" customHeight="false" outlineLevel="0" collapsed="false">
      <c r="A672" s="4"/>
      <c r="B672" s="2"/>
      <c r="C672" s="2"/>
      <c r="D672" s="2"/>
      <c r="E672" s="2"/>
      <c r="F672" s="3" t="str">
        <f aca="false">IFERROR(__xludf.dummyfunction("if($T672&lt;&gt;"""",REGEXEXTRACT(SUBSTITUTE ($T672,F$1&amp;"" CE"",""""), F$1&amp;""[\w &amp;]*, (\d+\.\d+)""),"""")
"),"")</f>
        <v/>
      </c>
      <c r="G672" s="3" t="str">
        <f aca="false">IFERROR(__xludf.dummyfunction("if($T672&lt;&gt;"""",REGEXEXTRACT($T672, G$1&amp;""[\w &amp;]*, (\d+\.\d+)""),"""")
"),"")</f>
        <v/>
      </c>
      <c r="H672" s="3"/>
      <c r="I672" s="3" t="str">
        <f aca="false">IFERROR(__xludf.dummyfunction("if($T672&lt;&gt;"""",REGEXEXTRACT(SUBSTITUTE ($T672,I$1&amp;"" CE"",""""), I$1&amp;""[\w &amp;]*, (\d+\.\d+)""),"""")
"),"")</f>
        <v/>
      </c>
      <c r="J672" s="3" t="str">
        <f aca="false">IFERROR(__xludf.dummyfunction("if($T672&lt;&gt;"""",REGEXEXTRACT($T672, J$1&amp;""[\w &amp;]*, (\d+\.\d+)""),"""")
"),"")</f>
        <v/>
      </c>
      <c r="K672" s="3"/>
      <c r="L672" s="3" t="str">
        <f aca="false">IFERROR(__xludf.dummyfunction("if($T672&lt;&gt;"""",REGEXEXTRACT(SUBSTITUTE ($T672,L$1&amp;"" CE"",""""), L$1&amp;""[\w &amp;]*, (\d+\.\d+)""),"""")
"),"")</f>
        <v/>
      </c>
      <c r="M672" s="3" t="str">
        <f aca="false">IFERROR(__xludf.dummyfunction("if($T672&lt;&gt;"""",REGEXEXTRACT($T672, M$1&amp;""[\w &amp;]*, (\d+\.\d+)""),"""")
"),"")</f>
        <v/>
      </c>
      <c r="N672" s="3" t="str">
        <f aca="false">IFERROR(__xludf.dummyfunction("if($T672&lt;&gt;"""",REGEXEXTRACT(SUBSTITUTE ($T672,N$1&amp;"" CE"",""""), N$1&amp;""[\w &amp;]*, (\d+\.\d+)""),"""")
"),"")</f>
        <v/>
      </c>
      <c r="O672" s="3" t="str">
        <f aca="false">IFERROR(__xludf.dummyfunction("if($T672&lt;&gt;"""",REGEXEXTRACT($T672, O$1&amp;""[\w &amp;]*, (\d+\.\d+)""),"""")
"),"")</f>
        <v/>
      </c>
      <c r="P672" s="2"/>
      <c r="Q672" s="2"/>
      <c r="R672" s="2"/>
      <c r="S672" s="2"/>
      <c r="T672" s="5"/>
    </row>
    <row r="673" customFormat="false" ht="15.75" hidden="false" customHeight="false" outlineLevel="0" collapsed="false">
      <c r="A673" s="4"/>
      <c r="B673" s="2"/>
      <c r="C673" s="2"/>
      <c r="D673" s="2"/>
      <c r="E673" s="2"/>
      <c r="F673" s="3" t="str">
        <f aca="false">IFERROR(__xludf.dummyfunction("if($T673&lt;&gt;"""",REGEXEXTRACT(SUBSTITUTE ($T673,F$1&amp;"" CE"",""""), F$1&amp;""[\w &amp;]*, (\d+\.\d+)""),"""")
"),"")</f>
        <v/>
      </c>
      <c r="G673" s="3" t="str">
        <f aca="false">IFERROR(__xludf.dummyfunction("if($T673&lt;&gt;"""",REGEXEXTRACT($T673, G$1&amp;""[\w &amp;]*, (\d+\.\d+)""),"""")
"),"")</f>
        <v/>
      </c>
      <c r="H673" s="3"/>
      <c r="I673" s="3" t="str">
        <f aca="false">IFERROR(__xludf.dummyfunction("if($T673&lt;&gt;"""",REGEXEXTRACT(SUBSTITUTE ($T673,I$1&amp;"" CE"",""""), I$1&amp;""[\w &amp;]*, (\d+\.\d+)""),"""")
"),"")</f>
        <v/>
      </c>
      <c r="J673" s="3" t="str">
        <f aca="false">IFERROR(__xludf.dummyfunction("if($T673&lt;&gt;"""",REGEXEXTRACT($T673, J$1&amp;""[\w &amp;]*, (\d+\.\d+)""),"""")
"),"")</f>
        <v/>
      </c>
      <c r="K673" s="3"/>
      <c r="L673" s="3" t="str">
        <f aca="false">IFERROR(__xludf.dummyfunction("if($T673&lt;&gt;"""",REGEXEXTRACT(SUBSTITUTE ($T673,L$1&amp;"" CE"",""""), L$1&amp;""[\w &amp;]*, (\d+\.\d+)""),"""")
"),"")</f>
        <v/>
      </c>
      <c r="M673" s="3" t="str">
        <f aca="false">IFERROR(__xludf.dummyfunction("if($T673&lt;&gt;"""",REGEXEXTRACT($T673, M$1&amp;""[\w &amp;]*, (\d+\.\d+)""),"""")
"),"")</f>
        <v/>
      </c>
      <c r="N673" s="3" t="str">
        <f aca="false">IFERROR(__xludf.dummyfunction("if($T673&lt;&gt;"""",REGEXEXTRACT(SUBSTITUTE ($T673,N$1&amp;"" CE"",""""), N$1&amp;""[\w &amp;]*, (\d+\.\d+)""),"""")
"),"")</f>
        <v/>
      </c>
      <c r="O673" s="3" t="str">
        <f aca="false">IFERROR(__xludf.dummyfunction("if($T673&lt;&gt;"""",REGEXEXTRACT($T673, O$1&amp;""[\w &amp;]*, (\d+\.\d+)""),"""")
"),"")</f>
        <v/>
      </c>
      <c r="P673" s="2"/>
      <c r="Q673" s="2"/>
      <c r="R673" s="2"/>
      <c r="S673" s="2"/>
      <c r="T673" s="5"/>
    </row>
    <row r="674" customFormat="false" ht="15.75" hidden="false" customHeight="false" outlineLevel="0" collapsed="false">
      <c r="A674" s="4"/>
      <c r="B674" s="2"/>
      <c r="C674" s="2"/>
      <c r="D674" s="2"/>
      <c r="E674" s="2"/>
      <c r="F674" s="3" t="str">
        <f aca="false">IFERROR(__xludf.dummyfunction("if($T674&lt;&gt;"""",REGEXEXTRACT(SUBSTITUTE ($T674,F$1&amp;"" CE"",""""), F$1&amp;""[\w &amp;]*, (\d+\.\d+)""),"""")
"),"")</f>
        <v/>
      </c>
      <c r="G674" s="3" t="str">
        <f aca="false">IFERROR(__xludf.dummyfunction("if($T674&lt;&gt;"""",REGEXEXTRACT($T674, G$1&amp;""[\w &amp;]*, (\d+\.\d+)""),"""")
"),"")</f>
        <v/>
      </c>
      <c r="H674" s="3"/>
      <c r="I674" s="3" t="str">
        <f aca="false">IFERROR(__xludf.dummyfunction("if($T674&lt;&gt;"""",REGEXEXTRACT(SUBSTITUTE ($T674,I$1&amp;"" CE"",""""), I$1&amp;""[\w &amp;]*, (\d+\.\d+)""),"""")
"),"")</f>
        <v/>
      </c>
      <c r="J674" s="3" t="str">
        <f aca="false">IFERROR(__xludf.dummyfunction("if($T674&lt;&gt;"""",REGEXEXTRACT($T674, J$1&amp;""[\w &amp;]*, (\d+\.\d+)""),"""")
"),"")</f>
        <v/>
      </c>
      <c r="K674" s="3"/>
      <c r="L674" s="3" t="str">
        <f aca="false">IFERROR(__xludf.dummyfunction("if($T674&lt;&gt;"""",REGEXEXTRACT(SUBSTITUTE ($T674,L$1&amp;"" CE"",""""), L$1&amp;""[\w &amp;]*, (\d+\.\d+)""),"""")
"),"")</f>
        <v/>
      </c>
      <c r="M674" s="3" t="str">
        <f aca="false">IFERROR(__xludf.dummyfunction("if($T674&lt;&gt;"""",REGEXEXTRACT($T674, M$1&amp;""[\w &amp;]*, (\d+\.\d+)""),"""")
"),"")</f>
        <v/>
      </c>
      <c r="N674" s="3" t="str">
        <f aca="false">IFERROR(__xludf.dummyfunction("if($T674&lt;&gt;"""",REGEXEXTRACT(SUBSTITUTE ($T674,N$1&amp;"" CE"",""""), N$1&amp;""[\w &amp;]*, (\d+\.\d+)""),"""")
"),"")</f>
        <v/>
      </c>
      <c r="O674" s="3" t="str">
        <f aca="false">IFERROR(__xludf.dummyfunction("if($T674&lt;&gt;"""",REGEXEXTRACT($T674, O$1&amp;""[\w &amp;]*, (\d+\.\d+)""),"""")
"),"")</f>
        <v/>
      </c>
      <c r="P674" s="2"/>
      <c r="Q674" s="2"/>
      <c r="R674" s="2"/>
      <c r="S674" s="2"/>
      <c r="T674" s="5"/>
    </row>
    <row r="675" customFormat="false" ht="15.75" hidden="false" customHeight="false" outlineLevel="0" collapsed="false">
      <c r="A675" s="4"/>
      <c r="B675" s="2"/>
      <c r="C675" s="2"/>
      <c r="D675" s="2"/>
      <c r="E675" s="2"/>
      <c r="F675" s="3" t="str">
        <f aca="false">IFERROR(__xludf.dummyfunction("if($T675&lt;&gt;"""",REGEXEXTRACT(SUBSTITUTE ($T675,F$1&amp;"" CE"",""""), F$1&amp;""[\w &amp;]*, (\d+\.\d+)""),"""")
"),"")</f>
        <v/>
      </c>
      <c r="G675" s="3" t="str">
        <f aca="false">IFERROR(__xludf.dummyfunction("if($T675&lt;&gt;"""",REGEXEXTRACT($T675, G$1&amp;""[\w &amp;]*, (\d+\.\d+)""),"""")
"),"")</f>
        <v/>
      </c>
      <c r="H675" s="3"/>
      <c r="I675" s="3" t="str">
        <f aca="false">IFERROR(__xludf.dummyfunction("if($T675&lt;&gt;"""",REGEXEXTRACT(SUBSTITUTE ($T675,I$1&amp;"" CE"",""""), I$1&amp;""[\w &amp;]*, (\d+\.\d+)""),"""")
"),"")</f>
        <v/>
      </c>
      <c r="J675" s="3" t="str">
        <f aca="false">IFERROR(__xludf.dummyfunction("if($T675&lt;&gt;"""",REGEXEXTRACT($T675, J$1&amp;""[\w &amp;]*, (\d+\.\d+)""),"""")
"),"")</f>
        <v/>
      </c>
      <c r="K675" s="3"/>
      <c r="L675" s="3" t="str">
        <f aca="false">IFERROR(__xludf.dummyfunction("if($T675&lt;&gt;"""",REGEXEXTRACT(SUBSTITUTE ($T675,L$1&amp;"" CE"",""""), L$1&amp;""[\w &amp;]*, (\d+\.\d+)""),"""")
"),"")</f>
        <v/>
      </c>
      <c r="M675" s="3" t="str">
        <f aca="false">IFERROR(__xludf.dummyfunction("if($T675&lt;&gt;"""",REGEXEXTRACT($T675, M$1&amp;""[\w &amp;]*, (\d+\.\d+)""),"""")
"),"")</f>
        <v/>
      </c>
      <c r="N675" s="3" t="str">
        <f aca="false">IFERROR(__xludf.dummyfunction("if($T675&lt;&gt;"""",REGEXEXTRACT(SUBSTITUTE ($T675,N$1&amp;"" CE"",""""), N$1&amp;""[\w &amp;]*, (\d+\.\d+)""),"""")
"),"")</f>
        <v/>
      </c>
      <c r="O675" s="3" t="str">
        <f aca="false">IFERROR(__xludf.dummyfunction("if($T675&lt;&gt;"""",REGEXEXTRACT($T675, O$1&amp;""[\w &amp;]*, (\d+\.\d+)""),"""")
"),"")</f>
        <v/>
      </c>
      <c r="P675" s="2"/>
      <c r="Q675" s="2"/>
      <c r="R675" s="2"/>
      <c r="S675" s="2"/>
      <c r="T675" s="5"/>
    </row>
    <row r="676" customFormat="false" ht="15.75" hidden="false" customHeight="false" outlineLevel="0" collapsed="false">
      <c r="A676" s="4"/>
      <c r="B676" s="2"/>
      <c r="C676" s="2"/>
      <c r="D676" s="2"/>
      <c r="E676" s="2"/>
      <c r="F676" s="3" t="str">
        <f aca="false">IFERROR(__xludf.dummyfunction("if($T676&lt;&gt;"""",REGEXEXTRACT(SUBSTITUTE ($T676,F$1&amp;"" CE"",""""), F$1&amp;""[\w &amp;]*, (\d+\.\d+)""),"""")
"),"")</f>
        <v/>
      </c>
      <c r="G676" s="3" t="str">
        <f aca="false">IFERROR(__xludf.dummyfunction("if($T676&lt;&gt;"""",REGEXEXTRACT($T676, G$1&amp;""[\w &amp;]*, (\d+\.\d+)""),"""")
"),"")</f>
        <v/>
      </c>
      <c r="H676" s="3"/>
      <c r="I676" s="3" t="str">
        <f aca="false">IFERROR(__xludf.dummyfunction("if($T676&lt;&gt;"""",REGEXEXTRACT(SUBSTITUTE ($T676,I$1&amp;"" CE"",""""), I$1&amp;""[\w &amp;]*, (\d+\.\d+)""),"""")
"),"")</f>
        <v/>
      </c>
      <c r="J676" s="3" t="str">
        <f aca="false">IFERROR(__xludf.dummyfunction("if($T676&lt;&gt;"""",REGEXEXTRACT($T676, J$1&amp;""[\w &amp;]*, (\d+\.\d+)""),"""")
"),"")</f>
        <v/>
      </c>
      <c r="K676" s="3"/>
      <c r="L676" s="3" t="str">
        <f aca="false">IFERROR(__xludf.dummyfunction("if($T676&lt;&gt;"""",REGEXEXTRACT(SUBSTITUTE ($T676,L$1&amp;"" CE"",""""), L$1&amp;""[\w &amp;]*, (\d+\.\d+)""),"""")
"),"")</f>
        <v/>
      </c>
      <c r="M676" s="3" t="str">
        <f aca="false">IFERROR(__xludf.dummyfunction("if($T676&lt;&gt;"""",REGEXEXTRACT($T676, M$1&amp;""[\w &amp;]*, (\d+\.\d+)""),"""")
"),"")</f>
        <v/>
      </c>
      <c r="N676" s="3" t="str">
        <f aca="false">IFERROR(__xludf.dummyfunction("if($T676&lt;&gt;"""",REGEXEXTRACT(SUBSTITUTE ($T676,N$1&amp;"" CE"",""""), N$1&amp;""[\w &amp;]*, (\d+\.\d+)""),"""")
"),"")</f>
        <v/>
      </c>
      <c r="O676" s="3" t="str">
        <f aca="false">IFERROR(__xludf.dummyfunction("if($T676&lt;&gt;"""",REGEXEXTRACT($T676, O$1&amp;""[\w &amp;]*, (\d+\.\d+)""),"""")
"),"")</f>
        <v/>
      </c>
      <c r="P676" s="2"/>
      <c r="Q676" s="2"/>
      <c r="R676" s="2"/>
      <c r="S676" s="2"/>
      <c r="T676" s="5"/>
    </row>
    <row r="677" customFormat="false" ht="15.75" hidden="false" customHeight="false" outlineLevel="0" collapsed="false">
      <c r="A677" s="4"/>
      <c r="B677" s="2"/>
      <c r="C677" s="2"/>
      <c r="D677" s="2"/>
      <c r="E677" s="2"/>
      <c r="F677" s="3" t="str">
        <f aca="false">IFERROR(__xludf.dummyfunction("if($T677&lt;&gt;"""",REGEXEXTRACT(SUBSTITUTE ($T677,F$1&amp;"" CE"",""""), F$1&amp;""[\w &amp;]*, (\d+\.\d+)""),"""")
"),"")</f>
        <v/>
      </c>
      <c r="G677" s="3" t="str">
        <f aca="false">IFERROR(__xludf.dummyfunction("if($T677&lt;&gt;"""",REGEXEXTRACT($T677, G$1&amp;""[\w &amp;]*, (\d+\.\d+)""),"""")
"),"")</f>
        <v/>
      </c>
      <c r="H677" s="3"/>
      <c r="I677" s="3" t="str">
        <f aca="false">IFERROR(__xludf.dummyfunction("if($T677&lt;&gt;"""",REGEXEXTRACT(SUBSTITUTE ($T677,I$1&amp;"" CE"",""""), I$1&amp;""[\w &amp;]*, (\d+\.\d+)""),"""")
"),"")</f>
        <v/>
      </c>
      <c r="J677" s="3" t="str">
        <f aca="false">IFERROR(__xludf.dummyfunction("if($T677&lt;&gt;"""",REGEXEXTRACT($T677, J$1&amp;""[\w &amp;]*, (\d+\.\d+)""),"""")
"),"")</f>
        <v/>
      </c>
      <c r="K677" s="3"/>
      <c r="L677" s="3" t="str">
        <f aca="false">IFERROR(__xludf.dummyfunction("if($T677&lt;&gt;"""",REGEXEXTRACT(SUBSTITUTE ($T677,L$1&amp;"" CE"",""""), L$1&amp;""[\w &amp;]*, (\d+\.\d+)""),"""")
"),"")</f>
        <v/>
      </c>
      <c r="M677" s="3" t="str">
        <f aca="false">IFERROR(__xludf.dummyfunction("if($T677&lt;&gt;"""",REGEXEXTRACT($T677, M$1&amp;""[\w &amp;]*, (\d+\.\d+)""),"""")
"),"")</f>
        <v/>
      </c>
      <c r="N677" s="3" t="str">
        <f aca="false">IFERROR(__xludf.dummyfunction("if($T677&lt;&gt;"""",REGEXEXTRACT(SUBSTITUTE ($T677,N$1&amp;"" CE"",""""), N$1&amp;""[\w &amp;]*, (\d+\.\d+)""),"""")
"),"")</f>
        <v/>
      </c>
      <c r="O677" s="3" t="str">
        <f aca="false">IFERROR(__xludf.dummyfunction("if($T677&lt;&gt;"""",REGEXEXTRACT($T677, O$1&amp;""[\w &amp;]*, (\d+\.\d+)""),"""")
"),"")</f>
        <v/>
      </c>
      <c r="P677" s="2"/>
      <c r="Q677" s="2"/>
      <c r="R677" s="2"/>
      <c r="S677" s="2"/>
      <c r="T677" s="5"/>
    </row>
    <row r="678" customFormat="false" ht="15.75" hidden="false" customHeight="false" outlineLevel="0" collapsed="false">
      <c r="A678" s="4"/>
      <c r="B678" s="2"/>
      <c r="C678" s="2"/>
      <c r="D678" s="2"/>
      <c r="E678" s="2"/>
      <c r="F678" s="3" t="str">
        <f aca="false">IFERROR(__xludf.dummyfunction("if($T678&lt;&gt;"""",REGEXEXTRACT(SUBSTITUTE ($T678,F$1&amp;"" CE"",""""), F$1&amp;""[\w &amp;]*, (\d+\.\d+)""),"""")
"),"")</f>
        <v/>
      </c>
      <c r="G678" s="3" t="str">
        <f aca="false">IFERROR(__xludf.dummyfunction("if($T678&lt;&gt;"""",REGEXEXTRACT($T678, G$1&amp;""[\w &amp;]*, (\d+\.\d+)""),"""")
"),"")</f>
        <v/>
      </c>
      <c r="H678" s="3"/>
      <c r="I678" s="3" t="str">
        <f aca="false">IFERROR(__xludf.dummyfunction("if($T678&lt;&gt;"""",REGEXEXTRACT(SUBSTITUTE ($T678,I$1&amp;"" CE"",""""), I$1&amp;""[\w &amp;]*, (\d+\.\d+)""),"""")
"),"")</f>
        <v/>
      </c>
      <c r="J678" s="3" t="str">
        <f aca="false">IFERROR(__xludf.dummyfunction("if($T678&lt;&gt;"""",REGEXEXTRACT($T678, J$1&amp;""[\w &amp;]*, (\d+\.\d+)""),"""")
"),"")</f>
        <v/>
      </c>
      <c r="K678" s="3"/>
      <c r="L678" s="3" t="str">
        <f aca="false">IFERROR(__xludf.dummyfunction("if($T678&lt;&gt;"""",REGEXEXTRACT(SUBSTITUTE ($T678,L$1&amp;"" CE"",""""), L$1&amp;""[\w &amp;]*, (\d+\.\d+)""),"""")
"),"")</f>
        <v/>
      </c>
      <c r="M678" s="3" t="str">
        <f aca="false">IFERROR(__xludf.dummyfunction("if($T678&lt;&gt;"""",REGEXEXTRACT($T678, M$1&amp;""[\w &amp;]*, (\d+\.\d+)""),"""")
"),"")</f>
        <v/>
      </c>
      <c r="N678" s="3" t="str">
        <f aca="false">IFERROR(__xludf.dummyfunction("if($T678&lt;&gt;"""",REGEXEXTRACT(SUBSTITUTE ($T678,N$1&amp;"" CE"",""""), N$1&amp;""[\w &amp;]*, (\d+\.\d+)""),"""")
"),"")</f>
        <v/>
      </c>
      <c r="O678" s="3" t="str">
        <f aca="false">IFERROR(__xludf.dummyfunction("if($T678&lt;&gt;"""",REGEXEXTRACT($T678, O$1&amp;""[\w &amp;]*, (\d+\.\d+)""),"""")
"),"")</f>
        <v/>
      </c>
      <c r="P678" s="2"/>
      <c r="Q678" s="2"/>
      <c r="R678" s="2"/>
      <c r="S678" s="2"/>
      <c r="T678" s="5"/>
    </row>
    <row r="679" customFormat="false" ht="15.75" hidden="false" customHeight="false" outlineLevel="0" collapsed="false">
      <c r="A679" s="4"/>
      <c r="B679" s="2"/>
      <c r="C679" s="2"/>
      <c r="D679" s="2"/>
      <c r="E679" s="2"/>
      <c r="F679" s="3" t="str">
        <f aca="false">IFERROR(__xludf.dummyfunction("if($T679&lt;&gt;"""",REGEXEXTRACT(SUBSTITUTE ($T679,F$1&amp;"" CE"",""""), F$1&amp;""[\w &amp;]*, (\d+\.\d+)""),"""")
"),"")</f>
        <v/>
      </c>
      <c r="G679" s="3" t="str">
        <f aca="false">IFERROR(__xludf.dummyfunction("if($T679&lt;&gt;"""",REGEXEXTRACT($T679, G$1&amp;""[\w &amp;]*, (\d+\.\d+)""),"""")
"),"")</f>
        <v/>
      </c>
      <c r="H679" s="3"/>
      <c r="I679" s="3" t="str">
        <f aca="false">IFERROR(__xludf.dummyfunction("if($T679&lt;&gt;"""",REGEXEXTRACT(SUBSTITUTE ($T679,I$1&amp;"" CE"",""""), I$1&amp;""[\w &amp;]*, (\d+\.\d+)""),"""")
"),"")</f>
        <v/>
      </c>
      <c r="J679" s="3" t="str">
        <f aca="false">IFERROR(__xludf.dummyfunction("if($T679&lt;&gt;"""",REGEXEXTRACT($T679, J$1&amp;""[\w &amp;]*, (\d+\.\d+)""),"""")
"),"")</f>
        <v/>
      </c>
      <c r="K679" s="3"/>
      <c r="L679" s="3" t="str">
        <f aca="false">IFERROR(__xludf.dummyfunction("if($T679&lt;&gt;"""",REGEXEXTRACT(SUBSTITUTE ($T679,L$1&amp;"" CE"",""""), L$1&amp;""[\w &amp;]*, (\d+\.\d+)""),"""")
"),"")</f>
        <v/>
      </c>
      <c r="M679" s="3" t="str">
        <f aca="false">IFERROR(__xludf.dummyfunction("if($T679&lt;&gt;"""",REGEXEXTRACT($T679, M$1&amp;""[\w &amp;]*, (\d+\.\d+)""),"""")
"),"")</f>
        <v/>
      </c>
      <c r="N679" s="3" t="str">
        <f aca="false">IFERROR(__xludf.dummyfunction("if($T679&lt;&gt;"""",REGEXEXTRACT(SUBSTITUTE ($T679,N$1&amp;"" CE"",""""), N$1&amp;""[\w &amp;]*, (\d+\.\d+)""),"""")
"),"")</f>
        <v/>
      </c>
      <c r="O679" s="3" t="str">
        <f aca="false">IFERROR(__xludf.dummyfunction("if($T679&lt;&gt;"""",REGEXEXTRACT($T679, O$1&amp;""[\w &amp;]*, (\d+\.\d+)""),"""")
"),"")</f>
        <v/>
      </c>
      <c r="P679" s="2"/>
      <c r="Q679" s="2"/>
      <c r="R679" s="2"/>
      <c r="S679" s="2"/>
      <c r="T679" s="5"/>
    </row>
    <row r="680" customFormat="false" ht="15.75" hidden="false" customHeight="false" outlineLevel="0" collapsed="false">
      <c r="A680" s="4"/>
      <c r="B680" s="2"/>
      <c r="C680" s="2"/>
      <c r="D680" s="2"/>
      <c r="E680" s="2"/>
      <c r="F680" s="3" t="str">
        <f aca="false">IFERROR(__xludf.dummyfunction("if($T680&lt;&gt;"""",REGEXEXTRACT(SUBSTITUTE ($T680,F$1&amp;"" CE"",""""), F$1&amp;""[\w &amp;]*, (\d+\.\d+)""),"""")
"),"")</f>
        <v/>
      </c>
      <c r="G680" s="3" t="str">
        <f aca="false">IFERROR(__xludf.dummyfunction("if($T680&lt;&gt;"""",REGEXEXTRACT($T680, G$1&amp;""[\w &amp;]*, (\d+\.\d+)""),"""")
"),"")</f>
        <v/>
      </c>
      <c r="H680" s="3"/>
      <c r="I680" s="3" t="str">
        <f aca="false">IFERROR(__xludf.dummyfunction("if($T680&lt;&gt;"""",REGEXEXTRACT(SUBSTITUTE ($T680,I$1&amp;"" CE"",""""), I$1&amp;""[\w &amp;]*, (\d+\.\d+)""),"""")
"),"")</f>
        <v/>
      </c>
      <c r="J680" s="3" t="str">
        <f aca="false">IFERROR(__xludf.dummyfunction("if($T680&lt;&gt;"""",REGEXEXTRACT($T680, J$1&amp;""[\w &amp;]*, (\d+\.\d+)""),"""")
"),"")</f>
        <v/>
      </c>
      <c r="K680" s="3"/>
      <c r="L680" s="3" t="str">
        <f aca="false">IFERROR(__xludf.dummyfunction("if($T680&lt;&gt;"""",REGEXEXTRACT(SUBSTITUTE ($T680,L$1&amp;"" CE"",""""), L$1&amp;""[\w &amp;]*, (\d+\.\d+)""),"""")
"),"")</f>
        <v/>
      </c>
      <c r="M680" s="3" t="str">
        <f aca="false">IFERROR(__xludf.dummyfunction("if($T680&lt;&gt;"""",REGEXEXTRACT($T680, M$1&amp;""[\w &amp;]*, (\d+\.\d+)""),"""")
"),"")</f>
        <v/>
      </c>
      <c r="N680" s="3" t="str">
        <f aca="false">IFERROR(__xludf.dummyfunction("if($T680&lt;&gt;"""",REGEXEXTRACT(SUBSTITUTE ($T680,N$1&amp;"" CE"",""""), N$1&amp;""[\w &amp;]*, (\d+\.\d+)""),"""")
"),"")</f>
        <v/>
      </c>
      <c r="O680" s="3" t="str">
        <f aca="false">IFERROR(__xludf.dummyfunction("if($T680&lt;&gt;"""",REGEXEXTRACT($T680, O$1&amp;""[\w &amp;]*, (\d+\.\d+)""),"""")
"),"")</f>
        <v/>
      </c>
      <c r="P680" s="2"/>
      <c r="Q680" s="2"/>
      <c r="R680" s="2"/>
      <c r="S680" s="2"/>
      <c r="T680" s="5"/>
    </row>
    <row r="681" customFormat="false" ht="15.75" hidden="false" customHeight="false" outlineLevel="0" collapsed="false">
      <c r="A681" s="4"/>
      <c r="B681" s="2"/>
      <c r="C681" s="2"/>
      <c r="D681" s="2"/>
      <c r="E681" s="2"/>
      <c r="F681" s="3" t="str">
        <f aca="false">IFERROR(__xludf.dummyfunction("if($T681&lt;&gt;"""",REGEXEXTRACT(SUBSTITUTE ($T681,F$1&amp;"" CE"",""""), F$1&amp;""[\w &amp;]*, (\d+\.\d+)""),"""")
"),"")</f>
        <v/>
      </c>
      <c r="G681" s="3" t="str">
        <f aca="false">IFERROR(__xludf.dummyfunction("if($T681&lt;&gt;"""",REGEXEXTRACT($T681, G$1&amp;""[\w &amp;]*, (\d+\.\d+)""),"""")
"),"")</f>
        <v/>
      </c>
      <c r="H681" s="3"/>
      <c r="I681" s="3" t="str">
        <f aca="false">IFERROR(__xludf.dummyfunction("if($T681&lt;&gt;"""",REGEXEXTRACT(SUBSTITUTE ($T681,I$1&amp;"" CE"",""""), I$1&amp;""[\w &amp;]*, (\d+\.\d+)""),"""")
"),"")</f>
        <v/>
      </c>
      <c r="J681" s="3" t="str">
        <f aca="false">IFERROR(__xludf.dummyfunction("if($T681&lt;&gt;"""",REGEXEXTRACT($T681, J$1&amp;""[\w &amp;]*, (\d+\.\d+)""),"""")
"),"")</f>
        <v/>
      </c>
      <c r="K681" s="3"/>
      <c r="L681" s="3" t="str">
        <f aca="false">IFERROR(__xludf.dummyfunction("if($T681&lt;&gt;"""",REGEXEXTRACT(SUBSTITUTE ($T681,L$1&amp;"" CE"",""""), L$1&amp;""[\w &amp;]*, (\d+\.\d+)""),"""")
"),"")</f>
        <v/>
      </c>
      <c r="M681" s="3" t="str">
        <f aca="false">IFERROR(__xludf.dummyfunction("if($T681&lt;&gt;"""",REGEXEXTRACT($T681, M$1&amp;""[\w &amp;]*, (\d+\.\d+)""),"""")
"),"")</f>
        <v/>
      </c>
      <c r="N681" s="3" t="str">
        <f aca="false">IFERROR(__xludf.dummyfunction("if($T681&lt;&gt;"""",REGEXEXTRACT(SUBSTITUTE ($T681,N$1&amp;"" CE"",""""), N$1&amp;""[\w &amp;]*, (\d+\.\d+)""),"""")
"),"")</f>
        <v/>
      </c>
      <c r="O681" s="3" t="str">
        <f aca="false">IFERROR(__xludf.dummyfunction("if($T681&lt;&gt;"""",REGEXEXTRACT($T681, O$1&amp;""[\w &amp;]*, (\d+\.\d+)""),"""")
"),"")</f>
        <v/>
      </c>
      <c r="P681" s="2"/>
      <c r="Q681" s="2"/>
      <c r="R681" s="2"/>
      <c r="S681" s="2"/>
      <c r="T681" s="5"/>
    </row>
    <row r="682" customFormat="false" ht="15.75" hidden="false" customHeight="false" outlineLevel="0" collapsed="false">
      <c r="A682" s="4"/>
      <c r="B682" s="2"/>
      <c r="C682" s="2"/>
      <c r="D682" s="2"/>
      <c r="E682" s="2"/>
      <c r="F682" s="3" t="str">
        <f aca="false">IFERROR(__xludf.dummyfunction("if($T682&lt;&gt;"""",REGEXEXTRACT(SUBSTITUTE ($T682,F$1&amp;"" CE"",""""), F$1&amp;""[\w &amp;]*, (\d+\.\d+)""),"""")
"),"")</f>
        <v/>
      </c>
      <c r="G682" s="3" t="str">
        <f aca="false">IFERROR(__xludf.dummyfunction("if($T682&lt;&gt;"""",REGEXEXTRACT($T682, G$1&amp;""[\w &amp;]*, (\d+\.\d+)""),"""")
"),"")</f>
        <v/>
      </c>
      <c r="H682" s="3"/>
      <c r="I682" s="3" t="str">
        <f aca="false">IFERROR(__xludf.dummyfunction("if($T682&lt;&gt;"""",REGEXEXTRACT(SUBSTITUTE ($T682,I$1&amp;"" CE"",""""), I$1&amp;""[\w &amp;]*, (\d+\.\d+)""),"""")
"),"")</f>
        <v/>
      </c>
      <c r="J682" s="3" t="str">
        <f aca="false">IFERROR(__xludf.dummyfunction("if($T682&lt;&gt;"""",REGEXEXTRACT($T682, J$1&amp;""[\w &amp;]*, (\d+\.\d+)""),"""")
"),"")</f>
        <v/>
      </c>
      <c r="K682" s="3"/>
      <c r="L682" s="3" t="str">
        <f aca="false">IFERROR(__xludf.dummyfunction("if($T682&lt;&gt;"""",REGEXEXTRACT(SUBSTITUTE ($T682,L$1&amp;"" CE"",""""), L$1&amp;""[\w &amp;]*, (\d+\.\d+)""),"""")
"),"")</f>
        <v/>
      </c>
      <c r="M682" s="3" t="str">
        <f aca="false">IFERROR(__xludf.dummyfunction("if($T682&lt;&gt;"""",REGEXEXTRACT($T682, M$1&amp;""[\w &amp;]*, (\d+\.\d+)""),"""")
"),"")</f>
        <v/>
      </c>
      <c r="N682" s="3" t="str">
        <f aca="false">IFERROR(__xludf.dummyfunction("if($T682&lt;&gt;"""",REGEXEXTRACT(SUBSTITUTE ($T682,N$1&amp;"" CE"",""""), N$1&amp;""[\w &amp;]*, (\d+\.\d+)""),"""")
"),"")</f>
        <v/>
      </c>
      <c r="O682" s="3" t="str">
        <f aca="false">IFERROR(__xludf.dummyfunction("if($T682&lt;&gt;"""",REGEXEXTRACT($T682, O$1&amp;""[\w &amp;]*, (\d+\.\d+)""),"""")
"),"")</f>
        <v/>
      </c>
      <c r="P682" s="2"/>
      <c r="Q682" s="2"/>
      <c r="R682" s="2"/>
      <c r="S682" s="2"/>
      <c r="T682" s="5"/>
    </row>
    <row r="683" customFormat="false" ht="15.75" hidden="false" customHeight="false" outlineLevel="0" collapsed="false">
      <c r="A683" s="4"/>
      <c r="B683" s="2"/>
      <c r="C683" s="2"/>
      <c r="D683" s="2"/>
      <c r="E683" s="2"/>
      <c r="F683" s="3" t="str">
        <f aca="false">IFERROR(__xludf.dummyfunction("if($T683&lt;&gt;"""",REGEXEXTRACT(SUBSTITUTE ($T683,F$1&amp;"" CE"",""""), F$1&amp;""[\w &amp;]*, (\d+\.\d+)""),"""")
"),"")</f>
        <v/>
      </c>
      <c r="G683" s="3" t="str">
        <f aca="false">IFERROR(__xludf.dummyfunction("if($T683&lt;&gt;"""",REGEXEXTRACT($T683, G$1&amp;""[\w &amp;]*, (\d+\.\d+)""),"""")
"),"")</f>
        <v/>
      </c>
      <c r="H683" s="3"/>
      <c r="I683" s="3" t="str">
        <f aca="false">IFERROR(__xludf.dummyfunction("if($T683&lt;&gt;"""",REGEXEXTRACT(SUBSTITUTE ($T683,I$1&amp;"" CE"",""""), I$1&amp;""[\w &amp;]*, (\d+\.\d+)""),"""")
"),"")</f>
        <v/>
      </c>
      <c r="J683" s="3" t="str">
        <f aca="false">IFERROR(__xludf.dummyfunction("if($T683&lt;&gt;"""",REGEXEXTRACT($T683, J$1&amp;""[\w &amp;]*, (\d+\.\d+)""),"""")
"),"")</f>
        <v/>
      </c>
      <c r="K683" s="3"/>
      <c r="L683" s="3" t="str">
        <f aca="false">IFERROR(__xludf.dummyfunction("if($T683&lt;&gt;"""",REGEXEXTRACT(SUBSTITUTE ($T683,L$1&amp;"" CE"",""""), L$1&amp;""[\w &amp;]*, (\d+\.\d+)""),"""")
"),"")</f>
        <v/>
      </c>
      <c r="M683" s="3" t="str">
        <f aca="false">IFERROR(__xludf.dummyfunction("if($T683&lt;&gt;"""",REGEXEXTRACT($T683, M$1&amp;""[\w &amp;]*, (\d+\.\d+)""),"""")
"),"")</f>
        <v/>
      </c>
      <c r="N683" s="3" t="str">
        <f aca="false">IFERROR(__xludf.dummyfunction("if($T683&lt;&gt;"""",REGEXEXTRACT(SUBSTITUTE ($T683,N$1&amp;"" CE"",""""), N$1&amp;""[\w &amp;]*, (\d+\.\d+)""),"""")
"),"")</f>
        <v/>
      </c>
      <c r="O683" s="3" t="str">
        <f aca="false">IFERROR(__xludf.dummyfunction("if($T683&lt;&gt;"""",REGEXEXTRACT($T683, O$1&amp;""[\w &amp;]*, (\d+\.\d+)""),"""")
"),"")</f>
        <v/>
      </c>
      <c r="P683" s="2"/>
      <c r="Q683" s="2"/>
      <c r="R683" s="2"/>
      <c r="S683" s="2"/>
      <c r="T683" s="5"/>
    </row>
    <row r="684" customFormat="false" ht="15.75" hidden="false" customHeight="false" outlineLevel="0" collapsed="false">
      <c r="A684" s="4"/>
      <c r="B684" s="2"/>
      <c r="C684" s="2"/>
      <c r="D684" s="2"/>
      <c r="E684" s="2"/>
      <c r="F684" s="3" t="str">
        <f aca="false">IFERROR(__xludf.dummyfunction("if($T684&lt;&gt;"""",REGEXEXTRACT(SUBSTITUTE ($T684,F$1&amp;"" CE"",""""), F$1&amp;""[\w &amp;]*, (\d+\.\d+)""),"""")
"),"")</f>
        <v/>
      </c>
      <c r="G684" s="3" t="str">
        <f aca="false">IFERROR(__xludf.dummyfunction("if($T684&lt;&gt;"""",REGEXEXTRACT($T684, G$1&amp;""[\w &amp;]*, (\d+\.\d+)""),"""")
"),"")</f>
        <v/>
      </c>
      <c r="H684" s="3"/>
      <c r="I684" s="3" t="str">
        <f aca="false">IFERROR(__xludf.dummyfunction("if($T684&lt;&gt;"""",REGEXEXTRACT(SUBSTITUTE ($T684,I$1&amp;"" CE"",""""), I$1&amp;""[\w &amp;]*, (\d+\.\d+)""),"""")
"),"")</f>
        <v/>
      </c>
      <c r="J684" s="3" t="str">
        <f aca="false">IFERROR(__xludf.dummyfunction("if($T684&lt;&gt;"""",REGEXEXTRACT($T684, J$1&amp;""[\w &amp;]*, (\d+\.\d+)""),"""")
"),"")</f>
        <v/>
      </c>
      <c r="K684" s="3"/>
      <c r="L684" s="3" t="str">
        <f aca="false">IFERROR(__xludf.dummyfunction("if($T684&lt;&gt;"""",REGEXEXTRACT(SUBSTITUTE ($T684,L$1&amp;"" CE"",""""), L$1&amp;""[\w &amp;]*, (\d+\.\d+)""),"""")
"),"")</f>
        <v/>
      </c>
      <c r="M684" s="3" t="str">
        <f aca="false">IFERROR(__xludf.dummyfunction("if($T684&lt;&gt;"""",REGEXEXTRACT($T684, M$1&amp;""[\w &amp;]*, (\d+\.\d+)""),"""")
"),"")</f>
        <v/>
      </c>
      <c r="N684" s="3" t="str">
        <f aca="false">IFERROR(__xludf.dummyfunction("if($T684&lt;&gt;"""",REGEXEXTRACT(SUBSTITUTE ($T684,N$1&amp;"" CE"",""""), N$1&amp;""[\w &amp;]*, (\d+\.\d+)""),"""")
"),"")</f>
        <v/>
      </c>
      <c r="O684" s="3" t="str">
        <f aca="false">IFERROR(__xludf.dummyfunction("if($T684&lt;&gt;"""",REGEXEXTRACT($T684, O$1&amp;""[\w &amp;]*, (\d+\.\d+)""),"""")
"),"")</f>
        <v/>
      </c>
      <c r="P684" s="2"/>
      <c r="Q684" s="2"/>
      <c r="R684" s="2"/>
      <c r="S684" s="2"/>
      <c r="T684" s="5"/>
    </row>
    <row r="685" customFormat="false" ht="15.75" hidden="false" customHeight="false" outlineLevel="0" collapsed="false">
      <c r="A685" s="4"/>
      <c r="B685" s="2"/>
      <c r="C685" s="2"/>
      <c r="D685" s="2"/>
      <c r="E685" s="2"/>
      <c r="F685" s="3" t="str">
        <f aca="false">IFERROR(__xludf.dummyfunction("if($T685&lt;&gt;"""",REGEXEXTRACT(SUBSTITUTE ($T685,F$1&amp;"" CE"",""""), F$1&amp;""[\w &amp;]*, (\d+\.\d+)""),"""")
"),"")</f>
        <v/>
      </c>
      <c r="G685" s="3" t="str">
        <f aca="false">IFERROR(__xludf.dummyfunction("if($T685&lt;&gt;"""",REGEXEXTRACT($T685, G$1&amp;""[\w &amp;]*, (\d+\.\d+)""),"""")
"),"")</f>
        <v/>
      </c>
      <c r="H685" s="3"/>
      <c r="I685" s="3" t="str">
        <f aca="false">IFERROR(__xludf.dummyfunction("if($T685&lt;&gt;"""",REGEXEXTRACT(SUBSTITUTE ($T685,I$1&amp;"" CE"",""""), I$1&amp;""[\w &amp;]*, (\d+\.\d+)""),"""")
"),"")</f>
        <v/>
      </c>
      <c r="J685" s="3" t="str">
        <f aca="false">IFERROR(__xludf.dummyfunction("if($T685&lt;&gt;"""",REGEXEXTRACT($T685, J$1&amp;""[\w &amp;]*, (\d+\.\d+)""),"""")
"),"")</f>
        <v/>
      </c>
      <c r="K685" s="3"/>
      <c r="L685" s="3" t="str">
        <f aca="false">IFERROR(__xludf.dummyfunction("if($T685&lt;&gt;"""",REGEXEXTRACT(SUBSTITUTE ($T685,L$1&amp;"" CE"",""""), L$1&amp;""[\w &amp;]*, (\d+\.\d+)""),"""")
"),"")</f>
        <v/>
      </c>
      <c r="M685" s="3" t="str">
        <f aca="false">IFERROR(__xludf.dummyfunction("if($T685&lt;&gt;"""",REGEXEXTRACT($T685, M$1&amp;""[\w &amp;]*, (\d+\.\d+)""),"""")
"),"")</f>
        <v/>
      </c>
      <c r="N685" s="3" t="str">
        <f aca="false">IFERROR(__xludf.dummyfunction("if($T685&lt;&gt;"""",REGEXEXTRACT(SUBSTITUTE ($T685,N$1&amp;"" CE"",""""), N$1&amp;""[\w &amp;]*, (\d+\.\d+)""),"""")
"),"")</f>
        <v/>
      </c>
      <c r="O685" s="3" t="str">
        <f aca="false">IFERROR(__xludf.dummyfunction("if($T685&lt;&gt;"""",REGEXEXTRACT($T685, O$1&amp;""[\w &amp;]*, (\d+\.\d+)""),"""")
"),"")</f>
        <v/>
      </c>
      <c r="P685" s="2"/>
      <c r="Q685" s="2"/>
      <c r="R685" s="2"/>
      <c r="S685" s="2"/>
      <c r="T685" s="5"/>
    </row>
    <row r="686" customFormat="false" ht="15.75" hidden="false" customHeight="false" outlineLevel="0" collapsed="false">
      <c r="A686" s="4"/>
      <c r="B686" s="2"/>
      <c r="C686" s="2"/>
      <c r="D686" s="2"/>
      <c r="E686" s="2"/>
      <c r="F686" s="3" t="str">
        <f aca="false">IFERROR(__xludf.dummyfunction("if($T686&lt;&gt;"""",REGEXEXTRACT(SUBSTITUTE ($T686,F$1&amp;"" CE"",""""), F$1&amp;""[\w &amp;]*, (\d+\.\d+)""),"""")
"),"")</f>
        <v/>
      </c>
      <c r="G686" s="3" t="str">
        <f aca="false">IFERROR(__xludf.dummyfunction("if($T686&lt;&gt;"""",REGEXEXTRACT($T686, G$1&amp;""[\w &amp;]*, (\d+\.\d+)""),"""")
"),"")</f>
        <v/>
      </c>
      <c r="H686" s="3"/>
      <c r="I686" s="3" t="str">
        <f aca="false">IFERROR(__xludf.dummyfunction("if($T686&lt;&gt;"""",REGEXEXTRACT(SUBSTITUTE ($T686,I$1&amp;"" CE"",""""), I$1&amp;""[\w &amp;]*, (\d+\.\d+)""),"""")
"),"")</f>
        <v/>
      </c>
      <c r="J686" s="3" t="str">
        <f aca="false">IFERROR(__xludf.dummyfunction("if($T686&lt;&gt;"""",REGEXEXTRACT($T686, J$1&amp;""[\w &amp;]*, (\d+\.\d+)""),"""")
"),"")</f>
        <v/>
      </c>
      <c r="K686" s="3"/>
      <c r="L686" s="3" t="str">
        <f aca="false">IFERROR(__xludf.dummyfunction("if($T686&lt;&gt;"""",REGEXEXTRACT(SUBSTITUTE ($T686,L$1&amp;"" CE"",""""), L$1&amp;""[\w &amp;]*, (\d+\.\d+)""),"""")
"),"")</f>
        <v/>
      </c>
      <c r="M686" s="3" t="str">
        <f aca="false">IFERROR(__xludf.dummyfunction("if($T686&lt;&gt;"""",REGEXEXTRACT($T686, M$1&amp;""[\w &amp;]*, (\d+\.\d+)""),"""")
"),"")</f>
        <v/>
      </c>
      <c r="N686" s="3" t="str">
        <f aca="false">IFERROR(__xludf.dummyfunction("if($T686&lt;&gt;"""",REGEXEXTRACT(SUBSTITUTE ($T686,N$1&amp;"" CE"",""""), N$1&amp;""[\w &amp;]*, (\d+\.\d+)""),"""")
"),"")</f>
        <v/>
      </c>
      <c r="O686" s="3" t="str">
        <f aca="false">IFERROR(__xludf.dummyfunction("if($T686&lt;&gt;"""",REGEXEXTRACT($T686, O$1&amp;""[\w &amp;]*, (\d+\.\d+)""),"""")
"),"")</f>
        <v/>
      </c>
      <c r="P686" s="2"/>
      <c r="Q686" s="2"/>
      <c r="R686" s="2"/>
      <c r="S686" s="2"/>
      <c r="T686" s="5"/>
    </row>
    <row r="687" customFormat="false" ht="15.75" hidden="false" customHeight="false" outlineLevel="0" collapsed="false">
      <c r="A687" s="4"/>
      <c r="B687" s="2"/>
      <c r="C687" s="2"/>
      <c r="D687" s="2"/>
      <c r="E687" s="2"/>
      <c r="F687" s="3" t="str">
        <f aca="false">IFERROR(__xludf.dummyfunction("if($T687&lt;&gt;"""",REGEXEXTRACT(SUBSTITUTE ($T687,F$1&amp;"" CE"",""""), F$1&amp;""[\w &amp;]*, (\d+\.\d+)""),"""")
"),"")</f>
        <v/>
      </c>
      <c r="G687" s="3" t="str">
        <f aca="false">IFERROR(__xludf.dummyfunction("if($T687&lt;&gt;"""",REGEXEXTRACT($T687, G$1&amp;""[\w &amp;]*, (\d+\.\d+)""),"""")
"),"")</f>
        <v/>
      </c>
      <c r="H687" s="3"/>
      <c r="I687" s="3" t="str">
        <f aca="false">IFERROR(__xludf.dummyfunction("if($T687&lt;&gt;"""",REGEXEXTRACT(SUBSTITUTE ($T687,I$1&amp;"" CE"",""""), I$1&amp;""[\w &amp;]*, (\d+\.\d+)""),"""")
"),"")</f>
        <v/>
      </c>
      <c r="J687" s="3" t="str">
        <f aca="false">IFERROR(__xludf.dummyfunction("if($T687&lt;&gt;"""",REGEXEXTRACT($T687, J$1&amp;""[\w &amp;]*, (\d+\.\d+)""),"""")
"),"")</f>
        <v/>
      </c>
      <c r="K687" s="3"/>
      <c r="L687" s="3" t="str">
        <f aca="false">IFERROR(__xludf.dummyfunction("if($T687&lt;&gt;"""",REGEXEXTRACT(SUBSTITUTE ($T687,L$1&amp;"" CE"",""""), L$1&amp;""[\w &amp;]*, (\d+\.\d+)""),"""")
"),"")</f>
        <v/>
      </c>
      <c r="M687" s="3" t="str">
        <f aca="false">IFERROR(__xludf.dummyfunction("if($T687&lt;&gt;"""",REGEXEXTRACT($T687, M$1&amp;""[\w &amp;]*, (\d+\.\d+)""),"""")
"),"")</f>
        <v/>
      </c>
      <c r="N687" s="3" t="str">
        <f aca="false">IFERROR(__xludf.dummyfunction("if($T687&lt;&gt;"""",REGEXEXTRACT(SUBSTITUTE ($T687,N$1&amp;"" CE"",""""), N$1&amp;""[\w &amp;]*, (\d+\.\d+)""),"""")
"),"")</f>
        <v/>
      </c>
      <c r="O687" s="3" t="str">
        <f aca="false">IFERROR(__xludf.dummyfunction("if($T687&lt;&gt;"""",REGEXEXTRACT($T687, O$1&amp;""[\w &amp;]*, (\d+\.\d+)""),"""")
"),"")</f>
        <v/>
      </c>
      <c r="P687" s="2"/>
      <c r="Q687" s="2"/>
      <c r="R687" s="2"/>
      <c r="S687" s="2"/>
      <c r="T687" s="5"/>
    </row>
    <row r="688" customFormat="false" ht="15.75" hidden="false" customHeight="false" outlineLevel="0" collapsed="false">
      <c r="A688" s="4"/>
      <c r="B688" s="2"/>
      <c r="C688" s="2"/>
      <c r="D688" s="2"/>
      <c r="E688" s="2"/>
      <c r="F688" s="3" t="str">
        <f aca="false">IFERROR(__xludf.dummyfunction("if($T688&lt;&gt;"""",REGEXEXTRACT(SUBSTITUTE ($T688,F$1&amp;"" CE"",""""), F$1&amp;""[\w &amp;]*, (\d+\.\d+)""),"""")
"),"")</f>
        <v/>
      </c>
      <c r="G688" s="3" t="str">
        <f aca="false">IFERROR(__xludf.dummyfunction("if($T688&lt;&gt;"""",REGEXEXTRACT($T688, G$1&amp;""[\w &amp;]*, (\d+\.\d+)""),"""")
"),"")</f>
        <v/>
      </c>
      <c r="H688" s="3"/>
      <c r="I688" s="3" t="str">
        <f aca="false">IFERROR(__xludf.dummyfunction("if($T688&lt;&gt;"""",REGEXEXTRACT(SUBSTITUTE ($T688,I$1&amp;"" CE"",""""), I$1&amp;""[\w &amp;]*, (\d+\.\d+)""),"""")
"),"")</f>
        <v/>
      </c>
      <c r="J688" s="3" t="str">
        <f aca="false">IFERROR(__xludf.dummyfunction("if($T688&lt;&gt;"""",REGEXEXTRACT($T688, J$1&amp;""[\w &amp;]*, (\d+\.\d+)""),"""")
"),"")</f>
        <v/>
      </c>
      <c r="K688" s="3"/>
      <c r="L688" s="3" t="str">
        <f aca="false">IFERROR(__xludf.dummyfunction("if($T688&lt;&gt;"""",REGEXEXTRACT(SUBSTITUTE ($T688,L$1&amp;"" CE"",""""), L$1&amp;""[\w &amp;]*, (\d+\.\d+)""),"""")
"),"")</f>
        <v/>
      </c>
      <c r="M688" s="3" t="str">
        <f aca="false">IFERROR(__xludf.dummyfunction("if($T688&lt;&gt;"""",REGEXEXTRACT($T688, M$1&amp;""[\w &amp;]*, (\d+\.\d+)""),"""")
"),"")</f>
        <v/>
      </c>
      <c r="N688" s="3" t="str">
        <f aca="false">IFERROR(__xludf.dummyfunction("if($T688&lt;&gt;"""",REGEXEXTRACT(SUBSTITUTE ($T688,N$1&amp;"" CE"",""""), N$1&amp;""[\w &amp;]*, (\d+\.\d+)""),"""")
"),"")</f>
        <v/>
      </c>
      <c r="O688" s="3" t="str">
        <f aca="false">IFERROR(__xludf.dummyfunction("if($T688&lt;&gt;"""",REGEXEXTRACT($T688, O$1&amp;""[\w &amp;]*, (\d+\.\d+)""),"""")
"),"")</f>
        <v/>
      </c>
      <c r="P688" s="2"/>
      <c r="Q688" s="2"/>
      <c r="R688" s="2"/>
      <c r="S688" s="2"/>
      <c r="T688" s="5"/>
    </row>
    <row r="689" customFormat="false" ht="15.75" hidden="false" customHeight="false" outlineLevel="0" collapsed="false">
      <c r="A689" s="4"/>
      <c r="B689" s="2"/>
      <c r="C689" s="2"/>
      <c r="D689" s="2"/>
      <c r="E689" s="2"/>
      <c r="F689" s="3" t="str">
        <f aca="false">IFERROR(__xludf.dummyfunction("if($T689&lt;&gt;"""",REGEXEXTRACT(SUBSTITUTE ($T689,F$1&amp;"" CE"",""""), F$1&amp;""[\w &amp;]*, (\d+\.\d+)""),"""")
"),"")</f>
        <v/>
      </c>
      <c r="G689" s="3" t="str">
        <f aca="false">IFERROR(__xludf.dummyfunction("if($T689&lt;&gt;"""",REGEXEXTRACT($T689, G$1&amp;""[\w &amp;]*, (\d+\.\d+)""),"""")
"),"")</f>
        <v/>
      </c>
      <c r="H689" s="3"/>
      <c r="I689" s="3" t="str">
        <f aca="false">IFERROR(__xludf.dummyfunction("if($T689&lt;&gt;"""",REGEXEXTRACT(SUBSTITUTE ($T689,I$1&amp;"" CE"",""""), I$1&amp;""[\w &amp;]*, (\d+\.\d+)""),"""")
"),"")</f>
        <v/>
      </c>
      <c r="J689" s="3" t="str">
        <f aca="false">IFERROR(__xludf.dummyfunction("if($T689&lt;&gt;"""",REGEXEXTRACT($T689, J$1&amp;""[\w &amp;]*, (\d+\.\d+)""),"""")
"),"")</f>
        <v/>
      </c>
      <c r="K689" s="3"/>
      <c r="L689" s="3" t="str">
        <f aca="false">IFERROR(__xludf.dummyfunction("if($T689&lt;&gt;"""",REGEXEXTRACT(SUBSTITUTE ($T689,L$1&amp;"" CE"",""""), L$1&amp;""[\w &amp;]*, (\d+\.\d+)""),"""")
"),"")</f>
        <v/>
      </c>
      <c r="M689" s="3" t="str">
        <f aca="false">IFERROR(__xludf.dummyfunction("if($T689&lt;&gt;"""",REGEXEXTRACT($T689, M$1&amp;""[\w &amp;]*, (\d+\.\d+)""),"""")
"),"")</f>
        <v/>
      </c>
      <c r="N689" s="3" t="str">
        <f aca="false">IFERROR(__xludf.dummyfunction("if($T689&lt;&gt;"""",REGEXEXTRACT(SUBSTITUTE ($T689,N$1&amp;"" CE"",""""), N$1&amp;""[\w &amp;]*, (\d+\.\d+)""),"""")
"),"")</f>
        <v/>
      </c>
      <c r="O689" s="3" t="str">
        <f aca="false">IFERROR(__xludf.dummyfunction("if($T689&lt;&gt;"""",REGEXEXTRACT($T689, O$1&amp;""[\w &amp;]*, (\d+\.\d+)""),"""")
"),"")</f>
        <v/>
      </c>
      <c r="P689" s="2"/>
      <c r="Q689" s="2"/>
      <c r="R689" s="2"/>
      <c r="S689" s="2"/>
      <c r="T689" s="5"/>
    </row>
    <row r="690" customFormat="false" ht="15.75" hidden="false" customHeight="false" outlineLevel="0" collapsed="false">
      <c r="A690" s="4"/>
      <c r="B690" s="2"/>
      <c r="C690" s="2"/>
      <c r="D690" s="2"/>
      <c r="E690" s="2"/>
      <c r="F690" s="3" t="str">
        <f aca="false">IFERROR(__xludf.dummyfunction("if($T690&lt;&gt;"""",REGEXEXTRACT(SUBSTITUTE ($T690,F$1&amp;"" CE"",""""), F$1&amp;""[\w &amp;]*, (\d+\.\d+)""),"""")
"),"")</f>
        <v/>
      </c>
      <c r="G690" s="3" t="str">
        <f aca="false">IFERROR(__xludf.dummyfunction("if($T690&lt;&gt;"""",REGEXEXTRACT($T690, G$1&amp;""[\w &amp;]*, (\d+\.\d+)""),"""")
"),"")</f>
        <v/>
      </c>
      <c r="H690" s="3"/>
      <c r="I690" s="3" t="str">
        <f aca="false">IFERROR(__xludf.dummyfunction("if($T690&lt;&gt;"""",REGEXEXTRACT(SUBSTITUTE ($T690,I$1&amp;"" CE"",""""), I$1&amp;""[\w &amp;]*, (\d+\.\d+)""),"""")
"),"")</f>
        <v/>
      </c>
      <c r="J690" s="3" t="str">
        <f aca="false">IFERROR(__xludf.dummyfunction("if($T690&lt;&gt;"""",REGEXEXTRACT($T690, J$1&amp;""[\w &amp;]*, (\d+\.\d+)""),"""")
"),"")</f>
        <v/>
      </c>
      <c r="K690" s="3"/>
      <c r="L690" s="3" t="str">
        <f aca="false">IFERROR(__xludf.dummyfunction("if($T690&lt;&gt;"""",REGEXEXTRACT(SUBSTITUTE ($T690,L$1&amp;"" CE"",""""), L$1&amp;""[\w &amp;]*, (\d+\.\d+)""),"""")
"),"")</f>
        <v/>
      </c>
      <c r="M690" s="3" t="str">
        <f aca="false">IFERROR(__xludf.dummyfunction("if($T690&lt;&gt;"""",REGEXEXTRACT($T690, M$1&amp;""[\w &amp;]*, (\d+\.\d+)""),"""")
"),"")</f>
        <v/>
      </c>
      <c r="N690" s="3" t="str">
        <f aca="false">IFERROR(__xludf.dummyfunction("if($T690&lt;&gt;"""",REGEXEXTRACT(SUBSTITUTE ($T690,N$1&amp;"" CE"",""""), N$1&amp;""[\w &amp;]*, (\d+\.\d+)""),"""")
"),"")</f>
        <v/>
      </c>
      <c r="O690" s="3" t="str">
        <f aca="false">IFERROR(__xludf.dummyfunction("if($T690&lt;&gt;"""",REGEXEXTRACT($T690, O$1&amp;""[\w &amp;]*, (\d+\.\d+)""),"""")
"),"")</f>
        <v/>
      </c>
      <c r="P690" s="2"/>
      <c r="Q690" s="2"/>
      <c r="R690" s="2"/>
      <c r="S690" s="2"/>
      <c r="T690" s="5"/>
    </row>
    <row r="691" customFormat="false" ht="15.75" hidden="false" customHeight="false" outlineLevel="0" collapsed="false">
      <c r="A691" s="4"/>
      <c r="B691" s="2"/>
      <c r="C691" s="2"/>
      <c r="D691" s="2"/>
      <c r="E691" s="2"/>
      <c r="F691" s="3" t="str">
        <f aca="false">IFERROR(__xludf.dummyfunction("if($T691&lt;&gt;"""",REGEXEXTRACT(SUBSTITUTE ($T691,F$1&amp;"" CE"",""""), F$1&amp;""[\w &amp;]*, (\d+\.\d+)""),"""")
"),"")</f>
        <v/>
      </c>
      <c r="G691" s="3" t="str">
        <f aca="false">IFERROR(__xludf.dummyfunction("if($T691&lt;&gt;"""",REGEXEXTRACT($T691, G$1&amp;""[\w &amp;]*, (\d+\.\d+)""),"""")
"),"")</f>
        <v/>
      </c>
      <c r="H691" s="3"/>
      <c r="I691" s="3" t="str">
        <f aca="false">IFERROR(__xludf.dummyfunction("if($T691&lt;&gt;"""",REGEXEXTRACT(SUBSTITUTE ($T691,I$1&amp;"" CE"",""""), I$1&amp;""[\w &amp;]*, (\d+\.\d+)""),"""")
"),"")</f>
        <v/>
      </c>
      <c r="J691" s="3" t="str">
        <f aca="false">IFERROR(__xludf.dummyfunction("if($T691&lt;&gt;"""",REGEXEXTRACT($T691, J$1&amp;""[\w &amp;]*, (\d+\.\d+)""),"""")
"),"")</f>
        <v/>
      </c>
      <c r="K691" s="3"/>
      <c r="L691" s="3" t="str">
        <f aca="false">IFERROR(__xludf.dummyfunction("if($T691&lt;&gt;"""",REGEXEXTRACT(SUBSTITUTE ($T691,L$1&amp;"" CE"",""""), L$1&amp;""[\w &amp;]*, (\d+\.\d+)""),"""")
"),"")</f>
        <v/>
      </c>
      <c r="M691" s="3" t="str">
        <f aca="false">IFERROR(__xludf.dummyfunction("if($T691&lt;&gt;"""",REGEXEXTRACT($T691, M$1&amp;""[\w &amp;]*, (\d+\.\d+)""),"""")
"),"")</f>
        <v/>
      </c>
      <c r="N691" s="3" t="str">
        <f aca="false">IFERROR(__xludf.dummyfunction("if($T691&lt;&gt;"""",REGEXEXTRACT(SUBSTITUTE ($T691,N$1&amp;"" CE"",""""), N$1&amp;""[\w &amp;]*, (\d+\.\d+)""),"""")
"),"")</f>
        <v/>
      </c>
      <c r="O691" s="3" t="str">
        <f aca="false">IFERROR(__xludf.dummyfunction("if($T691&lt;&gt;"""",REGEXEXTRACT($T691, O$1&amp;""[\w &amp;]*, (\d+\.\d+)""),"""")
"),"")</f>
        <v/>
      </c>
      <c r="P691" s="2"/>
      <c r="Q691" s="2"/>
      <c r="R691" s="2"/>
      <c r="S691" s="2"/>
      <c r="T691" s="5"/>
    </row>
    <row r="692" customFormat="false" ht="15.75" hidden="false" customHeight="false" outlineLevel="0" collapsed="false">
      <c r="A692" s="4"/>
      <c r="B692" s="2"/>
      <c r="C692" s="2"/>
      <c r="D692" s="2"/>
      <c r="E692" s="2"/>
      <c r="F692" s="3" t="str">
        <f aca="false">IFERROR(__xludf.dummyfunction("if($T692&lt;&gt;"""",REGEXEXTRACT(SUBSTITUTE ($T692,F$1&amp;"" CE"",""""), F$1&amp;""[\w &amp;]*, (\d+\.\d+)""),"""")
"),"")</f>
        <v/>
      </c>
      <c r="G692" s="3" t="str">
        <f aca="false">IFERROR(__xludf.dummyfunction("if($T692&lt;&gt;"""",REGEXEXTRACT($T692, G$1&amp;""[\w &amp;]*, (\d+\.\d+)""),"""")
"),"")</f>
        <v/>
      </c>
      <c r="H692" s="3"/>
      <c r="I692" s="3" t="str">
        <f aca="false">IFERROR(__xludf.dummyfunction("if($T692&lt;&gt;"""",REGEXEXTRACT(SUBSTITUTE ($T692,I$1&amp;"" CE"",""""), I$1&amp;""[\w &amp;]*, (\d+\.\d+)""),"""")
"),"")</f>
        <v/>
      </c>
      <c r="J692" s="3" t="str">
        <f aca="false">IFERROR(__xludf.dummyfunction("if($T692&lt;&gt;"""",REGEXEXTRACT($T692, J$1&amp;""[\w &amp;]*, (\d+\.\d+)""),"""")
"),"")</f>
        <v/>
      </c>
      <c r="K692" s="3"/>
      <c r="L692" s="3" t="str">
        <f aca="false">IFERROR(__xludf.dummyfunction("if($T692&lt;&gt;"""",REGEXEXTRACT(SUBSTITUTE ($T692,L$1&amp;"" CE"",""""), L$1&amp;""[\w &amp;]*, (\d+\.\d+)""),"""")
"),"")</f>
        <v/>
      </c>
      <c r="M692" s="3" t="str">
        <f aca="false">IFERROR(__xludf.dummyfunction("if($T692&lt;&gt;"""",REGEXEXTRACT($T692, M$1&amp;""[\w &amp;]*, (\d+\.\d+)""),"""")
"),"")</f>
        <v/>
      </c>
      <c r="N692" s="3" t="str">
        <f aca="false">IFERROR(__xludf.dummyfunction("if($T692&lt;&gt;"""",REGEXEXTRACT(SUBSTITUTE ($T692,N$1&amp;"" CE"",""""), N$1&amp;""[\w &amp;]*, (\d+\.\d+)""),"""")
"),"")</f>
        <v/>
      </c>
      <c r="O692" s="3" t="str">
        <f aca="false">IFERROR(__xludf.dummyfunction("if($T692&lt;&gt;"""",REGEXEXTRACT($T692, O$1&amp;""[\w &amp;]*, (\d+\.\d+)""),"""")
"),"")</f>
        <v/>
      </c>
      <c r="P692" s="2"/>
      <c r="Q692" s="2"/>
      <c r="R692" s="2"/>
      <c r="S692" s="2"/>
      <c r="T692" s="5"/>
    </row>
    <row r="693" customFormat="false" ht="15.75" hidden="false" customHeight="false" outlineLevel="0" collapsed="false">
      <c r="A693" s="4"/>
      <c r="B693" s="2"/>
      <c r="C693" s="2"/>
      <c r="D693" s="2"/>
      <c r="E693" s="2"/>
      <c r="F693" s="3" t="str">
        <f aca="false">IFERROR(__xludf.dummyfunction("if($T693&lt;&gt;"""",REGEXEXTRACT(SUBSTITUTE ($T693,F$1&amp;"" CE"",""""), F$1&amp;""[\w &amp;]*, (\d+\.\d+)""),"""")
"),"")</f>
        <v/>
      </c>
      <c r="G693" s="3" t="str">
        <f aca="false">IFERROR(__xludf.dummyfunction("if($T693&lt;&gt;"""",REGEXEXTRACT($T693, G$1&amp;""[\w &amp;]*, (\d+\.\d+)""),"""")
"),"")</f>
        <v/>
      </c>
      <c r="H693" s="3"/>
      <c r="I693" s="3" t="str">
        <f aca="false">IFERROR(__xludf.dummyfunction("if($T693&lt;&gt;"""",REGEXEXTRACT(SUBSTITUTE ($T693,I$1&amp;"" CE"",""""), I$1&amp;""[\w &amp;]*, (\d+\.\d+)""),"""")
"),"")</f>
        <v/>
      </c>
      <c r="J693" s="3" t="str">
        <f aca="false">IFERROR(__xludf.dummyfunction("if($T693&lt;&gt;"""",REGEXEXTRACT($T693, J$1&amp;""[\w &amp;]*, (\d+\.\d+)""),"""")
"),"")</f>
        <v/>
      </c>
      <c r="K693" s="3"/>
      <c r="L693" s="3" t="str">
        <f aca="false">IFERROR(__xludf.dummyfunction("if($T693&lt;&gt;"""",REGEXEXTRACT(SUBSTITUTE ($T693,L$1&amp;"" CE"",""""), L$1&amp;""[\w &amp;]*, (\d+\.\d+)""),"""")
"),"")</f>
        <v/>
      </c>
      <c r="M693" s="3" t="str">
        <f aca="false">IFERROR(__xludf.dummyfunction("if($T693&lt;&gt;"""",REGEXEXTRACT($T693, M$1&amp;""[\w &amp;]*, (\d+\.\d+)""),"""")
"),"")</f>
        <v/>
      </c>
      <c r="N693" s="3" t="str">
        <f aca="false">IFERROR(__xludf.dummyfunction("if($T693&lt;&gt;"""",REGEXEXTRACT(SUBSTITUTE ($T693,N$1&amp;"" CE"",""""), N$1&amp;""[\w &amp;]*, (\d+\.\d+)""),"""")
"),"")</f>
        <v/>
      </c>
      <c r="O693" s="3" t="str">
        <f aca="false">IFERROR(__xludf.dummyfunction("if($T693&lt;&gt;"""",REGEXEXTRACT($T693, O$1&amp;""[\w &amp;]*, (\d+\.\d+)""),"""")
"),"")</f>
        <v/>
      </c>
      <c r="P693" s="2"/>
      <c r="Q693" s="2"/>
      <c r="R693" s="2"/>
      <c r="S693" s="2"/>
      <c r="T693" s="5"/>
    </row>
    <row r="694" customFormat="false" ht="15.75" hidden="false" customHeight="false" outlineLevel="0" collapsed="false">
      <c r="A694" s="4"/>
      <c r="B694" s="2"/>
      <c r="C694" s="2"/>
      <c r="D694" s="2"/>
      <c r="E694" s="2"/>
      <c r="F694" s="3" t="str">
        <f aca="false">IFERROR(__xludf.dummyfunction("if($T694&lt;&gt;"""",REGEXEXTRACT(SUBSTITUTE ($T694,F$1&amp;"" CE"",""""), F$1&amp;""[\w &amp;]*, (\d+\.\d+)""),"""")
"),"")</f>
        <v/>
      </c>
      <c r="G694" s="3" t="str">
        <f aca="false">IFERROR(__xludf.dummyfunction("if($T694&lt;&gt;"""",REGEXEXTRACT($T694, G$1&amp;""[\w &amp;]*, (\d+\.\d+)""),"""")
"),"")</f>
        <v/>
      </c>
      <c r="H694" s="3"/>
      <c r="I694" s="3" t="str">
        <f aca="false">IFERROR(__xludf.dummyfunction("if($T694&lt;&gt;"""",REGEXEXTRACT(SUBSTITUTE ($T694,I$1&amp;"" CE"",""""), I$1&amp;""[\w &amp;]*, (\d+\.\d+)""),"""")
"),"")</f>
        <v/>
      </c>
      <c r="J694" s="3" t="str">
        <f aca="false">IFERROR(__xludf.dummyfunction("if($T694&lt;&gt;"""",REGEXEXTRACT($T694, J$1&amp;""[\w &amp;]*, (\d+\.\d+)""),"""")
"),"")</f>
        <v/>
      </c>
      <c r="K694" s="3"/>
      <c r="L694" s="3" t="str">
        <f aca="false">IFERROR(__xludf.dummyfunction("if($T694&lt;&gt;"""",REGEXEXTRACT(SUBSTITUTE ($T694,L$1&amp;"" CE"",""""), L$1&amp;""[\w &amp;]*, (\d+\.\d+)""),"""")
"),"")</f>
        <v/>
      </c>
      <c r="M694" s="3" t="str">
        <f aca="false">IFERROR(__xludf.dummyfunction("if($T694&lt;&gt;"""",REGEXEXTRACT($T694, M$1&amp;""[\w &amp;]*, (\d+\.\d+)""),"""")
"),"")</f>
        <v/>
      </c>
      <c r="N694" s="3" t="str">
        <f aca="false">IFERROR(__xludf.dummyfunction("if($T694&lt;&gt;"""",REGEXEXTRACT(SUBSTITUTE ($T694,N$1&amp;"" CE"",""""), N$1&amp;""[\w &amp;]*, (\d+\.\d+)""),"""")
"),"")</f>
        <v/>
      </c>
      <c r="O694" s="3" t="str">
        <f aca="false">IFERROR(__xludf.dummyfunction("if($T694&lt;&gt;"""",REGEXEXTRACT($T694, O$1&amp;""[\w &amp;]*, (\d+\.\d+)""),"""")
"),"")</f>
        <v/>
      </c>
      <c r="P694" s="2"/>
      <c r="Q694" s="2"/>
      <c r="R694" s="2"/>
      <c r="S694" s="2"/>
      <c r="T694" s="5"/>
    </row>
    <row r="695" customFormat="false" ht="15.75" hidden="false" customHeight="false" outlineLevel="0" collapsed="false">
      <c r="A695" s="4"/>
      <c r="B695" s="2"/>
      <c r="C695" s="2"/>
      <c r="D695" s="2"/>
      <c r="E695" s="2"/>
      <c r="F695" s="3" t="str">
        <f aca="false">IFERROR(__xludf.dummyfunction("if($T695&lt;&gt;"""",REGEXEXTRACT(SUBSTITUTE ($T695,F$1&amp;"" CE"",""""), F$1&amp;""[\w &amp;]*, (\d+\.\d+)""),"""")
"),"")</f>
        <v/>
      </c>
      <c r="G695" s="3" t="str">
        <f aca="false">IFERROR(__xludf.dummyfunction("if($T695&lt;&gt;"""",REGEXEXTRACT($T695, G$1&amp;""[\w &amp;]*, (\d+\.\d+)""),"""")
"),"")</f>
        <v/>
      </c>
      <c r="H695" s="3"/>
      <c r="I695" s="3" t="str">
        <f aca="false">IFERROR(__xludf.dummyfunction("if($T695&lt;&gt;"""",REGEXEXTRACT(SUBSTITUTE ($T695,I$1&amp;"" CE"",""""), I$1&amp;""[\w &amp;]*, (\d+\.\d+)""),"""")
"),"")</f>
        <v/>
      </c>
      <c r="J695" s="3" t="str">
        <f aca="false">IFERROR(__xludf.dummyfunction("if($T695&lt;&gt;"""",REGEXEXTRACT($T695, J$1&amp;""[\w &amp;]*, (\d+\.\d+)""),"""")
"),"")</f>
        <v/>
      </c>
      <c r="K695" s="3"/>
      <c r="L695" s="3" t="str">
        <f aca="false">IFERROR(__xludf.dummyfunction("if($T695&lt;&gt;"""",REGEXEXTRACT(SUBSTITUTE ($T695,L$1&amp;"" CE"",""""), L$1&amp;""[\w &amp;]*, (\d+\.\d+)""),"""")
"),"")</f>
        <v/>
      </c>
      <c r="M695" s="3" t="str">
        <f aca="false">IFERROR(__xludf.dummyfunction("if($T695&lt;&gt;"""",REGEXEXTRACT($T695, M$1&amp;""[\w &amp;]*, (\d+\.\d+)""),"""")
"),"")</f>
        <v/>
      </c>
      <c r="N695" s="3" t="str">
        <f aca="false">IFERROR(__xludf.dummyfunction("if($T695&lt;&gt;"""",REGEXEXTRACT(SUBSTITUTE ($T695,N$1&amp;"" CE"",""""), N$1&amp;""[\w &amp;]*, (\d+\.\d+)""),"""")
"),"")</f>
        <v/>
      </c>
      <c r="O695" s="3" t="str">
        <f aca="false">IFERROR(__xludf.dummyfunction("if($T695&lt;&gt;"""",REGEXEXTRACT($T695, O$1&amp;""[\w &amp;]*, (\d+\.\d+)""),"""")
"),"")</f>
        <v/>
      </c>
      <c r="P695" s="2"/>
      <c r="Q695" s="2"/>
      <c r="R695" s="2"/>
      <c r="S695" s="2"/>
      <c r="T695" s="5"/>
    </row>
    <row r="696" customFormat="false" ht="15.75" hidden="false" customHeight="false" outlineLevel="0" collapsed="false">
      <c r="A696" s="4"/>
      <c r="B696" s="2"/>
      <c r="C696" s="2"/>
      <c r="D696" s="2"/>
      <c r="E696" s="2"/>
      <c r="F696" s="3" t="str">
        <f aca="false">IFERROR(__xludf.dummyfunction("if($T696&lt;&gt;"""",REGEXEXTRACT(SUBSTITUTE ($T696,F$1&amp;"" CE"",""""), F$1&amp;""[\w &amp;]*, (\d+\.\d+)""),"""")
"),"")</f>
        <v/>
      </c>
      <c r="G696" s="3" t="str">
        <f aca="false">IFERROR(__xludf.dummyfunction("if($T696&lt;&gt;"""",REGEXEXTRACT($T696, G$1&amp;""[\w &amp;]*, (\d+\.\d+)""),"""")
"),"")</f>
        <v/>
      </c>
      <c r="H696" s="3"/>
      <c r="I696" s="3" t="str">
        <f aca="false">IFERROR(__xludf.dummyfunction("if($T696&lt;&gt;"""",REGEXEXTRACT(SUBSTITUTE ($T696,I$1&amp;"" CE"",""""), I$1&amp;""[\w &amp;]*, (\d+\.\d+)""),"""")
"),"")</f>
        <v/>
      </c>
      <c r="J696" s="3" t="str">
        <f aca="false">IFERROR(__xludf.dummyfunction("if($T696&lt;&gt;"""",REGEXEXTRACT($T696, J$1&amp;""[\w &amp;]*, (\d+\.\d+)""),"""")
"),"")</f>
        <v/>
      </c>
      <c r="K696" s="3"/>
      <c r="L696" s="3" t="str">
        <f aca="false">IFERROR(__xludf.dummyfunction("if($T696&lt;&gt;"""",REGEXEXTRACT(SUBSTITUTE ($T696,L$1&amp;"" CE"",""""), L$1&amp;""[\w &amp;]*, (\d+\.\d+)""),"""")
"),"")</f>
        <v/>
      </c>
      <c r="M696" s="3" t="str">
        <f aca="false">IFERROR(__xludf.dummyfunction("if($T696&lt;&gt;"""",REGEXEXTRACT($T696, M$1&amp;""[\w &amp;]*, (\d+\.\d+)""),"""")
"),"")</f>
        <v/>
      </c>
      <c r="N696" s="3" t="str">
        <f aca="false">IFERROR(__xludf.dummyfunction("if($T696&lt;&gt;"""",REGEXEXTRACT(SUBSTITUTE ($T696,N$1&amp;"" CE"",""""), N$1&amp;""[\w &amp;]*, (\d+\.\d+)""),"""")
"),"")</f>
        <v/>
      </c>
      <c r="O696" s="3" t="str">
        <f aca="false">IFERROR(__xludf.dummyfunction("if($T696&lt;&gt;"""",REGEXEXTRACT($T696, O$1&amp;""[\w &amp;]*, (\d+\.\d+)""),"""")
"),"")</f>
        <v/>
      </c>
      <c r="P696" s="2"/>
      <c r="Q696" s="2"/>
      <c r="R696" s="2"/>
      <c r="S696" s="2"/>
      <c r="T696" s="5"/>
    </row>
    <row r="697" customFormat="false" ht="15.75" hidden="false" customHeight="false" outlineLevel="0" collapsed="false">
      <c r="A697" s="4"/>
      <c r="B697" s="2"/>
      <c r="C697" s="2"/>
      <c r="D697" s="2"/>
      <c r="E697" s="2"/>
      <c r="F697" s="3" t="str">
        <f aca="false">IFERROR(__xludf.dummyfunction("if($T697&lt;&gt;"""",REGEXEXTRACT(SUBSTITUTE ($T697,F$1&amp;"" CE"",""""), F$1&amp;""[\w &amp;]*, (\d+\.\d+)""),"""")
"),"")</f>
        <v/>
      </c>
      <c r="G697" s="3" t="str">
        <f aca="false">IFERROR(__xludf.dummyfunction("if($T697&lt;&gt;"""",REGEXEXTRACT($T697, G$1&amp;""[\w &amp;]*, (\d+\.\d+)""),"""")
"),"")</f>
        <v/>
      </c>
      <c r="H697" s="3"/>
      <c r="I697" s="3" t="str">
        <f aca="false">IFERROR(__xludf.dummyfunction("if($T697&lt;&gt;"""",REGEXEXTRACT(SUBSTITUTE ($T697,I$1&amp;"" CE"",""""), I$1&amp;""[\w &amp;]*, (\d+\.\d+)""),"""")
"),"")</f>
        <v/>
      </c>
      <c r="J697" s="3" t="str">
        <f aca="false">IFERROR(__xludf.dummyfunction("if($T697&lt;&gt;"""",REGEXEXTRACT($T697, J$1&amp;""[\w &amp;]*, (\d+\.\d+)""),"""")
"),"")</f>
        <v/>
      </c>
      <c r="K697" s="3"/>
      <c r="L697" s="3" t="str">
        <f aca="false">IFERROR(__xludf.dummyfunction("if($T697&lt;&gt;"""",REGEXEXTRACT(SUBSTITUTE ($T697,L$1&amp;"" CE"",""""), L$1&amp;""[\w &amp;]*, (\d+\.\d+)""),"""")
"),"")</f>
        <v/>
      </c>
      <c r="M697" s="3" t="str">
        <f aca="false">IFERROR(__xludf.dummyfunction("if($T697&lt;&gt;"""",REGEXEXTRACT($T697, M$1&amp;""[\w &amp;]*, (\d+\.\d+)""),"""")
"),"")</f>
        <v/>
      </c>
      <c r="N697" s="3" t="str">
        <f aca="false">IFERROR(__xludf.dummyfunction("if($T697&lt;&gt;"""",REGEXEXTRACT(SUBSTITUTE ($T697,N$1&amp;"" CE"",""""), N$1&amp;""[\w &amp;]*, (\d+\.\d+)""),"""")
"),"")</f>
        <v/>
      </c>
      <c r="O697" s="3" t="str">
        <f aca="false">IFERROR(__xludf.dummyfunction("if($T697&lt;&gt;"""",REGEXEXTRACT($T697, O$1&amp;""[\w &amp;]*, (\d+\.\d+)""),"""")
"),"")</f>
        <v/>
      </c>
      <c r="P697" s="2"/>
      <c r="Q697" s="2"/>
      <c r="R697" s="2"/>
      <c r="S697" s="2"/>
      <c r="T697" s="5"/>
    </row>
    <row r="698" customFormat="false" ht="15.75" hidden="false" customHeight="false" outlineLevel="0" collapsed="false">
      <c r="A698" s="4"/>
      <c r="B698" s="2"/>
      <c r="C698" s="2"/>
      <c r="D698" s="2"/>
      <c r="E698" s="2"/>
      <c r="F698" s="3" t="str">
        <f aca="false">IFERROR(__xludf.dummyfunction("if($T698&lt;&gt;"""",REGEXEXTRACT(SUBSTITUTE ($T698,F$1&amp;"" CE"",""""), F$1&amp;""[\w &amp;]*, (\d+\.\d+)""),"""")
"),"")</f>
        <v/>
      </c>
      <c r="G698" s="3" t="str">
        <f aca="false">IFERROR(__xludf.dummyfunction("if($T698&lt;&gt;"""",REGEXEXTRACT($T698, G$1&amp;""[\w &amp;]*, (\d+\.\d+)""),"""")
"),"")</f>
        <v/>
      </c>
      <c r="H698" s="3"/>
      <c r="I698" s="3" t="str">
        <f aca="false">IFERROR(__xludf.dummyfunction("if($T698&lt;&gt;"""",REGEXEXTRACT(SUBSTITUTE ($T698,I$1&amp;"" CE"",""""), I$1&amp;""[\w &amp;]*, (\d+\.\d+)""),"""")
"),"")</f>
        <v/>
      </c>
      <c r="J698" s="3" t="str">
        <f aca="false">IFERROR(__xludf.dummyfunction("if($T698&lt;&gt;"""",REGEXEXTRACT($T698, J$1&amp;""[\w &amp;]*, (\d+\.\d+)""),"""")
"),"")</f>
        <v/>
      </c>
      <c r="K698" s="3"/>
      <c r="L698" s="3" t="str">
        <f aca="false">IFERROR(__xludf.dummyfunction("if($T698&lt;&gt;"""",REGEXEXTRACT(SUBSTITUTE ($T698,L$1&amp;"" CE"",""""), L$1&amp;""[\w &amp;]*, (\d+\.\d+)""),"""")
"),"")</f>
        <v/>
      </c>
      <c r="M698" s="3" t="str">
        <f aca="false">IFERROR(__xludf.dummyfunction("if($T698&lt;&gt;"""",REGEXEXTRACT($T698, M$1&amp;""[\w &amp;]*, (\d+\.\d+)""),"""")
"),"")</f>
        <v/>
      </c>
      <c r="N698" s="3" t="str">
        <f aca="false">IFERROR(__xludf.dummyfunction("if($T698&lt;&gt;"""",REGEXEXTRACT(SUBSTITUTE ($T698,N$1&amp;"" CE"",""""), N$1&amp;""[\w &amp;]*, (\d+\.\d+)""),"""")
"),"")</f>
        <v/>
      </c>
      <c r="O698" s="3" t="str">
        <f aca="false">IFERROR(__xludf.dummyfunction("if($T698&lt;&gt;"""",REGEXEXTRACT($T698, O$1&amp;""[\w &amp;]*, (\d+\.\d+)""),"""")
"),"")</f>
        <v/>
      </c>
      <c r="P698" s="2"/>
      <c r="Q698" s="2"/>
      <c r="R698" s="2"/>
      <c r="S698" s="2"/>
      <c r="T698" s="5"/>
    </row>
    <row r="699" customFormat="false" ht="15.75" hidden="false" customHeight="false" outlineLevel="0" collapsed="false">
      <c r="A699" s="4"/>
      <c r="B699" s="2"/>
      <c r="C699" s="2"/>
      <c r="D699" s="2"/>
      <c r="E699" s="2"/>
      <c r="F699" s="3" t="str">
        <f aca="false">IFERROR(__xludf.dummyfunction("if($T699&lt;&gt;"""",REGEXEXTRACT(SUBSTITUTE ($T699,F$1&amp;"" CE"",""""), F$1&amp;""[\w &amp;]*, (\d+\.\d+)""),"""")
"),"")</f>
        <v/>
      </c>
      <c r="G699" s="3" t="str">
        <f aca="false">IFERROR(__xludf.dummyfunction("if($T699&lt;&gt;"""",REGEXEXTRACT($T699, G$1&amp;""[\w &amp;]*, (\d+\.\d+)""),"""")
"),"")</f>
        <v/>
      </c>
      <c r="H699" s="3"/>
      <c r="I699" s="3" t="str">
        <f aca="false">IFERROR(__xludf.dummyfunction("if($T699&lt;&gt;"""",REGEXEXTRACT(SUBSTITUTE ($T699,I$1&amp;"" CE"",""""), I$1&amp;""[\w &amp;]*, (\d+\.\d+)""),"""")
"),"")</f>
        <v/>
      </c>
      <c r="J699" s="3" t="str">
        <f aca="false">IFERROR(__xludf.dummyfunction("if($T699&lt;&gt;"""",REGEXEXTRACT($T699, J$1&amp;""[\w &amp;]*, (\d+\.\d+)""),"""")
"),"")</f>
        <v/>
      </c>
      <c r="K699" s="3"/>
      <c r="L699" s="3" t="str">
        <f aca="false">IFERROR(__xludf.dummyfunction("if($T699&lt;&gt;"""",REGEXEXTRACT(SUBSTITUTE ($T699,L$1&amp;"" CE"",""""), L$1&amp;""[\w &amp;]*, (\d+\.\d+)""),"""")
"),"")</f>
        <v/>
      </c>
      <c r="M699" s="3" t="str">
        <f aca="false">IFERROR(__xludf.dummyfunction("if($T699&lt;&gt;"""",REGEXEXTRACT($T699, M$1&amp;""[\w &amp;]*, (\d+\.\d+)""),"""")
"),"")</f>
        <v/>
      </c>
      <c r="N699" s="3" t="str">
        <f aca="false">IFERROR(__xludf.dummyfunction("if($T699&lt;&gt;"""",REGEXEXTRACT(SUBSTITUTE ($T699,N$1&amp;"" CE"",""""), N$1&amp;""[\w &amp;]*, (\d+\.\d+)""),"""")
"),"")</f>
        <v/>
      </c>
      <c r="O699" s="3" t="str">
        <f aca="false">IFERROR(__xludf.dummyfunction("if($T699&lt;&gt;"""",REGEXEXTRACT($T699, O$1&amp;""[\w &amp;]*, (\d+\.\d+)""),"""")
"),"")</f>
        <v/>
      </c>
      <c r="P699" s="2"/>
      <c r="Q699" s="2"/>
      <c r="R699" s="2"/>
      <c r="S699" s="2"/>
      <c r="T699" s="5"/>
    </row>
    <row r="700" customFormat="false" ht="15.75" hidden="false" customHeight="false" outlineLevel="0" collapsed="false">
      <c r="A700" s="4"/>
      <c r="B700" s="2"/>
      <c r="C700" s="2"/>
      <c r="D700" s="2"/>
      <c r="E700" s="2"/>
      <c r="F700" s="3" t="str">
        <f aca="false">IFERROR(__xludf.dummyfunction("if($T700&lt;&gt;"""",REGEXEXTRACT(SUBSTITUTE ($T700,F$1&amp;"" CE"",""""), F$1&amp;""[\w &amp;]*, (\d+\.\d+)""),"""")
"),"")</f>
        <v/>
      </c>
      <c r="G700" s="3" t="str">
        <f aca="false">IFERROR(__xludf.dummyfunction("if($T700&lt;&gt;"""",REGEXEXTRACT($T700, G$1&amp;""[\w &amp;]*, (\d+\.\d+)""),"""")
"),"")</f>
        <v/>
      </c>
      <c r="H700" s="3"/>
      <c r="I700" s="3" t="str">
        <f aca="false">IFERROR(__xludf.dummyfunction("if($T700&lt;&gt;"""",REGEXEXTRACT(SUBSTITUTE ($T700,I$1&amp;"" CE"",""""), I$1&amp;""[\w &amp;]*, (\d+\.\d+)""),"""")
"),"")</f>
        <v/>
      </c>
      <c r="J700" s="3" t="str">
        <f aca="false">IFERROR(__xludf.dummyfunction("if($T700&lt;&gt;"""",REGEXEXTRACT($T700, J$1&amp;""[\w &amp;]*, (\d+\.\d+)""),"""")
"),"")</f>
        <v/>
      </c>
      <c r="K700" s="3"/>
      <c r="L700" s="3" t="str">
        <f aca="false">IFERROR(__xludf.dummyfunction("if($T700&lt;&gt;"""",REGEXEXTRACT(SUBSTITUTE ($T700,L$1&amp;"" CE"",""""), L$1&amp;""[\w &amp;]*, (\d+\.\d+)""),"""")
"),"")</f>
        <v/>
      </c>
      <c r="M700" s="3" t="str">
        <f aca="false">IFERROR(__xludf.dummyfunction("if($T700&lt;&gt;"""",REGEXEXTRACT($T700, M$1&amp;""[\w &amp;]*, (\d+\.\d+)""),"""")
"),"")</f>
        <v/>
      </c>
      <c r="N700" s="3" t="str">
        <f aca="false">IFERROR(__xludf.dummyfunction("if($T700&lt;&gt;"""",REGEXEXTRACT(SUBSTITUTE ($T700,N$1&amp;"" CE"",""""), N$1&amp;""[\w &amp;]*, (\d+\.\d+)""),"""")
"),"")</f>
        <v/>
      </c>
      <c r="O700" s="3" t="str">
        <f aca="false">IFERROR(__xludf.dummyfunction("if($T700&lt;&gt;"""",REGEXEXTRACT($T700, O$1&amp;""[\w &amp;]*, (\d+\.\d+)""),"""")
"),"")</f>
        <v/>
      </c>
      <c r="P700" s="2"/>
      <c r="Q700" s="2"/>
      <c r="R700" s="2"/>
      <c r="S700" s="2"/>
      <c r="T700" s="5"/>
    </row>
    <row r="701" customFormat="false" ht="15.75" hidden="false" customHeight="false" outlineLevel="0" collapsed="false">
      <c r="A701" s="4"/>
      <c r="B701" s="2"/>
      <c r="C701" s="2"/>
      <c r="D701" s="2"/>
      <c r="E701" s="2"/>
      <c r="F701" s="3" t="str">
        <f aca="false">IFERROR(__xludf.dummyfunction("if($T701&lt;&gt;"""",REGEXEXTRACT(SUBSTITUTE ($T701,F$1&amp;"" CE"",""""), F$1&amp;""[\w &amp;]*, (\d+\.\d+)""),"""")
"),"")</f>
        <v/>
      </c>
      <c r="G701" s="3" t="str">
        <f aca="false">IFERROR(__xludf.dummyfunction("if($T701&lt;&gt;"""",REGEXEXTRACT($T701, G$1&amp;""[\w &amp;]*, (\d+\.\d+)""),"""")
"),"")</f>
        <v/>
      </c>
      <c r="H701" s="3"/>
      <c r="I701" s="3" t="str">
        <f aca="false">IFERROR(__xludf.dummyfunction("if($T701&lt;&gt;"""",REGEXEXTRACT(SUBSTITUTE ($T701,I$1&amp;"" CE"",""""), I$1&amp;""[\w &amp;]*, (\d+\.\d+)""),"""")
"),"")</f>
        <v/>
      </c>
      <c r="J701" s="3" t="str">
        <f aca="false">IFERROR(__xludf.dummyfunction("if($T701&lt;&gt;"""",REGEXEXTRACT($T701, J$1&amp;""[\w &amp;]*, (\d+\.\d+)""),"""")
"),"")</f>
        <v/>
      </c>
      <c r="K701" s="3"/>
      <c r="L701" s="3" t="str">
        <f aca="false">IFERROR(__xludf.dummyfunction("if($T701&lt;&gt;"""",REGEXEXTRACT(SUBSTITUTE ($T701,L$1&amp;"" CE"",""""), L$1&amp;""[\w &amp;]*, (\d+\.\d+)""),"""")
"),"")</f>
        <v/>
      </c>
      <c r="M701" s="3" t="str">
        <f aca="false">IFERROR(__xludf.dummyfunction("if($T701&lt;&gt;"""",REGEXEXTRACT($T701, M$1&amp;""[\w &amp;]*, (\d+\.\d+)""),"""")
"),"")</f>
        <v/>
      </c>
      <c r="N701" s="3" t="str">
        <f aca="false">IFERROR(__xludf.dummyfunction("if($T701&lt;&gt;"""",REGEXEXTRACT(SUBSTITUTE ($T701,N$1&amp;"" CE"",""""), N$1&amp;""[\w &amp;]*, (\d+\.\d+)""),"""")
"),"")</f>
        <v/>
      </c>
      <c r="O701" s="3" t="str">
        <f aca="false">IFERROR(__xludf.dummyfunction("if($T701&lt;&gt;"""",REGEXEXTRACT($T701, O$1&amp;""[\w &amp;]*, (\d+\.\d+)""),"""")
"),"")</f>
        <v/>
      </c>
      <c r="P701" s="2"/>
      <c r="Q701" s="2"/>
      <c r="R701" s="2"/>
      <c r="S701" s="2"/>
      <c r="T701" s="5"/>
    </row>
    <row r="702" customFormat="false" ht="15.75" hidden="false" customHeight="false" outlineLevel="0" collapsed="false">
      <c r="A702" s="4"/>
      <c r="B702" s="2"/>
      <c r="C702" s="2"/>
      <c r="D702" s="2"/>
      <c r="E702" s="2"/>
      <c r="F702" s="3" t="str">
        <f aca="false">IFERROR(__xludf.dummyfunction("if($T702&lt;&gt;"""",REGEXEXTRACT(SUBSTITUTE ($T702,F$1&amp;"" CE"",""""), F$1&amp;""[\w &amp;]*, (\d+\.\d+)""),"""")
"),"")</f>
        <v/>
      </c>
      <c r="G702" s="3" t="str">
        <f aca="false">IFERROR(__xludf.dummyfunction("if($T702&lt;&gt;"""",REGEXEXTRACT($T702, G$1&amp;""[\w &amp;]*, (\d+\.\d+)""),"""")
"),"")</f>
        <v/>
      </c>
      <c r="H702" s="3"/>
      <c r="I702" s="3" t="str">
        <f aca="false">IFERROR(__xludf.dummyfunction("if($T702&lt;&gt;"""",REGEXEXTRACT(SUBSTITUTE ($T702,I$1&amp;"" CE"",""""), I$1&amp;""[\w &amp;]*, (\d+\.\d+)""),"""")
"),"")</f>
        <v/>
      </c>
      <c r="J702" s="3" t="str">
        <f aca="false">IFERROR(__xludf.dummyfunction("if($T702&lt;&gt;"""",REGEXEXTRACT($T702, J$1&amp;""[\w &amp;]*, (\d+\.\d+)""),"""")
"),"")</f>
        <v/>
      </c>
      <c r="K702" s="3"/>
      <c r="L702" s="3" t="str">
        <f aca="false">IFERROR(__xludf.dummyfunction("if($T702&lt;&gt;"""",REGEXEXTRACT(SUBSTITUTE ($T702,L$1&amp;"" CE"",""""), L$1&amp;""[\w &amp;]*, (\d+\.\d+)""),"""")
"),"")</f>
        <v/>
      </c>
      <c r="M702" s="3" t="str">
        <f aca="false">IFERROR(__xludf.dummyfunction("if($T702&lt;&gt;"""",REGEXEXTRACT($T702, M$1&amp;""[\w &amp;]*, (\d+\.\d+)""),"""")
"),"")</f>
        <v/>
      </c>
      <c r="N702" s="3" t="str">
        <f aca="false">IFERROR(__xludf.dummyfunction("if($T702&lt;&gt;"""",REGEXEXTRACT(SUBSTITUTE ($T702,N$1&amp;"" CE"",""""), N$1&amp;""[\w &amp;]*, (\d+\.\d+)""),"""")
"),"")</f>
        <v/>
      </c>
      <c r="O702" s="3" t="str">
        <f aca="false">IFERROR(__xludf.dummyfunction("if($T702&lt;&gt;"""",REGEXEXTRACT($T702, O$1&amp;""[\w &amp;]*, (\d+\.\d+)""),"""")
"),"")</f>
        <v/>
      </c>
      <c r="P702" s="2"/>
      <c r="Q702" s="2"/>
      <c r="R702" s="2"/>
      <c r="S702" s="2"/>
      <c r="T702" s="5"/>
    </row>
    <row r="703" customFormat="false" ht="15.75" hidden="false" customHeight="false" outlineLevel="0" collapsed="false">
      <c r="A703" s="4"/>
      <c r="B703" s="2"/>
      <c r="C703" s="2"/>
      <c r="D703" s="2"/>
      <c r="E703" s="2"/>
      <c r="F703" s="3" t="str">
        <f aca="false">IFERROR(__xludf.dummyfunction("if($T703&lt;&gt;"""",REGEXEXTRACT(SUBSTITUTE ($T703,F$1&amp;"" CE"",""""), F$1&amp;""[\w &amp;]*, (\d+\.\d+)""),"""")
"),"")</f>
        <v/>
      </c>
      <c r="G703" s="3" t="str">
        <f aca="false">IFERROR(__xludf.dummyfunction("if($T703&lt;&gt;"""",REGEXEXTRACT($T703, G$1&amp;""[\w &amp;]*, (\d+\.\d+)""),"""")
"),"")</f>
        <v/>
      </c>
      <c r="H703" s="3"/>
      <c r="I703" s="3" t="str">
        <f aca="false">IFERROR(__xludf.dummyfunction("if($T703&lt;&gt;"""",REGEXEXTRACT(SUBSTITUTE ($T703,I$1&amp;"" CE"",""""), I$1&amp;""[\w &amp;]*, (\d+\.\d+)""),"""")
"),"")</f>
        <v/>
      </c>
      <c r="J703" s="3" t="str">
        <f aca="false">IFERROR(__xludf.dummyfunction("if($T703&lt;&gt;"""",REGEXEXTRACT($T703, J$1&amp;""[\w &amp;]*, (\d+\.\d+)""),"""")
"),"")</f>
        <v/>
      </c>
      <c r="K703" s="3"/>
      <c r="L703" s="3" t="str">
        <f aca="false">IFERROR(__xludf.dummyfunction("if($T703&lt;&gt;"""",REGEXEXTRACT(SUBSTITUTE ($T703,L$1&amp;"" CE"",""""), L$1&amp;""[\w &amp;]*, (\d+\.\d+)""),"""")
"),"")</f>
        <v/>
      </c>
      <c r="M703" s="3" t="str">
        <f aca="false">IFERROR(__xludf.dummyfunction("if($T703&lt;&gt;"""",REGEXEXTRACT($T703, M$1&amp;""[\w &amp;]*, (\d+\.\d+)""),"""")
"),"")</f>
        <v/>
      </c>
      <c r="N703" s="3" t="str">
        <f aca="false">IFERROR(__xludf.dummyfunction("if($T703&lt;&gt;"""",REGEXEXTRACT(SUBSTITUTE ($T703,N$1&amp;"" CE"",""""), N$1&amp;""[\w &amp;]*, (\d+\.\d+)""),"""")
"),"")</f>
        <v/>
      </c>
      <c r="O703" s="3" t="str">
        <f aca="false">IFERROR(__xludf.dummyfunction("if($T703&lt;&gt;"""",REGEXEXTRACT($T703, O$1&amp;""[\w &amp;]*, (\d+\.\d+)""),"""")
"),"")</f>
        <v/>
      </c>
      <c r="P703" s="2"/>
      <c r="Q703" s="2"/>
      <c r="R703" s="2"/>
      <c r="S703" s="2"/>
      <c r="T703" s="5"/>
    </row>
    <row r="704" customFormat="false" ht="15.75" hidden="false" customHeight="false" outlineLevel="0" collapsed="false">
      <c r="A704" s="4"/>
      <c r="B704" s="2"/>
      <c r="C704" s="2"/>
      <c r="D704" s="2"/>
      <c r="E704" s="2"/>
      <c r="F704" s="3" t="str">
        <f aca="false">IFERROR(__xludf.dummyfunction("if($T704&lt;&gt;"""",REGEXEXTRACT(SUBSTITUTE ($T704,F$1&amp;"" CE"",""""), F$1&amp;""[\w &amp;]*, (\d+\.\d+)""),"""")
"),"")</f>
        <v/>
      </c>
      <c r="G704" s="3" t="str">
        <f aca="false">IFERROR(__xludf.dummyfunction("if($T704&lt;&gt;"""",REGEXEXTRACT($T704, G$1&amp;""[\w &amp;]*, (\d+\.\d+)""),"""")
"),"")</f>
        <v/>
      </c>
      <c r="H704" s="3"/>
      <c r="I704" s="3" t="str">
        <f aca="false">IFERROR(__xludf.dummyfunction("if($T704&lt;&gt;"""",REGEXEXTRACT(SUBSTITUTE ($T704,I$1&amp;"" CE"",""""), I$1&amp;""[\w &amp;]*, (\d+\.\d+)""),"""")
"),"")</f>
        <v/>
      </c>
      <c r="J704" s="3" t="str">
        <f aca="false">IFERROR(__xludf.dummyfunction("if($T704&lt;&gt;"""",REGEXEXTRACT($T704, J$1&amp;""[\w &amp;]*, (\d+\.\d+)""),"""")
"),"")</f>
        <v/>
      </c>
      <c r="K704" s="3"/>
      <c r="L704" s="3" t="str">
        <f aca="false">IFERROR(__xludf.dummyfunction("if($T704&lt;&gt;"""",REGEXEXTRACT(SUBSTITUTE ($T704,L$1&amp;"" CE"",""""), L$1&amp;""[\w &amp;]*, (\d+\.\d+)""),"""")
"),"")</f>
        <v/>
      </c>
      <c r="M704" s="3" t="str">
        <f aca="false">IFERROR(__xludf.dummyfunction("if($T704&lt;&gt;"""",REGEXEXTRACT($T704, M$1&amp;""[\w &amp;]*, (\d+\.\d+)""),"""")
"),"")</f>
        <v/>
      </c>
      <c r="N704" s="3" t="str">
        <f aca="false">IFERROR(__xludf.dummyfunction("if($T704&lt;&gt;"""",REGEXEXTRACT(SUBSTITUTE ($T704,N$1&amp;"" CE"",""""), N$1&amp;""[\w &amp;]*, (\d+\.\d+)""),"""")
"),"")</f>
        <v/>
      </c>
      <c r="O704" s="3" t="str">
        <f aca="false">IFERROR(__xludf.dummyfunction("if($T704&lt;&gt;"""",REGEXEXTRACT($T704, O$1&amp;""[\w &amp;]*, (\d+\.\d+)""),"""")
"),"")</f>
        <v/>
      </c>
      <c r="P704" s="2"/>
      <c r="Q704" s="2"/>
      <c r="R704" s="2"/>
      <c r="S704" s="2"/>
      <c r="T704" s="5"/>
    </row>
    <row r="705" customFormat="false" ht="15.75" hidden="false" customHeight="false" outlineLevel="0" collapsed="false">
      <c r="A705" s="4"/>
      <c r="B705" s="2"/>
      <c r="C705" s="2"/>
      <c r="D705" s="2"/>
      <c r="E705" s="2"/>
      <c r="F705" s="3" t="str">
        <f aca="false">IFERROR(__xludf.dummyfunction("if($T705&lt;&gt;"""",REGEXEXTRACT(SUBSTITUTE ($T705,F$1&amp;"" CE"",""""), F$1&amp;""[\w &amp;]*, (\d+\.\d+)""),"""")
"),"")</f>
        <v/>
      </c>
      <c r="G705" s="3" t="str">
        <f aca="false">IFERROR(__xludf.dummyfunction("if($T705&lt;&gt;"""",REGEXEXTRACT($T705, G$1&amp;""[\w &amp;]*, (\d+\.\d+)""),"""")
"),"")</f>
        <v/>
      </c>
      <c r="H705" s="3"/>
      <c r="I705" s="3" t="str">
        <f aca="false">IFERROR(__xludf.dummyfunction("if($T705&lt;&gt;"""",REGEXEXTRACT(SUBSTITUTE ($T705,I$1&amp;"" CE"",""""), I$1&amp;""[\w &amp;]*, (\d+\.\d+)""),"""")
"),"")</f>
        <v/>
      </c>
      <c r="J705" s="3" t="str">
        <f aca="false">IFERROR(__xludf.dummyfunction("if($T705&lt;&gt;"""",REGEXEXTRACT($T705, J$1&amp;""[\w &amp;]*, (\d+\.\d+)""),"""")
"),"")</f>
        <v/>
      </c>
      <c r="K705" s="3"/>
      <c r="L705" s="3" t="str">
        <f aca="false">IFERROR(__xludf.dummyfunction("if($T705&lt;&gt;"""",REGEXEXTRACT(SUBSTITUTE ($T705,L$1&amp;"" CE"",""""), L$1&amp;""[\w &amp;]*, (\d+\.\d+)""),"""")
"),"")</f>
        <v/>
      </c>
      <c r="M705" s="3" t="str">
        <f aca="false">IFERROR(__xludf.dummyfunction("if($T705&lt;&gt;"""",REGEXEXTRACT($T705, M$1&amp;""[\w &amp;]*, (\d+\.\d+)""),"""")
"),"")</f>
        <v/>
      </c>
      <c r="N705" s="3" t="str">
        <f aca="false">IFERROR(__xludf.dummyfunction("if($T705&lt;&gt;"""",REGEXEXTRACT(SUBSTITUTE ($T705,N$1&amp;"" CE"",""""), N$1&amp;""[\w &amp;]*, (\d+\.\d+)""),"""")
"),"")</f>
        <v/>
      </c>
      <c r="O705" s="3" t="str">
        <f aca="false">IFERROR(__xludf.dummyfunction("if($T705&lt;&gt;"""",REGEXEXTRACT($T705, O$1&amp;""[\w &amp;]*, (\d+\.\d+)""),"""")
"),"")</f>
        <v/>
      </c>
      <c r="P705" s="2"/>
      <c r="Q705" s="2"/>
      <c r="R705" s="2"/>
      <c r="S705" s="2"/>
      <c r="T705" s="5"/>
    </row>
    <row r="706" customFormat="false" ht="15.75" hidden="false" customHeight="false" outlineLevel="0" collapsed="false">
      <c r="A706" s="4"/>
      <c r="B706" s="2"/>
      <c r="C706" s="2"/>
      <c r="D706" s="2"/>
      <c r="E706" s="2"/>
      <c r="F706" s="3" t="str">
        <f aca="false">IFERROR(__xludf.dummyfunction("if($T706&lt;&gt;"""",REGEXEXTRACT(SUBSTITUTE ($T706,F$1&amp;"" CE"",""""), F$1&amp;""[\w &amp;]*, (\d+\.\d+)""),"""")
"),"")</f>
        <v/>
      </c>
      <c r="G706" s="3" t="str">
        <f aca="false">IFERROR(__xludf.dummyfunction("if($T706&lt;&gt;"""",REGEXEXTRACT($T706, G$1&amp;""[\w &amp;]*, (\d+\.\d+)""),"""")
"),"")</f>
        <v/>
      </c>
      <c r="H706" s="3"/>
      <c r="I706" s="3" t="str">
        <f aca="false">IFERROR(__xludf.dummyfunction("if($T706&lt;&gt;"""",REGEXEXTRACT(SUBSTITUTE ($T706,I$1&amp;"" CE"",""""), I$1&amp;""[\w &amp;]*, (\d+\.\d+)""),"""")
"),"")</f>
        <v/>
      </c>
      <c r="J706" s="3" t="str">
        <f aca="false">IFERROR(__xludf.dummyfunction("if($T706&lt;&gt;"""",REGEXEXTRACT($T706, J$1&amp;""[\w &amp;]*, (\d+\.\d+)""),"""")
"),"")</f>
        <v/>
      </c>
      <c r="K706" s="3"/>
      <c r="L706" s="3" t="str">
        <f aca="false">IFERROR(__xludf.dummyfunction("if($T706&lt;&gt;"""",REGEXEXTRACT(SUBSTITUTE ($T706,L$1&amp;"" CE"",""""), L$1&amp;""[\w &amp;]*, (\d+\.\d+)""),"""")
"),"")</f>
        <v/>
      </c>
      <c r="M706" s="3" t="str">
        <f aca="false">IFERROR(__xludf.dummyfunction("if($T706&lt;&gt;"""",REGEXEXTRACT($T706, M$1&amp;""[\w &amp;]*, (\d+\.\d+)""),"""")
"),"")</f>
        <v/>
      </c>
      <c r="N706" s="3" t="str">
        <f aca="false">IFERROR(__xludf.dummyfunction("if($T706&lt;&gt;"""",REGEXEXTRACT(SUBSTITUTE ($T706,N$1&amp;"" CE"",""""), N$1&amp;""[\w &amp;]*, (\d+\.\d+)""),"""")
"),"")</f>
        <v/>
      </c>
      <c r="O706" s="3" t="str">
        <f aca="false">IFERROR(__xludf.dummyfunction("if($T706&lt;&gt;"""",REGEXEXTRACT($T706, O$1&amp;""[\w &amp;]*, (\d+\.\d+)""),"""")
"),"")</f>
        <v/>
      </c>
      <c r="P706" s="2"/>
      <c r="Q706" s="2"/>
      <c r="R706" s="2"/>
      <c r="S706" s="2"/>
      <c r="T706" s="5"/>
    </row>
    <row r="707" customFormat="false" ht="15.75" hidden="false" customHeight="false" outlineLevel="0" collapsed="false">
      <c r="A707" s="4"/>
      <c r="B707" s="2"/>
      <c r="C707" s="2"/>
      <c r="D707" s="2"/>
      <c r="E707" s="2"/>
      <c r="F707" s="3" t="str">
        <f aca="false">IFERROR(__xludf.dummyfunction("if($T707&lt;&gt;"""",REGEXEXTRACT(SUBSTITUTE ($T707,F$1&amp;"" CE"",""""), F$1&amp;""[\w &amp;]*, (\d+\.\d+)""),"""")
"),"")</f>
        <v/>
      </c>
      <c r="G707" s="3" t="str">
        <f aca="false">IFERROR(__xludf.dummyfunction("if($T707&lt;&gt;"""",REGEXEXTRACT($T707, G$1&amp;""[\w &amp;]*, (\d+\.\d+)""),"""")
"),"")</f>
        <v/>
      </c>
      <c r="H707" s="3"/>
      <c r="I707" s="3" t="str">
        <f aca="false">IFERROR(__xludf.dummyfunction("if($T707&lt;&gt;"""",REGEXEXTRACT(SUBSTITUTE ($T707,I$1&amp;"" CE"",""""), I$1&amp;""[\w &amp;]*, (\d+\.\d+)""),"""")
"),"")</f>
        <v/>
      </c>
      <c r="J707" s="3" t="str">
        <f aca="false">IFERROR(__xludf.dummyfunction("if($T707&lt;&gt;"""",REGEXEXTRACT($T707, J$1&amp;""[\w &amp;]*, (\d+\.\d+)""),"""")
"),"")</f>
        <v/>
      </c>
      <c r="K707" s="3"/>
      <c r="L707" s="3" t="str">
        <f aca="false">IFERROR(__xludf.dummyfunction("if($T707&lt;&gt;"""",REGEXEXTRACT(SUBSTITUTE ($T707,L$1&amp;"" CE"",""""), L$1&amp;""[\w &amp;]*, (\d+\.\d+)""),"""")
"),"")</f>
        <v/>
      </c>
      <c r="M707" s="3" t="str">
        <f aca="false">IFERROR(__xludf.dummyfunction("if($T707&lt;&gt;"""",REGEXEXTRACT($T707, M$1&amp;""[\w &amp;]*, (\d+\.\d+)""),"""")
"),"")</f>
        <v/>
      </c>
      <c r="N707" s="3" t="str">
        <f aca="false">IFERROR(__xludf.dummyfunction("if($T707&lt;&gt;"""",REGEXEXTRACT(SUBSTITUTE ($T707,N$1&amp;"" CE"",""""), N$1&amp;""[\w &amp;]*, (\d+\.\d+)""),"""")
"),"")</f>
        <v/>
      </c>
      <c r="O707" s="3" t="str">
        <f aca="false">IFERROR(__xludf.dummyfunction("if($T707&lt;&gt;"""",REGEXEXTRACT($T707, O$1&amp;""[\w &amp;]*, (\d+\.\d+)""),"""")
"),"")</f>
        <v/>
      </c>
      <c r="P707" s="2"/>
      <c r="Q707" s="2"/>
      <c r="R707" s="2"/>
      <c r="S707" s="2"/>
      <c r="T707" s="5"/>
    </row>
    <row r="708" customFormat="false" ht="15.75" hidden="false" customHeight="false" outlineLevel="0" collapsed="false">
      <c r="A708" s="4"/>
      <c r="B708" s="2"/>
      <c r="C708" s="2"/>
      <c r="D708" s="2"/>
      <c r="E708" s="2"/>
      <c r="F708" s="3" t="str">
        <f aca="false">IFERROR(__xludf.dummyfunction("if($T708&lt;&gt;"""",REGEXEXTRACT(SUBSTITUTE ($T708,F$1&amp;"" CE"",""""), F$1&amp;""[\w &amp;]*, (\d+\.\d+)""),"""")
"),"")</f>
        <v/>
      </c>
      <c r="G708" s="3" t="str">
        <f aca="false">IFERROR(__xludf.dummyfunction("if($T708&lt;&gt;"""",REGEXEXTRACT($T708, G$1&amp;""[\w &amp;]*, (\d+\.\d+)""),"""")
"),"")</f>
        <v/>
      </c>
      <c r="H708" s="3"/>
      <c r="I708" s="3" t="str">
        <f aca="false">IFERROR(__xludf.dummyfunction("if($T708&lt;&gt;"""",REGEXEXTRACT(SUBSTITUTE ($T708,I$1&amp;"" CE"",""""), I$1&amp;""[\w &amp;]*, (\d+\.\d+)""),"""")
"),"")</f>
        <v/>
      </c>
      <c r="J708" s="3" t="str">
        <f aca="false">IFERROR(__xludf.dummyfunction("if($T708&lt;&gt;"""",REGEXEXTRACT($T708, J$1&amp;""[\w &amp;]*, (\d+\.\d+)""),"""")
"),"")</f>
        <v/>
      </c>
      <c r="K708" s="3"/>
      <c r="L708" s="3" t="str">
        <f aca="false">IFERROR(__xludf.dummyfunction("if($T708&lt;&gt;"""",REGEXEXTRACT(SUBSTITUTE ($T708,L$1&amp;"" CE"",""""), L$1&amp;""[\w &amp;]*, (\d+\.\d+)""),"""")
"),"")</f>
        <v/>
      </c>
      <c r="M708" s="3" t="str">
        <f aca="false">IFERROR(__xludf.dummyfunction("if($T708&lt;&gt;"""",REGEXEXTRACT($T708, M$1&amp;""[\w &amp;]*, (\d+\.\d+)""),"""")
"),"")</f>
        <v/>
      </c>
      <c r="N708" s="3" t="str">
        <f aca="false">IFERROR(__xludf.dummyfunction("if($T708&lt;&gt;"""",REGEXEXTRACT(SUBSTITUTE ($T708,N$1&amp;"" CE"",""""), N$1&amp;""[\w &amp;]*, (\d+\.\d+)""),"""")
"),"")</f>
        <v/>
      </c>
      <c r="O708" s="3" t="str">
        <f aca="false">IFERROR(__xludf.dummyfunction("if($T708&lt;&gt;"""",REGEXEXTRACT($T708, O$1&amp;""[\w &amp;]*, (\d+\.\d+)""),"""")
"),"")</f>
        <v/>
      </c>
      <c r="P708" s="2"/>
      <c r="Q708" s="2"/>
      <c r="R708" s="2"/>
      <c r="S708" s="2"/>
      <c r="T708" s="5"/>
    </row>
    <row r="709" customFormat="false" ht="15.75" hidden="false" customHeight="false" outlineLevel="0" collapsed="false">
      <c r="A709" s="4"/>
      <c r="B709" s="2"/>
      <c r="C709" s="2"/>
      <c r="D709" s="2"/>
      <c r="E709" s="2"/>
      <c r="F709" s="3" t="str">
        <f aca="false">IFERROR(__xludf.dummyfunction("if($T709&lt;&gt;"""",REGEXEXTRACT(SUBSTITUTE ($T709,F$1&amp;"" CE"",""""), F$1&amp;""[\w &amp;]*, (\d+\.\d+)""),"""")
"),"")</f>
        <v/>
      </c>
      <c r="G709" s="3" t="str">
        <f aca="false">IFERROR(__xludf.dummyfunction("if($T709&lt;&gt;"""",REGEXEXTRACT($T709, G$1&amp;""[\w &amp;]*, (\d+\.\d+)""),"""")
"),"")</f>
        <v/>
      </c>
      <c r="H709" s="3"/>
      <c r="I709" s="3" t="str">
        <f aca="false">IFERROR(__xludf.dummyfunction("if($T709&lt;&gt;"""",REGEXEXTRACT(SUBSTITUTE ($T709,I$1&amp;"" CE"",""""), I$1&amp;""[\w &amp;]*, (\d+\.\d+)""),"""")
"),"")</f>
        <v/>
      </c>
      <c r="J709" s="3" t="str">
        <f aca="false">IFERROR(__xludf.dummyfunction("if($T709&lt;&gt;"""",REGEXEXTRACT($T709, J$1&amp;""[\w &amp;]*, (\d+\.\d+)""),"""")
"),"")</f>
        <v/>
      </c>
      <c r="K709" s="3"/>
      <c r="L709" s="3" t="str">
        <f aca="false">IFERROR(__xludf.dummyfunction("if($T709&lt;&gt;"""",REGEXEXTRACT(SUBSTITUTE ($T709,L$1&amp;"" CE"",""""), L$1&amp;""[\w &amp;]*, (\d+\.\d+)""),"""")
"),"")</f>
        <v/>
      </c>
      <c r="M709" s="3" t="str">
        <f aca="false">IFERROR(__xludf.dummyfunction("if($T709&lt;&gt;"""",REGEXEXTRACT($T709, M$1&amp;""[\w &amp;]*, (\d+\.\d+)""),"""")
"),"")</f>
        <v/>
      </c>
      <c r="N709" s="3" t="str">
        <f aca="false">IFERROR(__xludf.dummyfunction("if($T709&lt;&gt;"""",REGEXEXTRACT(SUBSTITUTE ($T709,N$1&amp;"" CE"",""""), N$1&amp;""[\w &amp;]*, (\d+\.\d+)""),"""")
"),"")</f>
        <v/>
      </c>
      <c r="O709" s="3" t="str">
        <f aca="false">IFERROR(__xludf.dummyfunction("if($T709&lt;&gt;"""",REGEXEXTRACT($T709, O$1&amp;""[\w &amp;]*, (\d+\.\d+)""),"""")
"),"")</f>
        <v/>
      </c>
      <c r="P709" s="2"/>
      <c r="Q709" s="2"/>
      <c r="R709" s="2"/>
      <c r="S709" s="2"/>
      <c r="T709" s="5"/>
    </row>
    <row r="710" customFormat="false" ht="15.75" hidden="false" customHeight="false" outlineLevel="0" collapsed="false">
      <c r="A710" s="4"/>
      <c r="B710" s="2"/>
      <c r="C710" s="2"/>
      <c r="D710" s="2"/>
      <c r="E710" s="2"/>
      <c r="F710" s="3" t="str">
        <f aca="false">IFERROR(__xludf.dummyfunction("if($T710&lt;&gt;"""",REGEXEXTRACT(SUBSTITUTE ($T710,F$1&amp;"" CE"",""""), F$1&amp;""[\w &amp;]*, (\d+\.\d+)""),"""")
"),"")</f>
        <v/>
      </c>
      <c r="G710" s="3" t="str">
        <f aca="false">IFERROR(__xludf.dummyfunction("if($T710&lt;&gt;"""",REGEXEXTRACT($T710, G$1&amp;""[\w &amp;]*, (\d+\.\d+)""),"""")
"),"")</f>
        <v/>
      </c>
      <c r="H710" s="3"/>
      <c r="I710" s="3" t="str">
        <f aca="false">IFERROR(__xludf.dummyfunction("if($T710&lt;&gt;"""",REGEXEXTRACT(SUBSTITUTE ($T710,I$1&amp;"" CE"",""""), I$1&amp;""[\w &amp;]*, (\d+\.\d+)""),"""")
"),"")</f>
        <v/>
      </c>
      <c r="J710" s="3" t="str">
        <f aca="false">IFERROR(__xludf.dummyfunction("if($T710&lt;&gt;"""",REGEXEXTRACT($T710, J$1&amp;""[\w &amp;]*, (\d+\.\d+)""),"""")
"),"")</f>
        <v/>
      </c>
      <c r="K710" s="3"/>
      <c r="L710" s="3" t="str">
        <f aca="false">IFERROR(__xludf.dummyfunction("if($T710&lt;&gt;"""",REGEXEXTRACT(SUBSTITUTE ($T710,L$1&amp;"" CE"",""""), L$1&amp;""[\w &amp;]*, (\d+\.\d+)""),"""")
"),"")</f>
        <v/>
      </c>
      <c r="M710" s="3" t="str">
        <f aca="false">IFERROR(__xludf.dummyfunction("if($T710&lt;&gt;"""",REGEXEXTRACT($T710, M$1&amp;""[\w &amp;]*, (\d+\.\d+)""),"""")
"),"")</f>
        <v/>
      </c>
      <c r="N710" s="3" t="str">
        <f aca="false">IFERROR(__xludf.dummyfunction("if($T710&lt;&gt;"""",REGEXEXTRACT(SUBSTITUTE ($T710,N$1&amp;"" CE"",""""), N$1&amp;""[\w &amp;]*, (\d+\.\d+)""),"""")
"),"")</f>
        <v/>
      </c>
      <c r="O710" s="3" t="str">
        <f aca="false">IFERROR(__xludf.dummyfunction("if($T710&lt;&gt;"""",REGEXEXTRACT($T710, O$1&amp;""[\w &amp;]*, (\d+\.\d+)""),"""")
"),"")</f>
        <v/>
      </c>
      <c r="P710" s="2"/>
      <c r="Q710" s="2"/>
      <c r="R710" s="2"/>
      <c r="S710" s="2"/>
      <c r="T710" s="5"/>
    </row>
    <row r="711" customFormat="false" ht="15.75" hidden="false" customHeight="false" outlineLevel="0" collapsed="false">
      <c r="A711" s="4"/>
      <c r="B711" s="2"/>
      <c r="C711" s="2"/>
      <c r="D711" s="2"/>
      <c r="E711" s="2"/>
      <c r="F711" s="3" t="str">
        <f aca="false">IFERROR(__xludf.dummyfunction("if($T711&lt;&gt;"""",REGEXEXTRACT(SUBSTITUTE ($T711,F$1&amp;"" CE"",""""), F$1&amp;""[\w &amp;]*, (\d+\.\d+)""),"""")
"),"")</f>
        <v/>
      </c>
      <c r="G711" s="3" t="str">
        <f aca="false">IFERROR(__xludf.dummyfunction("if($T711&lt;&gt;"""",REGEXEXTRACT($T711, G$1&amp;""[\w &amp;]*, (\d+\.\d+)""),"""")
"),"")</f>
        <v/>
      </c>
      <c r="H711" s="3"/>
      <c r="I711" s="3" t="str">
        <f aca="false">IFERROR(__xludf.dummyfunction("if($T711&lt;&gt;"""",REGEXEXTRACT(SUBSTITUTE ($T711,I$1&amp;"" CE"",""""), I$1&amp;""[\w &amp;]*, (\d+\.\d+)""),"""")
"),"")</f>
        <v/>
      </c>
      <c r="J711" s="3" t="str">
        <f aca="false">IFERROR(__xludf.dummyfunction("if($T711&lt;&gt;"""",REGEXEXTRACT($T711, J$1&amp;""[\w &amp;]*, (\d+\.\d+)""),"""")
"),"")</f>
        <v/>
      </c>
      <c r="K711" s="3"/>
      <c r="L711" s="3" t="str">
        <f aca="false">IFERROR(__xludf.dummyfunction("if($T711&lt;&gt;"""",REGEXEXTRACT(SUBSTITUTE ($T711,L$1&amp;"" CE"",""""), L$1&amp;""[\w &amp;]*, (\d+\.\d+)""),"""")
"),"")</f>
        <v/>
      </c>
      <c r="M711" s="3" t="str">
        <f aca="false">IFERROR(__xludf.dummyfunction("if($T711&lt;&gt;"""",REGEXEXTRACT($T711, M$1&amp;""[\w &amp;]*, (\d+\.\d+)""),"""")
"),"")</f>
        <v/>
      </c>
      <c r="N711" s="3" t="str">
        <f aca="false">IFERROR(__xludf.dummyfunction("if($T711&lt;&gt;"""",REGEXEXTRACT(SUBSTITUTE ($T711,N$1&amp;"" CE"",""""), N$1&amp;""[\w &amp;]*, (\d+\.\d+)""),"""")
"),"")</f>
        <v/>
      </c>
      <c r="O711" s="3" t="str">
        <f aca="false">IFERROR(__xludf.dummyfunction("if($T711&lt;&gt;"""",REGEXEXTRACT($T711, O$1&amp;""[\w &amp;]*, (\d+\.\d+)""),"""")
"),"")</f>
        <v/>
      </c>
      <c r="P711" s="2"/>
      <c r="Q711" s="2"/>
      <c r="R711" s="2"/>
      <c r="S711" s="2"/>
      <c r="T711" s="5"/>
    </row>
    <row r="712" customFormat="false" ht="15.75" hidden="false" customHeight="false" outlineLevel="0" collapsed="false">
      <c r="A712" s="4"/>
      <c r="B712" s="2"/>
      <c r="C712" s="2"/>
      <c r="D712" s="2"/>
      <c r="E712" s="2"/>
      <c r="F712" s="3" t="str">
        <f aca="false">IFERROR(__xludf.dummyfunction("if($T712&lt;&gt;"""",REGEXEXTRACT(SUBSTITUTE ($T712,F$1&amp;"" CE"",""""), F$1&amp;""[\w &amp;]*, (\d+\.\d+)""),"""")
"),"")</f>
        <v/>
      </c>
      <c r="G712" s="3" t="str">
        <f aca="false">IFERROR(__xludf.dummyfunction("if($T712&lt;&gt;"""",REGEXEXTRACT($T712, G$1&amp;""[\w &amp;]*, (\d+\.\d+)""),"""")
"),"")</f>
        <v/>
      </c>
      <c r="H712" s="3"/>
      <c r="I712" s="3" t="str">
        <f aca="false">IFERROR(__xludf.dummyfunction("if($T712&lt;&gt;"""",REGEXEXTRACT(SUBSTITUTE ($T712,I$1&amp;"" CE"",""""), I$1&amp;""[\w &amp;]*, (\d+\.\d+)""),"""")
"),"")</f>
        <v/>
      </c>
      <c r="J712" s="3" t="str">
        <f aca="false">IFERROR(__xludf.dummyfunction("if($T712&lt;&gt;"""",REGEXEXTRACT($T712, J$1&amp;""[\w &amp;]*, (\d+\.\d+)""),"""")
"),"")</f>
        <v/>
      </c>
      <c r="K712" s="3"/>
      <c r="L712" s="3" t="str">
        <f aca="false">IFERROR(__xludf.dummyfunction("if($T712&lt;&gt;"""",REGEXEXTRACT(SUBSTITUTE ($T712,L$1&amp;"" CE"",""""), L$1&amp;""[\w &amp;]*, (\d+\.\d+)""),"""")
"),"")</f>
        <v/>
      </c>
      <c r="M712" s="3" t="str">
        <f aca="false">IFERROR(__xludf.dummyfunction("if($T712&lt;&gt;"""",REGEXEXTRACT($T712, M$1&amp;""[\w &amp;]*, (\d+\.\d+)""),"""")
"),"")</f>
        <v/>
      </c>
      <c r="N712" s="3" t="str">
        <f aca="false">IFERROR(__xludf.dummyfunction("if($T712&lt;&gt;"""",REGEXEXTRACT(SUBSTITUTE ($T712,N$1&amp;"" CE"",""""), N$1&amp;""[\w &amp;]*, (\d+\.\d+)""),"""")
"),"")</f>
        <v/>
      </c>
      <c r="O712" s="3" t="str">
        <f aca="false">IFERROR(__xludf.dummyfunction("if($T712&lt;&gt;"""",REGEXEXTRACT($T712, O$1&amp;""[\w &amp;]*, (\d+\.\d+)""),"""")
"),"")</f>
        <v/>
      </c>
      <c r="P712" s="2"/>
      <c r="Q712" s="2"/>
      <c r="R712" s="2"/>
      <c r="S712" s="2"/>
      <c r="T712" s="5"/>
    </row>
    <row r="713" customFormat="false" ht="15.75" hidden="false" customHeight="false" outlineLevel="0" collapsed="false">
      <c r="A713" s="4"/>
      <c r="B713" s="2"/>
      <c r="C713" s="2"/>
      <c r="D713" s="2"/>
      <c r="E713" s="2"/>
      <c r="F713" s="3" t="str">
        <f aca="false">IFERROR(__xludf.dummyfunction("if($T713&lt;&gt;"""",REGEXEXTRACT(SUBSTITUTE ($T713,F$1&amp;"" CE"",""""), F$1&amp;""[\w &amp;]*, (\d+\.\d+)""),"""")
"),"")</f>
        <v/>
      </c>
      <c r="G713" s="3" t="str">
        <f aca="false">IFERROR(__xludf.dummyfunction("if($T713&lt;&gt;"""",REGEXEXTRACT($T713, G$1&amp;""[\w &amp;]*, (\d+\.\d+)""),"""")
"),"")</f>
        <v/>
      </c>
      <c r="H713" s="3"/>
      <c r="I713" s="3" t="str">
        <f aca="false">IFERROR(__xludf.dummyfunction("if($T713&lt;&gt;"""",REGEXEXTRACT(SUBSTITUTE ($T713,I$1&amp;"" CE"",""""), I$1&amp;""[\w &amp;]*, (\d+\.\d+)""),"""")
"),"")</f>
        <v/>
      </c>
      <c r="J713" s="3" t="str">
        <f aca="false">IFERROR(__xludf.dummyfunction("if($T713&lt;&gt;"""",REGEXEXTRACT($T713, J$1&amp;""[\w &amp;]*, (\d+\.\d+)""),"""")
"),"")</f>
        <v/>
      </c>
      <c r="K713" s="3"/>
      <c r="L713" s="3" t="str">
        <f aca="false">IFERROR(__xludf.dummyfunction("if($T713&lt;&gt;"""",REGEXEXTRACT(SUBSTITUTE ($T713,L$1&amp;"" CE"",""""), L$1&amp;""[\w &amp;]*, (\d+\.\d+)""),"""")
"),"")</f>
        <v/>
      </c>
      <c r="M713" s="3" t="str">
        <f aca="false">IFERROR(__xludf.dummyfunction("if($T713&lt;&gt;"""",REGEXEXTRACT($T713, M$1&amp;""[\w &amp;]*, (\d+\.\d+)""),"""")
"),"")</f>
        <v/>
      </c>
      <c r="N713" s="3" t="str">
        <f aca="false">IFERROR(__xludf.dummyfunction("if($T713&lt;&gt;"""",REGEXEXTRACT(SUBSTITUTE ($T713,N$1&amp;"" CE"",""""), N$1&amp;""[\w &amp;]*, (\d+\.\d+)""),"""")
"),"")</f>
        <v/>
      </c>
      <c r="O713" s="3" t="str">
        <f aca="false">IFERROR(__xludf.dummyfunction("if($T713&lt;&gt;"""",REGEXEXTRACT($T713, O$1&amp;""[\w &amp;]*, (\d+\.\d+)""),"""")
"),"")</f>
        <v/>
      </c>
      <c r="P713" s="2"/>
      <c r="Q713" s="2"/>
      <c r="R713" s="2"/>
      <c r="S713" s="2"/>
      <c r="T713" s="5"/>
    </row>
    <row r="714" customFormat="false" ht="15.75" hidden="false" customHeight="false" outlineLevel="0" collapsed="false">
      <c r="A714" s="4"/>
      <c r="B714" s="2"/>
      <c r="C714" s="2"/>
      <c r="D714" s="2"/>
      <c r="E714" s="2"/>
      <c r="F714" s="3" t="str">
        <f aca="false">IFERROR(__xludf.dummyfunction("if($T714&lt;&gt;"""",REGEXEXTRACT(SUBSTITUTE ($T714,F$1&amp;"" CE"",""""), F$1&amp;""[\w &amp;]*, (\d+\.\d+)""),"""")
"),"")</f>
        <v/>
      </c>
      <c r="G714" s="3" t="str">
        <f aca="false">IFERROR(__xludf.dummyfunction("if($T714&lt;&gt;"""",REGEXEXTRACT($T714, G$1&amp;""[\w &amp;]*, (\d+\.\d+)""),"""")
"),"")</f>
        <v/>
      </c>
      <c r="H714" s="3"/>
      <c r="I714" s="3" t="str">
        <f aca="false">IFERROR(__xludf.dummyfunction("if($T714&lt;&gt;"""",REGEXEXTRACT(SUBSTITUTE ($T714,I$1&amp;"" CE"",""""), I$1&amp;""[\w &amp;]*, (\d+\.\d+)""),"""")
"),"")</f>
        <v/>
      </c>
      <c r="J714" s="3" t="str">
        <f aca="false">IFERROR(__xludf.dummyfunction("if($T714&lt;&gt;"""",REGEXEXTRACT($T714, J$1&amp;""[\w &amp;]*, (\d+\.\d+)""),"""")
"),"")</f>
        <v/>
      </c>
      <c r="K714" s="3"/>
      <c r="L714" s="3" t="str">
        <f aca="false">IFERROR(__xludf.dummyfunction("if($T714&lt;&gt;"""",REGEXEXTRACT(SUBSTITUTE ($T714,L$1&amp;"" CE"",""""), L$1&amp;""[\w &amp;]*, (\d+\.\d+)""),"""")
"),"")</f>
        <v/>
      </c>
      <c r="M714" s="3" t="str">
        <f aca="false">IFERROR(__xludf.dummyfunction("if($T714&lt;&gt;"""",REGEXEXTRACT($T714, M$1&amp;""[\w &amp;]*, (\d+\.\d+)""),"""")
"),"")</f>
        <v/>
      </c>
      <c r="N714" s="3" t="str">
        <f aca="false">IFERROR(__xludf.dummyfunction("if($T714&lt;&gt;"""",REGEXEXTRACT(SUBSTITUTE ($T714,N$1&amp;"" CE"",""""), N$1&amp;""[\w &amp;]*, (\d+\.\d+)""),"""")
"),"")</f>
        <v/>
      </c>
      <c r="O714" s="3" t="str">
        <f aca="false">IFERROR(__xludf.dummyfunction("if($T714&lt;&gt;"""",REGEXEXTRACT($T714, O$1&amp;""[\w &amp;]*, (\d+\.\d+)""),"""")
"),"")</f>
        <v/>
      </c>
      <c r="P714" s="2"/>
      <c r="Q714" s="2"/>
      <c r="R714" s="2"/>
      <c r="S714" s="2"/>
      <c r="T714" s="5"/>
    </row>
    <row r="715" customFormat="false" ht="15.75" hidden="false" customHeight="false" outlineLevel="0" collapsed="false">
      <c r="A715" s="4"/>
      <c r="B715" s="2"/>
      <c r="C715" s="2"/>
      <c r="D715" s="2"/>
      <c r="E715" s="2"/>
      <c r="F715" s="3" t="str">
        <f aca="false">IFERROR(__xludf.dummyfunction("if($T715&lt;&gt;"""",REGEXEXTRACT(SUBSTITUTE ($T715,F$1&amp;"" CE"",""""), F$1&amp;""[\w &amp;]*, (\d+\.\d+)""),"""")
"),"")</f>
        <v/>
      </c>
      <c r="G715" s="3" t="str">
        <f aca="false">IFERROR(__xludf.dummyfunction("if($T715&lt;&gt;"""",REGEXEXTRACT($T715, G$1&amp;""[\w &amp;]*, (\d+\.\d+)""),"""")
"),"")</f>
        <v/>
      </c>
      <c r="H715" s="3"/>
      <c r="I715" s="3" t="str">
        <f aca="false">IFERROR(__xludf.dummyfunction("if($T715&lt;&gt;"""",REGEXEXTRACT(SUBSTITUTE ($T715,I$1&amp;"" CE"",""""), I$1&amp;""[\w &amp;]*, (\d+\.\d+)""),"""")
"),"")</f>
        <v/>
      </c>
      <c r="J715" s="3" t="str">
        <f aca="false">IFERROR(__xludf.dummyfunction("if($T715&lt;&gt;"""",REGEXEXTRACT($T715, J$1&amp;""[\w &amp;]*, (\d+\.\d+)""),"""")
"),"")</f>
        <v/>
      </c>
      <c r="K715" s="3"/>
      <c r="L715" s="3" t="str">
        <f aca="false">IFERROR(__xludf.dummyfunction("if($T715&lt;&gt;"""",REGEXEXTRACT(SUBSTITUTE ($T715,L$1&amp;"" CE"",""""), L$1&amp;""[\w &amp;]*, (\d+\.\d+)""),"""")
"),"")</f>
        <v/>
      </c>
      <c r="M715" s="3" t="str">
        <f aca="false">IFERROR(__xludf.dummyfunction("if($T715&lt;&gt;"""",REGEXEXTRACT($T715, M$1&amp;""[\w &amp;]*, (\d+\.\d+)""),"""")
"),"")</f>
        <v/>
      </c>
      <c r="N715" s="3" t="str">
        <f aca="false">IFERROR(__xludf.dummyfunction("if($T715&lt;&gt;"""",REGEXEXTRACT(SUBSTITUTE ($T715,N$1&amp;"" CE"",""""), N$1&amp;""[\w &amp;]*, (\d+\.\d+)""),"""")
"),"")</f>
        <v/>
      </c>
      <c r="O715" s="3" t="str">
        <f aca="false">IFERROR(__xludf.dummyfunction("if($T715&lt;&gt;"""",REGEXEXTRACT($T715, O$1&amp;""[\w &amp;]*, (\d+\.\d+)""),"""")
"),"")</f>
        <v/>
      </c>
      <c r="P715" s="2"/>
      <c r="Q715" s="2"/>
      <c r="R715" s="2"/>
      <c r="S715" s="2"/>
      <c r="T715" s="5"/>
    </row>
    <row r="716" customFormat="false" ht="15.75" hidden="false" customHeight="false" outlineLevel="0" collapsed="false">
      <c r="A716" s="4"/>
      <c r="B716" s="2"/>
      <c r="C716" s="2"/>
      <c r="D716" s="2"/>
      <c r="E716" s="2"/>
      <c r="F716" s="3" t="str">
        <f aca="false">IFERROR(__xludf.dummyfunction("if($T716&lt;&gt;"""",REGEXEXTRACT(SUBSTITUTE ($T716,F$1&amp;"" CE"",""""), F$1&amp;""[\w &amp;]*, (\d+\.\d+)""),"""")
"),"")</f>
        <v/>
      </c>
      <c r="G716" s="3" t="str">
        <f aca="false">IFERROR(__xludf.dummyfunction("if($T716&lt;&gt;"""",REGEXEXTRACT($T716, G$1&amp;""[\w &amp;]*, (\d+\.\d+)""),"""")
"),"")</f>
        <v/>
      </c>
      <c r="H716" s="3"/>
      <c r="I716" s="3" t="str">
        <f aca="false">IFERROR(__xludf.dummyfunction("if($T716&lt;&gt;"""",REGEXEXTRACT(SUBSTITUTE ($T716,I$1&amp;"" CE"",""""), I$1&amp;""[\w &amp;]*, (\d+\.\d+)""),"""")
"),"")</f>
        <v/>
      </c>
      <c r="J716" s="3" t="str">
        <f aca="false">IFERROR(__xludf.dummyfunction("if($T716&lt;&gt;"""",REGEXEXTRACT($T716, J$1&amp;""[\w &amp;]*, (\d+\.\d+)""),"""")
"),"")</f>
        <v/>
      </c>
      <c r="K716" s="3"/>
      <c r="L716" s="3" t="str">
        <f aca="false">IFERROR(__xludf.dummyfunction("if($T716&lt;&gt;"""",REGEXEXTRACT(SUBSTITUTE ($T716,L$1&amp;"" CE"",""""), L$1&amp;""[\w &amp;]*, (\d+\.\d+)""),"""")
"),"")</f>
        <v/>
      </c>
      <c r="M716" s="3" t="str">
        <f aca="false">IFERROR(__xludf.dummyfunction("if($T716&lt;&gt;"""",REGEXEXTRACT($T716, M$1&amp;""[\w &amp;]*, (\d+\.\d+)""),"""")
"),"")</f>
        <v/>
      </c>
      <c r="N716" s="3" t="str">
        <f aca="false">IFERROR(__xludf.dummyfunction("if($T716&lt;&gt;"""",REGEXEXTRACT(SUBSTITUTE ($T716,N$1&amp;"" CE"",""""), N$1&amp;""[\w &amp;]*, (\d+\.\d+)""),"""")
"),"")</f>
        <v/>
      </c>
      <c r="O716" s="3" t="str">
        <f aca="false">IFERROR(__xludf.dummyfunction("if($T716&lt;&gt;"""",REGEXEXTRACT($T716, O$1&amp;""[\w &amp;]*, (\d+\.\d+)""),"""")
"),"")</f>
        <v/>
      </c>
      <c r="P716" s="2"/>
      <c r="Q716" s="2"/>
      <c r="R716" s="2"/>
      <c r="S716" s="2"/>
      <c r="T716" s="5"/>
    </row>
    <row r="717" customFormat="false" ht="15.75" hidden="false" customHeight="false" outlineLevel="0" collapsed="false">
      <c r="A717" s="4"/>
      <c r="B717" s="2"/>
      <c r="C717" s="2"/>
      <c r="D717" s="2"/>
      <c r="E717" s="2"/>
      <c r="F717" s="3" t="str">
        <f aca="false">IFERROR(__xludf.dummyfunction("if($T717&lt;&gt;"""",REGEXEXTRACT(SUBSTITUTE ($T717,F$1&amp;"" CE"",""""), F$1&amp;""[\w &amp;]*, (\d+\.\d+)""),"""")
"),"")</f>
        <v/>
      </c>
      <c r="G717" s="3" t="str">
        <f aca="false">IFERROR(__xludf.dummyfunction("if($T717&lt;&gt;"""",REGEXEXTRACT($T717, G$1&amp;""[\w &amp;]*, (\d+\.\d+)""),"""")
"),"")</f>
        <v/>
      </c>
      <c r="H717" s="3"/>
      <c r="I717" s="3" t="str">
        <f aca="false">IFERROR(__xludf.dummyfunction("if($T717&lt;&gt;"""",REGEXEXTRACT(SUBSTITUTE ($T717,I$1&amp;"" CE"",""""), I$1&amp;""[\w &amp;]*, (\d+\.\d+)""),"""")
"),"")</f>
        <v/>
      </c>
      <c r="J717" s="3" t="str">
        <f aca="false">IFERROR(__xludf.dummyfunction("if($T717&lt;&gt;"""",REGEXEXTRACT($T717, J$1&amp;""[\w &amp;]*, (\d+\.\d+)""),"""")
"),"")</f>
        <v/>
      </c>
      <c r="K717" s="3"/>
      <c r="L717" s="3" t="str">
        <f aca="false">IFERROR(__xludf.dummyfunction("if($T717&lt;&gt;"""",REGEXEXTRACT(SUBSTITUTE ($T717,L$1&amp;"" CE"",""""), L$1&amp;""[\w &amp;]*, (\d+\.\d+)""),"""")
"),"")</f>
        <v/>
      </c>
      <c r="M717" s="3" t="str">
        <f aca="false">IFERROR(__xludf.dummyfunction("if($T717&lt;&gt;"""",REGEXEXTRACT($T717, M$1&amp;""[\w &amp;]*, (\d+\.\d+)""),"""")
"),"")</f>
        <v/>
      </c>
      <c r="N717" s="3" t="str">
        <f aca="false">IFERROR(__xludf.dummyfunction("if($T717&lt;&gt;"""",REGEXEXTRACT(SUBSTITUTE ($T717,N$1&amp;"" CE"",""""), N$1&amp;""[\w &amp;]*, (\d+\.\d+)""),"""")
"),"")</f>
        <v/>
      </c>
      <c r="O717" s="3" t="str">
        <f aca="false">IFERROR(__xludf.dummyfunction("if($T717&lt;&gt;"""",REGEXEXTRACT($T717, O$1&amp;""[\w &amp;]*, (\d+\.\d+)""),"""")
"),"")</f>
        <v/>
      </c>
      <c r="P717" s="2"/>
      <c r="Q717" s="2"/>
      <c r="R717" s="2"/>
      <c r="S717" s="2"/>
      <c r="T717" s="5"/>
    </row>
    <row r="718" customFormat="false" ht="15.75" hidden="false" customHeight="false" outlineLevel="0" collapsed="false">
      <c r="A718" s="4"/>
      <c r="B718" s="2"/>
      <c r="C718" s="2"/>
      <c r="D718" s="2"/>
      <c r="E718" s="2"/>
      <c r="F718" s="3" t="str">
        <f aca="false">IFERROR(__xludf.dummyfunction("if($T718&lt;&gt;"""",REGEXEXTRACT(SUBSTITUTE ($T718,F$1&amp;"" CE"",""""), F$1&amp;""[\w &amp;]*, (\d+\.\d+)""),"""")
"),"")</f>
        <v/>
      </c>
      <c r="G718" s="3" t="str">
        <f aca="false">IFERROR(__xludf.dummyfunction("if($T718&lt;&gt;"""",REGEXEXTRACT($T718, G$1&amp;""[\w &amp;]*, (\d+\.\d+)""),"""")
"),"")</f>
        <v/>
      </c>
      <c r="H718" s="3"/>
      <c r="I718" s="3" t="str">
        <f aca="false">IFERROR(__xludf.dummyfunction("if($T718&lt;&gt;"""",REGEXEXTRACT(SUBSTITUTE ($T718,I$1&amp;"" CE"",""""), I$1&amp;""[\w &amp;]*, (\d+\.\d+)""),"""")
"),"")</f>
        <v/>
      </c>
      <c r="J718" s="3" t="str">
        <f aca="false">IFERROR(__xludf.dummyfunction("if($T718&lt;&gt;"""",REGEXEXTRACT($T718, J$1&amp;""[\w &amp;]*, (\d+\.\d+)""),"""")
"),"")</f>
        <v/>
      </c>
      <c r="K718" s="3"/>
      <c r="L718" s="3" t="str">
        <f aca="false">IFERROR(__xludf.dummyfunction("if($T718&lt;&gt;"""",REGEXEXTRACT(SUBSTITUTE ($T718,L$1&amp;"" CE"",""""), L$1&amp;""[\w &amp;]*, (\d+\.\d+)""),"""")
"),"")</f>
        <v/>
      </c>
      <c r="M718" s="3" t="str">
        <f aca="false">IFERROR(__xludf.dummyfunction("if($T718&lt;&gt;"""",REGEXEXTRACT($T718, M$1&amp;""[\w &amp;]*, (\d+\.\d+)""),"""")
"),"")</f>
        <v/>
      </c>
      <c r="N718" s="3" t="str">
        <f aca="false">IFERROR(__xludf.dummyfunction("if($T718&lt;&gt;"""",REGEXEXTRACT(SUBSTITUTE ($T718,N$1&amp;"" CE"",""""), N$1&amp;""[\w &amp;]*, (\d+\.\d+)""),"""")
"),"")</f>
        <v/>
      </c>
      <c r="O718" s="3" t="str">
        <f aca="false">IFERROR(__xludf.dummyfunction("if($T718&lt;&gt;"""",REGEXEXTRACT($T718, O$1&amp;""[\w &amp;]*, (\d+\.\d+)""),"""")
"),"")</f>
        <v/>
      </c>
      <c r="P718" s="2"/>
      <c r="Q718" s="2"/>
      <c r="R718" s="2"/>
      <c r="S718" s="2"/>
      <c r="T718" s="5"/>
    </row>
    <row r="719" customFormat="false" ht="15.75" hidden="false" customHeight="false" outlineLevel="0" collapsed="false">
      <c r="A719" s="4"/>
      <c r="B719" s="2"/>
      <c r="C719" s="2"/>
      <c r="D719" s="2"/>
      <c r="E719" s="2"/>
      <c r="F719" s="3" t="str">
        <f aca="false">IFERROR(__xludf.dummyfunction("if($T719&lt;&gt;"""",REGEXEXTRACT(SUBSTITUTE ($T719,F$1&amp;"" CE"",""""), F$1&amp;""[\w &amp;]*, (\d+\.\d+)""),"""")
"),"")</f>
        <v/>
      </c>
      <c r="G719" s="3" t="str">
        <f aca="false">IFERROR(__xludf.dummyfunction("if($T719&lt;&gt;"""",REGEXEXTRACT($T719, G$1&amp;""[\w &amp;]*, (\d+\.\d+)""),"""")
"),"")</f>
        <v/>
      </c>
      <c r="H719" s="3"/>
      <c r="I719" s="3" t="str">
        <f aca="false">IFERROR(__xludf.dummyfunction("if($T719&lt;&gt;"""",REGEXEXTRACT(SUBSTITUTE ($T719,I$1&amp;"" CE"",""""), I$1&amp;""[\w &amp;]*, (\d+\.\d+)""),"""")
"),"")</f>
        <v/>
      </c>
      <c r="J719" s="3" t="str">
        <f aca="false">IFERROR(__xludf.dummyfunction("if($T719&lt;&gt;"""",REGEXEXTRACT($T719, J$1&amp;""[\w &amp;]*, (\d+\.\d+)""),"""")
"),"")</f>
        <v/>
      </c>
      <c r="K719" s="3"/>
      <c r="L719" s="3" t="str">
        <f aca="false">IFERROR(__xludf.dummyfunction("if($T719&lt;&gt;"""",REGEXEXTRACT(SUBSTITUTE ($T719,L$1&amp;"" CE"",""""), L$1&amp;""[\w &amp;]*, (\d+\.\d+)""),"""")
"),"")</f>
        <v/>
      </c>
      <c r="M719" s="3" t="str">
        <f aca="false">IFERROR(__xludf.dummyfunction("if($T719&lt;&gt;"""",REGEXEXTRACT($T719, M$1&amp;""[\w &amp;]*, (\d+\.\d+)""),"""")
"),"")</f>
        <v/>
      </c>
      <c r="N719" s="3" t="str">
        <f aca="false">IFERROR(__xludf.dummyfunction("if($T719&lt;&gt;"""",REGEXEXTRACT(SUBSTITUTE ($T719,N$1&amp;"" CE"",""""), N$1&amp;""[\w &amp;]*, (\d+\.\d+)""),"""")
"),"")</f>
        <v/>
      </c>
      <c r="O719" s="3" t="str">
        <f aca="false">IFERROR(__xludf.dummyfunction("if($T719&lt;&gt;"""",REGEXEXTRACT($T719, O$1&amp;""[\w &amp;]*, (\d+\.\d+)""),"""")
"),"")</f>
        <v/>
      </c>
      <c r="P719" s="2"/>
      <c r="Q719" s="2"/>
      <c r="R719" s="2"/>
      <c r="S719" s="2"/>
      <c r="T719" s="5"/>
    </row>
    <row r="720" customFormat="false" ht="15.75" hidden="false" customHeight="false" outlineLevel="0" collapsed="false">
      <c r="A720" s="4"/>
      <c r="B720" s="2"/>
      <c r="C720" s="2"/>
      <c r="D720" s="2"/>
      <c r="E720" s="2"/>
      <c r="F720" s="3" t="str">
        <f aca="false">IFERROR(__xludf.dummyfunction("if($T720&lt;&gt;"""",REGEXEXTRACT(SUBSTITUTE ($T720,F$1&amp;"" CE"",""""), F$1&amp;""[\w &amp;]*, (\d+\.\d+)""),"""")
"),"")</f>
        <v/>
      </c>
      <c r="G720" s="3" t="str">
        <f aca="false">IFERROR(__xludf.dummyfunction("if($T720&lt;&gt;"""",REGEXEXTRACT($T720, G$1&amp;""[\w &amp;]*, (\d+\.\d+)""),"""")
"),"")</f>
        <v/>
      </c>
      <c r="H720" s="3"/>
      <c r="I720" s="3" t="str">
        <f aca="false">IFERROR(__xludf.dummyfunction("if($T720&lt;&gt;"""",REGEXEXTRACT(SUBSTITUTE ($T720,I$1&amp;"" CE"",""""), I$1&amp;""[\w &amp;]*, (\d+\.\d+)""),"""")
"),"")</f>
        <v/>
      </c>
      <c r="J720" s="3" t="str">
        <f aca="false">IFERROR(__xludf.dummyfunction("if($T720&lt;&gt;"""",REGEXEXTRACT($T720, J$1&amp;""[\w &amp;]*, (\d+\.\d+)""),"""")
"),"")</f>
        <v/>
      </c>
      <c r="K720" s="3"/>
      <c r="L720" s="3" t="str">
        <f aca="false">IFERROR(__xludf.dummyfunction("if($T720&lt;&gt;"""",REGEXEXTRACT(SUBSTITUTE ($T720,L$1&amp;"" CE"",""""), L$1&amp;""[\w &amp;]*, (\d+\.\d+)""),"""")
"),"")</f>
        <v/>
      </c>
      <c r="M720" s="3" t="str">
        <f aca="false">IFERROR(__xludf.dummyfunction("if($T720&lt;&gt;"""",REGEXEXTRACT($T720, M$1&amp;""[\w &amp;]*, (\d+\.\d+)""),"""")
"),"")</f>
        <v/>
      </c>
      <c r="N720" s="3" t="str">
        <f aca="false">IFERROR(__xludf.dummyfunction("if($T720&lt;&gt;"""",REGEXEXTRACT(SUBSTITUTE ($T720,N$1&amp;"" CE"",""""), N$1&amp;""[\w &amp;]*, (\d+\.\d+)""),"""")
"),"")</f>
        <v/>
      </c>
      <c r="O720" s="3" t="str">
        <f aca="false">IFERROR(__xludf.dummyfunction("if($T720&lt;&gt;"""",REGEXEXTRACT($T720, O$1&amp;""[\w &amp;]*, (\d+\.\d+)""),"""")
"),"")</f>
        <v/>
      </c>
      <c r="P720" s="2"/>
      <c r="Q720" s="2"/>
      <c r="R720" s="2"/>
      <c r="S720" s="2"/>
      <c r="T720" s="5"/>
    </row>
    <row r="721" customFormat="false" ht="15.75" hidden="false" customHeight="false" outlineLevel="0" collapsed="false">
      <c r="A721" s="4"/>
      <c r="B721" s="2"/>
      <c r="C721" s="2"/>
      <c r="D721" s="2"/>
      <c r="E721" s="2"/>
      <c r="F721" s="3" t="str">
        <f aca="false">IFERROR(__xludf.dummyfunction("if($T721&lt;&gt;"""",REGEXEXTRACT(SUBSTITUTE ($T721,F$1&amp;"" CE"",""""), F$1&amp;""[\w &amp;]*, (\d+\.\d+)""),"""")
"),"")</f>
        <v/>
      </c>
      <c r="G721" s="3" t="str">
        <f aca="false">IFERROR(__xludf.dummyfunction("if($T721&lt;&gt;"""",REGEXEXTRACT($T721, G$1&amp;""[\w &amp;]*, (\d+\.\d+)""),"""")
"),"")</f>
        <v/>
      </c>
      <c r="H721" s="3"/>
      <c r="I721" s="3" t="str">
        <f aca="false">IFERROR(__xludf.dummyfunction("if($T721&lt;&gt;"""",REGEXEXTRACT(SUBSTITUTE ($T721,I$1&amp;"" CE"",""""), I$1&amp;""[\w &amp;]*, (\d+\.\d+)""),"""")
"),"")</f>
        <v/>
      </c>
      <c r="J721" s="3" t="str">
        <f aca="false">IFERROR(__xludf.dummyfunction("if($T721&lt;&gt;"""",REGEXEXTRACT($T721, J$1&amp;""[\w &amp;]*, (\d+\.\d+)""),"""")
"),"")</f>
        <v/>
      </c>
      <c r="K721" s="3"/>
      <c r="L721" s="3" t="str">
        <f aca="false">IFERROR(__xludf.dummyfunction("if($T721&lt;&gt;"""",REGEXEXTRACT(SUBSTITUTE ($T721,L$1&amp;"" CE"",""""), L$1&amp;""[\w &amp;]*, (\d+\.\d+)""),"""")
"),"")</f>
        <v/>
      </c>
      <c r="M721" s="3" t="str">
        <f aca="false">IFERROR(__xludf.dummyfunction("if($T721&lt;&gt;"""",REGEXEXTRACT($T721, M$1&amp;""[\w &amp;]*, (\d+\.\d+)""),"""")
"),"")</f>
        <v/>
      </c>
      <c r="N721" s="3" t="str">
        <f aca="false">IFERROR(__xludf.dummyfunction("if($T721&lt;&gt;"""",REGEXEXTRACT(SUBSTITUTE ($T721,N$1&amp;"" CE"",""""), N$1&amp;""[\w &amp;]*, (\d+\.\d+)""),"""")
"),"")</f>
        <v/>
      </c>
      <c r="O721" s="3" t="str">
        <f aca="false">IFERROR(__xludf.dummyfunction("if($T721&lt;&gt;"""",REGEXEXTRACT($T721, O$1&amp;""[\w &amp;]*, (\d+\.\d+)""),"""")
"),"")</f>
        <v/>
      </c>
      <c r="P721" s="2"/>
      <c r="Q721" s="2"/>
      <c r="R721" s="2"/>
      <c r="S721" s="2"/>
      <c r="T721" s="5"/>
    </row>
    <row r="722" customFormat="false" ht="15.75" hidden="false" customHeight="false" outlineLevel="0" collapsed="false">
      <c r="A722" s="4"/>
      <c r="B722" s="2"/>
      <c r="C722" s="2"/>
      <c r="D722" s="2"/>
      <c r="E722" s="2"/>
      <c r="F722" s="3" t="str">
        <f aca="false">IFERROR(__xludf.dummyfunction("if($T722&lt;&gt;"""",REGEXEXTRACT(SUBSTITUTE ($T722,F$1&amp;"" CE"",""""), F$1&amp;""[\w &amp;]*, (\d+\.\d+)""),"""")
"),"")</f>
        <v/>
      </c>
      <c r="G722" s="3" t="str">
        <f aca="false">IFERROR(__xludf.dummyfunction("if($T722&lt;&gt;"""",REGEXEXTRACT($T722, G$1&amp;""[\w &amp;]*, (\d+\.\d+)""),"""")
"),"")</f>
        <v/>
      </c>
      <c r="H722" s="3"/>
      <c r="I722" s="3" t="str">
        <f aca="false">IFERROR(__xludf.dummyfunction("if($T722&lt;&gt;"""",REGEXEXTRACT(SUBSTITUTE ($T722,I$1&amp;"" CE"",""""), I$1&amp;""[\w &amp;]*, (\d+\.\d+)""),"""")
"),"")</f>
        <v/>
      </c>
      <c r="J722" s="3" t="str">
        <f aca="false">IFERROR(__xludf.dummyfunction("if($T722&lt;&gt;"""",REGEXEXTRACT($T722, J$1&amp;""[\w &amp;]*, (\d+\.\d+)""),"""")
"),"")</f>
        <v/>
      </c>
      <c r="K722" s="3"/>
      <c r="L722" s="3" t="str">
        <f aca="false">IFERROR(__xludf.dummyfunction("if($T722&lt;&gt;"""",REGEXEXTRACT(SUBSTITUTE ($T722,L$1&amp;"" CE"",""""), L$1&amp;""[\w &amp;]*, (\d+\.\d+)""),"""")
"),"")</f>
        <v/>
      </c>
      <c r="M722" s="3" t="str">
        <f aca="false">IFERROR(__xludf.dummyfunction("if($T722&lt;&gt;"""",REGEXEXTRACT($T722, M$1&amp;""[\w &amp;]*, (\d+\.\d+)""),"""")
"),"")</f>
        <v/>
      </c>
      <c r="N722" s="3" t="str">
        <f aca="false">IFERROR(__xludf.dummyfunction("if($T722&lt;&gt;"""",REGEXEXTRACT(SUBSTITUTE ($T722,N$1&amp;"" CE"",""""), N$1&amp;""[\w &amp;]*, (\d+\.\d+)""),"""")
"),"")</f>
        <v/>
      </c>
      <c r="O722" s="3" t="str">
        <f aca="false">IFERROR(__xludf.dummyfunction("if($T722&lt;&gt;"""",REGEXEXTRACT($T722, O$1&amp;""[\w &amp;]*, (\d+\.\d+)""),"""")
"),"")</f>
        <v/>
      </c>
      <c r="P722" s="2"/>
      <c r="Q722" s="2"/>
      <c r="R722" s="2"/>
      <c r="S722" s="2"/>
      <c r="T722" s="5"/>
    </row>
    <row r="723" customFormat="false" ht="15.75" hidden="false" customHeight="false" outlineLevel="0" collapsed="false">
      <c r="A723" s="4"/>
      <c r="B723" s="2"/>
      <c r="C723" s="2"/>
      <c r="D723" s="2"/>
      <c r="E723" s="2"/>
      <c r="F723" s="3" t="str">
        <f aca="false">IFERROR(__xludf.dummyfunction("if($T723&lt;&gt;"""",REGEXEXTRACT(SUBSTITUTE ($T723,F$1&amp;"" CE"",""""), F$1&amp;""[\w &amp;]*, (\d+\.\d+)""),"""")
"),"")</f>
        <v/>
      </c>
      <c r="G723" s="3" t="str">
        <f aca="false">IFERROR(__xludf.dummyfunction("if($T723&lt;&gt;"""",REGEXEXTRACT($T723, G$1&amp;""[\w &amp;]*, (\d+\.\d+)""),"""")
"),"")</f>
        <v/>
      </c>
      <c r="H723" s="3"/>
      <c r="I723" s="3" t="str">
        <f aca="false">IFERROR(__xludf.dummyfunction("if($T723&lt;&gt;"""",REGEXEXTRACT(SUBSTITUTE ($T723,I$1&amp;"" CE"",""""), I$1&amp;""[\w &amp;]*, (\d+\.\d+)""),"""")
"),"")</f>
        <v/>
      </c>
      <c r="J723" s="3" t="str">
        <f aca="false">IFERROR(__xludf.dummyfunction("if($T723&lt;&gt;"""",REGEXEXTRACT($T723, J$1&amp;""[\w &amp;]*, (\d+\.\d+)""),"""")
"),"")</f>
        <v/>
      </c>
      <c r="K723" s="3"/>
      <c r="L723" s="3" t="str">
        <f aca="false">IFERROR(__xludf.dummyfunction("if($T723&lt;&gt;"""",REGEXEXTRACT(SUBSTITUTE ($T723,L$1&amp;"" CE"",""""), L$1&amp;""[\w &amp;]*, (\d+\.\d+)""),"""")
"),"")</f>
        <v/>
      </c>
      <c r="M723" s="3" t="str">
        <f aca="false">IFERROR(__xludf.dummyfunction("if($T723&lt;&gt;"""",REGEXEXTRACT($T723, M$1&amp;""[\w &amp;]*, (\d+\.\d+)""),"""")
"),"")</f>
        <v/>
      </c>
      <c r="N723" s="3" t="str">
        <f aca="false">IFERROR(__xludf.dummyfunction("if($T723&lt;&gt;"""",REGEXEXTRACT(SUBSTITUTE ($T723,N$1&amp;"" CE"",""""), N$1&amp;""[\w &amp;]*, (\d+\.\d+)""),"""")
"),"")</f>
        <v/>
      </c>
      <c r="O723" s="3" t="str">
        <f aca="false">IFERROR(__xludf.dummyfunction("if($T723&lt;&gt;"""",REGEXEXTRACT($T723, O$1&amp;""[\w &amp;]*, (\d+\.\d+)""),"""")
"),"")</f>
        <v/>
      </c>
      <c r="P723" s="2"/>
      <c r="Q723" s="2"/>
      <c r="R723" s="2"/>
      <c r="S723" s="2"/>
      <c r="T723" s="5"/>
    </row>
    <row r="724" customFormat="false" ht="15.75" hidden="false" customHeight="false" outlineLevel="0" collapsed="false">
      <c r="A724" s="4"/>
      <c r="B724" s="2"/>
      <c r="C724" s="2"/>
      <c r="D724" s="2"/>
      <c r="E724" s="2"/>
      <c r="F724" s="3" t="str">
        <f aca="false">IFERROR(__xludf.dummyfunction("if($T724&lt;&gt;"""",REGEXEXTRACT(SUBSTITUTE ($T724,F$1&amp;"" CE"",""""), F$1&amp;""[\w &amp;]*, (\d+\.\d+)""),"""")
"),"")</f>
        <v/>
      </c>
      <c r="G724" s="3" t="str">
        <f aca="false">IFERROR(__xludf.dummyfunction("if($T724&lt;&gt;"""",REGEXEXTRACT($T724, G$1&amp;""[\w &amp;]*, (\d+\.\d+)""),"""")
"),"")</f>
        <v/>
      </c>
      <c r="H724" s="3"/>
      <c r="I724" s="3" t="str">
        <f aca="false">IFERROR(__xludf.dummyfunction("if($T724&lt;&gt;"""",REGEXEXTRACT(SUBSTITUTE ($T724,I$1&amp;"" CE"",""""), I$1&amp;""[\w &amp;]*, (\d+\.\d+)""),"""")
"),"")</f>
        <v/>
      </c>
      <c r="J724" s="3" t="str">
        <f aca="false">IFERROR(__xludf.dummyfunction("if($T724&lt;&gt;"""",REGEXEXTRACT($T724, J$1&amp;""[\w &amp;]*, (\d+\.\d+)""),"""")
"),"")</f>
        <v/>
      </c>
      <c r="K724" s="3"/>
      <c r="L724" s="3" t="str">
        <f aca="false">IFERROR(__xludf.dummyfunction("if($T724&lt;&gt;"""",REGEXEXTRACT(SUBSTITUTE ($T724,L$1&amp;"" CE"",""""), L$1&amp;""[\w &amp;]*, (\d+\.\d+)""),"""")
"),"")</f>
        <v/>
      </c>
      <c r="M724" s="3" t="str">
        <f aca="false">IFERROR(__xludf.dummyfunction("if($T724&lt;&gt;"""",REGEXEXTRACT($T724, M$1&amp;""[\w &amp;]*, (\d+\.\d+)""),"""")
"),"")</f>
        <v/>
      </c>
      <c r="N724" s="3" t="str">
        <f aca="false">IFERROR(__xludf.dummyfunction("if($T724&lt;&gt;"""",REGEXEXTRACT(SUBSTITUTE ($T724,N$1&amp;"" CE"",""""), N$1&amp;""[\w &amp;]*, (\d+\.\d+)""),"""")
"),"")</f>
        <v/>
      </c>
      <c r="O724" s="3" t="str">
        <f aca="false">IFERROR(__xludf.dummyfunction("if($T724&lt;&gt;"""",REGEXEXTRACT($T724, O$1&amp;""[\w &amp;]*, (\d+\.\d+)""),"""")
"),"")</f>
        <v/>
      </c>
      <c r="P724" s="2"/>
      <c r="Q724" s="2"/>
      <c r="R724" s="2"/>
      <c r="S724" s="2"/>
      <c r="T724" s="5"/>
    </row>
    <row r="725" customFormat="false" ht="15.75" hidden="false" customHeight="false" outlineLevel="0" collapsed="false">
      <c r="A725" s="4"/>
      <c r="B725" s="2"/>
      <c r="C725" s="2"/>
      <c r="D725" s="2"/>
      <c r="E725" s="2"/>
      <c r="F725" s="3" t="str">
        <f aca="false">IFERROR(__xludf.dummyfunction("if($T725&lt;&gt;"""",REGEXEXTRACT(SUBSTITUTE ($T725,F$1&amp;"" CE"",""""), F$1&amp;""[\w &amp;]*, (\d+\.\d+)""),"""")
"),"")</f>
        <v/>
      </c>
      <c r="G725" s="3" t="str">
        <f aca="false">IFERROR(__xludf.dummyfunction("if($T725&lt;&gt;"""",REGEXEXTRACT($T725, G$1&amp;""[\w &amp;]*, (\d+\.\d+)""),"""")
"),"")</f>
        <v/>
      </c>
      <c r="H725" s="3"/>
      <c r="I725" s="3" t="str">
        <f aca="false">IFERROR(__xludf.dummyfunction("if($T725&lt;&gt;"""",REGEXEXTRACT(SUBSTITUTE ($T725,I$1&amp;"" CE"",""""), I$1&amp;""[\w &amp;]*, (\d+\.\d+)""),"""")
"),"")</f>
        <v/>
      </c>
      <c r="J725" s="3" t="str">
        <f aca="false">IFERROR(__xludf.dummyfunction("if($T725&lt;&gt;"""",REGEXEXTRACT($T725, J$1&amp;""[\w &amp;]*, (\d+\.\d+)""),"""")
"),"")</f>
        <v/>
      </c>
      <c r="K725" s="3"/>
      <c r="L725" s="3" t="str">
        <f aca="false">IFERROR(__xludf.dummyfunction("if($T725&lt;&gt;"""",REGEXEXTRACT(SUBSTITUTE ($T725,L$1&amp;"" CE"",""""), L$1&amp;""[\w &amp;]*, (\d+\.\d+)""),"""")
"),"")</f>
        <v/>
      </c>
      <c r="M725" s="3" t="str">
        <f aca="false">IFERROR(__xludf.dummyfunction("if($T725&lt;&gt;"""",REGEXEXTRACT($T725, M$1&amp;""[\w &amp;]*, (\d+\.\d+)""),"""")
"),"")</f>
        <v/>
      </c>
      <c r="N725" s="3" t="str">
        <f aca="false">IFERROR(__xludf.dummyfunction("if($T725&lt;&gt;"""",REGEXEXTRACT(SUBSTITUTE ($T725,N$1&amp;"" CE"",""""), N$1&amp;""[\w &amp;]*, (\d+\.\d+)""),"""")
"),"")</f>
        <v/>
      </c>
      <c r="O725" s="3" t="str">
        <f aca="false">IFERROR(__xludf.dummyfunction("if($T725&lt;&gt;"""",REGEXEXTRACT($T725, O$1&amp;""[\w &amp;]*, (\d+\.\d+)""),"""")
"),"")</f>
        <v/>
      </c>
      <c r="P725" s="2"/>
      <c r="Q725" s="2"/>
      <c r="R725" s="2"/>
      <c r="S725" s="2"/>
      <c r="T725" s="5"/>
    </row>
    <row r="726" customFormat="false" ht="15.75" hidden="false" customHeight="false" outlineLevel="0" collapsed="false">
      <c r="A726" s="4"/>
      <c r="B726" s="2"/>
      <c r="C726" s="2"/>
      <c r="D726" s="2"/>
      <c r="E726" s="2"/>
      <c r="F726" s="3" t="str">
        <f aca="false">IFERROR(__xludf.dummyfunction("if($T726&lt;&gt;"""",REGEXEXTRACT(SUBSTITUTE ($T726,F$1&amp;"" CE"",""""), F$1&amp;""[\w &amp;]*, (\d+\.\d+)""),"""")
"),"")</f>
        <v/>
      </c>
      <c r="G726" s="3" t="str">
        <f aca="false">IFERROR(__xludf.dummyfunction("if($T726&lt;&gt;"""",REGEXEXTRACT($T726, G$1&amp;""[\w &amp;]*, (\d+\.\d+)""),"""")
"),"")</f>
        <v/>
      </c>
      <c r="H726" s="3"/>
      <c r="I726" s="3" t="str">
        <f aca="false">IFERROR(__xludf.dummyfunction("if($T726&lt;&gt;"""",REGEXEXTRACT(SUBSTITUTE ($T726,I$1&amp;"" CE"",""""), I$1&amp;""[\w &amp;]*, (\d+\.\d+)""),"""")
"),"")</f>
        <v/>
      </c>
      <c r="J726" s="3" t="str">
        <f aca="false">IFERROR(__xludf.dummyfunction("if($T726&lt;&gt;"""",REGEXEXTRACT($T726, J$1&amp;""[\w &amp;]*, (\d+\.\d+)""),"""")
"),"")</f>
        <v/>
      </c>
      <c r="K726" s="3"/>
      <c r="L726" s="3" t="str">
        <f aca="false">IFERROR(__xludf.dummyfunction("if($T726&lt;&gt;"""",REGEXEXTRACT(SUBSTITUTE ($T726,L$1&amp;"" CE"",""""), L$1&amp;""[\w &amp;]*, (\d+\.\d+)""),"""")
"),"")</f>
        <v/>
      </c>
      <c r="M726" s="3" t="str">
        <f aca="false">IFERROR(__xludf.dummyfunction("if($T726&lt;&gt;"""",REGEXEXTRACT($T726, M$1&amp;""[\w &amp;]*, (\d+\.\d+)""),"""")
"),"")</f>
        <v/>
      </c>
      <c r="N726" s="3" t="str">
        <f aca="false">IFERROR(__xludf.dummyfunction("if($T726&lt;&gt;"""",REGEXEXTRACT(SUBSTITUTE ($T726,N$1&amp;"" CE"",""""), N$1&amp;""[\w &amp;]*, (\d+\.\d+)""),"""")
"),"")</f>
        <v/>
      </c>
      <c r="O726" s="3" t="str">
        <f aca="false">IFERROR(__xludf.dummyfunction("if($T726&lt;&gt;"""",REGEXEXTRACT($T726, O$1&amp;""[\w &amp;]*, (\d+\.\d+)""),"""")
"),"")</f>
        <v/>
      </c>
      <c r="P726" s="2"/>
      <c r="Q726" s="2"/>
      <c r="R726" s="2"/>
      <c r="S726" s="2"/>
      <c r="T726" s="5"/>
    </row>
    <row r="727" customFormat="false" ht="15.75" hidden="false" customHeight="false" outlineLevel="0" collapsed="false">
      <c r="A727" s="4"/>
      <c r="B727" s="2"/>
      <c r="C727" s="2"/>
      <c r="D727" s="2"/>
      <c r="E727" s="2"/>
      <c r="F727" s="3" t="str">
        <f aca="false">IFERROR(__xludf.dummyfunction("if($T727&lt;&gt;"""",REGEXEXTRACT(SUBSTITUTE ($T727,F$1&amp;"" CE"",""""), F$1&amp;""[\w &amp;]*, (\d+\.\d+)""),"""")
"),"")</f>
        <v/>
      </c>
      <c r="G727" s="3" t="str">
        <f aca="false">IFERROR(__xludf.dummyfunction("if($T727&lt;&gt;"""",REGEXEXTRACT($T727, G$1&amp;""[\w &amp;]*, (\d+\.\d+)""),"""")
"),"")</f>
        <v/>
      </c>
      <c r="H727" s="3"/>
      <c r="I727" s="3" t="str">
        <f aca="false">IFERROR(__xludf.dummyfunction("if($T727&lt;&gt;"""",REGEXEXTRACT(SUBSTITUTE ($T727,I$1&amp;"" CE"",""""), I$1&amp;""[\w &amp;]*, (\d+\.\d+)""),"""")
"),"")</f>
        <v/>
      </c>
      <c r="J727" s="3" t="str">
        <f aca="false">IFERROR(__xludf.dummyfunction("if($T727&lt;&gt;"""",REGEXEXTRACT($T727, J$1&amp;""[\w &amp;]*, (\d+\.\d+)""),"""")
"),"")</f>
        <v/>
      </c>
      <c r="K727" s="3"/>
      <c r="L727" s="3" t="str">
        <f aca="false">IFERROR(__xludf.dummyfunction("if($T727&lt;&gt;"""",REGEXEXTRACT(SUBSTITUTE ($T727,L$1&amp;"" CE"",""""), L$1&amp;""[\w &amp;]*, (\d+\.\d+)""),"""")
"),"")</f>
        <v/>
      </c>
      <c r="M727" s="3" t="str">
        <f aca="false">IFERROR(__xludf.dummyfunction("if($T727&lt;&gt;"""",REGEXEXTRACT($T727, M$1&amp;""[\w &amp;]*, (\d+\.\d+)""),"""")
"),"")</f>
        <v/>
      </c>
      <c r="N727" s="3" t="str">
        <f aca="false">IFERROR(__xludf.dummyfunction("if($T727&lt;&gt;"""",REGEXEXTRACT(SUBSTITUTE ($T727,N$1&amp;"" CE"",""""), N$1&amp;""[\w &amp;]*, (\d+\.\d+)""),"""")
"),"")</f>
        <v/>
      </c>
      <c r="O727" s="3" t="str">
        <f aca="false">IFERROR(__xludf.dummyfunction("if($T727&lt;&gt;"""",REGEXEXTRACT($T727, O$1&amp;""[\w &amp;]*, (\d+\.\d+)""),"""")
"),"")</f>
        <v/>
      </c>
      <c r="P727" s="2"/>
      <c r="Q727" s="2"/>
      <c r="R727" s="2"/>
      <c r="S727" s="2"/>
      <c r="T727" s="5"/>
    </row>
    <row r="728" customFormat="false" ht="15.75" hidden="false" customHeight="false" outlineLevel="0" collapsed="false">
      <c r="A728" s="4"/>
      <c r="B728" s="2"/>
      <c r="C728" s="2"/>
      <c r="D728" s="2"/>
      <c r="E728" s="2"/>
      <c r="F728" s="3" t="str">
        <f aca="false">IFERROR(__xludf.dummyfunction("if($T728&lt;&gt;"""",REGEXEXTRACT(SUBSTITUTE ($T728,F$1&amp;"" CE"",""""), F$1&amp;""[\w &amp;]*, (\d+\.\d+)""),"""")
"),"")</f>
        <v/>
      </c>
      <c r="G728" s="3" t="str">
        <f aca="false">IFERROR(__xludf.dummyfunction("if($T728&lt;&gt;"""",REGEXEXTRACT($T728, G$1&amp;""[\w &amp;]*, (\d+\.\d+)""),"""")
"),"")</f>
        <v/>
      </c>
      <c r="H728" s="3"/>
      <c r="I728" s="3" t="str">
        <f aca="false">IFERROR(__xludf.dummyfunction("if($T728&lt;&gt;"""",REGEXEXTRACT(SUBSTITUTE ($T728,I$1&amp;"" CE"",""""), I$1&amp;""[\w &amp;]*, (\d+\.\d+)""),"""")
"),"")</f>
        <v/>
      </c>
      <c r="J728" s="3" t="str">
        <f aca="false">IFERROR(__xludf.dummyfunction("if($T728&lt;&gt;"""",REGEXEXTRACT($T728, J$1&amp;""[\w &amp;]*, (\d+\.\d+)""),"""")
"),"")</f>
        <v/>
      </c>
      <c r="K728" s="3"/>
      <c r="L728" s="3" t="str">
        <f aca="false">IFERROR(__xludf.dummyfunction("if($T728&lt;&gt;"""",REGEXEXTRACT(SUBSTITUTE ($T728,L$1&amp;"" CE"",""""), L$1&amp;""[\w &amp;]*, (\d+\.\d+)""),"""")
"),"")</f>
        <v/>
      </c>
      <c r="M728" s="3" t="str">
        <f aca="false">IFERROR(__xludf.dummyfunction("if($T728&lt;&gt;"""",REGEXEXTRACT($T728, M$1&amp;""[\w &amp;]*, (\d+\.\d+)""),"""")
"),"")</f>
        <v/>
      </c>
      <c r="N728" s="3" t="str">
        <f aca="false">IFERROR(__xludf.dummyfunction("if($T728&lt;&gt;"""",REGEXEXTRACT(SUBSTITUTE ($T728,N$1&amp;"" CE"",""""), N$1&amp;""[\w &amp;]*, (\d+\.\d+)""),"""")
"),"")</f>
        <v/>
      </c>
      <c r="O728" s="3" t="str">
        <f aca="false">IFERROR(__xludf.dummyfunction("if($T728&lt;&gt;"""",REGEXEXTRACT($T728, O$1&amp;""[\w &amp;]*, (\d+\.\d+)""),"""")
"),"")</f>
        <v/>
      </c>
      <c r="P728" s="2"/>
      <c r="Q728" s="2"/>
      <c r="R728" s="2"/>
      <c r="S728" s="2"/>
      <c r="T728" s="5"/>
    </row>
    <row r="729" customFormat="false" ht="15.75" hidden="false" customHeight="false" outlineLevel="0" collapsed="false">
      <c r="A729" s="4"/>
      <c r="B729" s="2"/>
      <c r="C729" s="2"/>
      <c r="D729" s="2"/>
      <c r="E729" s="2"/>
      <c r="F729" s="3" t="str">
        <f aca="false">IFERROR(__xludf.dummyfunction("if($T729&lt;&gt;"""",REGEXEXTRACT(SUBSTITUTE ($T729,F$1&amp;"" CE"",""""), F$1&amp;""[\w &amp;]*, (\d+\.\d+)""),"""")
"),"")</f>
        <v/>
      </c>
      <c r="G729" s="3" t="str">
        <f aca="false">IFERROR(__xludf.dummyfunction("if($T729&lt;&gt;"""",REGEXEXTRACT($T729, G$1&amp;""[\w &amp;]*, (\d+\.\d+)""),"""")
"),"")</f>
        <v/>
      </c>
      <c r="H729" s="3"/>
      <c r="I729" s="3" t="str">
        <f aca="false">IFERROR(__xludf.dummyfunction("if($T729&lt;&gt;"""",REGEXEXTRACT(SUBSTITUTE ($T729,I$1&amp;"" CE"",""""), I$1&amp;""[\w &amp;]*, (\d+\.\d+)""),"""")
"),"")</f>
        <v/>
      </c>
      <c r="J729" s="3" t="str">
        <f aca="false">IFERROR(__xludf.dummyfunction("if($T729&lt;&gt;"""",REGEXEXTRACT($T729, J$1&amp;""[\w &amp;]*, (\d+\.\d+)""),"""")
"),"")</f>
        <v/>
      </c>
      <c r="K729" s="3"/>
      <c r="L729" s="3" t="str">
        <f aca="false">IFERROR(__xludf.dummyfunction("if($T729&lt;&gt;"""",REGEXEXTRACT(SUBSTITUTE ($T729,L$1&amp;"" CE"",""""), L$1&amp;""[\w &amp;]*, (\d+\.\d+)""),"""")
"),"")</f>
        <v/>
      </c>
      <c r="M729" s="3" t="str">
        <f aca="false">IFERROR(__xludf.dummyfunction("if($T729&lt;&gt;"""",REGEXEXTRACT($T729, M$1&amp;""[\w &amp;]*, (\d+\.\d+)""),"""")
"),"")</f>
        <v/>
      </c>
      <c r="N729" s="3" t="str">
        <f aca="false">IFERROR(__xludf.dummyfunction("if($T729&lt;&gt;"""",REGEXEXTRACT(SUBSTITUTE ($T729,N$1&amp;"" CE"",""""), N$1&amp;""[\w &amp;]*, (\d+\.\d+)""),"""")
"),"")</f>
        <v/>
      </c>
      <c r="O729" s="3" t="str">
        <f aca="false">IFERROR(__xludf.dummyfunction("if($T729&lt;&gt;"""",REGEXEXTRACT($T729, O$1&amp;""[\w &amp;]*, (\d+\.\d+)""),"""")
"),"")</f>
        <v/>
      </c>
      <c r="P729" s="2"/>
      <c r="Q729" s="2"/>
      <c r="R729" s="2"/>
      <c r="S729" s="2"/>
      <c r="T729" s="5"/>
    </row>
    <row r="730" customFormat="false" ht="15.75" hidden="false" customHeight="false" outlineLevel="0" collapsed="false">
      <c r="A730" s="4"/>
      <c r="B730" s="2"/>
      <c r="C730" s="2"/>
      <c r="D730" s="2"/>
      <c r="E730" s="2"/>
      <c r="F730" s="3" t="str">
        <f aca="false">IFERROR(__xludf.dummyfunction("if($T730&lt;&gt;"""",REGEXEXTRACT(SUBSTITUTE ($T730,F$1&amp;"" CE"",""""), F$1&amp;""[\w &amp;]*, (\d+\.\d+)""),"""")
"),"")</f>
        <v/>
      </c>
      <c r="G730" s="3" t="str">
        <f aca="false">IFERROR(__xludf.dummyfunction("if($T730&lt;&gt;"""",REGEXEXTRACT($T730, G$1&amp;""[\w &amp;]*, (\d+\.\d+)""),"""")
"),"")</f>
        <v/>
      </c>
      <c r="H730" s="3"/>
      <c r="I730" s="3" t="str">
        <f aca="false">IFERROR(__xludf.dummyfunction("if($T730&lt;&gt;"""",REGEXEXTRACT(SUBSTITUTE ($T730,I$1&amp;"" CE"",""""), I$1&amp;""[\w &amp;]*, (\d+\.\d+)""),"""")
"),"")</f>
        <v/>
      </c>
      <c r="J730" s="3" t="str">
        <f aca="false">IFERROR(__xludf.dummyfunction("if($T730&lt;&gt;"""",REGEXEXTRACT($T730, J$1&amp;""[\w &amp;]*, (\d+\.\d+)""),"""")
"),"")</f>
        <v/>
      </c>
      <c r="K730" s="3"/>
      <c r="L730" s="3" t="str">
        <f aca="false">IFERROR(__xludf.dummyfunction("if($T730&lt;&gt;"""",REGEXEXTRACT(SUBSTITUTE ($T730,L$1&amp;"" CE"",""""), L$1&amp;""[\w &amp;]*, (\d+\.\d+)""),"""")
"),"")</f>
        <v/>
      </c>
      <c r="M730" s="3" t="str">
        <f aca="false">IFERROR(__xludf.dummyfunction("if($T730&lt;&gt;"""",REGEXEXTRACT($T730, M$1&amp;""[\w &amp;]*, (\d+\.\d+)""),"""")
"),"")</f>
        <v/>
      </c>
      <c r="N730" s="3" t="str">
        <f aca="false">IFERROR(__xludf.dummyfunction("if($T730&lt;&gt;"""",REGEXEXTRACT(SUBSTITUTE ($T730,N$1&amp;"" CE"",""""), N$1&amp;""[\w &amp;]*, (\d+\.\d+)""),"""")
"),"")</f>
        <v/>
      </c>
      <c r="O730" s="3" t="str">
        <f aca="false">IFERROR(__xludf.dummyfunction("if($T730&lt;&gt;"""",REGEXEXTRACT($T730, O$1&amp;""[\w &amp;]*, (\d+\.\d+)""),"""")
"),"")</f>
        <v/>
      </c>
      <c r="P730" s="2"/>
      <c r="Q730" s="2"/>
      <c r="R730" s="2"/>
      <c r="S730" s="2"/>
      <c r="T730" s="5"/>
    </row>
    <row r="731" customFormat="false" ht="15.75" hidden="false" customHeight="false" outlineLevel="0" collapsed="false">
      <c r="A731" s="4"/>
      <c r="B731" s="2"/>
      <c r="C731" s="2"/>
      <c r="D731" s="2"/>
      <c r="E731" s="2"/>
      <c r="F731" s="3" t="str">
        <f aca="false">IFERROR(__xludf.dummyfunction("if($T731&lt;&gt;"""",REGEXEXTRACT(SUBSTITUTE ($T731,F$1&amp;"" CE"",""""), F$1&amp;""[\w &amp;]*, (\d+\.\d+)""),"""")
"),"")</f>
        <v/>
      </c>
      <c r="G731" s="3" t="str">
        <f aca="false">IFERROR(__xludf.dummyfunction("if($T731&lt;&gt;"""",REGEXEXTRACT($T731, G$1&amp;""[\w &amp;]*, (\d+\.\d+)""),"""")
"),"")</f>
        <v/>
      </c>
      <c r="H731" s="3"/>
      <c r="I731" s="3" t="str">
        <f aca="false">IFERROR(__xludf.dummyfunction("if($T731&lt;&gt;"""",REGEXEXTRACT(SUBSTITUTE ($T731,I$1&amp;"" CE"",""""), I$1&amp;""[\w &amp;]*, (\d+\.\d+)""),"""")
"),"")</f>
        <v/>
      </c>
      <c r="J731" s="3" t="str">
        <f aca="false">IFERROR(__xludf.dummyfunction("if($T731&lt;&gt;"""",REGEXEXTRACT($T731, J$1&amp;""[\w &amp;]*, (\d+\.\d+)""),"""")
"),"")</f>
        <v/>
      </c>
      <c r="K731" s="3"/>
      <c r="L731" s="3" t="str">
        <f aca="false">IFERROR(__xludf.dummyfunction("if($T731&lt;&gt;"""",REGEXEXTRACT(SUBSTITUTE ($T731,L$1&amp;"" CE"",""""), L$1&amp;""[\w &amp;]*, (\d+\.\d+)""),"""")
"),"")</f>
        <v/>
      </c>
      <c r="M731" s="3" t="str">
        <f aca="false">IFERROR(__xludf.dummyfunction("if($T731&lt;&gt;"""",REGEXEXTRACT($T731, M$1&amp;""[\w &amp;]*, (\d+\.\d+)""),"""")
"),"")</f>
        <v/>
      </c>
      <c r="N731" s="3" t="str">
        <f aca="false">IFERROR(__xludf.dummyfunction("if($T731&lt;&gt;"""",REGEXEXTRACT(SUBSTITUTE ($T731,N$1&amp;"" CE"",""""), N$1&amp;""[\w &amp;]*, (\d+\.\d+)""),"""")
"),"")</f>
        <v/>
      </c>
      <c r="O731" s="3" t="str">
        <f aca="false">IFERROR(__xludf.dummyfunction("if($T731&lt;&gt;"""",REGEXEXTRACT($T731, O$1&amp;""[\w &amp;]*, (\d+\.\d+)""),"""")
"),"")</f>
        <v/>
      </c>
      <c r="P731" s="2"/>
      <c r="Q731" s="2"/>
      <c r="R731" s="2"/>
      <c r="S731" s="2"/>
      <c r="T731" s="5"/>
    </row>
    <row r="732" customFormat="false" ht="15.75" hidden="false" customHeight="false" outlineLevel="0" collapsed="false">
      <c r="A732" s="4"/>
      <c r="B732" s="2"/>
      <c r="C732" s="2"/>
      <c r="D732" s="2"/>
      <c r="E732" s="2"/>
      <c r="F732" s="3" t="str">
        <f aca="false">IFERROR(__xludf.dummyfunction("if($T732&lt;&gt;"""",REGEXEXTRACT(SUBSTITUTE ($T732,F$1&amp;"" CE"",""""), F$1&amp;""[\w &amp;]*, (\d+\.\d+)""),"""")
"),"")</f>
        <v/>
      </c>
      <c r="G732" s="3" t="str">
        <f aca="false">IFERROR(__xludf.dummyfunction("if($T732&lt;&gt;"""",REGEXEXTRACT($T732, G$1&amp;""[\w &amp;]*, (\d+\.\d+)""),"""")
"),"")</f>
        <v/>
      </c>
      <c r="H732" s="3"/>
      <c r="I732" s="3" t="str">
        <f aca="false">IFERROR(__xludf.dummyfunction("if($T732&lt;&gt;"""",REGEXEXTRACT(SUBSTITUTE ($T732,I$1&amp;"" CE"",""""), I$1&amp;""[\w &amp;]*, (\d+\.\d+)""),"""")
"),"")</f>
        <v/>
      </c>
      <c r="J732" s="3" t="str">
        <f aca="false">IFERROR(__xludf.dummyfunction("if($T732&lt;&gt;"""",REGEXEXTRACT($T732, J$1&amp;""[\w &amp;]*, (\d+\.\d+)""),"""")
"),"")</f>
        <v/>
      </c>
      <c r="K732" s="3"/>
      <c r="L732" s="3" t="str">
        <f aca="false">IFERROR(__xludf.dummyfunction("if($T732&lt;&gt;"""",REGEXEXTRACT(SUBSTITUTE ($T732,L$1&amp;"" CE"",""""), L$1&amp;""[\w &amp;]*, (\d+\.\d+)""),"""")
"),"")</f>
        <v/>
      </c>
      <c r="M732" s="3" t="str">
        <f aca="false">IFERROR(__xludf.dummyfunction("if($T732&lt;&gt;"""",REGEXEXTRACT($T732, M$1&amp;""[\w &amp;]*, (\d+\.\d+)""),"""")
"),"")</f>
        <v/>
      </c>
      <c r="N732" s="3" t="str">
        <f aca="false">IFERROR(__xludf.dummyfunction("if($T732&lt;&gt;"""",REGEXEXTRACT(SUBSTITUTE ($T732,N$1&amp;"" CE"",""""), N$1&amp;""[\w &amp;]*, (\d+\.\d+)""),"""")
"),"")</f>
        <v/>
      </c>
      <c r="O732" s="3" t="str">
        <f aca="false">IFERROR(__xludf.dummyfunction("if($T732&lt;&gt;"""",REGEXEXTRACT($T732, O$1&amp;""[\w &amp;]*, (\d+\.\d+)""),"""")
"),"")</f>
        <v/>
      </c>
      <c r="P732" s="2"/>
      <c r="Q732" s="2"/>
      <c r="R732" s="2"/>
      <c r="S732" s="2"/>
      <c r="T732" s="5"/>
    </row>
    <row r="733" customFormat="false" ht="15.75" hidden="false" customHeight="false" outlineLevel="0" collapsed="false">
      <c r="A733" s="4"/>
      <c r="B733" s="2"/>
      <c r="C733" s="2"/>
      <c r="D733" s="2"/>
      <c r="E733" s="2"/>
      <c r="F733" s="3" t="str">
        <f aca="false">IFERROR(__xludf.dummyfunction("if($T733&lt;&gt;"""",REGEXEXTRACT(SUBSTITUTE ($T733,F$1&amp;"" CE"",""""), F$1&amp;""[\w &amp;]*, (\d+\.\d+)""),"""")
"),"")</f>
        <v/>
      </c>
      <c r="G733" s="3" t="str">
        <f aca="false">IFERROR(__xludf.dummyfunction("if($T733&lt;&gt;"""",REGEXEXTRACT($T733, G$1&amp;""[\w &amp;]*, (\d+\.\d+)""),"""")
"),"")</f>
        <v/>
      </c>
      <c r="H733" s="3"/>
      <c r="I733" s="3" t="str">
        <f aca="false">IFERROR(__xludf.dummyfunction("if($T733&lt;&gt;"""",REGEXEXTRACT(SUBSTITUTE ($T733,I$1&amp;"" CE"",""""), I$1&amp;""[\w &amp;]*, (\d+\.\d+)""),"""")
"),"")</f>
        <v/>
      </c>
      <c r="J733" s="3" t="str">
        <f aca="false">IFERROR(__xludf.dummyfunction("if($T733&lt;&gt;"""",REGEXEXTRACT($T733, J$1&amp;""[\w &amp;]*, (\d+\.\d+)""),"""")
"),"")</f>
        <v/>
      </c>
      <c r="K733" s="3"/>
      <c r="L733" s="3" t="str">
        <f aca="false">IFERROR(__xludf.dummyfunction("if($T733&lt;&gt;"""",REGEXEXTRACT(SUBSTITUTE ($T733,L$1&amp;"" CE"",""""), L$1&amp;""[\w &amp;]*, (\d+\.\d+)""),"""")
"),"")</f>
        <v/>
      </c>
      <c r="M733" s="3" t="str">
        <f aca="false">IFERROR(__xludf.dummyfunction("if($T733&lt;&gt;"""",REGEXEXTRACT($T733, M$1&amp;""[\w &amp;]*, (\d+\.\d+)""),"""")
"),"")</f>
        <v/>
      </c>
      <c r="N733" s="3" t="str">
        <f aca="false">IFERROR(__xludf.dummyfunction("if($T733&lt;&gt;"""",REGEXEXTRACT(SUBSTITUTE ($T733,N$1&amp;"" CE"",""""), N$1&amp;""[\w &amp;]*, (\d+\.\d+)""),"""")
"),"")</f>
        <v/>
      </c>
      <c r="O733" s="3" t="str">
        <f aca="false">IFERROR(__xludf.dummyfunction("if($T733&lt;&gt;"""",REGEXEXTRACT($T733, O$1&amp;""[\w &amp;]*, (\d+\.\d+)""),"""")
"),"")</f>
        <v/>
      </c>
      <c r="P733" s="2"/>
      <c r="Q733" s="2"/>
      <c r="R733" s="2"/>
      <c r="S733" s="2"/>
      <c r="T733" s="5"/>
    </row>
    <row r="734" customFormat="false" ht="15.75" hidden="false" customHeight="false" outlineLevel="0" collapsed="false">
      <c r="A734" s="4"/>
      <c r="B734" s="2"/>
      <c r="C734" s="2"/>
      <c r="D734" s="2"/>
      <c r="E734" s="2"/>
      <c r="F734" s="3" t="str">
        <f aca="false">IFERROR(__xludf.dummyfunction("if($T734&lt;&gt;"""",REGEXEXTRACT(SUBSTITUTE ($T734,F$1&amp;"" CE"",""""), F$1&amp;""[\w &amp;]*, (\d+\.\d+)""),"""")
"),"")</f>
        <v/>
      </c>
      <c r="G734" s="3" t="str">
        <f aca="false">IFERROR(__xludf.dummyfunction("if($T734&lt;&gt;"""",REGEXEXTRACT($T734, G$1&amp;""[\w &amp;]*, (\d+\.\d+)""),"""")
"),"")</f>
        <v/>
      </c>
      <c r="H734" s="3"/>
      <c r="I734" s="3" t="str">
        <f aca="false">IFERROR(__xludf.dummyfunction("if($T734&lt;&gt;"""",REGEXEXTRACT(SUBSTITUTE ($T734,I$1&amp;"" CE"",""""), I$1&amp;""[\w &amp;]*, (\d+\.\d+)""),"""")
"),"")</f>
        <v/>
      </c>
      <c r="J734" s="3" t="str">
        <f aca="false">IFERROR(__xludf.dummyfunction("if($T734&lt;&gt;"""",REGEXEXTRACT($T734, J$1&amp;""[\w &amp;]*, (\d+\.\d+)""),"""")
"),"")</f>
        <v/>
      </c>
      <c r="K734" s="3"/>
      <c r="L734" s="3" t="str">
        <f aca="false">IFERROR(__xludf.dummyfunction("if($T734&lt;&gt;"""",REGEXEXTRACT(SUBSTITUTE ($T734,L$1&amp;"" CE"",""""), L$1&amp;""[\w &amp;]*, (\d+\.\d+)""),"""")
"),"")</f>
        <v/>
      </c>
      <c r="M734" s="3" t="str">
        <f aca="false">IFERROR(__xludf.dummyfunction("if($T734&lt;&gt;"""",REGEXEXTRACT($T734, M$1&amp;""[\w &amp;]*, (\d+\.\d+)""),"""")
"),"")</f>
        <v/>
      </c>
      <c r="N734" s="3" t="str">
        <f aca="false">IFERROR(__xludf.dummyfunction("if($T734&lt;&gt;"""",REGEXEXTRACT(SUBSTITUTE ($T734,N$1&amp;"" CE"",""""), N$1&amp;""[\w &amp;]*, (\d+\.\d+)""),"""")
"),"")</f>
        <v/>
      </c>
      <c r="O734" s="3" t="str">
        <f aca="false">IFERROR(__xludf.dummyfunction("if($T734&lt;&gt;"""",REGEXEXTRACT($T734, O$1&amp;""[\w &amp;]*, (\d+\.\d+)""),"""")
"),"")</f>
        <v/>
      </c>
      <c r="P734" s="2"/>
      <c r="Q734" s="2"/>
      <c r="R734" s="2"/>
      <c r="S734" s="2"/>
      <c r="T734" s="5"/>
    </row>
    <row r="735" customFormat="false" ht="15.75" hidden="false" customHeight="false" outlineLevel="0" collapsed="false">
      <c r="A735" s="4"/>
      <c r="B735" s="2"/>
      <c r="C735" s="2"/>
      <c r="D735" s="2"/>
      <c r="E735" s="2"/>
      <c r="F735" s="3" t="str">
        <f aca="false">IFERROR(__xludf.dummyfunction("if($T735&lt;&gt;"""",REGEXEXTRACT(SUBSTITUTE ($T735,F$1&amp;"" CE"",""""), F$1&amp;""[\w &amp;]*, (\d+\.\d+)""),"""")
"),"")</f>
        <v/>
      </c>
      <c r="G735" s="3" t="str">
        <f aca="false">IFERROR(__xludf.dummyfunction("if($T735&lt;&gt;"""",REGEXEXTRACT($T735, G$1&amp;""[\w &amp;]*, (\d+\.\d+)""),"""")
"),"")</f>
        <v/>
      </c>
      <c r="H735" s="3"/>
      <c r="I735" s="3" t="str">
        <f aca="false">IFERROR(__xludf.dummyfunction("if($T735&lt;&gt;"""",REGEXEXTRACT(SUBSTITUTE ($T735,I$1&amp;"" CE"",""""), I$1&amp;""[\w &amp;]*, (\d+\.\d+)""),"""")
"),"")</f>
        <v/>
      </c>
      <c r="J735" s="3" t="str">
        <f aca="false">IFERROR(__xludf.dummyfunction("if($T735&lt;&gt;"""",REGEXEXTRACT($T735, J$1&amp;""[\w &amp;]*, (\d+\.\d+)""),"""")
"),"")</f>
        <v/>
      </c>
      <c r="K735" s="3"/>
      <c r="L735" s="3" t="str">
        <f aca="false">IFERROR(__xludf.dummyfunction("if($T735&lt;&gt;"""",REGEXEXTRACT(SUBSTITUTE ($T735,L$1&amp;"" CE"",""""), L$1&amp;""[\w &amp;]*, (\d+\.\d+)""),"""")
"),"")</f>
        <v/>
      </c>
      <c r="M735" s="3" t="str">
        <f aca="false">IFERROR(__xludf.dummyfunction("if($T735&lt;&gt;"""",REGEXEXTRACT($T735, M$1&amp;""[\w &amp;]*, (\d+\.\d+)""),"""")
"),"")</f>
        <v/>
      </c>
      <c r="N735" s="3" t="str">
        <f aca="false">IFERROR(__xludf.dummyfunction("if($T735&lt;&gt;"""",REGEXEXTRACT(SUBSTITUTE ($T735,N$1&amp;"" CE"",""""), N$1&amp;""[\w &amp;]*, (\d+\.\d+)""),"""")
"),"")</f>
        <v/>
      </c>
      <c r="O735" s="3" t="str">
        <f aca="false">IFERROR(__xludf.dummyfunction("if($T735&lt;&gt;"""",REGEXEXTRACT($T735, O$1&amp;""[\w &amp;]*, (\d+\.\d+)""),"""")
"),"")</f>
        <v/>
      </c>
      <c r="P735" s="2"/>
      <c r="Q735" s="2"/>
      <c r="R735" s="2"/>
      <c r="S735" s="2"/>
      <c r="T735" s="5"/>
    </row>
    <row r="736" customFormat="false" ht="15.75" hidden="false" customHeight="false" outlineLevel="0" collapsed="false">
      <c r="A736" s="4"/>
      <c r="B736" s="2"/>
      <c r="C736" s="2"/>
      <c r="D736" s="2"/>
      <c r="E736" s="2"/>
      <c r="F736" s="3" t="str">
        <f aca="false">IFERROR(__xludf.dummyfunction("if($T736&lt;&gt;"""",REGEXEXTRACT(SUBSTITUTE ($T736,F$1&amp;"" CE"",""""), F$1&amp;""[\w &amp;]*, (\d+\.\d+)""),"""")
"),"")</f>
        <v/>
      </c>
      <c r="G736" s="3" t="str">
        <f aca="false">IFERROR(__xludf.dummyfunction("if($T736&lt;&gt;"""",REGEXEXTRACT($T736, G$1&amp;""[\w &amp;]*, (\d+\.\d+)""),"""")
"),"")</f>
        <v/>
      </c>
      <c r="H736" s="3"/>
      <c r="I736" s="3" t="str">
        <f aca="false">IFERROR(__xludf.dummyfunction("if($T736&lt;&gt;"""",REGEXEXTRACT(SUBSTITUTE ($T736,I$1&amp;"" CE"",""""), I$1&amp;""[\w &amp;]*, (\d+\.\d+)""),"""")
"),"")</f>
        <v/>
      </c>
      <c r="J736" s="3" t="str">
        <f aca="false">IFERROR(__xludf.dummyfunction("if($T736&lt;&gt;"""",REGEXEXTRACT($T736, J$1&amp;""[\w &amp;]*, (\d+\.\d+)""),"""")
"),"")</f>
        <v/>
      </c>
      <c r="K736" s="3"/>
      <c r="L736" s="3" t="str">
        <f aca="false">IFERROR(__xludf.dummyfunction("if($T736&lt;&gt;"""",REGEXEXTRACT(SUBSTITUTE ($T736,L$1&amp;"" CE"",""""), L$1&amp;""[\w &amp;]*, (\d+\.\d+)""),"""")
"),"")</f>
        <v/>
      </c>
      <c r="M736" s="3" t="str">
        <f aca="false">IFERROR(__xludf.dummyfunction("if($T736&lt;&gt;"""",REGEXEXTRACT($T736, M$1&amp;""[\w &amp;]*, (\d+\.\d+)""),"""")
"),"")</f>
        <v/>
      </c>
      <c r="N736" s="3" t="str">
        <f aca="false">IFERROR(__xludf.dummyfunction("if($T736&lt;&gt;"""",REGEXEXTRACT(SUBSTITUTE ($T736,N$1&amp;"" CE"",""""), N$1&amp;""[\w &amp;]*, (\d+\.\d+)""),"""")
"),"")</f>
        <v/>
      </c>
      <c r="O736" s="3" t="str">
        <f aca="false">IFERROR(__xludf.dummyfunction("if($T736&lt;&gt;"""",REGEXEXTRACT($T736, O$1&amp;""[\w &amp;]*, (\d+\.\d+)""),"""")
"),"")</f>
        <v/>
      </c>
      <c r="P736" s="2"/>
      <c r="Q736" s="2"/>
      <c r="R736" s="2"/>
      <c r="S736" s="2"/>
      <c r="T736" s="5"/>
    </row>
    <row r="737" customFormat="false" ht="15.75" hidden="false" customHeight="false" outlineLevel="0" collapsed="false">
      <c r="A737" s="4"/>
      <c r="B737" s="2"/>
      <c r="C737" s="2"/>
      <c r="D737" s="2"/>
      <c r="E737" s="2"/>
      <c r="F737" s="3" t="str">
        <f aca="false">IFERROR(__xludf.dummyfunction("if($T737&lt;&gt;"""",REGEXEXTRACT(SUBSTITUTE ($T737,F$1&amp;"" CE"",""""), F$1&amp;""[\w &amp;]*, (\d+\.\d+)""),"""")
"),"")</f>
        <v/>
      </c>
      <c r="G737" s="3" t="str">
        <f aca="false">IFERROR(__xludf.dummyfunction("if($T737&lt;&gt;"""",REGEXEXTRACT($T737, G$1&amp;""[\w &amp;]*, (\d+\.\d+)""),"""")
"),"")</f>
        <v/>
      </c>
      <c r="H737" s="3"/>
      <c r="I737" s="3" t="str">
        <f aca="false">IFERROR(__xludf.dummyfunction("if($T737&lt;&gt;"""",REGEXEXTRACT(SUBSTITUTE ($T737,I$1&amp;"" CE"",""""), I$1&amp;""[\w &amp;]*, (\d+\.\d+)""),"""")
"),"")</f>
        <v/>
      </c>
      <c r="J737" s="3" t="str">
        <f aca="false">IFERROR(__xludf.dummyfunction("if($T737&lt;&gt;"""",REGEXEXTRACT($T737, J$1&amp;""[\w &amp;]*, (\d+\.\d+)""),"""")
"),"")</f>
        <v/>
      </c>
      <c r="K737" s="3"/>
      <c r="L737" s="3" t="str">
        <f aca="false">IFERROR(__xludf.dummyfunction("if($T737&lt;&gt;"""",REGEXEXTRACT(SUBSTITUTE ($T737,L$1&amp;"" CE"",""""), L$1&amp;""[\w &amp;]*, (\d+\.\d+)""),"""")
"),"")</f>
        <v/>
      </c>
      <c r="M737" s="3" t="str">
        <f aca="false">IFERROR(__xludf.dummyfunction("if($T737&lt;&gt;"""",REGEXEXTRACT($T737, M$1&amp;""[\w &amp;]*, (\d+\.\d+)""),"""")
"),"")</f>
        <v/>
      </c>
      <c r="N737" s="3" t="str">
        <f aca="false">IFERROR(__xludf.dummyfunction("if($T737&lt;&gt;"""",REGEXEXTRACT(SUBSTITUTE ($T737,N$1&amp;"" CE"",""""), N$1&amp;""[\w &amp;]*, (\d+\.\d+)""),"""")
"),"")</f>
        <v/>
      </c>
      <c r="O737" s="3" t="str">
        <f aca="false">IFERROR(__xludf.dummyfunction("if($T737&lt;&gt;"""",REGEXEXTRACT($T737, O$1&amp;""[\w &amp;]*, (\d+\.\d+)""),"""")
"),"")</f>
        <v/>
      </c>
      <c r="P737" s="2"/>
      <c r="Q737" s="2"/>
      <c r="R737" s="2"/>
      <c r="S737" s="2"/>
      <c r="T737" s="5"/>
    </row>
    <row r="738" customFormat="false" ht="15.75" hidden="false" customHeight="false" outlineLevel="0" collapsed="false">
      <c r="A738" s="4"/>
      <c r="B738" s="2"/>
      <c r="C738" s="2"/>
      <c r="D738" s="2"/>
      <c r="E738" s="2"/>
      <c r="F738" s="3" t="str">
        <f aca="false">IFERROR(__xludf.dummyfunction("if($T738&lt;&gt;"""",REGEXEXTRACT(SUBSTITUTE ($T738,F$1&amp;"" CE"",""""), F$1&amp;""[\w &amp;]*, (\d+\.\d+)""),"""")
"),"")</f>
        <v/>
      </c>
      <c r="G738" s="3" t="str">
        <f aca="false">IFERROR(__xludf.dummyfunction("if($T738&lt;&gt;"""",REGEXEXTRACT($T738, G$1&amp;""[\w &amp;]*, (\d+\.\d+)""),"""")
"),"")</f>
        <v/>
      </c>
      <c r="H738" s="3"/>
      <c r="I738" s="3" t="str">
        <f aca="false">IFERROR(__xludf.dummyfunction("if($T738&lt;&gt;"""",REGEXEXTRACT(SUBSTITUTE ($T738,I$1&amp;"" CE"",""""), I$1&amp;""[\w &amp;]*, (\d+\.\d+)""),"""")
"),"")</f>
        <v/>
      </c>
      <c r="J738" s="3" t="str">
        <f aca="false">IFERROR(__xludf.dummyfunction("if($T738&lt;&gt;"""",REGEXEXTRACT($T738, J$1&amp;""[\w &amp;]*, (\d+\.\d+)""),"""")
"),"")</f>
        <v/>
      </c>
      <c r="K738" s="3"/>
      <c r="L738" s="3" t="str">
        <f aca="false">IFERROR(__xludf.dummyfunction("if($T738&lt;&gt;"""",REGEXEXTRACT(SUBSTITUTE ($T738,L$1&amp;"" CE"",""""), L$1&amp;""[\w &amp;]*, (\d+\.\d+)""),"""")
"),"")</f>
        <v/>
      </c>
      <c r="M738" s="3" t="str">
        <f aca="false">IFERROR(__xludf.dummyfunction("if($T738&lt;&gt;"""",REGEXEXTRACT($T738, M$1&amp;""[\w &amp;]*, (\d+\.\d+)""),"""")
"),"")</f>
        <v/>
      </c>
      <c r="N738" s="3" t="str">
        <f aca="false">IFERROR(__xludf.dummyfunction("if($T738&lt;&gt;"""",REGEXEXTRACT(SUBSTITUTE ($T738,N$1&amp;"" CE"",""""), N$1&amp;""[\w &amp;]*, (\d+\.\d+)""),"""")
"),"")</f>
        <v/>
      </c>
      <c r="O738" s="3" t="str">
        <f aca="false">IFERROR(__xludf.dummyfunction("if($T738&lt;&gt;"""",REGEXEXTRACT($T738, O$1&amp;""[\w &amp;]*, (\d+\.\d+)""),"""")
"),"")</f>
        <v/>
      </c>
      <c r="P738" s="2"/>
      <c r="Q738" s="2"/>
      <c r="R738" s="2"/>
      <c r="S738" s="2"/>
      <c r="T738" s="5"/>
    </row>
    <row r="739" customFormat="false" ht="15.75" hidden="false" customHeight="false" outlineLevel="0" collapsed="false">
      <c r="A739" s="4"/>
      <c r="B739" s="2"/>
      <c r="C739" s="2"/>
      <c r="D739" s="2"/>
      <c r="E739" s="2"/>
      <c r="F739" s="3" t="str">
        <f aca="false">IFERROR(__xludf.dummyfunction("if($T739&lt;&gt;"""",REGEXEXTRACT(SUBSTITUTE ($T739,F$1&amp;"" CE"",""""), F$1&amp;""[\w &amp;]*, (\d+\.\d+)""),"""")
"),"")</f>
        <v/>
      </c>
      <c r="G739" s="3" t="str">
        <f aca="false">IFERROR(__xludf.dummyfunction("if($T739&lt;&gt;"""",REGEXEXTRACT($T739, G$1&amp;""[\w &amp;]*, (\d+\.\d+)""),"""")
"),"")</f>
        <v/>
      </c>
      <c r="H739" s="3"/>
      <c r="I739" s="3" t="str">
        <f aca="false">IFERROR(__xludf.dummyfunction("if($T739&lt;&gt;"""",REGEXEXTRACT(SUBSTITUTE ($T739,I$1&amp;"" CE"",""""), I$1&amp;""[\w &amp;]*, (\d+\.\d+)""),"""")
"),"")</f>
        <v/>
      </c>
      <c r="J739" s="3" t="str">
        <f aca="false">IFERROR(__xludf.dummyfunction("if($T739&lt;&gt;"""",REGEXEXTRACT($T739, J$1&amp;""[\w &amp;]*, (\d+\.\d+)""),"""")
"),"")</f>
        <v/>
      </c>
      <c r="K739" s="3"/>
      <c r="L739" s="3" t="str">
        <f aca="false">IFERROR(__xludf.dummyfunction("if($T739&lt;&gt;"""",REGEXEXTRACT(SUBSTITUTE ($T739,L$1&amp;"" CE"",""""), L$1&amp;""[\w &amp;]*, (\d+\.\d+)""),"""")
"),"")</f>
        <v/>
      </c>
      <c r="M739" s="3" t="str">
        <f aca="false">IFERROR(__xludf.dummyfunction("if($T739&lt;&gt;"""",REGEXEXTRACT($T739, M$1&amp;""[\w &amp;]*, (\d+\.\d+)""),"""")
"),"")</f>
        <v/>
      </c>
      <c r="N739" s="3" t="str">
        <f aca="false">IFERROR(__xludf.dummyfunction("if($T739&lt;&gt;"""",REGEXEXTRACT(SUBSTITUTE ($T739,N$1&amp;"" CE"",""""), N$1&amp;""[\w &amp;]*, (\d+\.\d+)""),"""")
"),"")</f>
        <v/>
      </c>
      <c r="O739" s="3" t="str">
        <f aca="false">IFERROR(__xludf.dummyfunction("if($T739&lt;&gt;"""",REGEXEXTRACT($T739, O$1&amp;""[\w &amp;]*, (\d+\.\d+)""),"""")
"),"")</f>
        <v/>
      </c>
      <c r="P739" s="2"/>
      <c r="Q739" s="2"/>
      <c r="R739" s="2"/>
      <c r="S739" s="2"/>
      <c r="T739" s="5"/>
    </row>
    <row r="740" customFormat="false" ht="15.75" hidden="false" customHeight="false" outlineLevel="0" collapsed="false">
      <c r="A740" s="4"/>
      <c r="B740" s="2"/>
      <c r="C740" s="2"/>
      <c r="D740" s="2"/>
      <c r="E740" s="2"/>
      <c r="F740" s="3" t="str">
        <f aca="false">IFERROR(__xludf.dummyfunction("if($T740&lt;&gt;"""",REGEXEXTRACT(SUBSTITUTE ($T740,F$1&amp;"" CE"",""""), F$1&amp;""[\w &amp;]*, (\d+\.\d+)""),"""")
"),"")</f>
        <v/>
      </c>
      <c r="G740" s="3" t="str">
        <f aca="false">IFERROR(__xludf.dummyfunction("if($T740&lt;&gt;"""",REGEXEXTRACT($T740, G$1&amp;""[\w &amp;]*, (\d+\.\d+)""),"""")
"),"")</f>
        <v/>
      </c>
      <c r="H740" s="3"/>
      <c r="I740" s="3" t="str">
        <f aca="false">IFERROR(__xludf.dummyfunction("if($T740&lt;&gt;"""",REGEXEXTRACT(SUBSTITUTE ($T740,I$1&amp;"" CE"",""""), I$1&amp;""[\w &amp;]*, (\d+\.\d+)""),"""")
"),"")</f>
        <v/>
      </c>
      <c r="J740" s="3" t="str">
        <f aca="false">IFERROR(__xludf.dummyfunction("if($T740&lt;&gt;"""",REGEXEXTRACT($T740, J$1&amp;""[\w &amp;]*, (\d+\.\d+)""),"""")
"),"")</f>
        <v/>
      </c>
      <c r="K740" s="3"/>
      <c r="L740" s="3" t="str">
        <f aca="false">IFERROR(__xludf.dummyfunction("if($T740&lt;&gt;"""",REGEXEXTRACT(SUBSTITUTE ($T740,L$1&amp;"" CE"",""""), L$1&amp;""[\w &amp;]*, (\d+\.\d+)""),"""")
"),"")</f>
        <v/>
      </c>
      <c r="M740" s="3" t="str">
        <f aca="false">IFERROR(__xludf.dummyfunction("if($T740&lt;&gt;"""",REGEXEXTRACT($T740, M$1&amp;""[\w &amp;]*, (\d+\.\d+)""),"""")
"),"")</f>
        <v/>
      </c>
      <c r="N740" s="3" t="str">
        <f aca="false">IFERROR(__xludf.dummyfunction("if($T740&lt;&gt;"""",REGEXEXTRACT(SUBSTITUTE ($T740,N$1&amp;"" CE"",""""), N$1&amp;""[\w &amp;]*, (\d+\.\d+)""),"""")
"),"")</f>
        <v/>
      </c>
      <c r="O740" s="3" t="str">
        <f aca="false">IFERROR(__xludf.dummyfunction("if($T740&lt;&gt;"""",REGEXEXTRACT($T740, O$1&amp;""[\w &amp;]*, (\d+\.\d+)""),"""")
"),"")</f>
        <v/>
      </c>
      <c r="P740" s="2"/>
      <c r="Q740" s="2"/>
      <c r="R740" s="2"/>
      <c r="S740" s="2"/>
      <c r="T740" s="5"/>
    </row>
    <row r="741" customFormat="false" ht="15.75" hidden="false" customHeight="false" outlineLevel="0" collapsed="false">
      <c r="A741" s="4"/>
      <c r="B741" s="2"/>
      <c r="C741" s="2"/>
      <c r="D741" s="2"/>
      <c r="E741" s="2"/>
      <c r="F741" s="3" t="str">
        <f aca="false">IFERROR(__xludf.dummyfunction("if($T741&lt;&gt;"""",REGEXEXTRACT(SUBSTITUTE ($T741,F$1&amp;"" CE"",""""), F$1&amp;""[\w &amp;]*, (\d+\.\d+)""),"""")
"),"")</f>
        <v/>
      </c>
      <c r="G741" s="3" t="str">
        <f aca="false">IFERROR(__xludf.dummyfunction("if($T741&lt;&gt;"""",REGEXEXTRACT($T741, G$1&amp;""[\w &amp;]*, (\d+\.\d+)""),"""")
"),"")</f>
        <v/>
      </c>
      <c r="H741" s="3"/>
      <c r="I741" s="3" t="str">
        <f aca="false">IFERROR(__xludf.dummyfunction("if($T741&lt;&gt;"""",REGEXEXTRACT(SUBSTITUTE ($T741,I$1&amp;"" CE"",""""), I$1&amp;""[\w &amp;]*, (\d+\.\d+)""),"""")
"),"")</f>
        <v/>
      </c>
      <c r="J741" s="3" t="str">
        <f aca="false">IFERROR(__xludf.dummyfunction("if($T741&lt;&gt;"""",REGEXEXTRACT($T741, J$1&amp;""[\w &amp;]*, (\d+\.\d+)""),"""")
"),"")</f>
        <v/>
      </c>
      <c r="K741" s="3"/>
      <c r="L741" s="3" t="str">
        <f aca="false">IFERROR(__xludf.dummyfunction("if($T741&lt;&gt;"""",REGEXEXTRACT(SUBSTITUTE ($T741,L$1&amp;"" CE"",""""), L$1&amp;""[\w &amp;]*, (\d+\.\d+)""),"""")
"),"")</f>
        <v/>
      </c>
      <c r="M741" s="3" t="str">
        <f aca="false">IFERROR(__xludf.dummyfunction("if($T741&lt;&gt;"""",REGEXEXTRACT($T741, M$1&amp;""[\w &amp;]*, (\d+\.\d+)""),"""")
"),"")</f>
        <v/>
      </c>
      <c r="N741" s="3" t="str">
        <f aca="false">IFERROR(__xludf.dummyfunction("if($T741&lt;&gt;"""",REGEXEXTRACT(SUBSTITUTE ($T741,N$1&amp;"" CE"",""""), N$1&amp;""[\w &amp;]*, (\d+\.\d+)""),"""")
"),"")</f>
        <v/>
      </c>
      <c r="O741" s="3" t="str">
        <f aca="false">IFERROR(__xludf.dummyfunction("if($T741&lt;&gt;"""",REGEXEXTRACT($T741, O$1&amp;""[\w &amp;]*, (\d+\.\d+)""),"""")
"),"")</f>
        <v/>
      </c>
      <c r="P741" s="2"/>
      <c r="Q741" s="2"/>
      <c r="R741" s="2"/>
      <c r="S741" s="2"/>
      <c r="T741" s="5"/>
    </row>
    <row r="742" customFormat="false" ht="15.75" hidden="false" customHeight="false" outlineLevel="0" collapsed="false">
      <c r="A742" s="4"/>
      <c r="B742" s="2"/>
      <c r="C742" s="2"/>
      <c r="D742" s="2"/>
      <c r="E742" s="2"/>
      <c r="F742" s="3" t="str">
        <f aca="false">IFERROR(__xludf.dummyfunction("if($T742&lt;&gt;"""",REGEXEXTRACT(SUBSTITUTE ($T742,F$1&amp;"" CE"",""""), F$1&amp;""[\w &amp;]*, (\d+\.\d+)""),"""")
"),"")</f>
        <v/>
      </c>
      <c r="G742" s="3" t="str">
        <f aca="false">IFERROR(__xludf.dummyfunction("if($T742&lt;&gt;"""",REGEXEXTRACT($T742, G$1&amp;""[\w &amp;]*, (\d+\.\d+)""),"""")
"),"")</f>
        <v/>
      </c>
      <c r="H742" s="3"/>
      <c r="I742" s="3" t="str">
        <f aca="false">IFERROR(__xludf.dummyfunction("if($T742&lt;&gt;"""",REGEXEXTRACT(SUBSTITUTE ($T742,I$1&amp;"" CE"",""""), I$1&amp;""[\w &amp;]*, (\d+\.\d+)""),"""")
"),"")</f>
        <v/>
      </c>
      <c r="J742" s="3" t="str">
        <f aca="false">IFERROR(__xludf.dummyfunction("if($T742&lt;&gt;"""",REGEXEXTRACT($T742, J$1&amp;""[\w &amp;]*, (\d+\.\d+)""),"""")
"),"")</f>
        <v/>
      </c>
      <c r="K742" s="3"/>
      <c r="L742" s="3" t="str">
        <f aca="false">IFERROR(__xludf.dummyfunction("if($T742&lt;&gt;"""",REGEXEXTRACT(SUBSTITUTE ($T742,L$1&amp;"" CE"",""""), L$1&amp;""[\w &amp;]*, (\d+\.\d+)""),"""")
"),"")</f>
        <v/>
      </c>
      <c r="M742" s="3" t="str">
        <f aca="false">IFERROR(__xludf.dummyfunction("if($T742&lt;&gt;"""",REGEXEXTRACT($T742, M$1&amp;""[\w &amp;]*, (\d+\.\d+)""),"""")
"),"")</f>
        <v/>
      </c>
      <c r="N742" s="3" t="str">
        <f aca="false">IFERROR(__xludf.dummyfunction("if($T742&lt;&gt;"""",REGEXEXTRACT(SUBSTITUTE ($T742,N$1&amp;"" CE"",""""), N$1&amp;""[\w &amp;]*, (\d+\.\d+)""),"""")
"),"")</f>
        <v/>
      </c>
      <c r="O742" s="3" t="str">
        <f aca="false">IFERROR(__xludf.dummyfunction("if($T742&lt;&gt;"""",REGEXEXTRACT($T742, O$1&amp;""[\w &amp;]*, (\d+\.\d+)""),"""")
"),"")</f>
        <v/>
      </c>
      <c r="P742" s="2"/>
      <c r="Q742" s="2"/>
      <c r="R742" s="2"/>
      <c r="S742" s="2"/>
      <c r="T742" s="5"/>
    </row>
    <row r="743" customFormat="false" ht="15.75" hidden="false" customHeight="false" outlineLevel="0" collapsed="false">
      <c r="A743" s="4"/>
      <c r="B743" s="2"/>
      <c r="C743" s="2"/>
      <c r="D743" s="2"/>
      <c r="E743" s="2"/>
      <c r="F743" s="3" t="str">
        <f aca="false">IFERROR(__xludf.dummyfunction("if($T743&lt;&gt;"""",REGEXEXTRACT(SUBSTITUTE ($T743,F$1&amp;"" CE"",""""), F$1&amp;""[\w &amp;]*, (\d+\.\d+)""),"""")
"),"")</f>
        <v/>
      </c>
      <c r="G743" s="3" t="str">
        <f aca="false">IFERROR(__xludf.dummyfunction("if($T743&lt;&gt;"""",REGEXEXTRACT($T743, G$1&amp;""[\w &amp;]*, (\d+\.\d+)""),"""")
"),"")</f>
        <v/>
      </c>
      <c r="H743" s="3"/>
      <c r="I743" s="3" t="str">
        <f aca="false">IFERROR(__xludf.dummyfunction("if($T743&lt;&gt;"""",REGEXEXTRACT(SUBSTITUTE ($T743,I$1&amp;"" CE"",""""), I$1&amp;""[\w &amp;]*, (\d+\.\d+)""),"""")
"),"")</f>
        <v/>
      </c>
      <c r="J743" s="3" t="str">
        <f aca="false">IFERROR(__xludf.dummyfunction("if($T743&lt;&gt;"""",REGEXEXTRACT($T743, J$1&amp;""[\w &amp;]*, (\d+\.\d+)""),"""")
"),"")</f>
        <v/>
      </c>
      <c r="K743" s="3"/>
      <c r="L743" s="3" t="str">
        <f aca="false">IFERROR(__xludf.dummyfunction("if($T743&lt;&gt;"""",REGEXEXTRACT(SUBSTITUTE ($T743,L$1&amp;"" CE"",""""), L$1&amp;""[\w &amp;]*, (\d+\.\d+)""),"""")
"),"")</f>
        <v/>
      </c>
      <c r="M743" s="3" t="str">
        <f aca="false">IFERROR(__xludf.dummyfunction("if($T743&lt;&gt;"""",REGEXEXTRACT($T743, M$1&amp;""[\w &amp;]*, (\d+\.\d+)""),"""")
"),"")</f>
        <v/>
      </c>
      <c r="N743" s="3" t="str">
        <f aca="false">IFERROR(__xludf.dummyfunction("if($T743&lt;&gt;"""",REGEXEXTRACT(SUBSTITUTE ($T743,N$1&amp;"" CE"",""""), N$1&amp;""[\w &amp;]*, (\d+\.\d+)""),"""")
"),"")</f>
        <v/>
      </c>
      <c r="O743" s="3" t="str">
        <f aca="false">IFERROR(__xludf.dummyfunction("if($T743&lt;&gt;"""",REGEXEXTRACT($T743, O$1&amp;""[\w &amp;]*, (\d+\.\d+)""),"""")
"),"")</f>
        <v/>
      </c>
      <c r="P743" s="2"/>
      <c r="Q743" s="2"/>
      <c r="R743" s="2"/>
      <c r="S743" s="2"/>
      <c r="T743" s="5"/>
    </row>
    <row r="744" customFormat="false" ht="15.75" hidden="false" customHeight="false" outlineLevel="0" collapsed="false">
      <c r="A744" s="4"/>
      <c r="B744" s="2"/>
      <c r="C744" s="2"/>
      <c r="D744" s="2"/>
      <c r="E744" s="2"/>
      <c r="F744" s="3" t="str">
        <f aca="false">IFERROR(__xludf.dummyfunction("if($T744&lt;&gt;"""",REGEXEXTRACT(SUBSTITUTE ($T744,F$1&amp;"" CE"",""""), F$1&amp;""[\w &amp;]*, (\d+\.\d+)""),"""")
"),"")</f>
        <v/>
      </c>
      <c r="G744" s="3" t="str">
        <f aca="false">IFERROR(__xludf.dummyfunction("if($T744&lt;&gt;"""",REGEXEXTRACT($T744, G$1&amp;""[\w &amp;]*, (\d+\.\d+)""),"""")
"),"")</f>
        <v/>
      </c>
      <c r="H744" s="3"/>
      <c r="I744" s="3" t="str">
        <f aca="false">IFERROR(__xludf.dummyfunction("if($T744&lt;&gt;"""",REGEXEXTRACT(SUBSTITUTE ($T744,I$1&amp;"" CE"",""""), I$1&amp;""[\w &amp;]*, (\d+\.\d+)""),"""")
"),"")</f>
        <v/>
      </c>
      <c r="J744" s="3" t="str">
        <f aca="false">IFERROR(__xludf.dummyfunction("if($T744&lt;&gt;"""",REGEXEXTRACT($T744, J$1&amp;""[\w &amp;]*, (\d+\.\d+)""),"""")
"),"")</f>
        <v/>
      </c>
      <c r="K744" s="3"/>
      <c r="L744" s="3" t="str">
        <f aca="false">IFERROR(__xludf.dummyfunction("if($T744&lt;&gt;"""",REGEXEXTRACT(SUBSTITUTE ($T744,L$1&amp;"" CE"",""""), L$1&amp;""[\w &amp;]*, (\d+\.\d+)""),"""")
"),"")</f>
        <v/>
      </c>
      <c r="M744" s="3" t="str">
        <f aca="false">IFERROR(__xludf.dummyfunction("if($T744&lt;&gt;"""",REGEXEXTRACT($T744, M$1&amp;""[\w &amp;]*, (\d+\.\d+)""),"""")
"),"")</f>
        <v/>
      </c>
      <c r="N744" s="3" t="str">
        <f aca="false">IFERROR(__xludf.dummyfunction("if($T744&lt;&gt;"""",REGEXEXTRACT(SUBSTITUTE ($T744,N$1&amp;"" CE"",""""), N$1&amp;""[\w &amp;]*, (\d+\.\d+)""),"""")
"),"")</f>
        <v/>
      </c>
      <c r="O744" s="3" t="str">
        <f aca="false">IFERROR(__xludf.dummyfunction("if($T744&lt;&gt;"""",REGEXEXTRACT($T744, O$1&amp;""[\w &amp;]*, (\d+\.\d+)""),"""")
"),"")</f>
        <v/>
      </c>
      <c r="P744" s="2"/>
      <c r="Q744" s="2"/>
      <c r="R744" s="2"/>
      <c r="S744" s="2"/>
      <c r="T744" s="5"/>
    </row>
    <row r="745" customFormat="false" ht="15.75" hidden="false" customHeight="false" outlineLevel="0" collapsed="false">
      <c r="A745" s="4"/>
      <c r="B745" s="2"/>
      <c r="C745" s="2"/>
      <c r="D745" s="2"/>
      <c r="E745" s="2"/>
      <c r="F745" s="3" t="str">
        <f aca="false">IFERROR(__xludf.dummyfunction("if($T745&lt;&gt;"""",REGEXEXTRACT(SUBSTITUTE ($T745,F$1&amp;"" CE"",""""), F$1&amp;""[\w &amp;]*, (\d+\.\d+)""),"""")
"),"")</f>
        <v/>
      </c>
      <c r="G745" s="3" t="str">
        <f aca="false">IFERROR(__xludf.dummyfunction("if($T745&lt;&gt;"""",REGEXEXTRACT($T745, G$1&amp;""[\w &amp;]*, (\d+\.\d+)""),"""")
"),"")</f>
        <v/>
      </c>
      <c r="H745" s="3"/>
      <c r="I745" s="3" t="str">
        <f aca="false">IFERROR(__xludf.dummyfunction("if($T745&lt;&gt;"""",REGEXEXTRACT(SUBSTITUTE ($T745,I$1&amp;"" CE"",""""), I$1&amp;""[\w &amp;]*, (\d+\.\d+)""),"""")
"),"")</f>
        <v/>
      </c>
      <c r="J745" s="3" t="str">
        <f aca="false">IFERROR(__xludf.dummyfunction("if($T745&lt;&gt;"""",REGEXEXTRACT($T745, J$1&amp;""[\w &amp;]*, (\d+\.\d+)""),"""")
"),"")</f>
        <v/>
      </c>
      <c r="K745" s="3"/>
      <c r="L745" s="3" t="str">
        <f aca="false">IFERROR(__xludf.dummyfunction("if($T745&lt;&gt;"""",REGEXEXTRACT(SUBSTITUTE ($T745,L$1&amp;"" CE"",""""), L$1&amp;""[\w &amp;]*, (\d+\.\d+)""),"""")
"),"")</f>
        <v/>
      </c>
      <c r="M745" s="3" t="str">
        <f aca="false">IFERROR(__xludf.dummyfunction("if($T745&lt;&gt;"""",REGEXEXTRACT($T745, M$1&amp;""[\w &amp;]*, (\d+\.\d+)""),"""")
"),"")</f>
        <v/>
      </c>
      <c r="N745" s="3" t="str">
        <f aca="false">IFERROR(__xludf.dummyfunction("if($T745&lt;&gt;"""",REGEXEXTRACT(SUBSTITUTE ($T745,N$1&amp;"" CE"",""""), N$1&amp;""[\w &amp;]*, (\d+\.\d+)""),"""")
"),"")</f>
        <v/>
      </c>
      <c r="O745" s="3" t="str">
        <f aca="false">IFERROR(__xludf.dummyfunction("if($T745&lt;&gt;"""",REGEXEXTRACT($T745, O$1&amp;""[\w &amp;]*, (\d+\.\d+)""),"""")
"),"")</f>
        <v/>
      </c>
      <c r="P745" s="2"/>
      <c r="Q745" s="2"/>
      <c r="R745" s="2"/>
      <c r="S745" s="2"/>
      <c r="T745" s="5"/>
    </row>
    <row r="746" customFormat="false" ht="15.75" hidden="false" customHeight="false" outlineLevel="0" collapsed="false">
      <c r="A746" s="4"/>
      <c r="B746" s="2"/>
      <c r="C746" s="2"/>
      <c r="D746" s="2"/>
      <c r="E746" s="2"/>
      <c r="F746" s="3" t="str">
        <f aca="false">IFERROR(__xludf.dummyfunction("if($T746&lt;&gt;"""",REGEXEXTRACT(SUBSTITUTE ($T746,F$1&amp;"" CE"",""""), F$1&amp;""[\w &amp;]*, (\d+\.\d+)""),"""")
"),"")</f>
        <v/>
      </c>
      <c r="G746" s="3" t="str">
        <f aca="false">IFERROR(__xludf.dummyfunction("if($T746&lt;&gt;"""",REGEXEXTRACT($T746, G$1&amp;""[\w &amp;]*, (\d+\.\d+)""),"""")
"),"")</f>
        <v/>
      </c>
      <c r="H746" s="3"/>
      <c r="I746" s="3" t="str">
        <f aca="false">IFERROR(__xludf.dummyfunction("if($T746&lt;&gt;"""",REGEXEXTRACT(SUBSTITUTE ($T746,I$1&amp;"" CE"",""""), I$1&amp;""[\w &amp;]*, (\d+\.\d+)""),"""")
"),"")</f>
        <v/>
      </c>
      <c r="J746" s="3" t="str">
        <f aca="false">IFERROR(__xludf.dummyfunction("if($T746&lt;&gt;"""",REGEXEXTRACT($T746, J$1&amp;""[\w &amp;]*, (\d+\.\d+)""),"""")
"),"")</f>
        <v/>
      </c>
      <c r="K746" s="3"/>
      <c r="L746" s="3" t="str">
        <f aca="false">IFERROR(__xludf.dummyfunction("if($T746&lt;&gt;"""",REGEXEXTRACT(SUBSTITUTE ($T746,L$1&amp;"" CE"",""""), L$1&amp;""[\w &amp;]*, (\d+\.\d+)""),"""")
"),"")</f>
        <v/>
      </c>
      <c r="M746" s="3" t="str">
        <f aca="false">IFERROR(__xludf.dummyfunction("if($T746&lt;&gt;"""",REGEXEXTRACT($T746, M$1&amp;""[\w &amp;]*, (\d+\.\d+)""),"""")
"),"")</f>
        <v/>
      </c>
      <c r="N746" s="3" t="str">
        <f aca="false">IFERROR(__xludf.dummyfunction("if($T746&lt;&gt;"""",REGEXEXTRACT(SUBSTITUTE ($T746,N$1&amp;"" CE"",""""), N$1&amp;""[\w &amp;]*, (\d+\.\d+)""),"""")
"),"")</f>
        <v/>
      </c>
      <c r="O746" s="3" t="str">
        <f aca="false">IFERROR(__xludf.dummyfunction("if($T746&lt;&gt;"""",REGEXEXTRACT($T746, O$1&amp;""[\w &amp;]*, (\d+\.\d+)""),"""")
"),"")</f>
        <v/>
      </c>
      <c r="P746" s="2"/>
      <c r="Q746" s="2"/>
      <c r="R746" s="2"/>
      <c r="S746" s="2"/>
      <c r="T746" s="5"/>
    </row>
    <row r="747" customFormat="false" ht="15.75" hidden="false" customHeight="false" outlineLevel="0" collapsed="false">
      <c r="A747" s="4"/>
      <c r="B747" s="2"/>
      <c r="C747" s="2"/>
      <c r="D747" s="2"/>
      <c r="E747" s="2"/>
      <c r="F747" s="3" t="str">
        <f aca="false">IFERROR(__xludf.dummyfunction("if($T747&lt;&gt;"""",REGEXEXTRACT(SUBSTITUTE ($T747,F$1&amp;"" CE"",""""), F$1&amp;""[\w &amp;]*, (\d+\.\d+)""),"""")
"),"")</f>
        <v/>
      </c>
      <c r="G747" s="3" t="str">
        <f aca="false">IFERROR(__xludf.dummyfunction("if($T747&lt;&gt;"""",REGEXEXTRACT($T747, G$1&amp;""[\w &amp;]*, (\d+\.\d+)""),"""")
"),"")</f>
        <v/>
      </c>
      <c r="H747" s="3"/>
      <c r="I747" s="3" t="str">
        <f aca="false">IFERROR(__xludf.dummyfunction("if($T747&lt;&gt;"""",REGEXEXTRACT(SUBSTITUTE ($T747,I$1&amp;"" CE"",""""), I$1&amp;""[\w &amp;]*, (\d+\.\d+)""),"""")
"),"")</f>
        <v/>
      </c>
      <c r="J747" s="3" t="str">
        <f aca="false">IFERROR(__xludf.dummyfunction("if($T747&lt;&gt;"""",REGEXEXTRACT($T747, J$1&amp;""[\w &amp;]*, (\d+\.\d+)""),"""")
"),"")</f>
        <v/>
      </c>
      <c r="K747" s="3"/>
      <c r="L747" s="3" t="str">
        <f aca="false">IFERROR(__xludf.dummyfunction("if($T747&lt;&gt;"""",REGEXEXTRACT(SUBSTITUTE ($T747,L$1&amp;"" CE"",""""), L$1&amp;""[\w &amp;]*, (\d+\.\d+)""),"""")
"),"")</f>
        <v/>
      </c>
      <c r="M747" s="3" t="str">
        <f aca="false">IFERROR(__xludf.dummyfunction("if($T747&lt;&gt;"""",REGEXEXTRACT($T747, M$1&amp;""[\w &amp;]*, (\d+\.\d+)""),"""")
"),"")</f>
        <v/>
      </c>
      <c r="N747" s="3" t="str">
        <f aca="false">IFERROR(__xludf.dummyfunction("if($T747&lt;&gt;"""",REGEXEXTRACT(SUBSTITUTE ($T747,N$1&amp;"" CE"",""""), N$1&amp;""[\w &amp;]*, (\d+\.\d+)""),"""")
"),"")</f>
        <v/>
      </c>
      <c r="O747" s="3" t="str">
        <f aca="false">IFERROR(__xludf.dummyfunction("if($T747&lt;&gt;"""",REGEXEXTRACT($T747, O$1&amp;""[\w &amp;]*, (\d+\.\d+)""),"""")
"),"")</f>
        <v/>
      </c>
      <c r="P747" s="2"/>
      <c r="Q747" s="2"/>
      <c r="R747" s="2"/>
      <c r="S747" s="2"/>
      <c r="T747" s="5"/>
    </row>
    <row r="748" customFormat="false" ht="15.75" hidden="false" customHeight="false" outlineLevel="0" collapsed="false">
      <c r="A748" s="4"/>
      <c r="B748" s="2"/>
      <c r="C748" s="2"/>
      <c r="D748" s="2"/>
      <c r="E748" s="2"/>
      <c r="F748" s="3" t="str">
        <f aca="false">IFERROR(__xludf.dummyfunction("if($T748&lt;&gt;"""",REGEXEXTRACT(SUBSTITUTE ($T748,F$1&amp;"" CE"",""""), F$1&amp;""[\w &amp;]*, (\d+\.\d+)""),"""")
"),"")</f>
        <v/>
      </c>
      <c r="G748" s="3" t="str">
        <f aca="false">IFERROR(__xludf.dummyfunction("if($T748&lt;&gt;"""",REGEXEXTRACT($T748, G$1&amp;""[\w &amp;]*, (\d+\.\d+)""),"""")
"),"")</f>
        <v/>
      </c>
      <c r="H748" s="3"/>
      <c r="I748" s="3" t="str">
        <f aca="false">IFERROR(__xludf.dummyfunction("if($T748&lt;&gt;"""",REGEXEXTRACT(SUBSTITUTE ($T748,I$1&amp;"" CE"",""""), I$1&amp;""[\w &amp;]*, (\d+\.\d+)""),"""")
"),"")</f>
        <v/>
      </c>
      <c r="J748" s="3" t="str">
        <f aca="false">IFERROR(__xludf.dummyfunction("if($T748&lt;&gt;"""",REGEXEXTRACT($T748, J$1&amp;""[\w &amp;]*, (\d+\.\d+)""),"""")
"),"")</f>
        <v/>
      </c>
      <c r="K748" s="3"/>
      <c r="L748" s="3" t="str">
        <f aca="false">IFERROR(__xludf.dummyfunction("if($T748&lt;&gt;"""",REGEXEXTRACT(SUBSTITUTE ($T748,L$1&amp;"" CE"",""""), L$1&amp;""[\w &amp;]*, (\d+\.\d+)""),"""")
"),"")</f>
        <v/>
      </c>
      <c r="M748" s="3" t="str">
        <f aca="false">IFERROR(__xludf.dummyfunction("if($T748&lt;&gt;"""",REGEXEXTRACT($T748, M$1&amp;""[\w &amp;]*, (\d+\.\d+)""),"""")
"),"")</f>
        <v/>
      </c>
      <c r="N748" s="3" t="str">
        <f aca="false">IFERROR(__xludf.dummyfunction("if($T748&lt;&gt;"""",REGEXEXTRACT(SUBSTITUTE ($T748,N$1&amp;"" CE"",""""), N$1&amp;""[\w &amp;]*, (\d+\.\d+)""),"""")
"),"")</f>
        <v/>
      </c>
      <c r="O748" s="3" t="str">
        <f aca="false">IFERROR(__xludf.dummyfunction("if($T748&lt;&gt;"""",REGEXEXTRACT($T748, O$1&amp;""[\w &amp;]*, (\d+\.\d+)""),"""")
"),"")</f>
        <v/>
      </c>
      <c r="P748" s="2"/>
      <c r="Q748" s="2"/>
      <c r="R748" s="2"/>
      <c r="S748" s="2"/>
      <c r="T748" s="5"/>
    </row>
    <row r="749" customFormat="false" ht="15.75" hidden="false" customHeight="false" outlineLevel="0" collapsed="false">
      <c r="A749" s="4"/>
      <c r="B749" s="2"/>
      <c r="C749" s="2"/>
      <c r="D749" s="2"/>
      <c r="E749" s="2"/>
      <c r="F749" s="3" t="str">
        <f aca="false">IFERROR(__xludf.dummyfunction("if($T749&lt;&gt;"""",REGEXEXTRACT(SUBSTITUTE ($T749,F$1&amp;"" CE"",""""), F$1&amp;""[\w &amp;]*, (\d+\.\d+)""),"""")
"),"")</f>
        <v/>
      </c>
      <c r="G749" s="3" t="str">
        <f aca="false">IFERROR(__xludf.dummyfunction("if($T749&lt;&gt;"""",REGEXEXTRACT($T749, G$1&amp;""[\w &amp;]*, (\d+\.\d+)""),"""")
"),"")</f>
        <v/>
      </c>
      <c r="H749" s="3"/>
      <c r="I749" s="3" t="str">
        <f aca="false">IFERROR(__xludf.dummyfunction("if($T749&lt;&gt;"""",REGEXEXTRACT(SUBSTITUTE ($T749,I$1&amp;"" CE"",""""), I$1&amp;""[\w &amp;]*, (\d+\.\d+)""),"""")
"),"")</f>
        <v/>
      </c>
      <c r="J749" s="3" t="str">
        <f aca="false">IFERROR(__xludf.dummyfunction("if($T749&lt;&gt;"""",REGEXEXTRACT($T749, J$1&amp;""[\w &amp;]*, (\d+\.\d+)""),"""")
"),"")</f>
        <v/>
      </c>
      <c r="K749" s="3"/>
      <c r="L749" s="3" t="str">
        <f aca="false">IFERROR(__xludf.dummyfunction("if($T749&lt;&gt;"""",REGEXEXTRACT(SUBSTITUTE ($T749,L$1&amp;"" CE"",""""), L$1&amp;""[\w &amp;]*, (\d+\.\d+)""),"""")
"),"")</f>
        <v/>
      </c>
      <c r="M749" s="3" t="str">
        <f aca="false">IFERROR(__xludf.dummyfunction("if($T749&lt;&gt;"""",REGEXEXTRACT($T749, M$1&amp;""[\w &amp;]*, (\d+\.\d+)""),"""")
"),"")</f>
        <v/>
      </c>
      <c r="N749" s="3" t="str">
        <f aca="false">IFERROR(__xludf.dummyfunction("if($T749&lt;&gt;"""",REGEXEXTRACT(SUBSTITUTE ($T749,N$1&amp;"" CE"",""""), N$1&amp;""[\w &amp;]*, (\d+\.\d+)""),"""")
"),"")</f>
        <v/>
      </c>
      <c r="O749" s="3" t="str">
        <f aca="false">IFERROR(__xludf.dummyfunction("if($T749&lt;&gt;"""",REGEXEXTRACT($T749, O$1&amp;""[\w &amp;]*, (\d+\.\d+)""),"""")
"),"")</f>
        <v/>
      </c>
      <c r="P749" s="2"/>
      <c r="Q749" s="2"/>
      <c r="R749" s="2"/>
      <c r="S749" s="2"/>
      <c r="T749" s="5"/>
    </row>
    <row r="750" customFormat="false" ht="15.75" hidden="false" customHeight="false" outlineLevel="0" collapsed="false">
      <c r="A750" s="4"/>
      <c r="B750" s="2"/>
      <c r="C750" s="2"/>
      <c r="D750" s="2"/>
      <c r="E750" s="2"/>
      <c r="F750" s="3" t="str">
        <f aca="false">IFERROR(__xludf.dummyfunction("if($T750&lt;&gt;"""",REGEXEXTRACT(SUBSTITUTE ($T750,F$1&amp;"" CE"",""""), F$1&amp;""[\w &amp;]*, (\d+\.\d+)""),"""")
"),"")</f>
        <v/>
      </c>
      <c r="G750" s="3" t="str">
        <f aca="false">IFERROR(__xludf.dummyfunction("if($T750&lt;&gt;"""",REGEXEXTRACT($T750, G$1&amp;""[\w &amp;]*, (\d+\.\d+)""),"""")
"),"")</f>
        <v/>
      </c>
      <c r="H750" s="3"/>
      <c r="I750" s="3" t="str">
        <f aca="false">IFERROR(__xludf.dummyfunction("if($T750&lt;&gt;"""",REGEXEXTRACT(SUBSTITUTE ($T750,I$1&amp;"" CE"",""""), I$1&amp;""[\w &amp;]*, (\d+\.\d+)""),"""")
"),"")</f>
        <v/>
      </c>
      <c r="J750" s="3" t="str">
        <f aca="false">IFERROR(__xludf.dummyfunction("if($T750&lt;&gt;"""",REGEXEXTRACT($T750, J$1&amp;""[\w &amp;]*, (\d+\.\d+)""),"""")
"),"")</f>
        <v/>
      </c>
      <c r="K750" s="3"/>
      <c r="L750" s="3" t="str">
        <f aca="false">IFERROR(__xludf.dummyfunction("if($T750&lt;&gt;"""",REGEXEXTRACT(SUBSTITUTE ($T750,L$1&amp;"" CE"",""""), L$1&amp;""[\w &amp;]*, (\d+\.\d+)""),"""")
"),"")</f>
        <v/>
      </c>
      <c r="M750" s="3" t="str">
        <f aca="false">IFERROR(__xludf.dummyfunction("if($T750&lt;&gt;"""",REGEXEXTRACT($T750, M$1&amp;""[\w &amp;]*, (\d+\.\d+)""),"""")
"),"")</f>
        <v/>
      </c>
      <c r="N750" s="3" t="str">
        <f aca="false">IFERROR(__xludf.dummyfunction("if($T750&lt;&gt;"""",REGEXEXTRACT(SUBSTITUTE ($T750,N$1&amp;"" CE"",""""), N$1&amp;""[\w &amp;]*, (\d+\.\d+)""),"""")
"),"")</f>
        <v/>
      </c>
      <c r="O750" s="3" t="str">
        <f aca="false">IFERROR(__xludf.dummyfunction("if($T750&lt;&gt;"""",REGEXEXTRACT($T750, O$1&amp;""[\w &amp;]*, (\d+\.\d+)""),"""")
"),"")</f>
        <v/>
      </c>
      <c r="P750" s="2"/>
      <c r="Q750" s="2"/>
      <c r="R750" s="2"/>
      <c r="S750" s="2"/>
      <c r="T750" s="5"/>
    </row>
    <row r="751" customFormat="false" ht="15.75" hidden="false" customHeight="false" outlineLevel="0" collapsed="false">
      <c r="A751" s="4"/>
      <c r="B751" s="2"/>
      <c r="C751" s="2"/>
      <c r="D751" s="2"/>
      <c r="E751" s="2"/>
      <c r="F751" s="3" t="str">
        <f aca="false">IFERROR(__xludf.dummyfunction("if($T751&lt;&gt;"""",REGEXEXTRACT(SUBSTITUTE ($T751,F$1&amp;"" CE"",""""), F$1&amp;""[\w &amp;]*, (\d+\.\d+)""),"""")
"),"")</f>
        <v/>
      </c>
      <c r="G751" s="3" t="str">
        <f aca="false">IFERROR(__xludf.dummyfunction("if($T751&lt;&gt;"""",REGEXEXTRACT($T751, G$1&amp;""[\w &amp;]*, (\d+\.\d+)""),"""")
"),"")</f>
        <v/>
      </c>
      <c r="H751" s="3"/>
      <c r="I751" s="3" t="str">
        <f aca="false">IFERROR(__xludf.dummyfunction("if($T751&lt;&gt;"""",REGEXEXTRACT(SUBSTITUTE ($T751,I$1&amp;"" CE"",""""), I$1&amp;""[\w &amp;]*, (\d+\.\d+)""),"""")
"),"")</f>
        <v/>
      </c>
      <c r="J751" s="3" t="str">
        <f aca="false">IFERROR(__xludf.dummyfunction("if($T751&lt;&gt;"""",REGEXEXTRACT($T751, J$1&amp;""[\w &amp;]*, (\d+\.\d+)""),"""")
"),"")</f>
        <v/>
      </c>
      <c r="K751" s="3"/>
      <c r="L751" s="3" t="str">
        <f aca="false">IFERROR(__xludf.dummyfunction("if($T751&lt;&gt;"""",REGEXEXTRACT(SUBSTITUTE ($T751,L$1&amp;"" CE"",""""), L$1&amp;""[\w &amp;]*, (\d+\.\d+)""),"""")
"),"")</f>
        <v/>
      </c>
      <c r="M751" s="3" t="str">
        <f aca="false">IFERROR(__xludf.dummyfunction("if($T751&lt;&gt;"""",REGEXEXTRACT($T751, M$1&amp;""[\w &amp;]*, (\d+\.\d+)""),"""")
"),"")</f>
        <v/>
      </c>
      <c r="N751" s="3" t="str">
        <f aca="false">IFERROR(__xludf.dummyfunction("if($T751&lt;&gt;"""",REGEXEXTRACT(SUBSTITUTE ($T751,N$1&amp;"" CE"",""""), N$1&amp;""[\w &amp;]*, (\d+\.\d+)""),"""")
"),"")</f>
        <v/>
      </c>
      <c r="O751" s="3" t="str">
        <f aca="false">IFERROR(__xludf.dummyfunction("if($T751&lt;&gt;"""",REGEXEXTRACT($T751, O$1&amp;""[\w &amp;]*, (\d+\.\d+)""),"""")
"),"")</f>
        <v/>
      </c>
      <c r="P751" s="2"/>
      <c r="Q751" s="2"/>
      <c r="R751" s="2"/>
      <c r="S751" s="2"/>
      <c r="T751" s="5"/>
    </row>
    <row r="752" customFormat="false" ht="15.75" hidden="false" customHeight="false" outlineLevel="0" collapsed="false">
      <c r="A752" s="4"/>
      <c r="B752" s="2"/>
      <c r="C752" s="2"/>
      <c r="D752" s="2"/>
      <c r="E752" s="2"/>
      <c r="F752" s="3" t="str">
        <f aca="false">IFERROR(__xludf.dummyfunction("if($T752&lt;&gt;"""",REGEXEXTRACT(SUBSTITUTE ($T752,F$1&amp;"" CE"",""""), F$1&amp;""[\w &amp;]*, (\d+\.\d+)""),"""")
"),"")</f>
        <v/>
      </c>
      <c r="G752" s="3" t="str">
        <f aca="false">IFERROR(__xludf.dummyfunction("if($T752&lt;&gt;"""",REGEXEXTRACT($T752, G$1&amp;""[\w &amp;]*, (\d+\.\d+)""),"""")
"),"")</f>
        <v/>
      </c>
      <c r="H752" s="3"/>
      <c r="I752" s="3" t="str">
        <f aca="false">IFERROR(__xludf.dummyfunction("if($T752&lt;&gt;"""",REGEXEXTRACT(SUBSTITUTE ($T752,I$1&amp;"" CE"",""""), I$1&amp;""[\w &amp;]*, (\d+\.\d+)""),"""")
"),"")</f>
        <v/>
      </c>
      <c r="J752" s="3" t="str">
        <f aca="false">IFERROR(__xludf.dummyfunction("if($T752&lt;&gt;"""",REGEXEXTRACT($T752, J$1&amp;""[\w &amp;]*, (\d+\.\d+)""),"""")
"),"")</f>
        <v/>
      </c>
      <c r="K752" s="3"/>
      <c r="L752" s="3" t="str">
        <f aca="false">IFERROR(__xludf.dummyfunction("if($T752&lt;&gt;"""",REGEXEXTRACT(SUBSTITUTE ($T752,L$1&amp;"" CE"",""""), L$1&amp;""[\w &amp;]*, (\d+\.\d+)""),"""")
"),"")</f>
        <v/>
      </c>
      <c r="M752" s="3" t="str">
        <f aca="false">IFERROR(__xludf.dummyfunction("if($T752&lt;&gt;"""",REGEXEXTRACT($T752, M$1&amp;""[\w &amp;]*, (\d+\.\d+)""),"""")
"),"")</f>
        <v/>
      </c>
      <c r="N752" s="3" t="str">
        <f aca="false">IFERROR(__xludf.dummyfunction("if($T752&lt;&gt;"""",REGEXEXTRACT(SUBSTITUTE ($T752,N$1&amp;"" CE"",""""), N$1&amp;""[\w &amp;]*, (\d+\.\d+)""),"""")
"),"")</f>
        <v/>
      </c>
      <c r="O752" s="3" t="str">
        <f aca="false">IFERROR(__xludf.dummyfunction("if($T752&lt;&gt;"""",REGEXEXTRACT($T752, O$1&amp;""[\w &amp;]*, (\d+\.\d+)""),"""")
"),"")</f>
        <v/>
      </c>
      <c r="P752" s="2"/>
      <c r="Q752" s="2"/>
      <c r="R752" s="2"/>
      <c r="S752" s="2"/>
      <c r="T752" s="5"/>
    </row>
    <row r="753" customFormat="false" ht="15.75" hidden="false" customHeight="false" outlineLevel="0" collapsed="false">
      <c r="A753" s="4"/>
      <c r="B753" s="2"/>
      <c r="C753" s="2"/>
      <c r="D753" s="2"/>
      <c r="E753" s="2"/>
      <c r="F753" s="3" t="str">
        <f aca="false">IFERROR(__xludf.dummyfunction("if($T753&lt;&gt;"""",REGEXEXTRACT(SUBSTITUTE ($T753,F$1&amp;"" CE"",""""), F$1&amp;""[\w &amp;]*, (\d+\.\d+)""),"""")
"),"")</f>
        <v/>
      </c>
      <c r="G753" s="3" t="str">
        <f aca="false">IFERROR(__xludf.dummyfunction("if($T753&lt;&gt;"""",REGEXEXTRACT($T753, G$1&amp;""[\w &amp;]*, (\d+\.\d+)""),"""")
"),"")</f>
        <v/>
      </c>
      <c r="H753" s="3"/>
      <c r="I753" s="3" t="str">
        <f aca="false">IFERROR(__xludf.dummyfunction("if($T753&lt;&gt;"""",REGEXEXTRACT(SUBSTITUTE ($T753,I$1&amp;"" CE"",""""), I$1&amp;""[\w &amp;]*, (\d+\.\d+)""),"""")
"),"")</f>
        <v/>
      </c>
      <c r="J753" s="3" t="str">
        <f aca="false">IFERROR(__xludf.dummyfunction("if($T753&lt;&gt;"""",REGEXEXTRACT($T753, J$1&amp;""[\w &amp;]*, (\d+\.\d+)""),"""")
"),"")</f>
        <v/>
      </c>
      <c r="K753" s="3"/>
      <c r="L753" s="3" t="str">
        <f aca="false">IFERROR(__xludf.dummyfunction("if($T753&lt;&gt;"""",REGEXEXTRACT(SUBSTITUTE ($T753,L$1&amp;"" CE"",""""), L$1&amp;""[\w &amp;]*, (\d+\.\d+)""),"""")
"),"")</f>
        <v/>
      </c>
      <c r="M753" s="3" t="str">
        <f aca="false">IFERROR(__xludf.dummyfunction("if($T753&lt;&gt;"""",REGEXEXTRACT($T753, M$1&amp;""[\w &amp;]*, (\d+\.\d+)""),"""")
"),"")</f>
        <v/>
      </c>
      <c r="N753" s="3" t="str">
        <f aca="false">IFERROR(__xludf.dummyfunction("if($T753&lt;&gt;"""",REGEXEXTRACT(SUBSTITUTE ($T753,N$1&amp;"" CE"",""""), N$1&amp;""[\w &amp;]*, (\d+\.\d+)""),"""")
"),"")</f>
        <v/>
      </c>
      <c r="O753" s="3" t="str">
        <f aca="false">IFERROR(__xludf.dummyfunction("if($T753&lt;&gt;"""",REGEXEXTRACT($T753, O$1&amp;""[\w &amp;]*, (\d+\.\d+)""),"""")
"),"")</f>
        <v/>
      </c>
      <c r="P753" s="2"/>
      <c r="Q753" s="2"/>
      <c r="R753" s="2"/>
      <c r="S753" s="2"/>
      <c r="T753" s="5"/>
    </row>
    <row r="754" customFormat="false" ht="15.75" hidden="false" customHeight="false" outlineLevel="0" collapsed="false">
      <c r="A754" s="4"/>
      <c r="B754" s="2"/>
      <c r="C754" s="2"/>
      <c r="D754" s="2"/>
      <c r="E754" s="2"/>
      <c r="F754" s="3" t="str">
        <f aca="false">IFERROR(__xludf.dummyfunction("if($T754&lt;&gt;"""",REGEXEXTRACT(SUBSTITUTE ($T754,F$1&amp;"" CE"",""""), F$1&amp;""[\w &amp;]*, (\d+\.\d+)""),"""")
"),"")</f>
        <v/>
      </c>
      <c r="G754" s="3" t="str">
        <f aca="false">IFERROR(__xludf.dummyfunction("if($T754&lt;&gt;"""",REGEXEXTRACT($T754, G$1&amp;""[\w &amp;]*, (\d+\.\d+)""),"""")
"),"")</f>
        <v/>
      </c>
      <c r="H754" s="3"/>
      <c r="I754" s="3" t="str">
        <f aca="false">IFERROR(__xludf.dummyfunction("if($T754&lt;&gt;"""",REGEXEXTRACT(SUBSTITUTE ($T754,I$1&amp;"" CE"",""""), I$1&amp;""[\w &amp;]*, (\d+\.\d+)""),"""")
"),"")</f>
        <v/>
      </c>
      <c r="J754" s="3" t="str">
        <f aca="false">IFERROR(__xludf.dummyfunction("if($T754&lt;&gt;"""",REGEXEXTRACT($T754, J$1&amp;""[\w &amp;]*, (\d+\.\d+)""),"""")
"),"")</f>
        <v/>
      </c>
      <c r="K754" s="3"/>
      <c r="L754" s="3" t="str">
        <f aca="false">IFERROR(__xludf.dummyfunction("if($T754&lt;&gt;"""",REGEXEXTRACT(SUBSTITUTE ($T754,L$1&amp;"" CE"",""""), L$1&amp;""[\w &amp;]*, (\d+\.\d+)""),"""")
"),"")</f>
        <v/>
      </c>
      <c r="M754" s="3" t="str">
        <f aca="false">IFERROR(__xludf.dummyfunction("if($T754&lt;&gt;"""",REGEXEXTRACT($T754, M$1&amp;""[\w &amp;]*, (\d+\.\d+)""),"""")
"),"")</f>
        <v/>
      </c>
      <c r="N754" s="3" t="str">
        <f aca="false">IFERROR(__xludf.dummyfunction("if($T754&lt;&gt;"""",REGEXEXTRACT(SUBSTITUTE ($T754,N$1&amp;"" CE"",""""), N$1&amp;""[\w &amp;]*, (\d+\.\d+)""),"""")
"),"")</f>
        <v/>
      </c>
      <c r="O754" s="3" t="str">
        <f aca="false">IFERROR(__xludf.dummyfunction("if($T754&lt;&gt;"""",REGEXEXTRACT($T754, O$1&amp;""[\w &amp;]*, (\d+\.\d+)""),"""")
"),"")</f>
        <v/>
      </c>
      <c r="P754" s="2"/>
      <c r="Q754" s="2"/>
      <c r="R754" s="2"/>
      <c r="S754" s="2"/>
      <c r="T754" s="5"/>
    </row>
    <row r="755" customFormat="false" ht="15.75" hidden="false" customHeight="false" outlineLevel="0" collapsed="false">
      <c r="A755" s="4"/>
      <c r="B755" s="2"/>
      <c r="C755" s="2"/>
      <c r="D755" s="2"/>
      <c r="E755" s="2"/>
      <c r="F755" s="3" t="str">
        <f aca="false">IFERROR(__xludf.dummyfunction("if($T755&lt;&gt;"""",REGEXEXTRACT(SUBSTITUTE ($T755,F$1&amp;"" CE"",""""), F$1&amp;""[\w &amp;]*, (\d+\.\d+)""),"""")
"),"")</f>
        <v/>
      </c>
      <c r="G755" s="3" t="str">
        <f aca="false">IFERROR(__xludf.dummyfunction("if($T755&lt;&gt;"""",REGEXEXTRACT($T755, G$1&amp;""[\w &amp;]*, (\d+\.\d+)""),"""")
"),"")</f>
        <v/>
      </c>
      <c r="H755" s="3"/>
      <c r="I755" s="3" t="str">
        <f aca="false">IFERROR(__xludf.dummyfunction("if($T755&lt;&gt;"""",REGEXEXTRACT(SUBSTITUTE ($T755,I$1&amp;"" CE"",""""), I$1&amp;""[\w &amp;]*, (\d+\.\d+)""),"""")
"),"")</f>
        <v/>
      </c>
      <c r="J755" s="3" t="str">
        <f aca="false">IFERROR(__xludf.dummyfunction("if($T755&lt;&gt;"""",REGEXEXTRACT($T755, J$1&amp;""[\w &amp;]*, (\d+\.\d+)""),"""")
"),"")</f>
        <v/>
      </c>
      <c r="K755" s="3"/>
      <c r="L755" s="3" t="str">
        <f aca="false">IFERROR(__xludf.dummyfunction("if($T755&lt;&gt;"""",REGEXEXTRACT(SUBSTITUTE ($T755,L$1&amp;"" CE"",""""), L$1&amp;""[\w &amp;]*, (\d+\.\d+)""),"""")
"),"")</f>
        <v/>
      </c>
      <c r="M755" s="3" t="str">
        <f aca="false">IFERROR(__xludf.dummyfunction("if($T755&lt;&gt;"""",REGEXEXTRACT($T755, M$1&amp;""[\w &amp;]*, (\d+\.\d+)""),"""")
"),"")</f>
        <v/>
      </c>
      <c r="N755" s="3" t="str">
        <f aca="false">IFERROR(__xludf.dummyfunction("if($T755&lt;&gt;"""",REGEXEXTRACT(SUBSTITUTE ($T755,N$1&amp;"" CE"",""""), N$1&amp;""[\w &amp;]*, (\d+\.\d+)""),"""")
"),"")</f>
        <v/>
      </c>
      <c r="O755" s="3" t="str">
        <f aca="false">IFERROR(__xludf.dummyfunction("if($T755&lt;&gt;"""",REGEXEXTRACT($T755, O$1&amp;""[\w &amp;]*, (\d+\.\d+)""),"""")
"),"")</f>
        <v/>
      </c>
      <c r="P755" s="2"/>
      <c r="Q755" s="2"/>
      <c r="R755" s="2"/>
      <c r="S755" s="2"/>
      <c r="T755" s="5"/>
    </row>
    <row r="756" customFormat="false" ht="15.75" hidden="false" customHeight="false" outlineLevel="0" collapsed="false">
      <c r="A756" s="4"/>
      <c r="B756" s="2"/>
      <c r="C756" s="2"/>
      <c r="D756" s="2"/>
      <c r="E756" s="2"/>
      <c r="F756" s="3" t="str">
        <f aca="false">IFERROR(__xludf.dummyfunction("if($T756&lt;&gt;"""",REGEXEXTRACT(SUBSTITUTE ($T756,F$1&amp;"" CE"",""""), F$1&amp;""[\w &amp;]*, (\d+\.\d+)""),"""")
"),"")</f>
        <v/>
      </c>
      <c r="G756" s="3" t="str">
        <f aca="false">IFERROR(__xludf.dummyfunction("if($T756&lt;&gt;"""",REGEXEXTRACT($T756, G$1&amp;""[\w &amp;]*, (\d+\.\d+)""),"""")
"),"")</f>
        <v/>
      </c>
      <c r="H756" s="3"/>
      <c r="I756" s="3" t="str">
        <f aca="false">IFERROR(__xludf.dummyfunction("if($T756&lt;&gt;"""",REGEXEXTRACT(SUBSTITUTE ($T756,I$1&amp;"" CE"",""""), I$1&amp;""[\w &amp;]*, (\d+\.\d+)""),"""")
"),"")</f>
        <v/>
      </c>
      <c r="J756" s="3" t="str">
        <f aca="false">IFERROR(__xludf.dummyfunction("if($T756&lt;&gt;"""",REGEXEXTRACT($T756, J$1&amp;""[\w &amp;]*, (\d+\.\d+)""),"""")
"),"")</f>
        <v/>
      </c>
      <c r="K756" s="3"/>
      <c r="L756" s="3" t="str">
        <f aca="false">IFERROR(__xludf.dummyfunction("if($T756&lt;&gt;"""",REGEXEXTRACT(SUBSTITUTE ($T756,L$1&amp;"" CE"",""""), L$1&amp;""[\w &amp;]*, (\d+\.\d+)""),"""")
"),"")</f>
        <v/>
      </c>
      <c r="M756" s="3" t="str">
        <f aca="false">IFERROR(__xludf.dummyfunction("if($T756&lt;&gt;"""",REGEXEXTRACT($T756, M$1&amp;""[\w &amp;]*, (\d+\.\d+)""),"""")
"),"")</f>
        <v/>
      </c>
      <c r="N756" s="3" t="str">
        <f aca="false">IFERROR(__xludf.dummyfunction("if($T756&lt;&gt;"""",REGEXEXTRACT(SUBSTITUTE ($T756,N$1&amp;"" CE"",""""), N$1&amp;""[\w &amp;]*, (\d+\.\d+)""),"""")
"),"")</f>
        <v/>
      </c>
      <c r="O756" s="3" t="str">
        <f aca="false">IFERROR(__xludf.dummyfunction("if($T756&lt;&gt;"""",REGEXEXTRACT($T756, O$1&amp;""[\w &amp;]*, (\d+\.\d+)""),"""")
"),"")</f>
        <v/>
      </c>
      <c r="P756" s="2"/>
      <c r="Q756" s="2"/>
      <c r="R756" s="2"/>
      <c r="S756" s="2"/>
      <c r="T756" s="5"/>
    </row>
    <row r="757" customFormat="false" ht="15.75" hidden="false" customHeight="false" outlineLevel="0" collapsed="false">
      <c r="A757" s="4"/>
      <c r="B757" s="2"/>
      <c r="C757" s="2"/>
      <c r="D757" s="2"/>
      <c r="E757" s="2"/>
      <c r="F757" s="3" t="str">
        <f aca="false">IFERROR(__xludf.dummyfunction("if($T757&lt;&gt;"""",REGEXEXTRACT(SUBSTITUTE ($T757,F$1&amp;"" CE"",""""), F$1&amp;""[\w &amp;]*, (\d+\.\d+)""),"""")
"),"")</f>
        <v/>
      </c>
      <c r="G757" s="3" t="str">
        <f aca="false">IFERROR(__xludf.dummyfunction("if($T757&lt;&gt;"""",REGEXEXTRACT($T757, G$1&amp;""[\w &amp;]*, (\d+\.\d+)""),"""")
"),"")</f>
        <v/>
      </c>
      <c r="H757" s="3"/>
      <c r="I757" s="3" t="str">
        <f aca="false">IFERROR(__xludf.dummyfunction("if($T757&lt;&gt;"""",REGEXEXTRACT(SUBSTITUTE ($T757,I$1&amp;"" CE"",""""), I$1&amp;""[\w &amp;]*, (\d+\.\d+)""),"""")
"),"")</f>
        <v/>
      </c>
      <c r="J757" s="3" t="str">
        <f aca="false">IFERROR(__xludf.dummyfunction("if($T757&lt;&gt;"""",REGEXEXTRACT($T757, J$1&amp;""[\w &amp;]*, (\d+\.\d+)""),"""")
"),"")</f>
        <v/>
      </c>
      <c r="K757" s="3"/>
      <c r="L757" s="3" t="str">
        <f aca="false">IFERROR(__xludf.dummyfunction("if($T757&lt;&gt;"""",REGEXEXTRACT(SUBSTITUTE ($T757,L$1&amp;"" CE"",""""), L$1&amp;""[\w &amp;]*, (\d+\.\d+)""),"""")
"),"")</f>
        <v/>
      </c>
      <c r="M757" s="3" t="str">
        <f aca="false">IFERROR(__xludf.dummyfunction("if($T757&lt;&gt;"""",REGEXEXTRACT($T757, M$1&amp;""[\w &amp;]*, (\d+\.\d+)""),"""")
"),"")</f>
        <v/>
      </c>
      <c r="N757" s="3" t="str">
        <f aca="false">IFERROR(__xludf.dummyfunction("if($T757&lt;&gt;"""",REGEXEXTRACT(SUBSTITUTE ($T757,N$1&amp;"" CE"",""""), N$1&amp;""[\w &amp;]*, (\d+\.\d+)""),"""")
"),"")</f>
        <v/>
      </c>
      <c r="O757" s="3" t="str">
        <f aca="false">IFERROR(__xludf.dummyfunction("if($T757&lt;&gt;"""",REGEXEXTRACT($T757, O$1&amp;""[\w &amp;]*, (\d+\.\d+)""),"""")
"),"")</f>
        <v/>
      </c>
      <c r="P757" s="2"/>
      <c r="Q757" s="2"/>
      <c r="R757" s="2"/>
      <c r="S757" s="2"/>
      <c r="T757" s="5"/>
    </row>
    <row r="758" customFormat="false" ht="15.75" hidden="false" customHeight="false" outlineLevel="0" collapsed="false">
      <c r="A758" s="4"/>
      <c r="B758" s="2"/>
      <c r="C758" s="2"/>
      <c r="D758" s="2"/>
      <c r="E758" s="2"/>
      <c r="F758" s="3" t="str">
        <f aca="false">IFERROR(__xludf.dummyfunction("if($T758&lt;&gt;"""",REGEXEXTRACT(SUBSTITUTE ($T758,F$1&amp;"" CE"",""""), F$1&amp;""[\w &amp;]*, (\d+\.\d+)""),"""")
"),"")</f>
        <v/>
      </c>
      <c r="G758" s="3" t="str">
        <f aca="false">IFERROR(__xludf.dummyfunction("if($T758&lt;&gt;"""",REGEXEXTRACT($T758, G$1&amp;""[\w &amp;]*, (\d+\.\d+)""),"""")
"),"")</f>
        <v/>
      </c>
      <c r="H758" s="3"/>
      <c r="I758" s="3" t="str">
        <f aca="false">IFERROR(__xludf.dummyfunction("if($T758&lt;&gt;"""",REGEXEXTRACT(SUBSTITUTE ($T758,I$1&amp;"" CE"",""""), I$1&amp;""[\w &amp;]*, (\d+\.\d+)""),"""")
"),"")</f>
        <v/>
      </c>
      <c r="J758" s="3" t="str">
        <f aca="false">IFERROR(__xludf.dummyfunction("if($T758&lt;&gt;"""",REGEXEXTRACT($T758, J$1&amp;""[\w &amp;]*, (\d+\.\d+)""),"""")
"),"")</f>
        <v/>
      </c>
      <c r="K758" s="3"/>
      <c r="L758" s="3" t="str">
        <f aca="false">IFERROR(__xludf.dummyfunction("if($T758&lt;&gt;"""",REGEXEXTRACT(SUBSTITUTE ($T758,L$1&amp;"" CE"",""""), L$1&amp;""[\w &amp;]*, (\d+\.\d+)""),"""")
"),"")</f>
        <v/>
      </c>
      <c r="M758" s="3" t="str">
        <f aca="false">IFERROR(__xludf.dummyfunction("if($T758&lt;&gt;"""",REGEXEXTRACT($T758, M$1&amp;""[\w &amp;]*, (\d+\.\d+)""),"""")
"),"")</f>
        <v/>
      </c>
      <c r="N758" s="3" t="str">
        <f aca="false">IFERROR(__xludf.dummyfunction("if($T758&lt;&gt;"""",REGEXEXTRACT(SUBSTITUTE ($T758,N$1&amp;"" CE"",""""), N$1&amp;""[\w &amp;]*, (\d+\.\d+)""),"""")
"),"")</f>
        <v/>
      </c>
      <c r="O758" s="3" t="str">
        <f aca="false">IFERROR(__xludf.dummyfunction("if($T758&lt;&gt;"""",REGEXEXTRACT($T758, O$1&amp;""[\w &amp;]*, (\d+\.\d+)""),"""")
"),"")</f>
        <v/>
      </c>
      <c r="P758" s="2"/>
      <c r="Q758" s="2"/>
      <c r="R758" s="2"/>
      <c r="S758" s="2"/>
      <c r="T758" s="5"/>
    </row>
    <row r="759" customFormat="false" ht="15.75" hidden="false" customHeight="false" outlineLevel="0" collapsed="false">
      <c r="A759" s="4"/>
      <c r="B759" s="2"/>
      <c r="C759" s="2"/>
      <c r="D759" s="2"/>
      <c r="E759" s="2"/>
      <c r="F759" s="3" t="str">
        <f aca="false">IFERROR(__xludf.dummyfunction("if($T759&lt;&gt;"""",REGEXEXTRACT(SUBSTITUTE ($T759,F$1&amp;"" CE"",""""), F$1&amp;""[\w &amp;]*, (\d+\.\d+)""),"""")
"),"")</f>
        <v/>
      </c>
      <c r="G759" s="3" t="str">
        <f aca="false">IFERROR(__xludf.dummyfunction("if($T759&lt;&gt;"""",REGEXEXTRACT($T759, G$1&amp;""[\w &amp;]*, (\d+\.\d+)""),"""")
"),"")</f>
        <v/>
      </c>
      <c r="H759" s="3"/>
      <c r="I759" s="3" t="str">
        <f aca="false">IFERROR(__xludf.dummyfunction("if($T759&lt;&gt;"""",REGEXEXTRACT(SUBSTITUTE ($T759,I$1&amp;"" CE"",""""), I$1&amp;""[\w &amp;]*, (\d+\.\d+)""),"""")
"),"")</f>
        <v/>
      </c>
      <c r="J759" s="3" t="str">
        <f aca="false">IFERROR(__xludf.dummyfunction("if($T759&lt;&gt;"""",REGEXEXTRACT($T759, J$1&amp;""[\w &amp;]*, (\d+\.\d+)""),"""")
"),"")</f>
        <v/>
      </c>
      <c r="K759" s="3"/>
      <c r="L759" s="3" t="str">
        <f aca="false">IFERROR(__xludf.dummyfunction("if($T759&lt;&gt;"""",REGEXEXTRACT(SUBSTITUTE ($T759,L$1&amp;"" CE"",""""), L$1&amp;""[\w &amp;]*, (\d+\.\d+)""),"""")
"),"")</f>
        <v/>
      </c>
      <c r="M759" s="3" t="str">
        <f aca="false">IFERROR(__xludf.dummyfunction("if($T759&lt;&gt;"""",REGEXEXTRACT($T759, M$1&amp;""[\w &amp;]*, (\d+\.\d+)""),"""")
"),"")</f>
        <v/>
      </c>
      <c r="N759" s="3" t="str">
        <f aca="false">IFERROR(__xludf.dummyfunction("if($T759&lt;&gt;"""",REGEXEXTRACT(SUBSTITUTE ($T759,N$1&amp;"" CE"",""""), N$1&amp;""[\w &amp;]*, (\d+\.\d+)""),"""")
"),"")</f>
        <v/>
      </c>
      <c r="O759" s="3" t="str">
        <f aca="false">IFERROR(__xludf.dummyfunction("if($T759&lt;&gt;"""",REGEXEXTRACT($T759, O$1&amp;""[\w &amp;]*, (\d+\.\d+)""),"""")
"),"")</f>
        <v/>
      </c>
      <c r="P759" s="2"/>
      <c r="Q759" s="2"/>
      <c r="R759" s="2"/>
      <c r="S759" s="2"/>
      <c r="T759" s="5"/>
    </row>
    <row r="760" customFormat="false" ht="15.75" hidden="false" customHeight="false" outlineLevel="0" collapsed="false">
      <c r="A760" s="4"/>
      <c r="B760" s="2"/>
      <c r="C760" s="2"/>
      <c r="D760" s="2"/>
      <c r="E760" s="2"/>
      <c r="F760" s="3" t="str">
        <f aca="false">IFERROR(__xludf.dummyfunction("if($T760&lt;&gt;"""",REGEXEXTRACT(SUBSTITUTE ($T760,F$1&amp;"" CE"",""""), F$1&amp;""[\w &amp;]*, (\d+\.\d+)""),"""")
"),"")</f>
        <v/>
      </c>
      <c r="G760" s="3" t="str">
        <f aca="false">IFERROR(__xludf.dummyfunction("if($T760&lt;&gt;"""",REGEXEXTRACT($T760, G$1&amp;""[\w &amp;]*, (\d+\.\d+)""),"""")
"),"")</f>
        <v/>
      </c>
      <c r="H760" s="3"/>
      <c r="I760" s="3" t="str">
        <f aca="false">IFERROR(__xludf.dummyfunction("if($T760&lt;&gt;"""",REGEXEXTRACT(SUBSTITUTE ($T760,I$1&amp;"" CE"",""""), I$1&amp;""[\w &amp;]*, (\d+\.\d+)""),"""")
"),"")</f>
        <v/>
      </c>
      <c r="J760" s="3" t="str">
        <f aca="false">IFERROR(__xludf.dummyfunction("if($T760&lt;&gt;"""",REGEXEXTRACT($T760, J$1&amp;""[\w &amp;]*, (\d+\.\d+)""),"""")
"),"")</f>
        <v/>
      </c>
      <c r="K760" s="3"/>
      <c r="L760" s="3" t="str">
        <f aca="false">IFERROR(__xludf.dummyfunction("if($T760&lt;&gt;"""",REGEXEXTRACT(SUBSTITUTE ($T760,L$1&amp;"" CE"",""""), L$1&amp;""[\w &amp;]*, (\d+\.\d+)""),"""")
"),"")</f>
        <v/>
      </c>
      <c r="M760" s="3" t="str">
        <f aca="false">IFERROR(__xludf.dummyfunction("if($T760&lt;&gt;"""",REGEXEXTRACT($T760, M$1&amp;""[\w &amp;]*, (\d+\.\d+)""),"""")
"),"")</f>
        <v/>
      </c>
      <c r="N760" s="3" t="str">
        <f aca="false">IFERROR(__xludf.dummyfunction("if($T760&lt;&gt;"""",REGEXEXTRACT(SUBSTITUTE ($T760,N$1&amp;"" CE"",""""), N$1&amp;""[\w &amp;]*, (\d+\.\d+)""),"""")
"),"")</f>
        <v/>
      </c>
      <c r="O760" s="3" t="str">
        <f aca="false">IFERROR(__xludf.dummyfunction("if($T760&lt;&gt;"""",REGEXEXTRACT($T760, O$1&amp;""[\w &amp;]*, (\d+\.\d+)""),"""")
"),"")</f>
        <v/>
      </c>
      <c r="P760" s="2"/>
      <c r="Q760" s="2"/>
      <c r="R760" s="2"/>
      <c r="S760" s="2"/>
      <c r="T760" s="5"/>
    </row>
    <row r="761" customFormat="false" ht="15.75" hidden="false" customHeight="false" outlineLevel="0" collapsed="false">
      <c r="A761" s="4"/>
      <c r="B761" s="2"/>
      <c r="C761" s="2"/>
      <c r="D761" s="2"/>
      <c r="E761" s="2"/>
      <c r="F761" s="3" t="str">
        <f aca="false">IFERROR(__xludf.dummyfunction("if($T761&lt;&gt;"""",REGEXEXTRACT(SUBSTITUTE ($T761,F$1&amp;"" CE"",""""), F$1&amp;""[\w &amp;]*, (\d+\.\d+)""),"""")
"),"")</f>
        <v/>
      </c>
      <c r="G761" s="3" t="str">
        <f aca="false">IFERROR(__xludf.dummyfunction("if($T761&lt;&gt;"""",REGEXEXTRACT($T761, G$1&amp;""[\w &amp;]*, (\d+\.\d+)""),"""")
"),"")</f>
        <v/>
      </c>
      <c r="H761" s="3"/>
      <c r="I761" s="3" t="str">
        <f aca="false">IFERROR(__xludf.dummyfunction("if($T761&lt;&gt;"""",REGEXEXTRACT(SUBSTITUTE ($T761,I$1&amp;"" CE"",""""), I$1&amp;""[\w &amp;]*, (\d+\.\d+)""),"""")
"),"")</f>
        <v/>
      </c>
      <c r="J761" s="3" t="str">
        <f aca="false">IFERROR(__xludf.dummyfunction("if($T761&lt;&gt;"""",REGEXEXTRACT($T761, J$1&amp;""[\w &amp;]*, (\d+\.\d+)""),"""")
"),"")</f>
        <v/>
      </c>
      <c r="K761" s="3"/>
      <c r="L761" s="3" t="str">
        <f aca="false">IFERROR(__xludf.dummyfunction("if($T761&lt;&gt;"""",REGEXEXTRACT(SUBSTITUTE ($T761,L$1&amp;"" CE"",""""), L$1&amp;""[\w &amp;]*, (\d+\.\d+)""),"""")
"),"")</f>
        <v/>
      </c>
      <c r="M761" s="3" t="str">
        <f aca="false">IFERROR(__xludf.dummyfunction("if($T761&lt;&gt;"""",REGEXEXTRACT($T761, M$1&amp;""[\w &amp;]*, (\d+\.\d+)""),"""")
"),"")</f>
        <v/>
      </c>
      <c r="N761" s="3" t="str">
        <f aca="false">IFERROR(__xludf.dummyfunction("if($T761&lt;&gt;"""",REGEXEXTRACT(SUBSTITUTE ($T761,N$1&amp;"" CE"",""""), N$1&amp;""[\w &amp;]*, (\d+\.\d+)""),"""")
"),"")</f>
        <v/>
      </c>
      <c r="O761" s="3" t="str">
        <f aca="false">IFERROR(__xludf.dummyfunction("if($T761&lt;&gt;"""",REGEXEXTRACT($T761, O$1&amp;""[\w &amp;]*, (\d+\.\d+)""),"""")
"),"")</f>
        <v/>
      </c>
      <c r="P761" s="2"/>
      <c r="Q761" s="2"/>
      <c r="R761" s="2"/>
      <c r="S761" s="2"/>
      <c r="T761" s="5"/>
    </row>
    <row r="762" customFormat="false" ht="15.75" hidden="false" customHeight="false" outlineLevel="0" collapsed="false">
      <c r="A762" s="4"/>
      <c r="B762" s="2"/>
      <c r="C762" s="2"/>
      <c r="D762" s="2"/>
      <c r="E762" s="2"/>
      <c r="F762" s="3" t="str">
        <f aca="false">IFERROR(__xludf.dummyfunction("if($T762&lt;&gt;"""",REGEXEXTRACT(SUBSTITUTE ($T762,F$1&amp;"" CE"",""""), F$1&amp;""[\w &amp;]*, (\d+\.\d+)""),"""")
"),"")</f>
        <v/>
      </c>
      <c r="G762" s="3" t="str">
        <f aca="false">IFERROR(__xludf.dummyfunction("if($T762&lt;&gt;"""",REGEXEXTRACT($T762, G$1&amp;""[\w &amp;]*, (\d+\.\d+)""),"""")
"),"")</f>
        <v/>
      </c>
      <c r="H762" s="3"/>
      <c r="I762" s="3" t="str">
        <f aca="false">IFERROR(__xludf.dummyfunction("if($T762&lt;&gt;"""",REGEXEXTRACT(SUBSTITUTE ($T762,I$1&amp;"" CE"",""""), I$1&amp;""[\w &amp;]*, (\d+\.\d+)""),"""")
"),"")</f>
        <v/>
      </c>
      <c r="J762" s="3" t="str">
        <f aca="false">IFERROR(__xludf.dummyfunction("if($T762&lt;&gt;"""",REGEXEXTRACT($T762, J$1&amp;""[\w &amp;]*, (\d+\.\d+)""),"""")
"),"")</f>
        <v/>
      </c>
      <c r="K762" s="3"/>
      <c r="L762" s="3" t="str">
        <f aca="false">IFERROR(__xludf.dummyfunction("if($T762&lt;&gt;"""",REGEXEXTRACT(SUBSTITUTE ($T762,L$1&amp;"" CE"",""""), L$1&amp;""[\w &amp;]*, (\d+\.\d+)""),"""")
"),"")</f>
        <v/>
      </c>
      <c r="M762" s="3" t="str">
        <f aca="false">IFERROR(__xludf.dummyfunction("if($T762&lt;&gt;"""",REGEXEXTRACT($T762, M$1&amp;""[\w &amp;]*, (\d+\.\d+)""),"""")
"),"")</f>
        <v/>
      </c>
      <c r="N762" s="3" t="str">
        <f aca="false">IFERROR(__xludf.dummyfunction("if($T762&lt;&gt;"""",REGEXEXTRACT(SUBSTITUTE ($T762,N$1&amp;"" CE"",""""), N$1&amp;""[\w &amp;]*, (\d+\.\d+)""),"""")
"),"")</f>
        <v/>
      </c>
      <c r="O762" s="3" t="str">
        <f aca="false">IFERROR(__xludf.dummyfunction("if($T762&lt;&gt;"""",REGEXEXTRACT($T762, O$1&amp;""[\w &amp;]*, (\d+\.\d+)""),"""")
"),"")</f>
        <v/>
      </c>
      <c r="P762" s="2"/>
      <c r="Q762" s="2"/>
      <c r="R762" s="2"/>
      <c r="S762" s="2"/>
      <c r="T762" s="5"/>
    </row>
    <row r="763" customFormat="false" ht="15.75" hidden="false" customHeight="false" outlineLevel="0" collapsed="false">
      <c r="A763" s="4"/>
      <c r="B763" s="2"/>
      <c r="C763" s="2"/>
      <c r="D763" s="2"/>
      <c r="E763" s="2"/>
      <c r="F763" s="3" t="str">
        <f aca="false">IFERROR(__xludf.dummyfunction("if($T763&lt;&gt;"""",REGEXEXTRACT(SUBSTITUTE ($T763,F$1&amp;"" CE"",""""), F$1&amp;""[\w &amp;]*, (\d+\.\d+)""),"""")
"),"")</f>
        <v/>
      </c>
      <c r="G763" s="3" t="str">
        <f aca="false">IFERROR(__xludf.dummyfunction("if($T763&lt;&gt;"""",REGEXEXTRACT($T763, G$1&amp;""[\w &amp;]*, (\d+\.\d+)""),"""")
"),"")</f>
        <v/>
      </c>
      <c r="H763" s="3"/>
      <c r="I763" s="3" t="str">
        <f aca="false">IFERROR(__xludf.dummyfunction("if($T763&lt;&gt;"""",REGEXEXTRACT(SUBSTITUTE ($T763,I$1&amp;"" CE"",""""), I$1&amp;""[\w &amp;]*, (\d+\.\d+)""),"""")
"),"")</f>
        <v/>
      </c>
      <c r="J763" s="3" t="str">
        <f aca="false">IFERROR(__xludf.dummyfunction("if($T763&lt;&gt;"""",REGEXEXTRACT($T763, J$1&amp;""[\w &amp;]*, (\d+\.\d+)""),"""")
"),"")</f>
        <v/>
      </c>
      <c r="K763" s="3"/>
      <c r="L763" s="3" t="str">
        <f aca="false">IFERROR(__xludf.dummyfunction("if($T763&lt;&gt;"""",REGEXEXTRACT(SUBSTITUTE ($T763,L$1&amp;"" CE"",""""), L$1&amp;""[\w &amp;]*, (\d+\.\d+)""),"""")
"),"")</f>
        <v/>
      </c>
      <c r="M763" s="3" t="str">
        <f aca="false">IFERROR(__xludf.dummyfunction("if($T763&lt;&gt;"""",REGEXEXTRACT($T763, M$1&amp;""[\w &amp;]*, (\d+\.\d+)""),"""")
"),"")</f>
        <v/>
      </c>
      <c r="N763" s="3" t="str">
        <f aca="false">IFERROR(__xludf.dummyfunction("if($T763&lt;&gt;"""",REGEXEXTRACT(SUBSTITUTE ($T763,N$1&amp;"" CE"",""""), N$1&amp;""[\w &amp;]*, (\d+\.\d+)""),"""")
"),"")</f>
        <v/>
      </c>
      <c r="O763" s="3" t="str">
        <f aca="false">IFERROR(__xludf.dummyfunction("if($T763&lt;&gt;"""",REGEXEXTRACT($T763, O$1&amp;""[\w &amp;]*, (\d+\.\d+)""),"""")
"),"")</f>
        <v/>
      </c>
      <c r="P763" s="2"/>
      <c r="Q763" s="2"/>
      <c r="R763" s="2"/>
      <c r="S763" s="2"/>
      <c r="T763" s="5"/>
    </row>
    <row r="764" customFormat="false" ht="15.75" hidden="false" customHeight="false" outlineLevel="0" collapsed="false">
      <c r="A764" s="4"/>
      <c r="B764" s="2"/>
      <c r="C764" s="2"/>
      <c r="D764" s="2"/>
      <c r="E764" s="2"/>
      <c r="F764" s="3" t="str">
        <f aca="false">IFERROR(__xludf.dummyfunction("if($T764&lt;&gt;"""",REGEXEXTRACT(SUBSTITUTE ($T764,F$1&amp;"" CE"",""""), F$1&amp;""[\w &amp;]*, (\d+\.\d+)""),"""")
"),"")</f>
        <v/>
      </c>
      <c r="G764" s="3" t="str">
        <f aca="false">IFERROR(__xludf.dummyfunction("if($T764&lt;&gt;"""",REGEXEXTRACT($T764, G$1&amp;""[\w &amp;]*, (\d+\.\d+)""),"""")
"),"")</f>
        <v/>
      </c>
      <c r="H764" s="3"/>
      <c r="I764" s="3" t="str">
        <f aca="false">IFERROR(__xludf.dummyfunction("if($T764&lt;&gt;"""",REGEXEXTRACT(SUBSTITUTE ($T764,I$1&amp;"" CE"",""""), I$1&amp;""[\w &amp;]*, (\d+\.\d+)""),"""")
"),"")</f>
        <v/>
      </c>
      <c r="J764" s="3" t="str">
        <f aca="false">IFERROR(__xludf.dummyfunction("if($T764&lt;&gt;"""",REGEXEXTRACT($T764, J$1&amp;""[\w &amp;]*, (\d+\.\d+)""),"""")
"),"")</f>
        <v/>
      </c>
      <c r="K764" s="3"/>
      <c r="L764" s="3" t="str">
        <f aca="false">IFERROR(__xludf.dummyfunction("if($T764&lt;&gt;"""",REGEXEXTRACT(SUBSTITUTE ($T764,L$1&amp;"" CE"",""""), L$1&amp;""[\w &amp;]*, (\d+\.\d+)""),"""")
"),"")</f>
        <v/>
      </c>
      <c r="M764" s="3" t="str">
        <f aca="false">IFERROR(__xludf.dummyfunction("if($T764&lt;&gt;"""",REGEXEXTRACT($T764, M$1&amp;""[\w &amp;]*, (\d+\.\d+)""),"""")
"),"")</f>
        <v/>
      </c>
      <c r="N764" s="3" t="str">
        <f aca="false">IFERROR(__xludf.dummyfunction("if($T764&lt;&gt;"""",REGEXEXTRACT(SUBSTITUTE ($T764,N$1&amp;"" CE"",""""), N$1&amp;""[\w &amp;]*, (\d+\.\d+)""),"""")
"),"")</f>
        <v/>
      </c>
      <c r="O764" s="3" t="str">
        <f aca="false">IFERROR(__xludf.dummyfunction("if($T764&lt;&gt;"""",REGEXEXTRACT($T764, O$1&amp;""[\w &amp;]*, (\d+\.\d+)""),"""")
"),"")</f>
        <v/>
      </c>
      <c r="P764" s="2"/>
      <c r="Q764" s="2"/>
      <c r="R764" s="2"/>
      <c r="S764" s="2"/>
      <c r="T764" s="5"/>
    </row>
    <row r="765" customFormat="false" ht="15.75" hidden="false" customHeight="false" outlineLevel="0" collapsed="false">
      <c r="A765" s="4"/>
      <c r="B765" s="2"/>
      <c r="C765" s="2"/>
      <c r="D765" s="2"/>
      <c r="E765" s="2"/>
      <c r="F765" s="3" t="str">
        <f aca="false">IFERROR(__xludf.dummyfunction("if($T765&lt;&gt;"""",REGEXEXTRACT(SUBSTITUTE ($T765,F$1&amp;"" CE"",""""), F$1&amp;""[\w &amp;]*, (\d+\.\d+)""),"""")
"),"")</f>
        <v/>
      </c>
      <c r="G765" s="3" t="str">
        <f aca="false">IFERROR(__xludf.dummyfunction("if($T765&lt;&gt;"""",REGEXEXTRACT($T765, G$1&amp;""[\w &amp;]*, (\d+\.\d+)""),"""")
"),"")</f>
        <v/>
      </c>
      <c r="H765" s="3"/>
      <c r="I765" s="3" t="str">
        <f aca="false">IFERROR(__xludf.dummyfunction("if($T765&lt;&gt;"""",REGEXEXTRACT(SUBSTITUTE ($T765,I$1&amp;"" CE"",""""), I$1&amp;""[\w &amp;]*, (\d+\.\d+)""),"""")
"),"")</f>
        <v/>
      </c>
      <c r="J765" s="3" t="str">
        <f aca="false">IFERROR(__xludf.dummyfunction("if($T765&lt;&gt;"""",REGEXEXTRACT($T765, J$1&amp;""[\w &amp;]*, (\d+\.\d+)""),"""")
"),"")</f>
        <v/>
      </c>
      <c r="K765" s="3"/>
      <c r="L765" s="3" t="str">
        <f aca="false">IFERROR(__xludf.dummyfunction("if($T765&lt;&gt;"""",REGEXEXTRACT(SUBSTITUTE ($T765,L$1&amp;"" CE"",""""), L$1&amp;""[\w &amp;]*, (\d+\.\d+)""),"""")
"),"")</f>
        <v/>
      </c>
      <c r="M765" s="3" t="str">
        <f aca="false">IFERROR(__xludf.dummyfunction("if($T765&lt;&gt;"""",REGEXEXTRACT($T765, M$1&amp;""[\w &amp;]*, (\d+\.\d+)""),"""")
"),"")</f>
        <v/>
      </c>
      <c r="N765" s="3" t="str">
        <f aca="false">IFERROR(__xludf.dummyfunction("if($T765&lt;&gt;"""",REGEXEXTRACT(SUBSTITUTE ($T765,N$1&amp;"" CE"",""""), N$1&amp;""[\w &amp;]*, (\d+\.\d+)""),"""")
"),"")</f>
        <v/>
      </c>
      <c r="O765" s="3" t="str">
        <f aca="false">IFERROR(__xludf.dummyfunction("if($T765&lt;&gt;"""",REGEXEXTRACT($T765, O$1&amp;""[\w &amp;]*, (\d+\.\d+)""),"""")
"),"")</f>
        <v/>
      </c>
      <c r="P765" s="2"/>
      <c r="Q765" s="2"/>
      <c r="R765" s="2"/>
      <c r="S765" s="2"/>
      <c r="T765" s="5"/>
    </row>
    <row r="766" customFormat="false" ht="15.75" hidden="false" customHeight="false" outlineLevel="0" collapsed="false">
      <c r="A766" s="4"/>
      <c r="B766" s="2"/>
      <c r="C766" s="2"/>
      <c r="D766" s="2"/>
      <c r="E766" s="2"/>
      <c r="F766" s="3" t="str">
        <f aca="false">IFERROR(__xludf.dummyfunction("if($T766&lt;&gt;"""",REGEXEXTRACT(SUBSTITUTE ($T766,F$1&amp;"" CE"",""""), F$1&amp;""[\w &amp;]*, (\d+\.\d+)""),"""")
"),"")</f>
        <v/>
      </c>
      <c r="G766" s="3" t="str">
        <f aca="false">IFERROR(__xludf.dummyfunction("if($T766&lt;&gt;"""",REGEXEXTRACT($T766, G$1&amp;""[\w &amp;]*, (\d+\.\d+)""),"""")
"),"")</f>
        <v/>
      </c>
      <c r="H766" s="3"/>
      <c r="I766" s="3" t="str">
        <f aca="false">IFERROR(__xludf.dummyfunction("if($T766&lt;&gt;"""",REGEXEXTRACT(SUBSTITUTE ($T766,I$1&amp;"" CE"",""""), I$1&amp;""[\w &amp;]*, (\d+\.\d+)""),"""")
"),"")</f>
        <v/>
      </c>
      <c r="J766" s="3" t="str">
        <f aca="false">IFERROR(__xludf.dummyfunction("if($T766&lt;&gt;"""",REGEXEXTRACT($T766, J$1&amp;""[\w &amp;]*, (\d+\.\d+)""),"""")
"),"")</f>
        <v/>
      </c>
      <c r="K766" s="3"/>
      <c r="L766" s="3" t="str">
        <f aca="false">IFERROR(__xludf.dummyfunction("if($T766&lt;&gt;"""",REGEXEXTRACT(SUBSTITUTE ($T766,L$1&amp;"" CE"",""""), L$1&amp;""[\w &amp;]*, (\d+\.\d+)""),"""")
"),"")</f>
        <v/>
      </c>
      <c r="M766" s="3" t="str">
        <f aca="false">IFERROR(__xludf.dummyfunction("if($T766&lt;&gt;"""",REGEXEXTRACT($T766, M$1&amp;""[\w &amp;]*, (\d+\.\d+)""),"""")
"),"")</f>
        <v/>
      </c>
      <c r="N766" s="3" t="str">
        <f aca="false">IFERROR(__xludf.dummyfunction("if($T766&lt;&gt;"""",REGEXEXTRACT(SUBSTITUTE ($T766,N$1&amp;"" CE"",""""), N$1&amp;""[\w &amp;]*, (\d+\.\d+)""),"""")
"),"")</f>
        <v/>
      </c>
      <c r="O766" s="3" t="str">
        <f aca="false">IFERROR(__xludf.dummyfunction("if($T766&lt;&gt;"""",REGEXEXTRACT($T766, O$1&amp;""[\w &amp;]*, (\d+\.\d+)""),"""")
"),"")</f>
        <v/>
      </c>
      <c r="P766" s="2"/>
      <c r="Q766" s="2"/>
      <c r="R766" s="2"/>
      <c r="S766" s="2"/>
      <c r="T766" s="5"/>
    </row>
    <row r="767" customFormat="false" ht="15.75" hidden="false" customHeight="false" outlineLevel="0" collapsed="false">
      <c r="A767" s="4"/>
      <c r="B767" s="2"/>
      <c r="C767" s="2"/>
      <c r="D767" s="2"/>
      <c r="E767" s="2"/>
      <c r="F767" s="3" t="str">
        <f aca="false">IFERROR(__xludf.dummyfunction("if($T767&lt;&gt;"""",REGEXEXTRACT(SUBSTITUTE ($T767,F$1&amp;"" CE"",""""), F$1&amp;""[\w &amp;]*, (\d+\.\d+)""),"""")
"),"")</f>
        <v/>
      </c>
      <c r="G767" s="3" t="str">
        <f aca="false">IFERROR(__xludf.dummyfunction("if($T767&lt;&gt;"""",REGEXEXTRACT($T767, G$1&amp;""[\w &amp;]*, (\d+\.\d+)""),"""")
"),"")</f>
        <v/>
      </c>
      <c r="H767" s="3"/>
      <c r="I767" s="3" t="str">
        <f aca="false">IFERROR(__xludf.dummyfunction("if($T767&lt;&gt;"""",REGEXEXTRACT(SUBSTITUTE ($T767,I$1&amp;"" CE"",""""), I$1&amp;""[\w &amp;]*, (\d+\.\d+)""),"""")
"),"")</f>
        <v/>
      </c>
      <c r="J767" s="3" t="str">
        <f aca="false">IFERROR(__xludf.dummyfunction("if($T767&lt;&gt;"""",REGEXEXTRACT($T767, J$1&amp;""[\w &amp;]*, (\d+\.\d+)""),"""")
"),"")</f>
        <v/>
      </c>
      <c r="K767" s="3"/>
      <c r="L767" s="3" t="str">
        <f aca="false">IFERROR(__xludf.dummyfunction("if($T767&lt;&gt;"""",REGEXEXTRACT(SUBSTITUTE ($T767,L$1&amp;"" CE"",""""), L$1&amp;""[\w &amp;]*, (\d+\.\d+)""),"""")
"),"")</f>
        <v/>
      </c>
      <c r="M767" s="3" t="str">
        <f aca="false">IFERROR(__xludf.dummyfunction("if($T767&lt;&gt;"""",REGEXEXTRACT($T767, M$1&amp;""[\w &amp;]*, (\d+\.\d+)""),"""")
"),"")</f>
        <v/>
      </c>
      <c r="N767" s="3" t="str">
        <f aca="false">IFERROR(__xludf.dummyfunction("if($T767&lt;&gt;"""",REGEXEXTRACT(SUBSTITUTE ($T767,N$1&amp;"" CE"",""""), N$1&amp;""[\w &amp;]*, (\d+\.\d+)""),"""")
"),"")</f>
        <v/>
      </c>
      <c r="O767" s="3" t="str">
        <f aca="false">IFERROR(__xludf.dummyfunction("if($T767&lt;&gt;"""",REGEXEXTRACT($T767, O$1&amp;""[\w &amp;]*, (\d+\.\d+)""),"""")
"),"")</f>
        <v/>
      </c>
      <c r="P767" s="2"/>
      <c r="Q767" s="2"/>
      <c r="R767" s="2"/>
      <c r="S767" s="2"/>
      <c r="T767" s="5"/>
    </row>
    <row r="768" customFormat="false" ht="15.75" hidden="false" customHeight="false" outlineLevel="0" collapsed="false">
      <c r="A768" s="4"/>
      <c r="B768" s="2"/>
      <c r="C768" s="2"/>
      <c r="D768" s="2"/>
      <c r="E768" s="2"/>
      <c r="F768" s="3" t="str">
        <f aca="false">IFERROR(__xludf.dummyfunction("if($T768&lt;&gt;"""",REGEXEXTRACT(SUBSTITUTE ($T768,F$1&amp;"" CE"",""""), F$1&amp;""[\w &amp;]*, (\d+\.\d+)""),"""")
"),"")</f>
        <v/>
      </c>
      <c r="G768" s="3" t="str">
        <f aca="false">IFERROR(__xludf.dummyfunction("if($T768&lt;&gt;"""",REGEXEXTRACT($T768, G$1&amp;""[\w &amp;]*, (\d+\.\d+)""),"""")
"),"")</f>
        <v/>
      </c>
      <c r="H768" s="3"/>
      <c r="I768" s="3" t="str">
        <f aca="false">IFERROR(__xludf.dummyfunction("if($T768&lt;&gt;"""",REGEXEXTRACT(SUBSTITUTE ($T768,I$1&amp;"" CE"",""""), I$1&amp;""[\w &amp;]*, (\d+\.\d+)""),"""")
"),"")</f>
        <v/>
      </c>
      <c r="J768" s="3" t="str">
        <f aca="false">IFERROR(__xludf.dummyfunction("if($T768&lt;&gt;"""",REGEXEXTRACT($T768, J$1&amp;""[\w &amp;]*, (\d+\.\d+)""),"""")
"),"")</f>
        <v/>
      </c>
      <c r="K768" s="3"/>
      <c r="L768" s="3" t="str">
        <f aca="false">IFERROR(__xludf.dummyfunction("if($T768&lt;&gt;"""",REGEXEXTRACT(SUBSTITUTE ($T768,L$1&amp;"" CE"",""""), L$1&amp;""[\w &amp;]*, (\d+\.\d+)""),"""")
"),"")</f>
        <v/>
      </c>
      <c r="M768" s="3" t="str">
        <f aca="false">IFERROR(__xludf.dummyfunction("if($T768&lt;&gt;"""",REGEXEXTRACT($T768, M$1&amp;""[\w &amp;]*, (\d+\.\d+)""),"""")
"),"")</f>
        <v/>
      </c>
      <c r="N768" s="3" t="str">
        <f aca="false">IFERROR(__xludf.dummyfunction("if($T768&lt;&gt;"""",REGEXEXTRACT(SUBSTITUTE ($T768,N$1&amp;"" CE"",""""), N$1&amp;""[\w &amp;]*, (\d+\.\d+)""),"""")
"),"")</f>
        <v/>
      </c>
      <c r="O768" s="3" t="str">
        <f aca="false">IFERROR(__xludf.dummyfunction("if($T768&lt;&gt;"""",REGEXEXTRACT($T768, O$1&amp;""[\w &amp;]*, (\d+\.\d+)""),"""")
"),"")</f>
        <v/>
      </c>
      <c r="P768" s="2"/>
      <c r="Q768" s="2"/>
      <c r="R768" s="2"/>
      <c r="S768" s="2"/>
      <c r="T768" s="5"/>
    </row>
    <row r="769" customFormat="false" ht="15.75" hidden="false" customHeight="false" outlineLevel="0" collapsed="false">
      <c r="A769" s="4"/>
      <c r="B769" s="2"/>
      <c r="C769" s="2"/>
      <c r="D769" s="2"/>
      <c r="E769" s="2"/>
      <c r="F769" s="3" t="str">
        <f aca="false">IFERROR(__xludf.dummyfunction("if($T769&lt;&gt;"""",REGEXEXTRACT(SUBSTITUTE ($T769,F$1&amp;"" CE"",""""), F$1&amp;""[\w &amp;]*, (\d+\.\d+)""),"""")
"),"")</f>
        <v/>
      </c>
      <c r="G769" s="3" t="str">
        <f aca="false">IFERROR(__xludf.dummyfunction("if($T769&lt;&gt;"""",REGEXEXTRACT($T769, G$1&amp;""[\w &amp;]*, (\d+\.\d+)""),"""")
"),"")</f>
        <v/>
      </c>
      <c r="H769" s="3"/>
      <c r="I769" s="3" t="str">
        <f aca="false">IFERROR(__xludf.dummyfunction("if($T769&lt;&gt;"""",REGEXEXTRACT(SUBSTITUTE ($T769,I$1&amp;"" CE"",""""), I$1&amp;""[\w &amp;]*, (\d+\.\d+)""),"""")
"),"")</f>
        <v/>
      </c>
      <c r="J769" s="3" t="str">
        <f aca="false">IFERROR(__xludf.dummyfunction("if($T769&lt;&gt;"""",REGEXEXTRACT($T769, J$1&amp;""[\w &amp;]*, (\d+\.\d+)""),"""")
"),"")</f>
        <v/>
      </c>
      <c r="K769" s="3"/>
      <c r="L769" s="3" t="str">
        <f aca="false">IFERROR(__xludf.dummyfunction("if($T769&lt;&gt;"""",REGEXEXTRACT(SUBSTITUTE ($T769,L$1&amp;"" CE"",""""), L$1&amp;""[\w &amp;]*, (\d+\.\d+)""),"""")
"),"")</f>
        <v/>
      </c>
      <c r="M769" s="3" t="str">
        <f aca="false">IFERROR(__xludf.dummyfunction("if($T769&lt;&gt;"""",REGEXEXTRACT($T769, M$1&amp;""[\w &amp;]*, (\d+\.\d+)""),"""")
"),"")</f>
        <v/>
      </c>
      <c r="N769" s="3" t="str">
        <f aca="false">IFERROR(__xludf.dummyfunction("if($T769&lt;&gt;"""",REGEXEXTRACT(SUBSTITUTE ($T769,N$1&amp;"" CE"",""""), N$1&amp;""[\w &amp;]*, (\d+\.\d+)""),"""")
"),"")</f>
        <v/>
      </c>
      <c r="O769" s="3" t="str">
        <f aca="false">IFERROR(__xludf.dummyfunction("if($T769&lt;&gt;"""",REGEXEXTRACT($T769, O$1&amp;""[\w &amp;]*, (\d+\.\d+)""),"""")
"),"")</f>
        <v/>
      </c>
      <c r="P769" s="2"/>
      <c r="Q769" s="2"/>
      <c r="R769" s="2"/>
      <c r="S769" s="2"/>
      <c r="T769" s="5"/>
    </row>
    <row r="770" customFormat="false" ht="15.75" hidden="false" customHeight="false" outlineLevel="0" collapsed="false">
      <c r="A770" s="4"/>
      <c r="B770" s="2"/>
      <c r="C770" s="2"/>
      <c r="D770" s="2"/>
      <c r="E770" s="2"/>
      <c r="F770" s="3" t="str">
        <f aca="false">IFERROR(__xludf.dummyfunction("if($T770&lt;&gt;"""",REGEXEXTRACT(SUBSTITUTE ($T770,F$1&amp;"" CE"",""""), F$1&amp;""[\w &amp;]*, (\d+\.\d+)""),"""")
"),"")</f>
        <v/>
      </c>
      <c r="G770" s="3" t="str">
        <f aca="false">IFERROR(__xludf.dummyfunction("if($T770&lt;&gt;"""",REGEXEXTRACT($T770, G$1&amp;""[\w &amp;]*, (\d+\.\d+)""),"""")
"),"")</f>
        <v/>
      </c>
      <c r="H770" s="3"/>
      <c r="I770" s="3" t="str">
        <f aca="false">IFERROR(__xludf.dummyfunction("if($T770&lt;&gt;"""",REGEXEXTRACT(SUBSTITUTE ($T770,I$1&amp;"" CE"",""""), I$1&amp;""[\w &amp;]*, (\d+\.\d+)""),"""")
"),"")</f>
        <v/>
      </c>
      <c r="J770" s="3" t="str">
        <f aca="false">IFERROR(__xludf.dummyfunction("if($T770&lt;&gt;"""",REGEXEXTRACT($T770, J$1&amp;""[\w &amp;]*, (\d+\.\d+)""),"""")
"),"")</f>
        <v/>
      </c>
      <c r="K770" s="3"/>
      <c r="L770" s="3" t="str">
        <f aca="false">IFERROR(__xludf.dummyfunction("if($T770&lt;&gt;"""",REGEXEXTRACT(SUBSTITUTE ($T770,L$1&amp;"" CE"",""""), L$1&amp;""[\w &amp;]*, (\d+\.\d+)""),"""")
"),"")</f>
        <v/>
      </c>
      <c r="M770" s="3" t="str">
        <f aca="false">IFERROR(__xludf.dummyfunction("if($T770&lt;&gt;"""",REGEXEXTRACT($T770, M$1&amp;""[\w &amp;]*, (\d+\.\d+)""),"""")
"),"")</f>
        <v/>
      </c>
      <c r="N770" s="3" t="str">
        <f aca="false">IFERROR(__xludf.dummyfunction("if($T770&lt;&gt;"""",REGEXEXTRACT(SUBSTITUTE ($T770,N$1&amp;"" CE"",""""), N$1&amp;""[\w &amp;]*, (\d+\.\d+)""),"""")
"),"")</f>
        <v/>
      </c>
      <c r="O770" s="3" t="str">
        <f aca="false">IFERROR(__xludf.dummyfunction("if($T770&lt;&gt;"""",REGEXEXTRACT($T770, O$1&amp;""[\w &amp;]*, (\d+\.\d+)""),"""")
"),"")</f>
        <v/>
      </c>
      <c r="P770" s="2"/>
      <c r="Q770" s="2"/>
      <c r="R770" s="2"/>
      <c r="S770" s="2"/>
      <c r="T770" s="5"/>
    </row>
    <row r="771" customFormat="false" ht="15.75" hidden="false" customHeight="false" outlineLevel="0" collapsed="false">
      <c r="A771" s="4"/>
      <c r="B771" s="2"/>
      <c r="C771" s="2"/>
      <c r="D771" s="2"/>
      <c r="E771" s="2"/>
      <c r="F771" s="3" t="str">
        <f aca="false">IFERROR(__xludf.dummyfunction("if($T771&lt;&gt;"""",REGEXEXTRACT(SUBSTITUTE ($T771,F$1&amp;"" CE"",""""), F$1&amp;""[\w &amp;]*, (\d+\.\d+)""),"""")
"),"")</f>
        <v/>
      </c>
      <c r="G771" s="3" t="str">
        <f aca="false">IFERROR(__xludf.dummyfunction("if($T771&lt;&gt;"""",REGEXEXTRACT($T771, G$1&amp;""[\w &amp;]*, (\d+\.\d+)""),"""")
"),"")</f>
        <v/>
      </c>
      <c r="H771" s="3"/>
      <c r="I771" s="3" t="str">
        <f aca="false">IFERROR(__xludf.dummyfunction("if($T771&lt;&gt;"""",REGEXEXTRACT(SUBSTITUTE ($T771,I$1&amp;"" CE"",""""), I$1&amp;""[\w &amp;]*, (\d+\.\d+)""),"""")
"),"")</f>
        <v/>
      </c>
      <c r="J771" s="3" t="str">
        <f aca="false">IFERROR(__xludf.dummyfunction("if($T771&lt;&gt;"""",REGEXEXTRACT($T771, J$1&amp;""[\w &amp;]*, (\d+\.\d+)""),"""")
"),"")</f>
        <v/>
      </c>
      <c r="K771" s="3"/>
      <c r="L771" s="3" t="str">
        <f aca="false">IFERROR(__xludf.dummyfunction("if($T771&lt;&gt;"""",REGEXEXTRACT(SUBSTITUTE ($T771,L$1&amp;"" CE"",""""), L$1&amp;""[\w &amp;]*, (\d+\.\d+)""),"""")
"),"")</f>
        <v/>
      </c>
      <c r="M771" s="3" t="str">
        <f aca="false">IFERROR(__xludf.dummyfunction("if($T771&lt;&gt;"""",REGEXEXTRACT($T771, M$1&amp;""[\w &amp;]*, (\d+\.\d+)""),"""")
"),"")</f>
        <v/>
      </c>
      <c r="N771" s="3" t="str">
        <f aca="false">IFERROR(__xludf.dummyfunction("if($T771&lt;&gt;"""",REGEXEXTRACT(SUBSTITUTE ($T771,N$1&amp;"" CE"",""""), N$1&amp;""[\w &amp;]*, (\d+\.\d+)""),"""")
"),"")</f>
        <v/>
      </c>
      <c r="O771" s="3" t="str">
        <f aca="false">IFERROR(__xludf.dummyfunction("if($T771&lt;&gt;"""",REGEXEXTRACT($T771, O$1&amp;""[\w &amp;]*, (\d+\.\d+)""),"""")
"),"")</f>
        <v/>
      </c>
      <c r="P771" s="2"/>
      <c r="Q771" s="2"/>
      <c r="R771" s="2"/>
      <c r="S771" s="2"/>
      <c r="T771" s="5"/>
    </row>
    <row r="772" customFormat="false" ht="15.75" hidden="false" customHeight="false" outlineLevel="0" collapsed="false">
      <c r="A772" s="4"/>
      <c r="B772" s="2"/>
      <c r="C772" s="2"/>
      <c r="D772" s="2"/>
      <c r="E772" s="2"/>
      <c r="F772" s="3" t="str">
        <f aca="false">IFERROR(__xludf.dummyfunction("if($T772&lt;&gt;"""",REGEXEXTRACT(SUBSTITUTE ($T772,F$1&amp;"" CE"",""""), F$1&amp;""[\w &amp;]*, (\d+\.\d+)""),"""")
"),"")</f>
        <v/>
      </c>
      <c r="G772" s="3" t="str">
        <f aca="false">IFERROR(__xludf.dummyfunction("if($T772&lt;&gt;"""",REGEXEXTRACT($T772, G$1&amp;""[\w &amp;]*, (\d+\.\d+)""),"""")
"),"")</f>
        <v/>
      </c>
      <c r="H772" s="3"/>
      <c r="I772" s="3" t="str">
        <f aca="false">IFERROR(__xludf.dummyfunction("if($T772&lt;&gt;"""",REGEXEXTRACT(SUBSTITUTE ($T772,I$1&amp;"" CE"",""""), I$1&amp;""[\w &amp;]*, (\d+\.\d+)""),"""")
"),"")</f>
        <v/>
      </c>
      <c r="J772" s="3" t="str">
        <f aca="false">IFERROR(__xludf.dummyfunction("if($T772&lt;&gt;"""",REGEXEXTRACT($T772, J$1&amp;""[\w &amp;]*, (\d+\.\d+)""),"""")
"),"")</f>
        <v/>
      </c>
      <c r="K772" s="3"/>
      <c r="L772" s="3" t="str">
        <f aca="false">IFERROR(__xludf.dummyfunction("if($T772&lt;&gt;"""",REGEXEXTRACT(SUBSTITUTE ($T772,L$1&amp;"" CE"",""""), L$1&amp;""[\w &amp;]*, (\d+\.\d+)""),"""")
"),"")</f>
        <v/>
      </c>
      <c r="M772" s="3" t="str">
        <f aca="false">IFERROR(__xludf.dummyfunction("if($T772&lt;&gt;"""",REGEXEXTRACT($T772, M$1&amp;""[\w &amp;]*, (\d+\.\d+)""),"""")
"),"")</f>
        <v/>
      </c>
      <c r="N772" s="3" t="str">
        <f aca="false">IFERROR(__xludf.dummyfunction("if($T772&lt;&gt;"""",REGEXEXTRACT(SUBSTITUTE ($T772,N$1&amp;"" CE"",""""), N$1&amp;""[\w &amp;]*, (\d+\.\d+)""),"""")
"),"")</f>
        <v/>
      </c>
      <c r="O772" s="3" t="str">
        <f aca="false">IFERROR(__xludf.dummyfunction("if($T772&lt;&gt;"""",REGEXEXTRACT($T772, O$1&amp;""[\w &amp;]*, (\d+\.\d+)""),"""")
"),"")</f>
        <v/>
      </c>
      <c r="P772" s="2"/>
      <c r="Q772" s="2"/>
      <c r="R772" s="2"/>
      <c r="S772" s="2"/>
      <c r="T772" s="5"/>
    </row>
    <row r="773" customFormat="false" ht="15.75" hidden="false" customHeight="false" outlineLevel="0" collapsed="false">
      <c r="A773" s="4"/>
      <c r="B773" s="2"/>
      <c r="C773" s="2"/>
      <c r="D773" s="2"/>
      <c r="E773" s="2"/>
      <c r="F773" s="3" t="str">
        <f aca="false">IFERROR(__xludf.dummyfunction("if($T773&lt;&gt;"""",REGEXEXTRACT(SUBSTITUTE ($T773,F$1&amp;"" CE"",""""), F$1&amp;""[\w &amp;]*, (\d+\.\d+)""),"""")
"),"")</f>
        <v/>
      </c>
      <c r="G773" s="3" t="str">
        <f aca="false">IFERROR(__xludf.dummyfunction("if($T773&lt;&gt;"""",REGEXEXTRACT($T773, G$1&amp;""[\w &amp;]*, (\d+\.\d+)""),"""")
"),"")</f>
        <v/>
      </c>
      <c r="H773" s="3"/>
      <c r="I773" s="3" t="str">
        <f aca="false">IFERROR(__xludf.dummyfunction("if($T773&lt;&gt;"""",REGEXEXTRACT(SUBSTITUTE ($T773,I$1&amp;"" CE"",""""), I$1&amp;""[\w &amp;]*, (\d+\.\d+)""),"""")
"),"")</f>
        <v/>
      </c>
      <c r="J773" s="3" t="str">
        <f aca="false">IFERROR(__xludf.dummyfunction("if($T773&lt;&gt;"""",REGEXEXTRACT($T773, J$1&amp;""[\w &amp;]*, (\d+\.\d+)""),"""")
"),"")</f>
        <v/>
      </c>
      <c r="K773" s="3"/>
      <c r="L773" s="3" t="str">
        <f aca="false">IFERROR(__xludf.dummyfunction("if($T773&lt;&gt;"""",REGEXEXTRACT(SUBSTITUTE ($T773,L$1&amp;"" CE"",""""), L$1&amp;""[\w &amp;]*, (\d+\.\d+)""),"""")
"),"")</f>
        <v/>
      </c>
      <c r="M773" s="3" t="str">
        <f aca="false">IFERROR(__xludf.dummyfunction("if($T773&lt;&gt;"""",REGEXEXTRACT($T773, M$1&amp;""[\w &amp;]*, (\d+\.\d+)""),"""")
"),"")</f>
        <v/>
      </c>
      <c r="N773" s="3" t="str">
        <f aca="false">IFERROR(__xludf.dummyfunction("if($T773&lt;&gt;"""",REGEXEXTRACT(SUBSTITUTE ($T773,N$1&amp;"" CE"",""""), N$1&amp;""[\w &amp;]*, (\d+\.\d+)""),"""")
"),"")</f>
        <v/>
      </c>
      <c r="O773" s="3" t="str">
        <f aca="false">IFERROR(__xludf.dummyfunction("if($T773&lt;&gt;"""",REGEXEXTRACT($T773, O$1&amp;""[\w &amp;]*, (\d+\.\d+)""),"""")
"),"")</f>
        <v/>
      </c>
      <c r="P773" s="2"/>
      <c r="Q773" s="2"/>
      <c r="R773" s="2"/>
      <c r="S773" s="2"/>
      <c r="T773" s="5"/>
    </row>
    <row r="774" customFormat="false" ht="15.75" hidden="false" customHeight="false" outlineLevel="0" collapsed="false">
      <c r="A774" s="4"/>
      <c r="B774" s="2"/>
      <c r="C774" s="2"/>
      <c r="D774" s="2"/>
      <c r="E774" s="2"/>
      <c r="F774" s="3" t="str">
        <f aca="false">IFERROR(__xludf.dummyfunction("if($T774&lt;&gt;"""",REGEXEXTRACT(SUBSTITUTE ($T774,F$1&amp;"" CE"",""""), F$1&amp;""[\w &amp;]*, (\d+\.\d+)""),"""")
"),"")</f>
        <v/>
      </c>
      <c r="G774" s="3" t="str">
        <f aca="false">IFERROR(__xludf.dummyfunction("if($T774&lt;&gt;"""",REGEXEXTRACT($T774, G$1&amp;""[\w &amp;]*, (\d+\.\d+)""),"""")
"),"")</f>
        <v/>
      </c>
      <c r="H774" s="3"/>
      <c r="I774" s="3" t="str">
        <f aca="false">IFERROR(__xludf.dummyfunction("if($T774&lt;&gt;"""",REGEXEXTRACT(SUBSTITUTE ($T774,I$1&amp;"" CE"",""""), I$1&amp;""[\w &amp;]*, (\d+\.\d+)""),"""")
"),"")</f>
        <v/>
      </c>
      <c r="J774" s="3" t="str">
        <f aca="false">IFERROR(__xludf.dummyfunction("if($T774&lt;&gt;"""",REGEXEXTRACT($T774, J$1&amp;""[\w &amp;]*, (\d+\.\d+)""),"""")
"),"")</f>
        <v/>
      </c>
      <c r="K774" s="3"/>
      <c r="L774" s="3" t="str">
        <f aca="false">IFERROR(__xludf.dummyfunction("if($T774&lt;&gt;"""",REGEXEXTRACT(SUBSTITUTE ($T774,L$1&amp;"" CE"",""""), L$1&amp;""[\w &amp;]*, (\d+\.\d+)""),"""")
"),"")</f>
        <v/>
      </c>
      <c r="M774" s="3" t="str">
        <f aca="false">IFERROR(__xludf.dummyfunction("if($T774&lt;&gt;"""",REGEXEXTRACT($T774, M$1&amp;""[\w &amp;]*, (\d+\.\d+)""),"""")
"),"")</f>
        <v/>
      </c>
      <c r="N774" s="3" t="str">
        <f aca="false">IFERROR(__xludf.dummyfunction("if($T774&lt;&gt;"""",REGEXEXTRACT(SUBSTITUTE ($T774,N$1&amp;"" CE"",""""), N$1&amp;""[\w &amp;]*, (\d+\.\d+)""),"""")
"),"")</f>
        <v/>
      </c>
      <c r="O774" s="3" t="str">
        <f aca="false">IFERROR(__xludf.dummyfunction("if($T774&lt;&gt;"""",REGEXEXTRACT($T774, O$1&amp;""[\w &amp;]*, (\d+\.\d+)""),"""")
"),"")</f>
        <v/>
      </c>
      <c r="P774" s="2"/>
      <c r="Q774" s="2"/>
      <c r="R774" s="2"/>
      <c r="S774" s="2"/>
      <c r="T774" s="5"/>
    </row>
    <row r="775" customFormat="false" ht="15.75" hidden="false" customHeight="false" outlineLevel="0" collapsed="false">
      <c r="A775" s="4"/>
      <c r="B775" s="2"/>
      <c r="C775" s="2"/>
      <c r="D775" s="2"/>
      <c r="E775" s="2"/>
      <c r="F775" s="3" t="str">
        <f aca="false">IFERROR(__xludf.dummyfunction("if($T775&lt;&gt;"""",REGEXEXTRACT(SUBSTITUTE ($T775,F$1&amp;"" CE"",""""), F$1&amp;""[\w &amp;]*, (\d+\.\d+)""),"""")
"),"")</f>
        <v/>
      </c>
      <c r="G775" s="3" t="str">
        <f aca="false">IFERROR(__xludf.dummyfunction("if($T775&lt;&gt;"""",REGEXEXTRACT($T775, G$1&amp;""[\w &amp;]*, (\d+\.\d+)""),"""")
"),"")</f>
        <v/>
      </c>
      <c r="H775" s="3"/>
      <c r="I775" s="3" t="str">
        <f aca="false">IFERROR(__xludf.dummyfunction("if($T775&lt;&gt;"""",REGEXEXTRACT(SUBSTITUTE ($T775,I$1&amp;"" CE"",""""), I$1&amp;""[\w &amp;]*, (\d+\.\d+)""),"""")
"),"")</f>
        <v/>
      </c>
      <c r="J775" s="3" t="str">
        <f aca="false">IFERROR(__xludf.dummyfunction("if($T775&lt;&gt;"""",REGEXEXTRACT($T775, J$1&amp;""[\w &amp;]*, (\d+\.\d+)""),"""")
"),"")</f>
        <v/>
      </c>
      <c r="K775" s="3"/>
      <c r="L775" s="3" t="str">
        <f aca="false">IFERROR(__xludf.dummyfunction("if($T775&lt;&gt;"""",REGEXEXTRACT(SUBSTITUTE ($T775,L$1&amp;"" CE"",""""), L$1&amp;""[\w &amp;]*, (\d+\.\d+)""),"""")
"),"")</f>
        <v/>
      </c>
      <c r="M775" s="3" t="str">
        <f aca="false">IFERROR(__xludf.dummyfunction("if($T775&lt;&gt;"""",REGEXEXTRACT($T775, M$1&amp;""[\w &amp;]*, (\d+\.\d+)""),"""")
"),"")</f>
        <v/>
      </c>
      <c r="N775" s="3" t="str">
        <f aca="false">IFERROR(__xludf.dummyfunction("if($T775&lt;&gt;"""",REGEXEXTRACT(SUBSTITUTE ($T775,N$1&amp;"" CE"",""""), N$1&amp;""[\w &amp;]*, (\d+\.\d+)""),"""")
"),"")</f>
        <v/>
      </c>
      <c r="O775" s="3" t="str">
        <f aca="false">IFERROR(__xludf.dummyfunction("if($T775&lt;&gt;"""",REGEXEXTRACT($T775, O$1&amp;""[\w &amp;]*, (\d+\.\d+)""),"""")
"),"")</f>
        <v/>
      </c>
      <c r="P775" s="2"/>
      <c r="Q775" s="2"/>
      <c r="R775" s="2"/>
      <c r="S775" s="2"/>
      <c r="T775" s="5"/>
    </row>
    <row r="776" customFormat="false" ht="15.75" hidden="false" customHeight="false" outlineLevel="0" collapsed="false">
      <c r="A776" s="4"/>
      <c r="B776" s="2"/>
      <c r="C776" s="2"/>
      <c r="D776" s="2"/>
      <c r="E776" s="2"/>
      <c r="F776" s="3" t="str">
        <f aca="false">IFERROR(__xludf.dummyfunction("if($T776&lt;&gt;"""",REGEXEXTRACT(SUBSTITUTE ($T776,F$1&amp;"" CE"",""""), F$1&amp;""[\w &amp;]*, (\d+\.\d+)""),"""")
"),"")</f>
        <v/>
      </c>
      <c r="G776" s="3" t="str">
        <f aca="false">IFERROR(__xludf.dummyfunction("if($T776&lt;&gt;"""",REGEXEXTRACT($T776, G$1&amp;""[\w &amp;]*, (\d+\.\d+)""),"""")
"),"")</f>
        <v/>
      </c>
      <c r="H776" s="3"/>
      <c r="I776" s="3" t="str">
        <f aca="false">IFERROR(__xludf.dummyfunction("if($T776&lt;&gt;"""",REGEXEXTRACT(SUBSTITUTE ($T776,I$1&amp;"" CE"",""""), I$1&amp;""[\w &amp;]*, (\d+\.\d+)""),"""")
"),"")</f>
        <v/>
      </c>
      <c r="J776" s="3" t="str">
        <f aca="false">IFERROR(__xludf.dummyfunction("if($T776&lt;&gt;"""",REGEXEXTRACT($T776, J$1&amp;""[\w &amp;]*, (\d+\.\d+)""),"""")
"),"")</f>
        <v/>
      </c>
      <c r="K776" s="3"/>
      <c r="L776" s="3" t="str">
        <f aca="false">IFERROR(__xludf.dummyfunction("if($T776&lt;&gt;"""",REGEXEXTRACT(SUBSTITUTE ($T776,L$1&amp;"" CE"",""""), L$1&amp;""[\w &amp;]*, (\d+\.\d+)""),"""")
"),"")</f>
        <v/>
      </c>
      <c r="M776" s="3" t="str">
        <f aca="false">IFERROR(__xludf.dummyfunction("if($T776&lt;&gt;"""",REGEXEXTRACT($T776, M$1&amp;""[\w &amp;]*, (\d+\.\d+)""),"""")
"),"")</f>
        <v/>
      </c>
      <c r="N776" s="3" t="str">
        <f aca="false">IFERROR(__xludf.dummyfunction("if($T776&lt;&gt;"""",REGEXEXTRACT(SUBSTITUTE ($T776,N$1&amp;"" CE"",""""), N$1&amp;""[\w &amp;]*, (\d+\.\d+)""),"""")
"),"")</f>
        <v/>
      </c>
      <c r="O776" s="3" t="str">
        <f aca="false">IFERROR(__xludf.dummyfunction("if($T776&lt;&gt;"""",REGEXEXTRACT($T776, O$1&amp;""[\w &amp;]*, (\d+\.\d+)""),"""")
"),"")</f>
        <v/>
      </c>
      <c r="P776" s="2"/>
      <c r="Q776" s="2"/>
      <c r="R776" s="2"/>
      <c r="S776" s="2"/>
      <c r="T776" s="5"/>
    </row>
    <row r="777" customFormat="false" ht="15.75" hidden="false" customHeight="false" outlineLevel="0" collapsed="false">
      <c r="A777" s="4"/>
      <c r="B777" s="2"/>
      <c r="C777" s="2"/>
      <c r="D777" s="2"/>
      <c r="E777" s="2"/>
      <c r="F777" s="3" t="str">
        <f aca="false">IFERROR(__xludf.dummyfunction("if($T777&lt;&gt;"""",REGEXEXTRACT(SUBSTITUTE ($T777,F$1&amp;"" CE"",""""), F$1&amp;""[\w &amp;]*, (\d+\.\d+)""),"""")
"),"")</f>
        <v/>
      </c>
      <c r="G777" s="3" t="str">
        <f aca="false">IFERROR(__xludf.dummyfunction("if($T777&lt;&gt;"""",REGEXEXTRACT($T777, G$1&amp;""[\w &amp;]*, (\d+\.\d+)""),"""")
"),"")</f>
        <v/>
      </c>
      <c r="H777" s="3"/>
      <c r="I777" s="3" t="str">
        <f aca="false">IFERROR(__xludf.dummyfunction("if($T777&lt;&gt;"""",REGEXEXTRACT(SUBSTITUTE ($T777,I$1&amp;"" CE"",""""), I$1&amp;""[\w &amp;]*, (\d+\.\d+)""),"""")
"),"")</f>
        <v/>
      </c>
      <c r="J777" s="3" t="str">
        <f aca="false">IFERROR(__xludf.dummyfunction("if($T777&lt;&gt;"""",REGEXEXTRACT($T777, J$1&amp;""[\w &amp;]*, (\d+\.\d+)""),"""")
"),"")</f>
        <v/>
      </c>
      <c r="K777" s="3"/>
      <c r="L777" s="3" t="str">
        <f aca="false">IFERROR(__xludf.dummyfunction("if($T777&lt;&gt;"""",REGEXEXTRACT(SUBSTITUTE ($T777,L$1&amp;"" CE"",""""), L$1&amp;""[\w &amp;]*, (\d+\.\d+)""),"""")
"),"")</f>
        <v/>
      </c>
      <c r="M777" s="3" t="str">
        <f aca="false">IFERROR(__xludf.dummyfunction("if($T777&lt;&gt;"""",REGEXEXTRACT($T777, M$1&amp;""[\w &amp;]*, (\d+\.\d+)""),"""")
"),"")</f>
        <v/>
      </c>
      <c r="N777" s="3" t="str">
        <f aca="false">IFERROR(__xludf.dummyfunction("if($T777&lt;&gt;"""",REGEXEXTRACT(SUBSTITUTE ($T777,N$1&amp;"" CE"",""""), N$1&amp;""[\w &amp;]*, (\d+\.\d+)""),"""")
"),"")</f>
        <v/>
      </c>
      <c r="O777" s="3" t="str">
        <f aca="false">IFERROR(__xludf.dummyfunction("if($T777&lt;&gt;"""",REGEXEXTRACT($T777, O$1&amp;""[\w &amp;]*, (\d+\.\d+)""),"""")
"),"")</f>
        <v/>
      </c>
      <c r="P777" s="2"/>
      <c r="Q777" s="2"/>
      <c r="R777" s="2"/>
      <c r="S777" s="2"/>
      <c r="T777" s="5"/>
    </row>
    <row r="778" customFormat="false" ht="15.75" hidden="false" customHeight="false" outlineLevel="0" collapsed="false">
      <c r="A778" s="4"/>
      <c r="B778" s="2"/>
      <c r="C778" s="2"/>
      <c r="D778" s="2"/>
      <c r="E778" s="2"/>
      <c r="F778" s="3" t="str">
        <f aca="false">IFERROR(__xludf.dummyfunction("if($T778&lt;&gt;"""",REGEXEXTRACT(SUBSTITUTE ($T778,F$1&amp;"" CE"",""""), F$1&amp;""[\w &amp;]*, (\d+\.\d+)""),"""")
"),"")</f>
        <v/>
      </c>
      <c r="G778" s="3" t="str">
        <f aca="false">IFERROR(__xludf.dummyfunction("if($T778&lt;&gt;"""",REGEXEXTRACT($T778, G$1&amp;""[\w &amp;]*, (\d+\.\d+)""),"""")
"),"")</f>
        <v/>
      </c>
      <c r="H778" s="3"/>
      <c r="I778" s="3" t="str">
        <f aca="false">IFERROR(__xludf.dummyfunction("if($T778&lt;&gt;"""",REGEXEXTRACT(SUBSTITUTE ($T778,I$1&amp;"" CE"",""""), I$1&amp;""[\w &amp;]*, (\d+\.\d+)""),"""")
"),"")</f>
        <v/>
      </c>
      <c r="J778" s="3" t="str">
        <f aca="false">IFERROR(__xludf.dummyfunction("if($T778&lt;&gt;"""",REGEXEXTRACT($T778, J$1&amp;""[\w &amp;]*, (\d+\.\d+)""),"""")
"),"")</f>
        <v/>
      </c>
      <c r="K778" s="3"/>
      <c r="L778" s="3" t="str">
        <f aca="false">IFERROR(__xludf.dummyfunction("if($T778&lt;&gt;"""",REGEXEXTRACT(SUBSTITUTE ($T778,L$1&amp;"" CE"",""""), L$1&amp;""[\w &amp;]*, (\d+\.\d+)""),"""")
"),"")</f>
        <v/>
      </c>
      <c r="M778" s="3" t="str">
        <f aca="false">IFERROR(__xludf.dummyfunction("if($T778&lt;&gt;"""",REGEXEXTRACT($T778, M$1&amp;""[\w &amp;]*, (\d+\.\d+)""),"""")
"),"")</f>
        <v/>
      </c>
      <c r="N778" s="3" t="str">
        <f aca="false">IFERROR(__xludf.dummyfunction("if($T778&lt;&gt;"""",REGEXEXTRACT(SUBSTITUTE ($T778,N$1&amp;"" CE"",""""), N$1&amp;""[\w &amp;]*, (\d+\.\d+)""),"""")
"),"")</f>
        <v/>
      </c>
      <c r="O778" s="3" t="str">
        <f aca="false">IFERROR(__xludf.dummyfunction("if($T778&lt;&gt;"""",REGEXEXTRACT($T778, O$1&amp;""[\w &amp;]*, (\d+\.\d+)""),"""")
"),"")</f>
        <v/>
      </c>
      <c r="P778" s="2"/>
      <c r="Q778" s="2"/>
      <c r="R778" s="2"/>
      <c r="S778" s="2"/>
      <c r="T778" s="5"/>
    </row>
    <row r="779" customFormat="false" ht="15.75" hidden="false" customHeight="false" outlineLevel="0" collapsed="false">
      <c r="A779" s="4"/>
      <c r="B779" s="2"/>
      <c r="C779" s="2"/>
      <c r="D779" s="2"/>
      <c r="E779" s="2"/>
      <c r="F779" s="3" t="str">
        <f aca="false">IFERROR(__xludf.dummyfunction("if($T779&lt;&gt;"""",REGEXEXTRACT(SUBSTITUTE ($T779,F$1&amp;"" CE"",""""), F$1&amp;""[\w &amp;]*, (\d+\.\d+)""),"""")
"),"")</f>
        <v/>
      </c>
      <c r="G779" s="3" t="str">
        <f aca="false">IFERROR(__xludf.dummyfunction("if($T779&lt;&gt;"""",REGEXEXTRACT($T779, G$1&amp;""[\w &amp;]*, (\d+\.\d+)""),"""")
"),"")</f>
        <v/>
      </c>
      <c r="H779" s="3"/>
      <c r="I779" s="3" t="str">
        <f aca="false">IFERROR(__xludf.dummyfunction("if($T779&lt;&gt;"""",REGEXEXTRACT(SUBSTITUTE ($T779,I$1&amp;"" CE"",""""), I$1&amp;""[\w &amp;]*, (\d+\.\d+)""),"""")
"),"")</f>
        <v/>
      </c>
      <c r="J779" s="3" t="str">
        <f aca="false">IFERROR(__xludf.dummyfunction("if($T779&lt;&gt;"""",REGEXEXTRACT($T779, J$1&amp;""[\w &amp;]*, (\d+\.\d+)""),"""")
"),"")</f>
        <v/>
      </c>
      <c r="K779" s="3"/>
      <c r="L779" s="3" t="str">
        <f aca="false">IFERROR(__xludf.dummyfunction("if($T779&lt;&gt;"""",REGEXEXTRACT(SUBSTITUTE ($T779,L$1&amp;"" CE"",""""), L$1&amp;""[\w &amp;]*, (\d+\.\d+)""),"""")
"),"")</f>
        <v/>
      </c>
      <c r="M779" s="3" t="str">
        <f aca="false">IFERROR(__xludf.dummyfunction("if($T779&lt;&gt;"""",REGEXEXTRACT($T779, M$1&amp;""[\w &amp;]*, (\d+\.\d+)""),"""")
"),"")</f>
        <v/>
      </c>
      <c r="N779" s="3" t="str">
        <f aca="false">IFERROR(__xludf.dummyfunction("if($T779&lt;&gt;"""",REGEXEXTRACT(SUBSTITUTE ($T779,N$1&amp;"" CE"",""""), N$1&amp;""[\w &amp;]*, (\d+\.\d+)""),"""")
"),"")</f>
        <v/>
      </c>
      <c r="O779" s="3" t="str">
        <f aca="false">IFERROR(__xludf.dummyfunction("if($T779&lt;&gt;"""",REGEXEXTRACT($T779, O$1&amp;""[\w &amp;]*, (\d+\.\d+)""),"""")
"),"")</f>
        <v/>
      </c>
      <c r="P779" s="2"/>
      <c r="Q779" s="2"/>
      <c r="R779" s="2"/>
      <c r="S779" s="2"/>
      <c r="T779" s="5"/>
    </row>
    <row r="780" customFormat="false" ht="15.75" hidden="false" customHeight="false" outlineLevel="0" collapsed="false">
      <c r="A780" s="4"/>
      <c r="B780" s="2"/>
      <c r="C780" s="2"/>
      <c r="D780" s="2"/>
      <c r="E780" s="2"/>
      <c r="F780" s="3" t="str">
        <f aca="false">IFERROR(__xludf.dummyfunction("if($T780&lt;&gt;"""",REGEXEXTRACT(SUBSTITUTE ($T780,F$1&amp;"" CE"",""""), F$1&amp;""[\w &amp;]*, (\d+\.\d+)""),"""")
"),"")</f>
        <v/>
      </c>
      <c r="G780" s="3" t="str">
        <f aca="false">IFERROR(__xludf.dummyfunction("if($T780&lt;&gt;"""",REGEXEXTRACT($T780, G$1&amp;""[\w &amp;]*, (\d+\.\d+)""),"""")
"),"")</f>
        <v/>
      </c>
      <c r="H780" s="3"/>
      <c r="I780" s="3" t="str">
        <f aca="false">IFERROR(__xludf.dummyfunction("if($T780&lt;&gt;"""",REGEXEXTRACT(SUBSTITUTE ($T780,I$1&amp;"" CE"",""""), I$1&amp;""[\w &amp;]*, (\d+\.\d+)""),"""")
"),"")</f>
        <v/>
      </c>
      <c r="J780" s="3" t="str">
        <f aca="false">IFERROR(__xludf.dummyfunction("if($T780&lt;&gt;"""",REGEXEXTRACT($T780, J$1&amp;""[\w &amp;]*, (\d+\.\d+)""),"""")
"),"")</f>
        <v/>
      </c>
      <c r="K780" s="3"/>
      <c r="L780" s="3" t="str">
        <f aca="false">IFERROR(__xludf.dummyfunction("if($T780&lt;&gt;"""",REGEXEXTRACT(SUBSTITUTE ($T780,L$1&amp;"" CE"",""""), L$1&amp;""[\w &amp;]*, (\d+\.\d+)""),"""")
"),"")</f>
        <v/>
      </c>
      <c r="M780" s="3" t="str">
        <f aca="false">IFERROR(__xludf.dummyfunction("if($T780&lt;&gt;"""",REGEXEXTRACT($T780, M$1&amp;""[\w &amp;]*, (\d+\.\d+)""),"""")
"),"")</f>
        <v/>
      </c>
      <c r="N780" s="3" t="str">
        <f aca="false">IFERROR(__xludf.dummyfunction("if($T780&lt;&gt;"""",REGEXEXTRACT(SUBSTITUTE ($T780,N$1&amp;"" CE"",""""), N$1&amp;""[\w &amp;]*, (\d+\.\d+)""),"""")
"),"")</f>
        <v/>
      </c>
      <c r="O780" s="3" t="str">
        <f aca="false">IFERROR(__xludf.dummyfunction("if($T780&lt;&gt;"""",REGEXEXTRACT($T780, O$1&amp;""[\w &amp;]*, (\d+\.\d+)""),"""")
"),"")</f>
        <v/>
      </c>
      <c r="P780" s="2"/>
      <c r="Q780" s="2"/>
      <c r="R780" s="2"/>
      <c r="S780" s="2"/>
      <c r="T780" s="5"/>
    </row>
    <row r="781" customFormat="false" ht="15.75" hidden="false" customHeight="false" outlineLevel="0" collapsed="false">
      <c r="A781" s="4"/>
      <c r="B781" s="2"/>
      <c r="C781" s="2"/>
      <c r="D781" s="2"/>
      <c r="E781" s="2"/>
      <c r="F781" s="3" t="str">
        <f aca="false">IFERROR(__xludf.dummyfunction("if($T781&lt;&gt;"""",REGEXEXTRACT(SUBSTITUTE ($T781,F$1&amp;"" CE"",""""), F$1&amp;""[\w &amp;]*, (\d+\.\d+)""),"""")
"),"")</f>
        <v/>
      </c>
      <c r="G781" s="3" t="str">
        <f aca="false">IFERROR(__xludf.dummyfunction("if($T781&lt;&gt;"""",REGEXEXTRACT($T781, G$1&amp;""[\w &amp;]*, (\d+\.\d+)""),"""")
"),"")</f>
        <v/>
      </c>
      <c r="H781" s="3"/>
      <c r="I781" s="3" t="str">
        <f aca="false">IFERROR(__xludf.dummyfunction("if($T781&lt;&gt;"""",REGEXEXTRACT(SUBSTITUTE ($T781,I$1&amp;"" CE"",""""), I$1&amp;""[\w &amp;]*, (\d+\.\d+)""),"""")
"),"")</f>
        <v/>
      </c>
      <c r="J781" s="3" t="str">
        <f aca="false">IFERROR(__xludf.dummyfunction("if($T781&lt;&gt;"""",REGEXEXTRACT($T781, J$1&amp;""[\w &amp;]*, (\d+\.\d+)""),"""")
"),"")</f>
        <v/>
      </c>
      <c r="K781" s="3"/>
      <c r="L781" s="3" t="str">
        <f aca="false">IFERROR(__xludf.dummyfunction("if($T781&lt;&gt;"""",REGEXEXTRACT(SUBSTITUTE ($T781,L$1&amp;"" CE"",""""), L$1&amp;""[\w &amp;]*, (\d+\.\d+)""),"""")
"),"")</f>
        <v/>
      </c>
      <c r="M781" s="3" t="str">
        <f aca="false">IFERROR(__xludf.dummyfunction("if($T781&lt;&gt;"""",REGEXEXTRACT($T781, M$1&amp;""[\w &amp;]*, (\d+\.\d+)""),"""")
"),"")</f>
        <v/>
      </c>
      <c r="N781" s="3" t="str">
        <f aca="false">IFERROR(__xludf.dummyfunction("if($T781&lt;&gt;"""",REGEXEXTRACT(SUBSTITUTE ($T781,N$1&amp;"" CE"",""""), N$1&amp;""[\w &amp;]*, (\d+\.\d+)""),"""")
"),"")</f>
        <v/>
      </c>
      <c r="O781" s="3" t="str">
        <f aca="false">IFERROR(__xludf.dummyfunction("if($T781&lt;&gt;"""",REGEXEXTRACT($T781, O$1&amp;""[\w &amp;]*, (\d+\.\d+)""),"""")
"),"")</f>
        <v/>
      </c>
      <c r="P781" s="2"/>
      <c r="Q781" s="2"/>
      <c r="R781" s="2"/>
      <c r="S781" s="2"/>
      <c r="T781" s="5"/>
    </row>
    <row r="782" customFormat="false" ht="15.75" hidden="false" customHeight="false" outlineLevel="0" collapsed="false">
      <c r="A782" s="4"/>
      <c r="B782" s="2"/>
      <c r="C782" s="2"/>
      <c r="D782" s="2"/>
      <c r="E782" s="2"/>
      <c r="F782" s="3" t="str">
        <f aca="false">IFERROR(__xludf.dummyfunction("if($T782&lt;&gt;"""",REGEXEXTRACT(SUBSTITUTE ($T782,F$1&amp;"" CE"",""""), F$1&amp;""[\w &amp;]*, (\d+\.\d+)""),"""")
"),"")</f>
        <v/>
      </c>
      <c r="G782" s="3" t="str">
        <f aca="false">IFERROR(__xludf.dummyfunction("if($T782&lt;&gt;"""",REGEXEXTRACT($T782, G$1&amp;""[\w &amp;]*, (\d+\.\d+)""),"""")
"),"")</f>
        <v/>
      </c>
      <c r="H782" s="3"/>
      <c r="I782" s="3" t="str">
        <f aca="false">IFERROR(__xludf.dummyfunction("if($T782&lt;&gt;"""",REGEXEXTRACT(SUBSTITUTE ($T782,I$1&amp;"" CE"",""""), I$1&amp;""[\w &amp;]*, (\d+\.\d+)""),"""")
"),"")</f>
        <v/>
      </c>
      <c r="J782" s="3" t="str">
        <f aca="false">IFERROR(__xludf.dummyfunction("if($T782&lt;&gt;"""",REGEXEXTRACT($T782, J$1&amp;""[\w &amp;]*, (\d+\.\d+)""),"""")
"),"")</f>
        <v/>
      </c>
      <c r="K782" s="3"/>
      <c r="L782" s="3" t="str">
        <f aca="false">IFERROR(__xludf.dummyfunction("if($T782&lt;&gt;"""",REGEXEXTRACT(SUBSTITUTE ($T782,L$1&amp;"" CE"",""""), L$1&amp;""[\w &amp;]*, (\d+\.\d+)""),"""")
"),"")</f>
        <v/>
      </c>
      <c r="M782" s="3" t="str">
        <f aca="false">IFERROR(__xludf.dummyfunction("if($T782&lt;&gt;"""",REGEXEXTRACT($T782, M$1&amp;""[\w &amp;]*, (\d+\.\d+)""),"""")
"),"")</f>
        <v/>
      </c>
      <c r="N782" s="3" t="str">
        <f aca="false">IFERROR(__xludf.dummyfunction("if($T782&lt;&gt;"""",REGEXEXTRACT(SUBSTITUTE ($T782,N$1&amp;"" CE"",""""), N$1&amp;""[\w &amp;]*, (\d+\.\d+)""),"""")
"),"")</f>
        <v/>
      </c>
      <c r="O782" s="3" t="str">
        <f aca="false">IFERROR(__xludf.dummyfunction("if($T782&lt;&gt;"""",REGEXEXTRACT($T782, O$1&amp;""[\w &amp;]*, (\d+\.\d+)""),"""")
"),"")</f>
        <v/>
      </c>
      <c r="P782" s="2"/>
      <c r="Q782" s="2"/>
      <c r="R782" s="2"/>
      <c r="S782" s="2"/>
      <c r="T782" s="5"/>
    </row>
    <row r="783" customFormat="false" ht="15.75" hidden="false" customHeight="false" outlineLevel="0" collapsed="false">
      <c r="A783" s="4"/>
      <c r="B783" s="2"/>
      <c r="C783" s="2"/>
      <c r="D783" s="2"/>
      <c r="E783" s="2"/>
      <c r="F783" s="3" t="str">
        <f aca="false">IFERROR(__xludf.dummyfunction("if($T783&lt;&gt;"""",REGEXEXTRACT(SUBSTITUTE ($T783,F$1&amp;"" CE"",""""), F$1&amp;""[\w &amp;]*, (\d+\.\d+)""),"""")
"),"")</f>
        <v/>
      </c>
      <c r="G783" s="3" t="str">
        <f aca="false">IFERROR(__xludf.dummyfunction("if($T783&lt;&gt;"""",REGEXEXTRACT($T783, G$1&amp;""[\w &amp;]*, (\d+\.\d+)""),"""")
"),"")</f>
        <v/>
      </c>
      <c r="H783" s="3"/>
      <c r="I783" s="3" t="str">
        <f aca="false">IFERROR(__xludf.dummyfunction("if($T783&lt;&gt;"""",REGEXEXTRACT(SUBSTITUTE ($T783,I$1&amp;"" CE"",""""), I$1&amp;""[\w &amp;]*, (\d+\.\d+)""),"""")
"),"")</f>
        <v/>
      </c>
      <c r="J783" s="3" t="str">
        <f aca="false">IFERROR(__xludf.dummyfunction("if($T783&lt;&gt;"""",REGEXEXTRACT($T783, J$1&amp;""[\w &amp;]*, (\d+\.\d+)""),"""")
"),"")</f>
        <v/>
      </c>
      <c r="K783" s="3"/>
      <c r="L783" s="3" t="str">
        <f aca="false">IFERROR(__xludf.dummyfunction("if($T783&lt;&gt;"""",REGEXEXTRACT(SUBSTITUTE ($T783,L$1&amp;"" CE"",""""), L$1&amp;""[\w &amp;]*, (\d+\.\d+)""),"""")
"),"")</f>
        <v/>
      </c>
      <c r="M783" s="3" t="str">
        <f aca="false">IFERROR(__xludf.dummyfunction("if($T783&lt;&gt;"""",REGEXEXTRACT($T783, M$1&amp;""[\w &amp;]*, (\d+\.\d+)""),"""")
"),"")</f>
        <v/>
      </c>
      <c r="N783" s="3" t="str">
        <f aca="false">IFERROR(__xludf.dummyfunction("if($T783&lt;&gt;"""",REGEXEXTRACT(SUBSTITUTE ($T783,N$1&amp;"" CE"",""""), N$1&amp;""[\w &amp;]*, (\d+\.\d+)""),"""")
"),"")</f>
        <v/>
      </c>
      <c r="O783" s="3" t="str">
        <f aca="false">IFERROR(__xludf.dummyfunction("if($T783&lt;&gt;"""",REGEXEXTRACT($T783, O$1&amp;""[\w &amp;]*, (\d+\.\d+)""),"""")
"),"")</f>
        <v/>
      </c>
      <c r="P783" s="2"/>
      <c r="Q783" s="2"/>
      <c r="R783" s="2"/>
      <c r="S783" s="2"/>
      <c r="T783" s="5"/>
    </row>
    <row r="784" customFormat="false" ht="15.75" hidden="false" customHeight="false" outlineLevel="0" collapsed="false">
      <c r="A784" s="4"/>
      <c r="B784" s="2"/>
      <c r="C784" s="2"/>
      <c r="D784" s="2"/>
      <c r="E784" s="2"/>
      <c r="F784" s="3" t="str">
        <f aca="false">IFERROR(__xludf.dummyfunction("if($T784&lt;&gt;"""",REGEXEXTRACT(SUBSTITUTE ($T784,F$1&amp;"" CE"",""""), F$1&amp;""[\w &amp;]*, (\d+\.\d+)""),"""")
"),"")</f>
        <v/>
      </c>
      <c r="G784" s="3" t="str">
        <f aca="false">IFERROR(__xludf.dummyfunction("if($T784&lt;&gt;"""",REGEXEXTRACT($T784, G$1&amp;""[\w &amp;]*, (\d+\.\d+)""),"""")
"),"")</f>
        <v/>
      </c>
      <c r="H784" s="3"/>
      <c r="I784" s="3" t="str">
        <f aca="false">IFERROR(__xludf.dummyfunction("if($T784&lt;&gt;"""",REGEXEXTRACT(SUBSTITUTE ($T784,I$1&amp;"" CE"",""""), I$1&amp;""[\w &amp;]*, (\d+\.\d+)""),"""")
"),"")</f>
        <v/>
      </c>
      <c r="J784" s="3" t="str">
        <f aca="false">IFERROR(__xludf.dummyfunction("if($T784&lt;&gt;"""",REGEXEXTRACT($T784, J$1&amp;""[\w &amp;]*, (\d+\.\d+)""),"""")
"),"")</f>
        <v/>
      </c>
      <c r="K784" s="3"/>
      <c r="L784" s="3" t="str">
        <f aca="false">IFERROR(__xludf.dummyfunction("if($T784&lt;&gt;"""",REGEXEXTRACT(SUBSTITUTE ($T784,L$1&amp;"" CE"",""""), L$1&amp;""[\w &amp;]*, (\d+\.\d+)""),"""")
"),"")</f>
        <v/>
      </c>
      <c r="M784" s="3" t="str">
        <f aca="false">IFERROR(__xludf.dummyfunction("if($T784&lt;&gt;"""",REGEXEXTRACT($T784, M$1&amp;""[\w &amp;]*, (\d+\.\d+)""),"""")
"),"")</f>
        <v/>
      </c>
      <c r="N784" s="3" t="str">
        <f aca="false">IFERROR(__xludf.dummyfunction("if($T784&lt;&gt;"""",REGEXEXTRACT(SUBSTITUTE ($T784,N$1&amp;"" CE"",""""), N$1&amp;""[\w &amp;]*, (\d+\.\d+)""),"""")
"),"")</f>
        <v/>
      </c>
      <c r="O784" s="3" t="str">
        <f aca="false">IFERROR(__xludf.dummyfunction("if($T784&lt;&gt;"""",REGEXEXTRACT($T784, O$1&amp;""[\w &amp;]*, (\d+\.\d+)""),"""")
"),"")</f>
        <v/>
      </c>
      <c r="P784" s="2"/>
      <c r="Q784" s="2"/>
      <c r="R784" s="2"/>
      <c r="S784" s="2"/>
      <c r="T784" s="5"/>
    </row>
    <row r="785" customFormat="false" ht="15.75" hidden="false" customHeight="false" outlineLevel="0" collapsed="false">
      <c r="A785" s="4"/>
      <c r="B785" s="2"/>
      <c r="C785" s="2"/>
      <c r="D785" s="2"/>
      <c r="E785" s="2"/>
      <c r="F785" s="3" t="str">
        <f aca="false">IFERROR(__xludf.dummyfunction("if($T785&lt;&gt;"""",REGEXEXTRACT(SUBSTITUTE ($T785,F$1&amp;"" CE"",""""), F$1&amp;""[\w &amp;]*, (\d+\.\d+)""),"""")
"),"")</f>
        <v/>
      </c>
      <c r="G785" s="3" t="str">
        <f aca="false">IFERROR(__xludf.dummyfunction("if($T785&lt;&gt;"""",REGEXEXTRACT($T785, G$1&amp;""[\w &amp;]*, (\d+\.\d+)""),"""")
"),"")</f>
        <v/>
      </c>
      <c r="H785" s="3"/>
      <c r="I785" s="3" t="str">
        <f aca="false">IFERROR(__xludf.dummyfunction("if($T785&lt;&gt;"""",REGEXEXTRACT(SUBSTITUTE ($T785,I$1&amp;"" CE"",""""), I$1&amp;""[\w &amp;]*, (\d+\.\d+)""),"""")
"),"")</f>
        <v/>
      </c>
      <c r="J785" s="3" t="str">
        <f aca="false">IFERROR(__xludf.dummyfunction("if($T785&lt;&gt;"""",REGEXEXTRACT($T785, J$1&amp;""[\w &amp;]*, (\d+\.\d+)""),"""")
"),"")</f>
        <v/>
      </c>
      <c r="K785" s="3"/>
      <c r="L785" s="3" t="str">
        <f aca="false">IFERROR(__xludf.dummyfunction("if($T785&lt;&gt;"""",REGEXEXTRACT(SUBSTITUTE ($T785,L$1&amp;"" CE"",""""), L$1&amp;""[\w &amp;]*, (\d+\.\d+)""),"""")
"),"")</f>
        <v/>
      </c>
      <c r="M785" s="3" t="str">
        <f aca="false">IFERROR(__xludf.dummyfunction("if($T785&lt;&gt;"""",REGEXEXTRACT($T785, M$1&amp;""[\w &amp;]*, (\d+\.\d+)""),"""")
"),"")</f>
        <v/>
      </c>
      <c r="N785" s="3" t="str">
        <f aca="false">IFERROR(__xludf.dummyfunction("if($T785&lt;&gt;"""",REGEXEXTRACT(SUBSTITUTE ($T785,N$1&amp;"" CE"",""""), N$1&amp;""[\w &amp;]*, (\d+\.\d+)""),"""")
"),"")</f>
        <v/>
      </c>
      <c r="O785" s="3" t="str">
        <f aca="false">IFERROR(__xludf.dummyfunction("if($T785&lt;&gt;"""",REGEXEXTRACT($T785, O$1&amp;""[\w &amp;]*, (\d+\.\d+)""),"""")
"),"")</f>
        <v/>
      </c>
      <c r="P785" s="2"/>
      <c r="Q785" s="2"/>
      <c r="R785" s="2"/>
      <c r="S785" s="2"/>
      <c r="T785" s="5"/>
    </row>
    <row r="786" customFormat="false" ht="15.75" hidden="false" customHeight="false" outlineLevel="0" collapsed="false">
      <c r="A786" s="4"/>
      <c r="B786" s="2"/>
      <c r="C786" s="2"/>
      <c r="D786" s="2"/>
      <c r="E786" s="2"/>
      <c r="F786" s="3" t="str">
        <f aca="false">IFERROR(__xludf.dummyfunction("if($T786&lt;&gt;"""",REGEXEXTRACT(SUBSTITUTE ($T786,F$1&amp;"" CE"",""""), F$1&amp;""[\w &amp;]*, (\d+\.\d+)""),"""")
"),"")</f>
        <v/>
      </c>
      <c r="G786" s="3" t="str">
        <f aca="false">IFERROR(__xludf.dummyfunction("if($T786&lt;&gt;"""",REGEXEXTRACT($T786, G$1&amp;""[\w &amp;]*, (\d+\.\d+)""),"""")
"),"")</f>
        <v/>
      </c>
      <c r="H786" s="3"/>
      <c r="I786" s="3" t="str">
        <f aca="false">IFERROR(__xludf.dummyfunction("if($T786&lt;&gt;"""",REGEXEXTRACT(SUBSTITUTE ($T786,I$1&amp;"" CE"",""""), I$1&amp;""[\w &amp;]*, (\d+\.\d+)""),"""")
"),"")</f>
        <v/>
      </c>
      <c r="J786" s="3" t="str">
        <f aca="false">IFERROR(__xludf.dummyfunction("if($T786&lt;&gt;"""",REGEXEXTRACT($T786, J$1&amp;""[\w &amp;]*, (\d+\.\d+)""),"""")
"),"")</f>
        <v/>
      </c>
      <c r="K786" s="3"/>
      <c r="L786" s="3" t="str">
        <f aca="false">IFERROR(__xludf.dummyfunction("if($T786&lt;&gt;"""",REGEXEXTRACT(SUBSTITUTE ($T786,L$1&amp;"" CE"",""""), L$1&amp;""[\w &amp;]*, (\d+\.\d+)""),"""")
"),"")</f>
        <v/>
      </c>
      <c r="M786" s="3" t="str">
        <f aca="false">IFERROR(__xludf.dummyfunction("if($T786&lt;&gt;"""",REGEXEXTRACT($T786, M$1&amp;""[\w &amp;]*, (\d+\.\d+)""),"""")
"),"")</f>
        <v/>
      </c>
      <c r="N786" s="3" t="str">
        <f aca="false">IFERROR(__xludf.dummyfunction("if($T786&lt;&gt;"""",REGEXEXTRACT(SUBSTITUTE ($T786,N$1&amp;"" CE"",""""), N$1&amp;""[\w &amp;]*, (\d+\.\d+)""),"""")
"),"")</f>
        <v/>
      </c>
      <c r="O786" s="3" t="str">
        <f aca="false">IFERROR(__xludf.dummyfunction("if($T786&lt;&gt;"""",REGEXEXTRACT($T786, O$1&amp;""[\w &amp;]*, (\d+\.\d+)""),"""")
"),"")</f>
        <v/>
      </c>
      <c r="P786" s="2"/>
      <c r="Q786" s="2"/>
      <c r="R786" s="2"/>
      <c r="S786" s="2"/>
      <c r="T786" s="5"/>
    </row>
    <row r="787" customFormat="false" ht="15.75" hidden="false" customHeight="false" outlineLevel="0" collapsed="false">
      <c r="A787" s="4"/>
      <c r="B787" s="2"/>
      <c r="C787" s="2"/>
      <c r="D787" s="2"/>
      <c r="E787" s="2"/>
      <c r="F787" s="3" t="str">
        <f aca="false">IFERROR(__xludf.dummyfunction("if($T787&lt;&gt;"""",REGEXEXTRACT(SUBSTITUTE ($T787,F$1&amp;"" CE"",""""), F$1&amp;""[\w &amp;]*, (\d+\.\d+)""),"""")
"),"")</f>
        <v/>
      </c>
      <c r="G787" s="3" t="str">
        <f aca="false">IFERROR(__xludf.dummyfunction("if($T787&lt;&gt;"""",REGEXEXTRACT($T787, G$1&amp;""[\w &amp;]*, (\d+\.\d+)""),"""")
"),"")</f>
        <v/>
      </c>
      <c r="H787" s="3"/>
      <c r="I787" s="3" t="str">
        <f aca="false">IFERROR(__xludf.dummyfunction("if($T787&lt;&gt;"""",REGEXEXTRACT(SUBSTITUTE ($T787,I$1&amp;"" CE"",""""), I$1&amp;""[\w &amp;]*, (\d+\.\d+)""),"""")
"),"")</f>
        <v/>
      </c>
      <c r="J787" s="3" t="str">
        <f aca="false">IFERROR(__xludf.dummyfunction("if($T787&lt;&gt;"""",REGEXEXTRACT($T787, J$1&amp;""[\w &amp;]*, (\d+\.\d+)""),"""")
"),"")</f>
        <v/>
      </c>
      <c r="K787" s="3"/>
      <c r="L787" s="3" t="str">
        <f aca="false">IFERROR(__xludf.dummyfunction("if($T787&lt;&gt;"""",REGEXEXTRACT(SUBSTITUTE ($T787,L$1&amp;"" CE"",""""), L$1&amp;""[\w &amp;]*, (\d+\.\d+)""),"""")
"),"")</f>
        <v/>
      </c>
      <c r="M787" s="3" t="str">
        <f aca="false">IFERROR(__xludf.dummyfunction("if($T787&lt;&gt;"""",REGEXEXTRACT($T787, M$1&amp;""[\w &amp;]*, (\d+\.\d+)""),"""")
"),"")</f>
        <v/>
      </c>
      <c r="N787" s="3" t="str">
        <f aca="false">IFERROR(__xludf.dummyfunction("if($T787&lt;&gt;"""",REGEXEXTRACT(SUBSTITUTE ($T787,N$1&amp;"" CE"",""""), N$1&amp;""[\w &amp;]*, (\d+\.\d+)""),"""")
"),"")</f>
        <v/>
      </c>
      <c r="O787" s="3" t="str">
        <f aca="false">IFERROR(__xludf.dummyfunction("if($T787&lt;&gt;"""",REGEXEXTRACT($T787, O$1&amp;""[\w &amp;]*, (\d+\.\d+)""),"""")
"),"")</f>
        <v/>
      </c>
      <c r="P787" s="2"/>
      <c r="Q787" s="2"/>
      <c r="R787" s="2"/>
      <c r="S787" s="2"/>
      <c r="T787" s="5"/>
    </row>
    <row r="788" customFormat="false" ht="15.75" hidden="false" customHeight="false" outlineLevel="0" collapsed="false">
      <c r="A788" s="4"/>
      <c r="B788" s="2"/>
      <c r="C788" s="2"/>
      <c r="D788" s="2"/>
      <c r="E788" s="2"/>
      <c r="F788" s="3" t="str">
        <f aca="false">IFERROR(__xludf.dummyfunction("if($T788&lt;&gt;"""",REGEXEXTRACT(SUBSTITUTE ($T788,F$1&amp;"" CE"",""""), F$1&amp;""[\w &amp;]*, (\d+\.\d+)""),"""")
"),"")</f>
        <v/>
      </c>
      <c r="G788" s="3" t="str">
        <f aca="false">IFERROR(__xludf.dummyfunction("if($T788&lt;&gt;"""",REGEXEXTRACT($T788, G$1&amp;""[\w &amp;]*, (\d+\.\d+)""),"""")
"),"")</f>
        <v/>
      </c>
      <c r="H788" s="3"/>
      <c r="I788" s="3" t="str">
        <f aca="false">IFERROR(__xludf.dummyfunction("if($T788&lt;&gt;"""",REGEXEXTRACT(SUBSTITUTE ($T788,I$1&amp;"" CE"",""""), I$1&amp;""[\w &amp;]*, (\d+\.\d+)""),"""")
"),"")</f>
        <v/>
      </c>
      <c r="J788" s="3" t="str">
        <f aca="false">IFERROR(__xludf.dummyfunction("if($T788&lt;&gt;"""",REGEXEXTRACT($T788, J$1&amp;""[\w &amp;]*, (\d+\.\d+)""),"""")
"),"")</f>
        <v/>
      </c>
      <c r="K788" s="3"/>
      <c r="L788" s="3" t="str">
        <f aca="false">IFERROR(__xludf.dummyfunction("if($T788&lt;&gt;"""",REGEXEXTRACT(SUBSTITUTE ($T788,L$1&amp;"" CE"",""""), L$1&amp;""[\w &amp;]*, (\d+\.\d+)""),"""")
"),"")</f>
        <v/>
      </c>
      <c r="M788" s="3" t="str">
        <f aca="false">IFERROR(__xludf.dummyfunction("if($T788&lt;&gt;"""",REGEXEXTRACT($T788, M$1&amp;""[\w &amp;]*, (\d+\.\d+)""),"""")
"),"")</f>
        <v/>
      </c>
      <c r="N788" s="3" t="str">
        <f aca="false">IFERROR(__xludf.dummyfunction("if($T788&lt;&gt;"""",REGEXEXTRACT(SUBSTITUTE ($T788,N$1&amp;"" CE"",""""), N$1&amp;""[\w &amp;]*, (\d+\.\d+)""),"""")
"),"")</f>
        <v/>
      </c>
      <c r="O788" s="3" t="str">
        <f aca="false">IFERROR(__xludf.dummyfunction("if($T788&lt;&gt;"""",REGEXEXTRACT($T788, O$1&amp;""[\w &amp;]*, (\d+\.\d+)""),"""")
"),"")</f>
        <v/>
      </c>
      <c r="P788" s="2"/>
      <c r="Q788" s="2"/>
      <c r="R788" s="2"/>
      <c r="S788" s="2"/>
      <c r="T788" s="5"/>
    </row>
    <row r="789" customFormat="false" ht="15.75" hidden="false" customHeight="false" outlineLevel="0" collapsed="false">
      <c r="A789" s="4"/>
      <c r="B789" s="2"/>
      <c r="C789" s="2"/>
      <c r="D789" s="2"/>
      <c r="E789" s="2"/>
      <c r="F789" s="3" t="str">
        <f aca="false">IFERROR(__xludf.dummyfunction("if($T789&lt;&gt;"""",REGEXEXTRACT(SUBSTITUTE ($T789,F$1&amp;"" CE"",""""), F$1&amp;""[\w &amp;]*, (\d+\.\d+)""),"""")
"),"")</f>
        <v/>
      </c>
      <c r="G789" s="3" t="str">
        <f aca="false">IFERROR(__xludf.dummyfunction("if($T789&lt;&gt;"""",REGEXEXTRACT($T789, G$1&amp;""[\w &amp;]*, (\d+\.\d+)""),"""")
"),"")</f>
        <v/>
      </c>
      <c r="H789" s="3"/>
      <c r="I789" s="3" t="str">
        <f aca="false">IFERROR(__xludf.dummyfunction("if($T789&lt;&gt;"""",REGEXEXTRACT(SUBSTITUTE ($T789,I$1&amp;"" CE"",""""), I$1&amp;""[\w &amp;]*, (\d+\.\d+)""),"""")
"),"")</f>
        <v/>
      </c>
      <c r="J789" s="3" t="str">
        <f aca="false">IFERROR(__xludf.dummyfunction("if($T789&lt;&gt;"""",REGEXEXTRACT($T789, J$1&amp;""[\w &amp;]*, (\d+\.\d+)""),"""")
"),"")</f>
        <v/>
      </c>
      <c r="K789" s="3"/>
      <c r="L789" s="3" t="str">
        <f aca="false">IFERROR(__xludf.dummyfunction("if($T789&lt;&gt;"""",REGEXEXTRACT(SUBSTITUTE ($T789,L$1&amp;"" CE"",""""), L$1&amp;""[\w &amp;]*, (\d+\.\d+)""),"""")
"),"")</f>
        <v/>
      </c>
      <c r="M789" s="3" t="str">
        <f aca="false">IFERROR(__xludf.dummyfunction("if($T789&lt;&gt;"""",REGEXEXTRACT($T789, M$1&amp;""[\w &amp;]*, (\d+\.\d+)""),"""")
"),"")</f>
        <v/>
      </c>
      <c r="N789" s="3" t="str">
        <f aca="false">IFERROR(__xludf.dummyfunction("if($T789&lt;&gt;"""",REGEXEXTRACT(SUBSTITUTE ($T789,N$1&amp;"" CE"",""""), N$1&amp;""[\w &amp;]*, (\d+\.\d+)""),"""")
"),"")</f>
        <v/>
      </c>
      <c r="O789" s="3" t="str">
        <f aca="false">IFERROR(__xludf.dummyfunction("if($T789&lt;&gt;"""",REGEXEXTRACT($T789, O$1&amp;""[\w &amp;]*, (\d+\.\d+)""),"""")
"),"")</f>
        <v/>
      </c>
      <c r="P789" s="2"/>
      <c r="Q789" s="2"/>
      <c r="R789" s="2"/>
      <c r="S789" s="2"/>
      <c r="T789" s="5"/>
    </row>
    <row r="790" customFormat="false" ht="15.75" hidden="false" customHeight="false" outlineLevel="0" collapsed="false">
      <c r="A790" s="4"/>
      <c r="B790" s="2"/>
      <c r="C790" s="2"/>
      <c r="D790" s="2"/>
      <c r="E790" s="2"/>
      <c r="F790" s="3" t="str">
        <f aca="false">IFERROR(__xludf.dummyfunction("if($T790&lt;&gt;"""",REGEXEXTRACT(SUBSTITUTE ($T790,F$1&amp;"" CE"",""""), F$1&amp;""[\w &amp;]*, (\d+\.\d+)""),"""")
"),"")</f>
        <v/>
      </c>
      <c r="G790" s="3" t="str">
        <f aca="false">IFERROR(__xludf.dummyfunction("if($T790&lt;&gt;"""",REGEXEXTRACT($T790, G$1&amp;""[\w &amp;]*, (\d+\.\d+)""),"""")
"),"")</f>
        <v/>
      </c>
      <c r="H790" s="3"/>
      <c r="I790" s="3" t="str">
        <f aca="false">IFERROR(__xludf.dummyfunction("if($T790&lt;&gt;"""",REGEXEXTRACT(SUBSTITUTE ($T790,I$1&amp;"" CE"",""""), I$1&amp;""[\w &amp;]*, (\d+\.\d+)""),"""")
"),"")</f>
        <v/>
      </c>
      <c r="J790" s="3" t="str">
        <f aca="false">IFERROR(__xludf.dummyfunction("if($T790&lt;&gt;"""",REGEXEXTRACT($T790, J$1&amp;""[\w &amp;]*, (\d+\.\d+)""),"""")
"),"")</f>
        <v/>
      </c>
      <c r="K790" s="3"/>
      <c r="L790" s="3" t="str">
        <f aca="false">IFERROR(__xludf.dummyfunction("if($T790&lt;&gt;"""",REGEXEXTRACT(SUBSTITUTE ($T790,L$1&amp;"" CE"",""""), L$1&amp;""[\w &amp;]*, (\d+\.\d+)""),"""")
"),"")</f>
        <v/>
      </c>
      <c r="M790" s="3" t="str">
        <f aca="false">IFERROR(__xludf.dummyfunction("if($T790&lt;&gt;"""",REGEXEXTRACT($T790, M$1&amp;""[\w &amp;]*, (\d+\.\d+)""),"""")
"),"")</f>
        <v/>
      </c>
      <c r="N790" s="3" t="str">
        <f aca="false">IFERROR(__xludf.dummyfunction("if($T790&lt;&gt;"""",REGEXEXTRACT(SUBSTITUTE ($T790,N$1&amp;"" CE"",""""), N$1&amp;""[\w &amp;]*, (\d+\.\d+)""),"""")
"),"")</f>
        <v/>
      </c>
      <c r="O790" s="3" t="str">
        <f aca="false">IFERROR(__xludf.dummyfunction("if($T790&lt;&gt;"""",REGEXEXTRACT($T790, O$1&amp;""[\w &amp;]*, (\d+\.\d+)""),"""")
"),"")</f>
        <v/>
      </c>
      <c r="P790" s="2"/>
      <c r="Q790" s="2"/>
      <c r="R790" s="2"/>
      <c r="S790" s="2"/>
      <c r="T790" s="5"/>
    </row>
    <row r="791" customFormat="false" ht="15.75" hidden="false" customHeight="false" outlineLevel="0" collapsed="false">
      <c r="A791" s="4"/>
      <c r="B791" s="2"/>
      <c r="C791" s="2"/>
      <c r="D791" s="2"/>
      <c r="E791" s="2"/>
      <c r="F791" s="3" t="str">
        <f aca="false">IFERROR(__xludf.dummyfunction("if($T791&lt;&gt;"""",REGEXEXTRACT(SUBSTITUTE ($T791,F$1&amp;"" CE"",""""), F$1&amp;""[\w &amp;]*, (\d+\.\d+)""),"""")
"),"")</f>
        <v/>
      </c>
      <c r="G791" s="3" t="str">
        <f aca="false">IFERROR(__xludf.dummyfunction("if($T791&lt;&gt;"""",REGEXEXTRACT($T791, G$1&amp;""[\w &amp;]*, (\d+\.\d+)""),"""")
"),"")</f>
        <v/>
      </c>
      <c r="H791" s="3"/>
      <c r="I791" s="3" t="str">
        <f aca="false">IFERROR(__xludf.dummyfunction("if($T791&lt;&gt;"""",REGEXEXTRACT(SUBSTITUTE ($T791,I$1&amp;"" CE"",""""), I$1&amp;""[\w &amp;]*, (\d+\.\d+)""),"""")
"),"")</f>
        <v/>
      </c>
      <c r="J791" s="3" t="str">
        <f aca="false">IFERROR(__xludf.dummyfunction("if($T791&lt;&gt;"""",REGEXEXTRACT($T791, J$1&amp;""[\w &amp;]*, (\d+\.\d+)""),"""")
"),"")</f>
        <v/>
      </c>
      <c r="K791" s="3"/>
      <c r="L791" s="3" t="str">
        <f aca="false">IFERROR(__xludf.dummyfunction("if($T791&lt;&gt;"""",REGEXEXTRACT(SUBSTITUTE ($T791,L$1&amp;"" CE"",""""), L$1&amp;""[\w &amp;]*, (\d+\.\d+)""),"""")
"),"")</f>
        <v/>
      </c>
      <c r="M791" s="3" t="str">
        <f aca="false">IFERROR(__xludf.dummyfunction("if($T791&lt;&gt;"""",REGEXEXTRACT($T791, M$1&amp;""[\w &amp;]*, (\d+\.\d+)""),"""")
"),"")</f>
        <v/>
      </c>
      <c r="N791" s="3" t="str">
        <f aca="false">IFERROR(__xludf.dummyfunction("if($T791&lt;&gt;"""",REGEXEXTRACT(SUBSTITUTE ($T791,N$1&amp;"" CE"",""""), N$1&amp;""[\w &amp;]*, (\d+\.\d+)""),"""")
"),"")</f>
        <v/>
      </c>
      <c r="O791" s="3" t="str">
        <f aca="false">IFERROR(__xludf.dummyfunction("if($T791&lt;&gt;"""",REGEXEXTRACT($T791, O$1&amp;""[\w &amp;]*, (\d+\.\d+)""),"""")
"),"")</f>
        <v/>
      </c>
      <c r="P791" s="2"/>
      <c r="Q791" s="2"/>
      <c r="R791" s="2"/>
      <c r="S791" s="2"/>
      <c r="T791" s="5"/>
    </row>
    <row r="792" customFormat="false" ht="15.75" hidden="false" customHeight="false" outlineLevel="0" collapsed="false">
      <c r="A792" s="4"/>
      <c r="B792" s="2"/>
      <c r="C792" s="2"/>
      <c r="D792" s="2"/>
      <c r="E792" s="2"/>
      <c r="F792" s="3" t="str">
        <f aca="false">IFERROR(__xludf.dummyfunction("if($T792&lt;&gt;"""",REGEXEXTRACT(SUBSTITUTE ($T792,F$1&amp;"" CE"",""""), F$1&amp;""[\w &amp;]*, (\d+\.\d+)""),"""")
"),"")</f>
        <v/>
      </c>
      <c r="G792" s="3" t="str">
        <f aca="false">IFERROR(__xludf.dummyfunction("if($T792&lt;&gt;"""",REGEXEXTRACT($T792, G$1&amp;""[\w &amp;]*, (\d+\.\d+)""),"""")
"),"")</f>
        <v/>
      </c>
      <c r="H792" s="3"/>
      <c r="I792" s="3" t="str">
        <f aca="false">IFERROR(__xludf.dummyfunction("if($T792&lt;&gt;"""",REGEXEXTRACT(SUBSTITUTE ($T792,I$1&amp;"" CE"",""""), I$1&amp;""[\w &amp;]*, (\d+\.\d+)""),"""")
"),"")</f>
        <v/>
      </c>
      <c r="J792" s="3" t="str">
        <f aca="false">IFERROR(__xludf.dummyfunction("if($T792&lt;&gt;"""",REGEXEXTRACT($T792, J$1&amp;""[\w &amp;]*, (\d+\.\d+)""),"""")
"),"")</f>
        <v/>
      </c>
      <c r="K792" s="3"/>
      <c r="L792" s="3" t="str">
        <f aca="false">IFERROR(__xludf.dummyfunction("if($T792&lt;&gt;"""",REGEXEXTRACT(SUBSTITUTE ($T792,L$1&amp;"" CE"",""""), L$1&amp;""[\w &amp;]*, (\d+\.\d+)""),"""")
"),"")</f>
        <v/>
      </c>
      <c r="M792" s="3" t="str">
        <f aca="false">IFERROR(__xludf.dummyfunction("if($T792&lt;&gt;"""",REGEXEXTRACT($T792, M$1&amp;""[\w &amp;]*, (\d+\.\d+)""),"""")
"),"")</f>
        <v/>
      </c>
      <c r="N792" s="3" t="str">
        <f aca="false">IFERROR(__xludf.dummyfunction("if($T792&lt;&gt;"""",REGEXEXTRACT(SUBSTITUTE ($T792,N$1&amp;"" CE"",""""), N$1&amp;""[\w &amp;]*, (\d+\.\d+)""),"""")
"),"")</f>
        <v/>
      </c>
      <c r="O792" s="3" t="str">
        <f aca="false">IFERROR(__xludf.dummyfunction("if($T792&lt;&gt;"""",REGEXEXTRACT($T792, O$1&amp;""[\w &amp;]*, (\d+\.\d+)""),"""")
"),"")</f>
        <v/>
      </c>
      <c r="P792" s="2"/>
      <c r="Q792" s="2"/>
      <c r="R792" s="2"/>
      <c r="S792" s="2"/>
      <c r="T792" s="5"/>
    </row>
    <row r="793" customFormat="false" ht="15.75" hidden="false" customHeight="false" outlineLevel="0" collapsed="false">
      <c r="A793" s="4"/>
      <c r="B793" s="2"/>
      <c r="C793" s="2"/>
      <c r="D793" s="2"/>
      <c r="E793" s="2"/>
      <c r="F793" s="3" t="str">
        <f aca="false">IFERROR(__xludf.dummyfunction("if($T793&lt;&gt;"""",REGEXEXTRACT(SUBSTITUTE ($T793,F$1&amp;"" CE"",""""), F$1&amp;""[\w &amp;]*, (\d+\.\d+)""),"""")
"),"")</f>
        <v/>
      </c>
      <c r="G793" s="3" t="str">
        <f aca="false">IFERROR(__xludf.dummyfunction("if($T793&lt;&gt;"""",REGEXEXTRACT($T793, G$1&amp;""[\w &amp;]*, (\d+\.\d+)""),"""")
"),"")</f>
        <v/>
      </c>
      <c r="H793" s="3"/>
      <c r="I793" s="3" t="str">
        <f aca="false">IFERROR(__xludf.dummyfunction("if($T793&lt;&gt;"""",REGEXEXTRACT(SUBSTITUTE ($T793,I$1&amp;"" CE"",""""), I$1&amp;""[\w &amp;]*, (\d+\.\d+)""),"""")
"),"")</f>
        <v/>
      </c>
      <c r="J793" s="3" t="str">
        <f aca="false">IFERROR(__xludf.dummyfunction("if($T793&lt;&gt;"""",REGEXEXTRACT($T793, J$1&amp;""[\w &amp;]*, (\d+\.\d+)""),"""")
"),"")</f>
        <v/>
      </c>
      <c r="K793" s="3"/>
      <c r="L793" s="3" t="str">
        <f aca="false">IFERROR(__xludf.dummyfunction("if($T793&lt;&gt;"""",REGEXEXTRACT(SUBSTITUTE ($T793,L$1&amp;"" CE"",""""), L$1&amp;""[\w &amp;]*, (\d+\.\d+)""),"""")
"),"")</f>
        <v/>
      </c>
      <c r="M793" s="3" t="str">
        <f aca="false">IFERROR(__xludf.dummyfunction("if($T793&lt;&gt;"""",REGEXEXTRACT($T793, M$1&amp;""[\w &amp;]*, (\d+\.\d+)""),"""")
"),"")</f>
        <v/>
      </c>
      <c r="N793" s="3" t="str">
        <f aca="false">IFERROR(__xludf.dummyfunction("if($T793&lt;&gt;"""",REGEXEXTRACT(SUBSTITUTE ($T793,N$1&amp;"" CE"",""""), N$1&amp;""[\w &amp;]*, (\d+\.\d+)""),"""")
"),"")</f>
        <v/>
      </c>
      <c r="O793" s="3" t="str">
        <f aca="false">IFERROR(__xludf.dummyfunction("if($T793&lt;&gt;"""",REGEXEXTRACT($T793, O$1&amp;""[\w &amp;]*, (\d+\.\d+)""),"""")
"),"")</f>
        <v/>
      </c>
      <c r="P793" s="2"/>
      <c r="Q793" s="2"/>
      <c r="R793" s="2"/>
      <c r="S793" s="2"/>
      <c r="T793" s="5"/>
    </row>
    <row r="794" customFormat="false" ht="15.75" hidden="false" customHeight="false" outlineLevel="0" collapsed="false">
      <c r="A794" s="4"/>
      <c r="B794" s="2"/>
      <c r="C794" s="2"/>
      <c r="D794" s="2"/>
      <c r="E794" s="2"/>
      <c r="F794" s="3" t="str">
        <f aca="false">IFERROR(__xludf.dummyfunction("if($T794&lt;&gt;"""",REGEXEXTRACT(SUBSTITUTE ($T794,F$1&amp;"" CE"",""""), F$1&amp;""[\w &amp;]*, (\d+\.\d+)""),"""")
"),"")</f>
        <v/>
      </c>
      <c r="G794" s="3" t="str">
        <f aca="false">IFERROR(__xludf.dummyfunction("if($T794&lt;&gt;"""",REGEXEXTRACT($T794, G$1&amp;""[\w &amp;]*, (\d+\.\d+)""),"""")
"),"")</f>
        <v/>
      </c>
      <c r="H794" s="3"/>
      <c r="I794" s="3" t="str">
        <f aca="false">IFERROR(__xludf.dummyfunction("if($T794&lt;&gt;"""",REGEXEXTRACT(SUBSTITUTE ($T794,I$1&amp;"" CE"",""""), I$1&amp;""[\w &amp;]*, (\d+\.\d+)""),"""")
"),"")</f>
        <v/>
      </c>
      <c r="J794" s="3" t="str">
        <f aca="false">IFERROR(__xludf.dummyfunction("if($T794&lt;&gt;"""",REGEXEXTRACT($T794, J$1&amp;""[\w &amp;]*, (\d+\.\d+)""),"""")
"),"")</f>
        <v/>
      </c>
      <c r="K794" s="3"/>
      <c r="L794" s="3" t="str">
        <f aca="false">IFERROR(__xludf.dummyfunction("if($T794&lt;&gt;"""",REGEXEXTRACT(SUBSTITUTE ($T794,L$1&amp;"" CE"",""""), L$1&amp;""[\w &amp;]*, (\d+\.\d+)""),"""")
"),"")</f>
        <v/>
      </c>
      <c r="M794" s="3" t="str">
        <f aca="false">IFERROR(__xludf.dummyfunction("if($T794&lt;&gt;"""",REGEXEXTRACT($T794, M$1&amp;""[\w &amp;]*, (\d+\.\d+)""),"""")
"),"")</f>
        <v/>
      </c>
      <c r="N794" s="3" t="str">
        <f aca="false">IFERROR(__xludf.dummyfunction("if($T794&lt;&gt;"""",REGEXEXTRACT(SUBSTITUTE ($T794,N$1&amp;"" CE"",""""), N$1&amp;""[\w &amp;]*, (\d+\.\d+)""),"""")
"),"")</f>
        <v/>
      </c>
      <c r="O794" s="3" t="str">
        <f aca="false">IFERROR(__xludf.dummyfunction("if($T794&lt;&gt;"""",REGEXEXTRACT($T794, O$1&amp;""[\w &amp;]*, (\d+\.\d+)""),"""")
"),"")</f>
        <v/>
      </c>
      <c r="P794" s="2"/>
      <c r="Q794" s="2"/>
      <c r="R794" s="2"/>
      <c r="S794" s="2"/>
      <c r="T794" s="5"/>
    </row>
    <row r="795" customFormat="false" ht="15.75" hidden="false" customHeight="false" outlineLevel="0" collapsed="false">
      <c r="A795" s="4"/>
      <c r="B795" s="2"/>
      <c r="C795" s="2"/>
      <c r="D795" s="2"/>
      <c r="E795" s="2"/>
      <c r="F795" s="3" t="str">
        <f aca="false">IFERROR(__xludf.dummyfunction("if($T795&lt;&gt;"""",REGEXEXTRACT(SUBSTITUTE ($T795,F$1&amp;"" CE"",""""), F$1&amp;""[\w &amp;]*, (\d+\.\d+)""),"""")
"),"")</f>
        <v/>
      </c>
      <c r="G795" s="3" t="str">
        <f aca="false">IFERROR(__xludf.dummyfunction("if($T795&lt;&gt;"""",REGEXEXTRACT($T795, G$1&amp;""[\w &amp;]*, (\d+\.\d+)""),"""")
"),"")</f>
        <v/>
      </c>
      <c r="H795" s="3"/>
      <c r="I795" s="3" t="str">
        <f aca="false">IFERROR(__xludf.dummyfunction("if($T795&lt;&gt;"""",REGEXEXTRACT(SUBSTITUTE ($T795,I$1&amp;"" CE"",""""), I$1&amp;""[\w &amp;]*, (\d+\.\d+)""),"""")
"),"")</f>
        <v/>
      </c>
      <c r="J795" s="3" t="str">
        <f aca="false">IFERROR(__xludf.dummyfunction("if($T795&lt;&gt;"""",REGEXEXTRACT($T795, J$1&amp;""[\w &amp;]*, (\d+\.\d+)""),"""")
"),"")</f>
        <v/>
      </c>
      <c r="K795" s="3"/>
      <c r="L795" s="3" t="str">
        <f aca="false">IFERROR(__xludf.dummyfunction("if($T795&lt;&gt;"""",REGEXEXTRACT(SUBSTITUTE ($T795,L$1&amp;"" CE"",""""), L$1&amp;""[\w &amp;]*, (\d+\.\d+)""),"""")
"),"")</f>
        <v/>
      </c>
      <c r="M795" s="3" t="str">
        <f aca="false">IFERROR(__xludf.dummyfunction("if($T795&lt;&gt;"""",REGEXEXTRACT($T795, M$1&amp;""[\w &amp;]*, (\d+\.\d+)""),"""")
"),"")</f>
        <v/>
      </c>
      <c r="N795" s="3" t="str">
        <f aca="false">IFERROR(__xludf.dummyfunction("if($T795&lt;&gt;"""",REGEXEXTRACT(SUBSTITUTE ($T795,N$1&amp;"" CE"",""""), N$1&amp;""[\w &amp;]*, (\d+\.\d+)""),"""")
"),"")</f>
        <v/>
      </c>
      <c r="O795" s="3" t="str">
        <f aca="false">IFERROR(__xludf.dummyfunction("if($T795&lt;&gt;"""",REGEXEXTRACT($T795, O$1&amp;""[\w &amp;]*, (\d+\.\d+)""),"""")
"),"")</f>
        <v/>
      </c>
      <c r="P795" s="2"/>
      <c r="Q795" s="2"/>
      <c r="R795" s="2"/>
      <c r="S795" s="2"/>
      <c r="T795" s="5"/>
    </row>
    <row r="796" customFormat="false" ht="15.75" hidden="false" customHeight="false" outlineLevel="0" collapsed="false">
      <c r="A796" s="4"/>
      <c r="B796" s="2"/>
      <c r="C796" s="2"/>
      <c r="D796" s="2"/>
      <c r="E796" s="2"/>
      <c r="F796" s="3" t="str">
        <f aca="false">IFERROR(__xludf.dummyfunction("if($T796&lt;&gt;"""",REGEXEXTRACT(SUBSTITUTE ($T796,F$1&amp;"" CE"",""""), F$1&amp;""[\w &amp;]*, (\d+\.\d+)""),"""")
"),"")</f>
        <v/>
      </c>
      <c r="G796" s="3" t="str">
        <f aca="false">IFERROR(__xludf.dummyfunction("if($T796&lt;&gt;"""",REGEXEXTRACT($T796, G$1&amp;""[\w &amp;]*, (\d+\.\d+)""),"""")
"),"")</f>
        <v/>
      </c>
      <c r="H796" s="3"/>
      <c r="I796" s="3" t="str">
        <f aca="false">IFERROR(__xludf.dummyfunction("if($T796&lt;&gt;"""",REGEXEXTRACT(SUBSTITUTE ($T796,I$1&amp;"" CE"",""""), I$1&amp;""[\w &amp;]*, (\d+\.\d+)""),"""")
"),"")</f>
        <v/>
      </c>
      <c r="J796" s="3" t="str">
        <f aca="false">IFERROR(__xludf.dummyfunction("if($T796&lt;&gt;"""",REGEXEXTRACT($T796, J$1&amp;""[\w &amp;]*, (\d+\.\d+)""),"""")
"),"")</f>
        <v/>
      </c>
      <c r="K796" s="3"/>
      <c r="L796" s="3" t="str">
        <f aca="false">IFERROR(__xludf.dummyfunction("if($T796&lt;&gt;"""",REGEXEXTRACT(SUBSTITUTE ($T796,L$1&amp;"" CE"",""""), L$1&amp;""[\w &amp;]*, (\d+\.\d+)""),"""")
"),"")</f>
        <v/>
      </c>
      <c r="M796" s="3" t="str">
        <f aca="false">IFERROR(__xludf.dummyfunction("if($T796&lt;&gt;"""",REGEXEXTRACT($T796, M$1&amp;""[\w &amp;]*, (\d+\.\d+)""),"""")
"),"")</f>
        <v/>
      </c>
      <c r="N796" s="3" t="str">
        <f aca="false">IFERROR(__xludf.dummyfunction("if($T796&lt;&gt;"""",REGEXEXTRACT(SUBSTITUTE ($T796,N$1&amp;"" CE"",""""), N$1&amp;""[\w &amp;]*, (\d+\.\d+)""),"""")
"),"")</f>
        <v/>
      </c>
      <c r="O796" s="3" t="str">
        <f aca="false">IFERROR(__xludf.dummyfunction("if($T796&lt;&gt;"""",REGEXEXTRACT($T796, O$1&amp;""[\w &amp;]*, (\d+\.\d+)""),"""")
"),"")</f>
        <v/>
      </c>
      <c r="P796" s="2"/>
      <c r="Q796" s="2"/>
      <c r="R796" s="2"/>
      <c r="S796" s="2"/>
      <c r="T796" s="5"/>
    </row>
    <row r="797" customFormat="false" ht="15.75" hidden="false" customHeight="false" outlineLevel="0" collapsed="false">
      <c r="A797" s="4"/>
      <c r="B797" s="2"/>
      <c r="C797" s="2"/>
      <c r="D797" s="2"/>
      <c r="E797" s="2"/>
      <c r="F797" s="3" t="str">
        <f aca="false">IFERROR(__xludf.dummyfunction("if($T797&lt;&gt;"""",REGEXEXTRACT(SUBSTITUTE ($T797,F$1&amp;"" CE"",""""), F$1&amp;""[\w &amp;]*, (\d+\.\d+)""),"""")
"),"")</f>
        <v/>
      </c>
      <c r="G797" s="3" t="str">
        <f aca="false">IFERROR(__xludf.dummyfunction("if($T797&lt;&gt;"""",REGEXEXTRACT($T797, G$1&amp;""[\w &amp;]*, (\d+\.\d+)""),"""")
"),"")</f>
        <v/>
      </c>
      <c r="H797" s="3"/>
      <c r="I797" s="3" t="str">
        <f aca="false">IFERROR(__xludf.dummyfunction("if($T797&lt;&gt;"""",REGEXEXTRACT(SUBSTITUTE ($T797,I$1&amp;"" CE"",""""), I$1&amp;""[\w &amp;]*, (\d+\.\d+)""),"""")
"),"")</f>
        <v/>
      </c>
      <c r="J797" s="3" t="str">
        <f aca="false">IFERROR(__xludf.dummyfunction("if($T797&lt;&gt;"""",REGEXEXTRACT($T797, J$1&amp;""[\w &amp;]*, (\d+\.\d+)""),"""")
"),"")</f>
        <v/>
      </c>
      <c r="K797" s="3"/>
      <c r="L797" s="3" t="str">
        <f aca="false">IFERROR(__xludf.dummyfunction("if($T797&lt;&gt;"""",REGEXEXTRACT(SUBSTITUTE ($T797,L$1&amp;"" CE"",""""), L$1&amp;""[\w &amp;]*, (\d+\.\d+)""),"""")
"),"")</f>
        <v/>
      </c>
      <c r="M797" s="3" t="str">
        <f aca="false">IFERROR(__xludf.dummyfunction("if($T797&lt;&gt;"""",REGEXEXTRACT($T797, M$1&amp;""[\w &amp;]*, (\d+\.\d+)""),"""")
"),"")</f>
        <v/>
      </c>
      <c r="N797" s="3" t="str">
        <f aca="false">IFERROR(__xludf.dummyfunction("if($T797&lt;&gt;"""",REGEXEXTRACT(SUBSTITUTE ($T797,N$1&amp;"" CE"",""""), N$1&amp;""[\w &amp;]*, (\d+\.\d+)""),"""")
"),"")</f>
        <v/>
      </c>
      <c r="O797" s="3" t="str">
        <f aca="false">IFERROR(__xludf.dummyfunction("if($T797&lt;&gt;"""",REGEXEXTRACT($T797, O$1&amp;""[\w &amp;]*, (\d+\.\d+)""),"""")
"),"")</f>
        <v/>
      </c>
      <c r="P797" s="2"/>
      <c r="Q797" s="2"/>
      <c r="R797" s="2"/>
      <c r="S797" s="2"/>
      <c r="T797" s="5"/>
    </row>
    <row r="798" customFormat="false" ht="15.75" hidden="false" customHeight="false" outlineLevel="0" collapsed="false">
      <c r="A798" s="4"/>
      <c r="B798" s="2"/>
      <c r="C798" s="2"/>
      <c r="D798" s="2"/>
      <c r="E798" s="2"/>
      <c r="F798" s="3" t="str">
        <f aca="false">IFERROR(__xludf.dummyfunction("if($T798&lt;&gt;"""",REGEXEXTRACT(SUBSTITUTE ($T798,F$1&amp;"" CE"",""""), F$1&amp;""[\w &amp;]*, (\d+\.\d+)""),"""")
"),"")</f>
        <v/>
      </c>
      <c r="G798" s="3" t="str">
        <f aca="false">IFERROR(__xludf.dummyfunction("if($T798&lt;&gt;"""",REGEXEXTRACT($T798, G$1&amp;""[\w &amp;]*, (\d+\.\d+)""),"""")
"),"")</f>
        <v/>
      </c>
      <c r="H798" s="3"/>
      <c r="I798" s="3" t="str">
        <f aca="false">IFERROR(__xludf.dummyfunction("if($T798&lt;&gt;"""",REGEXEXTRACT(SUBSTITUTE ($T798,I$1&amp;"" CE"",""""), I$1&amp;""[\w &amp;]*, (\d+\.\d+)""),"""")
"),"")</f>
        <v/>
      </c>
      <c r="J798" s="3" t="str">
        <f aca="false">IFERROR(__xludf.dummyfunction("if($T798&lt;&gt;"""",REGEXEXTRACT($T798, J$1&amp;""[\w &amp;]*, (\d+\.\d+)""),"""")
"),"")</f>
        <v/>
      </c>
      <c r="K798" s="3"/>
      <c r="L798" s="3" t="str">
        <f aca="false">IFERROR(__xludf.dummyfunction("if($T798&lt;&gt;"""",REGEXEXTRACT(SUBSTITUTE ($T798,L$1&amp;"" CE"",""""), L$1&amp;""[\w &amp;]*, (\d+\.\d+)""),"""")
"),"")</f>
        <v/>
      </c>
      <c r="M798" s="3" t="str">
        <f aca="false">IFERROR(__xludf.dummyfunction("if($T798&lt;&gt;"""",REGEXEXTRACT($T798, M$1&amp;""[\w &amp;]*, (\d+\.\d+)""),"""")
"),"")</f>
        <v/>
      </c>
      <c r="N798" s="3" t="str">
        <f aca="false">IFERROR(__xludf.dummyfunction("if($T798&lt;&gt;"""",REGEXEXTRACT(SUBSTITUTE ($T798,N$1&amp;"" CE"",""""), N$1&amp;""[\w &amp;]*, (\d+\.\d+)""),"""")
"),"")</f>
        <v/>
      </c>
      <c r="O798" s="3" t="str">
        <f aca="false">IFERROR(__xludf.dummyfunction("if($T798&lt;&gt;"""",REGEXEXTRACT($T798, O$1&amp;""[\w &amp;]*, (\d+\.\d+)""),"""")
"),"")</f>
        <v/>
      </c>
      <c r="P798" s="2"/>
      <c r="Q798" s="2"/>
      <c r="R798" s="2"/>
      <c r="S798" s="2"/>
      <c r="T798" s="5"/>
    </row>
    <row r="799" customFormat="false" ht="15.75" hidden="false" customHeight="false" outlineLevel="0" collapsed="false">
      <c r="A799" s="4"/>
      <c r="B799" s="2"/>
      <c r="C799" s="2"/>
      <c r="D799" s="2"/>
      <c r="E799" s="2"/>
      <c r="F799" s="3" t="str">
        <f aca="false">IFERROR(__xludf.dummyfunction("if($T799&lt;&gt;"""",REGEXEXTRACT(SUBSTITUTE ($T799,F$1&amp;"" CE"",""""), F$1&amp;""[\w &amp;]*, (\d+\.\d+)""),"""")
"),"")</f>
        <v/>
      </c>
      <c r="G799" s="3" t="str">
        <f aca="false">IFERROR(__xludf.dummyfunction("if($T799&lt;&gt;"""",REGEXEXTRACT($T799, G$1&amp;""[\w &amp;]*, (\d+\.\d+)""),"""")
"),"")</f>
        <v/>
      </c>
      <c r="H799" s="3"/>
      <c r="I799" s="3" t="str">
        <f aca="false">IFERROR(__xludf.dummyfunction("if($T799&lt;&gt;"""",REGEXEXTRACT(SUBSTITUTE ($T799,I$1&amp;"" CE"",""""), I$1&amp;""[\w &amp;]*, (\d+\.\d+)""),"""")
"),"")</f>
        <v/>
      </c>
      <c r="J799" s="3" t="str">
        <f aca="false">IFERROR(__xludf.dummyfunction("if($T799&lt;&gt;"""",REGEXEXTRACT($T799, J$1&amp;""[\w &amp;]*, (\d+\.\d+)""),"""")
"),"")</f>
        <v/>
      </c>
      <c r="K799" s="3"/>
      <c r="L799" s="3" t="str">
        <f aca="false">IFERROR(__xludf.dummyfunction("if($T799&lt;&gt;"""",REGEXEXTRACT(SUBSTITUTE ($T799,L$1&amp;"" CE"",""""), L$1&amp;""[\w &amp;]*, (\d+\.\d+)""),"""")
"),"")</f>
        <v/>
      </c>
      <c r="M799" s="3" t="str">
        <f aca="false">IFERROR(__xludf.dummyfunction("if($T799&lt;&gt;"""",REGEXEXTRACT($T799, M$1&amp;""[\w &amp;]*, (\d+\.\d+)""),"""")
"),"")</f>
        <v/>
      </c>
      <c r="N799" s="3" t="str">
        <f aca="false">IFERROR(__xludf.dummyfunction("if($T799&lt;&gt;"""",REGEXEXTRACT(SUBSTITUTE ($T799,N$1&amp;"" CE"",""""), N$1&amp;""[\w &amp;]*, (\d+\.\d+)""),"""")
"),"")</f>
        <v/>
      </c>
      <c r="O799" s="3" t="str">
        <f aca="false">IFERROR(__xludf.dummyfunction("if($T799&lt;&gt;"""",REGEXEXTRACT($T799, O$1&amp;""[\w &amp;]*, (\d+\.\d+)""),"""")
"),"")</f>
        <v/>
      </c>
      <c r="P799" s="2"/>
      <c r="Q799" s="2"/>
      <c r="R799" s="2"/>
      <c r="S799" s="2"/>
      <c r="T799" s="5"/>
    </row>
    <row r="800" customFormat="false" ht="15.75" hidden="false" customHeight="false" outlineLevel="0" collapsed="false">
      <c r="A800" s="4"/>
      <c r="B800" s="2"/>
      <c r="C800" s="2"/>
      <c r="D800" s="2"/>
      <c r="E800" s="2"/>
      <c r="F800" s="3" t="str">
        <f aca="false">IFERROR(__xludf.dummyfunction("if($T800&lt;&gt;"""",REGEXEXTRACT(SUBSTITUTE ($T800,F$1&amp;"" CE"",""""), F$1&amp;""[\w &amp;]*, (\d+\.\d+)""),"""")
"),"")</f>
        <v/>
      </c>
      <c r="G800" s="3" t="str">
        <f aca="false">IFERROR(__xludf.dummyfunction("if($T800&lt;&gt;"""",REGEXEXTRACT($T800, G$1&amp;""[\w &amp;]*, (\d+\.\d+)""),"""")
"),"")</f>
        <v/>
      </c>
      <c r="H800" s="3"/>
      <c r="I800" s="3" t="str">
        <f aca="false">IFERROR(__xludf.dummyfunction("if($T800&lt;&gt;"""",REGEXEXTRACT(SUBSTITUTE ($T800,I$1&amp;"" CE"",""""), I$1&amp;""[\w &amp;]*, (\d+\.\d+)""),"""")
"),"")</f>
        <v/>
      </c>
      <c r="J800" s="3" t="str">
        <f aca="false">IFERROR(__xludf.dummyfunction("if($T800&lt;&gt;"""",REGEXEXTRACT($T800, J$1&amp;""[\w &amp;]*, (\d+\.\d+)""),"""")
"),"")</f>
        <v/>
      </c>
      <c r="K800" s="3"/>
      <c r="L800" s="3" t="str">
        <f aca="false">IFERROR(__xludf.dummyfunction("if($T800&lt;&gt;"""",REGEXEXTRACT(SUBSTITUTE ($T800,L$1&amp;"" CE"",""""), L$1&amp;""[\w &amp;]*, (\d+\.\d+)""),"""")
"),"")</f>
        <v/>
      </c>
      <c r="M800" s="3" t="str">
        <f aca="false">IFERROR(__xludf.dummyfunction("if($T800&lt;&gt;"""",REGEXEXTRACT($T800, M$1&amp;""[\w &amp;]*, (\d+\.\d+)""),"""")
"),"")</f>
        <v/>
      </c>
      <c r="N800" s="3" t="str">
        <f aca="false">IFERROR(__xludf.dummyfunction("if($T800&lt;&gt;"""",REGEXEXTRACT(SUBSTITUTE ($T800,N$1&amp;"" CE"",""""), N$1&amp;""[\w &amp;]*, (\d+\.\d+)""),"""")
"),"")</f>
        <v/>
      </c>
      <c r="O800" s="3" t="str">
        <f aca="false">IFERROR(__xludf.dummyfunction("if($T800&lt;&gt;"""",REGEXEXTRACT($T800, O$1&amp;""[\w &amp;]*, (\d+\.\d+)""),"""")
"),"")</f>
        <v/>
      </c>
      <c r="P800" s="2"/>
      <c r="Q800" s="2"/>
      <c r="R800" s="2"/>
      <c r="S800" s="2"/>
      <c r="T800" s="5"/>
    </row>
    <row r="801" customFormat="false" ht="15.75" hidden="false" customHeight="false" outlineLevel="0" collapsed="false">
      <c r="A801" s="4"/>
      <c r="B801" s="2"/>
      <c r="C801" s="2"/>
      <c r="D801" s="2"/>
      <c r="E801" s="2"/>
      <c r="F801" s="3" t="str">
        <f aca="false">IFERROR(__xludf.dummyfunction("if($T801&lt;&gt;"""",REGEXEXTRACT(SUBSTITUTE ($T801,F$1&amp;"" CE"",""""), F$1&amp;""[\w &amp;]*, (\d+\.\d+)""),"""")
"),"")</f>
        <v/>
      </c>
      <c r="G801" s="3" t="str">
        <f aca="false">IFERROR(__xludf.dummyfunction("if($T801&lt;&gt;"""",REGEXEXTRACT($T801, G$1&amp;""[\w &amp;]*, (\d+\.\d+)""),"""")
"),"")</f>
        <v/>
      </c>
      <c r="H801" s="3"/>
      <c r="I801" s="3" t="str">
        <f aca="false">IFERROR(__xludf.dummyfunction("if($T801&lt;&gt;"""",REGEXEXTRACT(SUBSTITUTE ($T801,I$1&amp;"" CE"",""""), I$1&amp;""[\w &amp;]*, (\d+\.\d+)""),"""")
"),"")</f>
        <v/>
      </c>
      <c r="J801" s="3" t="str">
        <f aca="false">IFERROR(__xludf.dummyfunction("if($T801&lt;&gt;"""",REGEXEXTRACT($T801, J$1&amp;""[\w &amp;]*, (\d+\.\d+)""),"""")
"),"")</f>
        <v/>
      </c>
      <c r="K801" s="3"/>
      <c r="L801" s="3" t="str">
        <f aca="false">IFERROR(__xludf.dummyfunction("if($T801&lt;&gt;"""",REGEXEXTRACT(SUBSTITUTE ($T801,L$1&amp;"" CE"",""""), L$1&amp;""[\w &amp;]*, (\d+\.\d+)""),"""")
"),"")</f>
        <v/>
      </c>
      <c r="M801" s="3" t="str">
        <f aca="false">IFERROR(__xludf.dummyfunction("if($T801&lt;&gt;"""",REGEXEXTRACT($T801, M$1&amp;""[\w &amp;]*, (\d+\.\d+)""),"""")
"),"")</f>
        <v/>
      </c>
      <c r="N801" s="3" t="str">
        <f aca="false">IFERROR(__xludf.dummyfunction("if($T801&lt;&gt;"""",REGEXEXTRACT(SUBSTITUTE ($T801,N$1&amp;"" CE"",""""), N$1&amp;""[\w &amp;]*, (\d+\.\d+)""),"""")
"),"")</f>
        <v/>
      </c>
      <c r="O801" s="3" t="str">
        <f aca="false">IFERROR(__xludf.dummyfunction("if($T801&lt;&gt;"""",REGEXEXTRACT($T801, O$1&amp;""[\w &amp;]*, (\d+\.\d+)""),"""")
"),"")</f>
        <v/>
      </c>
      <c r="P801" s="2"/>
      <c r="Q801" s="2"/>
      <c r="R801" s="2"/>
      <c r="S801" s="2"/>
      <c r="T801" s="5"/>
    </row>
    <row r="802" customFormat="false" ht="15.75" hidden="false" customHeight="false" outlineLevel="0" collapsed="false">
      <c r="A802" s="4"/>
      <c r="B802" s="2"/>
      <c r="C802" s="2"/>
      <c r="D802" s="2"/>
      <c r="E802" s="2"/>
      <c r="F802" s="3" t="str">
        <f aca="false">IFERROR(__xludf.dummyfunction("if($T802&lt;&gt;"""",REGEXEXTRACT(SUBSTITUTE ($T802,F$1&amp;"" CE"",""""), F$1&amp;""[\w &amp;]*, (\d+\.\d+)""),"""")
"),"")</f>
        <v/>
      </c>
      <c r="G802" s="3" t="str">
        <f aca="false">IFERROR(__xludf.dummyfunction("if($T802&lt;&gt;"""",REGEXEXTRACT($T802, G$1&amp;""[\w &amp;]*, (\d+\.\d+)""),"""")
"),"")</f>
        <v/>
      </c>
      <c r="H802" s="3"/>
      <c r="I802" s="3" t="str">
        <f aca="false">IFERROR(__xludf.dummyfunction("if($T802&lt;&gt;"""",REGEXEXTRACT(SUBSTITUTE ($T802,I$1&amp;"" CE"",""""), I$1&amp;""[\w &amp;]*, (\d+\.\d+)""),"""")
"),"")</f>
        <v/>
      </c>
      <c r="J802" s="3" t="str">
        <f aca="false">IFERROR(__xludf.dummyfunction("if($T802&lt;&gt;"""",REGEXEXTRACT($T802, J$1&amp;""[\w &amp;]*, (\d+\.\d+)""),"""")
"),"")</f>
        <v/>
      </c>
      <c r="K802" s="3"/>
      <c r="L802" s="3" t="str">
        <f aca="false">IFERROR(__xludf.dummyfunction("if($T802&lt;&gt;"""",REGEXEXTRACT(SUBSTITUTE ($T802,L$1&amp;"" CE"",""""), L$1&amp;""[\w &amp;]*, (\d+\.\d+)""),"""")
"),"")</f>
        <v/>
      </c>
      <c r="M802" s="3" t="str">
        <f aca="false">IFERROR(__xludf.dummyfunction("if($T802&lt;&gt;"""",REGEXEXTRACT($T802, M$1&amp;""[\w &amp;]*, (\d+\.\d+)""),"""")
"),"")</f>
        <v/>
      </c>
      <c r="N802" s="3" t="str">
        <f aca="false">IFERROR(__xludf.dummyfunction("if($T802&lt;&gt;"""",REGEXEXTRACT(SUBSTITUTE ($T802,N$1&amp;"" CE"",""""), N$1&amp;""[\w &amp;]*, (\d+\.\d+)""),"""")
"),"")</f>
        <v/>
      </c>
      <c r="O802" s="3" t="str">
        <f aca="false">IFERROR(__xludf.dummyfunction("if($T802&lt;&gt;"""",REGEXEXTRACT($T802, O$1&amp;""[\w &amp;]*, (\d+\.\d+)""),"""")
"),"")</f>
        <v/>
      </c>
      <c r="P802" s="2"/>
      <c r="Q802" s="2"/>
      <c r="R802" s="2"/>
      <c r="S802" s="2"/>
      <c r="T802" s="5"/>
    </row>
    <row r="803" customFormat="false" ht="15.75" hidden="false" customHeight="false" outlineLevel="0" collapsed="false">
      <c r="A803" s="4"/>
      <c r="B803" s="2"/>
      <c r="C803" s="2"/>
      <c r="D803" s="2"/>
      <c r="E803" s="2"/>
      <c r="F803" s="3" t="str">
        <f aca="false">IFERROR(__xludf.dummyfunction("if($T803&lt;&gt;"""",REGEXEXTRACT(SUBSTITUTE ($T803,F$1&amp;"" CE"",""""), F$1&amp;""[\w &amp;]*, (\d+\.\d+)""),"""")
"),"")</f>
        <v/>
      </c>
      <c r="G803" s="3" t="str">
        <f aca="false">IFERROR(__xludf.dummyfunction("if($T803&lt;&gt;"""",REGEXEXTRACT($T803, G$1&amp;""[\w &amp;]*, (\d+\.\d+)""),"""")
"),"")</f>
        <v/>
      </c>
      <c r="H803" s="3"/>
      <c r="I803" s="3" t="str">
        <f aca="false">IFERROR(__xludf.dummyfunction("if($T803&lt;&gt;"""",REGEXEXTRACT(SUBSTITUTE ($T803,I$1&amp;"" CE"",""""), I$1&amp;""[\w &amp;]*, (\d+\.\d+)""),"""")
"),"")</f>
        <v/>
      </c>
      <c r="J803" s="3" t="str">
        <f aca="false">IFERROR(__xludf.dummyfunction("if($T803&lt;&gt;"""",REGEXEXTRACT($T803, J$1&amp;""[\w &amp;]*, (\d+\.\d+)""),"""")
"),"")</f>
        <v/>
      </c>
      <c r="K803" s="3"/>
      <c r="L803" s="3" t="str">
        <f aca="false">IFERROR(__xludf.dummyfunction("if($T803&lt;&gt;"""",REGEXEXTRACT(SUBSTITUTE ($T803,L$1&amp;"" CE"",""""), L$1&amp;""[\w &amp;]*, (\d+\.\d+)""),"""")
"),"")</f>
        <v/>
      </c>
      <c r="M803" s="3" t="str">
        <f aca="false">IFERROR(__xludf.dummyfunction("if($T803&lt;&gt;"""",REGEXEXTRACT($T803, M$1&amp;""[\w &amp;]*, (\d+\.\d+)""),"""")
"),"")</f>
        <v/>
      </c>
      <c r="N803" s="3" t="str">
        <f aca="false">IFERROR(__xludf.dummyfunction("if($T803&lt;&gt;"""",REGEXEXTRACT(SUBSTITUTE ($T803,N$1&amp;"" CE"",""""), N$1&amp;""[\w &amp;]*, (\d+\.\d+)""),"""")
"),"")</f>
        <v/>
      </c>
      <c r="O803" s="3" t="str">
        <f aca="false">IFERROR(__xludf.dummyfunction("if($T803&lt;&gt;"""",REGEXEXTRACT($T803, O$1&amp;""[\w &amp;]*, (\d+\.\d+)""),"""")
"),"")</f>
        <v/>
      </c>
      <c r="P803" s="2"/>
      <c r="Q803" s="2"/>
      <c r="R803" s="2"/>
      <c r="S803" s="2"/>
      <c r="T803" s="5"/>
    </row>
    <row r="804" customFormat="false" ht="15.75" hidden="false" customHeight="false" outlineLevel="0" collapsed="false">
      <c r="A804" s="4"/>
      <c r="B804" s="2"/>
      <c r="C804" s="2"/>
      <c r="D804" s="2"/>
      <c r="E804" s="2"/>
      <c r="F804" s="3" t="str">
        <f aca="false">IFERROR(__xludf.dummyfunction("if($T804&lt;&gt;"""",REGEXEXTRACT(SUBSTITUTE ($T804,F$1&amp;"" CE"",""""), F$1&amp;""[\w &amp;]*, (\d+\.\d+)""),"""")
"),"")</f>
        <v/>
      </c>
      <c r="G804" s="3" t="str">
        <f aca="false">IFERROR(__xludf.dummyfunction("if($T804&lt;&gt;"""",REGEXEXTRACT($T804, G$1&amp;""[\w &amp;]*, (\d+\.\d+)""),"""")
"),"")</f>
        <v/>
      </c>
      <c r="H804" s="3"/>
      <c r="I804" s="3" t="str">
        <f aca="false">IFERROR(__xludf.dummyfunction("if($T804&lt;&gt;"""",REGEXEXTRACT(SUBSTITUTE ($T804,I$1&amp;"" CE"",""""), I$1&amp;""[\w &amp;]*, (\d+\.\d+)""),"""")
"),"")</f>
        <v/>
      </c>
      <c r="J804" s="3" t="str">
        <f aca="false">IFERROR(__xludf.dummyfunction("if($T804&lt;&gt;"""",REGEXEXTRACT($T804, J$1&amp;""[\w &amp;]*, (\d+\.\d+)""),"""")
"),"")</f>
        <v/>
      </c>
      <c r="K804" s="3"/>
      <c r="L804" s="3" t="str">
        <f aca="false">IFERROR(__xludf.dummyfunction("if($T804&lt;&gt;"""",REGEXEXTRACT(SUBSTITUTE ($T804,L$1&amp;"" CE"",""""), L$1&amp;""[\w &amp;]*, (\d+\.\d+)""),"""")
"),"")</f>
        <v/>
      </c>
      <c r="M804" s="3" t="str">
        <f aca="false">IFERROR(__xludf.dummyfunction("if($T804&lt;&gt;"""",REGEXEXTRACT($T804, M$1&amp;""[\w &amp;]*, (\d+\.\d+)""),"""")
"),"")</f>
        <v/>
      </c>
      <c r="N804" s="3" t="str">
        <f aca="false">IFERROR(__xludf.dummyfunction("if($T804&lt;&gt;"""",REGEXEXTRACT(SUBSTITUTE ($T804,N$1&amp;"" CE"",""""), N$1&amp;""[\w &amp;]*, (\d+\.\d+)""),"""")
"),"")</f>
        <v/>
      </c>
      <c r="O804" s="3" t="str">
        <f aca="false">IFERROR(__xludf.dummyfunction("if($T804&lt;&gt;"""",REGEXEXTRACT($T804, O$1&amp;""[\w &amp;]*, (\d+\.\d+)""),"""")
"),"")</f>
        <v/>
      </c>
      <c r="P804" s="2"/>
      <c r="Q804" s="2"/>
      <c r="R804" s="2"/>
      <c r="S804" s="2"/>
      <c r="T804" s="5"/>
    </row>
    <row r="805" customFormat="false" ht="15.75" hidden="false" customHeight="false" outlineLevel="0" collapsed="false">
      <c r="A805" s="4"/>
      <c r="B805" s="2"/>
      <c r="C805" s="2"/>
      <c r="D805" s="2"/>
      <c r="E805" s="2"/>
      <c r="F805" s="3" t="str">
        <f aca="false">IFERROR(__xludf.dummyfunction("if($T805&lt;&gt;"""",REGEXEXTRACT(SUBSTITUTE ($T805,F$1&amp;"" CE"",""""), F$1&amp;""[\w &amp;]*, (\d+\.\d+)""),"""")
"),"")</f>
        <v/>
      </c>
      <c r="G805" s="3" t="str">
        <f aca="false">IFERROR(__xludf.dummyfunction("if($T805&lt;&gt;"""",REGEXEXTRACT($T805, G$1&amp;""[\w &amp;]*, (\d+\.\d+)""),"""")
"),"")</f>
        <v/>
      </c>
      <c r="H805" s="3"/>
      <c r="I805" s="3" t="str">
        <f aca="false">IFERROR(__xludf.dummyfunction("if($T805&lt;&gt;"""",REGEXEXTRACT(SUBSTITUTE ($T805,I$1&amp;"" CE"",""""), I$1&amp;""[\w &amp;]*, (\d+\.\d+)""),"""")
"),"")</f>
        <v/>
      </c>
      <c r="J805" s="3" t="str">
        <f aca="false">IFERROR(__xludf.dummyfunction("if($T805&lt;&gt;"""",REGEXEXTRACT($T805, J$1&amp;""[\w &amp;]*, (\d+\.\d+)""),"""")
"),"")</f>
        <v/>
      </c>
      <c r="K805" s="3"/>
      <c r="L805" s="3" t="str">
        <f aca="false">IFERROR(__xludf.dummyfunction("if($T805&lt;&gt;"""",REGEXEXTRACT(SUBSTITUTE ($T805,L$1&amp;"" CE"",""""), L$1&amp;""[\w &amp;]*, (\d+\.\d+)""),"""")
"),"")</f>
        <v/>
      </c>
      <c r="M805" s="3" t="str">
        <f aca="false">IFERROR(__xludf.dummyfunction("if($T805&lt;&gt;"""",REGEXEXTRACT($T805, M$1&amp;""[\w &amp;]*, (\d+\.\d+)""),"""")
"),"")</f>
        <v/>
      </c>
      <c r="N805" s="3" t="str">
        <f aca="false">IFERROR(__xludf.dummyfunction("if($T805&lt;&gt;"""",REGEXEXTRACT(SUBSTITUTE ($T805,N$1&amp;"" CE"",""""), N$1&amp;""[\w &amp;]*, (\d+\.\d+)""),"""")
"),"")</f>
        <v/>
      </c>
      <c r="O805" s="3" t="str">
        <f aca="false">IFERROR(__xludf.dummyfunction("if($T805&lt;&gt;"""",REGEXEXTRACT($T805, O$1&amp;""[\w &amp;]*, (\d+\.\d+)""),"""")
"),"")</f>
        <v/>
      </c>
      <c r="P805" s="2"/>
      <c r="Q805" s="2"/>
      <c r="R805" s="2"/>
      <c r="S805" s="2"/>
      <c r="T805" s="5"/>
    </row>
    <row r="806" customFormat="false" ht="15.75" hidden="false" customHeight="false" outlineLevel="0" collapsed="false">
      <c r="A806" s="4"/>
      <c r="B806" s="2"/>
      <c r="C806" s="2"/>
      <c r="D806" s="2"/>
      <c r="E806" s="2"/>
      <c r="F806" s="3" t="str">
        <f aca="false">IFERROR(__xludf.dummyfunction("if($T806&lt;&gt;"""",REGEXEXTRACT(SUBSTITUTE ($T806,F$1&amp;"" CE"",""""), F$1&amp;""[\w &amp;]*, (\d+\.\d+)""),"""")
"),"")</f>
        <v/>
      </c>
      <c r="G806" s="3" t="str">
        <f aca="false">IFERROR(__xludf.dummyfunction("if($T806&lt;&gt;"""",REGEXEXTRACT($T806, G$1&amp;""[\w &amp;]*, (\d+\.\d+)""),"""")
"),"")</f>
        <v/>
      </c>
      <c r="H806" s="3"/>
      <c r="I806" s="3" t="str">
        <f aca="false">IFERROR(__xludf.dummyfunction("if($T806&lt;&gt;"""",REGEXEXTRACT(SUBSTITUTE ($T806,I$1&amp;"" CE"",""""), I$1&amp;""[\w &amp;]*, (\d+\.\d+)""),"""")
"),"")</f>
        <v/>
      </c>
      <c r="J806" s="3" t="str">
        <f aca="false">IFERROR(__xludf.dummyfunction("if($T806&lt;&gt;"""",REGEXEXTRACT($T806, J$1&amp;""[\w &amp;]*, (\d+\.\d+)""),"""")
"),"")</f>
        <v/>
      </c>
      <c r="K806" s="3"/>
      <c r="L806" s="3" t="str">
        <f aca="false">IFERROR(__xludf.dummyfunction("if($T806&lt;&gt;"""",REGEXEXTRACT(SUBSTITUTE ($T806,L$1&amp;"" CE"",""""), L$1&amp;""[\w &amp;]*, (\d+\.\d+)""),"""")
"),"")</f>
        <v/>
      </c>
      <c r="M806" s="3" t="str">
        <f aca="false">IFERROR(__xludf.dummyfunction("if($T806&lt;&gt;"""",REGEXEXTRACT($T806, M$1&amp;""[\w &amp;]*, (\d+\.\d+)""),"""")
"),"")</f>
        <v/>
      </c>
      <c r="N806" s="3" t="str">
        <f aca="false">IFERROR(__xludf.dummyfunction("if($T806&lt;&gt;"""",REGEXEXTRACT(SUBSTITUTE ($T806,N$1&amp;"" CE"",""""), N$1&amp;""[\w &amp;]*, (\d+\.\d+)""),"""")
"),"")</f>
        <v/>
      </c>
      <c r="O806" s="3" t="str">
        <f aca="false">IFERROR(__xludf.dummyfunction("if($T806&lt;&gt;"""",REGEXEXTRACT($T806, O$1&amp;""[\w &amp;]*, (\d+\.\d+)""),"""")
"),"")</f>
        <v/>
      </c>
      <c r="P806" s="2"/>
      <c r="Q806" s="2"/>
      <c r="R806" s="2"/>
      <c r="S806" s="2"/>
      <c r="T806" s="5"/>
    </row>
    <row r="807" customFormat="false" ht="15.75" hidden="false" customHeight="false" outlineLevel="0" collapsed="false">
      <c r="A807" s="4"/>
      <c r="B807" s="2"/>
      <c r="C807" s="2"/>
      <c r="D807" s="2"/>
      <c r="E807" s="2"/>
      <c r="F807" s="3" t="str">
        <f aca="false">IFERROR(__xludf.dummyfunction("if($T807&lt;&gt;"""",REGEXEXTRACT(SUBSTITUTE ($T807,F$1&amp;"" CE"",""""), F$1&amp;""[\w &amp;]*, (\d+\.\d+)""),"""")
"),"")</f>
        <v/>
      </c>
      <c r="G807" s="3" t="str">
        <f aca="false">IFERROR(__xludf.dummyfunction("if($T807&lt;&gt;"""",REGEXEXTRACT($T807, G$1&amp;""[\w &amp;]*, (\d+\.\d+)""),"""")
"),"")</f>
        <v/>
      </c>
      <c r="H807" s="3"/>
      <c r="I807" s="3" t="str">
        <f aca="false">IFERROR(__xludf.dummyfunction("if($T807&lt;&gt;"""",REGEXEXTRACT(SUBSTITUTE ($T807,I$1&amp;"" CE"",""""), I$1&amp;""[\w &amp;]*, (\d+\.\d+)""),"""")
"),"")</f>
        <v/>
      </c>
      <c r="J807" s="3" t="str">
        <f aca="false">IFERROR(__xludf.dummyfunction("if($T807&lt;&gt;"""",REGEXEXTRACT($T807, J$1&amp;""[\w &amp;]*, (\d+\.\d+)""),"""")
"),"")</f>
        <v/>
      </c>
      <c r="K807" s="3"/>
      <c r="L807" s="3" t="str">
        <f aca="false">IFERROR(__xludf.dummyfunction("if($T807&lt;&gt;"""",REGEXEXTRACT(SUBSTITUTE ($T807,L$1&amp;"" CE"",""""), L$1&amp;""[\w &amp;]*, (\d+\.\d+)""),"""")
"),"")</f>
        <v/>
      </c>
      <c r="M807" s="3" t="str">
        <f aca="false">IFERROR(__xludf.dummyfunction("if($T807&lt;&gt;"""",REGEXEXTRACT($T807, M$1&amp;""[\w &amp;]*, (\d+\.\d+)""),"""")
"),"")</f>
        <v/>
      </c>
      <c r="N807" s="3" t="str">
        <f aca="false">IFERROR(__xludf.dummyfunction("if($T807&lt;&gt;"""",REGEXEXTRACT(SUBSTITUTE ($T807,N$1&amp;"" CE"",""""), N$1&amp;""[\w &amp;]*, (\d+\.\d+)""),"""")
"),"")</f>
        <v/>
      </c>
      <c r="O807" s="3" t="str">
        <f aca="false">IFERROR(__xludf.dummyfunction("if($T807&lt;&gt;"""",REGEXEXTRACT($T807, O$1&amp;""[\w &amp;]*, (\d+\.\d+)""),"""")
"),"")</f>
        <v/>
      </c>
      <c r="P807" s="2"/>
      <c r="Q807" s="2"/>
      <c r="R807" s="2"/>
      <c r="S807" s="2"/>
      <c r="T807" s="5"/>
    </row>
    <row r="808" customFormat="false" ht="15.75" hidden="false" customHeight="false" outlineLevel="0" collapsed="false">
      <c r="A808" s="4"/>
      <c r="B808" s="2"/>
      <c r="C808" s="2"/>
      <c r="D808" s="2"/>
      <c r="E808" s="2"/>
      <c r="F808" s="3" t="str">
        <f aca="false">IFERROR(__xludf.dummyfunction("if($T808&lt;&gt;"""",REGEXEXTRACT(SUBSTITUTE ($T808,F$1&amp;"" CE"",""""), F$1&amp;""[\w &amp;]*, (\d+\.\d+)""),"""")
"),"")</f>
        <v/>
      </c>
      <c r="G808" s="3" t="str">
        <f aca="false">IFERROR(__xludf.dummyfunction("if($T808&lt;&gt;"""",REGEXEXTRACT($T808, G$1&amp;""[\w &amp;]*, (\d+\.\d+)""),"""")
"),"")</f>
        <v/>
      </c>
      <c r="H808" s="3"/>
      <c r="I808" s="3" t="str">
        <f aca="false">IFERROR(__xludf.dummyfunction("if($T808&lt;&gt;"""",REGEXEXTRACT(SUBSTITUTE ($T808,I$1&amp;"" CE"",""""), I$1&amp;""[\w &amp;]*, (\d+\.\d+)""),"""")
"),"")</f>
        <v/>
      </c>
      <c r="J808" s="3" t="str">
        <f aca="false">IFERROR(__xludf.dummyfunction("if($T808&lt;&gt;"""",REGEXEXTRACT($T808, J$1&amp;""[\w &amp;]*, (\d+\.\d+)""),"""")
"),"")</f>
        <v/>
      </c>
      <c r="K808" s="3"/>
      <c r="L808" s="3" t="str">
        <f aca="false">IFERROR(__xludf.dummyfunction("if($T808&lt;&gt;"""",REGEXEXTRACT(SUBSTITUTE ($T808,L$1&amp;"" CE"",""""), L$1&amp;""[\w &amp;]*, (\d+\.\d+)""),"""")
"),"")</f>
        <v/>
      </c>
      <c r="M808" s="3" t="str">
        <f aca="false">IFERROR(__xludf.dummyfunction("if($T808&lt;&gt;"""",REGEXEXTRACT($T808, M$1&amp;""[\w &amp;]*, (\d+\.\d+)""),"""")
"),"")</f>
        <v/>
      </c>
      <c r="N808" s="3" t="str">
        <f aca="false">IFERROR(__xludf.dummyfunction("if($T808&lt;&gt;"""",REGEXEXTRACT(SUBSTITUTE ($T808,N$1&amp;"" CE"",""""), N$1&amp;""[\w &amp;]*, (\d+\.\d+)""),"""")
"),"")</f>
        <v/>
      </c>
      <c r="O808" s="3" t="str">
        <f aca="false">IFERROR(__xludf.dummyfunction("if($T808&lt;&gt;"""",REGEXEXTRACT($T808, O$1&amp;""[\w &amp;]*, (\d+\.\d+)""),"""")
"),"")</f>
        <v/>
      </c>
      <c r="P808" s="2"/>
      <c r="Q808" s="2"/>
      <c r="R808" s="2"/>
      <c r="S808" s="2"/>
      <c r="T808" s="5"/>
    </row>
    <row r="809" customFormat="false" ht="15.75" hidden="false" customHeight="false" outlineLevel="0" collapsed="false">
      <c r="A809" s="4"/>
      <c r="B809" s="2"/>
      <c r="C809" s="2"/>
      <c r="D809" s="2"/>
      <c r="E809" s="2"/>
      <c r="F809" s="3" t="str">
        <f aca="false">IFERROR(__xludf.dummyfunction("if($T809&lt;&gt;"""",REGEXEXTRACT(SUBSTITUTE ($T809,F$1&amp;"" CE"",""""), F$1&amp;""[\w &amp;]*, (\d+\.\d+)""),"""")
"),"")</f>
        <v/>
      </c>
      <c r="G809" s="3" t="str">
        <f aca="false">IFERROR(__xludf.dummyfunction("if($T809&lt;&gt;"""",REGEXEXTRACT($T809, G$1&amp;""[\w &amp;]*, (\d+\.\d+)""),"""")
"),"")</f>
        <v/>
      </c>
      <c r="H809" s="3"/>
      <c r="I809" s="3" t="str">
        <f aca="false">IFERROR(__xludf.dummyfunction("if($T809&lt;&gt;"""",REGEXEXTRACT(SUBSTITUTE ($T809,I$1&amp;"" CE"",""""), I$1&amp;""[\w &amp;]*, (\d+\.\d+)""),"""")
"),"")</f>
        <v/>
      </c>
      <c r="J809" s="3" t="str">
        <f aca="false">IFERROR(__xludf.dummyfunction("if($T809&lt;&gt;"""",REGEXEXTRACT($T809, J$1&amp;""[\w &amp;]*, (\d+\.\d+)""),"""")
"),"")</f>
        <v/>
      </c>
      <c r="K809" s="3"/>
      <c r="L809" s="3" t="str">
        <f aca="false">IFERROR(__xludf.dummyfunction("if($T809&lt;&gt;"""",REGEXEXTRACT(SUBSTITUTE ($T809,L$1&amp;"" CE"",""""), L$1&amp;""[\w &amp;]*, (\d+\.\d+)""),"""")
"),"")</f>
        <v/>
      </c>
      <c r="M809" s="3" t="str">
        <f aca="false">IFERROR(__xludf.dummyfunction("if($T809&lt;&gt;"""",REGEXEXTRACT($T809, M$1&amp;""[\w &amp;]*, (\d+\.\d+)""),"""")
"),"")</f>
        <v/>
      </c>
      <c r="N809" s="3" t="str">
        <f aca="false">IFERROR(__xludf.dummyfunction("if($T809&lt;&gt;"""",REGEXEXTRACT(SUBSTITUTE ($T809,N$1&amp;"" CE"",""""), N$1&amp;""[\w &amp;]*, (\d+\.\d+)""),"""")
"),"")</f>
        <v/>
      </c>
      <c r="O809" s="3" t="str">
        <f aca="false">IFERROR(__xludf.dummyfunction("if($T809&lt;&gt;"""",REGEXEXTRACT($T809, O$1&amp;""[\w &amp;]*, (\d+\.\d+)""),"""")
"),"")</f>
        <v/>
      </c>
      <c r="P809" s="2"/>
      <c r="Q809" s="2"/>
      <c r="R809" s="2"/>
      <c r="S809" s="2"/>
      <c r="T809" s="5"/>
    </row>
    <row r="810" customFormat="false" ht="15.75" hidden="false" customHeight="false" outlineLevel="0" collapsed="false">
      <c r="A810" s="4"/>
      <c r="B810" s="2"/>
      <c r="C810" s="2"/>
      <c r="D810" s="2"/>
      <c r="E810" s="2"/>
      <c r="F810" s="3" t="str">
        <f aca="false">IFERROR(__xludf.dummyfunction("if($T810&lt;&gt;"""",REGEXEXTRACT(SUBSTITUTE ($T810,F$1&amp;"" CE"",""""), F$1&amp;""[\w &amp;]*, (\d+\.\d+)""),"""")
"),"")</f>
        <v/>
      </c>
      <c r="G810" s="3" t="str">
        <f aca="false">IFERROR(__xludf.dummyfunction("if($T810&lt;&gt;"""",REGEXEXTRACT($T810, G$1&amp;""[\w &amp;]*, (\d+\.\d+)""),"""")
"),"")</f>
        <v/>
      </c>
      <c r="H810" s="3"/>
      <c r="I810" s="3" t="str">
        <f aca="false">IFERROR(__xludf.dummyfunction("if($T810&lt;&gt;"""",REGEXEXTRACT(SUBSTITUTE ($T810,I$1&amp;"" CE"",""""), I$1&amp;""[\w &amp;]*, (\d+\.\d+)""),"""")
"),"")</f>
        <v/>
      </c>
      <c r="J810" s="3" t="str">
        <f aca="false">IFERROR(__xludf.dummyfunction("if($T810&lt;&gt;"""",REGEXEXTRACT($T810, J$1&amp;""[\w &amp;]*, (\d+\.\d+)""),"""")
"),"")</f>
        <v/>
      </c>
      <c r="K810" s="3"/>
      <c r="L810" s="3" t="str">
        <f aca="false">IFERROR(__xludf.dummyfunction("if($T810&lt;&gt;"""",REGEXEXTRACT(SUBSTITUTE ($T810,L$1&amp;"" CE"",""""), L$1&amp;""[\w &amp;]*, (\d+\.\d+)""),"""")
"),"")</f>
        <v/>
      </c>
      <c r="M810" s="3" t="str">
        <f aca="false">IFERROR(__xludf.dummyfunction("if($T810&lt;&gt;"""",REGEXEXTRACT($T810, M$1&amp;""[\w &amp;]*, (\d+\.\d+)""),"""")
"),"")</f>
        <v/>
      </c>
      <c r="N810" s="3" t="str">
        <f aca="false">IFERROR(__xludf.dummyfunction("if($T810&lt;&gt;"""",REGEXEXTRACT(SUBSTITUTE ($T810,N$1&amp;"" CE"",""""), N$1&amp;""[\w &amp;]*, (\d+\.\d+)""),"""")
"),"")</f>
        <v/>
      </c>
      <c r="O810" s="3" t="str">
        <f aca="false">IFERROR(__xludf.dummyfunction("if($T810&lt;&gt;"""",REGEXEXTRACT($T810, O$1&amp;""[\w &amp;]*, (\d+\.\d+)""),"""")
"),"")</f>
        <v/>
      </c>
      <c r="P810" s="2"/>
      <c r="Q810" s="2"/>
      <c r="R810" s="2"/>
      <c r="S810" s="2"/>
      <c r="T810" s="5"/>
    </row>
    <row r="811" customFormat="false" ht="15.75" hidden="false" customHeight="false" outlineLevel="0" collapsed="false">
      <c r="A811" s="4"/>
      <c r="B811" s="2"/>
      <c r="C811" s="2"/>
      <c r="D811" s="2"/>
      <c r="E811" s="2"/>
      <c r="F811" s="3" t="str">
        <f aca="false">IFERROR(__xludf.dummyfunction("if($T811&lt;&gt;"""",REGEXEXTRACT(SUBSTITUTE ($T811,F$1&amp;"" CE"",""""), F$1&amp;""[\w &amp;]*, (\d+\.\d+)""),"""")
"),"")</f>
        <v/>
      </c>
      <c r="G811" s="3" t="str">
        <f aca="false">IFERROR(__xludf.dummyfunction("if($T811&lt;&gt;"""",REGEXEXTRACT($T811, G$1&amp;""[\w &amp;]*, (\d+\.\d+)""),"""")
"),"")</f>
        <v/>
      </c>
      <c r="H811" s="3"/>
      <c r="I811" s="3" t="str">
        <f aca="false">IFERROR(__xludf.dummyfunction("if($T811&lt;&gt;"""",REGEXEXTRACT(SUBSTITUTE ($T811,I$1&amp;"" CE"",""""), I$1&amp;""[\w &amp;]*, (\d+\.\d+)""),"""")
"),"")</f>
        <v/>
      </c>
      <c r="J811" s="3" t="str">
        <f aca="false">IFERROR(__xludf.dummyfunction("if($T811&lt;&gt;"""",REGEXEXTRACT($T811, J$1&amp;""[\w &amp;]*, (\d+\.\d+)""),"""")
"),"")</f>
        <v/>
      </c>
      <c r="K811" s="3"/>
      <c r="L811" s="3" t="str">
        <f aca="false">IFERROR(__xludf.dummyfunction("if($T811&lt;&gt;"""",REGEXEXTRACT(SUBSTITUTE ($T811,L$1&amp;"" CE"",""""), L$1&amp;""[\w &amp;]*, (\d+\.\d+)""),"""")
"),"")</f>
        <v/>
      </c>
      <c r="M811" s="3" t="str">
        <f aca="false">IFERROR(__xludf.dummyfunction("if($T811&lt;&gt;"""",REGEXEXTRACT($T811, M$1&amp;""[\w &amp;]*, (\d+\.\d+)""),"""")
"),"")</f>
        <v/>
      </c>
      <c r="N811" s="3" t="str">
        <f aca="false">IFERROR(__xludf.dummyfunction("if($T811&lt;&gt;"""",REGEXEXTRACT(SUBSTITUTE ($T811,N$1&amp;"" CE"",""""), N$1&amp;""[\w &amp;]*, (\d+\.\d+)""),"""")
"),"")</f>
        <v/>
      </c>
      <c r="O811" s="3" t="str">
        <f aca="false">IFERROR(__xludf.dummyfunction("if($T811&lt;&gt;"""",REGEXEXTRACT($T811, O$1&amp;""[\w &amp;]*, (\d+\.\d+)""),"""")
"),"")</f>
        <v/>
      </c>
      <c r="P811" s="2"/>
      <c r="Q811" s="2"/>
      <c r="R811" s="2"/>
      <c r="S811" s="2"/>
      <c r="T811" s="5"/>
    </row>
    <row r="812" customFormat="false" ht="15.75" hidden="false" customHeight="false" outlineLevel="0" collapsed="false">
      <c r="A812" s="4"/>
      <c r="B812" s="2"/>
      <c r="C812" s="2"/>
      <c r="D812" s="2"/>
      <c r="E812" s="2"/>
      <c r="F812" s="3" t="str">
        <f aca="false">IFERROR(__xludf.dummyfunction("if($T812&lt;&gt;"""",REGEXEXTRACT(SUBSTITUTE ($T812,F$1&amp;"" CE"",""""), F$1&amp;""[\w &amp;]*, (\d+\.\d+)""),"""")
"),"")</f>
        <v/>
      </c>
      <c r="G812" s="3" t="str">
        <f aca="false">IFERROR(__xludf.dummyfunction("if($T812&lt;&gt;"""",REGEXEXTRACT($T812, G$1&amp;""[\w &amp;]*, (\d+\.\d+)""),"""")
"),"")</f>
        <v/>
      </c>
      <c r="H812" s="3"/>
      <c r="I812" s="3" t="str">
        <f aca="false">IFERROR(__xludf.dummyfunction("if($T812&lt;&gt;"""",REGEXEXTRACT(SUBSTITUTE ($T812,I$1&amp;"" CE"",""""), I$1&amp;""[\w &amp;]*, (\d+\.\d+)""),"""")
"),"")</f>
        <v/>
      </c>
      <c r="J812" s="3" t="str">
        <f aca="false">IFERROR(__xludf.dummyfunction("if($T812&lt;&gt;"""",REGEXEXTRACT($T812, J$1&amp;""[\w &amp;]*, (\d+\.\d+)""),"""")
"),"")</f>
        <v/>
      </c>
      <c r="K812" s="3"/>
      <c r="L812" s="3" t="str">
        <f aca="false">IFERROR(__xludf.dummyfunction("if($T812&lt;&gt;"""",REGEXEXTRACT(SUBSTITUTE ($T812,L$1&amp;"" CE"",""""), L$1&amp;""[\w &amp;]*, (\d+\.\d+)""),"""")
"),"")</f>
        <v/>
      </c>
      <c r="M812" s="3" t="str">
        <f aca="false">IFERROR(__xludf.dummyfunction("if($T812&lt;&gt;"""",REGEXEXTRACT($T812, M$1&amp;""[\w &amp;]*, (\d+\.\d+)""),"""")
"),"")</f>
        <v/>
      </c>
      <c r="N812" s="3" t="str">
        <f aca="false">IFERROR(__xludf.dummyfunction("if($T812&lt;&gt;"""",REGEXEXTRACT(SUBSTITUTE ($T812,N$1&amp;"" CE"",""""), N$1&amp;""[\w &amp;]*, (\d+\.\d+)""),"""")
"),"")</f>
        <v/>
      </c>
      <c r="O812" s="3" t="str">
        <f aca="false">IFERROR(__xludf.dummyfunction("if($T812&lt;&gt;"""",REGEXEXTRACT($T812, O$1&amp;""[\w &amp;]*, (\d+\.\d+)""),"""")
"),"")</f>
        <v/>
      </c>
      <c r="P812" s="2"/>
      <c r="Q812" s="2"/>
      <c r="R812" s="2"/>
      <c r="S812" s="2"/>
      <c r="T812" s="5"/>
    </row>
    <row r="813" customFormat="false" ht="15.75" hidden="false" customHeight="false" outlineLevel="0" collapsed="false">
      <c r="A813" s="4"/>
      <c r="B813" s="2"/>
      <c r="C813" s="2"/>
      <c r="D813" s="2"/>
      <c r="E813" s="2"/>
      <c r="F813" s="3" t="str">
        <f aca="false">IFERROR(__xludf.dummyfunction("if($T813&lt;&gt;"""",REGEXEXTRACT(SUBSTITUTE ($T813,F$1&amp;"" CE"",""""), F$1&amp;""[\w &amp;]*, (\d+\.\d+)""),"""")
"),"")</f>
        <v/>
      </c>
      <c r="G813" s="3" t="str">
        <f aca="false">IFERROR(__xludf.dummyfunction("if($T813&lt;&gt;"""",REGEXEXTRACT($T813, G$1&amp;""[\w &amp;]*, (\d+\.\d+)""),"""")
"),"")</f>
        <v/>
      </c>
      <c r="H813" s="3"/>
      <c r="I813" s="3" t="str">
        <f aca="false">IFERROR(__xludf.dummyfunction("if($T813&lt;&gt;"""",REGEXEXTRACT(SUBSTITUTE ($T813,I$1&amp;"" CE"",""""), I$1&amp;""[\w &amp;]*, (\d+\.\d+)""),"""")
"),"")</f>
        <v/>
      </c>
      <c r="J813" s="3" t="str">
        <f aca="false">IFERROR(__xludf.dummyfunction("if($T813&lt;&gt;"""",REGEXEXTRACT($T813, J$1&amp;""[\w &amp;]*, (\d+\.\d+)""),"""")
"),"")</f>
        <v/>
      </c>
      <c r="K813" s="3"/>
      <c r="L813" s="3" t="str">
        <f aca="false">IFERROR(__xludf.dummyfunction("if($T813&lt;&gt;"""",REGEXEXTRACT(SUBSTITUTE ($T813,L$1&amp;"" CE"",""""), L$1&amp;""[\w &amp;]*, (\d+\.\d+)""),"""")
"),"")</f>
        <v/>
      </c>
      <c r="M813" s="3" t="str">
        <f aca="false">IFERROR(__xludf.dummyfunction("if($T813&lt;&gt;"""",REGEXEXTRACT($T813, M$1&amp;""[\w &amp;]*, (\d+\.\d+)""),"""")
"),"")</f>
        <v/>
      </c>
      <c r="N813" s="3" t="str">
        <f aca="false">IFERROR(__xludf.dummyfunction("if($T813&lt;&gt;"""",REGEXEXTRACT(SUBSTITUTE ($T813,N$1&amp;"" CE"",""""), N$1&amp;""[\w &amp;]*, (\d+\.\d+)""),"""")
"),"")</f>
        <v/>
      </c>
      <c r="O813" s="3" t="str">
        <f aca="false">IFERROR(__xludf.dummyfunction("if($T813&lt;&gt;"""",REGEXEXTRACT($T813, O$1&amp;""[\w &amp;]*, (\d+\.\d+)""),"""")
"),"")</f>
        <v/>
      </c>
      <c r="P813" s="2"/>
      <c r="Q813" s="2"/>
      <c r="R813" s="2"/>
      <c r="S813" s="2"/>
      <c r="T813" s="5"/>
    </row>
    <row r="814" customFormat="false" ht="15.75" hidden="false" customHeight="false" outlineLevel="0" collapsed="false">
      <c r="A814" s="4"/>
      <c r="B814" s="2"/>
      <c r="C814" s="2"/>
      <c r="D814" s="2"/>
      <c r="E814" s="2"/>
      <c r="F814" s="3" t="str">
        <f aca="false">IFERROR(__xludf.dummyfunction("if($T814&lt;&gt;"""",REGEXEXTRACT(SUBSTITUTE ($T814,F$1&amp;"" CE"",""""), F$1&amp;""[\w &amp;]*, (\d+\.\d+)""),"""")
"),"")</f>
        <v/>
      </c>
      <c r="G814" s="3" t="str">
        <f aca="false">IFERROR(__xludf.dummyfunction("if($T814&lt;&gt;"""",REGEXEXTRACT($T814, G$1&amp;""[\w &amp;]*, (\d+\.\d+)""),"""")
"),"")</f>
        <v/>
      </c>
      <c r="H814" s="3"/>
      <c r="I814" s="3" t="str">
        <f aca="false">IFERROR(__xludf.dummyfunction("if($T814&lt;&gt;"""",REGEXEXTRACT(SUBSTITUTE ($T814,I$1&amp;"" CE"",""""), I$1&amp;""[\w &amp;]*, (\d+\.\d+)""),"""")
"),"")</f>
        <v/>
      </c>
      <c r="J814" s="3" t="str">
        <f aca="false">IFERROR(__xludf.dummyfunction("if($T814&lt;&gt;"""",REGEXEXTRACT($T814, J$1&amp;""[\w &amp;]*, (\d+\.\d+)""),"""")
"),"")</f>
        <v/>
      </c>
      <c r="K814" s="3"/>
      <c r="L814" s="3" t="str">
        <f aca="false">IFERROR(__xludf.dummyfunction("if($T814&lt;&gt;"""",REGEXEXTRACT(SUBSTITUTE ($T814,L$1&amp;"" CE"",""""), L$1&amp;""[\w &amp;]*, (\d+\.\d+)""),"""")
"),"")</f>
        <v/>
      </c>
      <c r="M814" s="3" t="str">
        <f aca="false">IFERROR(__xludf.dummyfunction("if($T814&lt;&gt;"""",REGEXEXTRACT($T814, M$1&amp;""[\w &amp;]*, (\d+\.\d+)""),"""")
"),"")</f>
        <v/>
      </c>
      <c r="N814" s="3" t="str">
        <f aca="false">IFERROR(__xludf.dummyfunction("if($T814&lt;&gt;"""",REGEXEXTRACT(SUBSTITUTE ($T814,N$1&amp;"" CE"",""""), N$1&amp;""[\w &amp;]*, (\d+\.\d+)""),"""")
"),"")</f>
        <v/>
      </c>
      <c r="O814" s="3" t="str">
        <f aca="false">IFERROR(__xludf.dummyfunction("if($T814&lt;&gt;"""",REGEXEXTRACT($T814, O$1&amp;""[\w &amp;]*, (\d+\.\d+)""),"""")
"),"")</f>
        <v/>
      </c>
      <c r="P814" s="2"/>
      <c r="Q814" s="2"/>
      <c r="R814" s="2"/>
      <c r="S814" s="2"/>
      <c r="T814" s="5"/>
    </row>
    <row r="815" customFormat="false" ht="15.75" hidden="false" customHeight="false" outlineLevel="0" collapsed="false">
      <c r="A815" s="4"/>
      <c r="B815" s="2"/>
      <c r="C815" s="2"/>
      <c r="D815" s="2"/>
      <c r="E815" s="2"/>
      <c r="F815" s="3" t="str">
        <f aca="false">IFERROR(__xludf.dummyfunction("if($T815&lt;&gt;"""",REGEXEXTRACT(SUBSTITUTE ($T815,F$1&amp;"" CE"",""""), F$1&amp;""[\w &amp;]*, (\d+\.\d+)""),"""")
"),"")</f>
        <v/>
      </c>
      <c r="G815" s="3" t="str">
        <f aca="false">IFERROR(__xludf.dummyfunction("if($T815&lt;&gt;"""",REGEXEXTRACT($T815, G$1&amp;""[\w &amp;]*, (\d+\.\d+)""),"""")
"),"")</f>
        <v/>
      </c>
      <c r="H815" s="3"/>
      <c r="I815" s="3" t="str">
        <f aca="false">IFERROR(__xludf.dummyfunction("if($T815&lt;&gt;"""",REGEXEXTRACT(SUBSTITUTE ($T815,I$1&amp;"" CE"",""""), I$1&amp;""[\w &amp;]*, (\d+\.\d+)""),"""")
"),"")</f>
        <v/>
      </c>
      <c r="J815" s="3" t="str">
        <f aca="false">IFERROR(__xludf.dummyfunction("if($T815&lt;&gt;"""",REGEXEXTRACT($T815, J$1&amp;""[\w &amp;]*, (\d+\.\d+)""),"""")
"),"")</f>
        <v/>
      </c>
      <c r="K815" s="3"/>
      <c r="L815" s="3" t="str">
        <f aca="false">IFERROR(__xludf.dummyfunction("if($T815&lt;&gt;"""",REGEXEXTRACT(SUBSTITUTE ($T815,L$1&amp;"" CE"",""""), L$1&amp;""[\w &amp;]*, (\d+\.\d+)""),"""")
"),"")</f>
        <v/>
      </c>
      <c r="M815" s="3" t="str">
        <f aca="false">IFERROR(__xludf.dummyfunction("if($T815&lt;&gt;"""",REGEXEXTRACT($T815, M$1&amp;""[\w &amp;]*, (\d+\.\d+)""),"""")
"),"")</f>
        <v/>
      </c>
      <c r="N815" s="3" t="str">
        <f aca="false">IFERROR(__xludf.dummyfunction("if($T815&lt;&gt;"""",REGEXEXTRACT(SUBSTITUTE ($T815,N$1&amp;"" CE"",""""), N$1&amp;""[\w &amp;]*, (\d+\.\d+)""),"""")
"),"")</f>
        <v/>
      </c>
      <c r="O815" s="3" t="str">
        <f aca="false">IFERROR(__xludf.dummyfunction("if($T815&lt;&gt;"""",REGEXEXTRACT($T815, O$1&amp;""[\w &amp;]*, (\d+\.\d+)""),"""")
"),"")</f>
        <v/>
      </c>
      <c r="P815" s="2"/>
      <c r="Q815" s="2"/>
      <c r="R815" s="2"/>
      <c r="S815" s="2"/>
      <c r="T815" s="5"/>
    </row>
    <row r="816" customFormat="false" ht="15.75" hidden="false" customHeight="false" outlineLevel="0" collapsed="false">
      <c r="A816" s="4"/>
      <c r="B816" s="2"/>
      <c r="C816" s="2"/>
      <c r="D816" s="2"/>
      <c r="E816" s="2"/>
      <c r="F816" s="3" t="str">
        <f aca="false">IFERROR(__xludf.dummyfunction("if($T816&lt;&gt;"""",REGEXEXTRACT(SUBSTITUTE ($T816,F$1&amp;"" CE"",""""), F$1&amp;""[\w &amp;]*, (\d+\.\d+)""),"""")
"),"")</f>
        <v/>
      </c>
      <c r="G816" s="3" t="str">
        <f aca="false">IFERROR(__xludf.dummyfunction("if($T816&lt;&gt;"""",REGEXEXTRACT($T816, G$1&amp;""[\w &amp;]*, (\d+\.\d+)""),"""")
"),"")</f>
        <v/>
      </c>
      <c r="H816" s="3"/>
      <c r="I816" s="3" t="str">
        <f aca="false">IFERROR(__xludf.dummyfunction("if($T816&lt;&gt;"""",REGEXEXTRACT(SUBSTITUTE ($T816,I$1&amp;"" CE"",""""), I$1&amp;""[\w &amp;]*, (\d+\.\d+)""),"""")
"),"")</f>
        <v/>
      </c>
      <c r="J816" s="3" t="str">
        <f aca="false">IFERROR(__xludf.dummyfunction("if($T816&lt;&gt;"""",REGEXEXTRACT($T816, J$1&amp;""[\w &amp;]*, (\d+\.\d+)""),"""")
"),"")</f>
        <v/>
      </c>
      <c r="K816" s="3"/>
      <c r="L816" s="3" t="str">
        <f aca="false">IFERROR(__xludf.dummyfunction("if($T816&lt;&gt;"""",REGEXEXTRACT(SUBSTITUTE ($T816,L$1&amp;"" CE"",""""), L$1&amp;""[\w &amp;]*, (\d+\.\d+)""),"""")
"),"")</f>
        <v/>
      </c>
      <c r="M816" s="3" t="str">
        <f aca="false">IFERROR(__xludf.dummyfunction("if($T816&lt;&gt;"""",REGEXEXTRACT($T816, M$1&amp;""[\w &amp;]*, (\d+\.\d+)""),"""")
"),"")</f>
        <v/>
      </c>
      <c r="N816" s="3" t="str">
        <f aca="false">IFERROR(__xludf.dummyfunction("if($T816&lt;&gt;"""",REGEXEXTRACT(SUBSTITUTE ($T816,N$1&amp;"" CE"",""""), N$1&amp;""[\w &amp;]*, (\d+\.\d+)""),"""")
"),"")</f>
        <v/>
      </c>
      <c r="O816" s="3" t="str">
        <f aca="false">IFERROR(__xludf.dummyfunction("if($T816&lt;&gt;"""",REGEXEXTRACT($T816, O$1&amp;""[\w &amp;]*, (\d+\.\d+)""),"""")
"),"")</f>
        <v/>
      </c>
      <c r="P816" s="2"/>
      <c r="Q816" s="2"/>
      <c r="R816" s="2"/>
      <c r="S816" s="2"/>
      <c r="T816" s="5"/>
    </row>
    <row r="817" customFormat="false" ht="15.75" hidden="false" customHeight="false" outlineLevel="0" collapsed="false">
      <c r="A817" s="4"/>
      <c r="B817" s="2"/>
      <c r="C817" s="2"/>
      <c r="D817" s="2"/>
      <c r="E817" s="2"/>
      <c r="F817" s="3" t="str">
        <f aca="false">IFERROR(__xludf.dummyfunction("if($T817&lt;&gt;"""",REGEXEXTRACT(SUBSTITUTE ($T817,F$1&amp;"" CE"",""""), F$1&amp;""[\w &amp;]*, (\d+\.\d+)""),"""")
"),"")</f>
        <v/>
      </c>
      <c r="G817" s="3" t="str">
        <f aca="false">IFERROR(__xludf.dummyfunction("if($T817&lt;&gt;"""",REGEXEXTRACT($T817, G$1&amp;""[\w &amp;]*, (\d+\.\d+)""),"""")
"),"")</f>
        <v/>
      </c>
      <c r="H817" s="3"/>
      <c r="I817" s="3" t="str">
        <f aca="false">IFERROR(__xludf.dummyfunction("if($T817&lt;&gt;"""",REGEXEXTRACT(SUBSTITUTE ($T817,I$1&amp;"" CE"",""""), I$1&amp;""[\w &amp;]*, (\d+\.\d+)""),"""")
"),"")</f>
        <v/>
      </c>
      <c r="J817" s="3" t="str">
        <f aca="false">IFERROR(__xludf.dummyfunction("if($T817&lt;&gt;"""",REGEXEXTRACT($T817, J$1&amp;""[\w &amp;]*, (\d+\.\d+)""),"""")
"),"")</f>
        <v/>
      </c>
      <c r="K817" s="3"/>
      <c r="L817" s="3" t="str">
        <f aca="false">IFERROR(__xludf.dummyfunction("if($T817&lt;&gt;"""",REGEXEXTRACT(SUBSTITUTE ($T817,L$1&amp;"" CE"",""""), L$1&amp;""[\w &amp;]*, (\d+\.\d+)""),"""")
"),"")</f>
        <v/>
      </c>
      <c r="M817" s="3" t="str">
        <f aca="false">IFERROR(__xludf.dummyfunction("if($T817&lt;&gt;"""",REGEXEXTRACT($T817, M$1&amp;""[\w &amp;]*, (\d+\.\d+)""),"""")
"),"")</f>
        <v/>
      </c>
      <c r="N817" s="3" t="str">
        <f aca="false">IFERROR(__xludf.dummyfunction("if($T817&lt;&gt;"""",REGEXEXTRACT(SUBSTITUTE ($T817,N$1&amp;"" CE"",""""), N$1&amp;""[\w &amp;]*, (\d+\.\d+)""),"""")
"),"")</f>
        <v/>
      </c>
      <c r="O817" s="3" t="str">
        <f aca="false">IFERROR(__xludf.dummyfunction("if($T817&lt;&gt;"""",REGEXEXTRACT($T817, O$1&amp;""[\w &amp;]*, (\d+\.\d+)""),"""")
"),"")</f>
        <v/>
      </c>
      <c r="P817" s="2"/>
      <c r="Q817" s="2"/>
      <c r="R817" s="2"/>
      <c r="S817" s="2"/>
      <c r="T817" s="5"/>
    </row>
    <row r="818" customFormat="false" ht="15.75" hidden="false" customHeight="false" outlineLevel="0" collapsed="false">
      <c r="A818" s="4"/>
      <c r="B818" s="2"/>
      <c r="C818" s="2"/>
      <c r="D818" s="2"/>
      <c r="E818" s="2"/>
      <c r="F818" s="3" t="str">
        <f aca="false">IFERROR(__xludf.dummyfunction("if($T818&lt;&gt;"""",REGEXEXTRACT(SUBSTITUTE ($T818,F$1&amp;"" CE"",""""), F$1&amp;""[\w &amp;]*, (\d+\.\d+)""),"""")
"),"")</f>
        <v/>
      </c>
      <c r="G818" s="3" t="str">
        <f aca="false">IFERROR(__xludf.dummyfunction("if($T818&lt;&gt;"""",REGEXEXTRACT($T818, G$1&amp;""[\w &amp;]*, (\d+\.\d+)""),"""")
"),"")</f>
        <v/>
      </c>
      <c r="H818" s="3"/>
      <c r="I818" s="3" t="str">
        <f aca="false">IFERROR(__xludf.dummyfunction("if($T818&lt;&gt;"""",REGEXEXTRACT(SUBSTITUTE ($T818,I$1&amp;"" CE"",""""), I$1&amp;""[\w &amp;]*, (\d+\.\d+)""),"""")
"),"")</f>
        <v/>
      </c>
      <c r="J818" s="3" t="str">
        <f aca="false">IFERROR(__xludf.dummyfunction("if($T818&lt;&gt;"""",REGEXEXTRACT($T818, J$1&amp;""[\w &amp;]*, (\d+\.\d+)""),"""")
"),"")</f>
        <v/>
      </c>
      <c r="K818" s="3"/>
      <c r="L818" s="3" t="str">
        <f aca="false">IFERROR(__xludf.dummyfunction("if($T818&lt;&gt;"""",REGEXEXTRACT(SUBSTITUTE ($T818,L$1&amp;"" CE"",""""), L$1&amp;""[\w &amp;]*, (\d+\.\d+)""),"""")
"),"")</f>
        <v/>
      </c>
      <c r="M818" s="3" t="str">
        <f aca="false">IFERROR(__xludf.dummyfunction("if($T818&lt;&gt;"""",REGEXEXTRACT($T818, M$1&amp;""[\w &amp;]*, (\d+\.\d+)""),"""")
"),"")</f>
        <v/>
      </c>
      <c r="N818" s="3" t="str">
        <f aca="false">IFERROR(__xludf.dummyfunction("if($T818&lt;&gt;"""",REGEXEXTRACT(SUBSTITUTE ($T818,N$1&amp;"" CE"",""""), N$1&amp;""[\w &amp;]*, (\d+\.\d+)""),"""")
"),"")</f>
        <v/>
      </c>
      <c r="O818" s="3" t="str">
        <f aca="false">IFERROR(__xludf.dummyfunction("if($T818&lt;&gt;"""",REGEXEXTRACT($T818, O$1&amp;""[\w &amp;]*, (\d+\.\d+)""),"""")
"),"")</f>
        <v/>
      </c>
      <c r="P818" s="2"/>
      <c r="Q818" s="2"/>
      <c r="R818" s="2"/>
      <c r="S818" s="2"/>
      <c r="T818" s="5"/>
    </row>
    <row r="819" customFormat="false" ht="15.75" hidden="false" customHeight="false" outlineLevel="0" collapsed="false">
      <c r="A819" s="4"/>
      <c r="B819" s="2"/>
      <c r="C819" s="2"/>
      <c r="D819" s="2"/>
      <c r="E819" s="2"/>
      <c r="F819" s="3" t="str">
        <f aca="false">IFERROR(__xludf.dummyfunction("if($T819&lt;&gt;"""",REGEXEXTRACT(SUBSTITUTE ($T819,F$1&amp;"" CE"",""""), F$1&amp;""[\w &amp;]*, (\d+\.\d+)""),"""")
"),"")</f>
        <v/>
      </c>
      <c r="G819" s="3" t="str">
        <f aca="false">IFERROR(__xludf.dummyfunction("if($T819&lt;&gt;"""",REGEXEXTRACT($T819, G$1&amp;""[\w &amp;]*, (\d+\.\d+)""),"""")
"),"")</f>
        <v/>
      </c>
      <c r="H819" s="3"/>
      <c r="I819" s="3" t="str">
        <f aca="false">IFERROR(__xludf.dummyfunction("if($T819&lt;&gt;"""",REGEXEXTRACT(SUBSTITUTE ($T819,I$1&amp;"" CE"",""""), I$1&amp;""[\w &amp;]*, (\d+\.\d+)""),"""")
"),"")</f>
        <v/>
      </c>
      <c r="J819" s="3" t="str">
        <f aca="false">IFERROR(__xludf.dummyfunction("if($T819&lt;&gt;"""",REGEXEXTRACT($T819, J$1&amp;""[\w &amp;]*, (\d+\.\d+)""),"""")
"),"")</f>
        <v/>
      </c>
      <c r="K819" s="3"/>
      <c r="L819" s="3" t="str">
        <f aca="false">IFERROR(__xludf.dummyfunction("if($T819&lt;&gt;"""",REGEXEXTRACT(SUBSTITUTE ($T819,L$1&amp;"" CE"",""""), L$1&amp;""[\w &amp;]*, (\d+\.\d+)""),"""")
"),"")</f>
        <v/>
      </c>
      <c r="M819" s="3" t="str">
        <f aca="false">IFERROR(__xludf.dummyfunction("if($T819&lt;&gt;"""",REGEXEXTRACT($T819, M$1&amp;""[\w &amp;]*, (\d+\.\d+)""),"""")
"),"")</f>
        <v/>
      </c>
      <c r="N819" s="3" t="str">
        <f aca="false">IFERROR(__xludf.dummyfunction("if($T819&lt;&gt;"""",REGEXEXTRACT(SUBSTITUTE ($T819,N$1&amp;"" CE"",""""), N$1&amp;""[\w &amp;]*, (\d+\.\d+)""),"""")
"),"")</f>
        <v/>
      </c>
      <c r="O819" s="3" t="str">
        <f aca="false">IFERROR(__xludf.dummyfunction("if($T819&lt;&gt;"""",REGEXEXTRACT($T819, O$1&amp;""[\w &amp;]*, (\d+\.\d+)""),"""")
"),"")</f>
        <v/>
      </c>
      <c r="P819" s="2"/>
      <c r="Q819" s="2"/>
      <c r="R819" s="2"/>
      <c r="S819" s="2"/>
      <c r="T819" s="5"/>
    </row>
    <row r="820" customFormat="false" ht="15.75" hidden="false" customHeight="false" outlineLevel="0" collapsed="false">
      <c r="A820" s="4"/>
      <c r="B820" s="2"/>
      <c r="C820" s="2"/>
      <c r="D820" s="2"/>
      <c r="E820" s="2"/>
      <c r="F820" s="3" t="str">
        <f aca="false">IFERROR(__xludf.dummyfunction("if($T820&lt;&gt;"""",REGEXEXTRACT(SUBSTITUTE ($T820,F$1&amp;"" CE"",""""), F$1&amp;""[\w &amp;]*, (\d+\.\d+)""),"""")
"),"")</f>
        <v/>
      </c>
      <c r="G820" s="3" t="str">
        <f aca="false">IFERROR(__xludf.dummyfunction("if($T820&lt;&gt;"""",REGEXEXTRACT($T820, G$1&amp;""[\w &amp;]*, (\d+\.\d+)""),"""")
"),"")</f>
        <v/>
      </c>
      <c r="H820" s="3"/>
      <c r="I820" s="3" t="str">
        <f aca="false">IFERROR(__xludf.dummyfunction("if($T820&lt;&gt;"""",REGEXEXTRACT(SUBSTITUTE ($T820,I$1&amp;"" CE"",""""), I$1&amp;""[\w &amp;]*, (\d+\.\d+)""),"""")
"),"")</f>
        <v/>
      </c>
      <c r="J820" s="3" t="str">
        <f aca="false">IFERROR(__xludf.dummyfunction("if($T820&lt;&gt;"""",REGEXEXTRACT($T820, J$1&amp;""[\w &amp;]*, (\d+\.\d+)""),"""")
"),"")</f>
        <v/>
      </c>
      <c r="K820" s="3"/>
      <c r="L820" s="3" t="str">
        <f aca="false">IFERROR(__xludf.dummyfunction("if($T820&lt;&gt;"""",REGEXEXTRACT(SUBSTITUTE ($T820,L$1&amp;"" CE"",""""), L$1&amp;""[\w &amp;]*, (\d+\.\d+)""),"""")
"),"")</f>
        <v/>
      </c>
      <c r="M820" s="3" t="str">
        <f aca="false">IFERROR(__xludf.dummyfunction("if($T820&lt;&gt;"""",REGEXEXTRACT($T820, M$1&amp;""[\w &amp;]*, (\d+\.\d+)""),"""")
"),"")</f>
        <v/>
      </c>
      <c r="N820" s="3" t="str">
        <f aca="false">IFERROR(__xludf.dummyfunction("if($T820&lt;&gt;"""",REGEXEXTRACT(SUBSTITUTE ($T820,N$1&amp;"" CE"",""""), N$1&amp;""[\w &amp;]*, (\d+\.\d+)""),"""")
"),"")</f>
        <v/>
      </c>
      <c r="O820" s="3" t="str">
        <f aca="false">IFERROR(__xludf.dummyfunction("if($T820&lt;&gt;"""",REGEXEXTRACT($T820, O$1&amp;""[\w &amp;]*, (\d+\.\d+)""),"""")
"),"")</f>
        <v/>
      </c>
      <c r="P820" s="2"/>
      <c r="Q820" s="2"/>
      <c r="R820" s="2"/>
      <c r="S820" s="2"/>
      <c r="T820" s="5"/>
    </row>
    <row r="821" customFormat="false" ht="15.75" hidden="false" customHeight="false" outlineLevel="0" collapsed="false">
      <c r="A821" s="4"/>
      <c r="B821" s="2"/>
      <c r="C821" s="2"/>
      <c r="D821" s="2"/>
      <c r="E821" s="2"/>
      <c r="F821" s="3" t="str">
        <f aca="false">IFERROR(__xludf.dummyfunction("if($T821&lt;&gt;"""",REGEXEXTRACT(SUBSTITUTE ($T821,F$1&amp;"" CE"",""""), F$1&amp;""[\w &amp;]*, (\d+\.\d+)""),"""")
"),"")</f>
        <v/>
      </c>
      <c r="G821" s="3" t="str">
        <f aca="false">IFERROR(__xludf.dummyfunction("if($T821&lt;&gt;"""",REGEXEXTRACT($T821, G$1&amp;""[\w &amp;]*, (\d+\.\d+)""),"""")
"),"")</f>
        <v/>
      </c>
      <c r="H821" s="3"/>
      <c r="I821" s="3" t="str">
        <f aca="false">IFERROR(__xludf.dummyfunction("if($T821&lt;&gt;"""",REGEXEXTRACT(SUBSTITUTE ($T821,I$1&amp;"" CE"",""""), I$1&amp;""[\w &amp;]*, (\d+\.\d+)""),"""")
"),"")</f>
        <v/>
      </c>
      <c r="J821" s="3" t="str">
        <f aca="false">IFERROR(__xludf.dummyfunction("if($T821&lt;&gt;"""",REGEXEXTRACT($T821, J$1&amp;""[\w &amp;]*, (\d+\.\d+)""),"""")
"),"")</f>
        <v/>
      </c>
      <c r="K821" s="3"/>
      <c r="L821" s="3" t="str">
        <f aca="false">IFERROR(__xludf.dummyfunction("if($T821&lt;&gt;"""",REGEXEXTRACT(SUBSTITUTE ($T821,L$1&amp;"" CE"",""""), L$1&amp;""[\w &amp;]*, (\d+\.\d+)""),"""")
"),"")</f>
        <v/>
      </c>
      <c r="M821" s="3" t="str">
        <f aca="false">IFERROR(__xludf.dummyfunction("if($T821&lt;&gt;"""",REGEXEXTRACT($T821, M$1&amp;""[\w &amp;]*, (\d+\.\d+)""),"""")
"),"")</f>
        <v/>
      </c>
      <c r="N821" s="3" t="str">
        <f aca="false">IFERROR(__xludf.dummyfunction("if($T821&lt;&gt;"""",REGEXEXTRACT(SUBSTITUTE ($T821,N$1&amp;"" CE"",""""), N$1&amp;""[\w &amp;]*, (\d+\.\d+)""),"""")
"),"")</f>
        <v/>
      </c>
      <c r="O821" s="3" t="str">
        <f aca="false">IFERROR(__xludf.dummyfunction("if($T821&lt;&gt;"""",REGEXEXTRACT($T821, O$1&amp;""[\w &amp;]*, (\d+\.\d+)""),"""")
"),"")</f>
        <v/>
      </c>
      <c r="P821" s="2"/>
      <c r="Q821" s="2"/>
      <c r="R821" s="2"/>
      <c r="S821" s="2"/>
      <c r="T821" s="5"/>
    </row>
    <row r="822" customFormat="false" ht="15.75" hidden="false" customHeight="false" outlineLevel="0" collapsed="false">
      <c r="A822" s="4"/>
      <c r="B822" s="2"/>
      <c r="C822" s="2"/>
      <c r="D822" s="2"/>
      <c r="E822" s="2"/>
      <c r="F822" s="3" t="str">
        <f aca="false">IFERROR(__xludf.dummyfunction("if($T822&lt;&gt;"""",REGEXEXTRACT(SUBSTITUTE ($T822,F$1&amp;"" CE"",""""), F$1&amp;""[\w &amp;]*, (\d+\.\d+)""),"""")
"),"")</f>
        <v/>
      </c>
      <c r="G822" s="3" t="str">
        <f aca="false">IFERROR(__xludf.dummyfunction("if($T822&lt;&gt;"""",REGEXEXTRACT($T822, G$1&amp;""[\w &amp;]*, (\d+\.\d+)""),"""")
"),"")</f>
        <v/>
      </c>
      <c r="H822" s="3"/>
      <c r="I822" s="3" t="str">
        <f aca="false">IFERROR(__xludf.dummyfunction("if($T822&lt;&gt;"""",REGEXEXTRACT(SUBSTITUTE ($T822,I$1&amp;"" CE"",""""), I$1&amp;""[\w &amp;]*, (\d+\.\d+)""),"""")
"),"")</f>
        <v/>
      </c>
      <c r="J822" s="3" t="str">
        <f aca="false">IFERROR(__xludf.dummyfunction("if($T822&lt;&gt;"""",REGEXEXTRACT($T822, J$1&amp;""[\w &amp;]*, (\d+\.\d+)""),"""")
"),"")</f>
        <v/>
      </c>
      <c r="K822" s="3"/>
      <c r="L822" s="3" t="str">
        <f aca="false">IFERROR(__xludf.dummyfunction("if($T822&lt;&gt;"""",REGEXEXTRACT(SUBSTITUTE ($T822,L$1&amp;"" CE"",""""), L$1&amp;""[\w &amp;]*, (\d+\.\d+)""),"""")
"),"")</f>
        <v/>
      </c>
      <c r="M822" s="3" t="str">
        <f aca="false">IFERROR(__xludf.dummyfunction("if($T822&lt;&gt;"""",REGEXEXTRACT($T822, M$1&amp;""[\w &amp;]*, (\d+\.\d+)""),"""")
"),"")</f>
        <v/>
      </c>
      <c r="N822" s="3" t="str">
        <f aca="false">IFERROR(__xludf.dummyfunction("if($T822&lt;&gt;"""",REGEXEXTRACT(SUBSTITUTE ($T822,N$1&amp;"" CE"",""""), N$1&amp;""[\w &amp;]*, (\d+\.\d+)""),"""")
"),"")</f>
        <v/>
      </c>
      <c r="O822" s="3" t="str">
        <f aca="false">IFERROR(__xludf.dummyfunction("if($T822&lt;&gt;"""",REGEXEXTRACT($T822, O$1&amp;""[\w &amp;]*, (\d+\.\d+)""),"""")
"),"")</f>
        <v/>
      </c>
      <c r="P822" s="2"/>
      <c r="Q822" s="2"/>
      <c r="R822" s="2"/>
      <c r="S822" s="2"/>
      <c r="T822" s="5"/>
    </row>
    <row r="823" customFormat="false" ht="15.75" hidden="false" customHeight="false" outlineLevel="0" collapsed="false">
      <c r="A823" s="4"/>
      <c r="B823" s="2"/>
      <c r="C823" s="2"/>
      <c r="D823" s="2"/>
      <c r="E823" s="2"/>
      <c r="F823" s="3" t="str">
        <f aca="false">IFERROR(__xludf.dummyfunction("if($T823&lt;&gt;"""",REGEXEXTRACT(SUBSTITUTE ($T823,F$1&amp;"" CE"",""""), F$1&amp;""[\w &amp;]*, (\d+\.\d+)""),"""")
"),"")</f>
        <v/>
      </c>
      <c r="G823" s="3" t="str">
        <f aca="false">IFERROR(__xludf.dummyfunction("if($T823&lt;&gt;"""",REGEXEXTRACT($T823, G$1&amp;""[\w &amp;]*, (\d+\.\d+)""),"""")
"),"")</f>
        <v/>
      </c>
      <c r="H823" s="3"/>
      <c r="I823" s="3" t="str">
        <f aca="false">IFERROR(__xludf.dummyfunction("if($T823&lt;&gt;"""",REGEXEXTRACT(SUBSTITUTE ($T823,I$1&amp;"" CE"",""""), I$1&amp;""[\w &amp;]*, (\d+\.\d+)""),"""")
"),"")</f>
        <v/>
      </c>
      <c r="J823" s="3" t="str">
        <f aca="false">IFERROR(__xludf.dummyfunction("if($T823&lt;&gt;"""",REGEXEXTRACT($T823, J$1&amp;""[\w &amp;]*, (\d+\.\d+)""),"""")
"),"")</f>
        <v/>
      </c>
      <c r="K823" s="3"/>
      <c r="L823" s="3" t="str">
        <f aca="false">IFERROR(__xludf.dummyfunction("if($T823&lt;&gt;"""",REGEXEXTRACT(SUBSTITUTE ($T823,L$1&amp;"" CE"",""""), L$1&amp;""[\w &amp;]*, (\d+\.\d+)""),"""")
"),"")</f>
        <v/>
      </c>
      <c r="M823" s="3" t="str">
        <f aca="false">IFERROR(__xludf.dummyfunction("if($T823&lt;&gt;"""",REGEXEXTRACT($T823, M$1&amp;""[\w &amp;]*, (\d+\.\d+)""),"""")
"),"")</f>
        <v/>
      </c>
      <c r="N823" s="3" t="str">
        <f aca="false">IFERROR(__xludf.dummyfunction("if($T823&lt;&gt;"""",REGEXEXTRACT(SUBSTITUTE ($T823,N$1&amp;"" CE"",""""), N$1&amp;""[\w &amp;]*, (\d+\.\d+)""),"""")
"),"")</f>
        <v/>
      </c>
      <c r="O823" s="3" t="str">
        <f aca="false">IFERROR(__xludf.dummyfunction("if($T823&lt;&gt;"""",REGEXEXTRACT($T823, O$1&amp;""[\w &amp;]*, (\d+\.\d+)""),"""")
"),"")</f>
        <v/>
      </c>
      <c r="P823" s="2"/>
      <c r="Q823" s="2"/>
      <c r="R823" s="2"/>
      <c r="S823" s="2"/>
      <c r="T823" s="5"/>
    </row>
    <row r="824" customFormat="false" ht="15.75" hidden="false" customHeight="false" outlineLevel="0" collapsed="false">
      <c r="A824" s="4"/>
      <c r="B824" s="2"/>
      <c r="C824" s="2"/>
      <c r="D824" s="2"/>
      <c r="E824" s="2"/>
      <c r="F824" s="3" t="str">
        <f aca="false">IFERROR(__xludf.dummyfunction("if($T824&lt;&gt;"""",REGEXEXTRACT(SUBSTITUTE ($T824,F$1&amp;"" CE"",""""), F$1&amp;""[\w &amp;]*, (\d+\.\d+)""),"""")
"),"")</f>
        <v/>
      </c>
      <c r="G824" s="3" t="str">
        <f aca="false">IFERROR(__xludf.dummyfunction("if($T824&lt;&gt;"""",REGEXEXTRACT($T824, G$1&amp;""[\w &amp;]*, (\d+\.\d+)""),"""")
"),"")</f>
        <v/>
      </c>
      <c r="H824" s="3"/>
      <c r="I824" s="3" t="str">
        <f aca="false">IFERROR(__xludf.dummyfunction("if($T824&lt;&gt;"""",REGEXEXTRACT(SUBSTITUTE ($T824,I$1&amp;"" CE"",""""), I$1&amp;""[\w &amp;]*, (\d+\.\d+)""),"""")
"),"")</f>
        <v/>
      </c>
      <c r="J824" s="3" t="str">
        <f aca="false">IFERROR(__xludf.dummyfunction("if($T824&lt;&gt;"""",REGEXEXTRACT($T824, J$1&amp;""[\w &amp;]*, (\d+\.\d+)""),"""")
"),"")</f>
        <v/>
      </c>
      <c r="K824" s="3"/>
      <c r="L824" s="3" t="str">
        <f aca="false">IFERROR(__xludf.dummyfunction("if($T824&lt;&gt;"""",REGEXEXTRACT(SUBSTITUTE ($T824,L$1&amp;"" CE"",""""), L$1&amp;""[\w &amp;]*, (\d+\.\d+)""),"""")
"),"")</f>
        <v/>
      </c>
      <c r="M824" s="3" t="str">
        <f aca="false">IFERROR(__xludf.dummyfunction("if($T824&lt;&gt;"""",REGEXEXTRACT($T824, M$1&amp;""[\w &amp;]*, (\d+\.\d+)""),"""")
"),"")</f>
        <v/>
      </c>
      <c r="N824" s="3" t="str">
        <f aca="false">IFERROR(__xludf.dummyfunction("if($T824&lt;&gt;"""",REGEXEXTRACT(SUBSTITUTE ($T824,N$1&amp;"" CE"",""""), N$1&amp;""[\w &amp;]*, (\d+\.\d+)""),"""")
"),"")</f>
        <v/>
      </c>
      <c r="O824" s="3" t="str">
        <f aca="false">IFERROR(__xludf.dummyfunction("if($T824&lt;&gt;"""",REGEXEXTRACT($T824, O$1&amp;""[\w &amp;]*, (\d+\.\d+)""),"""")
"),"")</f>
        <v/>
      </c>
      <c r="P824" s="2"/>
      <c r="Q824" s="2"/>
      <c r="R824" s="2"/>
      <c r="S824" s="2"/>
      <c r="T824" s="5"/>
    </row>
    <row r="825" customFormat="false" ht="15.75" hidden="false" customHeight="false" outlineLevel="0" collapsed="false">
      <c r="A825" s="4"/>
      <c r="B825" s="2"/>
      <c r="C825" s="2"/>
      <c r="D825" s="2"/>
      <c r="E825" s="2"/>
      <c r="F825" s="3" t="str">
        <f aca="false">IFERROR(__xludf.dummyfunction("if($T825&lt;&gt;"""",REGEXEXTRACT(SUBSTITUTE ($T825,F$1&amp;"" CE"",""""), F$1&amp;""[\w &amp;]*, (\d+\.\d+)""),"""")
"),"")</f>
        <v/>
      </c>
      <c r="G825" s="3" t="str">
        <f aca="false">IFERROR(__xludf.dummyfunction("if($T825&lt;&gt;"""",REGEXEXTRACT($T825, G$1&amp;""[\w &amp;]*, (\d+\.\d+)""),"""")
"),"")</f>
        <v/>
      </c>
      <c r="H825" s="3"/>
      <c r="I825" s="3" t="str">
        <f aca="false">IFERROR(__xludf.dummyfunction("if($T825&lt;&gt;"""",REGEXEXTRACT(SUBSTITUTE ($T825,I$1&amp;"" CE"",""""), I$1&amp;""[\w &amp;]*, (\d+\.\d+)""),"""")
"),"")</f>
        <v/>
      </c>
      <c r="J825" s="3" t="str">
        <f aca="false">IFERROR(__xludf.dummyfunction("if($T825&lt;&gt;"""",REGEXEXTRACT($T825, J$1&amp;""[\w &amp;]*, (\d+\.\d+)""),"""")
"),"")</f>
        <v/>
      </c>
      <c r="K825" s="3"/>
      <c r="L825" s="3" t="str">
        <f aca="false">IFERROR(__xludf.dummyfunction("if($T825&lt;&gt;"""",REGEXEXTRACT(SUBSTITUTE ($T825,L$1&amp;"" CE"",""""), L$1&amp;""[\w &amp;]*, (\d+\.\d+)""),"""")
"),"")</f>
        <v/>
      </c>
      <c r="M825" s="3" t="str">
        <f aca="false">IFERROR(__xludf.dummyfunction("if($T825&lt;&gt;"""",REGEXEXTRACT($T825, M$1&amp;""[\w &amp;]*, (\d+\.\d+)""),"""")
"),"")</f>
        <v/>
      </c>
      <c r="N825" s="3" t="str">
        <f aca="false">IFERROR(__xludf.dummyfunction("if($T825&lt;&gt;"""",REGEXEXTRACT(SUBSTITUTE ($T825,N$1&amp;"" CE"",""""), N$1&amp;""[\w &amp;]*, (\d+\.\d+)""),"""")
"),"")</f>
        <v/>
      </c>
      <c r="O825" s="3" t="str">
        <f aca="false">IFERROR(__xludf.dummyfunction("if($T825&lt;&gt;"""",REGEXEXTRACT($T825, O$1&amp;""[\w &amp;]*, (\d+\.\d+)""),"""")
"),"")</f>
        <v/>
      </c>
      <c r="P825" s="2"/>
      <c r="Q825" s="2"/>
      <c r="R825" s="2"/>
      <c r="S825" s="2"/>
      <c r="T825" s="5"/>
    </row>
    <row r="826" customFormat="false" ht="15.75" hidden="false" customHeight="false" outlineLevel="0" collapsed="false">
      <c r="A826" s="4"/>
      <c r="B826" s="2"/>
      <c r="C826" s="2"/>
      <c r="D826" s="2"/>
      <c r="E826" s="2"/>
      <c r="F826" s="3" t="str">
        <f aca="false">IFERROR(__xludf.dummyfunction("if($T826&lt;&gt;"""",REGEXEXTRACT(SUBSTITUTE ($T826,F$1&amp;"" CE"",""""), F$1&amp;""[\w &amp;]*, (\d+\.\d+)""),"""")
"),"")</f>
        <v/>
      </c>
      <c r="G826" s="3" t="str">
        <f aca="false">IFERROR(__xludf.dummyfunction("if($T826&lt;&gt;"""",REGEXEXTRACT($T826, G$1&amp;""[\w &amp;]*, (\d+\.\d+)""),"""")
"),"")</f>
        <v/>
      </c>
      <c r="H826" s="3"/>
      <c r="I826" s="3" t="str">
        <f aca="false">IFERROR(__xludf.dummyfunction("if($T826&lt;&gt;"""",REGEXEXTRACT(SUBSTITUTE ($T826,I$1&amp;"" CE"",""""), I$1&amp;""[\w &amp;]*, (\d+\.\d+)""),"""")
"),"")</f>
        <v/>
      </c>
      <c r="J826" s="3" t="str">
        <f aca="false">IFERROR(__xludf.dummyfunction("if($T826&lt;&gt;"""",REGEXEXTRACT($T826, J$1&amp;""[\w &amp;]*, (\d+\.\d+)""),"""")
"),"")</f>
        <v/>
      </c>
      <c r="K826" s="3"/>
      <c r="L826" s="3" t="str">
        <f aca="false">IFERROR(__xludf.dummyfunction("if($T826&lt;&gt;"""",REGEXEXTRACT(SUBSTITUTE ($T826,L$1&amp;"" CE"",""""), L$1&amp;""[\w &amp;]*, (\d+\.\d+)""),"""")
"),"")</f>
        <v/>
      </c>
      <c r="M826" s="3" t="str">
        <f aca="false">IFERROR(__xludf.dummyfunction("if($T826&lt;&gt;"""",REGEXEXTRACT($T826, M$1&amp;""[\w &amp;]*, (\d+\.\d+)""),"""")
"),"")</f>
        <v/>
      </c>
      <c r="N826" s="3" t="str">
        <f aca="false">IFERROR(__xludf.dummyfunction("if($T826&lt;&gt;"""",REGEXEXTRACT(SUBSTITUTE ($T826,N$1&amp;"" CE"",""""), N$1&amp;""[\w &amp;]*, (\d+\.\d+)""),"""")
"),"")</f>
        <v/>
      </c>
      <c r="O826" s="3" t="str">
        <f aca="false">IFERROR(__xludf.dummyfunction("if($T826&lt;&gt;"""",REGEXEXTRACT($T826, O$1&amp;""[\w &amp;]*, (\d+\.\d+)""),"""")
"),"")</f>
        <v/>
      </c>
      <c r="P826" s="2"/>
      <c r="Q826" s="2"/>
      <c r="R826" s="2"/>
      <c r="S826" s="2"/>
      <c r="T826" s="5"/>
    </row>
    <row r="827" customFormat="false" ht="15.75" hidden="false" customHeight="false" outlineLevel="0" collapsed="false">
      <c r="A827" s="4"/>
      <c r="B827" s="2"/>
      <c r="C827" s="2"/>
      <c r="D827" s="2"/>
      <c r="E827" s="2"/>
      <c r="F827" s="3" t="str">
        <f aca="false">IFERROR(__xludf.dummyfunction("if($T827&lt;&gt;"""",REGEXEXTRACT(SUBSTITUTE ($T827,F$1&amp;"" CE"",""""), F$1&amp;""[\w &amp;]*, (\d+\.\d+)""),"""")
"),"")</f>
        <v/>
      </c>
      <c r="G827" s="3" t="str">
        <f aca="false">IFERROR(__xludf.dummyfunction("if($T827&lt;&gt;"""",REGEXEXTRACT($T827, G$1&amp;""[\w &amp;]*, (\d+\.\d+)""),"""")
"),"")</f>
        <v/>
      </c>
      <c r="H827" s="3"/>
      <c r="I827" s="3" t="str">
        <f aca="false">IFERROR(__xludf.dummyfunction("if($T827&lt;&gt;"""",REGEXEXTRACT(SUBSTITUTE ($T827,I$1&amp;"" CE"",""""), I$1&amp;""[\w &amp;]*, (\d+\.\d+)""),"""")
"),"")</f>
        <v/>
      </c>
      <c r="J827" s="3" t="str">
        <f aca="false">IFERROR(__xludf.dummyfunction("if($T827&lt;&gt;"""",REGEXEXTRACT($T827, J$1&amp;""[\w &amp;]*, (\d+\.\d+)""),"""")
"),"")</f>
        <v/>
      </c>
      <c r="K827" s="3"/>
      <c r="L827" s="3" t="str">
        <f aca="false">IFERROR(__xludf.dummyfunction("if($T827&lt;&gt;"""",REGEXEXTRACT(SUBSTITUTE ($T827,L$1&amp;"" CE"",""""), L$1&amp;""[\w &amp;]*, (\d+\.\d+)""),"""")
"),"")</f>
        <v/>
      </c>
      <c r="M827" s="3" t="str">
        <f aca="false">IFERROR(__xludf.dummyfunction("if($T827&lt;&gt;"""",REGEXEXTRACT($T827, M$1&amp;""[\w &amp;]*, (\d+\.\d+)""),"""")
"),"")</f>
        <v/>
      </c>
      <c r="N827" s="3" t="str">
        <f aca="false">IFERROR(__xludf.dummyfunction("if($T827&lt;&gt;"""",REGEXEXTRACT(SUBSTITUTE ($T827,N$1&amp;"" CE"",""""), N$1&amp;""[\w &amp;]*, (\d+\.\d+)""),"""")
"),"")</f>
        <v/>
      </c>
      <c r="O827" s="3" t="str">
        <f aca="false">IFERROR(__xludf.dummyfunction("if($T827&lt;&gt;"""",REGEXEXTRACT($T827, O$1&amp;""[\w &amp;]*, (\d+\.\d+)""),"""")
"),"")</f>
        <v/>
      </c>
      <c r="P827" s="2"/>
      <c r="Q827" s="2"/>
      <c r="R827" s="2"/>
      <c r="S827" s="2"/>
      <c r="T827" s="5"/>
    </row>
    <row r="828" customFormat="false" ht="15.75" hidden="false" customHeight="false" outlineLevel="0" collapsed="false">
      <c r="A828" s="4"/>
      <c r="B828" s="2"/>
      <c r="C828" s="2"/>
      <c r="D828" s="2"/>
      <c r="E828" s="2"/>
      <c r="F828" s="3" t="str">
        <f aca="false">IFERROR(__xludf.dummyfunction("if($T828&lt;&gt;"""",REGEXEXTRACT(SUBSTITUTE ($T828,F$1&amp;"" CE"",""""), F$1&amp;""[\w &amp;]*, (\d+\.\d+)""),"""")
"),"")</f>
        <v/>
      </c>
      <c r="G828" s="3" t="str">
        <f aca="false">IFERROR(__xludf.dummyfunction("if($T828&lt;&gt;"""",REGEXEXTRACT($T828, G$1&amp;""[\w &amp;]*, (\d+\.\d+)""),"""")
"),"")</f>
        <v/>
      </c>
      <c r="H828" s="3"/>
      <c r="I828" s="3" t="str">
        <f aca="false">IFERROR(__xludf.dummyfunction("if($T828&lt;&gt;"""",REGEXEXTRACT(SUBSTITUTE ($T828,I$1&amp;"" CE"",""""), I$1&amp;""[\w &amp;]*, (\d+\.\d+)""),"""")
"),"")</f>
        <v/>
      </c>
      <c r="J828" s="3" t="str">
        <f aca="false">IFERROR(__xludf.dummyfunction("if($T828&lt;&gt;"""",REGEXEXTRACT($T828, J$1&amp;""[\w &amp;]*, (\d+\.\d+)""),"""")
"),"")</f>
        <v/>
      </c>
      <c r="K828" s="3"/>
      <c r="L828" s="3" t="str">
        <f aca="false">IFERROR(__xludf.dummyfunction("if($T828&lt;&gt;"""",REGEXEXTRACT(SUBSTITUTE ($T828,L$1&amp;"" CE"",""""), L$1&amp;""[\w &amp;]*, (\d+\.\d+)""),"""")
"),"")</f>
        <v/>
      </c>
      <c r="M828" s="3" t="str">
        <f aca="false">IFERROR(__xludf.dummyfunction("if($T828&lt;&gt;"""",REGEXEXTRACT($T828, M$1&amp;""[\w &amp;]*, (\d+\.\d+)""),"""")
"),"")</f>
        <v/>
      </c>
      <c r="N828" s="3" t="str">
        <f aca="false">IFERROR(__xludf.dummyfunction("if($T828&lt;&gt;"""",REGEXEXTRACT(SUBSTITUTE ($T828,N$1&amp;"" CE"",""""), N$1&amp;""[\w &amp;]*, (\d+\.\d+)""),"""")
"),"")</f>
        <v/>
      </c>
      <c r="O828" s="3" t="str">
        <f aca="false">IFERROR(__xludf.dummyfunction("if($T828&lt;&gt;"""",REGEXEXTRACT($T828, O$1&amp;""[\w &amp;]*, (\d+\.\d+)""),"""")
"),"")</f>
        <v/>
      </c>
      <c r="P828" s="2"/>
      <c r="Q828" s="2"/>
      <c r="R828" s="2"/>
      <c r="S828" s="2"/>
      <c r="T828" s="5"/>
    </row>
    <row r="829" customFormat="false" ht="15.75" hidden="false" customHeight="false" outlineLevel="0" collapsed="false">
      <c r="A829" s="4"/>
      <c r="B829" s="2"/>
      <c r="C829" s="2"/>
      <c r="D829" s="2"/>
      <c r="E829" s="2"/>
      <c r="F829" s="3" t="str">
        <f aca="false">IFERROR(__xludf.dummyfunction("if($T829&lt;&gt;"""",REGEXEXTRACT(SUBSTITUTE ($T829,F$1&amp;"" CE"",""""), F$1&amp;""[\w &amp;]*, (\d+\.\d+)""),"""")
"),"")</f>
        <v/>
      </c>
      <c r="G829" s="3" t="str">
        <f aca="false">IFERROR(__xludf.dummyfunction("if($T829&lt;&gt;"""",REGEXEXTRACT($T829, G$1&amp;""[\w &amp;]*, (\d+\.\d+)""),"""")
"),"")</f>
        <v/>
      </c>
      <c r="H829" s="3"/>
      <c r="I829" s="3" t="str">
        <f aca="false">IFERROR(__xludf.dummyfunction("if($T829&lt;&gt;"""",REGEXEXTRACT(SUBSTITUTE ($T829,I$1&amp;"" CE"",""""), I$1&amp;""[\w &amp;]*, (\d+\.\d+)""),"""")
"),"")</f>
        <v/>
      </c>
      <c r="J829" s="3" t="str">
        <f aca="false">IFERROR(__xludf.dummyfunction("if($T829&lt;&gt;"""",REGEXEXTRACT($T829, J$1&amp;""[\w &amp;]*, (\d+\.\d+)""),"""")
"),"")</f>
        <v/>
      </c>
      <c r="K829" s="3"/>
      <c r="L829" s="3" t="str">
        <f aca="false">IFERROR(__xludf.dummyfunction("if($T829&lt;&gt;"""",REGEXEXTRACT(SUBSTITUTE ($T829,L$1&amp;"" CE"",""""), L$1&amp;""[\w &amp;]*, (\d+\.\d+)""),"""")
"),"")</f>
        <v/>
      </c>
      <c r="M829" s="3" t="str">
        <f aca="false">IFERROR(__xludf.dummyfunction("if($T829&lt;&gt;"""",REGEXEXTRACT($T829, M$1&amp;""[\w &amp;]*, (\d+\.\d+)""),"""")
"),"")</f>
        <v/>
      </c>
      <c r="N829" s="3" t="str">
        <f aca="false">IFERROR(__xludf.dummyfunction("if($T829&lt;&gt;"""",REGEXEXTRACT(SUBSTITUTE ($T829,N$1&amp;"" CE"",""""), N$1&amp;""[\w &amp;]*, (\d+\.\d+)""),"""")
"),"")</f>
        <v/>
      </c>
      <c r="O829" s="3" t="str">
        <f aca="false">IFERROR(__xludf.dummyfunction("if($T829&lt;&gt;"""",REGEXEXTRACT($T829, O$1&amp;""[\w &amp;]*, (\d+\.\d+)""),"""")
"),"")</f>
        <v/>
      </c>
      <c r="P829" s="2"/>
      <c r="Q829" s="2"/>
      <c r="R829" s="2"/>
      <c r="S829" s="2"/>
      <c r="T829" s="5"/>
    </row>
    <row r="830" customFormat="false" ht="15.75" hidden="false" customHeight="false" outlineLevel="0" collapsed="false">
      <c r="A830" s="4"/>
      <c r="B830" s="2"/>
      <c r="C830" s="2"/>
      <c r="D830" s="2"/>
      <c r="E830" s="2"/>
      <c r="F830" s="3" t="str">
        <f aca="false">IFERROR(__xludf.dummyfunction("if($T830&lt;&gt;"""",REGEXEXTRACT(SUBSTITUTE ($T830,F$1&amp;"" CE"",""""), F$1&amp;""[\w &amp;]*, (\d+\.\d+)""),"""")
"),"")</f>
        <v/>
      </c>
      <c r="G830" s="3" t="str">
        <f aca="false">IFERROR(__xludf.dummyfunction("if($T830&lt;&gt;"""",REGEXEXTRACT($T830, G$1&amp;""[\w &amp;]*, (\d+\.\d+)""),"""")
"),"")</f>
        <v/>
      </c>
      <c r="H830" s="3"/>
      <c r="I830" s="3" t="str">
        <f aca="false">IFERROR(__xludf.dummyfunction("if($T830&lt;&gt;"""",REGEXEXTRACT(SUBSTITUTE ($T830,I$1&amp;"" CE"",""""), I$1&amp;""[\w &amp;]*, (\d+\.\d+)""),"""")
"),"")</f>
        <v/>
      </c>
      <c r="J830" s="3" t="str">
        <f aca="false">IFERROR(__xludf.dummyfunction("if($T830&lt;&gt;"""",REGEXEXTRACT($T830, J$1&amp;""[\w &amp;]*, (\d+\.\d+)""),"""")
"),"")</f>
        <v/>
      </c>
      <c r="K830" s="3"/>
      <c r="L830" s="3" t="str">
        <f aca="false">IFERROR(__xludf.dummyfunction("if($T830&lt;&gt;"""",REGEXEXTRACT(SUBSTITUTE ($T830,L$1&amp;"" CE"",""""), L$1&amp;""[\w &amp;]*, (\d+\.\d+)""),"""")
"),"")</f>
        <v/>
      </c>
      <c r="M830" s="3" t="str">
        <f aca="false">IFERROR(__xludf.dummyfunction("if($T830&lt;&gt;"""",REGEXEXTRACT($T830, M$1&amp;""[\w &amp;]*, (\d+\.\d+)""),"""")
"),"")</f>
        <v/>
      </c>
      <c r="N830" s="3" t="str">
        <f aca="false">IFERROR(__xludf.dummyfunction("if($T830&lt;&gt;"""",REGEXEXTRACT(SUBSTITUTE ($T830,N$1&amp;"" CE"",""""), N$1&amp;""[\w &amp;]*, (\d+\.\d+)""),"""")
"),"")</f>
        <v/>
      </c>
      <c r="O830" s="3" t="str">
        <f aca="false">IFERROR(__xludf.dummyfunction("if($T830&lt;&gt;"""",REGEXEXTRACT($T830, O$1&amp;""[\w &amp;]*, (\d+\.\d+)""),"""")
"),"")</f>
        <v/>
      </c>
      <c r="P830" s="2"/>
      <c r="Q830" s="2"/>
      <c r="R830" s="2"/>
      <c r="S830" s="2"/>
      <c r="T830" s="5"/>
    </row>
    <row r="831" customFormat="false" ht="15.75" hidden="false" customHeight="false" outlineLevel="0" collapsed="false">
      <c r="A831" s="4"/>
      <c r="B831" s="2"/>
      <c r="C831" s="2"/>
      <c r="D831" s="2"/>
      <c r="E831" s="2"/>
      <c r="F831" s="3" t="str">
        <f aca="false">IFERROR(__xludf.dummyfunction("if($T831&lt;&gt;"""",REGEXEXTRACT(SUBSTITUTE ($T831,F$1&amp;"" CE"",""""), F$1&amp;""[\w &amp;]*, (\d+\.\d+)""),"""")
"),"")</f>
        <v/>
      </c>
      <c r="G831" s="3" t="str">
        <f aca="false">IFERROR(__xludf.dummyfunction("if($T831&lt;&gt;"""",REGEXEXTRACT($T831, G$1&amp;""[\w &amp;]*, (\d+\.\d+)""),"""")
"),"")</f>
        <v/>
      </c>
      <c r="H831" s="3"/>
      <c r="I831" s="3" t="str">
        <f aca="false">IFERROR(__xludf.dummyfunction("if($T831&lt;&gt;"""",REGEXEXTRACT(SUBSTITUTE ($T831,I$1&amp;"" CE"",""""), I$1&amp;""[\w &amp;]*, (\d+\.\d+)""),"""")
"),"")</f>
        <v/>
      </c>
      <c r="J831" s="3" t="str">
        <f aca="false">IFERROR(__xludf.dummyfunction("if($T831&lt;&gt;"""",REGEXEXTRACT($T831, J$1&amp;""[\w &amp;]*, (\d+\.\d+)""),"""")
"),"")</f>
        <v/>
      </c>
      <c r="K831" s="3"/>
      <c r="L831" s="3" t="str">
        <f aca="false">IFERROR(__xludf.dummyfunction("if($T831&lt;&gt;"""",REGEXEXTRACT(SUBSTITUTE ($T831,L$1&amp;"" CE"",""""), L$1&amp;""[\w &amp;]*, (\d+\.\d+)""),"""")
"),"")</f>
        <v/>
      </c>
      <c r="M831" s="3" t="str">
        <f aca="false">IFERROR(__xludf.dummyfunction("if($T831&lt;&gt;"""",REGEXEXTRACT($T831, M$1&amp;""[\w &amp;]*, (\d+\.\d+)""),"""")
"),"")</f>
        <v/>
      </c>
      <c r="N831" s="3" t="str">
        <f aca="false">IFERROR(__xludf.dummyfunction("if($T831&lt;&gt;"""",REGEXEXTRACT(SUBSTITUTE ($T831,N$1&amp;"" CE"",""""), N$1&amp;""[\w &amp;]*, (\d+\.\d+)""),"""")
"),"")</f>
        <v/>
      </c>
      <c r="O831" s="3" t="str">
        <f aca="false">IFERROR(__xludf.dummyfunction("if($T831&lt;&gt;"""",REGEXEXTRACT($T831, O$1&amp;""[\w &amp;]*, (\d+\.\d+)""),"""")
"),"")</f>
        <v/>
      </c>
      <c r="P831" s="2"/>
      <c r="Q831" s="2"/>
      <c r="R831" s="2"/>
      <c r="S831" s="2"/>
      <c r="T831" s="5"/>
    </row>
    <row r="832" customFormat="false" ht="15.75" hidden="false" customHeight="false" outlineLevel="0" collapsed="false">
      <c r="A832" s="4"/>
      <c r="B832" s="2"/>
      <c r="C832" s="2"/>
      <c r="D832" s="2"/>
      <c r="E832" s="2"/>
      <c r="F832" s="3" t="str">
        <f aca="false">IFERROR(__xludf.dummyfunction("if($T832&lt;&gt;"""",REGEXEXTRACT(SUBSTITUTE ($T832,F$1&amp;"" CE"",""""), F$1&amp;""[\w &amp;]*, (\d+\.\d+)""),"""")
"),"")</f>
        <v/>
      </c>
      <c r="G832" s="3" t="str">
        <f aca="false">IFERROR(__xludf.dummyfunction("if($T832&lt;&gt;"""",REGEXEXTRACT($T832, G$1&amp;""[\w &amp;]*, (\d+\.\d+)""),"""")
"),"")</f>
        <v/>
      </c>
      <c r="H832" s="3"/>
      <c r="I832" s="3" t="str">
        <f aca="false">IFERROR(__xludf.dummyfunction("if($T832&lt;&gt;"""",REGEXEXTRACT(SUBSTITUTE ($T832,I$1&amp;"" CE"",""""), I$1&amp;""[\w &amp;]*, (\d+\.\d+)""),"""")
"),"")</f>
        <v/>
      </c>
      <c r="J832" s="3" t="str">
        <f aca="false">IFERROR(__xludf.dummyfunction("if($T832&lt;&gt;"""",REGEXEXTRACT($T832, J$1&amp;""[\w &amp;]*, (\d+\.\d+)""),"""")
"),"")</f>
        <v/>
      </c>
      <c r="K832" s="3"/>
      <c r="L832" s="3" t="str">
        <f aca="false">IFERROR(__xludf.dummyfunction("if($T832&lt;&gt;"""",REGEXEXTRACT(SUBSTITUTE ($T832,L$1&amp;"" CE"",""""), L$1&amp;""[\w &amp;]*, (\d+\.\d+)""),"""")
"),"")</f>
        <v/>
      </c>
      <c r="M832" s="3" t="str">
        <f aca="false">IFERROR(__xludf.dummyfunction("if($T832&lt;&gt;"""",REGEXEXTRACT($T832, M$1&amp;""[\w &amp;]*, (\d+\.\d+)""),"""")
"),"")</f>
        <v/>
      </c>
      <c r="N832" s="3" t="str">
        <f aca="false">IFERROR(__xludf.dummyfunction("if($T832&lt;&gt;"""",REGEXEXTRACT(SUBSTITUTE ($T832,N$1&amp;"" CE"",""""), N$1&amp;""[\w &amp;]*, (\d+\.\d+)""),"""")
"),"")</f>
        <v/>
      </c>
      <c r="O832" s="3" t="str">
        <f aca="false">IFERROR(__xludf.dummyfunction("if($T832&lt;&gt;"""",REGEXEXTRACT($T832, O$1&amp;""[\w &amp;]*, (\d+\.\d+)""),"""")
"),"")</f>
        <v/>
      </c>
      <c r="P832" s="2"/>
      <c r="Q832" s="2"/>
      <c r="R832" s="2"/>
      <c r="S832" s="2"/>
      <c r="T832" s="5"/>
    </row>
    <row r="833" customFormat="false" ht="15.75" hidden="false" customHeight="false" outlineLevel="0" collapsed="false">
      <c r="A833" s="4"/>
      <c r="B833" s="2"/>
      <c r="C833" s="2"/>
      <c r="D833" s="2"/>
      <c r="E833" s="2"/>
      <c r="F833" s="3" t="str">
        <f aca="false">IFERROR(__xludf.dummyfunction("if($T833&lt;&gt;"""",REGEXEXTRACT(SUBSTITUTE ($T833,F$1&amp;"" CE"",""""), F$1&amp;""[\w &amp;]*, (\d+\.\d+)""),"""")
"),"")</f>
        <v/>
      </c>
      <c r="G833" s="3" t="str">
        <f aca="false">IFERROR(__xludf.dummyfunction("if($T833&lt;&gt;"""",REGEXEXTRACT($T833, G$1&amp;""[\w &amp;]*, (\d+\.\d+)""),"""")
"),"")</f>
        <v/>
      </c>
      <c r="H833" s="3"/>
      <c r="I833" s="3" t="str">
        <f aca="false">IFERROR(__xludf.dummyfunction("if($T833&lt;&gt;"""",REGEXEXTRACT(SUBSTITUTE ($T833,I$1&amp;"" CE"",""""), I$1&amp;""[\w &amp;]*, (\d+\.\d+)""),"""")
"),"")</f>
        <v/>
      </c>
      <c r="J833" s="3" t="str">
        <f aca="false">IFERROR(__xludf.dummyfunction("if($T833&lt;&gt;"""",REGEXEXTRACT($T833, J$1&amp;""[\w &amp;]*, (\d+\.\d+)""),"""")
"),"")</f>
        <v/>
      </c>
      <c r="K833" s="3"/>
      <c r="L833" s="3" t="str">
        <f aca="false">IFERROR(__xludf.dummyfunction("if($T833&lt;&gt;"""",REGEXEXTRACT(SUBSTITUTE ($T833,L$1&amp;"" CE"",""""), L$1&amp;""[\w &amp;]*, (\d+\.\d+)""),"""")
"),"")</f>
        <v/>
      </c>
      <c r="M833" s="3" t="str">
        <f aca="false">IFERROR(__xludf.dummyfunction("if($T833&lt;&gt;"""",REGEXEXTRACT($T833, M$1&amp;""[\w &amp;]*, (\d+\.\d+)""),"""")
"),"")</f>
        <v/>
      </c>
      <c r="N833" s="3" t="str">
        <f aca="false">IFERROR(__xludf.dummyfunction("if($T833&lt;&gt;"""",REGEXEXTRACT(SUBSTITUTE ($T833,N$1&amp;"" CE"",""""), N$1&amp;""[\w &amp;]*, (\d+\.\d+)""),"""")
"),"")</f>
        <v/>
      </c>
      <c r="O833" s="3" t="str">
        <f aca="false">IFERROR(__xludf.dummyfunction("if($T833&lt;&gt;"""",REGEXEXTRACT($T833, O$1&amp;""[\w &amp;]*, (\d+\.\d+)""),"""")
"),"")</f>
        <v/>
      </c>
      <c r="P833" s="2"/>
      <c r="Q833" s="2"/>
      <c r="R833" s="2"/>
      <c r="S833" s="2"/>
      <c r="T833" s="5"/>
    </row>
    <row r="834" customFormat="false" ht="15.75" hidden="false" customHeight="false" outlineLevel="0" collapsed="false">
      <c r="A834" s="4"/>
      <c r="B834" s="2"/>
      <c r="C834" s="2"/>
      <c r="D834" s="2"/>
      <c r="E834" s="2"/>
      <c r="F834" s="3" t="str">
        <f aca="false">IFERROR(__xludf.dummyfunction("if($T834&lt;&gt;"""",REGEXEXTRACT(SUBSTITUTE ($T834,F$1&amp;"" CE"",""""), F$1&amp;""[\w &amp;]*, (\d+\.\d+)""),"""")
"),"")</f>
        <v/>
      </c>
      <c r="G834" s="3" t="str">
        <f aca="false">IFERROR(__xludf.dummyfunction("if($T834&lt;&gt;"""",REGEXEXTRACT($T834, G$1&amp;""[\w &amp;]*, (\d+\.\d+)""),"""")
"),"")</f>
        <v/>
      </c>
      <c r="H834" s="3"/>
      <c r="I834" s="3" t="str">
        <f aca="false">IFERROR(__xludf.dummyfunction("if($T834&lt;&gt;"""",REGEXEXTRACT(SUBSTITUTE ($T834,I$1&amp;"" CE"",""""), I$1&amp;""[\w &amp;]*, (\d+\.\d+)""),"""")
"),"")</f>
        <v/>
      </c>
      <c r="J834" s="3" t="str">
        <f aca="false">IFERROR(__xludf.dummyfunction("if($T834&lt;&gt;"""",REGEXEXTRACT($T834, J$1&amp;""[\w &amp;]*, (\d+\.\d+)""),"""")
"),"")</f>
        <v/>
      </c>
      <c r="K834" s="3"/>
      <c r="L834" s="3" t="str">
        <f aca="false">IFERROR(__xludf.dummyfunction("if($T834&lt;&gt;"""",REGEXEXTRACT(SUBSTITUTE ($T834,L$1&amp;"" CE"",""""), L$1&amp;""[\w &amp;]*, (\d+\.\d+)""),"""")
"),"")</f>
        <v/>
      </c>
      <c r="M834" s="3" t="str">
        <f aca="false">IFERROR(__xludf.dummyfunction("if($T834&lt;&gt;"""",REGEXEXTRACT($T834, M$1&amp;""[\w &amp;]*, (\d+\.\d+)""),"""")
"),"")</f>
        <v/>
      </c>
      <c r="N834" s="3" t="str">
        <f aca="false">IFERROR(__xludf.dummyfunction("if($T834&lt;&gt;"""",REGEXEXTRACT(SUBSTITUTE ($T834,N$1&amp;"" CE"",""""), N$1&amp;""[\w &amp;]*, (\d+\.\d+)""),"""")
"),"")</f>
        <v/>
      </c>
      <c r="O834" s="3" t="str">
        <f aca="false">IFERROR(__xludf.dummyfunction("if($T834&lt;&gt;"""",REGEXEXTRACT($T834, O$1&amp;""[\w &amp;]*, (\d+\.\d+)""),"""")
"),"")</f>
        <v/>
      </c>
      <c r="P834" s="2"/>
      <c r="Q834" s="2"/>
      <c r="R834" s="2"/>
      <c r="S834" s="2"/>
      <c r="T834" s="5"/>
    </row>
    <row r="835" customFormat="false" ht="15.75" hidden="false" customHeight="false" outlineLevel="0" collapsed="false">
      <c r="A835" s="4"/>
      <c r="B835" s="2"/>
      <c r="C835" s="2"/>
      <c r="D835" s="2"/>
      <c r="E835" s="2"/>
      <c r="F835" s="3" t="str">
        <f aca="false">IFERROR(__xludf.dummyfunction("if($T835&lt;&gt;"""",REGEXEXTRACT(SUBSTITUTE ($T835,F$1&amp;"" CE"",""""), F$1&amp;""[\w &amp;]*, (\d+\.\d+)""),"""")
"),"")</f>
        <v/>
      </c>
      <c r="G835" s="3" t="str">
        <f aca="false">IFERROR(__xludf.dummyfunction("if($T835&lt;&gt;"""",REGEXEXTRACT($T835, G$1&amp;""[\w &amp;]*, (\d+\.\d+)""),"""")
"),"")</f>
        <v/>
      </c>
      <c r="H835" s="3"/>
      <c r="I835" s="3" t="str">
        <f aca="false">IFERROR(__xludf.dummyfunction("if($T835&lt;&gt;"""",REGEXEXTRACT(SUBSTITUTE ($T835,I$1&amp;"" CE"",""""), I$1&amp;""[\w &amp;]*, (\d+\.\d+)""),"""")
"),"")</f>
        <v/>
      </c>
      <c r="J835" s="3" t="str">
        <f aca="false">IFERROR(__xludf.dummyfunction("if($T835&lt;&gt;"""",REGEXEXTRACT($T835, J$1&amp;""[\w &amp;]*, (\d+\.\d+)""),"""")
"),"")</f>
        <v/>
      </c>
      <c r="K835" s="3"/>
      <c r="L835" s="3" t="str">
        <f aca="false">IFERROR(__xludf.dummyfunction("if($T835&lt;&gt;"""",REGEXEXTRACT(SUBSTITUTE ($T835,L$1&amp;"" CE"",""""), L$1&amp;""[\w &amp;]*, (\d+\.\d+)""),"""")
"),"")</f>
        <v/>
      </c>
      <c r="M835" s="3" t="str">
        <f aca="false">IFERROR(__xludf.dummyfunction("if($T835&lt;&gt;"""",REGEXEXTRACT($T835, M$1&amp;""[\w &amp;]*, (\d+\.\d+)""),"""")
"),"")</f>
        <v/>
      </c>
      <c r="N835" s="3" t="str">
        <f aca="false">IFERROR(__xludf.dummyfunction("if($T835&lt;&gt;"""",REGEXEXTRACT(SUBSTITUTE ($T835,N$1&amp;"" CE"",""""), N$1&amp;""[\w &amp;]*, (\d+\.\d+)""),"""")
"),"")</f>
        <v/>
      </c>
      <c r="O835" s="3" t="str">
        <f aca="false">IFERROR(__xludf.dummyfunction("if($T835&lt;&gt;"""",REGEXEXTRACT($T835, O$1&amp;""[\w &amp;]*, (\d+\.\d+)""),"""")
"),"")</f>
        <v/>
      </c>
      <c r="P835" s="2"/>
      <c r="Q835" s="2"/>
      <c r="R835" s="2"/>
      <c r="S835" s="2"/>
      <c r="T835" s="5"/>
    </row>
    <row r="836" customFormat="false" ht="15.75" hidden="false" customHeight="false" outlineLevel="0" collapsed="false">
      <c r="A836" s="4"/>
      <c r="B836" s="2"/>
      <c r="C836" s="2"/>
      <c r="D836" s="2"/>
      <c r="E836" s="2"/>
      <c r="F836" s="3" t="str">
        <f aca="false">IFERROR(__xludf.dummyfunction("if($T836&lt;&gt;"""",REGEXEXTRACT(SUBSTITUTE ($T836,F$1&amp;"" CE"",""""), F$1&amp;""[\w &amp;]*, (\d+\.\d+)""),"""")
"),"")</f>
        <v/>
      </c>
      <c r="G836" s="3" t="str">
        <f aca="false">IFERROR(__xludf.dummyfunction("if($T836&lt;&gt;"""",REGEXEXTRACT($T836, G$1&amp;""[\w &amp;]*, (\d+\.\d+)""),"""")
"),"")</f>
        <v/>
      </c>
      <c r="H836" s="3"/>
      <c r="I836" s="3" t="str">
        <f aca="false">IFERROR(__xludf.dummyfunction("if($T836&lt;&gt;"""",REGEXEXTRACT(SUBSTITUTE ($T836,I$1&amp;"" CE"",""""), I$1&amp;""[\w &amp;]*, (\d+\.\d+)""),"""")
"),"")</f>
        <v/>
      </c>
      <c r="J836" s="3" t="str">
        <f aca="false">IFERROR(__xludf.dummyfunction("if($T836&lt;&gt;"""",REGEXEXTRACT($T836, J$1&amp;""[\w &amp;]*, (\d+\.\d+)""),"""")
"),"")</f>
        <v/>
      </c>
      <c r="K836" s="3"/>
      <c r="L836" s="3" t="str">
        <f aca="false">IFERROR(__xludf.dummyfunction("if($T836&lt;&gt;"""",REGEXEXTRACT(SUBSTITUTE ($T836,L$1&amp;"" CE"",""""), L$1&amp;""[\w &amp;]*, (\d+\.\d+)""),"""")
"),"")</f>
        <v/>
      </c>
      <c r="M836" s="3" t="str">
        <f aca="false">IFERROR(__xludf.dummyfunction("if($T836&lt;&gt;"""",REGEXEXTRACT($T836, M$1&amp;""[\w &amp;]*, (\d+\.\d+)""),"""")
"),"")</f>
        <v/>
      </c>
      <c r="N836" s="3" t="str">
        <f aca="false">IFERROR(__xludf.dummyfunction("if($T836&lt;&gt;"""",REGEXEXTRACT(SUBSTITUTE ($T836,N$1&amp;"" CE"",""""), N$1&amp;""[\w &amp;]*, (\d+\.\d+)""),"""")
"),"")</f>
        <v/>
      </c>
      <c r="O836" s="3" t="str">
        <f aca="false">IFERROR(__xludf.dummyfunction("if($T836&lt;&gt;"""",REGEXEXTRACT($T836, O$1&amp;""[\w &amp;]*, (\d+\.\d+)""),"""")
"),"")</f>
        <v/>
      </c>
      <c r="P836" s="2"/>
      <c r="Q836" s="2"/>
      <c r="R836" s="2"/>
      <c r="S836" s="2"/>
      <c r="T836" s="5"/>
    </row>
    <row r="837" customFormat="false" ht="15.75" hidden="false" customHeight="false" outlineLevel="0" collapsed="false">
      <c r="A837" s="4"/>
      <c r="B837" s="2"/>
      <c r="C837" s="2"/>
      <c r="D837" s="2"/>
      <c r="E837" s="2"/>
      <c r="F837" s="3" t="str">
        <f aca="false">IFERROR(__xludf.dummyfunction("if($T837&lt;&gt;"""",REGEXEXTRACT(SUBSTITUTE ($T837,F$1&amp;"" CE"",""""), F$1&amp;""[\w &amp;]*, (\d+\.\d+)""),"""")
"),"")</f>
        <v/>
      </c>
      <c r="G837" s="3" t="str">
        <f aca="false">IFERROR(__xludf.dummyfunction("if($T837&lt;&gt;"""",REGEXEXTRACT($T837, G$1&amp;""[\w &amp;]*, (\d+\.\d+)""),"""")
"),"")</f>
        <v/>
      </c>
      <c r="H837" s="3"/>
      <c r="I837" s="3" t="str">
        <f aca="false">IFERROR(__xludf.dummyfunction("if($T837&lt;&gt;"""",REGEXEXTRACT(SUBSTITUTE ($T837,I$1&amp;"" CE"",""""), I$1&amp;""[\w &amp;]*, (\d+\.\d+)""),"""")
"),"")</f>
        <v/>
      </c>
      <c r="J837" s="3" t="str">
        <f aca="false">IFERROR(__xludf.dummyfunction("if($T837&lt;&gt;"""",REGEXEXTRACT($T837, J$1&amp;""[\w &amp;]*, (\d+\.\d+)""),"""")
"),"")</f>
        <v/>
      </c>
      <c r="K837" s="3"/>
      <c r="L837" s="3" t="str">
        <f aca="false">IFERROR(__xludf.dummyfunction("if($T837&lt;&gt;"""",REGEXEXTRACT(SUBSTITUTE ($T837,L$1&amp;"" CE"",""""), L$1&amp;""[\w &amp;]*, (\d+\.\d+)""),"""")
"),"")</f>
        <v/>
      </c>
      <c r="M837" s="3" t="str">
        <f aca="false">IFERROR(__xludf.dummyfunction("if($T837&lt;&gt;"""",REGEXEXTRACT($T837, M$1&amp;""[\w &amp;]*, (\d+\.\d+)""),"""")
"),"")</f>
        <v/>
      </c>
      <c r="N837" s="3" t="str">
        <f aca="false">IFERROR(__xludf.dummyfunction("if($T837&lt;&gt;"""",REGEXEXTRACT(SUBSTITUTE ($T837,N$1&amp;"" CE"",""""), N$1&amp;""[\w &amp;]*, (\d+\.\d+)""),"""")
"),"")</f>
        <v/>
      </c>
      <c r="O837" s="3" t="str">
        <f aca="false">IFERROR(__xludf.dummyfunction("if($T837&lt;&gt;"""",REGEXEXTRACT($T837, O$1&amp;""[\w &amp;]*, (\d+\.\d+)""),"""")
"),"")</f>
        <v/>
      </c>
      <c r="P837" s="2"/>
      <c r="Q837" s="2"/>
      <c r="R837" s="2"/>
      <c r="S837" s="2"/>
      <c r="T837" s="5"/>
    </row>
    <row r="838" customFormat="false" ht="15.75" hidden="false" customHeight="false" outlineLevel="0" collapsed="false">
      <c r="A838" s="4"/>
      <c r="B838" s="2"/>
      <c r="C838" s="2"/>
      <c r="D838" s="2"/>
      <c r="E838" s="2"/>
      <c r="F838" s="3" t="str">
        <f aca="false">IFERROR(__xludf.dummyfunction("if($T838&lt;&gt;"""",REGEXEXTRACT(SUBSTITUTE ($T838,F$1&amp;"" CE"",""""), F$1&amp;""[\w &amp;]*, (\d+\.\d+)""),"""")
"),"")</f>
        <v/>
      </c>
      <c r="G838" s="3" t="str">
        <f aca="false">IFERROR(__xludf.dummyfunction("if($T838&lt;&gt;"""",REGEXEXTRACT($T838, G$1&amp;""[\w &amp;]*, (\d+\.\d+)""),"""")
"),"")</f>
        <v/>
      </c>
      <c r="H838" s="3"/>
      <c r="I838" s="3" t="str">
        <f aca="false">IFERROR(__xludf.dummyfunction("if($T838&lt;&gt;"""",REGEXEXTRACT(SUBSTITUTE ($T838,I$1&amp;"" CE"",""""), I$1&amp;""[\w &amp;]*, (\d+\.\d+)""),"""")
"),"")</f>
        <v/>
      </c>
      <c r="J838" s="3" t="str">
        <f aca="false">IFERROR(__xludf.dummyfunction("if($T838&lt;&gt;"""",REGEXEXTRACT($T838, J$1&amp;""[\w &amp;]*, (\d+\.\d+)""),"""")
"),"")</f>
        <v/>
      </c>
      <c r="K838" s="3"/>
      <c r="L838" s="3" t="str">
        <f aca="false">IFERROR(__xludf.dummyfunction("if($T838&lt;&gt;"""",REGEXEXTRACT(SUBSTITUTE ($T838,L$1&amp;"" CE"",""""), L$1&amp;""[\w &amp;]*, (\d+\.\d+)""),"""")
"),"")</f>
        <v/>
      </c>
      <c r="M838" s="3" t="str">
        <f aca="false">IFERROR(__xludf.dummyfunction("if($T838&lt;&gt;"""",REGEXEXTRACT($T838, M$1&amp;""[\w &amp;]*, (\d+\.\d+)""),"""")
"),"")</f>
        <v/>
      </c>
      <c r="N838" s="3" t="str">
        <f aca="false">IFERROR(__xludf.dummyfunction("if($T838&lt;&gt;"""",REGEXEXTRACT(SUBSTITUTE ($T838,N$1&amp;"" CE"",""""), N$1&amp;""[\w &amp;]*, (\d+\.\d+)""),"""")
"),"")</f>
        <v/>
      </c>
      <c r="O838" s="3" t="str">
        <f aca="false">IFERROR(__xludf.dummyfunction("if($T838&lt;&gt;"""",REGEXEXTRACT($T838, O$1&amp;""[\w &amp;]*, (\d+\.\d+)""),"""")
"),"")</f>
        <v/>
      </c>
      <c r="P838" s="2"/>
      <c r="Q838" s="2"/>
      <c r="R838" s="2"/>
      <c r="S838" s="2"/>
      <c r="T838" s="5"/>
    </row>
    <row r="839" customFormat="false" ht="15.75" hidden="false" customHeight="false" outlineLevel="0" collapsed="false">
      <c r="A839" s="4"/>
      <c r="B839" s="2"/>
      <c r="C839" s="2"/>
      <c r="D839" s="2"/>
      <c r="E839" s="2"/>
      <c r="F839" s="3" t="str">
        <f aca="false">IFERROR(__xludf.dummyfunction("if($T839&lt;&gt;"""",REGEXEXTRACT(SUBSTITUTE ($T839,F$1&amp;"" CE"",""""), F$1&amp;""[\w &amp;]*, (\d+\.\d+)""),"""")
"),"")</f>
        <v/>
      </c>
      <c r="G839" s="3" t="str">
        <f aca="false">IFERROR(__xludf.dummyfunction("if($T839&lt;&gt;"""",REGEXEXTRACT($T839, G$1&amp;""[\w &amp;]*, (\d+\.\d+)""),"""")
"),"")</f>
        <v/>
      </c>
      <c r="H839" s="3"/>
      <c r="I839" s="3" t="str">
        <f aca="false">IFERROR(__xludf.dummyfunction("if($T839&lt;&gt;"""",REGEXEXTRACT(SUBSTITUTE ($T839,I$1&amp;"" CE"",""""), I$1&amp;""[\w &amp;]*, (\d+\.\d+)""),"""")
"),"")</f>
        <v/>
      </c>
      <c r="J839" s="3" t="str">
        <f aca="false">IFERROR(__xludf.dummyfunction("if($T839&lt;&gt;"""",REGEXEXTRACT($T839, J$1&amp;""[\w &amp;]*, (\d+\.\d+)""),"""")
"),"")</f>
        <v/>
      </c>
      <c r="K839" s="3"/>
      <c r="L839" s="3" t="str">
        <f aca="false">IFERROR(__xludf.dummyfunction("if($T839&lt;&gt;"""",REGEXEXTRACT(SUBSTITUTE ($T839,L$1&amp;"" CE"",""""), L$1&amp;""[\w &amp;]*, (\d+\.\d+)""),"""")
"),"")</f>
        <v/>
      </c>
      <c r="M839" s="3" t="str">
        <f aca="false">IFERROR(__xludf.dummyfunction("if($T839&lt;&gt;"""",REGEXEXTRACT($T839, M$1&amp;""[\w &amp;]*, (\d+\.\d+)""),"""")
"),"")</f>
        <v/>
      </c>
      <c r="N839" s="3" t="str">
        <f aca="false">IFERROR(__xludf.dummyfunction("if($T839&lt;&gt;"""",REGEXEXTRACT(SUBSTITUTE ($T839,N$1&amp;"" CE"",""""), N$1&amp;""[\w &amp;]*, (\d+\.\d+)""),"""")
"),"")</f>
        <v/>
      </c>
      <c r="O839" s="3" t="str">
        <f aca="false">IFERROR(__xludf.dummyfunction("if($T839&lt;&gt;"""",REGEXEXTRACT($T839, O$1&amp;""[\w &amp;]*, (\d+\.\d+)""),"""")
"),"")</f>
        <v/>
      </c>
      <c r="P839" s="2"/>
      <c r="Q839" s="2"/>
      <c r="R839" s="2"/>
      <c r="S839" s="2"/>
      <c r="T839" s="5"/>
    </row>
    <row r="840" customFormat="false" ht="15.75" hidden="false" customHeight="false" outlineLevel="0" collapsed="false">
      <c r="A840" s="4"/>
      <c r="B840" s="2"/>
      <c r="C840" s="2"/>
      <c r="D840" s="2"/>
      <c r="E840" s="2"/>
      <c r="F840" s="3" t="str">
        <f aca="false">IFERROR(__xludf.dummyfunction("if($T840&lt;&gt;"""",REGEXEXTRACT(SUBSTITUTE ($T840,F$1&amp;"" CE"",""""), F$1&amp;""[\w &amp;]*, (\d+\.\d+)""),"""")
"),"")</f>
        <v/>
      </c>
      <c r="G840" s="3" t="str">
        <f aca="false">IFERROR(__xludf.dummyfunction("if($T840&lt;&gt;"""",REGEXEXTRACT($T840, G$1&amp;""[\w &amp;]*, (\d+\.\d+)""),"""")
"),"")</f>
        <v/>
      </c>
      <c r="H840" s="3"/>
      <c r="I840" s="3" t="str">
        <f aca="false">IFERROR(__xludf.dummyfunction("if($T840&lt;&gt;"""",REGEXEXTRACT(SUBSTITUTE ($T840,I$1&amp;"" CE"",""""), I$1&amp;""[\w &amp;]*, (\d+\.\d+)""),"""")
"),"")</f>
        <v/>
      </c>
      <c r="J840" s="3" t="str">
        <f aca="false">IFERROR(__xludf.dummyfunction("if($T840&lt;&gt;"""",REGEXEXTRACT($T840, J$1&amp;""[\w &amp;]*, (\d+\.\d+)""),"""")
"),"")</f>
        <v/>
      </c>
      <c r="K840" s="3"/>
      <c r="L840" s="3" t="str">
        <f aca="false">IFERROR(__xludf.dummyfunction("if($T840&lt;&gt;"""",REGEXEXTRACT(SUBSTITUTE ($T840,L$1&amp;"" CE"",""""), L$1&amp;""[\w &amp;]*, (\d+\.\d+)""),"""")
"),"")</f>
        <v/>
      </c>
      <c r="M840" s="3" t="str">
        <f aca="false">IFERROR(__xludf.dummyfunction("if($T840&lt;&gt;"""",REGEXEXTRACT($T840, M$1&amp;""[\w &amp;]*, (\d+\.\d+)""),"""")
"),"")</f>
        <v/>
      </c>
      <c r="N840" s="3" t="str">
        <f aca="false">IFERROR(__xludf.dummyfunction("if($T840&lt;&gt;"""",REGEXEXTRACT(SUBSTITUTE ($T840,N$1&amp;"" CE"",""""), N$1&amp;""[\w &amp;]*, (\d+\.\d+)""),"""")
"),"")</f>
        <v/>
      </c>
      <c r="O840" s="3" t="str">
        <f aca="false">IFERROR(__xludf.dummyfunction("if($T840&lt;&gt;"""",REGEXEXTRACT($T840, O$1&amp;""[\w &amp;]*, (\d+\.\d+)""),"""")
"),"")</f>
        <v/>
      </c>
      <c r="P840" s="2"/>
      <c r="Q840" s="2"/>
      <c r="R840" s="2"/>
      <c r="S840" s="2"/>
      <c r="T840" s="5"/>
    </row>
    <row r="841" customFormat="false" ht="15.75" hidden="false" customHeight="false" outlineLevel="0" collapsed="false">
      <c r="A841" s="4"/>
      <c r="B841" s="2"/>
      <c r="C841" s="2"/>
      <c r="D841" s="2"/>
      <c r="E841" s="2"/>
      <c r="F841" s="3" t="str">
        <f aca="false">IFERROR(__xludf.dummyfunction("if($T841&lt;&gt;"""",REGEXEXTRACT(SUBSTITUTE ($T841,F$1&amp;"" CE"",""""), F$1&amp;""[\w &amp;]*, (\d+\.\d+)""),"""")
"),"")</f>
        <v/>
      </c>
      <c r="G841" s="3" t="str">
        <f aca="false">IFERROR(__xludf.dummyfunction("if($T841&lt;&gt;"""",REGEXEXTRACT($T841, G$1&amp;""[\w &amp;]*, (\d+\.\d+)""),"""")
"),"")</f>
        <v/>
      </c>
      <c r="H841" s="3"/>
      <c r="I841" s="3" t="str">
        <f aca="false">IFERROR(__xludf.dummyfunction("if($T841&lt;&gt;"""",REGEXEXTRACT(SUBSTITUTE ($T841,I$1&amp;"" CE"",""""), I$1&amp;""[\w &amp;]*, (\d+\.\d+)""),"""")
"),"")</f>
        <v/>
      </c>
      <c r="J841" s="3" t="str">
        <f aca="false">IFERROR(__xludf.dummyfunction("if($T841&lt;&gt;"""",REGEXEXTRACT($T841, J$1&amp;""[\w &amp;]*, (\d+\.\d+)""),"""")
"),"")</f>
        <v/>
      </c>
      <c r="K841" s="3"/>
      <c r="L841" s="3" t="str">
        <f aca="false">IFERROR(__xludf.dummyfunction("if($T841&lt;&gt;"""",REGEXEXTRACT(SUBSTITUTE ($T841,L$1&amp;"" CE"",""""), L$1&amp;""[\w &amp;]*, (\d+\.\d+)""),"""")
"),"")</f>
        <v/>
      </c>
      <c r="M841" s="3" t="str">
        <f aca="false">IFERROR(__xludf.dummyfunction("if($T841&lt;&gt;"""",REGEXEXTRACT($T841, M$1&amp;""[\w &amp;]*, (\d+\.\d+)""),"""")
"),"")</f>
        <v/>
      </c>
      <c r="N841" s="3" t="str">
        <f aca="false">IFERROR(__xludf.dummyfunction("if($T841&lt;&gt;"""",REGEXEXTRACT(SUBSTITUTE ($T841,N$1&amp;"" CE"",""""), N$1&amp;""[\w &amp;]*, (\d+\.\d+)""),"""")
"),"")</f>
        <v/>
      </c>
      <c r="O841" s="3" t="str">
        <f aca="false">IFERROR(__xludf.dummyfunction("if($T841&lt;&gt;"""",REGEXEXTRACT($T841, O$1&amp;""[\w &amp;]*, (\d+\.\d+)""),"""")
"),"")</f>
        <v/>
      </c>
      <c r="P841" s="2"/>
      <c r="Q841" s="2"/>
      <c r="R841" s="2"/>
      <c r="S841" s="2"/>
      <c r="T841" s="5"/>
    </row>
    <row r="842" customFormat="false" ht="15.75" hidden="false" customHeight="false" outlineLevel="0" collapsed="false">
      <c r="A842" s="4"/>
      <c r="B842" s="2"/>
      <c r="C842" s="2"/>
      <c r="D842" s="2"/>
      <c r="E842" s="2"/>
      <c r="F842" s="3" t="str">
        <f aca="false">IFERROR(__xludf.dummyfunction("if($T842&lt;&gt;"""",REGEXEXTRACT(SUBSTITUTE ($T842,F$1&amp;"" CE"",""""), F$1&amp;""[\w &amp;]*, (\d+\.\d+)""),"""")
"),"")</f>
        <v/>
      </c>
      <c r="G842" s="3" t="str">
        <f aca="false">IFERROR(__xludf.dummyfunction("if($T842&lt;&gt;"""",REGEXEXTRACT($T842, G$1&amp;""[\w &amp;]*, (\d+\.\d+)""),"""")
"),"")</f>
        <v/>
      </c>
      <c r="H842" s="3"/>
      <c r="I842" s="3" t="str">
        <f aca="false">IFERROR(__xludf.dummyfunction("if($T842&lt;&gt;"""",REGEXEXTRACT(SUBSTITUTE ($T842,I$1&amp;"" CE"",""""), I$1&amp;""[\w &amp;]*, (\d+\.\d+)""),"""")
"),"")</f>
        <v/>
      </c>
      <c r="J842" s="3" t="str">
        <f aca="false">IFERROR(__xludf.dummyfunction("if($T842&lt;&gt;"""",REGEXEXTRACT($T842, J$1&amp;""[\w &amp;]*, (\d+\.\d+)""),"""")
"),"")</f>
        <v/>
      </c>
      <c r="K842" s="3"/>
      <c r="L842" s="3" t="str">
        <f aca="false">IFERROR(__xludf.dummyfunction("if($T842&lt;&gt;"""",REGEXEXTRACT(SUBSTITUTE ($T842,L$1&amp;"" CE"",""""), L$1&amp;""[\w &amp;]*, (\d+\.\d+)""),"""")
"),"")</f>
        <v/>
      </c>
      <c r="M842" s="3" t="str">
        <f aca="false">IFERROR(__xludf.dummyfunction("if($T842&lt;&gt;"""",REGEXEXTRACT($T842, M$1&amp;""[\w &amp;]*, (\d+\.\d+)""),"""")
"),"")</f>
        <v/>
      </c>
      <c r="N842" s="3" t="str">
        <f aca="false">IFERROR(__xludf.dummyfunction("if($T842&lt;&gt;"""",REGEXEXTRACT(SUBSTITUTE ($T842,N$1&amp;"" CE"",""""), N$1&amp;""[\w &amp;]*, (\d+\.\d+)""),"""")
"),"")</f>
        <v/>
      </c>
      <c r="O842" s="3" t="str">
        <f aca="false">IFERROR(__xludf.dummyfunction("if($T842&lt;&gt;"""",REGEXEXTRACT($T842, O$1&amp;""[\w &amp;]*, (\d+\.\d+)""),"""")
"),"")</f>
        <v/>
      </c>
      <c r="P842" s="2"/>
      <c r="Q842" s="2"/>
      <c r="R842" s="2"/>
      <c r="S842" s="2"/>
      <c r="T842" s="5"/>
    </row>
    <row r="843" customFormat="false" ht="15.75" hidden="false" customHeight="false" outlineLevel="0" collapsed="false">
      <c r="A843" s="4"/>
      <c r="B843" s="2"/>
      <c r="C843" s="2"/>
      <c r="D843" s="2"/>
      <c r="E843" s="2"/>
      <c r="F843" s="3" t="str">
        <f aca="false">IFERROR(__xludf.dummyfunction("if($T843&lt;&gt;"""",REGEXEXTRACT(SUBSTITUTE ($T843,F$1&amp;"" CE"",""""), F$1&amp;""[\w &amp;]*, (\d+\.\d+)""),"""")
"),"")</f>
        <v/>
      </c>
      <c r="G843" s="3" t="str">
        <f aca="false">IFERROR(__xludf.dummyfunction("if($T843&lt;&gt;"""",REGEXEXTRACT($T843, G$1&amp;""[\w &amp;]*, (\d+\.\d+)""),"""")
"),"")</f>
        <v/>
      </c>
      <c r="H843" s="3"/>
      <c r="I843" s="3" t="str">
        <f aca="false">IFERROR(__xludf.dummyfunction("if($T843&lt;&gt;"""",REGEXEXTRACT(SUBSTITUTE ($T843,I$1&amp;"" CE"",""""), I$1&amp;""[\w &amp;]*, (\d+\.\d+)""),"""")
"),"")</f>
        <v/>
      </c>
      <c r="J843" s="3" t="str">
        <f aca="false">IFERROR(__xludf.dummyfunction("if($T843&lt;&gt;"""",REGEXEXTRACT($T843, J$1&amp;""[\w &amp;]*, (\d+\.\d+)""),"""")
"),"")</f>
        <v/>
      </c>
      <c r="K843" s="3"/>
      <c r="L843" s="3" t="str">
        <f aca="false">IFERROR(__xludf.dummyfunction("if($T843&lt;&gt;"""",REGEXEXTRACT(SUBSTITUTE ($T843,L$1&amp;"" CE"",""""), L$1&amp;""[\w &amp;]*, (\d+\.\d+)""),"""")
"),"")</f>
        <v/>
      </c>
      <c r="M843" s="3" t="str">
        <f aca="false">IFERROR(__xludf.dummyfunction("if($T843&lt;&gt;"""",REGEXEXTRACT($T843, M$1&amp;""[\w &amp;]*, (\d+\.\d+)""),"""")
"),"")</f>
        <v/>
      </c>
      <c r="N843" s="3" t="str">
        <f aca="false">IFERROR(__xludf.dummyfunction("if($T843&lt;&gt;"""",REGEXEXTRACT(SUBSTITUTE ($T843,N$1&amp;"" CE"",""""), N$1&amp;""[\w &amp;]*, (\d+\.\d+)""),"""")
"),"")</f>
        <v/>
      </c>
      <c r="O843" s="3" t="str">
        <f aca="false">IFERROR(__xludf.dummyfunction("if($T843&lt;&gt;"""",REGEXEXTRACT($T843, O$1&amp;""[\w &amp;]*, (\d+\.\d+)""),"""")
"),"")</f>
        <v/>
      </c>
      <c r="P843" s="2"/>
      <c r="Q843" s="2"/>
      <c r="R843" s="2"/>
      <c r="S843" s="2"/>
      <c r="T843" s="5"/>
    </row>
    <row r="844" customFormat="false" ht="15.75" hidden="false" customHeight="false" outlineLevel="0" collapsed="false">
      <c r="A844" s="4"/>
      <c r="B844" s="2"/>
      <c r="C844" s="2"/>
      <c r="D844" s="2"/>
      <c r="E844" s="2"/>
      <c r="F844" s="3" t="str">
        <f aca="false">IFERROR(__xludf.dummyfunction("if($T844&lt;&gt;"""",REGEXEXTRACT(SUBSTITUTE ($T844,F$1&amp;"" CE"",""""), F$1&amp;""[\w &amp;]*, (\d+\.\d+)""),"""")
"),"")</f>
        <v/>
      </c>
      <c r="G844" s="3" t="str">
        <f aca="false">IFERROR(__xludf.dummyfunction("if($T844&lt;&gt;"""",REGEXEXTRACT($T844, G$1&amp;""[\w &amp;]*, (\d+\.\d+)""),"""")
"),"")</f>
        <v/>
      </c>
      <c r="H844" s="3"/>
      <c r="I844" s="3" t="str">
        <f aca="false">IFERROR(__xludf.dummyfunction("if($T844&lt;&gt;"""",REGEXEXTRACT(SUBSTITUTE ($T844,I$1&amp;"" CE"",""""), I$1&amp;""[\w &amp;]*, (\d+\.\d+)""),"""")
"),"")</f>
        <v/>
      </c>
      <c r="J844" s="3" t="str">
        <f aca="false">IFERROR(__xludf.dummyfunction("if($T844&lt;&gt;"""",REGEXEXTRACT($T844, J$1&amp;""[\w &amp;]*, (\d+\.\d+)""),"""")
"),"")</f>
        <v/>
      </c>
      <c r="K844" s="3"/>
      <c r="L844" s="3" t="str">
        <f aca="false">IFERROR(__xludf.dummyfunction("if($T844&lt;&gt;"""",REGEXEXTRACT(SUBSTITUTE ($T844,L$1&amp;"" CE"",""""), L$1&amp;""[\w &amp;]*, (\d+\.\d+)""),"""")
"),"")</f>
        <v/>
      </c>
      <c r="M844" s="3" t="str">
        <f aca="false">IFERROR(__xludf.dummyfunction("if($T844&lt;&gt;"""",REGEXEXTRACT($T844, M$1&amp;""[\w &amp;]*, (\d+\.\d+)""),"""")
"),"")</f>
        <v/>
      </c>
      <c r="N844" s="3" t="str">
        <f aca="false">IFERROR(__xludf.dummyfunction("if($T844&lt;&gt;"""",REGEXEXTRACT(SUBSTITUTE ($T844,N$1&amp;"" CE"",""""), N$1&amp;""[\w &amp;]*, (\d+\.\d+)""),"""")
"),"")</f>
        <v/>
      </c>
      <c r="O844" s="3" t="str">
        <f aca="false">IFERROR(__xludf.dummyfunction("if($T844&lt;&gt;"""",REGEXEXTRACT($T844, O$1&amp;""[\w &amp;]*, (\d+\.\d+)""),"""")
"),"")</f>
        <v/>
      </c>
      <c r="P844" s="2"/>
      <c r="Q844" s="2"/>
      <c r="R844" s="2"/>
      <c r="S844" s="2"/>
      <c r="T844" s="5"/>
    </row>
    <row r="845" customFormat="false" ht="15.75" hidden="false" customHeight="false" outlineLevel="0" collapsed="false">
      <c r="A845" s="4"/>
      <c r="B845" s="2"/>
      <c r="C845" s="2"/>
      <c r="D845" s="2"/>
      <c r="E845" s="2"/>
      <c r="F845" s="3" t="str">
        <f aca="false">IFERROR(__xludf.dummyfunction("if($T845&lt;&gt;"""",REGEXEXTRACT(SUBSTITUTE ($T845,F$1&amp;"" CE"",""""), F$1&amp;""[\w &amp;]*, (\d+\.\d+)""),"""")
"),"")</f>
        <v/>
      </c>
      <c r="G845" s="3" t="str">
        <f aca="false">IFERROR(__xludf.dummyfunction("if($T845&lt;&gt;"""",REGEXEXTRACT($T845, G$1&amp;""[\w &amp;]*, (\d+\.\d+)""),"""")
"),"")</f>
        <v/>
      </c>
      <c r="H845" s="3"/>
      <c r="I845" s="3" t="str">
        <f aca="false">IFERROR(__xludf.dummyfunction("if($T845&lt;&gt;"""",REGEXEXTRACT(SUBSTITUTE ($T845,I$1&amp;"" CE"",""""), I$1&amp;""[\w &amp;]*, (\d+\.\d+)""),"""")
"),"")</f>
        <v/>
      </c>
      <c r="J845" s="3" t="str">
        <f aca="false">IFERROR(__xludf.dummyfunction("if($T845&lt;&gt;"""",REGEXEXTRACT($T845, J$1&amp;""[\w &amp;]*, (\d+\.\d+)""),"""")
"),"")</f>
        <v/>
      </c>
      <c r="K845" s="3"/>
      <c r="L845" s="3" t="str">
        <f aca="false">IFERROR(__xludf.dummyfunction("if($T845&lt;&gt;"""",REGEXEXTRACT(SUBSTITUTE ($T845,L$1&amp;"" CE"",""""), L$1&amp;""[\w &amp;]*, (\d+\.\d+)""),"""")
"),"")</f>
        <v/>
      </c>
      <c r="M845" s="3" t="str">
        <f aca="false">IFERROR(__xludf.dummyfunction("if($T845&lt;&gt;"""",REGEXEXTRACT($T845, M$1&amp;""[\w &amp;]*, (\d+\.\d+)""),"""")
"),"")</f>
        <v/>
      </c>
      <c r="N845" s="3" t="str">
        <f aca="false">IFERROR(__xludf.dummyfunction("if($T845&lt;&gt;"""",REGEXEXTRACT(SUBSTITUTE ($T845,N$1&amp;"" CE"",""""), N$1&amp;""[\w &amp;]*, (\d+\.\d+)""),"""")
"),"")</f>
        <v/>
      </c>
      <c r="O845" s="3" t="str">
        <f aca="false">IFERROR(__xludf.dummyfunction("if($T845&lt;&gt;"""",REGEXEXTRACT($T845, O$1&amp;""[\w &amp;]*, (\d+\.\d+)""),"""")
"),"")</f>
        <v/>
      </c>
      <c r="P845" s="2"/>
      <c r="Q845" s="2"/>
      <c r="R845" s="2"/>
      <c r="S845" s="2"/>
      <c r="T845" s="5"/>
    </row>
    <row r="846" customFormat="false" ht="15.75" hidden="false" customHeight="false" outlineLevel="0" collapsed="false">
      <c r="A846" s="4"/>
      <c r="B846" s="2"/>
      <c r="C846" s="2"/>
      <c r="D846" s="2"/>
      <c r="E846" s="2"/>
      <c r="F846" s="3" t="str">
        <f aca="false">IFERROR(__xludf.dummyfunction("if($T846&lt;&gt;"""",REGEXEXTRACT(SUBSTITUTE ($T846,F$1&amp;"" CE"",""""), F$1&amp;""[\w &amp;]*, (\d+\.\d+)""),"""")
"),"")</f>
        <v/>
      </c>
      <c r="G846" s="3" t="str">
        <f aca="false">IFERROR(__xludf.dummyfunction("if($T846&lt;&gt;"""",REGEXEXTRACT($T846, G$1&amp;""[\w &amp;]*, (\d+\.\d+)""),"""")
"),"")</f>
        <v/>
      </c>
      <c r="H846" s="3"/>
      <c r="I846" s="3" t="str">
        <f aca="false">IFERROR(__xludf.dummyfunction("if($T846&lt;&gt;"""",REGEXEXTRACT(SUBSTITUTE ($T846,I$1&amp;"" CE"",""""), I$1&amp;""[\w &amp;]*, (\d+\.\d+)""),"""")
"),"")</f>
        <v/>
      </c>
      <c r="J846" s="3" t="str">
        <f aca="false">IFERROR(__xludf.dummyfunction("if($T846&lt;&gt;"""",REGEXEXTRACT($T846, J$1&amp;""[\w &amp;]*, (\d+\.\d+)""),"""")
"),"")</f>
        <v/>
      </c>
      <c r="K846" s="3"/>
      <c r="L846" s="3" t="str">
        <f aca="false">IFERROR(__xludf.dummyfunction("if($T846&lt;&gt;"""",REGEXEXTRACT(SUBSTITUTE ($T846,L$1&amp;"" CE"",""""), L$1&amp;""[\w &amp;]*, (\d+\.\d+)""),"""")
"),"")</f>
        <v/>
      </c>
      <c r="M846" s="3" t="str">
        <f aca="false">IFERROR(__xludf.dummyfunction("if($T846&lt;&gt;"""",REGEXEXTRACT($T846, M$1&amp;""[\w &amp;]*, (\d+\.\d+)""),"""")
"),"")</f>
        <v/>
      </c>
      <c r="N846" s="3" t="str">
        <f aca="false">IFERROR(__xludf.dummyfunction("if($T846&lt;&gt;"""",REGEXEXTRACT(SUBSTITUTE ($T846,N$1&amp;"" CE"",""""), N$1&amp;""[\w &amp;]*, (\d+\.\d+)""),"""")
"),"")</f>
        <v/>
      </c>
      <c r="O846" s="3" t="str">
        <f aca="false">IFERROR(__xludf.dummyfunction("if($T846&lt;&gt;"""",REGEXEXTRACT($T846, O$1&amp;""[\w &amp;]*, (\d+\.\d+)""),"""")
"),"")</f>
        <v/>
      </c>
      <c r="P846" s="2"/>
      <c r="Q846" s="2"/>
      <c r="R846" s="2"/>
      <c r="S846" s="2"/>
      <c r="T846" s="5"/>
    </row>
    <row r="847" customFormat="false" ht="15.75" hidden="false" customHeight="false" outlineLevel="0" collapsed="false">
      <c r="A847" s="4"/>
      <c r="B847" s="2"/>
      <c r="C847" s="2"/>
      <c r="D847" s="2"/>
      <c r="E847" s="2"/>
      <c r="F847" s="3" t="str">
        <f aca="false">IFERROR(__xludf.dummyfunction("if($T847&lt;&gt;"""",REGEXEXTRACT(SUBSTITUTE ($T847,F$1&amp;"" CE"",""""), F$1&amp;""[\w &amp;]*, (\d+\.\d+)""),"""")
"),"")</f>
        <v/>
      </c>
      <c r="G847" s="3" t="str">
        <f aca="false">IFERROR(__xludf.dummyfunction("if($T847&lt;&gt;"""",REGEXEXTRACT($T847, G$1&amp;""[\w &amp;]*, (\d+\.\d+)""),"""")
"),"")</f>
        <v/>
      </c>
      <c r="H847" s="3"/>
      <c r="I847" s="3" t="str">
        <f aca="false">IFERROR(__xludf.dummyfunction("if($T847&lt;&gt;"""",REGEXEXTRACT(SUBSTITUTE ($T847,I$1&amp;"" CE"",""""), I$1&amp;""[\w &amp;]*, (\d+\.\d+)""),"""")
"),"")</f>
        <v/>
      </c>
      <c r="J847" s="3" t="str">
        <f aca="false">IFERROR(__xludf.dummyfunction("if($T847&lt;&gt;"""",REGEXEXTRACT($T847, J$1&amp;""[\w &amp;]*, (\d+\.\d+)""),"""")
"),"")</f>
        <v/>
      </c>
      <c r="K847" s="3"/>
      <c r="L847" s="3" t="str">
        <f aca="false">IFERROR(__xludf.dummyfunction("if($T847&lt;&gt;"""",REGEXEXTRACT(SUBSTITUTE ($T847,L$1&amp;"" CE"",""""), L$1&amp;""[\w &amp;]*, (\d+\.\d+)""),"""")
"),"")</f>
        <v/>
      </c>
      <c r="M847" s="3" t="str">
        <f aca="false">IFERROR(__xludf.dummyfunction("if($T847&lt;&gt;"""",REGEXEXTRACT($T847, M$1&amp;""[\w &amp;]*, (\d+\.\d+)""),"""")
"),"")</f>
        <v/>
      </c>
      <c r="N847" s="3" t="str">
        <f aca="false">IFERROR(__xludf.dummyfunction("if($T847&lt;&gt;"""",REGEXEXTRACT(SUBSTITUTE ($T847,N$1&amp;"" CE"",""""), N$1&amp;""[\w &amp;]*, (\d+\.\d+)""),"""")
"),"")</f>
        <v/>
      </c>
      <c r="O847" s="3" t="str">
        <f aca="false">IFERROR(__xludf.dummyfunction("if($T847&lt;&gt;"""",REGEXEXTRACT($T847, O$1&amp;""[\w &amp;]*, (\d+\.\d+)""),"""")
"),"")</f>
        <v/>
      </c>
      <c r="P847" s="2"/>
      <c r="Q847" s="2"/>
      <c r="R847" s="2"/>
      <c r="S847" s="2"/>
      <c r="T847" s="5"/>
    </row>
    <row r="848" customFormat="false" ht="15.75" hidden="false" customHeight="false" outlineLevel="0" collapsed="false">
      <c r="A848" s="4"/>
      <c r="B848" s="2"/>
      <c r="C848" s="2"/>
      <c r="D848" s="2"/>
      <c r="E848" s="2"/>
      <c r="F848" s="3" t="str">
        <f aca="false">IFERROR(__xludf.dummyfunction("if($T848&lt;&gt;"""",REGEXEXTRACT(SUBSTITUTE ($T848,F$1&amp;"" CE"",""""), F$1&amp;""[\w &amp;]*, (\d+\.\d+)""),"""")
"),"")</f>
        <v/>
      </c>
      <c r="G848" s="3" t="str">
        <f aca="false">IFERROR(__xludf.dummyfunction("if($T848&lt;&gt;"""",REGEXEXTRACT($T848, G$1&amp;""[\w &amp;]*, (\d+\.\d+)""),"""")
"),"")</f>
        <v/>
      </c>
      <c r="H848" s="3"/>
      <c r="I848" s="3" t="str">
        <f aca="false">IFERROR(__xludf.dummyfunction("if($T848&lt;&gt;"""",REGEXEXTRACT(SUBSTITUTE ($T848,I$1&amp;"" CE"",""""), I$1&amp;""[\w &amp;]*, (\d+\.\d+)""),"""")
"),"")</f>
        <v/>
      </c>
      <c r="J848" s="3" t="str">
        <f aca="false">IFERROR(__xludf.dummyfunction("if($T848&lt;&gt;"""",REGEXEXTRACT($T848, J$1&amp;""[\w &amp;]*, (\d+\.\d+)""),"""")
"),"")</f>
        <v/>
      </c>
      <c r="K848" s="3"/>
      <c r="L848" s="3" t="str">
        <f aca="false">IFERROR(__xludf.dummyfunction("if($T848&lt;&gt;"""",REGEXEXTRACT(SUBSTITUTE ($T848,L$1&amp;"" CE"",""""), L$1&amp;""[\w &amp;]*, (\d+\.\d+)""),"""")
"),"")</f>
        <v/>
      </c>
      <c r="M848" s="3" t="str">
        <f aca="false">IFERROR(__xludf.dummyfunction("if($T848&lt;&gt;"""",REGEXEXTRACT($T848, M$1&amp;""[\w &amp;]*, (\d+\.\d+)""),"""")
"),"")</f>
        <v/>
      </c>
      <c r="N848" s="3" t="str">
        <f aca="false">IFERROR(__xludf.dummyfunction("if($T848&lt;&gt;"""",REGEXEXTRACT(SUBSTITUTE ($T848,N$1&amp;"" CE"",""""), N$1&amp;""[\w &amp;]*, (\d+\.\d+)""),"""")
"),"")</f>
        <v/>
      </c>
      <c r="O848" s="3" t="str">
        <f aca="false">IFERROR(__xludf.dummyfunction("if($T848&lt;&gt;"""",REGEXEXTRACT($T848, O$1&amp;""[\w &amp;]*, (\d+\.\d+)""),"""")
"),"")</f>
        <v/>
      </c>
      <c r="P848" s="2"/>
      <c r="Q848" s="2"/>
      <c r="R848" s="2"/>
      <c r="S848" s="2"/>
      <c r="T848" s="5"/>
    </row>
    <row r="849" customFormat="false" ht="15.75" hidden="false" customHeight="false" outlineLevel="0" collapsed="false">
      <c r="A849" s="4"/>
      <c r="B849" s="2"/>
      <c r="C849" s="2"/>
      <c r="D849" s="2"/>
      <c r="E849" s="2"/>
      <c r="F849" s="3" t="str">
        <f aca="false">IFERROR(__xludf.dummyfunction("if($T849&lt;&gt;"""",REGEXEXTRACT(SUBSTITUTE ($T849,F$1&amp;"" CE"",""""), F$1&amp;""[\w &amp;]*, (\d+\.\d+)""),"""")
"),"")</f>
        <v/>
      </c>
      <c r="G849" s="3" t="str">
        <f aca="false">IFERROR(__xludf.dummyfunction("if($T849&lt;&gt;"""",REGEXEXTRACT($T849, G$1&amp;""[\w &amp;]*, (\d+\.\d+)""),"""")
"),"")</f>
        <v/>
      </c>
      <c r="H849" s="3"/>
      <c r="I849" s="3" t="str">
        <f aca="false">IFERROR(__xludf.dummyfunction("if($T849&lt;&gt;"""",REGEXEXTRACT(SUBSTITUTE ($T849,I$1&amp;"" CE"",""""), I$1&amp;""[\w &amp;]*, (\d+\.\d+)""),"""")
"),"")</f>
        <v/>
      </c>
      <c r="J849" s="3" t="str">
        <f aca="false">IFERROR(__xludf.dummyfunction("if($T849&lt;&gt;"""",REGEXEXTRACT($T849, J$1&amp;""[\w &amp;]*, (\d+\.\d+)""),"""")
"),"")</f>
        <v/>
      </c>
      <c r="K849" s="3"/>
      <c r="L849" s="3" t="str">
        <f aca="false">IFERROR(__xludf.dummyfunction("if($T849&lt;&gt;"""",REGEXEXTRACT(SUBSTITUTE ($T849,L$1&amp;"" CE"",""""), L$1&amp;""[\w &amp;]*, (\d+\.\d+)""),"""")
"),"")</f>
        <v/>
      </c>
      <c r="M849" s="3" t="str">
        <f aca="false">IFERROR(__xludf.dummyfunction("if($T849&lt;&gt;"""",REGEXEXTRACT($T849, M$1&amp;""[\w &amp;]*, (\d+\.\d+)""),"""")
"),"")</f>
        <v/>
      </c>
      <c r="N849" s="3" t="str">
        <f aca="false">IFERROR(__xludf.dummyfunction("if($T849&lt;&gt;"""",REGEXEXTRACT(SUBSTITUTE ($T849,N$1&amp;"" CE"",""""), N$1&amp;""[\w &amp;]*, (\d+\.\d+)""),"""")
"),"")</f>
        <v/>
      </c>
      <c r="O849" s="3" t="str">
        <f aca="false">IFERROR(__xludf.dummyfunction("if($T849&lt;&gt;"""",REGEXEXTRACT($T849, O$1&amp;""[\w &amp;]*, (\d+\.\d+)""),"""")
"),"")</f>
        <v/>
      </c>
      <c r="P849" s="2"/>
      <c r="Q849" s="2"/>
      <c r="R849" s="2"/>
      <c r="S849" s="2"/>
      <c r="T849" s="5"/>
    </row>
    <row r="850" customFormat="false" ht="15.75" hidden="false" customHeight="false" outlineLevel="0" collapsed="false">
      <c r="A850" s="4"/>
      <c r="B850" s="2"/>
      <c r="C850" s="2"/>
      <c r="D850" s="2"/>
      <c r="E850" s="2"/>
      <c r="F850" s="3" t="str">
        <f aca="false">IFERROR(__xludf.dummyfunction("if($T850&lt;&gt;"""",REGEXEXTRACT(SUBSTITUTE ($T850,F$1&amp;"" CE"",""""), F$1&amp;""[\w &amp;]*, (\d+\.\d+)""),"""")
"),"")</f>
        <v/>
      </c>
      <c r="G850" s="3" t="str">
        <f aca="false">IFERROR(__xludf.dummyfunction("if($T850&lt;&gt;"""",REGEXEXTRACT($T850, G$1&amp;""[\w &amp;]*, (\d+\.\d+)""),"""")
"),"")</f>
        <v/>
      </c>
      <c r="H850" s="3"/>
      <c r="I850" s="3" t="str">
        <f aca="false">IFERROR(__xludf.dummyfunction("if($T850&lt;&gt;"""",REGEXEXTRACT(SUBSTITUTE ($T850,I$1&amp;"" CE"",""""), I$1&amp;""[\w &amp;]*, (\d+\.\d+)""),"""")
"),"")</f>
        <v/>
      </c>
      <c r="J850" s="3" t="str">
        <f aca="false">IFERROR(__xludf.dummyfunction("if($T850&lt;&gt;"""",REGEXEXTRACT($T850, J$1&amp;""[\w &amp;]*, (\d+\.\d+)""),"""")
"),"")</f>
        <v/>
      </c>
      <c r="K850" s="3"/>
      <c r="L850" s="3" t="str">
        <f aca="false">IFERROR(__xludf.dummyfunction("if($T850&lt;&gt;"""",REGEXEXTRACT(SUBSTITUTE ($T850,L$1&amp;"" CE"",""""), L$1&amp;""[\w &amp;]*, (\d+\.\d+)""),"""")
"),"")</f>
        <v/>
      </c>
      <c r="M850" s="3" t="str">
        <f aca="false">IFERROR(__xludf.dummyfunction("if($T850&lt;&gt;"""",REGEXEXTRACT($T850, M$1&amp;""[\w &amp;]*, (\d+\.\d+)""),"""")
"),"")</f>
        <v/>
      </c>
      <c r="N850" s="3" t="str">
        <f aca="false">IFERROR(__xludf.dummyfunction("if($T850&lt;&gt;"""",REGEXEXTRACT(SUBSTITUTE ($T850,N$1&amp;"" CE"",""""), N$1&amp;""[\w &amp;]*, (\d+\.\d+)""),"""")
"),"")</f>
        <v/>
      </c>
      <c r="O850" s="3" t="str">
        <f aca="false">IFERROR(__xludf.dummyfunction("if($T850&lt;&gt;"""",REGEXEXTRACT($T850, O$1&amp;""[\w &amp;]*, (\d+\.\d+)""),"""")
"),"")</f>
        <v/>
      </c>
      <c r="P850" s="2"/>
      <c r="Q850" s="2"/>
      <c r="R850" s="2"/>
      <c r="S850" s="2"/>
      <c r="T850" s="5"/>
    </row>
    <row r="851" customFormat="false" ht="15.75" hidden="false" customHeight="false" outlineLevel="0" collapsed="false">
      <c r="A851" s="4"/>
      <c r="B851" s="2"/>
      <c r="C851" s="2"/>
      <c r="D851" s="2"/>
      <c r="E851" s="2"/>
      <c r="F851" s="3" t="str">
        <f aca="false">IFERROR(__xludf.dummyfunction("if($T851&lt;&gt;"""",REGEXEXTRACT(SUBSTITUTE ($T851,F$1&amp;"" CE"",""""), F$1&amp;""[\w &amp;]*, (\d+\.\d+)""),"""")
"),"")</f>
        <v/>
      </c>
      <c r="G851" s="3" t="str">
        <f aca="false">IFERROR(__xludf.dummyfunction("if($T851&lt;&gt;"""",REGEXEXTRACT($T851, G$1&amp;""[\w &amp;]*, (\d+\.\d+)""),"""")
"),"")</f>
        <v/>
      </c>
      <c r="H851" s="3"/>
      <c r="I851" s="3" t="str">
        <f aca="false">IFERROR(__xludf.dummyfunction("if($T851&lt;&gt;"""",REGEXEXTRACT(SUBSTITUTE ($T851,I$1&amp;"" CE"",""""), I$1&amp;""[\w &amp;]*, (\d+\.\d+)""),"""")
"),"")</f>
        <v/>
      </c>
      <c r="J851" s="3" t="str">
        <f aca="false">IFERROR(__xludf.dummyfunction("if($T851&lt;&gt;"""",REGEXEXTRACT($T851, J$1&amp;""[\w &amp;]*, (\d+\.\d+)""),"""")
"),"")</f>
        <v/>
      </c>
      <c r="K851" s="3"/>
      <c r="L851" s="3" t="str">
        <f aca="false">IFERROR(__xludf.dummyfunction("if($T851&lt;&gt;"""",REGEXEXTRACT(SUBSTITUTE ($T851,L$1&amp;"" CE"",""""), L$1&amp;""[\w &amp;]*, (\d+\.\d+)""),"""")
"),"")</f>
        <v/>
      </c>
      <c r="M851" s="3" t="str">
        <f aca="false">IFERROR(__xludf.dummyfunction("if($T851&lt;&gt;"""",REGEXEXTRACT($T851, M$1&amp;""[\w &amp;]*, (\d+\.\d+)""),"""")
"),"")</f>
        <v/>
      </c>
      <c r="N851" s="3" t="str">
        <f aca="false">IFERROR(__xludf.dummyfunction("if($T851&lt;&gt;"""",REGEXEXTRACT(SUBSTITUTE ($T851,N$1&amp;"" CE"",""""), N$1&amp;""[\w &amp;]*, (\d+\.\d+)""),"""")
"),"")</f>
        <v/>
      </c>
      <c r="O851" s="3" t="str">
        <f aca="false">IFERROR(__xludf.dummyfunction("if($T851&lt;&gt;"""",REGEXEXTRACT($T851, O$1&amp;""[\w &amp;]*, (\d+\.\d+)""),"""")
"),"")</f>
        <v/>
      </c>
      <c r="P851" s="2"/>
      <c r="Q851" s="2"/>
      <c r="R851" s="2"/>
      <c r="S851" s="2"/>
      <c r="T851" s="5"/>
    </row>
    <row r="852" customFormat="false" ht="15.75" hidden="false" customHeight="false" outlineLevel="0" collapsed="false">
      <c r="A852" s="4"/>
      <c r="B852" s="2"/>
      <c r="C852" s="2"/>
      <c r="D852" s="2"/>
      <c r="E852" s="2"/>
      <c r="F852" s="3" t="str">
        <f aca="false">IFERROR(__xludf.dummyfunction("if($T852&lt;&gt;"""",REGEXEXTRACT(SUBSTITUTE ($T852,F$1&amp;"" CE"",""""), F$1&amp;""[\w &amp;]*, (\d+\.\d+)""),"""")
"),"")</f>
        <v/>
      </c>
      <c r="G852" s="3" t="str">
        <f aca="false">IFERROR(__xludf.dummyfunction("if($T852&lt;&gt;"""",REGEXEXTRACT($T852, G$1&amp;""[\w &amp;]*, (\d+\.\d+)""),"""")
"),"")</f>
        <v/>
      </c>
      <c r="H852" s="3"/>
      <c r="I852" s="3" t="str">
        <f aca="false">IFERROR(__xludf.dummyfunction("if($T852&lt;&gt;"""",REGEXEXTRACT(SUBSTITUTE ($T852,I$1&amp;"" CE"",""""), I$1&amp;""[\w &amp;]*, (\d+\.\d+)""),"""")
"),"")</f>
        <v/>
      </c>
      <c r="J852" s="3" t="str">
        <f aca="false">IFERROR(__xludf.dummyfunction("if($T852&lt;&gt;"""",REGEXEXTRACT($T852, J$1&amp;""[\w &amp;]*, (\d+\.\d+)""),"""")
"),"")</f>
        <v/>
      </c>
      <c r="K852" s="3"/>
      <c r="L852" s="3" t="str">
        <f aca="false">IFERROR(__xludf.dummyfunction("if($T852&lt;&gt;"""",REGEXEXTRACT(SUBSTITUTE ($T852,L$1&amp;"" CE"",""""), L$1&amp;""[\w &amp;]*, (\d+\.\d+)""),"""")
"),"")</f>
        <v/>
      </c>
      <c r="M852" s="3" t="str">
        <f aca="false">IFERROR(__xludf.dummyfunction("if($T852&lt;&gt;"""",REGEXEXTRACT($T852, M$1&amp;""[\w &amp;]*, (\d+\.\d+)""),"""")
"),"")</f>
        <v/>
      </c>
      <c r="N852" s="3" t="str">
        <f aca="false">IFERROR(__xludf.dummyfunction("if($T852&lt;&gt;"""",REGEXEXTRACT(SUBSTITUTE ($T852,N$1&amp;"" CE"",""""), N$1&amp;""[\w &amp;]*, (\d+\.\d+)""),"""")
"),"")</f>
        <v/>
      </c>
      <c r="O852" s="3" t="str">
        <f aca="false">IFERROR(__xludf.dummyfunction("if($T852&lt;&gt;"""",REGEXEXTRACT($T852, O$1&amp;""[\w &amp;]*, (\d+\.\d+)""),"""")
"),"")</f>
        <v/>
      </c>
      <c r="P852" s="2"/>
      <c r="Q852" s="2"/>
      <c r="R852" s="2"/>
      <c r="S852" s="2"/>
      <c r="T852" s="5"/>
    </row>
    <row r="853" customFormat="false" ht="15.75" hidden="false" customHeight="false" outlineLevel="0" collapsed="false">
      <c r="A853" s="4"/>
      <c r="B853" s="2"/>
      <c r="C853" s="2"/>
      <c r="D853" s="2"/>
      <c r="E853" s="2"/>
      <c r="F853" s="3" t="str">
        <f aca="false">IFERROR(__xludf.dummyfunction("if($T853&lt;&gt;"""",REGEXEXTRACT(SUBSTITUTE ($T853,F$1&amp;"" CE"",""""), F$1&amp;""[\w &amp;]*, (\d+\.\d+)""),"""")
"),"")</f>
        <v/>
      </c>
      <c r="G853" s="3" t="str">
        <f aca="false">IFERROR(__xludf.dummyfunction("if($T853&lt;&gt;"""",REGEXEXTRACT($T853, G$1&amp;""[\w &amp;]*, (\d+\.\d+)""),"""")
"),"")</f>
        <v/>
      </c>
      <c r="H853" s="3"/>
      <c r="I853" s="3" t="str">
        <f aca="false">IFERROR(__xludf.dummyfunction("if($T853&lt;&gt;"""",REGEXEXTRACT(SUBSTITUTE ($T853,I$1&amp;"" CE"",""""), I$1&amp;""[\w &amp;]*, (\d+\.\d+)""),"""")
"),"")</f>
        <v/>
      </c>
      <c r="J853" s="3" t="str">
        <f aca="false">IFERROR(__xludf.dummyfunction("if($T853&lt;&gt;"""",REGEXEXTRACT($T853, J$1&amp;""[\w &amp;]*, (\d+\.\d+)""),"""")
"),"")</f>
        <v/>
      </c>
      <c r="K853" s="3"/>
      <c r="L853" s="3" t="str">
        <f aca="false">IFERROR(__xludf.dummyfunction("if($T853&lt;&gt;"""",REGEXEXTRACT(SUBSTITUTE ($T853,L$1&amp;"" CE"",""""), L$1&amp;""[\w &amp;]*, (\d+\.\d+)""),"""")
"),"")</f>
        <v/>
      </c>
      <c r="M853" s="3" t="str">
        <f aca="false">IFERROR(__xludf.dummyfunction("if($T853&lt;&gt;"""",REGEXEXTRACT($T853, M$1&amp;""[\w &amp;]*, (\d+\.\d+)""),"""")
"),"")</f>
        <v/>
      </c>
      <c r="N853" s="3" t="str">
        <f aca="false">IFERROR(__xludf.dummyfunction("if($T853&lt;&gt;"""",REGEXEXTRACT(SUBSTITUTE ($T853,N$1&amp;"" CE"",""""), N$1&amp;""[\w &amp;]*, (\d+\.\d+)""),"""")
"),"")</f>
        <v/>
      </c>
      <c r="O853" s="3" t="str">
        <f aca="false">IFERROR(__xludf.dummyfunction("if($T853&lt;&gt;"""",REGEXEXTRACT($T853, O$1&amp;""[\w &amp;]*, (\d+\.\d+)""),"""")
"),"")</f>
        <v/>
      </c>
      <c r="P853" s="2"/>
      <c r="Q853" s="2"/>
      <c r="R853" s="2"/>
      <c r="S853" s="2"/>
      <c r="T853" s="5"/>
    </row>
    <row r="854" customFormat="false" ht="15.75" hidden="false" customHeight="false" outlineLevel="0" collapsed="false">
      <c r="A854" s="4"/>
      <c r="B854" s="2"/>
      <c r="C854" s="2"/>
      <c r="D854" s="2"/>
      <c r="E854" s="2"/>
      <c r="F854" s="3" t="str">
        <f aca="false">IFERROR(__xludf.dummyfunction("if($T854&lt;&gt;"""",REGEXEXTRACT(SUBSTITUTE ($T854,F$1&amp;"" CE"",""""), F$1&amp;""[\w &amp;]*, (\d+\.\d+)""),"""")
"),"")</f>
        <v/>
      </c>
      <c r="G854" s="3" t="str">
        <f aca="false">IFERROR(__xludf.dummyfunction("if($T854&lt;&gt;"""",REGEXEXTRACT($T854, G$1&amp;""[\w &amp;]*, (\d+\.\d+)""),"""")
"),"")</f>
        <v/>
      </c>
      <c r="H854" s="3"/>
      <c r="I854" s="3" t="str">
        <f aca="false">IFERROR(__xludf.dummyfunction("if($T854&lt;&gt;"""",REGEXEXTRACT(SUBSTITUTE ($T854,I$1&amp;"" CE"",""""), I$1&amp;""[\w &amp;]*, (\d+\.\d+)""),"""")
"),"")</f>
        <v/>
      </c>
      <c r="J854" s="3" t="str">
        <f aca="false">IFERROR(__xludf.dummyfunction("if($T854&lt;&gt;"""",REGEXEXTRACT($T854, J$1&amp;""[\w &amp;]*, (\d+\.\d+)""),"""")
"),"")</f>
        <v/>
      </c>
      <c r="K854" s="3"/>
      <c r="L854" s="3" t="str">
        <f aca="false">IFERROR(__xludf.dummyfunction("if($T854&lt;&gt;"""",REGEXEXTRACT(SUBSTITUTE ($T854,L$1&amp;"" CE"",""""), L$1&amp;""[\w &amp;]*, (\d+\.\d+)""),"""")
"),"")</f>
        <v/>
      </c>
      <c r="M854" s="3" t="str">
        <f aca="false">IFERROR(__xludf.dummyfunction("if($T854&lt;&gt;"""",REGEXEXTRACT($T854, M$1&amp;""[\w &amp;]*, (\d+\.\d+)""),"""")
"),"")</f>
        <v/>
      </c>
      <c r="N854" s="3" t="str">
        <f aca="false">IFERROR(__xludf.dummyfunction("if($T854&lt;&gt;"""",REGEXEXTRACT(SUBSTITUTE ($T854,N$1&amp;"" CE"",""""), N$1&amp;""[\w &amp;]*, (\d+\.\d+)""),"""")
"),"")</f>
        <v/>
      </c>
      <c r="O854" s="3" t="str">
        <f aca="false">IFERROR(__xludf.dummyfunction("if($T854&lt;&gt;"""",REGEXEXTRACT($T854, O$1&amp;""[\w &amp;]*, (\d+\.\d+)""),"""")
"),"")</f>
        <v/>
      </c>
      <c r="P854" s="2"/>
      <c r="Q854" s="2"/>
      <c r="R854" s="2"/>
      <c r="S854" s="2"/>
      <c r="T854" s="5"/>
    </row>
    <row r="855" customFormat="false" ht="15.75" hidden="false" customHeight="false" outlineLevel="0" collapsed="false">
      <c r="A855" s="4"/>
      <c r="B855" s="2"/>
      <c r="C855" s="2"/>
      <c r="D855" s="2"/>
      <c r="E855" s="2"/>
      <c r="F855" s="3" t="str">
        <f aca="false">IFERROR(__xludf.dummyfunction("if($T855&lt;&gt;"""",REGEXEXTRACT(SUBSTITUTE ($T855,F$1&amp;"" CE"",""""), F$1&amp;""[\w &amp;]*, (\d+\.\d+)""),"""")
"),"")</f>
        <v/>
      </c>
      <c r="G855" s="3" t="str">
        <f aca="false">IFERROR(__xludf.dummyfunction("if($T855&lt;&gt;"""",REGEXEXTRACT($T855, G$1&amp;""[\w &amp;]*, (\d+\.\d+)""),"""")
"),"")</f>
        <v/>
      </c>
      <c r="H855" s="3"/>
      <c r="I855" s="3" t="str">
        <f aca="false">IFERROR(__xludf.dummyfunction("if($T855&lt;&gt;"""",REGEXEXTRACT(SUBSTITUTE ($T855,I$1&amp;"" CE"",""""), I$1&amp;""[\w &amp;]*, (\d+\.\d+)""),"""")
"),"")</f>
        <v/>
      </c>
      <c r="J855" s="3" t="str">
        <f aca="false">IFERROR(__xludf.dummyfunction("if($T855&lt;&gt;"""",REGEXEXTRACT($T855, J$1&amp;""[\w &amp;]*, (\d+\.\d+)""),"""")
"),"")</f>
        <v/>
      </c>
      <c r="K855" s="3"/>
      <c r="L855" s="3" t="str">
        <f aca="false">IFERROR(__xludf.dummyfunction("if($T855&lt;&gt;"""",REGEXEXTRACT(SUBSTITUTE ($T855,L$1&amp;"" CE"",""""), L$1&amp;""[\w &amp;]*, (\d+\.\d+)""),"""")
"),"")</f>
        <v/>
      </c>
      <c r="M855" s="3" t="str">
        <f aca="false">IFERROR(__xludf.dummyfunction("if($T855&lt;&gt;"""",REGEXEXTRACT($T855, M$1&amp;""[\w &amp;]*, (\d+\.\d+)""),"""")
"),"")</f>
        <v/>
      </c>
      <c r="N855" s="3" t="str">
        <f aca="false">IFERROR(__xludf.dummyfunction("if($T855&lt;&gt;"""",REGEXEXTRACT(SUBSTITUTE ($T855,N$1&amp;"" CE"",""""), N$1&amp;""[\w &amp;]*, (\d+\.\d+)""),"""")
"),"")</f>
        <v/>
      </c>
      <c r="O855" s="3" t="str">
        <f aca="false">IFERROR(__xludf.dummyfunction("if($T855&lt;&gt;"""",REGEXEXTRACT($T855, O$1&amp;""[\w &amp;]*, (\d+\.\d+)""),"""")
"),"")</f>
        <v/>
      </c>
      <c r="P855" s="2"/>
      <c r="Q855" s="2"/>
      <c r="R855" s="2"/>
      <c r="S855" s="2"/>
      <c r="T855" s="5"/>
    </row>
    <row r="856" customFormat="false" ht="15.75" hidden="false" customHeight="false" outlineLevel="0" collapsed="false">
      <c r="A856" s="4"/>
      <c r="B856" s="2"/>
      <c r="C856" s="2"/>
      <c r="D856" s="2"/>
      <c r="E856" s="2"/>
      <c r="F856" s="3" t="str">
        <f aca="false">IFERROR(__xludf.dummyfunction("if($T856&lt;&gt;"""",REGEXEXTRACT(SUBSTITUTE ($T856,F$1&amp;"" CE"",""""), F$1&amp;""[\w &amp;]*, (\d+\.\d+)""),"""")
"),"")</f>
        <v/>
      </c>
      <c r="G856" s="3" t="str">
        <f aca="false">IFERROR(__xludf.dummyfunction("if($T856&lt;&gt;"""",REGEXEXTRACT($T856, G$1&amp;""[\w &amp;]*, (\d+\.\d+)""),"""")
"),"")</f>
        <v/>
      </c>
      <c r="H856" s="3"/>
      <c r="I856" s="3" t="str">
        <f aca="false">IFERROR(__xludf.dummyfunction("if($T856&lt;&gt;"""",REGEXEXTRACT(SUBSTITUTE ($T856,I$1&amp;"" CE"",""""), I$1&amp;""[\w &amp;]*, (\d+\.\d+)""),"""")
"),"")</f>
        <v/>
      </c>
      <c r="J856" s="3" t="str">
        <f aca="false">IFERROR(__xludf.dummyfunction("if($T856&lt;&gt;"""",REGEXEXTRACT($T856, J$1&amp;""[\w &amp;]*, (\d+\.\d+)""),"""")
"),"")</f>
        <v/>
      </c>
      <c r="K856" s="3"/>
      <c r="L856" s="3" t="str">
        <f aca="false">IFERROR(__xludf.dummyfunction("if($T856&lt;&gt;"""",REGEXEXTRACT(SUBSTITUTE ($T856,L$1&amp;"" CE"",""""), L$1&amp;""[\w &amp;]*, (\d+\.\d+)""),"""")
"),"")</f>
        <v/>
      </c>
      <c r="M856" s="3" t="str">
        <f aca="false">IFERROR(__xludf.dummyfunction("if($T856&lt;&gt;"""",REGEXEXTRACT($T856, M$1&amp;""[\w &amp;]*, (\d+\.\d+)""),"""")
"),"")</f>
        <v/>
      </c>
      <c r="N856" s="3" t="str">
        <f aca="false">IFERROR(__xludf.dummyfunction("if($T856&lt;&gt;"""",REGEXEXTRACT(SUBSTITUTE ($T856,N$1&amp;"" CE"",""""), N$1&amp;""[\w &amp;]*, (\d+\.\d+)""),"""")
"),"")</f>
        <v/>
      </c>
      <c r="O856" s="3" t="str">
        <f aca="false">IFERROR(__xludf.dummyfunction("if($T856&lt;&gt;"""",REGEXEXTRACT($T856, O$1&amp;""[\w &amp;]*, (\d+\.\d+)""),"""")
"),"")</f>
        <v/>
      </c>
      <c r="P856" s="2"/>
      <c r="Q856" s="2"/>
      <c r="R856" s="2"/>
      <c r="S856" s="2"/>
      <c r="T856" s="5"/>
    </row>
    <row r="857" customFormat="false" ht="15.75" hidden="false" customHeight="false" outlineLevel="0" collapsed="false">
      <c r="A857" s="4"/>
      <c r="B857" s="2"/>
      <c r="C857" s="2"/>
      <c r="D857" s="2"/>
      <c r="E857" s="2"/>
      <c r="F857" s="3" t="str">
        <f aca="false">IFERROR(__xludf.dummyfunction("if($T857&lt;&gt;"""",REGEXEXTRACT(SUBSTITUTE ($T857,F$1&amp;"" CE"",""""), F$1&amp;""[\w &amp;]*, (\d+\.\d+)""),"""")
"),"")</f>
        <v/>
      </c>
      <c r="G857" s="3" t="str">
        <f aca="false">IFERROR(__xludf.dummyfunction("if($T857&lt;&gt;"""",REGEXEXTRACT($T857, G$1&amp;""[\w &amp;]*, (\d+\.\d+)""),"""")
"),"")</f>
        <v/>
      </c>
      <c r="H857" s="3"/>
      <c r="I857" s="3" t="str">
        <f aca="false">IFERROR(__xludf.dummyfunction("if($T857&lt;&gt;"""",REGEXEXTRACT(SUBSTITUTE ($T857,I$1&amp;"" CE"",""""), I$1&amp;""[\w &amp;]*, (\d+\.\d+)""),"""")
"),"")</f>
        <v/>
      </c>
      <c r="J857" s="3" t="str">
        <f aca="false">IFERROR(__xludf.dummyfunction("if($T857&lt;&gt;"""",REGEXEXTRACT($T857, J$1&amp;""[\w &amp;]*, (\d+\.\d+)""),"""")
"),"")</f>
        <v/>
      </c>
      <c r="K857" s="3"/>
      <c r="L857" s="3" t="str">
        <f aca="false">IFERROR(__xludf.dummyfunction("if($T857&lt;&gt;"""",REGEXEXTRACT(SUBSTITUTE ($T857,L$1&amp;"" CE"",""""), L$1&amp;""[\w &amp;]*, (\d+\.\d+)""),"""")
"),"")</f>
        <v/>
      </c>
      <c r="M857" s="3" t="str">
        <f aca="false">IFERROR(__xludf.dummyfunction("if($T857&lt;&gt;"""",REGEXEXTRACT($T857, M$1&amp;""[\w &amp;]*, (\d+\.\d+)""),"""")
"),"")</f>
        <v/>
      </c>
      <c r="N857" s="3" t="str">
        <f aca="false">IFERROR(__xludf.dummyfunction("if($T857&lt;&gt;"""",REGEXEXTRACT(SUBSTITUTE ($T857,N$1&amp;"" CE"",""""), N$1&amp;""[\w &amp;]*, (\d+\.\d+)""),"""")
"),"")</f>
        <v/>
      </c>
      <c r="O857" s="3" t="str">
        <f aca="false">IFERROR(__xludf.dummyfunction("if($T857&lt;&gt;"""",REGEXEXTRACT($T857, O$1&amp;""[\w &amp;]*, (\d+\.\d+)""),"""")
"),"")</f>
        <v/>
      </c>
      <c r="P857" s="2"/>
      <c r="Q857" s="2"/>
      <c r="R857" s="2"/>
      <c r="S857" s="2"/>
      <c r="T857" s="5"/>
    </row>
    <row r="858" customFormat="false" ht="15.75" hidden="false" customHeight="false" outlineLevel="0" collapsed="false">
      <c r="A858" s="4"/>
      <c r="B858" s="2"/>
      <c r="C858" s="2"/>
      <c r="D858" s="2"/>
      <c r="E858" s="2"/>
      <c r="F858" s="3" t="str">
        <f aca="false">IFERROR(__xludf.dummyfunction("if($T858&lt;&gt;"""",REGEXEXTRACT(SUBSTITUTE ($T858,F$1&amp;"" CE"",""""), F$1&amp;""[\w &amp;]*, (\d+\.\d+)""),"""")
"),"")</f>
        <v/>
      </c>
      <c r="G858" s="3" t="str">
        <f aca="false">IFERROR(__xludf.dummyfunction("if($T858&lt;&gt;"""",REGEXEXTRACT($T858, G$1&amp;""[\w &amp;]*, (\d+\.\d+)""),"""")
"),"")</f>
        <v/>
      </c>
      <c r="H858" s="3"/>
      <c r="I858" s="3" t="str">
        <f aca="false">IFERROR(__xludf.dummyfunction("if($T858&lt;&gt;"""",REGEXEXTRACT(SUBSTITUTE ($T858,I$1&amp;"" CE"",""""), I$1&amp;""[\w &amp;]*, (\d+\.\d+)""),"""")
"),"")</f>
        <v/>
      </c>
      <c r="J858" s="3" t="str">
        <f aca="false">IFERROR(__xludf.dummyfunction("if($T858&lt;&gt;"""",REGEXEXTRACT($T858, J$1&amp;""[\w &amp;]*, (\d+\.\d+)""),"""")
"),"")</f>
        <v/>
      </c>
      <c r="K858" s="3"/>
      <c r="L858" s="3" t="str">
        <f aca="false">IFERROR(__xludf.dummyfunction("if($T858&lt;&gt;"""",REGEXEXTRACT(SUBSTITUTE ($T858,L$1&amp;"" CE"",""""), L$1&amp;""[\w &amp;]*, (\d+\.\d+)""),"""")
"),"")</f>
        <v/>
      </c>
      <c r="M858" s="3" t="str">
        <f aca="false">IFERROR(__xludf.dummyfunction("if($T858&lt;&gt;"""",REGEXEXTRACT($T858, M$1&amp;""[\w &amp;]*, (\d+\.\d+)""),"""")
"),"")</f>
        <v/>
      </c>
      <c r="N858" s="3" t="str">
        <f aca="false">IFERROR(__xludf.dummyfunction("if($T858&lt;&gt;"""",REGEXEXTRACT(SUBSTITUTE ($T858,N$1&amp;"" CE"",""""), N$1&amp;""[\w &amp;]*, (\d+\.\d+)""),"""")
"),"")</f>
        <v/>
      </c>
      <c r="O858" s="3" t="str">
        <f aca="false">IFERROR(__xludf.dummyfunction("if($T858&lt;&gt;"""",REGEXEXTRACT($T858, O$1&amp;""[\w &amp;]*, (\d+\.\d+)""),"""")
"),"")</f>
        <v/>
      </c>
      <c r="P858" s="2"/>
      <c r="Q858" s="2"/>
      <c r="R858" s="2"/>
      <c r="S858" s="2"/>
      <c r="T858" s="5"/>
    </row>
    <row r="859" customFormat="false" ht="15.75" hidden="false" customHeight="false" outlineLevel="0" collapsed="false">
      <c r="A859" s="4"/>
      <c r="B859" s="2"/>
      <c r="C859" s="2"/>
      <c r="D859" s="2"/>
      <c r="E859" s="2"/>
      <c r="F859" s="3" t="str">
        <f aca="false">IFERROR(__xludf.dummyfunction("if($T859&lt;&gt;"""",REGEXEXTRACT(SUBSTITUTE ($T859,F$1&amp;"" CE"",""""), F$1&amp;""[\w &amp;]*, (\d+\.\d+)""),"""")
"),"")</f>
        <v/>
      </c>
      <c r="G859" s="3" t="str">
        <f aca="false">IFERROR(__xludf.dummyfunction("if($T859&lt;&gt;"""",REGEXEXTRACT($T859, G$1&amp;""[\w &amp;]*, (\d+\.\d+)""),"""")
"),"")</f>
        <v/>
      </c>
      <c r="H859" s="3"/>
      <c r="I859" s="3" t="str">
        <f aca="false">IFERROR(__xludf.dummyfunction("if($T859&lt;&gt;"""",REGEXEXTRACT(SUBSTITUTE ($T859,I$1&amp;"" CE"",""""), I$1&amp;""[\w &amp;]*, (\d+\.\d+)""),"""")
"),"")</f>
        <v/>
      </c>
      <c r="J859" s="3" t="str">
        <f aca="false">IFERROR(__xludf.dummyfunction("if($T859&lt;&gt;"""",REGEXEXTRACT($T859, J$1&amp;""[\w &amp;]*, (\d+\.\d+)""),"""")
"),"")</f>
        <v/>
      </c>
      <c r="K859" s="3"/>
      <c r="L859" s="3" t="str">
        <f aca="false">IFERROR(__xludf.dummyfunction("if($T859&lt;&gt;"""",REGEXEXTRACT(SUBSTITUTE ($T859,L$1&amp;"" CE"",""""), L$1&amp;""[\w &amp;]*, (\d+\.\d+)""),"""")
"),"")</f>
        <v/>
      </c>
      <c r="M859" s="3" t="str">
        <f aca="false">IFERROR(__xludf.dummyfunction("if($T859&lt;&gt;"""",REGEXEXTRACT($T859, M$1&amp;""[\w &amp;]*, (\d+\.\d+)""),"""")
"),"")</f>
        <v/>
      </c>
      <c r="N859" s="3" t="str">
        <f aca="false">IFERROR(__xludf.dummyfunction("if($T859&lt;&gt;"""",REGEXEXTRACT(SUBSTITUTE ($T859,N$1&amp;"" CE"",""""), N$1&amp;""[\w &amp;]*, (\d+\.\d+)""),"""")
"),"")</f>
        <v/>
      </c>
      <c r="O859" s="3" t="str">
        <f aca="false">IFERROR(__xludf.dummyfunction("if($T859&lt;&gt;"""",REGEXEXTRACT($T859, O$1&amp;""[\w &amp;]*, (\d+\.\d+)""),"""")
"),"")</f>
        <v/>
      </c>
      <c r="P859" s="2"/>
      <c r="Q859" s="2"/>
      <c r="R859" s="2"/>
      <c r="S859" s="2"/>
      <c r="T859" s="5"/>
    </row>
    <row r="860" customFormat="false" ht="15.75" hidden="false" customHeight="false" outlineLevel="0" collapsed="false">
      <c r="A860" s="4"/>
      <c r="B860" s="2"/>
      <c r="C860" s="2"/>
      <c r="D860" s="2"/>
      <c r="E860" s="2"/>
      <c r="F860" s="3" t="str">
        <f aca="false">IFERROR(__xludf.dummyfunction("if($T860&lt;&gt;"""",REGEXEXTRACT(SUBSTITUTE ($T860,F$1&amp;"" CE"",""""), F$1&amp;""[\w &amp;]*, (\d+\.\d+)""),"""")
"),"")</f>
        <v/>
      </c>
      <c r="G860" s="3" t="str">
        <f aca="false">IFERROR(__xludf.dummyfunction("if($T860&lt;&gt;"""",REGEXEXTRACT($T860, G$1&amp;""[\w &amp;]*, (\d+\.\d+)""),"""")
"),"")</f>
        <v/>
      </c>
      <c r="H860" s="3"/>
      <c r="I860" s="3" t="str">
        <f aca="false">IFERROR(__xludf.dummyfunction("if($T860&lt;&gt;"""",REGEXEXTRACT(SUBSTITUTE ($T860,I$1&amp;"" CE"",""""), I$1&amp;""[\w &amp;]*, (\d+\.\d+)""),"""")
"),"")</f>
        <v/>
      </c>
      <c r="J860" s="3" t="str">
        <f aca="false">IFERROR(__xludf.dummyfunction("if($T860&lt;&gt;"""",REGEXEXTRACT($T860, J$1&amp;""[\w &amp;]*, (\d+\.\d+)""),"""")
"),"")</f>
        <v/>
      </c>
      <c r="K860" s="3"/>
      <c r="L860" s="3" t="str">
        <f aca="false">IFERROR(__xludf.dummyfunction("if($T860&lt;&gt;"""",REGEXEXTRACT(SUBSTITUTE ($T860,L$1&amp;"" CE"",""""), L$1&amp;""[\w &amp;]*, (\d+\.\d+)""),"""")
"),"")</f>
        <v/>
      </c>
      <c r="M860" s="3" t="str">
        <f aca="false">IFERROR(__xludf.dummyfunction("if($T860&lt;&gt;"""",REGEXEXTRACT($T860, M$1&amp;""[\w &amp;]*, (\d+\.\d+)""),"""")
"),"")</f>
        <v/>
      </c>
      <c r="N860" s="3" t="str">
        <f aca="false">IFERROR(__xludf.dummyfunction("if($T860&lt;&gt;"""",REGEXEXTRACT(SUBSTITUTE ($T860,N$1&amp;"" CE"",""""), N$1&amp;""[\w &amp;]*, (\d+\.\d+)""),"""")
"),"")</f>
        <v/>
      </c>
      <c r="O860" s="3" t="str">
        <f aca="false">IFERROR(__xludf.dummyfunction("if($T860&lt;&gt;"""",REGEXEXTRACT($T860, O$1&amp;""[\w &amp;]*, (\d+\.\d+)""),"""")
"),"")</f>
        <v/>
      </c>
      <c r="P860" s="2"/>
      <c r="Q860" s="2"/>
      <c r="R860" s="2"/>
      <c r="S860" s="2"/>
      <c r="T860" s="5"/>
    </row>
    <row r="861" customFormat="false" ht="15.75" hidden="false" customHeight="false" outlineLevel="0" collapsed="false">
      <c r="A861" s="4"/>
      <c r="B861" s="2"/>
      <c r="C861" s="2"/>
      <c r="D861" s="2"/>
      <c r="E861" s="2"/>
      <c r="F861" s="3" t="str">
        <f aca="false">IFERROR(__xludf.dummyfunction("if($T861&lt;&gt;"""",REGEXEXTRACT(SUBSTITUTE ($T861,F$1&amp;"" CE"",""""), F$1&amp;""[\w &amp;]*, (\d+\.\d+)""),"""")
"),"")</f>
        <v/>
      </c>
      <c r="G861" s="3" t="str">
        <f aca="false">IFERROR(__xludf.dummyfunction("if($T861&lt;&gt;"""",REGEXEXTRACT($T861, G$1&amp;""[\w &amp;]*, (\d+\.\d+)""),"""")
"),"")</f>
        <v/>
      </c>
      <c r="H861" s="3"/>
      <c r="I861" s="3" t="str">
        <f aca="false">IFERROR(__xludf.dummyfunction("if($T861&lt;&gt;"""",REGEXEXTRACT(SUBSTITUTE ($T861,I$1&amp;"" CE"",""""), I$1&amp;""[\w &amp;]*, (\d+\.\d+)""),"""")
"),"")</f>
        <v/>
      </c>
      <c r="J861" s="3" t="str">
        <f aca="false">IFERROR(__xludf.dummyfunction("if($T861&lt;&gt;"""",REGEXEXTRACT($T861, J$1&amp;""[\w &amp;]*, (\d+\.\d+)""),"""")
"),"")</f>
        <v/>
      </c>
      <c r="K861" s="3"/>
      <c r="L861" s="3" t="str">
        <f aca="false">IFERROR(__xludf.dummyfunction("if($T861&lt;&gt;"""",REGEXEXTRACT(SUBSTITUTE ($T861,L$1&amp;"" CE"",""""), L$1&amp;""[\w &amp;]*, (\d+\.\d+)""),"""")
"),"")</f>
        <v/>
      </c>
      <c r="M861" s="3" t="str">
        <f aca="false">IFERROR(__xludf.dummyfunction("if($T861&lt;&gt;"""",REGEXEXTRACT($T861, M$1&amp;""[\w &amp;]*, (\d+\.\d+)""),"""")
"),"")</f>
        <v/>
      </c>
      <c r="N861" s="3" t="str">
        <f aca="false">IFERROR(__xludf.dummyfunction("if($T861&lt;&gt;"""",REGEXEXTRACT(SUBSTITUTE ($T861,N$1&amp;"" CE"",""""), N$1&amp;""[\w &amp;]*, (\d+\.\d+)""),"""")
"),"")</f>
        <v/>
      </c>
      <c r="O861" s="3" t="str">
        <f aca="false">IFERROR(__xludf.dummyfunction("if($T861&lt;&gt;"""",REGEXEXTRACT($T861, O$1&amp;""[\w &amp;]*, (\d+\.\d+)""),"""")
"),"")</f>
        <v/>
      </c>
      <c r="P861" s="2"/>
      <c r="Q861" s="2"/>
      <c r="R861" s="2"/>
      <c r="S861" s="2"/>
      <c r="T861" s="5"/>
    </row>
    <row r="862" customFormat="false" ht="15.75" hidden="false" customHeight="false" outlineLevel="0" collapsed="false">
      <c r="A862" s="4"/>
      <c r="B862" s="2"/>
      <c r="C862" s="2"/>
      <c r="D862" s="2"/>
      <c r="E862" s="2"/>
      <c r="F862" s="3" t="str">
        <f aca="false">IFERROR(__xludf.dummyfunction("if($T862&lt;&gt;"""",REGEXEXTRACT(SUBSTITUTE ($T862,F$1&amp;"" CE"",""""), F$1&amp;""[\w &amp;]*, (\d+\.\d+)""),"""")
"),"")</f>
        <v/>
      </c>
      <c r="G862" s="3" t="str">
        <f aca="false">IFERROR(__xludf.dummyfunction("if($T862&lt;&gt;"""",REGEXEXTRACT($T862, G$1&amp;""[\w &amp;]*, (\d+\.\d+)""),"""")
"),"")</f>
        <v/>
      </c>
      <c r="H862" s="3"/>
      <c r="I862" s="3" t="str">
        <f aca="false">IFERROR(__xludf.dummyfunction("if($T862&lt;&gt;"""",REGEXEXTRACT(SUBSTITUTE ($T862,I$1&amp;"" CE"",""""), I$1&amp;""[\w &amp;]*, (\d+\.\d+)""),"""")
"),"")</f>
        <v/>
      </c>
      <c r="J862" s="3" t="str">
        <f aca="false">IFERROR(__xludf.dummyfunction("if($T862&lt;&gt;"""",REGEXEXTRACT($T862, J$1&amp;""[\w &amp;]*, (\d+\.\d+)""),"""")
"),"")</f>
        <v/>
      </c>
      <c r="K862" s="3"/>
      <c r="L862" s="3" t="str">
        <f aca="false">IFERROR(__xludf.dummyfunction("if($T862&lt;&gt;"""",REGEXEXTRACT(SUBSTITUTE ($T862,L$1&amp;"" CE"",""""), L$1&amp;""[\w &amp;]*, (\d+\.\d+)""),"""")
"),"")</f>
        <v/>
      </c>
      <c r="M862" s="3" t="str">
        <f aca="false">IFERROR(__xludf.dummyfunction("if($T862&lt;&gt;"""",REGEXEXTRACT($T862, M$1&amp;""[\w &amp;]*, (\d+\.\d+)""),"""")
"),"")</f>
        <v/>
      </c>
      <c r="N862" s="3" t="str">
        <f aca="false">IFERROR(__xludf.dummyfunction("if($T862&lt;&gt;"""",REGEXEXTRACT(SUBSTITUTE ($T862,N$1&amp;"" CE"",""""), N$1&amp;""[\w &amp;]*, (\d+\.\d+)""),"""")
"),"")</f>
        <v/>
      </c>
      <c r="O862" s="3" t="str">
        <f aca="false">IFERROR(__xludf.dummyfunction("if($T862&lt;&gt;"""",REGEXEXTRACT($T862, O$1&amp;""[\w &amp;]*, (\d+\.\d+)""),"""")
"),"")</f>
        <v/>
      </c>
      <c r="P862" s="2"/>
      <c r="Q862" s="2"/>
      <c r="R862" s="2"/>
      <c r="S862" s="2"/>
      <c r="T862" s="5"/>
    </row>
    <row r="863" customFormat="false" ht="15.75" hidden="false" customHeight="false" outlineLevel="0" collapsed="false">
      <c r="A863" s="4"/>
      <c r="B863" s="2"/>
      <c r="C863" s="2"/>
      <c r="D863" s="2"/>
      <c r="E863" s="2"/>
      <c r="F863" s="3" t="str">
        <f aca="false">IFERROR(__xludf.dummyfunction("if($T863&lt;&gt;"""",REGEXEXTRACT(SUBSTITUTE ($T863,F$1&amp;"" CE"",""""), F$1&amp;""[\w &amp;]*, (\d+\.\d+)""),"""")
"),"")</f>
        <v/>
      </c>
      <c r="G863" s="3" t="str">
        <f aca="false">IFERROR(__xludf.dummyfunction("if($T863&lt;&gt;"""",REGEXEXTRACT($T863, G$1&amp;""[\w &amp;]*, (\d+\.\d+)""),"""")
"),"")</f>
        <v/>
      </c>
      <c r="H863" s="3"/>
      <c r="I863" s="3" t="str">
        <f aca="false">IFERROR(__xludf.dummyfunction("if($T863&lt;&gt;"""",REGEXEXTRACT(SUBSTITUTE ($T863,I$1&amp;"" CE"",""""), I$1&amp;""[\w &amp;]*, (\d+\.\d+)""),"""")
"),"")</f>
        <v/>
      </c>
      <c r="J863" s="3" t="str">
        <f aca="false">IFERROR(__xludf.dummyfunction("if($T863&lt;&gt;"""",REGEXEXTRACT($T863, J$1&amp;""[\w &amp;]*, (\d+\.\d+)""),"""")
"),"")</f>
        <v/>
      </c>
      <c r="K863" s="3"/>
      <c r="L863" s="3" t="str">
        <f aca="false">IFERROR(__xludf.dummyfunction("if($T863&lt;&gt;"""",REGEXEXTRACT(SUBSTITUTE ($T863,L$1&amp;"" CE"",""""), L$1&amp;""[\w &amp;]*, (\d+\.\d+)""),"""")
"),"")</f>
        <v/>
      </c>
      <c r="M863" s="3" t="str">
        <f aca="false">IFERROR(__xludf.dummyfunction("if($T863&lt;&gt;"""",REGEXEXTRACT($T863, M$1&amp;""[\w &amp;]*, (\d+\.\d+)""),"""")
"),"")</f>
        <v/>
      </c>
      <c r="N863" s="3" t="str">
        <f aca="false">IFERROR(__xludf.dummyfunction("if($T863&lt;&gt;"""",REGEXEXTRACT(SUBSTITUTE ($T863,N$1&amp;"" CE"",""""), N$1&amp;""[\w &amp;]*, (\d+\.\d+)""),"""")
"),"")</f>
        <v/>
      </c>
      <c r="O863" s="3" t="str">
        <f aca="false">IFERROR(__xludf.dummyfunction("if($T863&lt;&gt;"""",REGEXEXTRACT($T863, O$1&amp;""[\w &amp;]*, (\d+\.\d+)""),"""")
"),"")</f>
        <v/>
      </c>
      <c r="P863" s="2"/>
      <c r="Q863" s="2"/>
      <c r="R863" s="2"/>
      <c r="S863" s="2"/>
      <c r="T863" s="5"/>
    </row>
    <row r="864" customFormat="false" ht="15.75" hidden="false" customHeight="false" outlineLevel="0" collapsed="false">
      <c r="A864" s="4"/>
      <c r="B864" s="2"/>
      <c r="C864" s="2"/>
      <c r="D864" s="2"/>
      <c r="E864" s="2"/>
      <c r="F864" s="3" t="str">
        <f aca="false">IFERROR(__xludf.dummyfunction("if($T864&lt;&gt;"""",REGEXEXTRACT(SUBSTITUTE ($T864,F$1&amp;"" CE"",""""), F$1&amp;""[\w &amp;]*, (\d+\.\d+)""),"""")
"),"")</f>
        <v/>
      </c>
      <c r="G864" s="3" t="str">
        <f aca="false">IFERROR(__xludf.dummyfunction("if($T864&lt;&gt;"""",REGEXEXTRACT($T864, G$1&amp;""[\w &amp;]*, (\d+\.\d+)""),"""")
"),"")</f>
        <v/>
      </c>
      <c r="H864" s="3"/>
      <c r="I864" s="3" t="str">
        <f aca="false">IFERROR(__xludf.dummyfunction("if($T864&lt;&gt;"""",REGEXEXTRACT(SUBSTITUTE ($T864,I$1&amp;"" CE"",""""), I$1&amp;""[\w &amp;]*, (\d+\.\d+)""),"""")
"),"")</f>
        <v/>
      </c>
      <c r="J864" s="3" t="str">
        <f aca="false">IFERROR(__xludf.dummyfunction("if($T864&lt;&gt;"""",REGEXEXTRACT($T864, J$1&amp;""[\w &amp;]*, (\d+\.\d+)""),"""")
"),"")</f>
        <v/>
      </c>
      <c r="K864" s="3"/>
      <c r="L864" s="3" t="str">
        <f aca="false">IFERROR(__xludf.dummyfunction("if($T864&lt;&gt;"""",REGEXEXTRACT(SUBSTITUTE ($T864,L$1&amp;"" CE"",""""), L$1&amp;""[\w &amp;]*, (\d+\.\d+)""),"""")
"),"")</f>
        <v/>
      </c>
      <c r="M864" s="3" t="str">
        <f aca="false">IFERROR(__xludf.dummyfunction("if($T864&lt;&gt;"""",REGEXEXTRACT($T864, M$1&amp;""[\w &amp;]*, (\d+\.\d+)""),"""")
"),"")</f>
        <v/>
      </c>
      <c r="N864" s="3" t="str">
        <f aca="false">IFERROR(__xludf.dummyfunction("if($T864&lt;&gt;"""",REGEXEXTRACT(SUBSTITUTE ($T864,N$1&amp;"" CE"",""""), N$1&amp;""[\w &amp;]*, (\d+\.\d+)""),"""")
"),"")</f>
        <v/>
      </c>
      <c r="O864" s="3" t="str">
        <f aca="false">IFERROR(__xludf.dummyfunction("if($T864&lt;&gt;"""",REGEXEXTRACT($T864, O$1&amp;""[\w &amp;]*, (\d+\.\d+)""),"""")
"),"")</f>
        <v/>
      </c>
      <c r="P864" s="2"/>
      <c r="Q864" s="2"/>
      <c r="R864" s="2"/>
      <c r="S864" s="2"/>
      <c r="T864" s="5"/>
    </row>
    <row r="865" customFormat="false" ht="15.75" hidden="false" customHeight="false" outlineLevel="0" collapsed="false">
      <c r="A865" s="4"/>
      <c r="B865" s="2"/>
      <c r="C865" s="2"/>
      <c r="D865" s="2"/>
      <c r="E865" s="2"/>
      <c r="F865" s="3" t="str">
        <f aca="false">IFERROR(__xludf.dummyfunction("if($T865&lt;&gt;"""",REGEXEXTRACT(SUBSTITUTE ($T865,F$1&amp;"" CE"",""""), F$1&amp;""[\w &amp;]*, (\d+\.\d+)""),"""")
"),"")</f>
        <v/>
      </c>
      <c r="G865" s="3" t="str">
        <f aca="false">IFERROR(__xludf.dummyfunction("if($T865&lt;&gt;"""",REGEXEXTRACT($T865, G$1&amp;""[\w &amp;]*, (\d+\.\d+)""),"""")
"),"")</f>
        <v/>
      </c>
      <c r="H865" s="3"/>
      <c r="I865" s="3" t="str">
        <f aca="false">IFERROR(__xludf.dummyfunction("if($T865&lt;&gt;"""",REGEXEXTRACT(SUBSTITUTE ($T865,I$1&amp;"" CE"",""""), I$1&amp;""[\w &amp;]*, (\d+\.\d+)""),"""")
"),"")</f>
        <v/>
      </c>
      <c r="J865" s="3" t="str">
        <f aca="false">IFERROR(__xludf.dummyfunction("if($T865&lt;&gt;"""",REGEXEXTRACT($T865, J$1&amp;""[\w &amp;]*, (\d+\.\d+)""),"""")
"),"")</f>
        <v/>
      </c>
      <c r="K865" s="3"/>
      <c r="L865" s="3" t="str">
        <f aca="false">IFERROR(__xludf.dummyfunction("if($T865&lt;&gt;"""",REGEXEXTRACT(SUBSTITUTE ($T865,L$1&amp;"" CE"",""""), L$1&amp;""[\w &amp;]*, (\d+\.\d+)""),"""")
"),"")</f>
        <v/>
      </c>
      <c r="M865" s="3" t="str">
        <f aca="false">IFERROR(__xludf.dummyfunction("if($T865&lt;&gt;"""",REGEXEXTRACT($T865, M$1&amp;""[\w &amp;]*, (\d+\.\d+)""),"""")
"),"")</f>
        <v/>
      </c>
      <c r="N865" s="3" t="str">
        <f aca="false">IFERROR(__xludf.dummyfunction("if($T865&lt;&gt;"""",REGEXEXTRACT(SUBSTITUTE ($T865,N$1&amp;"" CE"",""""), N$1&amp;""[\w &amp;]*, (\d+\.\d+)""),"""")
"),"")</f>
        <v/>
      </c>
      <c r="O865" s="3" t="str">
        <f aca="false">IFERROR(__xludf.dummyfunction("if($T865&lt;&gt;"""",REGEXEXTRACT($T865, O$1&amp;""[\w &amp;]*, (\d+\.\d+)""),"""")
"),"")</f>
        <v/>
      </c>
      <c r="P865" s="2"/>
      <c r="Q865" s="2"/>
      <c r="R865" s="2"/>
      <c r="S865" s="2"/>
      <c r="T865" s="5"/>
    </row>
    <row r="866" customFormat="false" ht="15.75" hidden="false" customHeight="false" outlineLevel="0" collapsed="false">
      <c r="A866" s="4"/>
      <c r="B866" s="2"/>
      <c r="C866" s="2"/>
      <c r="D866" s="2"/>
      <c r="E866" s="2"/>
      <c r="F866" s="3" t="str">
        <f aca="false">IFERROR(__xludf.dummyfunction("if($T866&lt;&gt;"""",REGEXEXTRACT(SUBSTITUTE ($T866,F$1&amp;"" CE"",""""), F$1&amp;""[\w &amp;]*, (\d+\.\d+)""),"""")
"),"")</f>
        <v/>
      </c>
      <c r="G866" s="3" t="str">
        <f aca="false">IFERROR(__xludf.dummyfunction("if($T866&lt;&gt;"""",REGEXEXTRACT($T866, G$1&amp;""[\w &amp;]*, (\d+\.\d+)""),"""")
"),"")</f>
        <v/>
      </c>
      <c r="H866" s="3"/>
      <c r="I866" s="3" t="str">
        <f aca="false">IFERROR(__xludf.dummyfunction("if($T866&lt;&gt;"""",REGEXEXTRACT(SUBSTITUTE ($T866,I$1&amp;"" CE"",""""), I$1&amp;""[\w &amp;]*, (\d+\.\d+)""),"""")
"),"")</f>
        <v/>
      </c>
      <c r="J866" s="3" t="str">
        <f aca="false">IFERROR(__xludf.dummyfunction("if($T866&lt;&gt;"""",REGEXEXTRACT($T866, J$1&amp;""[\w &amp;]*, (\d+\.\d+)""),"""")
"),"")</f>
        <v/>
      </c>
      <c r="K866" s="3"/>
      <c r="L866" s="3" t="str">
        <f aca="false">IFERROR(__xludf.dummyfunction("if($T866&lt;&gt;"""",REGEXEXTRACT(SUBSTITUTE ($T866,L$1&amp;"" CE"",""""), L$1&amp;""[\w &amp;]*, (\d+\.\d+)""),"""")
"),"")</f>
        <v/>
      </c>
      <c r="M866" s="3" t="str">
        <f aca="false">IFERROR(__xludf.dummyfunction("if($T866&lt;&gt;"""",REGEXEXTRACT($T866, M$1&amp;""[\w &amp;]*, (\d+\.\d+)""),"""")
"),"")</f>
        <v/>
      </c>
      <c r="N866" s="3" t="str">
        <f aca="false">IFERROR(__xludf.dummyfunction("if($T866&lt;&gt;"""",REGEXEXTRACT(SUBSTITUTE ($T866,N$1&amp;"" CE"",""""), N$1&amp;""[\w &amp;]*, (\d+\.\d+)""),"""")
"),"")</f>
        <v/>
      </c>
      <c r="O866" s="3" t="str">
        <f aca="false">IFERROR(__xludf.dummyfunction("if($T866&lt;&gt;"""",REGEXEXTRACT($T866, O$1&amp;""[\w &amp;]*, (\d+\.\d+)""),"""")
"),"")</f>
        <v/>
      </c>
      <c r="P866" s="2"/>
      <c r="Q866" s="2"/>
      <c r="R866" s="2"/>
      <c r="S866" s="2"/>
      <c r="T866" s="5"/>
    </row>
    <row r="867" customFormat="false" ht="15.75" hidden="false" customHeight="false" outlineLevel="0" collapsed="false">
      <c r="A867" s="4"/>
      <c r="B867" s="2"/>
      <c r="C867" s="2"/>
      <c r="D867" s="2"/>
      <c r="E867" s="2"/>
      <c r="F867" s="3" t="str">
        <f aca="false">IFERROR(__xludf.dummyfunction("if($T867&lt;&gt;"""",REGEXEXTRACT(SUBSTITUTE ($T867,F$1&amp;"" CE"",""""), F$1&amp;""[\w &amp;]*, (\d+\.\d+)""),"""")
"),"")</f>
        <v/>
      </c>
      <c r="G867" s="3" t="str">
        <f aca="false">IFERROR(__xludf.dummyfunction("if($T867&lt;&gt;"""",REGEXEXTRACT($T867, G$1&amp;""[\w &amp;]*, (\d+\.\d+)""),"""")
"),"")</f>
        <v/>
      </c>
      <c r="H867" s="3"/>
      <c r="I867" s="3" t="str">
        <f aca="false">IFERROR(__xludf.dummyfunction("if($T867&lt;&gt;"""",REGEXEXTRACT(SUBSTITUTE ($T867,I$1&amp;"" CE"",""""), I$1&amp;""[\w &amp;]*, (\d+\.\d+)""),"""")
"),"")</f>
        <v/>
      </c>
      <c r="J867" s="3" t="str">
        <f aca="false">IFERROR(__xludf.dummyfunction("if($T867&lt;&gt;"""",REGEXEXTRACT($T867, J$1&amp;""[\w &amp;]*, (\d+\.\d+)""),"""")
"),"")</f>
        <v/>
      </c>
      <c r="K867" s="3"/>
      <c r="L867" s="3" t="str">
        <f aca="false">IFERROR(__xludf.dummyfunction("if($T867&lt;&gt;"""",REGEXEXTRACT(SUBSTITUTE ($T867,L$1&amp;"" CE"",""""), L$1&amp;""[\w &amp;]*, (\d+\.\d+)""),"""")
"),"")</f>
        <v/>
      </c>
      <c r="M867" s="3" t="str">
        <f aca="false">IFERROR(__xludf.dummyfunction("if($T867&lt;&gt;"""",REGEXEXTRACT($T867, M$1&amp;""[\w &amp;]*, (\d+\.\d+)""),"""")
"),"")</f>
        <v/>
      </c>
      <c r="N867" s="3" t="str">
        <f aca="false">IFERROR(__xludf.dummyfunction("if($T867&lt;&gt;"""",REGEXEXTRACT(SUBSTITUTE ($T867,N$1&amp;"" CE"",""""), N$1&amp;""[\w &amp;]*, (\d+\.\d+)""),"""")
"),"")</f>
        <v/>
      </c>
      <c r="O867" s="3" t="str">
        <f aca="false">IFERROR(__xludf.dummyfunction("if($T867&lt;&gt;"""",REGEXEXTRACT($T867, O$1&amp;""[\w &amp;]*, (\d+\.\d+)""),"""")
"),"")</f>
        <v/>
      </c>
      <c r="P867" s="2"/>
      <c r="Q867" s="2"/>
      <c r="R867" s="2"/>
      <c r="S867" s="2"/>
      <c r="T867" s="5"/>
    </row>
    <row r="868" customFormat="false" ht="15.75" hidden="false" customHeight="false" outlineLevel="0" collapsed="false">
      <c r="A868" s="4"/>
      <c r="B868" s="2"/>
      <c r="C868" s="2"/>
      <c r="D868" s="2"/>
      <c r="E868" s="2"/>
      <c r="F868" s="3" t="str">
        <f aca="false">IFERROR(__xludf.dummyfunction("if($T868&lt;&gt;"""",REGEXEXTRACT(SUBSTITUTE ($T868,F$1&amp;"" CE"",""""), F$1&amp;""[\w &amp;]*, (\d+\.\d+)""),"""")
"),"")</f>
        <v/>
      </c>
      <c r="G868" s="3" t="str">
        <f aca="false">IFERROR(__xludf.dummyfunction("if($T868&lt;&gt;"""",REGEXEXTRACT($T868, G$1&amp;""[\w &amp;]*, (\d+\.\d+)""),"""")
"),"")</f>
        <v/>
      </c>
      <c r="H868" s="3"/>
      <c r="I868" s="3" t="str">
        <f aca="false">IFERROR(__xludf.dummyfunction("if($T868&lt;&gt;"""",REGEXEXTRACT(SUBSTITUTE ($T868,I$1&amp;"" CE"",""""), I$1&amp;""[\w &amp;]*, (\d+\.\d+)""),"""")
"),"")</f>
        <v/>
      </c>
      <c r="J868" s="3" t="str">
        <f aca="false">IFERROR(__xludf.dummyfunction("if($T868&lt;&gt;"""",REGEXEXTRACT($T868, J$1&amp;""[\w &amp;]*, (\d+\.\d+)""),"""")
"),"")</f>
        <v/>
      </c>
      <c r="K868" s="3"/>
      <c r="L868" s="3" t="str">
        <f aca="false">IFERROR(__xludf.dummyfunction("if($T868&lt;&gt;"""",REGEXEXTRACT(SUBSTITUTE ($T868,L$1&amp;"" CE"",""""), L$1&amp;""[\w &amp;]*, (\d+\.\d+)""),"""")
"),"")</f>
        <v/>
      </c>
      <c r="M868" s="3" t="str">
        <f aca="false">IFERROR(__xludf.dummyfunction("if($T868&lt;&gt;"""",REGEXEXTRACT($T868, M$1&amp;""[\w &amp;]*, (\d+\.\d+)""),"""")
"),"")</f>
        <v/>
      </c>
      <c r="N868" s="3" t="str">
        <f aca="false">IFERROR(__xludf.dummyfunction("if($T868&lt;&gt;"""",REGEXEXTRACT(SUBSTITUTE ($T868,N$1&amp;"" CE"",""""), N$1&amp;""[\w &amp;]*, (\d+\.\d+)""),"""")
"),"")</f>
        <v/>
      </c>
      <c r="O868" s="3" t="str">
        <f aca="false">IFERROR(__xludf.dummyfunction("if($T868&lt;&gt;"""",REGEXEXTRACT($T868, O$1&amp;""[\w &amp;]*, (\d+\.\d+)""),"""")
"),"")</f>
        <v/>
      </c>
      <c r="P868" s="2"/>
      <c r="Q868" s="2"/>
      <c r="R868" s="2"/>
      <c r="S868" s="2"/>
      <c r="T868" s="5"/>
    </row>
    <row r="869" customFormat="false" ht="15.75" hidden="false" customHeight="false" outlineLevel="0" collapsed="false">
      <c r="A869" s="4"/>
      <c r="B869" s="2"/>
      <c r="C869" s="2"/>
      <c r="D869" s="2"/>
      <c r="E869" s="2"/>
      <c r="F869" s="3" t="str">
        <f aca="false">IFERROR(__xludf.dummyfunction("if($T869&lt;&gt;"""",REGEXEXTRACT(SUBSTITUTE ($T869,F$1&amp;"" CE"",""""), F$1&amp;""[\w &amp;]*, (\d+\.\d+)""),"""")
"),"")</f>
        <v/>
      </c>
      <c r="G869" s="3" t="str">
        <f aca="false">IFERROR(__xludf.dummyfunction("if($T869&lt;&gt;"""",REGEXEXTRACT($T869, G$1&amp;""[\w &amp;]*, (\d+\.\d+)""),"""")
"),"")</f>
        <v/>
      </c>
      <c r="H869" s="3"/>
      <c r="I869" s="3" t="str">
        <f aca="false">IFERROR(__xludf.dummyfunction("if($T869&lt;&gt;"""",REGEXEXTRACT(SUBSTITUTE ($T869,I$1&amp;"" CE"",""""), I$1&amp;""[\w &amp;]*, (\d+\.\d+)""),"""")
"),"")</f>
        <v/>
      </c>
      <c r="J869" s="3" t="str">
        <f aca="false">IFERROR(__xludf.dummyfunction("if($T869&lt;&gt;"""",REGEXEXTRACT($T869, J$1&amp;""[\w &amp;]*, (\d+\.\d+)""),"""")
"),"")</f>
        <v/>
      </c>
      <c r="K869" s="3"/>
      <c r="L869" s="3" t="str">
        <f aca="false">IFERROR(__xludf.dummyfunction("if($T869&lt;&gt;"""",REGEXEXTRACT(SUBSTITUTE ($T869,L$1&amp;"" CE"",""""), L$1&amp;""[\w &amp;]*, (\d+\.\d+)""),"""")
"),"")</f>
        <v/>
      </c>
      <c r="M869" s="3" t="str">
        <f aca="false">IFERROR(__xludf.dummyfunction("if($T869&lt;&gt;"""",REGEXEXTRACT($T869, M$1&amp;""[\w &amp;]*, (\d+\.\d+)""),"""")
"),"")</f>
        <v/>
      </c>
      <c r="N869" s="3" t="str">
        <f aca="false">IFERROR(__xludf.dummyfunction("if($T869&lt;&gt;"""",REGEXEXTRACT(SUBSTITUTE ($T869,N$1&amp;"" CE"",""""), N$1&amp;""[\w &amp;]*, (\d+\.\d+)""),"""")
"),"")</f>
        <v/>
      </c>
      <c r="O869" s="3" t="str">
        <f aca="false">IFERROR(__xludf.dummyfunction("if($T869&lt;&gt;"""",REGEXEXTRACT($T869, O$1&amp;""[\w &amp;]*, (\d+\.\d+)""),"""")
"),"")</f>
        <v/>
      </c>
      <c r="P869" s="2"/>
      <c r="Q869" s="2"/>
      <c r="R869" s="2"/>
      <c r="S869" s="2"/>
      <c r="T869" s="5"/>
    </row>
    <row r="870" customFormat="false" ht="15.75" hidden="false" customHeight="false" outlineLevel="0" collapsed="false">
      <c r="A870" s="4"/>
      <c r="B870" s="2"/>
      <c r="C870" s="2"/>
      <c r="D870" s="2"/>
      <c r="E870" s="2"/>
      <c r="F870" s="3" t="str">
        <f aca="false">IFERROR(__xludf.dummyfunction("if($T870&lt;&gt;"""",REGEXEXTRACT(SUBSTITUTE ($T870,F$1&amp;"" CE"",""""), F$1&amp;""[\w &amp;]*, (\d+\.\d+)""),"""")
"),"")</f>
        <v/>
      </c>
      <c r="G870" s="3" t="str">
        <f aca="false">IFERROR(__xludf.dummyfunction("if($T870&lt;&gt;"""",REGEXEXTRACT($T870, G$1&amp;""[\w &amp;]*, (\d+\.\d+)""),"""")
"),"")</f>
        <v/>
      </c>
      <c r="H870" s="3"/>
      <c r="I870" s="3" t="str">
        <f aca="false">IFERROR(__xludf.dummyfunction("if($T870&lt;&gt;"""",REGEXEXTRACT(SUBSTITUTE ($T870,I$1&amp;"" CE"",""""), I$1&amp;""[\w &amp;]*, (\d+\.\d+)""),"""")
"),"")</f>
        <v/>
      </c>
      <c r="J870" s="3" t="str">
        <f aca="false">IFERROR(__xludf.dummyfunction("if($T870&lt;&gt;"""",REGEXEXTRACT($T870, J$1&amp;""[\w &amp;]*, (\d+\.\d+)""),"""")
"),"")</f>
        <v/>
      </c>
      <c r="K870" s="3"/>
      <c r="L870" s="3" t="str">
        <f aca="false">IFERROR(__xludf.dummyfunction("if($T870&lt;&gt;"""",REGEXEXTRACT(SUBSTITUTE ($T870,L$1&amp;"" CE"",""""), L$1&amp;""[\w &amp;]*, (\d+\.\d+)""),"""")
"),"")</f>
        <v/>
      </c>
      <c r="M870" s="3" t="str">
        <f aca="false">IFERROR(__xludf.dummyfunction("if($T870&lt;&gt;"""",REGEXEXTRACT($T870, M$1&amp;""[\w &amp;]*, (\d+\.\d+)""),"""")
"),"")</f>
        <v/>
      </c>
      <c r="N870" s="3" t="str">
        <f aca="false">IFERROR(__xludf.dummyfunction("if($T870&lt;&gt;"""",REGEXEXTRACT(SUBSTITUTE ($T870,N$1&amp;"" CE"",""""), N$1&amp;""[\w &amp;]*, (\d+\.\d+)""),"""")
"),"")</f>
        <v/>
      </c>
      <c r="O870" s="3" t="str">
        <f aca="false">IFERROR(__xludf.dummyfunction("if($T870&lt;&gt;"""",REGEXEXTRACT($T870, O$1&amp;""[\w &amp;]*, (\d+\.\d+)""),"""")
"),"")</f>
        <v/>
      </c>
      <c r="P870" s="2"/>
      <c r="Q870" s="2"/>
      <c r="R870" s="2"/>
      <c r="S870" s="2"/>
      <c r="T870" s="5"/>
    </row>
    <row r="871" customFormat="false" ht="15.75" hidden="false" customHeight="false" outlineLevel="0" collapsed="false">
      <c r="A871" s="4"/>
      <c r="B871" s="2"/>
      <c r="C871" s="2"/>
      <c r="D871" s="2"/>
      <c r="E871" s="2"/>
      <c r="F871" s="3" t="str">
        <f aca="false">IFERROR(__xludf.dummyfunction("if($T871&lt;&gt;"""",REGEXEXTRACT(SUBSTITUTE ($T871,F$1&amp;"" CE"",""""), F$1&amp;""[\w &amp;]*, (\d+\.\d+)""),"""")
"),"")</f>
        <v/>
      </c>
      <c r="G871" s="3" t="str">
        <f aca="false">IFERROR(__xludf.dummyfunction("if($T871&lt;&gt;"""",REGEXEXTRACT($T871, G$1&amp;""[\w &amp;]*, (\d+\.\d+)""),"""")
"),"")</f>
        <v/>
      </c>
      <c r="H871" s="3"/>
      <c r="I871" s="3" t="str">
        <f aca="false">IFERROR(__xludf.dummyfunction("if($T871&lt;&gt;"""",REGEXEXTRACT(SUBSTITUTE ($T871,I$1&amp;"" CE"",""""), I$1&amp;""[\w &amp;]*, (\d+\.\d+)""),"""")
"),"")</f>
        <v/>
      </c>
      <c r="J871" s="3" t="str">
        <f aca="false">IFERROR(__xludf.dummyfunction("if($T871&lt;&gt;"""",REGEXEXTRACT($T871, J$1&amp;""[\w &amp;]*, (\d+\.\d+)""),"""")
"),"")</f>
        <v/>
      </c>
      <c r="K871" s="3"/>
      <c r="L871" s="3" t="str">
        <f aca="false">IFERROR(__xludf.dummyfunction("if($T871&lt;&gt;"""",REGEXEXTRACT(SUBSTITUTE ($T871,L$1&amp;"" CE"",""""), L$1&amp;""[\w &amp;]*, (\d+\.\d+)""),"""")
"),"")</f>
        <v/>
      </c>
      <c r="M871" s="3" t="str">
        <f aca="false">IFERROR(__xludf.dummyfunction("if($T871&lt;&gt;"""",REGEXEXTRACT($T871, M$1&amp;""[\w &amp;]*, (\d+\.\d+)""),"""")
"),"")</f>
        <v/>
      </c>
      <c r="N871" s="3" t="str">
        <f aca="false">IFERROR(__xludf.dummyfunction("if($T871&lt;&gt;"""",REGEXEXTRACT(SUBSTITUTE ($T871,N$1&amp;"" CE"",""""), N$1&amp;""[\w &amp;]*, (\d+\.\d+)""),"""")
"),"")</f>
        <v/>
      </c>
      <c r="O871" s="3" t="str">
        <f aca="false">IFERROR(__xludf.dummyfunction("if($T871&lt;&gt;"""",REGEXEXTRACT($T871, O$1&amp;""[\w &amp;]*, (\d+\.\d+)""),"""")
"),"")</f>
        <v/>
      </c>
      <c r="P871" s="2"/>
      <c r="Q871" s="2"/>
      <c r="R871" s="2"/>
      <c r="S871" s="2"/>
      <c r="T871" s="5"/>
    </row>
    <row r="872" customFormat="false" ht="15.75" hidden="false" customHeight="false" outlineLevel="0" collapsed="false">
      <c r="A872" s="4"/>
      <c r="B872" s="2"/>
      <c r="C872" s="2"/>
      <c r="D872" s="2"/>
      <c r="E872" s="2"/>
      <c r="F872" s="3" t="str">
        <f aca="false">IFERROR(__xludf.dummyfunction("if($T872&lt;&gt;"""",REGEXEXTRACT(SUBSTITUTE ($T872,F$1&amp;"" CE"",""""), F$1&amp;""[\w &amp;]*, (\d+\.\d+)""),"""")
"),"")</f>
        <v/>
      </c>
      <c r="G872" s="3" t="str">
        <f aca="false">IFERROR(__xludf.dummyfunction("if($T872&lt;&gt;"""",REGEXEXTRACT($T872, G$1&amp;""[\w &amp;]*, (\d+\.\d+)""),"""")
"),"")</f>
        <v/>
      </c>
      <c r="H872" s="3"/>
      <c r="I872" s="3" t="str">
        <f aca="false">IFERROR(__xludf.dummyfunction("if($T872&lt;&gt;"""",REGEXEXTRACT(SUBSTITUTE ($T872,I$1&amp;"" CE"",""""), I$1&amp;""[\w &amp;]*, (\d+\.\d+)""),"""")
"),"")</f>
        <v/>
      </c>
      <c r="J872" s="3" t="str">
        <f aca="false">IFERROR(__xludf.dummyfunction("if($T872&lt;&gt;"""",REGEXEXTRACT($T872, J$1&amp;""[\w &amp;]*, (\d+\.\d+)""),"""")
"),"")</f>
        <v/>
      </c>
      <c r="K872" s="3"/>
      <c r="L872" s="3" t="str">
        <f aca="false">IFERROR(__xludf.dummyfunction("if($T872&lt;&gt;"""",REGEXEXTRACT(SUBSTITUTE ($T872,L$1&amp;"" CE"",""""), L$1&amp;""[\w &amp;]*, (\d+\.\d+)""),"""")
"),"")</f>
        <v/>
      </c>
      <c r="M872" s="3" t="str">
        <f aca="false">IFERROR(__xludf.dummyfunction("if($T872&lt;&gt;"""",REGEXEXTRACT($T872, M$1&amp;""[\w &amp;]*, (\d+\.\d+)""),"""")
"),"")</f>
        <v/>
      </c>
      <c r="N872" s="3" t="str">
        <f aca="false">IFERROR(__xludf.dummyfunction("if($T872&lt;&gt;"""",REGEXEXTRACT(SUBSTITUTE ($T872,N$1&amp;"" CE"",""""), N$1&amp;""[\w &amp;]*, (\d+\.\d+)""),"""")
"),"")</f>
        <v/>
      </c>
      <c r="O872" s="3" t="str">
        <f aca="false">IFERROR(__xludf.dummyfunction("if($T872&lt;&gt;"""",REGEXEXTRACT($T872, O$1&amp;""[\w &amp;]*, (\d+\.\d+)""),"""")
"),"")</f>
        <v/>
      </c>
      <c r="P872" s="2"/>
      <c r="Q872" s="2"/>
      <c r="R872" s="2"/>
      <c r="S872" s="2"/>
      <c r="T872" s="5"/>
    </row>
    <row r="873" customFormat="false" ht="15.75" hidden="false" customHeight="false" outlineLevel="0" collapsed="false">
      <c r="A873" s="4"/>
      <c r="B873" s="2"/>
      <c r="C873" s="2"/>
      <c r="D873" s="2"/>
      <c r="E873" s="2"/>
      <c r="F873" s="3" t="str">
        <f aca="false">IFERROR(__xludf.dummyfunction("if($T873&lt;&gt;"""",REGEXEXTRACT(SUBSTITUTE ($T873,F$1&amp;"" CE"",""""), F$1&amp;""[\w &amp;]*, (\d+\.\d+)""),"""")
"),"")</f>
        <v/>
      </c>
      <c r="G873" s="3" t="str">
        <f aca="false">IFERROR(__xludf.dummyfunction("if($T873&lt;&gt;"""",REGEXEXTRACT($T873, G$1&amp;""[\w &amp;]*, (\d+\.\d+)""),"""")
"),"")</f>
        <v/>
      </c>
      <c r="H873" s="3"/>
      <c r="I873" s="3" t="str">
        <f aca="false">IFERROR(__xludf.dummyfunction("if($T873&lt;&gt;"""",REGEXEXTRACT(SUBSTITUTE ($T873,I$1&amp;"" CE"",""""), I$1&amp;""[\w &amp;]*, (\d+\.\d+)""),"""")
"),"")</f>
        <v/>
      </c>
      <c r="J873" s="3" t="str">
        <f aca="false">IFERROR(__xludf.dummyfunction("if($T873&lt;&gt;"""",REGEXEXTRACT($T873, J$1&amp;""[\w &amp;]*, (\d+\.\d+)""),"""")
"),"")</f>
        <v/>
      </c>
      <c r="K873" s="3"/>
      <c r="L873" s="3" t="str">
        <f aca="false">IFERROR(__xludf.dummyfunction("if($T873&lt;&gt;"""",REGEXEXTRACT(SUBSTITUTE ($T873,L$1&amp;"" CE"",""""), L$1&amp;""[\w &amp;]*, (\d+\.\d+)""),"""")
"),"")</f>
        <v/>
      </c>
      <c r="M873" s="3" t="str">
        <f aca="false">IFERROR(__xludf.dummyfunction("if($T873&lt;&gt;"""",REGEXEXTRACT($T873, M$1&amp;""[\w &amp;]*, (\d+\.\d+)""),"""")
"),"")</f>
        <v/>
      </c>
      <c r="N873" s="3" t="str">
        <f aca="false">IFERROR(__xludf.dummyfunction("if($T873&lt;&gt;"""",REGEXEXTRACT(SUBSTITUTE ($T873,N$1&amp;"" CE"",""""), N$1&amp;""[\w &amp;]*, (\d+\.\d+)""),"""")
"),"")</f>
        <v/>
      </c>
      <c r="O873" s="3" t="str">
        <f aca="false">IFERROR(__xludf.dummyfunction("if($T873&lt;&gt;"""",REGEXEXTRACT($T873, O$1&amp;""[\w &amp;]*, (\d+\.\d+)""),"""")
"),"")</f>
        <v/>
      </c>
      <c r="P873" s="2"/>
      <c r="Q873" s="2"/>
      <c r="R873" s="2"/>
      <c r="S873" s="2"/>
      <c r="T873" s="5"/>
    </row>
    <row r="874" customFormat="false" ht="15.75" hidden="false" customHeight="false" outlineLevel="0" collapsed="false">
      <c r="A874" s="4"/>
      <c r="B874" s="2"/>
      <c r="C874" s="2"/>
      <c r="D874" s="2"/>
      <c r="E874" s="2"/>
      <c r="F874" s="3" t="str">
        <f aca="false">IFERROR(__xludf.dummyfunction("if($T874&lt;&gt;"""",REGEXEXTRACT(SUBSTITUTE ($T874,F$1&amp;"" CE"",""""), F$1&amp;""[\w &amp;]*, (\d+\.\d+)""),"""")
"),"")</f>
        <v/>
      </c>
      <c r="G874" s="3" t="str">
        <f aca="false">IFERROR(__xludf.dummyfunction("if($T874&lt;&gt;"""",REGEXEXTRACT($T874, G$1&amp;""[\w &amp;]*, (\d+\.\d+)""),"""")
"),"")</f>
        <v/>
      </c>
      <c r="H874" s="3"/>
      <c r="I874" s="3" t="str">
        <f aca="false">IFERROR(__xludf.dummyfunction("if($T874&lt;&gt;"""",REGEXEXTRACT(SUBSTITUTE ($T874,I$1&amp;"" CE"",""""), I$1&amp;""[\w &amp;]*, (\d+\.\d+)""),"""")
"),"")</f>
        <v/>
      </c>
      <c r="J874" s="3" t="str">
        <f aca="false">IFERROR(__xludf.dummyfunction("if($T874&lt;&gt;"""",REGEXEXTRACT($T874, J$1&amp;""[\w &amp;]*, (\d+\.\d+)""),"""")
"),"")</f>
        <v/>
      </c>
      <c r="K874" s="3"/>
      <c r="L874" s="3" t="str">
        <f aca="false">IFERROR(__xludf.dummyfunction("if($T874&lt;&gt;"""",REGEXEXTRACT(SUBSTITUTE ($T874,L$1&amp;"" CE"",""""), L$1&amp;""[\w &amp;]*, (\d+\.\d+)""),"""")
"),"")</f>
        <v/>
      </c>
      <c r="M874" s="3" t="str">
        <f aca="false">IFERROR(__xludf.dummyfunction("if($T874&lt;&gt;"""",REGEXEXTRACT($T874, M$1&amp;""[\w &amp;]*, (\d+\.\d+)""),"""")
"),"")</f>
        <v/>
      </c>
      <c r="N874" s="3" t="str">
        <f aca="false">IFERROR(__xludf.dummyfunction("if($T874&lt;&gt;"""",REGEXEXTRACT(SUBSTITUTE ($T874,N$1&amp;"" CE"",""""), N$1&amp;""[\w &amp;]*, (\d+\.\d+)""),"""")
"),"")</f>
        <v/>
      </c>
      <c r="O874" s="3" t="str">
        <f aca="false">IFERROR(__xludf.dummyfunction("if($T874&lt;&gt;"""",REGEXEXTRACT($T874, O$1&amp;""[\w &amp;]*, (\d+\.\d+)""),"""")
"),"")</f>
        <v/>
      </c>
      <c r="P874" s="2"/>
      <c r="Q874" s="2"/>
      <c r="R874" s="2"/>
      <c r="S874" s="2"/>
      <c r="T874" s="5"/>
    </row>
    <row r="875" customFormat="false" ht="15.75" hidden="false" customHeight="false" outlineLevel="0" collapsed="false">
      <c r="A875" s="4"/>
      <c r="B875" s="2"/>
      <c r="C875" s="2"/>
      <c r="D875" s="2"/>
      <c r="E875" s="2"/>
      <c r="F875" s="3" t="str">
        <f aca="false">IFERROR(__xludf.dummyfunction("if($T875&lt;&gt;"""",REGEXEXTRACT(SUBSTITUTE ($T875,F$1&amp;"" CE"",""""), F$1&amp;""[\w &amp;]*, (\d+\.\d+)""),"""")
"),"")</f>
        <v/>
      </c>
      <c r="G875" s="3" t="str">
        <f aca="false">IFERROR(__xludf.dummyfunction("if($T875&lt;&gt;"""",REGEXEXTRACT($T875, G$1&amp;""[\w &amp;]*, (\d+\.\d+)""),"""")
"),"")</f>
        <v/>
      </c>
      <c r="H875" s="3"/>
      <c r="I875" s="3" t="str">
        <f aca="false">IFERROR(__xludf.dummyfunction("if($T875&lt;&gt;"""",REGEXEXTRACT(SUBSTITUTE ($T875,I$1&amp;"" CE"",""""), I$1&amp;""[\w &amp;]*, (\d+\.\d+)""),"""")
"),"")</f>
        <v/>
      </c>
      <c r="J875" s="3" t="str">
        <f aca="false">IFERROR(__xludf.dummyfunction("if($T875&lt;&gt;"""",REGEXEXTRACT($T875, J$1&amp;""[\w &amp;]*, (\d+\.\d+)""),"""")
"),"")</f>
        <v/>
      </c>
      <c r="K875" s="3"/>
      <c r="L875" s="3" t="str">
        <f aca="false">IFERROR(__xludf.dummyfunction("if($T875&lt;&gt;"""",REGEXEXTRACT(SUBSTITUTE ($T875,L$1&amp;"" CE"",""""), L$1&amp;""[\w &amp;]*, (\d+\.\d+)""),"""")
"),"")</f>
        <v/>
      </c>
      <c r="M875" s="3" t="str">
        <f aca="false">IFERROR(__xludf.dummyfunction("if($T875&lt;&gt;"""",REGEXEXTRACT($T875, M$1&amp;""[\w &amp;]*, (\d+\.\d+)""),"""")
"),"")</f>
        <v/>
      </c>
      <c r="N875" s="3" t="str">
        <f aca="false">IFERROR(__xludf.dummyfunction("if($T875&lt;&gt;"""",REGEXEXTRACT(SUBSTITUTE ($T875,N$1&amp;"" CE"",""""), N$1&amp;""[\w &amp;]*, (\d+\.\d+)""),"""")
"),"")</f>
        <v/>
      </c>
      <c r="O875" s="3" t="str">
        <f aca="false">IFERROR(__xludf.dummyfunction("if($T875&lt;&gt;"""",REGEXEXTRACT($T875, O$1&amp;""[\w &amp;]*, (\d+\.\d+)""),"""")
"),"")</f>
        <v/>
      </c>
      <c r="P875" s="2"/>
      <c r="Q875" s="2"/>
      <c r="R875" s="2"/>
      <c r="S875" s="2"/>
      <c r="T875" s="5"/>
    </row>
    <row r="876" customFormat="false" ht="15.75" hidden="false" customHeight="false" outlineLevel="0" collapsed="false">
      <c r="A876" s="4"/>
      <c r="B876" s="2"/>
      <c r="C876" s="2"/>
      <c r="D876" s="2"/>
      <c r="E876" s="2"/>
      <c r="F876" s="3" t="str">
        <f aca="false">IFERROR(__xludf.dummyfunction("if($T876&lt;&gt;"""",REGEXEXTRACT(SUBSTITUTE ($T876,F$1&amp;"" CE"",""""), F$1&amp;""[\w &amp;]*, (\d+\.\d+)""),"""")
"),"")</f>
        <v/>
      </c>
      <c r="G876" s="3" t="str">
        <f aca="false">IFERROR(__xludf.dummyfunction("if($T876&lt;&gt;"""",REGEXEXTRACT($T876, G$1&amp;""[\w &amp;]*, (\d+\.\d+)""),"""")
"),"")</f>
        <v/>
      </c>
      <c r="H876" s="3"/>
      <c r="I876" s="3" t="str">
        <f aca="false">IFERROR(__xludf.dummyfunction("if($T876&lt;&gt;"""",REGEXEXTRACT(SUBSTITUTE ($T876,I$1&amp;"" CE"",""""), I$1&amp;""[\w &amp;]*, (\d+\.\d+)""),"""")
"),"")</f>
        <v/>
      </c>
      <c r="J876" s="3" t="str">
        <f aca="false">IFERROR(__xludf.dummyfunction("if($T876&lt;&gt;"""",REGEXEXTRACT($T876, J$1&amp;""[\w &amp;]*, (\d+\.\d+)""),"""")
"),"")</f>
        <v/>
      </c>
      <c r="K876" s="3"/>
      <c r="L876" s="3" t="str">
        <f aca="false">IFERROR(__xludf.dummyfunction("if($T876&lt;&gt;"""",REGEXEXTRACT(SUBSTITUTE ($T876,L$1&amp;"" CE"",""""), L$1&amp;""[\w &amp;]*, (\d+\.\d+)""),"""")
"),"")</f>
        <v/>
      </c>
      <c r="M876" s="3" t="str">
        <f aca="false">IFERROR(__xludf.dummyfunction("if($T876&lt;&gt;"""",REGEXEXTRACT($T876, M$1&amp;""[\w &amp;]*, (\d+\.\d+)""),"""")
"),"")</f>
        <v/>
      </c>
      <c r="N876" s="3" t="str">
        <f aca="false">IFERROR(__xludf.dummyfunction("if($T876&lt;&gt;"""",REGEXEXTRACT(SUBSTITUTE ($T876,N$1&amp;"" CE"",""""), N$1&amp;""[\w &amp;]*, (\d+\.\d+)""),"""")
"),"")</f>
        <v/>
      </c>
      <c r="O876" s="3" t="str">
        <f aca="false">IFERROR(__xludf.dummyfunction("if($T876&lt;&gt;"""",REGEXEXTRACT($T876, O$1&amp;""[\w &amp;]*, (\d+\.\d+)""),"""")
"),"")</f>
        <v/>
      </c>
      <c r="P876" s="2"/>
      <c r="Q876" s="2"/>
      <c r="R876" s="2"/>
      <c r="S876" s="2"/>
      <c r="T876" s="5"/>
    </row>
    <row r="877" customFormat="false" ht="15.75" hidden="false" customHeight="false" outlineLevel="0" collapsed="false">
      <c r="A877" s="4"/>
      <c r="B877" s="2"/>
      <c r="C877" s="2"/>
      <c r="D877" s="2"/>
      <c r="E877" s="2"/>
      <c r="F877" s="3" t="str">
        <f aca="false">IFERROR(__xludf.dummyfunction("if($T877&lt;&gt;"""",REGEXEXTRACT(SUBSTITUTE ($T877,F$1&amp;"" CE"",""""), F$1&amp;""[\w &amp;]*, (\d+\.\d+)""),"""")
"),"")</f>
        <v/>
      </c>
      <c r="G877" s="3" t="str">
        <f aca="false">IFERROR(__xludf.dummyfunction("if($T877&lt;&gt;"""",REGEXEXTRACT($T877, G$1&amp;""[\w &amp;]*, (\d+\.\d+)""),"""")
"),"")</f>
        <v/>
      </c>
      <c r="H877" s="3"/>
      <c r="I877" s="3" t="str">
        <f aca="false">IFERROR(__xludf.dummyfunction("if($T877&lt;&gt;"""",REGEXEXTRACT(SUBSTITUTE ($T877,I$1&amp;"" CE"",""""), I$1&amp;""[\w &amp;]*, (\d+\.\d+)""),"""")
"),"")</f>
        <v/>
      </c>
      <c r="J877" s="3" t="str">
        <f aca="false">IFERROR(__xludf.dummyfunction("if($T877&lt;&gt;"""",REGEXEXTRACT($T877, J$1&amp;""[\w &amp;]*, (\d+\.\d+)""),"""")
"),"")</f>
        <v/>
      </c>
      <c r="K877" s="3"/>
      <c r="L877" s="3" t="str">
        <f aca="false">IFERROR(__xludf.dummyfunction("if($T877&lt;&gt;"""",REGEXEXTRACT(SUBSTITUTE ($T877,L$1&amp;"" CE"",""""), L$1&amp;""[\w &amp;]*, (\d+\.\d+)""),"""")
"),"")</f>
        <v/>
      </c>
      <c r="M877" s="3" t="str">
        <f aca="false">IFERROR(__xludf.dummyfunction("if($T877&lt;&gt;"""",REGEXEXTRACT($T877, M$1&amp;""[\w &amp;]*, (\d+\.\d+)""),"""")
"),"")</f>
        <v/>
      </c>
      <c r="N877" s="3" t="str">
        <f aca="false">IFERROR(__xludf.dummyfunction("if($T877&lt;&gt;"""",REGEXEXTRACT(SUBSTITUTE ($T877,N$1&amp;"" CE"",""""), N$1&amp;""[\w &amp;]*, (\d+\.\d+)""),"""")
"),"")</f>
        <v/>
      </c>
      <c r="O877" s="3" t="str">
        <f aca="false">IFERROR(__xludf.dummyfunction("if($T877&lt;&gt;"""",REGEXEXTRACT($T877, O$1&amp;""[\w &amp;]*, (\d+\.\d+)""),"""")
"),"")</f>
        <v/>
      </c>
      <c r="P877" s="2"/>
      <c r="Q877" s="2"/>
      <c r="R877" s="2"/>
      <c r="S877" s="2"/>
      <c r="T877" s="5"/>
    </row>
    <row r="878" customFormat="false" ht="15.75" hidden="false" customHeight="false" outlineLevel="0" collapsed="false">
      <c r="A878" s="4"/>
      <c r="B878" s="2"/>
      <c r="C878" s="2"/>
      <c r="D878" s="2"/>
      <c r="E878" s="2"/>
      <c r="F878" s="3" t="str">
        <f aca="false">IFERROR(__xludf.dummyfunction("if($T878&lt;&gt;"""",REGEXEXTRACT(SUBSTITUTE ($T878,F$1&amp;"" CE"",""""), F$1&amp;""[\w &amp;]*, (\d+\.\d+)""),"""")
"),"")</f>
        <v/>
      </c>
      <c r="G878" s="3" t="str">
        <f aca="false">IFERROR(__xludf.dummyfunction("if($T878&lt;&gt;"""",REGEXEXTRACT($T878, G$1&amp;""[\w &amp;]*, (\d+\.\d+)""),"""")
"),"")</f>
        <v/>
      </c>
      <c r="H878" s="3"/>
      <c r="I878" s="3" t="str">
        <f aca="false">IFERROR(__xludf.dummyfunction("if($T878&lt;&gt;"""",REGEXEXTRACT(SUBSTITUTE ($T878,I$1&amp;"" CE"",""""), I$1&amp;""[\w &amp;]*, (\d+\.\d+)""),"""")
"),"")</f>
        <v/>
      </c>
      <c r="J878" s="3" t="str">
        <f aca="false">IFERROR(__xludf.dummyfunction("if($T878&lt;&gt;"""",REGEXEXTRACT($T878, J$1&amp;""[\w &amp;]*, (\d+\.\d+)""),"""")
"),"")</f>
        <v/>
      </c>
      <c r="K878" s="3"/>
      <c r="L878" s="3" t="str">
        <f aca="false">IFERROR(__xludf.dummyfunction("if($T878&lt;&gt;"""",REGEXEXTRACT(SUBSTITUTE ($T878,L$1&amp;"" CE"",""""), L$1&amp;""[\w &amp;]*, (\d+\.\d+)""),"""")
"),"")</f>
        <v/>
      </c>
      <c r="M878" s="3" t="str">
        <f aca="false">IFERROR(__xludf.dummyfunction("if($T878&lt;&gt;"""",REGEXEXTRACT($T878, M$1&amp;""[\w &amp;]*, (\d+\.\d+)""),"""")
"),"")</f>
        <v/>
      </c>
      <c r="N878" s="3" t="str">
        <f aca="false">IFERROR(__xludf.dummyfunction("if($T878&lt;&gt;"""",REGEXEXTRACT(SUBSTITUTE ($T878,N$1&amp;"" CE"",""""), N$1&amp;""[\w &amp;]*, (\d+\.\d+)""),"""")
"),"")</f>
        <v/>
      </c>
      <c r="O878" s="3" t="str">
        <f aca="false">IFERROR(__xludf.dummyfunction("if($T878&lt;&gt;"""",REGEXEXTRACT($T878, O$1&amp;""[\w &amp;]*, (\d+\.\d+)""),"""")
"),"")</f>
        <v/>
      </c>
      <c r="P878" s="2"/>
      <c r="Q878" s="2"/>
      <c r="R878" s="2"/>
      <c r="S878" s="2"/>
      <c r="T878" s="5"/>
    </row>
    <row r="879" customFormat="false" ht="15.75" hidden="false" customHeight="false" outlineLevel="0" collapsed="false">
      <c r="A879" s="4"/>
      <c r="B879" s="2"/>
      <c r="C879" s="2"/>
      <c r="D879" s="2"/>
      <c r="E879" s="2"/>
      <c r="F879" s="3" t="str">
        <f aca="false">IFERROR(__xludf.dummyfunction("if($T879&lt;&gt;"""",REGEXEXTRACT(SUBSTITUTE ($T879,F$1&amp;"" CE"",""""), F$1&amp;""[\w &amp;]*, (\d+\.\d+)""),"""")
"),"")</f>
        <v/>
      </c>
      <c r="G879" s="3" t="str">
        <f aca="false">IFERROR(__xludf.dummyfunction("if($T879&lt;&gt;"""",REGEXEXTRACT($T879, G$1&amp;""[\w &amp;]*, (\d+\.\d+)""),"""")
"),"")</f>
        <v/>
      </c>
      <c r="H879" s="3"/>
      <c r="I879" s="3" t="str">
        <f aca="false">IFERROR(__xludf.dummyfunction("if($T879&lt;&gt;"""",REGEXEXTRACT(SUBSTITUTE ($T879,I$1&amp;"" CE"",""""), I$1&amp;""[\w &amp;]*, (\d+\.\d+)""),"""")
"),"")</f>
        <v/>
      </c>
      <c r="J879" s="3" t="str">
        <f aca="false">IFERROR(__xludf.dummyfunction("if($T879&lt;&gt;"""",REGEXEXTRACT($T879, J$1&amp;""[\w &amp;]*, (\d+\.\d+)""),"""")
"),"")</f>
        <v/>
      </c>
      <c r="K879" s="3"/>
      <c r="L879" s="3" t="str">
        <f aca="false">IFERROR(__xludf.dummyfunction("if($T879&lt;&gt;"""",REGEXEXTRACT(SUBSTITUTE ($T879,L$1&amp;"" CE"",""""), L$1&amp;""[\w &amp;]*, (\d+\.\d+)""),"""")
"),"")</f>
        <v/>
      </c>
      <c r="M879" s="3" t="str">
        <f aca="false">IFERROR(__xludf.dummyfunction("if($T879&lt;&gt;"""",REGEXEXTRACT($T879, M$1&amp;""[\w &amp;]*, (\d+\.\d+)""),"""")
"),"")</f>
        <v/>
      </c>
      <c r="N879" s="3" t="str">
        <f aca="false">IFERROR(__xludf.dummyfunction("if($T879&lt;&gt;"""",REGEXEXTRACT(SUBSTITUTE ($T879,N$1&amp;"" CE"",""""), N$1&amp;""[\w &amp;]*, (\d+\.\d+)""),"""")
"),"")</f>
        <v/>
      </c>
      <c r="O879" s="3" t="str">
        <f aca="false">IFERROR(__xludf.dummyfunction("if($T879&lt;&gt;"""",REGEXEXTRACT($T879, O$1&amp;""[\w &amp;]*, (\d+\.\d+)""),"""")
"),"")</f>
        <v/>
      </c>
      <c r="P879" s="2"/>
      <c r="Q879" s="2"/>
      <c r="R879" s="2"/>
      <c r="S879" s="2"/>
      <c r="T879" s="5"/>
    </row>
    <row r="880" customFormat="false" ht="15.75" hidden="false" customHeight="false" outlineLevel="0" collapsed="false">
      <c r="A880" s="4"/>
      <c r="B880" s="2"/>
      <c r="C880" s="2"/>
      <c r="D880" s="2"/>
      <c r="E880" s="2"/>
      <c r="F880" s="3" t="str">
        <f aca="false">IFERROR(__xludf.dummyfunction("if($T880&lt;&gt;"""",REGEXEXTRACT(SUBSTITUTE ($T880,F$1&amp;"" CE"",""""), F$1&amp;""[\w &amp;]*, (\d+\.\d+)""),"""")
"),"")</f>
        <v/>
      </c>
      <c r="G880" s="3" t="str">
        <f aca="false">IFERROR(__xludf.dummyfunction("if($T880&lt;&gt;"""",REGEXEXTRACT($T880, G$1&amp;""[\w &amp;]*, (\d+\.\d+)""),"""")
"),"")</f>
        <v/>
      </c>
      <c r="H880" s="3"/>
      <c r="I880" s="3" t="str">
        <f aca="false">IFERROR(__xludf.dummyfunction("if($T880&lt;&gt;"""",REGEXEXTRACT(SUBSTITUTE ($T880,I$1&amp;"" CE"",""""), I$1&amp;""[\w &amp;]*, (\d+\.\d+)""),"""")
"),"")</f>
        <v/>
      </c>
      <c r="J880" s="3" t="str">
        <f aca="false">IFERROR(__xludf.dummyfunction("if($T880&lt;&gt;"""",REGEXEXTRACT($T880, J$1&amp;""[\w &amp;]*, (\d+\.\d+)""),"""")
"),"")</f>
        <v/>
      </c>
      <c r="K880" s="3"/>
      <c r="L880" s="3" t="str">
        <f aca="false">IFERROR(__xludf.dummyfunction("if($T880&lt;&gt;"""",REGEXEXTRACT(SUBSTITUTE ($T880,L$1&amp;"" CE"",""""), L$1&amp;""[\w &amp;]*, (\d+\.\d+)""),"""")
"),"")</f>
        <v/>
      </c>
      <c r="M880" s="3" t="str">
        <f aca="false">IFERROR(__xludf.dummyfunction("if($T880&lt;&gt;"""",REGEXEXTRACT($T880, M$1&amp;""[\w &amp;]*, (\d+\.\d+)""),"""")
"),"")</f>
        <v/>
      </c>
      <c r="N880" s="3" t="str">
        <f aca="false">IFERROR(__xludf.dummyfunction("if($T880&lt;&gt;"""",REGEXEXTRACT(SUBSTITUTE ($T880,N$1&amp;"" CE"",""""), N$1&amp;""[\w &amp;]*, (\d+\.\d+)""),"""")
"),"")</f>
        <v/>
      </c>
      <c r="O880" s="3" t="str">
        <f aca="false">IFERROR(__xludf.dummyfunction("if($T880&lt;&gt;"""",REGEXEXTRACT($T880, O$1&amp;""[\w &amp;]*, (\d+\.\d+)""),"""")
"),"")</f>
        <v/>
      </c>
      <c r="P880" s="2"/>
      <c r="Q880" s="2"/>
      <c r="R880" s="2"/>
      <c r="S880" s="2"/>
      <c r="T880" s="5"/>
    </row>
    <row r="881" customFormat="false" ht="15.75" hidden="false" customHeight="false" outlineLevel="0" collapsed="false">
      <c r="A881" s="4"/>
      <c r="B881" s="2"/>
      <c r="C881" s="2"/>
      <c r="D881" s="2"/>
      <c r="E881" s="2"/>
      <c r="F881" s="3" t="str">
        <f aca="false">IFERROR(__xludf.dummyfunction("if($T881&lt;&gt;"""",REGEXEXTRACT(SUBSTITUTE ($T881,F$1&amp;"" CE"",""""), F$1&amp;""[\w &amp;]*, (\d+\.\d+)""),"""")
"),"")</f>
        <v/>
      </c>
      <c r="G881" s="3" t="str">
        <f aca="false">IFERROR(__xludf.dummyfunction("if($T881&lt;&gt;"""",REGEXEXTRACT($T881, G$1&amp;""[\w &amp;]*, (\d+\.\d+)""),"""")
"),"")</f>
        <v/>
      </c>
      <c r="H881" s="3"/>
      <c r="I881" s="3" t="str">
        <f aca="false">IFERROR(__xludf.dummyfunction("if($T881&lt;&gt;"""",REGEXEXTRACT(SUBSTITUTE ($T881,I$1&amp;"" CE"",""""), I$1&amp;""[\w &amp;]*, (\d+\.\d+)""),"""")
"),"")</f>
        <v/>
      </c>
      <c r="J881" s="3" t="str">
        <f aca="false">IFERROR(__xludf.dummyfunction("if($T881&lt;&gt;"""",REGEXEXTRACT($T881, J$1&amp;""[\w &amp;]*, (\d+\.\d+)""),"""")
"),"")</f>
        <v/>
      </c>
      <c r="K881" s="3"/>
      <c r="L881" s="3" t="str">
        <f aca="false">IFERROR(__xludf.dummyfunction("if($T881&lt;&gt;"""",REGEXEXTRACT(SUBSTITUTE ($T881,L$1&amp;"" CE"",""""), L$1&amp;""[\w &amp;]*, (\d+\.\d+)""),"""")
"),"")</f>
        <v/>
      </c>
      <c r="M881" s="3" t="str">
        <f aca="false">IFERROR(__xludf.dummyfunction("if($T881&lt;&gt;"""",REGEXEXTRACT($T881, M$1&amp;""[\w &amp;]*, (\d+\.\d+)""),"""")
"),"")</f>
        <v/>
      </c>
      <c r="N881" s="3" t="str">
        <f aca="false">IFERROR(__xludf.dummyfunction("if($T881&lt;&gt;"""",REGEXEXTRACT(SUBSTITUTE ($T881,N$1&amp;"" CE"",""""), N$1&amp;""[\w &amp;]*, (\d+\.\d+)""),"""")
"),"")</f>
        <v/>
      </c>
      <c r="O881" s="3" t="str">
        <f aca="false">IFERROR(__xludf.dummyfunction("if($T881&lt;&gt;"""",REGEXEXTRACT($T881, O$1&amp;""[\w &amp;]*, (\d+\.\d+)""),"""")
"),"")</f>
        <v/>
      </c>
      <c r="P881" s="2"/>
      <c r="Q881" s="2"/>
      <c r="R881" s="2"/>
      <c r="S881" s="2"/>
      <c r="T881" s="5"/>
    </row>
    <row r="882" customFormat="false" ht="15.75" hidden="false" customHeight="false" outlineLevel="0" collapsed="false">
      <c r="A882" s="4"/>
      <c r="B882" s="2"/>
      <c r="C882" s="2"/>
      <c r="D882" s="2"/>
      <c r="E882" s="2"/>
      <c r="F882" s="3" t="str">
        <f aca="false">IFERROR(__xludf.dummyfunction("if($T882&lt;&gt;"""",REGEXEXTRACT(SUBSTITUTE ($T882,F$1&amp;"" CE"",""""), F$1&amp;""[\w &amp;]*, (\d+\.\d+)""),"""")
"),"")</f>
        <v/>
      </c>
      <c r="G882" s="3" t="str">
        <f aca="false">IFERROR(__xludf.dummyfunction("if($T882&lt;&gt;"""",REGEXEXTRACT($T882, G$1&amp;""[\w &amp;]*, (\d+\.\d+)""),"""")
"),"")</f>
        <v/>
      </c>
      <c r="H882" s="3"/>
      <c r="I882" s="3" t="str">
        <f aca="false">IFERROR(__xludf.dummyfunction("if($T882&lt;&gt;"""",REGEXEXTRACT(SUBSTITUTE ($T882,I$1&amp;"" CE"",""""), I$1&amp;""[\w &amp;]*, (\d+\.\d+)""),"""")
"),"")</f>
        <v/>
      </c>
      <c r="J882" s="3" t="str">
        <f aca="false">IFERROR(__xludf.dummyfunction("if($T882&lt;&gt;"""",REGEXEXTRACT($T882, J$1&amp;""[\w &amp;]*, (\d+\.\d+)""),"""")
"),"")</f>
        <v/>
      </c>
      <c r="K882" s="3"/>
      <c r="L882" s="3" t="str">
        <f aca="false">IFERROR(__xludf.dummyfunction("if($T882&lt;&gt;"""",REGEXEXTRACT(SUBSTITUTE ($T882,L$1&amp;"" CE"",""""), L$1&amp;""[\w &amp;]*, (\d+\.\d+)""),"""")
"),"")</f>
        <v/>
      </c>
      <c r="M882" s="3" t="str">
        <f aca="false">IFERROR(__xludf.dummyfunction("if($T882&lt;&gt;"""",REGEXEXTRACT($T882, M$1&amp;""[\w &amp;]*, (\d+\.\d+)""),"""")
"),"")</f>
        <v/>
      </c>
      <c r="N882" s="3" t="str">
        <f aca="false">IFERROR(__xludf.dummyfunction("if($T882&lt;&gt;"""",REGEXEXTRACT(SUBSTITUTE ($T882,N$1&amp;"" CE"",""""), N$1&amp;""[\w &amp;]*, (\d+\.\d+)""),"""")
"),"")</f>
        <v/>
      </c>
      <c r="O882" s="3" t="str">
        <f aca="false">IFERROR(__xludf.dummyfunction("if($T882&lt;&gt;"""",REGEXEXTRACT($T882, O$1&amp;""[\w &amp;]*, (\d+\.\d+)""),"""")
"),"")</f>
        <v/>
      </c>
      <c r="P882" s="2"/>
      <c r="Q882" s="2"/>
      <c r="R882" s="2"/>
      <c r="S882" s="2"/>
      <c r="T882" s="5"/>
    </row>
    <row r="883" customFormat="false" ht="15.75" hidden="false" customHeight="false" outlineLevel="0" collapsed="false">
      <c r="A883" s="4"/>
      <c r="B883" s="2"/>
      <c r="C883" s="2"/>
      <c r="D883" s="2"/>
      <c r="E883" s="2"/>
      <c r="F883" s="3" t="str">
        <f aca="false">IFERROR(__xludf.dummyfunction("if($T883&lt;&gt;"""",REGEXEXTRACT(SUBSTITUTE ($T883,F$1&amp;"" CE"",""""), F$1&amp;""[\w &amp;]*, (\d+\.\d+)""),"""")
"),"")</f>
        <v/>
      </c>
      <c r="G883" s="3" t="str">
        <f aca="false">IFERROR(__xludf.dummyfunction("if($T883&lt;&gt;"""",REGEXEXTRACT($T883, G$1&amp;""[\w &amp;]*, (\d+\.\d+)""),"""")
"),"")</f>
        <v/>
      </c>
      <c r="H883" s="3"/>
      <c r="I883" s="3" t="str">
        <f aca="false">IFERROR(__xludf.dummyfunction("if($T883&lt;&gt;"""",REGEXEXTRACT(SUBSTITUTE ($T883,I$1&amp;"" CE"",""""), I$1&amp;""[\w &amp;]*, (\d+\.\d+)""),"""")
"),"")</f>
        <v/>
      </c>
      <c r="J883" s="3" t="str">
        <f aca="false">IFERROR(__xludf.dummyfunction("if($T883&lt;&gt;"""",REGEXEXTRACT($T883, J$1&amp;""[\w &amp;]*, (\d+\.\d+)""),"""")
"),"")</f>
        <v/>
      </c>
      <c r="K883" s="3"/>
      <c r="L883" s="3" t="str">
        <f aca="false">IFERROR(__xludf.dummyfunction("if($T883&lt;&gt;"""",REGEXEXTRACT(SUBSTITUTE ($T883,L$1&amp;"" CE"",""""), L$1&amp;""[\w &amp;]*, (\d+\.\d+)""),"""")
"),"")</f>
        <v/>
      </c>
      <c r="M883" s="3" t="str">
        <f aca="false">IFERROR(__xludf.dummyfunction("if($T883&lt;&gt;"""",REGEXEXTRACT($T883, M$1&amp;""[\w &amp;]*, (\d+\.\d+)""),"""")
"),"")</f>
        <v/>
      </c>
      <c r="N883" s="3" t="str">
        <f aca="false">IFERROR(__xludf.dummyfunction("if($T883&lt;&gt;"""",REGEXEXTRACT(SUBSTITUTE ($T883,N$1&amp;"" CE"",""""), N$1&amp;""[\w &amp;]*, (\d+\.\d+)""),"""")
"),"")</f>
        <v/>
      </c>
      <c r="O883" s="3" t="str">
        <f aca="false">IFERROR(__xludf.dummyfunction("if($T883&lt;&gt;"""",REGEXEXTRACT($T883, O$1&amp;""[\w &amp;]*, (\d+\.\d+)""),"""")
"),"")</f>
        <v/>
      </c>
      <c r="P883" s="2"/>
      <c r="Q883" s="2"/>
      <c r="R883" s="2"/>
      <c r="S883" s="2"/>
      <c r="T883" s="5"/>
    </row>
    <row r="884" customFormat="false" ht="15.75" hidden="false" customHeight="false" outlineLevel="0" collapsed="false">
      <c r="A884" s="4"/>
      <c r="B884" s="2"/>
      <c r="C884" s="2"/>
      <c r="D884" s="2"/>
      <c r="E884" s="2"/>
      <c r="F884" s="3" t="str">
        <f aca="false">IFERROR(__xludf.dummyfunction("if($T884&lt;&gt;"""",REGEXEXTRACT(SUBSTITUTE ($T884,F$1&amp;"" CE"",""""), F$1&amp;""[\w &amp;]*, (\d+\.\d+)""),"""")
"),"")</f>
        <v/>
      </c>
      <c r="G884" s="3" t="str">
        <f aca="false">IFERROR(__xludf.dummyfunction("if($T884&lt;&gt;"""",REGEXEXTRACT($T884, G$1&amp;""[\w &amp;]*, (\d+\.\d+)""),"""")
"),"")</f>
        <v/>
      </c>
      <c r="H884" s="3"/>
      <c r="I884" s="3" t="str">
        <f aca="false">IFERROR(__xludf.dummyfunction("if($T884&lt;&gt;"""",REGEXEXTRACT(SUBSTITUTE ($T884,I$1&amp;"" CE"",""""), I$1&amp;""[\w &amp;]*, (\d+\.\d+)""),"""")
"),"")</f>
        <v/>
      </c>
      <c r="J884" s="3" t="str">
        <f aca="false">IFERROR(__xludf.dummyfunction("if($T884&lt;&gt;"""",REGEXEXTRACT($T884, J$1&amp;""[\w &amp;]*, (\d+\.\d+)""),"""")
"),"")</f>
        <v/>
      </c>
      <c r="K884" s="3"/>
      <c r="L884" s="3" t="str">
        <f aca="false">IFERROR(__xludf.dummyfunction("if($T884&lt;&gt;"""",REGEXEXTRACT(SUBSTITUTE ($T884,L$1&amp;"" CE"",""""), L$1&amp;""[\w &amp;]*, (\d+\.\d+)""),"""")
"),"")</f>
        <v/>
      </c>
      <c r="M884" s="3" t="str">
        <f aca="false">IFERROR(__xludf.dummyfunction("if($T884&lt;&gt;"""",REGEXEXTRACT($T884, M$1&amp;""[\w &amp;]*, (\d+\.\d+)""),"""")
"),"")</f>
        <v/>
      </c>
      <c r="N884" s="3" t="str">
        <f aca="false">IFERROR(__xludf.dummyfunction("if($T884&lt;&gt;"""",REGEXEXTRACT(SUBSTITUTE ($T884,N$1&amp;"" CE"",""""), N$1&amp;""[\w &amp;]*, (\d+\.\d+)""),"""")
"),"")</f>
        <v/>
      </c>
      <c r="O884" s="3" t="str">
        <f aca="false">IFERROR(__xludf.dummyfunction("if($T884&lt;&gt;"""",REGEXEXTRACT($T884, O$1&amp;""[\w &amp;]*, (\d+\.\d+)""),"""")
"),"")</f>
        <v/>
      </c>
      <c r="P884" s="2"/>
      <c r="Q884" s="2"/>
      <c r="R884" s="2"/>
      <c r="S884" s="2"/>
      <c r="T884" s="5"/>
    </row>
    <row r="885" customFormat="false" ht="15.75" hidden="false" customHeight="false" outlineLevel="0" collapsed="false">
      <c r="A885" s="4"/>
      <c r="B885" s="2"/>
      <c r="C885" s="2"/>
      <c r="D885" s="2"/>
      <c r="E885" s="2"/>
      <c r="F885" s="3" t="str">
        <f aca="false">IFERROR(__xludf.dummyfunction("if($T885&lt;&gt;"""",REGEXEXTRACT(SUBSTITUTE ($T885,F$1&amp;"" CE"",""""), F$1&amp;""[\w &amp;]*, (\d+\.\d+)""),"""")
"),"")</f>
        <v/>
      </c>
      <c r="G885" s="3" t="str">
        <f aca="false">IFERROR(__xludf.dummyfunction("if($T885&lt;&gt;"""",REGEXEXTRACT($T885, G$1&amp;""[\w &amp;]*, (\d+\.\d+)""),"""")
"),"")</f>
        <v/>
      </c>
      <c r="H885" s="3"/>
      <c r="I885" s="3" t="str">
        <f aca="false">IFERROR(__xludf.dummyfunction("if($T885&lt;&gt;"""",REGEXEXTRACT(SUBSTITUTE ($T885,I$1&amp;"" CE"",""""), I$1&amp;""[\w &amp;]*, (\d+\.\d+)""),"""")
"),"")</f>
        <v/>
      </c>
      <c r="J885" s="3" t="str">
        <f aca="false">IFERROR(__xludf.dummyfunction("if($T885&lt;&gt;"""",REGEXEXTRACT($T885, J$1&amp;""[\w &amp;]*, (\d+\.\d+)""),"""")
"),"")</f>
        <v/>
      </c>
      <c r="K885" s="3"/>
      <c r="L885" s="3" t="str">
        <f aca="false">IFERROR(__xludf.dummyfunction("if($T885&lt;&gt;"""",REGEXEXTRACT(SUBSTITUTE ($T885,L$1&amp;"" CE"",""""), L$1&amp;""[\w &amp;]*, (\d+\.\d+)""),"""")
"),"")</f>
        <v/>
      </c>
      <c r="M885" s="3" t="str">
        <f aca="false">IFERROR(__xludf.dummyfunction("if($T885&lt;&gt;"""",REGEXEXTRACT($T885, M$1&amp;""[\w &amp;]*, (\d+\.\d+)""),"""")
"),"")</f>
        <v/>
      </c>
      <c r="N885" s="3" t="str">
        <f aca="false">IFERROR(__xludf.dummyfunction("if($T885&lt;&gt;"""",REGEXEXTRACT(SUBSTITUTE ($T885,N$1&amp;"" CE"",""""), N$1&amp;""[\w &amp;]*, (\d+\.\d+)""),"""")
"),"")</f>
        <v/>
      </c>
      <c r="O885" s="3" t="str">
        <f aca="false">IFERROR(__xludf.dummyfunction("if($T885&lt;&gt;"""",REGEXEXTRACT($T885, O$1&amp;""[\w &amp;]*, (\d+\.\d+)""),"""")
"),"")</f>
        <v/>
      </c>
      <c r="P885" s="2"/>
      <c r="Q885" s="2"/>
      <c r="R885" s="2"/>
      <c r="S885" s="2"/>
      <c r="T885" s="5"/>
    </row>
    <row r="886" customFormat="false" ht="15.75" hidden="false" customHeight="false" outlineLevel="0" collapsed="false">
      <c r="A886" s="4"/>
      <c r="B886" s="2"/>
      <c r="C886" s="2"/>
      <c r="D886" s="2"/>
      <c r="E886" s="2"/>
      <c r="F886" s="3" t="str">
        <f aca="false">IFERROR(__xludf.dummyfunction("if($T886&lt;&gt;"""",REGEXEXTRACT(SUBSTITUTE ($T886,F$1&amp;"" CE"",""""), F$1&amp;""[\w &amp;]*, (\d+\.\d+)""),"""")
"),"")</f>
        <v/>
      </c>
      <c r="G886" s="3" t="str">
        <f aca="false">IFERROR(__xludf.dummyfunction("if($T886&lt;&gt;"""",REGEXEXTRACT($T886, G$1&amp;""[\w &amp;]*, (\d+\.\d+)""),"""")
"),"")</f>
        <v/>
      </c>
      <c r="H886" s="3"/>
      <c r="I886" s="3" t="str">
        <f aca="false">IFERROR(__xludf.dummyfunction("if($T886&lt;&gt;"""",REGEXEXTRACT(SUBSTITUTE ($T886,I$1&amp;"" CE"",""""), I$1&amp;""[\w &amp;]*, (\d+\.\d+)""),"""")
"),"")</f>
        <v/>
      </c>
      <c r="J886" s="3" t="str">
        <f aca="false">IFERROR(__xludf.dummyfunction("if($T886&lt;&gt;"""",REGEXEXTRACT($T886, J$1&amp;""[\w &amp;]*, (\d+\.\d+)""),"""")
"),"")</f>
        <v/>
      </c>
      <c r="K886" s="3"/>
      <c r="L886" s="3" t="str">
        <f aca="false">IFERROR(__xludf.dummyfunction("if($T886&lt;&gt;"""",REGEXEXTRACT(SUBSTITUTE ($T886,L$1&amp;"" CE"",""""), L$1&amp;""[\w &amp;]*, (\d+\.\d+)""),"""")
"),"")</f>
        <v/>
      </c>
      <c r="M886" s="3" t="str">
        <f aca="false">IFERROR(__xludf.dummyfunction("if($T886&lt;&gt;"""",REGEXEXTRACT($T886, M$1&amp;""[\w &amp;]*, (\d+\.\d+)""),"""")
"),"")</f>
        <v/>
      </c>
      <c r="N886" s="3" t="str">
        <f aca="false">IFERROR(__xludf.dummyfunction("if($T886&lt;&gt;"""",REGEXEXTRACT(SUBSTITUTE ($T886,N$1&amp;"" CE"",""""), N$1&amp;""[\w &amp;]*, (\d+\.\d+)""),"""")
"),"")</f>
        <v/>
      </c>
      <c r="O886" s="3" t="str">
        <f aca="false">IFERROR(__xludf.dummyfunction("if($T886&lt;&gt;"""",REGEXEXTRACT($T886, O$1&amp;""[\w &amp;]*, (\d+\.\d+)""),"""")
"),"")</f>
        <v/>
      </c>
      <c r="P886" s="2"/>
      <c r="Q886" s="2"/>
      <c r="R886" s="2"/>
      <c r="S886" s="2"/>
      <c r="T886" s="5"/>
    </row>
    <row r="887" customFormat="false" ht="15.75" hidden="false" customHeight="false" outlineLevel="0" collapsed="false">
      <c r="A887" s="4"/>
      <c r="B887" s="2"/>
      <c r="C887" s="2"/>
      <c r="D887" s="2"/>
      <c r="E887" s="2"/>
      <c r="F887" s="3" t="str">
        <f aca="false">IFERROR(__xludf.dummyfunction("if($T887&lt;&gt;"""",REGEXEXTRACT(SUBSTITUTE ($T887,F$1&amp;"" CE"",""""), F$1&amp;""[\w &amp;]*, (\d+\.\d+)""),"""")
"),"")</f>
        <v/>
      </c>
      <c r="G887" s="3" t="str">
        <f aca="false">IFERROR(__xludf.dummyfunction("if($T887&lt;&gt;"""",REGEXEXTRACT($T887, G$1&amp;""[\w &amp;]*, (\d+\.\d+)""),"""")
"),"")</f>
        <v/>
      </c>
      <c r="H887" s="3"/>
      <c r="I887" s="3" t="str">
        <f aca="false">IFERROR(__xludf.dummyfunction("if($T887&lt;&gt;"""",REGEXEXTRACT(SUBSTITUTE ($T887,I$1&amp;"" CE"",""""), I$1&amp;""[\w &amp;]*, (\d+\.\d+)""),"""")
"),"")</f>
        <v/>
      </c>
      <c r="J887" s="3" t="str">
        <f aca="false">IFERROR(__xludf.dummyfunction("if($T887&lt;&gt;"""",REGEXEXTRACT($T887, J$1&amp;""[\w &amp;]*, (\d+\.\d+)""),"""")
"),"")</f>
        <v/>
      </c>
      <c r="K887" s="3"/>
      <c r="L887" s="3" t="str">
        <f aca="false">IFERROR(__xludf.dummyfunction("if($T887&lt;&gt;"""",REGEXEXTRACT(SUBSTITUTE ($T887,L$1&amp;"" CE"",""""), L$1&amp;""[\w &amp;]*, (\d+\.\d+)""),"""")
"),"")</f>
        <v/>
      </c>
      <c r="M887" s="3" t="str">
        <f aca="false">IFERROR(__xludf.dummyfunction("if($T887&lt;&gt;"""",REGEXEXTRACT($T887, M$1&amp;""[\w &amp;]*, (\d+\.\d+)""),"""")
"),"")</f>
        <v/>
      </c>
      <c r="N887" s="3" t="str">
        <f aca="false">IFERROR(__xludf.dummyfunction("if($T887&lt;&gt;"""",REGEXEXTRACT(SUBSTITUTE ($T887,N$1&amp;"" CE"",""""), N$1&amp;""[\w &amp;]*, (\d+\.\d+)""),"""")
"),"")</f>
        <v/>
      </c>
      <c r="O887" s="3" t="str">
        <f aca="false">IFERROR(__xludf.dummyfunction("if($T887&lt;&gt;"""",REGEXEXTRACT($T887, O$1&amp;""[\w &amp;]*, (\d+\.\d+)""),"""")
"),"")</f>
        <v/>
      </c>
      <c r="P887" s="2"/>
      <c r="Q887" s="2"/>
      <c r="R887" s="2"/>
      <c r="S887" s="2"/>
      <c r="T887" s="5"/>
    </row>
    <row r="888" customFormat="false" ht="15.75" hidden="false" customHeight="false" outlineLevel="0" collapsed="false">
      <c r="A888" s="4"/>
      <c r="B888" s="2"/>
      <c r="C888" s="2"/>
      <c r="D888" s="2"/>
      <c r="E888" s="2"/>
      <c r="F888" s="3" t="str">
        <f aca="false">IFERROR(__xludf.dummyfunction("if($T888&lt;&gt;"""",REGEXEXTRACT(SUBSTITUTE ($T888,F$1&amp;"" CE"",""""), F$1&amp;""[\w &amp;]*, (\d+\.\d+)""),"""")
"),"")</f>
        <v/>
      </c>
      <c r="G888" s="3" t="str">
        <f aca="false">IFERROR(__xludf.dummyfunction("if($T888&lt;&gt;"""",REGEXEXTRACT($T888, G$1&amp;""[\w &amp;]*, (\d+\.\d+)""),"""")
"),"")</f>
        <v/>
      </c>
      <c r="H888" s="3"/>
      <c r="I888" s="3" t="str">
        <f aca="false">IFERROR(__xludf.dummyfunction("if($T888&lt;&gt;"""",REGEXEXTRACT(SUBSTITUTE ($T888,I$1&amp;"" CE"",""""), I$1&amp;""[\w &amp;]*, (\d+\.\d+)""),"""")
"),"")</f>
        <v/>
      </c>
      <c r="J888" s="3" t="str">
        <f aca="false">IFERROR(__xludf.dummyfunction("if($T888&lt;&gt;"""",REGEXEXTRACT($T888, J$1&amp;""[\w &amp;]*, (\d+\.\d+)""),"""")
"),"")</f>
        <v/>
      </c>
      <c r="K888" s="3"/>
      <c r="L888" s="3" t="str">
        <f aca="false">IFERROR(__xludf.dummyfunction("if($T888&lt;&gt;"""",REGEXEXTRACT(SUBSTITUTE ($T888,L$1&amp;"" CE"",""""), L$1&amp;""[\w &amp;]*, (\d+\.\d+)""),"""")
"),"")</f>
        <v/>
      </c>
      <c r="M888" s="3" t="str">
        <f aca="false">IFERROR(__xludf.dummyfunction("if($T888&lt;&gt;"""",REGEXEXTRACT($T888, M$1&amp;""[\w &amp;]*, (\d+\.\d+)""),"""")
"),"")</f>
        <v/>
      </c>
      <c r="N888" s="3" t="str">
        <f aca="false">IFERROR(__xludf.dummyfunction("if($T888&lt;&gt;"""",REGEXEXTRACT(SUBSTITUTE ($T888,N$1&amp;"" CE"",""""), N$1&amp;""[\w &amp;]*, (\d+\.\d+)""),"""")
"),"")</f>
        <v/>
      </c>
      <c r="O888" s="3" t="str">
        <f aca="false">IFERROR(__xludf.dummyfunction("if($T888&lt;&gt;"""",REGEXEXTRACT($T888, O$1&amp;""[\w &amp;]*, (\d+\.\d+)""),"""")
"),"")</f>
        <v/>
      </c>
      <c r="P888" s="2"/>
      <c r="Q888" s="2"/>
      <c r="R888" s="2"/>
      <c r="S888" s="2"/>
      <c r="T888" s="5"/>
    </row>
    <row r="889" customFormat="false" ht="15.75" hidden="false" customHeight="false" outlineLevel="0" collapsed="false">
      <c r="A889" s="4"/>
      <c r="B889" s="2"/>
      <c r="C889" s="2"/>
      <c r="D889" s="2"/>
      <c r="E889" s="2"/>
      <c r="F889" s="3" t="str">
        <f aca="false">IFERROR(__xludf.dummyfunction("if($T889&lt;&gt;"""",REGEXEXTRACT(SUBSTITUTE ($T889,F$1&amp;"" CE"",""""), F$1&amp;""[\w &amp;]*, (\d+\.\d+)""),"""")
"),"")</f>
        <v/>
      </c>
      <c r="G889" s="3" t="str">
        <f aca="false">IFERROR(__xludf.dummyfunction("if($T889&lt;&gt;"""",REGEXEXTRACT($T889, G$1&amp;""[\w &amp;]*, (\d+\.\d+)""),"""")
"),"")</f>
        <v/>
      </c>
      <c r="H889" s="3"/>
      <c r="I889" s="3" t="str">
        <f aca="false">IFERROR(__xludf.dummyfunction("if($T889&lt;&gt;"""",REGEXEXTRACT(SUBSTITUTE ($T889,I$1&amp;"" CE"",""""), I$1&amp;""[\w &amp;]*, (\d+\.\d+)""),"""")
"),"")</f>
        <v/>
      </c>
      <c r="J889" s="3" t="str">
        <f aca="false">IFERROR(__xludf.dummyfunction("if($T889&lt;&gt;"""",REGEXEXTRACT($T889, J$1&amp;""[\w &amp;]*, (\d+\.\d+)""),"""")
"),"")</f>
        <v/>
      </c>
      <c r="K889" s="3"/>
      <c r="L889" s="3" t="str">
        <f aca="false">IFERROR(__xludf.dummyfunction("if($T889&lt;&gt;"""",REGEXEXTRACT(SUBSTITUTE ($T889,L$1&amp;"" CE"",""""), L$1&amp;""[\w &amp;]*, (\d+\.\d+)""),"""")
"),"")</f>
        <v/>
      </c>
      <c r="M889" s="3" t="str">
        <f aca="false">IFERROR(__xludf.dummyfunction("if($T889&lt;&gt;"""",REGEXEXTRACT($T889, M$1&amp;""[\w &amp;]*, (\d+\.\d+)""),"""")
"),"")</f>
        <v/>
      </c>
      <c r="N889" s="3" t="str">
        <f aca="false">IFERROR(__xludf.dummyfunction("if($T889&lt;&gt;"""",REGEXEXTRACT(SUBSTITUTE ($T889,N$1&amp;"" CE"",""""), N$1&amp;""[\w &amp;]*, (\d+\.\d+)""),"""")
"),"")</f>
        <v/>
      </c>
      <c r="O889" s="3" t="str">
        <f aca="false">IFERROR(__xludf.dummyfunction("if($T889&lt;&gt;"""",REGEXEXTRACT($T889, O$1&amp;""[\w &amp;]*, (\d+\.\d+)""),"""")
"),"")</f>
        <v/>
      </c>
      <c r="P889" s="2"/>
      <c r="Q889" s="2"/>
      <c r="R889" s="2"/>
      <c r="S889" s="2"/>
      <c r="T889" s="5"/>
    </row>
    <row r="890" customFormat="false" ht="15.75" hidden="false" customHeight="false" outlineLevel="0" collapsed="false">
      <c r="A890" s="4"/>
      <c r="B890" s="2"/>
      <c r="C890" s="2"/>
      <c r="D890" s="2"/>
      <c r="E890" s="2"/>
      <c r="F890" s="3" t="str">
        <f aca="false">IFERROR(__xludf.dummyfunction("if($T890&lt;&gt;"""",REGEXEXTRACT(SUBSTITUTE ($T890,F$1&amp;"" CE"",""""), F$1&amp;""[\w &amp;]*, (\d+\.\d+)""),"""")
"),"")</f>
        <v/>
      </c>
      <c r="G890" s="3" t="str">
        <f aca="false">IFERROR(__xludf.dummyfunction("if($T890&lt;&gt;"""",REGEXEXTRACT($T890, G$1&amp;""[\w &amp;]*, (\d+\.\d+)""),"""")
"),"")</f>
        <v/>
      </c>
      <c r="H890" s="3"/>
      <c r="I890" s="3" t="str">
        <f aca="false">IFERROR(__xludf.dummyfunction("if($T890&lt;&gt;"""",REGEXEXTRACT(SUBSTITUTE ($T890,I$1&amp;"" CE"",""""), I$1&amp;""[\w &amp;]*, (\d+\.\d+)""),"""")
"),"")</f>
        <v/>
      </c>
      <c r="J890" s="3" t="str">
        <f aca="false">IFERROR(__xludf.dummyfunction("if($T890&lt;&gt;"""",REGEXEXTRACT($T890, J$1&amp;""[\w &amp;]*, (\d+\.\d+)""),"""")
"),"")</f>
        <v/>
      </c>
      <c r="K890" s="3"/>
      <c r="L890" s="3" t="str">
        <f aca="false">IFERROR(__xludf.dummyfunction("if($T890&lt;&gt;"""",REGEXEXTRACT(SUBSTITUTE ($T890,L$1&amp;"" CE"",""""), L$1&amp;""[\w &amp;]*, (\d+\.\d+)""),"""")
"),"")</f>
        <v/>
      </c>
      <c r="M890" s="3" t="str">
        <f aca="false">IFERROR(__xludf.dummyfunction("if($T890&lt;&gt;"""",REGEXEXTRACT($T890, M$1&amp;""[\w &amp;]*, (\d+\.\d+)""),"""")
"),"")</f>
        <v/>
      </c>
      <c r="N890" s="3" t="str">
        <f aca="false">IFERROR(__xludf.dummyfunction("if($T890&lt;&gt;"""",REGEXEXTRACT(SUBSTITUTE ($T890,N$1&amp;"" CE"",""""), N$1&amp;""[\w &amp;]*, (\d+\.\d+)""),"""")
"),"")</f>
        <v/>
      </c>
      <c r="O890" s="3" t="str">
        <f aca="false">IFERROR(__xludf.dummyfunction("if($T890&lt;&gt;"""",REGEXEXTRACT($T890, O$1&amp;""[\w &amp;]*, (\d+\.\d+)""),"""")
"),"")</f>
        <v/>
      </c>
      <c r="P890" s="2"/>
      <c r="Q890" s="2"/>
      <c r="R890" s="2"/>
      <c r="S890" s="2"/>
      <c r="T890" s="5"/>
    </row>
    <row r="891" customFormat="false" ht="15.75" hidden="false" customHeight="false" outlineLevel="0" collapsed="false">
      <c r="A891" s="4"/>
      <c r="B891" s="2"/>
      <c r="C891" s="2"/>
      <c r="D891" s="2"/>
      <c r="E891" s="2"/>
      <c r="F891" s="3" t="str">
        <f aca="false">IFERROR(__xludf.dummyfunction("if($T891&lt;&gt;"""",REGEXEXTRACT(SUBSTITUTE ($T891,F$1&amp;"" CE"",""""), F$1&amp;""[\w &amp;]*, (\d+\.\d+)""),"""")
"),"")</f>
        <v/>
      </c>
      <c r="G891" s="3" t="str">
        <f aca="false">IFERROR(__xludf.dummyfunction("if($T891&lt;&gt;"""",REGEXEXTRACT($T891, G$1&amp;""[\w &amp;]*, (\d+\.\d+)""),"""")
"),"")</f>
        <v/>
      </c>
      <c r="H891" s="3"/>
      <c r="I891" s="3" t="str">
        <f aca="false">IFERROR(__xludf.dummyfunction("if($T891&lt;&gt;"""",REGEXEXTRACT(SUBSTITUTE ($T891,I$1&amp;"" CE"",""""), I$1&amp;""[\w &amp;]*, (\d+\.\d+)""),"""")
"),"")</f>
        <v/>
      </c>
      <c r="J891" s="3" t="str">
        <f aca="false">IFERROR(__xludf.dummyfunction("if($T891&lt;&gt;"""",REGEXEXTRACT($T891, J$1&amp;""[\w &amp;]*, (\d+\.\d+)""),"""")
"),"")</f>
        <v/>
      </c>
      <c r="K891" s="3"/>
      <c r="L891" s="3" t="str">
        <f aca="false">IFERROR(__xludf.dummyfunction("if($T891&lt;&gt;"""",REGEXEXTRACT(SUBSTITUTE ($T891,L$1&amp;"" CE"",""""), L$1&amp;""[\w &amp;]*, (\d+\.\d+)""),"""")
"),"")</f>
        <v/>
      </c>
      <c r="M891" s="3" t="str">
        <f aca="false">IFERROR(__xludf.dummyfunction("if($T891&lt;&gt;"""",REGEXEXTRACT($T891, M$1&amp;""[\w &amp;]*, (\d+\.\d+)""),"""")
"),"")</f>
        <v/>
      </c>
      <c r="N891" s="3" t="str">
        <f aca="false">IFERROR(__xludf.dummyfunction("if($T891&lt;&gt;"""",REGEXEXTRACT(SUBSTITUTE ($T891,N$1&amp;"" CE"",""""), N$1&amp;""[\w &amp;]*, (\d+\.\d+)""),"""")
"),"")</f>
        <v/>
      </c>
      <c r="O891" s="3" t="str">
        <f aca="false">IFERROR(__xludf.dummyfunction("if($T891&lt;&gt;"""",REGEXEXTRACT($T891, O$1&amp;""[\w &amp;]*, (\d+\.\d+)""),"""")
"),"")</f>
        <v/>
      </c>
      <c r="P891" s="2"/>
      <c r="Q891" s="2"/>
      <c r="R891" s="2"/>
      <c r="S891" s="2"/>
      <c r="T891" s="5"/>
    </row>
    <row r="892" customFormat="false" ht="15.75" hidden="false" customHeight="false" outlineLevel="0" collapsed="false">
      <c r="A892" s="4"/>
      <c r="B892" s="2"/>
      <c r="C892" s="2"/>
      <c r="D892" s="2"/>
      <c r="E892" s="2"/>
      <c r="F892" s="3" t="str">
        <f aca="false">IFERROR(__xludf.dummyfunction("if($T892&lt;&gt;"""",REGEXEXTRACT(SUBSTITUTE ($T892,F$1&amp;"" CE"",""""), F$1&amp;""[\w &amp;]*, (\d+\.\d+)""),"""")
"),"")</f>
        <v/>
      </c>
      <c r="G892" s="3" t="str">
        <f aca="false">IFERROR(__xludf.dummyfunction("if($T892&lt;&gt;"""",REGEXEXTRACT($T892, G$1&amp;""[\w &amp;]*, (\d+\.\d+)""),"""")
"),"")</f>
        <v/>
      </c>
      <c r="H892" s="3"/>
      <c r="I892" s="3" t="str">
        <f aca="false">IFERROR(__xludf.dummyfunction("if($T892&lt;&gt;"""",REGEXEXTRACT(SUBSTITUTE ($T892,I$1&amp;"" CE"",""""), I$1&amp;""[\w &amp;]*, (\d+\.\d+)""),"""")
"),"")</f>
        <v/>
      </c>
      <c r="J892" s="3" t="str">
        <f aca="false">IFERROR(__xludf.dummyfunction("if($T892&lt;&gt;"""",REGEXEXTRACT($T892, J$1&amp;""[\w &amp;]*, (\d+\.\d+)""),"""")
"),"")</f>
        <v/>
      </c>
      <c r="K892" s="3"/>
      <c r="L892" s="3" t="str">
        <f aca="false">IFERROR(__xludf.dummyfunction("if($T892&lt;&gt;"""",REGEXEXTRACT(SUBSTITUTE ($T892,L$1&amp;"" CE"",""""), L$1&amp;""[\w &amp;]*, (\d+\.\d+)""),"""")
"),"")</f>
        <v/>
      </c>
      <c r="M892" s="3" t="str">
        <f aca="false">IFERROR(__xludf.dummyfunction("if($T892&lt;&gt;"""",REGEXEXTRACT($T892, M$1&amp;""[\w &amp;]*, (\d+\.\d+)""),"""")
"),"")</f>
        <v/>
      </c>
      <c r="N892" s="3" t="str">
        <f aca="false">IFERROR(__xludf.dummyfunction("if($T892&lt;&gt;"""",REGEXEXTRACT(SUBSTITUTE ($T892,N$1&amp;"" CE"",""""), N$1&amp;""[\w &amp;]*, (\d+\.\d+)""),"""")
"),"")</f>
        <v/>
      </c>
      <c r="O892" s="3" t="str">
        <f aca="false">IFERROR(__xludf.dummyfunction("if($T892&lt;&gt;"""",REGEXEXTRACT($T892, O$1&amp;""[\w &amp;]*, (\d+\.\d+)""),"""")
"),"")</f>
        <v/>
      </c>
      <c r="P892" s="2"/>
      <c r="Q892" s="2"/>
      <c r="R892" s="2"/>
      <c r="S892" s="2"/>
      <c r="T892" s="5"/>
    </row>
    <row r="893" customFormat="false" ht="15.75" hidden="false" customHeight="false" outlineLevel="0" collapsed="false">
      <c r="A893" s="4"/>
      <c r="B893" s="2"/>
      <c r="C893" s="2"/>
      <c r="D893" s="2"/>
      <c r="E893" s="2"/>
      <c r="F893" s="3" t="str">
        <f aca="false">IFERROR(__xludf.dummyfunction("if($T893&lt;&gt;"""",REGEXEXTRACT(SUBSTITUTE ($T893,F$1&amp;"" CE"",""""), F$1&amp;""[\w &amp;]*, (\d+\.\d+)""),"""")
"),"")</f>
        <v/>
      </c>
      <c r="G893" s="3" t="str">
        <f aca="false">IFERROR(__xludf.dummyfunction("if($T893&lt;&gt;"""",REGEXEXTRACT($T893, G$1&amp;""[\w &amp;]*, (\d+\.\d+)""),"""")
"),"")</f>
        <v/>
      </c>
      <c r="H893" s="3"/>
      <c r="I893" s="3" t="str">
        <f aca="false">IFERROR(__xludf.dummyfunction("if($T893&lt;&gt;"""",REGEXEXTRACT(SUBSTITUTE ($T893,I$1&amp;"" CE"",""""), I$1&amp;""[\w &amp;]*, (\d+\.\d+)""),"""")
"),"")</f>
        <v/>
      </c>
      <c r="J893" s="3" t="str">
        <f aca="false">IFERROR(__xludf.dummyfunction("if($T893&lt;&gt;"""",REGEXEXTRACT($T893, J$1&amp;""[\w &amp;]*, (\d+\.\d+)""),"""")
"),"")</f>
        <v/>
      </c>
      <c r="K893" s="3"/>
      <c r="L893" s="3" t="str">
        <f aca="false">IFERROR(__xludf.dummyfunction("if($T893&lt;&gt;"""",REGEXEXTRACT(SUBSTITUTE ($T893,L$1&amp;"" CE"",""""), L$1&amp;""[\w &amp;]*, (\d+\.\d+)""),"""")
"),"")</f>
        <v/>
      </c>
      <c r="M893" s="3" t="str">
        <f aca="false">IFERROR(__xludf.dummyfunction("if($T893&lt;&gt;"""",REGEXEXTRACT($T893, M$1&amp;""[\w &amp;]*, (\d+\.\d+)""),"""")
"),"")</f>
        <v/>
      </c>
      <c r="N893" s="3" t="str">
        <f aca="false">IFERROR(__xludf.dummyfunction("if($T893&lt;&gt;"""",REGEXEXTRACT(SUBSTITUTE ($T893,N$1&amp;"" CE"",""""), N$1&amp;""[\w &amp;]*, (\d+\.\d+)""),"""")
"),"")</f>
        <v/>
      </c>
      <c r="O893" s="3" t="str">
        <f aca="false">IFERROR(__xludf.dummyfunction("if($T893&lt;&gt;"""",REGEXEXTRACT($T893, O$1&amp;""[\w &amp;]*, (\d+\.\d+)""),"""")
"),"")</f>
        <v/>
      </c>
      <c r="P893" s="2"/>
      <c r="Q893" s="2"/>
      <c r="R893" s="2"/>
      <c r="S893" s="2"/>
      <c r="T893" s="5"/>
    </row>
    <row r="894" customFormat="false" ht="15.75" hidden="false" customHeight="false" outlineLevel="0" collapsed="false">
      <c r="A894" s="4"/>
      <c r="B894" s="2"/>
      <c r="C894" s="2"/>
      <c r="D894" s="2"/>
      <c r="E894" s="2"/>
      <c r="F894" s="3" t="str">
        <f aca="false">IFERROR(__xludf.dummyfunction("if($T894&lt;&gt;"""",REGEXEXTRACT(SUBSTITUTE ($T894,F$1&amp;"" CE"",""""), F$1&amp;""[\w &amp;]*, (\d+\.\d+)""),"""")
"),"")</f>
        <v/>
      </c>
      <c r="G894" s="3" t="str">
        <f aca="false">IFERROR(__xludf.dummyfunction("if($T894&lt;&gt;"""",REGEXEXTRACT($T894, G$1&amp;""[\w &amp;]*, (\d+\.\d+)""),"""")
"),"")</f>
        <v/>
      </c>
      <c r="H894" s="3"/>
      <c r="I894" s="3" t="str">
        <f aca="false">IFERROR(__xludf.dummyfunction("if($T894&lt;&gt;"""",REGEXEXTRACT(SUBSTITUTE ($T894,I$1&amp;"" CE"",""""), I$1&amp;""[\w &amp;]*, (\d+\.\d+)""),"""")
"),"")</f>
        <v/>
      </c>
      <c r="J894" s="3" t="str">
        <f aca="false">IFERROR(__xludf.dummyfunction("if($T894&lt;&gt;"""",REGEXEXTRACT($T894, J$1&amp;""[\w &amp;]*, (\d+\.\d+)""),"""")
"),"")</f>
        <v/>
      </c>
      <c r="K894" s="3"/>
      <c r="L894" s="3" t="str">
        <f aca="false">IFERROR(__xludf.dummyfunction("if($T894&lt;&gt;"""",REGEXEXTRACT(SUBSTITUTE ($T894,L$1&amp;"" CE"",""""), L$1&amp;""[\w &amp;]*, (\d+\.\d+)""),"""")
"),"")</f>
        <v/>
      </c>
      <c r="M894" s="3" t="str">
        <f aca="false">IFERROR(__xludf.dummyfunction("if($T894&lt;&gt;"""",REGEXEXTRACT($T894, M$1&amp;""[\w &amp;]*, (\d+\.\d+)""),"""")
"),"")</f>
        <v/>
      </c>
      <c r="N894" s="3" t="str">
        <f aca="false">IFERROR(__xludf.dummyfunction("if($T894&lt;&gt;"""",REGEXEXTRACT(SUBSTITUTE ($T894,N$1&amp;"" CE"",""""), N$1&amp;""[\w &amp;]*, (\d+\.\d+)""),"""")
"),"")</f>
        <v/>
      </c>
      <c r="O894" s="3" t="str">
        <f aca="false">IFERROR(__xludf.dummyfunction("if($T894&lt;&gt;"""",REGEXEXTRACT($T894, O$1&amp;""[\w &amp;]*, (\d+\.\d+)""),"""")
"),"")</f>
        <v/>
      </c>
      <c r="P894" s="2"/>
      <c r="Q894" s="2"/>
      <c r="R894" s="2"/>
      <c r="S894" s="2"/>
      <c r="T894" s="5"/>
    </row>
    <row r="895" customFormat="false" ht="15.75" hidden="false" customHeight="false" outlineLevel="0" collapsed="false">
      <c r="A895" s="4"/>
      <c r="B895" s="2"/>
      <c r="C895" s="2"/>
      <c r="D895" s="2"/>
      <c r="E895" s="2"/>
      <c r="F895" s="3" t="str">
        <f aca="false">IFERROR(__xludf.dummyfunction("if($T895&lt;&gt;"""",REGEXEXTRACT(SUBSTITUTE ($T895,F$1&amp;"" CE"",""""), F$1&amp;""[\w &amp;]*, (\d+\.\d+)""),"""")
"),"")</f>
        <v/>
      </c>
      <c r="G895" s="3" t="str">
        <f aca="false">IFERROR(__xludf.dummyfunction("if($T895&lt;&gt;"""",REGEXEXTRACT($T895, G$1&amp;""[\w &amp;]*, (\d+\.\d+)""),"""")
"),"")</f>
        <v/>
      </c>
      <c r="H895" s="3"/>
      <c r="I895" s="3" t="str">
        <f aca="false">IFERROR(__xludf.dummyfunction("if($T895&lt;&gt;"""",REGEXEXTRACT(SUBSTITUTE ($T895,I$1&amp;"" CE"",""""), I$1&amp;""[\w &amp;]*, (\d+\.\d+)""),"""")
"),"")</f>
        <v/>
      </c>
      <c r="J895" s="3" t="str">
        <f aca="false">IFERROR(__xludf.dummyfunction("if($T895&lt;&gt;"""",REGEXEXTRACT($T895, J$1&amp;""[\w &amp;]*, (\d+\.\d+)""),"""")
"),"")</f>
        <v/>
      </c>
      <c r="K895" s="3"/>
      <c r="L895" s="3" t="str">
        <f aca="false">IFERROR(__xludf.dummyfunction("if($T895&lt;&gt;"""",REGEXEXTRACT(SUBSTITUTE ($T895,L$1&amp;"" CE"",""""), L$1&amp;""[\w &amp;]*, (\d+\.\d+)""),"""")
"),"")</f>
        <v/>
      </c>
      <c r="M895" s="3" t="str">
        <f aca="false">IFERROR(__xludf.dummyfunction("if($T895&lt;&gt;"""",REGEXEXTRACT($T895, M$1&amp;""[\w &amp;]*, (\d+\.\d+)""),"""")
"),"")</f>
        <v/>
      </c>
      <c r="N895" s="3" t="str">
        <f aca="false">IFERROR(__xludf.dummyfunction("if($T895&lt;&gt;"""",REGEXEXTRACT(SUBSTITUTE ($T895,N$1&amp;"" CE"",""""), N$1&amp;""[\w &amp;]*, (\d+\.\d+)""),"""")
"),"")</f>
        <v/>
      </c>
      <c r="O895" s="3" t="str">
        <f aca="false">IFERROR(__xludf.dummyfunction("if($T895&lt;&gt;"""",REGEXEXTRACT($T895, O$1&amp;""[\w &amp;]*, (\d+\.\d+)""),"""")
"),"")</f>
        <v/>
      </c>
      <c r="P895" s="2"/>
      <c r="Q895" s="2"/>
      <c r="R895" s="2"/>
      <c r="S895" s="2"/>
      <c r="T895" s="5"/>
    </row>
    <row r="896" customFormat="false" ht="15.75" hidden="false" customHeight="false" outlineLevel="0" collapsed="false">
      <c r="A896" s="4"/>
      <c r="B896" s="2"/>
      <c r="C896" s="2"/>
      <c r="D896" s="2"/>
      <c r="E896" s="2"/>
      <c r="F896" s="3" t="str">
        <f aca="false">IFERROR(__xludf.dummyfunction("if($T896&lt;&gt;"""",REGEXEXTRACT(SUBSTITUTE ($T896,F$1&amp;"" CE"",""""), F$1&amp;""[\w &amp;]*, (\d+\.\d+)""),"""")
"),"")</f>
        <v/>
      </c>
      <c r="G896" s="3" t="str">
        <f aca="false">IFERROR(__xludf.dummyfunction("if($T896&lt;&gt;"""",REGEXEXTRACT($T896, G$1&amp;""[\w &amp;]*, (\d+\.\d+)""),"""")
"),"")</f>
        <v/>
      </c>
      <c r="H896" s="3"/>
      <c r="I896" s="3" t="str">
        <f aca="false">IFERROR(__xludf.dummyfunction("if($T896&lt;&gt;"""",REGEXEXTRACT(SUBSTITUTE ($T896,I$1&amp;"" CE"",""""), I$1&amp;""[\w &amp;]*, (\d+\.\d+)""),"""")
"),"")</f>
        <v/>
      </c>
      <c r="J896" s="3" t="str">
        <f aca="false">IFERROR(__xludf.dummyfunction("if($T896&lt;&gt;"""",REGEXEXTRACT($T896, J$1&amp;""[\w &amp;]*, (\d+\.\d+)""),"""")
"),"")</f>
        <v/>
      </c>
      <c r="K896" s="3"/>
      <c r="L896" s="3" t="str">
        <f aca="false">IFERROR(__xludf.dummyfunction("if($T896&lt;&gt;"""",REGEXEXTRACT(SUBSTITUTE ($T896,L$1&amp;"" CE"",""""), L$1&amp;""[\w &amp;]*, (\d+\.\d+)""),"""")
"),"")</f>
        <v/>
      </c>
      <c r="M896" s="3" t="str">
        <f aca="false">IFERROR(__xludf.dummyfunction("if($T896&lt;&gt;"""",REGEXEXTRACT($T896, M$1&amp;""[\w &amp;]*, (\d+\.\d+)""),"""")
"),"")</f>
        <v/>
      </c>
      <c r="N896" s="3" t="str">
        <f aca="false">IFERROR(__xludf.dummyfunction("if($T896&lt;&gt;"""",REGEXEXTRACT(SUBSTITUTE ($T896,N$1&amp;"" CE"",""""), N$1&amp;""[\w &amp;]*, (\d+\.\d+)""),"""")
"),"")</f>
        <v/>
      </c>
      <c r="O896" s="3" t="str">
        <f aca="false">IFERROR(__xludf.dummyfunction("if($T896&lt;&gt;"""",REGEXEXTRACT($T896, O$1&amp;""[\w &amp;]*, (\d+\.\d+)""),"""")
"),"")</f>
        <v/>
      </c>
      <c r="P896" s="2"/>
      <c r="Q896" s="2"/>
      <c r="R896" s="2"/>
      <c r="S896" s="2"/>
      <c r="T896" s="5"/>
    </row>
    <row r="897" customFormat="false" ht="15.75" hidden="false" customHeight="false" outlineLevel="0" collapsed="false">
      <c r="A897" s="4"/>
      <c r="B897" s="2"/>
      <c r="C897" s="2"/>
      <c r="D897" s="2"/>
      <c r="E897" s="2"/>
      <c r="F897" s="3" t="str">
        <f aca="false">IFERROR(__xludf.dummyfunction("if($T897&lt;&gt;"""",REGEXEXTRACT(SUBSTITUTE ($T897,F$1&amp;"" CE"",""""), F$1&amp;""[\w &amp;]*, (\d+\.\d+)""),"""")
"),"")</f>
        <v/>
      </c>
      <c r="G897" s="3" t="str">
        <f aca="false">IFERROR(__xludf.dummyfunction("if($T897&lt;&gt;"""",REGEXEXTRACT($T897, G$1&amp;""[\w &amp;]*, (\d+\.\d+)""),"""")
"),"")</f>
        <v/>
      </c>
      <c r="H897" s="3"/>
      <c r="I897" s="3" t="str">
        <f aca="false">IFERROR(__xludf.dummyfunction("if($T897&lt;&gt;"""",REGEXEXTRACT(SUBSTITUTE ($T897,I$1&amp;"" CE"",""""), I$1&amp;""[\w &amp;]*, (\d+\.\d+)""),"""")
"),"")</f>
        <v/>
      </c>
      <c r="J897" s="3" t="str">
        <f aca="false">IFERROR(__xludf.dummyfunction("if($T897&lt;&gt;"""",REGEXEXTRACT($T897, J$1&amp;""[\w &amp;]*, (\d+\.\d+)""),"""")
"),"")</f>
        <v/>
      </c>
      <c r="K897" s="3"/>
      <c r="L897" s="3" t="str">
        <f aca="false">IFERROR(__xludf.dummyfunction("if($T897&lt;&gt;"""",REGEXEXTRACT(SUBSTITUTE ($T897,L$1&amp;"" CE"",""""), L$1&amp;""[\w &amp;]*, (\d+\.\d+)""),"""")
"),"")</f>
        <v/>
      </c>
      <c r="M897" s="3" t="str">
        <f aca="false">IFERROR(__xludf.dummyfunction("if($T897&lt;&gt;"""",REGEXEXTRACT($T897, M$1&amp;""[\w &amp;]*, (\d+\.\d+)""),"""")
"),"")</f>
        <v/>
      </c>
      <c r="N897" s="3" t="str">
        <f aca="false">IFERROR(__xludf.dummyfunction("if($T897&lt;&gt;"""",REGEXEXTRACT(SUBSTITUTE ($T897,N$1&amp;"" CE"",""""), N$1&amp;""[\w &amp;]*, (\d+\.\d+)""),"""")
"),"")</f>
        <v/>
      </c>
      <c r="O897" s="3" t="str">
        <f aca="false">IFERROR(__xludf.dummyfunction("if($T897&lt;&gt;"""",REGEXEXTRACT($T897, O$1&amp;""[\w &amp;]*, (\d+\.\d+)""),"""")
"),"")</f>
        <v/>
      </c>
      <c r="P897" s="2"/>
      <c r="Q897" s="2"/>
      <c r="R897" s="2"/>
      <c r="S897" s="2"/>
      <c r="T897" s="5"/>
    </row>
    <row r="898" customFormat="false" ht="15.75" hidden="false" customHeight="false" outlineLevel="0" collapsed="false">
      <c r="A898" s="4"/>
      <c r="B898" s="2"/>
      <c r="C898" s="2"/>
      <c r="D898" s="2"/>
      <c r="E898" s="2"/>
      <c r="F898" s="3" t="str">
        <f aca="false">IFERROR(__xludf.dummyfunction("if($T898&lt;&gt;"""",REGEXEXTRACT(SUBSTITUTE ($T898,F$1&amp;"" CE"",""""), F$1&amp;""[\w &amp;]*, (\d+\.\d+)""),"""")
"),"")</f>
        <v/>
      </c>
      <c r="G898" s="3" t="str">
        <f aca="false">IFERROR(__xludf.dummyfunction("if($T898&lt;&gt;"""",REGEXEXTRACT($T898, G$1&amp;""[\w &amp;]*, (\d+\.\d+)""),"""")
"),"")</f>
        <v/>
      </c>
      <c r="H898" s="3"/>
      <c r="I898" s="3" t="str">
        <f aca="false">IFERROR(__xludf.dummyfunction("if($T898&lt;&gt;"""",REGEXEXTRACT(SUBSTITUTE ($T898,I$1&amp;"" CE"",""""), I$1&amp;""[\w &amp;]*, (\d+\.\d+)""),"""")
"),"")</f>
        <v/>
      </c>
      <c r="J898" s="3" t="str">
        <f aca="false">IFERROR(__xludf.dummyfunction("if($T898&lt;&gt;"""",REGEXEXTRACT($T898, J$1&amp;""[\w &amp;]*, (\d+\.\d+)""),"""")
"),"")</f>
        <v/>
      </c>
      <c r="K898" s="3"/>
      <c r="L898" s="3" t="str">
        <f aca="false">IFERROR(__xludf.dummyfunction("if($T898&lt;&gt;"""",REGEXEXTRACT(SUBSTITUTE ($T898,L$1&amp;"" CE"",""""), L$1&amp;""[\w &amp;]*, (\d+\.\d+)""),"""")
"),"")</f>
        <v/>
      </c>
      <c r="M898" s="3" t="str">
        <f aca="false">IFERROR(__xludf.dummyfunction("if($T898&lt;&gt;"""",REGEXEXTRACT($T898, M$1&amp;""[\w &amp;]*, (\d+\.\d+)""),"""")
"),"")</f>
        <v/>
      </c>
      <c r="N898" s="3" t="str">
        <f aca="false">IFERROR(__xludf.dummyfunction("if($T898&lt;&gt;"""",REGEXEXTRACT(SUBSTITUTE ($T898,N$1&amp;"" CE"",""""), N$1&amp;""[\w &amp;]*, (\d+\.\d+)""),"""")
"),"")</f>
        <v/>
      </c>
      <c r="O898" s="3" t="str">
        <f aca="false">IFERROR(__xludf.dummyfunction("if($T898&lt;&gt;"""",REGEXEXTRACT($T898, O$1&amp;""[\w &amp;]*, (\d+\.\d+)""),"""")
"),"")</f>
        <v/>
      </c>
      <c r="P898" s="2"/>
      <c r="Q898" s="2"/>
      <c r="R898" s="2"/>
      <c r="S898" s="2"/>
      <c r="T898" s="5"/>
    </row>
    <row r="899" customFormat="false" ht="15.75" hidden="false" customHeight="false" outlineLevel="0" collapsed="false">
      <c r="A899" s="4"/>
      <c r="B899" s="2"/>
      <c r="C899" s="2"/>
      <c r="D899" s="2"/>
      <c r="E899" s="2"/>
      <c r="F899" s="3" t="str">
        <f aca="false">IFERROR(__xludf.dummyfunction("if($T899&lt;&gt;"""",REGEXEXTRACT(SUBSTITUTE ($T899,F$1&amp;"" CE"",""""), F$1&amp;""[\w &amp;]*, (\d+\.\d+)""),"""")
"),"")</f>
        <v/>
      </c>
      <c r="G899" s="3" t="str">
        <f aca="false">IFERROR(__xludf.dummyfunction("if($T899&lt;&gt;"""",REGEXEXTRACT($T899, G$1&amp;""[\w &amp;]*, (\d+\.\d+)""),"""")
"),"")</f>
        <v/>
      </c>
      <c r="H899" s="3"/>
      <c r="I899" s="3" t="str">
        <f aca="false">IFERROR(__xludf.dummyfunction("if($T899&lt;&gt;"""",REGEXEXTRACT(SUBSTITUTE ($T899,I$1&amp;"" CE"",""""), I$1&amp;""[\w &amp;]*, (\d+\.\d+)""),"""")
"),"")</f>
        <v/>
      </c>
      <c r="J899" s="3" t="str">
        <f aca="false">IFERROR(__xludf.dummyfunction("if($T899&lt;&gt;"""",REGEXEXTRACT($T899, J$1&amp;""[\w &amp;]*, (\d+\.\d+)""),"""")
"),"")</f>
        <v/>
      </c>
      <c r="K899" s="3"/>
      <c r="L899" s="3" t="str">
        <f aca="false">IFERROR(__xludf.dummyfunction("if($T899&lt;&gt;"""",REGEXEXTRACT(SUBSTITUTE ($T899,L$1&amp;"" CE"",""""), L$1&amp;""[\w &amp;]*, (\d+\.\d+)""),"""")
"),"")</f>
        <v/>
      </c>
      <c r="M899" s="3" t="str">
        <f aca="false">IFERROR(__xludf.dummyfunction("if($T899&lt;&gt;"""",REGEXEXTRACT($T899, M$1&amp;""[\w &amp;]*, (\d+\.\d+)""),"""")
"),"")</f>
        <v/>
      </c>
      <c r="N899" s="3" t="str">
        <f aca="false">IFERROR(__xludf.dummyfunction("if($T899&lt;&gt;"""",REGEXEXTRACT(SUBSTITUTE ($T899,N$1&amp;"" CE"",""""), N$1&amp;""[\w &amp;]*, (\d+\.\d+)""),"""")
"),"")</f>
        <v/>
      </c>
      <c r="O899" s="3" t="str">
        <f aca="false">IFERROR(__xludf.dummyfunction("if($T899&lt;&gt;"""",REGEXEXTRACT($T899, O$1&amp;""[\w &amp;]*, (\d+\.\d+)""),"""")
"),"")</f>
        <v/>
      </c>
      <c r="P899" s="2"/>
      <c r="Q899" s="2"/>
      <c r="R899" s="2"/>
      <c r="S899" s="2"/>
      <c r="T899" s="5"/>
    </row>
    <row r="900" customFormat="false" ht="15.75" hidden="false" customHeight="false" outlineLevel="0" collapsed="false">
      <c r="A900" s="4"/>
      <c r="B900" s="2"/>
      <c r="C900" s="2"/>
      <c r="D900" s="2"/>
      <c r="E900" s="2"/>
      <c r="F900" s="3" t="str">
        <f aca="false">IFERROR(__xludf.dummyfunction("if($T900&lt;&gt;"""",REGEXEXTRACT(SUBSTITUTE ($T900,F$1&amp;"" CE"",""""), F$1&amp;""[\w &amp;]*, (\d+\.\d+)""),"""")
"),"")</f>
        <v/>
      </c>
      <c r="G900" s="3" t="str">
        <f aca="false">IFERROR(__xludf.dummyfunction("if($T900&lt;&gt;"""",REGEXEXTRACT($T900, G$1&amp;""[\w &amp;]*, (\d+\.\d+)""),"""")
"),"")</f>
        <v/>
      </c>
      <c r="H900" s="3"/>
      <c r="I900" s="3" t="str">
        <f aca="false">IFERROR(__xludf.dummyfunction("if($T900&lt;&gt;"""",REGEXEXTRACT(SUBSTITUTE ($T900,I$1&amp;"" CE"",""""), I$1&amp;""[\w &amp;]*, (\d+\.\d+)""),"""")
"),"")</f>
        <v/>
      </c>
      <c r="J900" s="3" t="str">
        <f aca="false">IFERROR(__xludf.dummyfunction("if($T900&lt;&gt;"""",REGEXEXTRACT($T900, J$1&amp;""[\w &amp;]*, (\d+\.\d+)""),"""")
"),"")</f>
        <v/>
      </c>
      <c r="K900" s="3"/>
      <c r="L900" s="3" t="str">
        <f aca="false">IFERROR(__xludf.dummyfunction("if($T900&lt;&gt;"""",REGEXEXTRACT(SUBSTITUTE ($T900,L$1&amp;"" CE"",""""), L$1&amp;""[\w &amp;]*, (\d+\.\d+)""),"""")
"),"")</f>
        <v/>
      </c>
      <c r="M900" s="3" t="str">
        <f aca="false">IFERROR(__xludf.dummyfunction("if($T900&lt;&gt;"""",REGEXEXTRACT($T900, M$1&amp;""[\w &amp;]*, (\d+\.\d+)""),"""")
"),"")</f>
        <v/>
      </c>
      <c r="N900" s="3" t="str">
        <f aca="false">IFERROR(__xludf.dummyfunction("if($T900&lt;&gt;"""",REGEXEXTRACT(SUBSTITUTE ($T900,N$1&amp;"" CE"",""""), N$1&amp;""[\w &amp;]*, (\d+\.\d+)""),"""")
"),"")</f>
        <v/>
      </c>
      <c r="O900" s="3" t="str">
        <f aca="false">IFERROR(__xludf.dummyfunction("if($T900&lt;&gt;"""",REGEXEXTRACT($T900, O$1&amp;""[\w &amp;]*, (\d+\.\d+)""),"""")
"),"")</f>
        <v/>
      </c>
      <c r="P900" s="2"/>
      <c r="Q900" s="2"/>
      <c r="R900" s="2"/>
      <c r="S900" s="2"/>
      <c r="T900" s="5"/>
    </row>
    <row r="901" customFormat="false" ht="15.75" hidden="false" customHeight="false" outlineLevel="0" collapsed="false">
      <c r="A901" s="4"/>
      <c r="B901" s="2"/>
      <c r="C901" s="2"/>
      <c r="D901" s="2"/>
      <c r="E901" s="2"/>
      <c r="F901" s="3" t="str">
        <f aca="false">IFERROR(__xludf.dummyfunction("if($T901&lt;&gt;"""",REGEXEXTRACT(SUBSTITUTE ($T901,F$1&amp;"" CE"",""""), F$1&amp;""[\w &amp;]*, (\d+\.\d+)""),"""")
"),"")</f>
        <v/>
      </c>
      <c r="G901" s="3" t="str">
        <f aca="false">IFERROR(__xludf.dummyfunction("if($T901&lt;&gt;"""",REGEXEXTRACT($T901, G$1&amp;""[\w &amp;]*, (\d+\.\d+)""),"""")
"),"")</f>
        <v/>
      </c>
      <c r="H901" s="3"/>
      <c r="I901" s="3" t="str">
        <f aca="false">IFERROR(__xludf.dummyfunction("if($T901&lt;&gt;"""",REGEXEXTRACT(SUBSTITUTE ($T901,I$1&amp;"" CE"",""""), I$1&amp;""[\w &amp;]*, (\d+\.\d+)""),"""")
"),"")</f>
        <v/>
      </c>
      <c r="J901" s="3" t="str">
        <f aca="false">IFERROR(__xludf.dummyfunction("if($T901&lt;&gt;"""",REGEXEXTRACT($T901, J$1&amp;""[\w &amp;]*, (\d+\.\d+)""),"""")
"),"")</f>
        <v/>
      </c>
      <c r="K901" s="3"/>
      <c r="L901" s="3" t="str">
        <f aca="false">IFERROR(__xludf.dummyfunction("if($T901&lt;&gt;"""",REGEXEXTRACT(SUBSTITUTE ($T901,L$1&amp;"" CE"",""""), L$1&amp;""[\w &amp;]*, (\d+\.\d+)""),"""")
"),"")</f>
        <v/>
      </c>
      <c r="M901" s="3" t="str">
        <f aca="false">IFERROR(__xludf.dummyfunction("if($T901&lt;&gt;"""",REGEXEXTRACT($T901, M$1&amp;""[\w &amp;]*, (\d+\.\d+)""),"""")
"),"")</f>
        <v/>
      </c>
      <c r="N901" s="3" t="str">
        <f aca="false">IFERROR(__xludf.dummyfunction("if($T901&lt;&gt;"""",REGEXEXTRACT(SUBSTITUTE ($T901,N$1&amp;"" CE"",""""), N$1&amp;""[\w &amp;]*, (\d+\.\d+)""),"""")
"),"")</f>
        <v/>
      </c>
      <c r="O901" s="3" t="str">
        <f aca="false">IFERROR(__xludf.dummyfunction("if($T901&lt;&gt;"""",REGEXEXTRACT($T901, O$1&amp;""[\w &amp;]*, (\d+\.\d+)""),"""")
"),"")</f>
        <v/>
      </c>
      <c r="P901" s="2"/>
      <c r="Q901" s="2"/>
      <c r="R901" s="2"/>
      <c r="S901" s="2"/>
      <c r="T901" s="5"/>
    </row>
    <row r="902" customFormat="false" ht="15.75" hidden="false" customHeight="false" outlineLevel="0" collapsed="false">
      <c r="A902" s="4"/>
      <c r="B902" s="2"/>
      <c r="C902" s="2"/>
      <c r="D902" s="2"/>
      <c r="E902" s="2"/>
      <c r="F902" s="3" t="str">
        <f aca="false">IFERROR(__xludf.dummyfunction("if($T902&lt;&gt;"""",REGEXEXTRACT(SUBSTITUTE ($T902,F$1&amp;"" CE"",""""), F$1&amp;""[\w &amp;]*, (\d+\.\d+)""),"""")
"),"")</f>
        <v/>
      </c>
      <c r="G902" s="3" t="str">
        <f aca="false">IFERROR(__xludf.dummyfunction("if($T902&lt;&gt;"""",REGEXEXTRACT($T902, G$1&amp;""[\w &amp;]*, (\d+\.\d+)""),"""")
"),"")</f>
        <v/>
      </c>
      <c r="H902" s="3"/>
      <c r="I902" s="3" t="str">
        <f aca="false">IFERROR(__xludf.dummyfunction("if($T902&lt;&gt;"""",REGEXEXTRACT(SUBSTITUTE ($T902,I$1&amp;"" CE"",""""), I$1&amp;""[\w &amp;]*, (\d+\.\d+)""),"""")
"),"")</f>
        <v/>
      </c>
      <c r="J902" s="3" t="str">
        <f aca="false">IFERROR(__xludf.dummyfunction("if($T902&lt;&gt;"""",REGEXEXTRACT($T902, J$1&amp;""[\w &amp;]*, (\d+\.\d+)""),"""")
"),"")</f>
        <v/>
      </c>
      <c r="K902" s="3"/>
      <c r="L902" s="3" t="str">
        <f aca="false">IFERROR(__xludf.dummyfunction("if($T902&lt;&gt;"""",REGEXEXTRACT(SUBSTITUTE ($T902,L$1&amp;"" CE"",""""), L$1&amp;""[\w &amp;]*, (\d+\.\d+)""),"""")
"),"")</f>
        <v/>
      </c>
      <c r="M902" s="3" t="str">
        <f aca="false">IFERROR(__xludf.dummyfunction("if($T902&lt;&gt;"""",REGEXEXTRACT($T902, M$1&amp;""[\w &amp;]*, (\d+\.\d+)""),"""")
"),"")</f>
        <v/>
      </c>
      <c r="N902" s="3" t="str">
        <f aca="false">IFERROR(__xludf.dummyfunction("if($T902&lt;&gt;"""",REGEXEXTRACT(SUBSTITUTE ($T902,N$1&amp;"" CE"",""""), N$1&amp;""[\w &amp;]*, (\d+\.\d+)""),"""")
"),"")</f>
        <v/>
      </c>
      <c r="O902" s="3" t="str">
        <f aca="false">IFERROR(__xludf.dummyfunction("if($T902&lt;&gt;"""",REGEXEXTRACT($T902, O$1&amp;""[\w &amp;]*, (\d+\.\d+)""),"""")
"),"")</f>
        <v/>
      </c>
      <c r="P902" s="2"/>
      <c r="Q902" s="2"/>
      <c r="R902" s="2"/>
      <c r="S902" s="2"/>
      <c r="T902" s="5"/>
    </row>
    <row r="903" customFormat="false" ht="15.75" hidden="false" customHeight="false" outlineLevel="0" collapsed="false">
      <c r="A903" s="4"/>
      <c r="B903" s="2"/>
      <c r="C903" s="2"/>
      <c r="D903" s="2"/>
      <c r="E903" s="2"/>
      <c r="F903" s="3" t="str">
        <f aca="false">IFERROR(__xludf.dummyfunction("if($T903&lt;&gt;"""",REGEXEXTRACT(SUBSTITUTE ($T903,F$1&amp;"" CE"",""""), F$1&amp;""[\w &amp;]*, (\d+\.\d+)""),"""")
"),"")</f>
        <v/>
      </c>
      <c r="G903" s="3" t="str">
        <f aca="false">IFERROR(__xludf.dummyfunction("if($T903&lt;&gt;"""",REGEXEXTRACT($T903, G$1&amp;""[\w &amp;]*, (\d+\.\d+)""),"""")
"),"")</f>
        <v/>
      </c>
      <c r="H903" s="3"/>
      <c r="I903" s="3" t="str">
        <f aca="false">IFERROR(__xludf.dummyfunction("if($T903&lt;&gt;"""",REGEXEXTRACT(SUBSTITUTE ($T903,I$1&amp;"" CE"",""""), I$1&amp;""[\w &amp;]*, (\d+\.\d+)""),"""")
"),"")</f>
        <v/>
      </c>
      <c r="J903" s="3" t="str">
        <f aca="false">IFERROR(__xludf.dummyfunction("if($T903&lt;&gt;"""",REGEXEXTRACT($T903, J$1&amp;""[\w &amp;]*, (\d+\.\d+)""),"""")
"),"")</f>
        <v/>
      </c>
      <c r="K903" s="3"/>
      <c r="L903" s="3" t="str">
        <f aca="false">IFERROR(__xludf.dummyfunction("if($T903&lt;&gt;"""",REGEXEXTRACT(SUBSTITUTE ($T903,L$1&amp;"" CE"",""""), L$1&amp;""[\w &amp;]*, (\d+\.\d+)""),"""")
"),"")</f>
        <v/>
      </c>
      <c r="M903" s="3" t="str">
        <f aca="false">IFERROR(__xludf.dummyfunction("if($T903&lt;&gt;"""",REGEXEXTRACT($T903, M$1&amp;""[\w &amp;]*, (\d+\.\d+)""),"""")
"),"")</f>
        <v/>
      </c>
      <c r="N903" s="3" t="str">
        <f aca="false">IFERROR(__xludf.dummyfunction("if($T903&lt;&gt;"""",REGEXEXTRACT(SUBSTITUTE ($T903,N$1&amp;"" CE"",""""), N$1&amp;""[\w &amp;]*, (\d+\.\d+)""),"""")
"),"")</f>
        <v/>
      </c>
      <c r="O903" s="3" t="str">
        <f aca="false">IFERROR(__xludf.dummyfunction("if($T903&lt;&gt;"""",REGEXEXTRACT($T903, O$1&amp;""[\w &amp;]*, (\d+\.\d+)""),"""")
"),"")</f>
        <v/>
      </c>
      <c r="P903" s="2"/>
      <c r="Q903" s="2"/>
      <c r="R903" s="2"/>
      <c r="S903" s="2"/>
      <c r="T903" s="5"/>
    </row>
    <row r="904" customFormat="false" ht="15.75" hidden="false" customHeight="false" outlineLevel="0" collapsed="false">
      <c r="A904" s="4"/>
      <c r="B904" s="2"/>
      <c r="C904" s="2"/>
      <c r="D904" s="2"/>
      <c r="E904" s="2"/>
      <c r="F904" s="3" t="str">
        <f aca="false">IFERROR(__xludf.dummyfunction("if($T904&lt;&gt;"""",REGEXEXTRACT(SUBSTITUTE ($T904,F$1&amp;"" CE"",""""), F$1&amp;""[\w &amp;]*, (\d+\.\d+)""),"""")
"),"")</f>
        <v/>
      </c>
      <c r="G904" s="3" t="str">
        <f aca="false">IFERROR(__xludf.dummyfunction("if($T904&lt;&gt;"""",REGEXEXTRACT($T904, G$1&amp;""[\w &amp;]*, (\d+\.\d+)""),"""")
"),"")</f>
        <v/>
      </c>
      <c r="H904" s="3"/>
      <c r="I904" s="3" t="str">
        <f aca="false">IFERROR(__xludf.dummyfunction("if($T904&lt;&gt;"""",REGEXEXTRACT(SUBSTITUTE ($T904,I$1&amp;"" CE"",""""), I$1&amp;""[\w &amp;]*, (\d+\.\d+)""),"""")
"),"")</f>
        <v/>
      </c>
      <c r="J904" s="3" t="str">
        <f aca="false">IFERROR(__xludf.dummyfunction("if($T904&lt;&gt;"""",REGEXEXTRACT($T904, J$1&amp;""[\w &amp;]*, (\d+\.\d+)""),"""")
"),"")</f>
        <v/>
      </c>
      <c r="K904" s="3"/>
      <c r="L904" s="3" t="str">
        <f aca="false">IFERROR(__xludf.dummyfunction("if($T904&lt;&gt;"""",REGEXEXTRACT(SUBSTITUTE ($T904,L$1&amp;"" CE"",""""), L$1&amp;""[\w &amp;]*, (\d+\.\d+)""),"""")
"),"")</f>
        <v/>
      </c>
      <c r="M904" s="3" t="str">
        <f aca="false">IFERROR(__xludf.dummyfunction("if($T904&lt;&gt;"""",REGEXEXTRACT($T904, M$1&amp;""[\w &amp;]*, (\d+\.\d+)""),"""")
"),"")</f>
        <v/>
      </c>
      <c r="N904" s="3" t="str">
        <f aca="false">IFERROR(__xludf.dummyfunction("if($T904&lt;&gt;"""",REGEXEXTRACT(SUBSTITUTE ($T904,N$1&amp;"" CE"",""""), N$1&amp;""[\w &amp;]*, (\d+\.\d+)""),"""")
"),"")</f>
        <v/>
      </c>
      <c r="O904" s="3" t="str">
        <f aca="false">IFERROR(__xludf.dummyfunction("if($T904&lt;&gt;"""",REGEXEXTRACT($T904, O$1&amp;""[\w &amp;]*, (\d+\.\d+)""),"""")
"),"")</f>
        <v/>
      </c>
      <c r="P904" s="2"/>
      <c r="Q904" s="2"/>
      <c r="R904" s="2"/>
      <c r="S904" s="2"/>
      <c r="T904" s="5"/>
    </row>
    <row r="905" customFormat="false" ht="15.75" hidden="false" customHeight="false" outlineLevel="0" collapsed="false">
      <c r="A905" s="4"/>
      <c r="B905" s="2"/>
      <c r="C905" s="2"/>
      <c r="D905" s="2"/>
      <c r="E905" s="2"/>
      <c r="F905" s="3" t="str">
        <f aca="false">IFERROR(__xludf.dummyfunction("if($T905&lt;&gt;"""",REGEXEXTRACT(SUBSTITUTE ($T905,F$1&amp;"" CE"",""""), F$1&amp;""[\w &amp;]*, (\d+\.\d+)""),"""")
"),"")</f>
        <v/>
      </c>
      <c r="G905" s="3" t="str">
        <f aca="false">IFERROR(__xludf.dummyfunction("if($T905&lt;&gt;"""",REGEXEXTRACT($T905, G$1&amp;""[\w &amp;]*, (\d+\.\d+)""),"""")
"),"")</f>
        <v/>
      </c>
      <c r="H905" s="3"/>
      <c r="I905" s="3" t="str">
        <f aca="false">IFERROR(__xludf.dummyfunction("if($T905&lt;&gt;"""",REGEXEXTRACT(SUBSTITUTE ($T905,I$1&amp;"" CE"",""""), I$1&amp;""[\w &amp;]*, (\d+\.\d+)""),"""")
"),"")</f>
        <v/>
      </c>
      <c r="J905" s="3" t="str">
        <f aca="false">IFERROR(__xludf.dummyfunction("if($T905&lt;&gt;"""",REGEXEXTRACT($T905, J$1&amp;""[\w &amp;]*, (\d+\.\d+)""),"""")
"),"")</f>
        <v/>
      </c>
      <c r="K905" s="3"/>
      <c r="L905" s="3" t="str">
        <f aca="false">IFERROR(__xludf.dummyfunction("if($T905&lt;&gt;"""",REGEXEXTRACT(SUBSTITUTE ($T905,L$1&amp;"" CE"",""""), L$1&amp;""[\w &amp;]*, (\d+\.\d+)""),"""")
"),"")</f>
        <v/>
      </c>
      <c r="M905" s="3" t="str">
        <f aca="false">IFERROR(__xludf.dummyfunction("if($T905&lt;&gt;"""",REGEXEXTRACT($T905, M$1&amp;""[\w &amp;]*, (\d+\.\d+)""),"""")
"),"")</f>
        <v/>
      </c>
      <c r="N905" s="3" t="str">
        <f aca="false">IFERROR(__xludf.dummyfunction("if($T905&lt;&gt;"""",REGEXEXTRACT(SUBSTITUTE ($T905,N$1&amp;"" CE"",""""), N$1&amp;""[\w &amp;]*, (\d+\.\d+)""),"""")
"),"")</f>
        <v/>
      </c>
      <c r="O905" s="3" t="str">
        <f aca="false">IFERROR(__xludf.dummyfunction("if($T905&lt;&gt;"""",REGEXEXTRACT($T905, O$1&amp;""[\w &amp;]*, (\d+\.\d+)""),"""")
"),"")</f>
        <v/>
      </c>
      <c r="P905" s="2"/>
      <c r="Q905" s="2"/>
      <c r="R905" s="2"/>
      <c r="S905" s="2"/>
      <c r="T905" s="5"/>
    </row>
    <row r="906" customFormat="false" ht="15.75" hidden="false" customHeight="false" outlineLevel="0" collapsed="false">
      <c r="A906" s="4"/>
      <c r="B906" s="2"/>
      <c r="C906" s="2"/>
      <c r="D906" s="2"/>
      <c r="E906" s="2"/>
      <c r="F906" s="3" t="str">
        <f aca="false">IFERROR(__xludf.dummyfunction("if($T906&lt;&gt;"""",REGEXEXTRACT(SUBSTITUTE ($T906,F$1&amp;"" CE"",""""), F$1&amp;""[\w &amp;]*, (\d+\.\d+)""),"""")
"),"")</f>
        <v/>
      </c>
      <c r="G906" s="3" t="str">
        <f aca="false">IFERROR(__xludf.dummyfunction("if($T906&lt;&gt;"""",REGEXEXTRACT($T906, G$1&amp;""[\w &amp;]*, (\d+\.\d+)""),"""")
"),"")</f>
        <v/>
      </c>
      <c r="H906" s="3"/>
      <c r="I906" s="3" t="str">
        <f aca="false">IFERROR(__xludf.dummyfunction("if($T906&lt;&gt;"""",REGEXEXTRACT(SUBSTITUTE ($T906,I$1&amp;"" CE"",""""), I$1&amp;""[\w &amp;]*, (\d+\.\d+)""),"""")
"),"")</f>
        <v/>
      </c>
      <c r="J906" s="3" t="str">
        <f aca="false">IFERROR(__xludf.dummyfunction("if($T906&lt;&gt;"""",REGEXEXTRACT($T906, J$1&amp;""[\w &amp;]*, (\d+\.\d+)""),"""")
"),"")</f>
        <v/>
      </c>
      <c r="K906" s="3"/>
      <c r="L906" s="3" t="str">
        <f aca="false">IFERROR(__xludf.dummyfunction("if($T906&lt;&gt;"""",REGEXEXTRACT(SUBSTITUTE ($T906,L$1&amp;"" CE"",""""), L$1&amp;""[\w &amp;]*, (\d+\.\d+)""),"""")
"),"")</f>
        <v/>
      </c>
      <c r="M906" s="3" t="str">
        <f aca="false">IFERROR(__xludf.dummyfunction("if($T906&lt;&gt;"""",REGEXEXTRACT($T906, M$1&amp;""[\w &amp;]*, (\d+\.\d+)""),"""")
"),"")</f>
        <v/>
      </c>
      <c r="N906" s="3" t="str">
        <f aca="false">IFERROR(__xludf.dummyfunction("if($T906&lt;&gt;"""",REGEXEXTRACT(SUBSTITUTE ($T906,N$1&amp;"" CE"",""""), N$1&amp;""[\w &amp;]*, (\d+\.\d+)""),"""")
"),"")</f>
        <v/>
      </c>
      <c r="O906" s="3" t="str">
        <f aca="false">IFERROR(__xludf.dummyfunction("if($T906&lt;&gt;"""",REGEXEXTRACT($T906, O$1&amp;""[\w &amp;]*, (\d+\.\d+)""),"""")
"),"")</f>
        <v/>
      </c>
      <c r="P906" s="2"/>
      <c r="Q906" s="2"/>
      <c r="R906" s="2"/>
      <c r="S906" s="2"/>
      <c r="T906" s="5"/>
    </row>
    <row r="907" customFormat="false" ht="15.75" hidden="false" customHeight="false" outlineLevel="0" collapsed="false">
      <c r="A907" s="4"/>
      <c r="B907" s="2"/>
      <c r="C907" s="2"/>
      <c r="D907" s="2"/>
      <c r="E907" s="2"/>
      <c r="F907" s="3" t="str">
        <f aca="false">IFERROR(__xludf.dummyfunction("if($T907&lt;&gt;"""",REGEXEXTRACT(SUBSTITUTE ($T907,F$1&amp;"" CE"",""""), F$1&amp;""[\w &amp;]*, (\d+\.\d+)""),"""")
"),"")</f>
        <v/>
      </c>
      <c r="G907" s="3" t="str">
        <f aca="false">IFERROR(__xludf.dummyfunction("if($T907&lt;&gt;"""",REGEXEXTRACT($T907, G$1&amp;""[\w &amp;]*, (\d+\.\d+)""),"""")
"),"")</f>
        <v/>
      </c>
      <c r="H907" s="3"/>
      <c r="I907" s="3" t="str">
        <f aca="false">IFERROR(__xludf.dummyfunction("if($T907&lt;&gt;"""",REGEXEXTRACT(SUBSTITUTE ($T907,I$1&amp;"" CE"",""""), I$1&amp;""[\w &amp;]*, (\d+\.\d+)""),"""")
"),"")</f>
        <v/>
      </c>
      <c r="J907" s="3" t="str">
        <f aca="false">IFERROR(__xludf.dummyfunction("if($T907&lt;&gt;"""",REGEXEXTRACT($T907, J$1&amp;""[\w &amp;]*, (\d+\.\d+)""),"""")
"),"")</f>
        <v/>
      </c>
      <c r="K907" s="3"/>
      <c r="L907" s="3" t="str">
        <f aca="false">IFERROR(__xludf.dummyfunction("if($T907&lt;&gt;"""",REGEXEXTRACT(SUBSTITUTE ($T907,L$1&amp;"" CE"",""""), L$1&amp;""[\w &amp;]*, (\d+\.\d+)""),"""")
"),"")</f>
        <v/>
      </c>
      <c r="M907" s="3" t="str">
        <f aca="false">IFERROR(__xludf.dummyfunction("if($T907&lt;&gt;"""",REGEXEXTRACT($T907, M$1&amp;""[\w &amp;]*, (\d+\.\d+)""),"""")
"),"")</f>
        <v/>
      </c>
      <c r="N907" s="3" t="str">
        <f aca="false">IFERROR(__xludf.dummyfunction("if($T907&lt;&gt;"""",REGEXEXTRACT(SUBSTITUTE ($T907,N$1&amp;"" CE"",""""), N$1&amp;""[\w &amp;]*, (\d+\.\d+)""),"""")
"),"")</f>
        <v/>
      </c>
      <c r="O907" s="3" t="str">
        <f aca="false">IFERROR(__xludf.dummyfunction("if($T907&lt;&gt;"""",REGEXEXTRACT($T907, O$1&amp;""[\w &amp;]*, (\d+\.\d+)""),"""")
"),"")</f>
        <v/>
      </c>
      <c r="P907" s="2"/>
      <c r="Q907" s="2"/>
      <c r="R907" s="2"/>
      <c r="S907" s="2"/>
      <c r="T907" s="5"/>
    </row>
    <row r="908" customFormat="false" ht="15.75" hidden="false" customHeight="false" outlineLevel="0" collapsed="false">
      <c r="A908" s="4"/>
      <c r="B908" s="2"/>
      <c r="C908" s="2"/>
      <c r="D908" s="2"/>
      <c r="E908" s="2"/>
      <c r="F908" s="3" t="str">
        <f aca="false">IFERROR(__xludf.dummyfunction("if($T908&lt;&gt;"""",REGEXEXTRACT(SUBSTITUTE ($T908,F$1&amp;"" CE"",""""), F$1&amp;""[\w &amp;]*, (\d+\.\d+)""),"""")
"),"")</f>
        <v/>
      </c>
      <c r="G908" s="3" t="str">
        <f aca="false">IFERROR(__xludf.dummyfunction("if($T908&lt;&gt;"""",REGEXEXTRACT($T908, G$1&amp;""[\w &amp;]*, (\d+\.\d+)""),"""")
"),"")</f>
        <v/>
      </c>
      <c r="H908" s="3"/>
      <c r="I908" s="3" t="str">
        <f aca="false">IFERROR(__xludf.dummyfunction("if($T908&lt;&gt;"""",REGEXEXTRACT(SUBSTITUTE ($T908,I$1&amp;"" CE"",""""), I$1&amp;""[\w &amp;]*, (\d+\.\d+)""),"""")
"),"")</f>
        <v/>
      </c>
      <c r="J908" s="3" t="str">
        <f aca="false">IFERROR(__xludf.dummyfunction("if($T908&lt;&gt;"""",REGEXEXTRACT($T908, J$1&amp;""[\w &amp;]*, (\d+\.\d+)""),"""")
"),"")</f>
        <v/>
      </c>
      <c r="K908" s="3"/>
      <c r="L908" s="3" t="str">
        <f aca="false">IFERROR(__xludf.dummyfunction("if($T908&lt;&gt;"""",REGEXEXTRACT(SUBSTITUTE ($T908,L$1&amp;"" CE"",""""), L$1&amp;""[\w &amp;]*, (\d+\.\d+)""),"""")
"),"")</f>
        <v/>
      </c>
      <c r="M908" s="3" t="str">
        <f aca="false">IFERROR(__xludf.dummyfunction("if($T908&lt;&gt;"""",REGEXEXTRACT($T908, M$1&amp;""[\w &amp;]*, (\d+\.\d+)""),"""")
"),"")</f>
        <v/>
      </c>
      <c r="N908" s="3" t="str">
        <f aca="false">IFERROR(__xludf.dummyfunction("if($T908&lt;&gt;"""",REGEXEXTRACT(SUBSTITUTE ($T908,N$1&amp;"" CE"",""""), N$1&amp;""[\w &amp;]*, (\d+\.\d+)""),"""")
"),"")</f>
        <v/>
      </c>
      <c r="O908" s="3" t="str">
        <f aca="false">IFERROR(__xludf.dummyfunction("if($T908&lt;&gt;"""",REGEXEXTRACT($T908, O$1&amp;""[\w &amp;]*, (\d+\.\d+)""),"""")
"),"")</f>
        <v/>
      </c>
      <c r="P908" s="2"/>
      <c r="Q908" s="2"/>
      <c r="R908" s="2"/>
      <c r="S908" s="2"/>
      <c r="T908" s="5"/>
    </row>
    <row r="909" customFormat="false" ht="15.75" hidden="false" customHeight="false" outlineLevel="0" collapsed="false">
      <c r="A909" s="4"/>
      <c r="B909" s="2"/>
      <c r="C909" s="2"/>
      <c r="D909" s="2"/>
      <c r="E909" s="2"/>
      <c r="F909" s="3" t="str">
        <f aca="false">IFERROR(__xludf.dummyfunction("if($T909&lt;&gt;"""",REGEXEXTRACT(SUBSTITUTE ($T909,F$1&amp;"" CE"",""""), F$1&amp;""[\w &amp;]*, (\d+\.\d+)""),"""")
"),"")</f>
        <v/>
      </c>
      <c r="G909" s="3" t="str">
        <f aca="false">IFERROR(__xludf.dummyfunction("if($T909&lt;&gt;"""",REGEXEXTRACT($T909, G$1&amp;""[\w &amp;]*, (\d+\.\d+)""),"""")
"),"")</f>
        <v/>
      </c>
      <c r="H909" s="3"/>
      <c r="I909" s="3" t="str">
        <f aca="false">IFERROR(__xludf.dummyfunction("if($T909&lt;&gt;"""",REGEXEXTRACT(SUBSTITUTE ($T909,I$1&amp;"" CE"",""""), I$1&amp;""[\w &amp;]*, (\d+\.\d+)""),"""")
"),"")</f>
        <v/>
      </c>
      <c r="J909" s="3" t="str">
        <f aca="false">IFERROR(__xludf.dummyfunction("if($T909&lt;&gt;"""",REGEXEXTRACT($T909, J$1&amp;""[\w &amp;]*, (\d+\.\d+)""),"""")
"),"")</f>
        <v/>
      </c>
      <c r="K909" s="3"/>
      <c r="L909" s="3" t="str">
        <f aca="false">IFERROR(__xludf.dummyfunction("if($T909&lt;&gt;"""",REGEXEXTRACT(SUBSTITUTE ($T909,L$1&amp;"" CE"",""""), L$1&amp;""[\w &amp;]*, (\d+\.\d+)""),"""")
"),"")</f>
        <v/>
      </c>
      <c r="M909" s="3" t="str">
        <f aca="false">IFERROR(__xludf.dummyfunction("if($T909&lt;&gt;"""",REGEXEXTRACT($T909, M$1&amp;""[\w &amp;]*, (\d+\.\d+)""),"""")
"),"")</f>
        <v/>
      </c>
      <c r="N909" s="3" t="str">
        <f aca="false">IFERROR(__xludf.dummyfunction("if($T909&lt;&gt;"""",REGEXEXTRACT(SUBSTITUTE ($T909,N$1&amp;"" CE"",""""), N$1&amp;""[\w &amp;]*, (\d+\.\d+)""),"""")
"),"")</f>
        <v/>
      </c>
      <c r="O909" s="3" t="str">
        <f aca="false">IFERROR(__xludf.dummyfunction("if($T909&lt;&gt;"""",REGEXEXTRACT($T909, O$1&amp;""[\w &amp;]*, (\d+\.\d+)""),"""")
"),"")</f>
        <v/>
      </c>
      <c r="P909" s="2"/>
      <c r="Q909" s="2"/>
      <c r="R909" s="2"/>
      <c r="S909" s="2"/>
      <c r="T909" s="5"/>
    </row>
    <row r="910" customFormat="false" ht="15.75" hidden="false" customHeight="false" outlineLevel="0" collapsed="false">
      <c r="A910" s="4"/>
      <c r="B910" s="2"/>
      <c r="C910" s="2"/>
      <c r="D910" s="2"/>
      <c r="E910" s="2"/>
      <c r="F910" s="3" t="str">
        <f aca="false">IFERROR(__xludf.dummyfunction("if($T910&lt;&gt;"""",REGEXEXTRACT(SUBSTITUTE ($T910,F$1&amp;"" CE"",""""), F$1&amp;""[\w &amp;]*, (\d+\.\d+)""),"""")
"),"")</f>
        <v/>
      </c>
      <c r="G910" s="3" t="str">
        <f aca="false">IFERROR(__xludf.dummyfunction("if($T910&lt;&gt;"""",REGEXEXTRACT($T910, G$1&amp;""[\w &amp;]*, (\d+\.\d+)""),"""")
"),"")</f>
        <v/>
      </c>
      <c r="H910" s="3"/>
      <c r="I910" s="3" t="str">
        <f aca="false">IFERROR(__xludf.dummyfunction("if($T910&lt;&gt;"""",REGEXEXTRACT(SUBSTITUTE ($T910,I$1&amp;"" CE"",""""), I$1&amp;""[\w &amp;]*, (\d+\.\d+)""),"""")
"),"")</f>
        <v/>
      </c>
      <c r="J910" s="3" t="str">
        <f aca="false">IFERROR(__xludf.dummyfunction("if($T910&lt;&gt;"""",REGEXEXTRACT($T910, J$1&amp;""[\w &amp;]*, (\d+\.\d+)""),"""")
"),"")</f>
        <v/>
      </c>
      <c r="K910" s="3"/>
      <c r="L910" s="3" t="str">
        <f aca="false">IFERROR(__xludf.dummyfunction("if($T910&lt;&gt;"""",REGEXEXTRACT(SUBSTITUTE ($T910,L$1&amp;"" CE"",""""), L$1&amp;""[\w &amp;]*, (\d+\.\d+)""),"""")
"),"")</f>
        <v/>
      </c>
      <c r="M910" s="3" t="str">
        <f aca="false">IFERROR(__xludf.dummyfunction("if($T910&lt;&gt;"""",REGEXEXTRACT($T910, M$1&amp;""[\w &amp;]*, (\d+\.\d+)""),"""")
"),"")</f>
        <v/>
      </c>
      <c r="N910" s="3" t="str">
        <f aca="false">IFERROR(__xludf.dummyfunction("if($T910&lt;&gt;"""",REGEXEXTRACT(SUBSTITUTE ($T910,N$1&amp;"" CE"",""""), N$1&amp;""[\w &amp;]*, (\d+\.\d+)""),"""")
"),"")</f>
        <v/>
      </c>
      <c r="O910" s="3" t="str">
        <f aca="false">IFERROR(__xludf.dummyfunction("if($T910&lt;&gt;"""",REGEXEXTRACT($T910, O$1&amp;""[\w &amp;]*, (\d+\.\d+)""),"""")
"),"")</f>
        <v/>
      </c>
      <c r="P910" s="2"/>
      <c r="Q910" s="2"/>
      <c r="R910" s="2"/>
      <c r="S910" s="2"/>
      <c r="T910" s="5"/>
    </row>
    <row r="911" customFormat="false" ht="15.75" hidden="false" customHeight="false" outlineLevel="0" collapsed="false">
      <c r="A911" s="4"/>
      <c r="B911" s="2"/>
      <c r="C911" s="2"/>
      <c r="D911" s="2"/>
      <c r="E911" s="2"/>
      <c r="F911" s="3" t="str">
        <f aca="false">IFERROR(__xludf.dummyfunction("if($T911&lt;&gt;"""",REGEXEXTRACT(SUBSTITUTE ($T911,F$1&amp;"" CE"",""""), F$1&amp;""[\w &amp;]*, (\d+\.\d+)""),"""")
"),"")</f>
        <v/>
      </c>
      <c r="G911" s="3" t="str">
        <f aca="false">IFERROR(__xludf.dummyfunction("if($T911&lt;&gt;"""",REGEXEXTRACT($T911, G$1&amp;""[\w &amp;]*, (\d+\.\d+)""),"""")
"),"")</f>
        <v/>
      </c>
      <c r="H911" s="3"/>
      <c r="I911" s="3" t="str">
        <f aca="false">IFERROR(__xludf.dummyfunction("if($T911&lt;&gt;"""",REGEXEXTRACT(SUBSTITUTE ($T911,I$1&amp;"" CE"",""""), I$1&amp;""[\w &amp;]*, (\d+\.\d+)""),"""")
"),"")</f>
        <v/>
      </c>
      <c r="J911" s="3" t="str">
        <f aca="false">IFERROR(__xludf.dummyfunction("if($T911&lt;&gt;"""",REGEXEXTRACT($T911, J$1&amp;""[\w &amp;]*, (\d+\.\d+)""),"""")
"),"")</f>
        <v/>
      </c>
      <c r="K911" s="3"/>
      <c r="L911" s="3" t="str">
        <f aca="false">IFERROR(__xludf.dummyfunction("if($T911&lt;&gt;"""",REGEXEXTRACT(SUBSTITUTE ($T911,L$1&amp;"" CE"",""""), L$1&amp;""[\w &amp;]*, (\d+\.\d+)""),"""")
"),"")</f>
        <v/>
      </c>
      <c r="M911" s="3" t="str">
        <f aca="false">IFERROR(__xludf.dummyfunction("if($T911&lt;&gt;"""",REGEXEXTRACT($T911, M$1&amp;""[\w &amp;]*, (\d+\.\d+)""),"""")
"),"")</f>
        <v/>
      </c>
      <c r="N911" s="3" t="str">
        <f aca="false">IFERROR(__xludf.dummyfunction("if($T911&lt;&gt;"""",REGEXEXTRACT(SUBSTITUTE ($T911,N$1&amp;"" CE"",""""), N$1&amp;""[\w &amp;]*, (\d+\.\d+)""),"""")
"),"")</f>
        <v/>
      </c>
      <c r="O911" s="3" t="str">
        <f aca="false">IFERROR(__xludf.dummyfunction("if($T911&lt;&gt;"""",REGEXEXTRACT($T911, O$1&amp;""[\w &amp;]*, (\d+\.\d+)""),"""")
"),"")</f>
        <v/>
      </c>
      <c r="P911" s="2"/>
      <c r="Q911" s="2"/>
      <c r="R911" s="2"/>
      <c r="S911" s="2"/>
      <c r="T911" s="5"/>
    </row>
    <row r="912" customFormat="false" ht="15.75" hidden="false" customHeight="false" outlineLevel="0" collapsed="false">
      <c r="A912" s="4"/>
      <c r="B912" s="2"/>
      <c r="C912" s="2"/>
      <c r="D912" s="2"/>
      <c r="E912" s="2"/>
      <c r="F912" s="3" t="str">
        <f aca="false">IFERROR(__xludf.dummyfunction("if($T912&lt;&gt;"""",REGEXEXTRACT(SUBSTITUTE ($T912,F$1&amp;"" CE"",""""), F$1&amp;""[\w &amp;]*, (\d+\.\d+)""),"""")
"),"")</f>
        <v/>
      </c>
      <c r="G912" s="3" t="str">
        <f aca="false">IFERROR(__xludf.dummyfunction("if($T912&lt;&gt;"""",REGEXEXTRACT($T912, G$1&amp;""[\w &amp;]*, (\d+\.\d+)""),"""")
"),"")</f>
        <v/>
      </c>
      <c r="H912" s="3"/>
      <c r="I912" s="3" t="str">
        <f aca="false">IFERROR(__xludf.dummyfunction("if($T912&lt;&gt;"""",REGEXEXTRACT(SUBSTITUTE ($T912,I$1&amp;"" CE"",""""), I$1&amp;""[\w &amp;]*, (\d+\.\d+)""),"""")
"),"")</f>
        <v/>
      </c>
      <c r="J912" s="3" t="str">
        <f aca="false">IFERROR(__xludf.dummyfunction("if($T912&lt;&gt;"""",REGEXEXTRACT($T912, J$1&amp;""[\w &amp;]*, (\d+\.\d+)""),"""")
"),"")</f>
        <v/>
      </c>
      <c r="K912" s="3"/>
      <c r="L912" s="3" t="str">
        <f aca="false">IFERROR(__xludf.dummyfunction("if($T912&lt;&gt;"""",REGEXEXTRACT(SUBSTITUTE ($T912,L$1&amp;"" CE"",""""), L$1&amp;""[\w &amp;]*, (\d+\.\d+)""),"""")
"),"")</f>
        <v/>
      </c>
      <c r="M912" s="3" t="str">
        <f aca="false">IFERROR(__xludf.dummyfunction("if($T912&lt;&gt;"""",REGEXEXTRACT($T912, M$1&amp;""[\w &amp;]*, (\d+\.\d+)""),"""")
"),"")</f>
        <v/>
      </c>
      <c r="N912" s="3" t="str">
        <f aca="false">IFERROR(__xludf.dummyfunction("if($T912&lt;&gt;"""",REGEXEXTRACT(SUBSTITUTE ($T912,N$1&amp;"" CE"",""""), N$1&amp;""[\w &amp;]*, (\d+\.\d+)""),"""")
"),"")</f>
        <v/>
      </c>
      <c r="O912" s="3" t="str">
        <f aca="false">IFERROR(__xludf.dummyfunction("if($T912&lt;&gt;"""",REGEXEXTRACT($T912, O$1&amp;""[\w &amp;]*, (\d+\.\d+)""),"""")
"),"")</f>
        <v/>
      </c>
      <c r="P912" s="2"/>
      <c r="Q912" s="2"/>
      <c r="R912" s="2"/>
      <c r="S912" s="2"/>
      <c r="T912" s="5"/>
    </row>
    <row r="913" customFormat="false" ht="15.75" hidden="false" customHeight="false" outlineLevel="0" collapsed="false">
      <c r="A913" s="4"/>
      <c r="B913" s="2"/>
      <c r="C913" s="2"/>
      <c r="D913" s="2"/>
      <c r="E913" s="2"/>
      <c r="F913" s="3" t="str">
        <f aca="false">IFERROR(__xludf.dummyfunction("if($T913&lt;&gt;"""",REGEXEXTRACT(SUBSTITUTE ($T913,F$1&amp;"" CE"",""""), F$1&amp;""[\w &amp;]*, (\d+\.\d+)""),"""")
"),"")</f>
        <v/>
      </c>
      <c r="G913" s="3" t="str">
        <f aca="false">IFERROR(__xludf.dummyfunction("if($T913&lt;&gt;"""",REGEXEXTRACT($T913, G$1&amp;""[\w &amp;]*, (\d+\.\d+)""),"""")
"),"")</f>
        <v/>
      </c>
      <c r="H913" s="3"/>
      <c r="I913" s="3" t="str">
        <f aca="false">IFERROR(__xludf.dummyfunction("if($T913&lt;&gt;"""",REGEXEXTRACT(SUBSTITUTE ($T913,I$1&amp;"" CE"",""""), I$1&amp;""[\w &amp;]*, (\d+\.\d+)""),"""")
"),"")</f>
        <v/>
      </c>
      <c r="J913" s="3" t="str">
        <f aca="false">IFERROR(__xludf.dummyfunction("if($T913&lt;&gt;"""",REGEXEXTRACT($T913, J$1&amp;""[\w &amp;]*, (\d+\.\d+)""),"""")
"),"")</f>
        <v/>
      </c>
      <c r="K913" s="3"/>
      <c r="L913" s="3" t="str">
        <f aca="false">IFERROR(__xludf.dummyfunction("if($T913&lt;&gt;"""",REGEXEXTRACT(SUBSTITUTE ($T913,L$1&amp;"" CE"",""""), L$1&amp;""[\w &amp;]*, (\d+\.\d+)""),"""")
"),"")</f>
        <v/>
      </c>
      <c r="M913" s="3" t="str">
        <f aca="false">IFERROR(__xludf.dummyfunction("if($T913&lt;&gt;"""",REGEXEXTRACT($T913, M$1&amp;""[\w &amp;]*, (\d+\.\d+)""),"""")
"),"")</f>
        <v/>
      </c>
      <c r="N913" s="3" t="str">
        <f aca="false">IFERROR(__xludf.dummyfunction("if($T913&lt;&gt;"""",REGEXEXTRACT(SUBSTITUTE ($T913,N$1&amp;"" CE"",""""), N$1&amp;""[\w &amp;]*, (\d+\.\d+)""),"""")
"),"")</f>
        <v/>
      </c>
      <c r="O913" s="3" t="str">
        <f aca="false">IFERROR(__xludf.dummyfunction("if($T913&lt;&gt;"""",REGEXEXTRACT($T913, O$1&amp;""[\w &amp;]*, (\d+\.\d+)""),"""")
"),"")</f>
        <v/>
      </c>
      <c r="P913" s="2"/>
      <c r="Q913" s="2"/>
      <c r="R913" s="2"/>
      <c r="S913" s="2"/>
      <c r="T913" s="5"/>
    </row>
    <row r="914" customFormat="false" ht="15.75" hidden="false" customHeight="false" outlineLevel="0" collapsed="false">
      <c r="A914" s="4"/>
      <c r="B914" s="2"/>
      <c r="C914" s="2"/>
      <c r="D914" s="2"/>
      <c r="E914" s="2"/>
      <c r="F914" s="3" t="str">
        <f aca="false">IFERROR(__xludf.dummyfunction("if($T914&lt;&gt;"""",REGEXEXTRACT(SUBSTITUTE ($T914,F$1&amp;"" CE"",""""), F$1&amp;""[\w &amp;]*, (\d+\.\d+)""),"""")
"),"")</f>
        <v/>
      </c>
      <c r="G914" s="3" t="str">
        <f aca="false">IFERROR(__xludf.dummyfunction("if($T914&lt;&gt;"""",REGEXEXTRACT($T914, G$1&amp;""[\w &amp;]*, (\d+\.\d+)""),"""")
"),"")</f>
        <v/>
      </c>
      <c r="H914" s="3"/>
      <c r="I914" s="3" t="str">
        <f aca="false">IFERROR(__xludf.dummyfunction("if($T914&lt;&gt;"""",REGEXEXTRACT(SUBSTITUTE ($T914,I$1&amp;"" CE"",""""), I$1&amp;""[\w &amp;]*, (\d+\.\d+)""),"""")
"),"")</f>
        <v/>
      </c>
      <c r="J914" s="3" t="str">
        <f aca="false">IFERROR(__xludf.dummyfunction("if($T914&lt;&gt;"""",REGEXEXTRACT($T914, J$1&amp;""[\w &amp;]*, (\d+\.\d+)""),"""")
"),"")</f>
        <v/>
      </c>
      <c r="K914" s="3"/>
      <c r="L914" s="3" t="str">
        <f aca="false">IFERROR(__xludf.dummyfunction("if($T914&lt;&gt;"""",REGEXEXTRACT(SUBSTITUTE ($T914,L$1&amp;"" CE"",""""), L$1&amp;""[\w &amp;]*, (\d+\.\d+)""),"""")
"),"")</f>
        <v/>
      </c>
      <c r="M914" s="3" t="str">
        <f aca="false">IFERROR(__xludf.dummyfunction("if($T914&lt;&gt;"""",REGEXEXTRACT($T914, M$1&amp;""[\w &amp;]*, (\d+\.\d+)""),"""")
"),"")</f>
        <v/>
      </c>
      <c r="N914" s="3" t="str">
        <f aca="false">IFERROR(__xludf.dummyfunction("if($T914&lt;&gt;"""",REGEXEXTRACT(SUBSTITUTE ($T914,N$1&amp;"" CE"",""""), N$1&amp;""[\w &amp;]*, (\d+\.\d+)""),"""")
"),"")</f>
        <v/>
      </c>
      <c r="O914" s="3" t="str">
        <f aca="false">IFERROR(__xludf.dummyfunction("if($T914&lt;&gt;"""",REGEXEXTRACT($T914, O$1&amp;""[\w &amp;]*, (\d+\.\d+)""),"""")
"),"")</f>
        <v/>
      </c>
      <c r="P914" s="2"/>
      <c r="Q914" s="2"/>
      <c r="R914" s="2"/>
      <c r="S914" s="2"/>
      <c r="T914" s="5"/>
    </row>
    <row r="915" customFormat="false" ht="15.75" hidden="false" customHeight="false" outlineLevel="0" collapsed="false">
      <c r="A915" s="4"/>
      <c r="B915" s="2"/>
      <c r="C915" s="2"/>
      <c r="D915" s="2"/>
      <c r="E915" s="2"/>
      <c r="F915" s="3" t="str">
        <f aca="false">IFERROR(__xludf.dummyfunction("if($T915&lt;&gt;"""",REGEXEXTRACT(SUBSTITUTE ($T915,F$1&amp;"" CE"",""""), F$1&amp;""[\w &amp;]*, (\d+\.\d+)""),"""")
"),"")</f>
        <v/>
      </c>
      <c r="G915" s="3" t="str">
        <f aca="false">IFERROR(__xludf.dummyfunction("if($T915&lt;&gt;"""",REGEXEXTRACT($T915, G$1&amp;""[\w &amp;]*, (\d+\.\d+)""),"""")
"),"")</f>
        <v/>
      </c>
      <c r="H915" s="3"/>
      <c r="I915" s="3" t="str">
        <f aca="false">IFERROR(__xludf.dummyfunction("if($T915&lt;&gt;"""",REGEXEXTRACT(SUBSTITUTE ($T915,I$1&amp;"" CE"",""""), I$1&amp;""[\w &amp;]*, (\d+\.\d+)""),"""")
"),"")</f>
        <v/>
      </c>
      <c r="J915" s="3" t="str">
        <f aca="false">IFERROR(__xludf.dummyfunction("if($T915&lt;&gt;"""",REGEXEXTRACT($T915, J$1&amp;""[\w &amp;]*, (\d+\.\d+)""),"""")
"),"")</f>
        <v/>
      </c>
      <c r="K915" s="3"/>
      <c r="L915" s="3" t="str">
        <f aca="false">IFERROR(__xludf.dummyfunction("if($T915&lt;&gt;"""",REGEXEXTRACT(SUBSTITUTE ($T915,L$1&amp;"" CE"",""""), L$1&amp;""[\w &amp;]*, (\d+\.\d+)""),"""")
"),"")</f>
        <v/>
      </c>
      <c r="M915" s="3" t="str">
        <f aca="false">IFERROR(__xludf.dummyfunction("if($T915&lt;&gt;"""",REGEXEXTRACT($T915, M$1&amp;""[\w &amp;]*, (\d+\.\d+)""),"""")
"),"")</f>
        <v/>
      </c>
      <c r="N915" s="3" t="str">
        <f aca="false">IFERROR(__xludf.dummyfunction("if($T915&lt;&gt;"""",REGEXEXTRACT(SUBSTITUTE ($T915,N$1&amp;"" CE"",""""), N$1&amp;""[\w &amp;]*, (\d+\.\d+)""),"""")
"),"")</f>
        <v/>
      </c>
      <c r="O915" s="3" t="str">
        <f aca="false">IFERROR(__xludf.dummyfunction("if($T915&lt;&gt;"""",REGEXEXTRACT($T915, O$1&amp;""[\w &amp;]*, (\d+\.\d+)""),"""")
"),"")</f>
        <v/>
      </c>
      <c r="P915" s="2"/>
      <c r="Q915" s="2"/>
      <c r="R915" s="2"/>
      <c r="S915" s="2"/>
      <c r="T915" s="5"/>
    </row>
    <row r="916" customFormat="false" ht="15.75" hidden="false" customHeight="false" outlineLevel="0" collapsed="false">
      <c r="A916" s="4"/>
      <c r="B916" s="2"/>
      <c r="C916" s="2"/>
      <c r="D916" s="2"/>
      <c r="E916" s="2"/>
      <c r="F916" s="3" t="str">
        <f aca="false">IFERROR(__xludf.dummyfunction("if($T916&lt;&gt;"""",REGEXEXTRACT(SUBSTITUTE ($T916,F$1&amp;"" CE"",""""), F$1&amp;""[\w &amp;]*, (\d+\.\d+)""),"""")
"),"")</f>
        <v/>
      </c>
      <c r="G916" s="3" t="str">
        <f aca="false">IFERROR(__xludf.dummyfunction("if($T916&lt;&gt;"""",REGEXEXTRACT($T916, G$1&amp;""[\w &amp;]*, (\d+\.\d+)""),"""")
"),"")</f>
        <v/>
      </c>
      <c r="H916" s="3"/>
      <c r="I916" s="3" t="str">
        <f aca="false">IFERROR(__xludf.dummyfunction("if($T916&lt;&gt;"""",REGEXEXTRACT(SUBSTITUTE ($T916,I$1&amp;"" CE"",""""), I$1&amp;""[\w &amp;]*, (\d+\.\d+)""),"""")
"),"")</f>
        <v/>
      </c>
      <c r="J916" s="3" t="str">
        <f aca="false">IFERROR(__xludf.dummyfunction("if($T916&lt;&gt;"""",REGEXEXTRACT($T916, J$1&amp;""[\w &amp;]*, (\d+\.\d+)""),"""")
"),"")</f>
        <v/>
      </c>
      <c r="K916" s="3"/>
      <c r="L916" s="3" t="str">
        <f aca="false">IFERROR(__xludf.dummyfunction("if($T916&lt;&gt;"""",REGEXEXTRACT(SUBSTITUTE ($T916,L$1&amp;"" CE"",""""), L$1&amp;""[\w &amp;]*, (\d+\.\d+)""),"""")
"),"")</f>
        <v/>
      </c>
      <c r="M916" s="3" t="str">
        <f aca="false">IFERROR(__xludf.dummyfunction("if($T916&lt;&gt;"""",REGEXEXTRACT($T916, M$1&amp;""[\w &amp;]*, (\d+\.\d+)""),"""")
"),"")</f>
        <v/>
      </c>
      <c r="N916" s="3" t="str">
        <f aca="false">IFERROR(__xludf.dummyfunction("if($T916&lt;&gt;"""",REGEXEXTRACT(SUBSTITUTE ($T916,N$1&amp;"" CE"",""""), N$1&amp;""[\w &amp;]*, (\d+\.\d+)""),"""")
"),"")</f>
        <v/>
      </c>
      <c r="O916" s="3" t="str">
        <f aca="false">IFERROR(__xludf.dummyfunction("if($T916&lt;&gt;"""",REGEXEXTRACT($T916, O$1&amp;""[\w &amp;]*, (\d+\.\d+)""),"""")
"),"")</f>
        <v/>
      </c>
      <c r="P916" s="2"/>
      <c r="Q916" s="2"/>
      <c r="R916" s="2"/>
      <c r="S916" s="2"/>
      <c r="T916" s="5"/>
    </row>
    <row r="917" customFormat="false" ht="15.75" hidden="false" customHeight="false" outlineLevel="0" collapsed="false">
      <c r="A917" s="4"/>
      <c r="B917" s="2"/>
      <c r="C917" s="2"/>
      <c r="D917" s="2"/>
      <c r="E917" s="2"/>
      <c r="F917" s="3" t="str">
        <f aca="false">IFERROR(__xludf.dummyfunction("if($T917&lt;&gt;"""",REGEXEXTRACT(SUBSTITUTE ($T917,F$1&amp;"" CE"",""""), F$1&amp;""[\w &amp;]*, (\d+\.\d+)""),"""")
"),"")</f>
        <v/>
      </c>
      <c r="G917" s="3" t="str">
        <f aca="false">IFERROR(__xludf.dummyfunction("if($T917&lt;&gt;"""",REGEXEXTRACT($T917, G$1&amp;""[\w &amp;]*, (\d+\.\d+)""),"""")
"),"")</f>
        <v/>
      </c>
      <c r="H917" s="3"/>
      <c r="I917" s="3" t="str">
        <f aca="false">IFERROR(__xludf.dummyfunction("if($T917&lt;&gt;"""",REGEXEXTRACT(SUBSTITUTE ($T917,I$1&amp;"" CE"",""""), I$1&amp;""[\w &amp;]*, (\d+\.\d+)""),"""")
"),"")</f>
        <v/>
      </c>
      <c r="J917" s="3" t="str">
        <f aca="false">IFERROR(__xludf.dummyfunction("if($T917&lt;&gt;"""",REGEXEXTRACT($T917, J$1&amp;""[\w &amp;]*, (\d+\.\d+)""),"""")
"),"")</f>
        <v/>
      </c>
      <c r="K917" s="3"/>
      <c r="L917" s="3" t="str">
        <f aca="false">IFERROR(__xludf.dummyfunction("if($T917&lt;&gt;"""",REGEXEXTRACT(SUBSTITUTE ($T917,L$1&amp;"" CE"",""""), L$1&amp;""[\w &amp;]*, (\d+\.\d+)""),"""")
"),"")</f>
        <v/>
      </c>
      <c r="M917" s="3" t="str">
        <f aca="false">IFERROR(__xludf.dummyfunction("if($T917&lt;&gt;"""",REGEXEXTRACT($T917, M$1&amp;""[\w &amp;]*, (\d+\.\d+)""),"""")
"),"")</f>
        <v/>
      </c>
      <c r="N917" s="3" t="str">
        <f aca="false">IFERROR(__xludf.dummyfunction("if($T917&lt;&gt;"""",REGEXEXTRACT(SUBSTITUTE ($T917,N$1&amp;"" CE"",""""), N$1&amp;""[\w &amp;]*, (\d+\.\d+)""),"""")
"),"")</f>
        <v/>
      </c>
      <c r="O917" s="3" t="str">
        <f aca="false">IFERROR(__xludf.dummyfunction("if($T917&lt;&gt;"""",REGEXEXTRACT($T917, O$1&amp;""[\w &amp;]*, (\d+\.\d+)""),"""")
"),"")</f>
        <v/>
      </c>
      <c r="P917" s="2"/>
      <c r="Q917" s="2"/>
      <c r="R917" s="2"/>
      <c r="S917" s="2"/>
      <c r="T917" s="5"/>
    </row>
    <row r="918" customFormat="false" ht="15.75" hidden="false" customHeight="false" outlineLevel="0" collapsed="false">
      <c r="A918" s="4"/>
      <c r="B918" s="2"/>
      <c r="C918" s="2"/>
      <c r="D918" s="2"/>
      <c r="E918" s="2"/>
      <c r="F918" s="3" t="str">
        <f aca="false">IFERROR(__xludf.dummyfunction("if($T918&lt;&gt;"""",REGEXEXTRACT(SUBSTITUTE ($T918,F$1&amp;"" CE"",""""), F$1&amp;""[\w &amp;]*, (\d+\.\d+)""),"""")
"),"")</f>
        <v/>
      </c>
      <c r="G918" s="3" t="str">
        <f aca="false">IFERROR(__xludf.dummyfunction("if($T918&lt;&gt;"""",REGEXEXTRACT($T918, G$1&amp;""[\w &amp;]*, (\d+\.\d+)""),"""")
"),"")</f>
        <v/>
      </c>
      <c r="H918" s="3"/>
      <c r="I918" s="3" t="str">
        <f aca="false">IFERROR(__xludf.dummyfunction("if($T918&lt;&gt;"""",REGEXEXTRACT(SUBSTITUTE ($T918,I$1&amp;"" CE"",""""), I$1&amp;""[\w &amp;]*, (\d+\.\d+)""),"""")
"),"")</f>
        <v/>
      </c>
      <c r="J918" s="3" t="str">
        <f aca="false">IFERROR(__xludf.dummyfunction("if($T918&lt;&gt;"""",REGEXEXTRACT($T918, J$1&amp;""[\w &amp;]*, (\d+\.\d+)""),"""")
"),"")</f>
        <v/>
      </c>
      <c r="K918" s="3"/>
      <c r="L918" s="3" t="str">
        <f aca="false">IFERROR(__xludf.dummyfunction("if($T918&lt;&gt;"""",REGEXEXTRACT(SUBSTITUTE ($T918,L$1&amp;"" CE"",""""), L$1&amp;""[\w &amp;]*, (\d+\.\d+)""),"""")
"),"")</f>
        <v/>
      </c>
      <c r="M918" s="3" t="str">
        <f aca="false">IFERROR(__xludf.dummyfunction("if($T918&lt;&gt;"""",REGEXEXTRACT($T918, M$1&amp;""[\w &amp;]*, (\d+\.\d+)""),"""")
"),"")</f>
        <v/>
      </c>
      <c r="N918" s="3" t="str">
        <f aca="false">IFERROR(__xludf.dummyfunction("if($T918&lt;&gt;"""",REGEXEXTRACT(SUBSTITUTE ($T918,N$1&amp;"" CE"",""""), N$1&amp;""[\w &amp;]*, (\d+\.\d+)""),"""")
"),"")</f>
        <v/>
      </c>
      <c r="O918" s="3" t="str">
        <f aca="false">IFERROR(__xludf.dummyfunction("if($T918&lt;&gt;"""",REGEXEXTRACT($T918, O$1&amp;""[\w &amp;]*, (\d+\.\d+)""),"""")
"),"")</f>
        <v/>
      </c>
      <c r="P918" s="2"/>
      <c r="Q918" s="2"/>
      <c r="R918" s="2"/>
      <c r="S918" s="2"/>
      <c r="T918" s="5"/>
    </row>
    <row r="919" customFormat="false" ht="15.75" hidden="false" customHeight="false" outlineLevel="0" collapsed="false">
      <c r="A919" s="4"/>
      <c r="B919" s="2"/>
      <c r="C919" s="2"/>
      <c r="D919" s="2"/>
      <c r="E919" s="2"/>
      <c r="F919" s="3" t="str">
        <f aca="false">IFERROR(__xludf.dummyfunction("if($T919&lt;&gt;"""",REGEXEXTRACT(SUBSTITUTE ($T919,F$1&amp;"" CE"",""""), F$1&amp;""[\w &amp;]*, (\d+\.\d+)""),"""")
"),"")</f>
        <v/>
      </c>
      <c r="G919" s="3" t="str">
        <f aca="false">IFERROR(__xludf.dummyfunction("if($T919&lt;&gt;"""",REGEXEXTRACT($T919, G$1&amp;""[\w &amp;]*, (\d+\.\d+)""),"""")
"),"")</f>
        <v/>
      </c>
      <c r="H919" s="3"/>
      <c r="I919" s="3" t="str">
        <f aca="false">IFERROR(__xludf.dummyfunction("if($T919&lt;&gt;"""",REGEXEXTRACT(SUBSTITUTE ($T919,I$1&amp;"" CE"",""""), I$1&amp;""[\w &amp;]*, (\d+\.\d+)""),"""")
"),"")</f>
        <v/>
      </c>
      <c r="J919" s="3" t="str">
        <f aca="false">IFERROR(__xludf.dummyfunction("if($T919&lt;&gt;"""",REGEXEXTRACT($T919, J$1&amp;""[\w &amp;]*, (\d+\.\d+)""),"""")
"),"")</f>
        <v/>
      </c>
      <c r="K919" s="3"/>
      <c r="L919" s="3" t="str">
        <f aca="false">IFERROR(__xludf.dummyfunction("if($T919&lt;&gt;"""",REGEXEXTRACT(SUBSTITUTE ($T919,L$1&amp;"" CE"",""""), L$1&amp;""[\w &amp;]*, (\d+\.\d+)""),"""")
"),"")</f>
        <v/>
      </c>
      <c r="M919" s="3" t="str">
        <f aca="false">IFERROR(__xludf.dummyfunction("if($T919&lt;&gt;"""",REGEXEXTRACT($T919, M$1&amp;""[\w &amp;]*, (\d+\.\d+)""),"""")
"),"")</f>
        <v/>
      </c>
      <c r="N919" s="3" t="str">
        <f aca="false">IFERROR(__xludf.dummyfunction("if($T919&lt;&gt;"""",REGEXEXTRACT(SUBSTITUTE ($T919,N$1&amp;"" CE"",""""), N$1&amp;""[\w &amp;]*, (\d+\.\d+)""),"""")
"),"")</f>
        <v/>
      </c>
      <c r="O919" s="3" t="str">
        <f aca="false">IFERROR(__xludf.dummyfunction("if($T919&lt;&gt;"""",REGEXEXTRACT($T919, O$1&amp;""[\w &amp;]*, (\d+\.\d+)""),"""")
"),"")</f>
        <v/>
      </c>
      <c r="P919" s="2"/>
      <c r="Q919" s="2"/>
      <c r="R919" s="2"/>
      <c r="S919" s="2"/>
      <c r="T919" s="5"/>
    </row>
    <row r="920" customFormat="false" ht="15.75" hidden="false" customHeight="false" outlineLevel="0" collapsed="false">
      <c r="A920" s="4"/>
      <c r="B920" s="2"/>
      <c r="C920" s="2"/>
      <c r="D920" s="2"/>
      <c r="E920" s="2"/>
      <c r="F920" s="3" t="str">
        <f aca="false">IFERROR(__xludf.dummyfunction("if($T920&lt;&gt;"""",REGEXEXTRACT(SUBSTITUTE ($T920,F$1&amp;"" CE"",""""), F$1&amp;""[\w &amp;]*, (\d+\.\d+)""),"""")
"),"")</f>
        <v/>
      </c>
      <c r="G920" s="3" t="str">
        <f aca="false">IFERROR(__xludf.dummyfunction("if($T920&lt;&gt;"""",REGEXEXTRACT($T920, G$1&amp;""[\w &amp;]*, (\d+\.\d+)""),"""")
"),"")</f>
        <v/>
      </c>
      <c r="H920" s="3"/>
      <c r="I920" s="3" t="str">
        <f aca="false">IFERROR(__xludf.dummyfunction("if($T920&lt;&gt;"""",REGEXEXTRACT(SUBSTITUTE ($T920,I$1&amp;"" CE"",""""), I$1&amp;""[\w &amp;]*, (\d+\.\d+)""),"""")
"),"")</f>
        <v/>
      </c>
      <c r="J920" s="3" t="str">
        <f aca="false">IFERROR(__xludf.dummyfunction("if($T920&lt;&gt;"""",REGEXEXTRACT($T920, J$1&amp;""[\w &amp;]*, (\d+\.\d+)""),"""")
"),"")</f>
        <v/>
      </c>
      <c r="K920" s="3"/>
      <c r="L920" s="3" t="str">
        <f aca="false">IFERROR(__xludf.dummyfunction("if($T920&lt;&gt;"""",REGEXEXTRACT(SUBSTITUTE ($T920,L$1&amp;"" CE"",""""), L$1&amp;""[\w &amp;]*, (\d+\.\d+)""),"""")
"),"")</f>
        <v/>
      </c>
      <c r="M920" s="3" t="str">
        <f aca="false">IFERROR(__xludf.dummyfunction("if($T920&lt;&gt;"""",REGEXEXTRACT($T920, M$1&amp;""[\w &amp;]*, (\d+\.\d+)""),"""")
"),"")</f>
        <v/>
      </c>
      <c r="N920" s="3" t="str">
        <f aca="false">IFERROR(__xludf.dummyfunction("if($T920&lt;&gt;"""",REGEXEXTRACT(SUBSTITUTE ($T920,N$1&amp;"" CE"",""""), N$1&amp;""[\w &amp;]*, (\d+\.\d+)""),"""")
"),"")</f>
        <v/>
      </c>
      <c r="O920" s="3" t="str">
        <f aca="false">IFERROR(__xludf.dummyfunction("if($T920&lt;&gt;"""",REGEXEXTRACT($T920, O$1&amp;""[\w &amp;]*, (\d+\.\d+)""),"""")
"),"")</f>
        <v/>
      </c>
      <c r="P920" s="2"/>
      <c r="Q920" s="2"/>
      <c r="R920" s="2"/>
      <c r="S920" s="2"/>
      <c r="T920" s="5"/>
    </row>
    <row r="921" customFormat="false" ht="15.75" hidden="false" customHeight="false" outlineLevel="0" collapsed="false">
      <c r="A921" s="4"/>
      <c r="B921" s="2"/>
      <c r="C921" s="2"/>
      <c r="D921" s="2"/>
      <c r="E921" s="2"/>
      <c r="F921" s="3" t="str">
        <f aca="false">IFERROR(__xludf.dummyfunction("if($T921&lt;&gt;"""",REGEXEXTRACT(SUBSTITUTE ($T921,F$1&amp;"" CE"",""""), F$1&amp;""[\w &amp;]*, (\d+\.\d+)""),"""")
"),"")</f>
        <v/>
      </c>
      <c r="G921" s="3" t="str">
        <f aca="false">IFERROR(__xludf.dummyfunction("if($T921&lt;&gt;"""",REGEXEXTRACT($T921, G$1&amp;""[\w &amp;]*, (\d+\.\d+)""),"""")
"),"")</f>
        <v/>
      </c>
      <c r="H921" s="3"/>
      <c r="I921" s="3" t="str">
        <f aca="false">IFERROR(__xludf.dummyfunction("if($T921&lt;&gt;"""",REGEXEXTRACT(SUBSTITUTE ($T921,I$1&amp;"" CE"",""""), I$1&amp;""[\w &amp;]*, (\d+\.\d+)""),"""")
"),"")</f>
        <v/>
      </c>
      <c r="J921" s="3" t="str">
        <f aca="false">IFERROR(__xludf.dummyfunction("if($T921&lt;&gt;"""",REGEXEXTRACT($T921, J$1&amp;""[\w &amp;]*, (\d+\.\d+)""),"""")
"),"")</f>
        <v/>
      </c>
      <c r="K921" s="3"/>
      <c r="L921" s="3" t="str">
        <f aca="false">IFERROR(__xludf.dummyfunction("if($T921&lt;&gt;"""",REGEXEXTRACT(SUBSTITUTE ($T921,L$1&amp;"" CE"",""""), L$1&amp;""[\w &amp;]*, (\d+\.\d+)""),"""")
"),"")</f>
        <v/>
      </c>
      <c r="M921" s="3" t="str">
        <f aca="false">IFERROR(__xludf.dummyfunction("if($T921&lt;&gt;"""",REGEXEXTRACT($T921, M$1&amp;""[\w &amp;]*, (\d+\.\d+)""),"""")
"),"")</f>
        <v/>
      </c>
      <c r="N921" s="3" t="str">
        <f aca="false">IFERROR(__xludf.dummyfunction("if($T921&lt;&gt;"""",REGEXEXTRACT(SUBSTITUTE ($T921,N$1&amp;"" CE"",""""), N$1&amp;""[\w &amp;]*, (\d+\.\d+)""),"""")
"),"")</f>
        <v/>
      </c>
      <c r="O921" s="3" t="str">
        <f aca="false">IFERROR(__xludf.dummyfunction("if($T921&lt;&gt;"""",REGEXEXTRACT($T921, O$1&amp;""[\w &amp;]*, (\d+\.\d+)""),"""")
"),"")</f>
        <v/>
      </c>
      <c r="P921" s="2"/>
      <c r="Q921" s="2"/>
      <c r="R921" s="2"/>
      <c r="S921" s="2"/>
      <c r="T921" s="5"/>
    </row>
    <row r="922" customFormat="false" ht="15.75" hidden="false" customHeight="false" outlineLevel="0" collapsed="false">
      <c r="A922" s="4"/>
      <c r="B922" s="2"/>
      <c r="C922" s="2"/>
      <c r="D922" s="2"/>
      <c r="E922" s="2"/>
      <c r="F922" s="3" t="str">
        <f aca="false">IFERROR(__xludf.dummyfunction("if($T922&lt;&gt;"""",REGEXEXTRACT(SUBSTITUTE ($T922,F$1&amp;"" CE"",""""), F$1&amp;""[\w &amp;]*, (\d+\.\d+)""),"""")
"),"")</f>
        <v/>
      </c>
      <c r="G922" s="3" t="str">
        <f aca="false">IFERROR(__xludf.dummyfunction("if($T922&lt;&gt;"""",REGEXEXTRACT($T922, G$1&amp;""[\w &amp;]*, (\d+\.\d+)""),"""")
"),"")</f>
        <v/>
      </c>
      <c r="H922" s="3"/>
      <c r="I922" s="3" t="str">
        <f aca="false">IFERROR(__xludf.dummyfunction("if($T922&lt;&gt;"""",REGEXEXTRACT(SUBSTITUTE ($T922,I$1&amp;"" CE"",""""), I$1&amp;""[\w &amp;]*, (\d+\.\d+)""),"""")
"),"")</f>
        <v/>
      </c>
      <c r="J922" s="3" t="str">
        <f aca="false">IFERROR(__xludf.dummyfunction("if($T922&lt;&gt;"""",REGEXEXTRACT($T922, J$1&amp;""[\w &amp;]*, (\d+\.\d+)""),"""")
"),"")</f>
        <v/>
      </c>
      <c r="K922" s="3"/>
      <c r="L922" s="3" t="str">
        <f aca="false">IFERROR(__xludf.dummyfunction("if($T922&lt;&gt;"""",REGEXEXTRACT(SUBSTITUTE ($T922,L$1&amp;"" CE"",""""), L$1&amp;""[\w &amp;]*, (\d+\.\d+)""),"""")
"),"")</f>
        <v/>
      </c>
      <c r="M922" s="3" t="str">
        <f aca="false">IFERROR(__xludf.dummyfunction("if($T922&lt;&gt;"""",REGEXEXTRACT($T922, M$1&amp;""[\w &amp;]*, (\d+\.\d+)""),"""")
"),"")</f>
        <v/>
      </c>
      <c r="N922" s="3" t="str">
        <f aca="false">IFERROR(__xludf.dummyfunction("if($T922&lt;&gt;"""",REGEXEXTRACT(SUBSTITUTE ($T922,N$1&amp;"" CE"",""""), N$1&amp;""[\w &amp;]*, (\d+\.\d+)""),"""")
"),"")</f>
        <v/>
      </c>
      <c r="O922" s="3" t="str">
        <f aca="false">IFERROR(__xludf.dummyfunction("if($T922&lt;&gt;"""",REGEXEXTRACT($T922, O$1&amp;""[\w &amp;]*, (\d+\.\d+)""),"""")
"),"")</f>
        <v/>
      </c>
      <c r="P922" s="2"/>
      <c r="Q922" s="2"/>
      <c r="R922" s="2"/>
      <c r="S922" s="2"/>
      <c r="T922" s="5"/>
    </row>
    <row r="923" customFormat="false" ht="15.75" hidden="false" customHeight="false" outlineLevel="0" collapsed="false">
      <c r="A923" s="4"/>
      <c r="B923" s="2"/>
      <c r="C923" s="2"/>
      <c r="D923" s="2"/>
      <c r="E923" s="2"/>
      <c r="F923" s="3" t="str">
        <f aca="false">IFERROR(__xludf.dummyfunction("if($T923&lt;&gt;"""",REGEXEXTRACT(SUBSTITUTE ($T923,F$1&amp;"" CE"",""""), F$1&amp;""[\w &amp;]*, (\d+\.\d+)""),"""")
"),"")</f>
        <v/>
      </c>
      <c r="G923" s="3" t="str">
        <f aca="false">IFERROR(__xludf.dummyfunction("if($T923&lt;&gt;"""",REGEXEXTRACT($T923, G$1&amp;""[\w &amp;]*, (\d+\.\d+)""),"""")
"),"")</f>
        <v/>
      </c>
      <c r="H923" s="3"/>
      <c r="I923" s="3" t="str">
        <f aca="false">IFERROR(__xludf.dummyfunction("if($T923&lt;&gt;"""",REGEXEXTRACT(SUBSTITUTE ($T923,I$1&amp;"" CE"",""""), I$1&amp;""[\w &amp;]*, (\d+\.\d+)""),"""")
"),"")</f>
        <v/>
      </c>
      <c r="J923" s="3" t="str">
        <f aca="false">IFERROR(__xludf.dummyfunction("if($T923&lt;&gt;"""",REGEXEXTRACT($T923, J$1&amp;""[\w &amp;]*, (\d+\.\d+)""),"""")
"),"")</f>
        <v/>
      </c>
      <c r="K923" s="3"/>
      <c r="L923" s="3" t="str">
        <f aca="false">IFERROR(__xludf.dummyfunction("if($T923&lt;&gt;"""",REGEXEXTRACT(SUBSTITUTE ($T923,L$1&amp;"" CE"",""""), L$1&amp;""[\w &amp;]*, (\d+\.\d+)""),"""")
"),"")</f>
        <v/>
      </c>
      <c r="M923" s="3" t="str">
        <f aca="false">IFERROR(__xludf.dummyfunction("if($T923&lt;&gt;"""",REGEXEXTRACT($T923, M$1&amp;""[\w &amp;]*, (\d+\.\d+)""),"""")
"),"")</f>
        <v/>
      </c>
      <c r="N923" s="3" t="str">
        <f aca="false">IFERROR(__xludf.dummyfunction("if($T923&lt;&gt;"""",REGEXEXTRACT(SUBSTITUTE ($T923,N$1&amp;"" CE"",""""), N$1&amp;""[\w &amp;]*, (\d+\.\d+)""),"""")
"),"")</f>
        <v/>
      </c>
      <c r="O923" s="3" t="str">
        <f aca="false">IFERROR(__xludf.dummyfunction("if($T923&lt;&gt;"""",REGEXEXTRACT($T923, O$1&amp;""[\w &amp;]*, (\d+\.\d+)""),"""")
"),"")</f>
        <v/>
      </c>
      <c r="P923" s="2"/>
      <c r="Q923" s="2"/>
      <c r="R923" s="2"/>
      <c r="S923" s="2"/>
      <c r="T923" s="5"/>
    </row>
    <row r="924" customFormat="false" ht="15.75" hidden="false" customHeight="false" outlineLevel="0" collapsed="false">
      <c r="A924" s="4"/>
      <c r="B924" s="2"/>
      <c r="C924" s="2"/>
      <c r="D924" s="2"/>
      <c r="E924" s="2"/>
      <c r="F924" s="3" t="str">
        <f aca="false">IFERROR(__xludf.dummyfunction("if($T924&lt;&gt;"""",REGEXEXTRACT(SUBSTITUTE ($T924,F$1&amp;"" CE"",""""), F$1&amp;""[\w &amp;]*, (\d+\.\d+)""),"""")
"),"")</f>
        <v/>
      </c>
      <c r="G924" s="3" t="str">
        <f aca="false">IFERROR(__xludf.dummyfunction("if($T924&lt;&gt;"""",REGEXEXTRACT($T924, G$1&amp;""[\w &amp;]*, (\d+\.\d+)""),"""")
"),"")</f>
        <v/>
      </c>
      <c r="H924" s="3"/>
      <c r="I924" s="3" t="str">
        <f aca="false">IFERROR(__xludf.dummyfunction("if($T924&lt;&gt;"""",REGEXEXTRACT(SUBSTITUTE ($T924,I$1&amp;"" CE"",""""), I$1&amp;""[\w &amp;]*, (\d+\.\d+)""),"""")
"),"")</f>
        <v/>
      </c>
      <c r="J924" s="3" t="str">
        <f aca="false">IFERROR(__xludf.dummyfunction("if($T924&lt;&gt;"""",REGEXEXTRACT($T924, J$1&amp;""[\w &amp;]*, (\d+\.\d+)""),"""")
"),"")</f>
        <v/>
      </c>
      <c r="K924" s="3"/>
      <c r="L924" s="3" t="str">
        <f aca="false">IFERROR(__xludf.dummyfunction("if($T924&lt;&gt;"""",REGEXEXTRACT(SUBSTITUTE ($T924,L$1&amp;"" CE"",""""), L$1&amp;""[\w &amp;]*, (\d+\.\d+)""),"""")
"),"")</f>
        <v/>
      </c>
      <c r="M924" s="3" t="str">
        <f aca="false">IFERROR(__xludf.dummyfunction("if($T924&lt;&gt;"""",REGEXEXTRACT($T924, M$1&amp;""[\w &amp;]*, (\d+\.\d+)""),"""")
"),"")</f>
        <v/>
      </c>
      <c r="N924" s="3" t="str">
        <f aca="false">IFERROR(__xludf.dummyfunction("if($T924&lt;&gt;"""",REGEXEXTRACT(SUBSTITUTE ($T924,N$1&amp;"" CE"",""""), N$1&amp;""[\w &amp;]*, (\d+\.\d+)""),"""")
"),"")</f>
        <v/>
      </c>
      <c r="O924" s="3" t="str">
        <f aca="false">IFERROR(__xludf.dummyfunction("if($T924&lt;&gt;"""",REGEXEXTRACT($T924, O$1&amp;""[\w &amp;]*, (\d+\.\d+)""),"""")
"),"")</f>
        <v/>
      </c>
      <c r="P924" s="2"/>
      <c r="Q924" s="2"/>
      <c r="R924" s="2"/>
      <c r="S924" s="2"/>
      <c r="T924" s="5"/>
    </row>
    <row r="925" customFormat="false" ht="15.75" hidden="false" customHeight="false" outlineLevel="0" collapsed="false">
      <c r="A925" s="4"/>
      <c r="B925" s="2"/>
      <c r="C925" s="2"/>
      <c r="D925" s="2"/>
      <c r="E925" s="2"/>
      <c r="F925" s="3" t="str">
        <f aca="false">IFERROR(__xludf.dummyfunction("if($T925&lt;&gt;"""",REGEXEXTRACT(SUBSTITUTE ($T925,F$1&amp;"" CE"",""""), F$1&amp;""[\w &amp;]*, (\d+\.\d+)""),"""")
"),"")</f>
        <v/>
      </c>
      <c r="G925" s="3" t="str">
        <f aca="false">IFERROR(__xludf.dummyfunction("if($T925&lt;&gt;"""",REGEXEXTRACT($T925, G$1&amp;""[\w &amp;]*, (\d+\.\d+)""),"""")
"),"")</f>
        <v/>
      </c>
      <c r="H925" s="3"/>
      <c r="I925" s="3" t="str">
        <f aca="false">IFERROR(__xludf.dummyfunction("if($T925&lt;&gt;"""",REGEXEXTRACT(SUBSTITUTE ($T925,I$1&amp;"" CE"",""""), I$1&amp;""[\w &amp;]*, (\d+\.\d+)""),"""")
"),"")</f>
        <v/>
      </c>
      <c r="J925" s="3" t="str">
        <f aca="false">IFERROR(__xludf.dummyfunction("if($T925&lt;&gt;"""",REGEXEXTRACT($T925, J$1&amp;""[\w &amp;]*, (\d+\.\d+)""),"""")
"),"")</f>
        <v/>
      </c>
      <c r="K925" s="3"/>
      <c r="L925" s="3" t="str">
        <f aca="false">IFERROR(__xludf.dummyfunction("if($T925&lt;&gt;"""",REGEXEXTRACT(SUBSTITUTE ($T925,L$1&amp;"" CE"",""""), L$1&amp;""[\w &amp;]*, (\d+\.\d+)""),"""")
"),"")</f>
        <v/>
      </c>
      <c r="M925" s="3" t="str">
        <f aca="false">IFERROR(__xludf.dummyfunction("if($T925&lt;&gt;"""",REGEXEXTRACT($T925, M$1&amp;""[\w &amp;]*, (\d+\.\d+)""),"""")
"),"")</f>
        <v/>
      </c>
      <c r="N925" s="3" t="str">
        <f aca="false">IFERROR(__xludf.dummyfunction("if($T925&lt;&gt;"""",REGEXEXTRACT(SUBSTITUTE ($T925,N$1&amp;"" CE"",""""), N$1&amp;""[\w &amp;]*, (\d+\.\d+)""),"""")
"),"")</f>
        <v/>
      </c>
      <c r="O925" s="3" t="str">
        <f aca="false">IFERROR(__xludf.dummyfunction("if($T925&lt;&gt;"""",REGEXEXTRACT($T925, O$1&amp;""[\w &amp;]*, (\d+\.\d+)""),"""")
"),"")</f>
        <v/>
      </c>
      <c r="P925" s="2"/>
      <c r="Q925" s="2"/>
      <c r="R925" s="2"/>
      <c r="S925" s="2"/>
      <c r="T925" s="5"/>
    </row>
    <row r="926" customFormat="false" ht="15.75" hidden="false" customHeight="false" outlineLevel="0" collapsed="false">
      <c r="A926" s="4"/>
      <c r="B926" s="2"/>
      <c r="C926" s="2"/>
      <c r="D926" s="2"/>
      <c r="E926" s="2"/>
      <c r="F926" s="3" t="str">
        <f aca="false">IFERROR(__xludf.dummyfunction("if($T926&lt;&gt;"""",REGEXEXTRACT(SUBSTITUTE ($T926,F$1&amp;"" CE"",""""), F$1&amp;""[\w &amp;]*, (\d+\.\d+)""),"""")
"),"")</f>
        <v/>
      </c>
      <c r="G926" s="3" t="str">
        <f aca="false">IFERROR(__xludf.dummyfunction("if($T926&lt;&gt;"""",REGEXEXTRACT($T926, G$1&amp;""[\w &amp;]*, (\d+\.\d+)""),"""")
"),"")</f>
        <v/>
      </c>
      <c r="H926" s="3"/>
      <c r="I926" s="3" t="str">
        <f aca="false">IFERROR(__xludf.dummyfunction("if($T926&lt;&gt;"""",REGEXEXTRACT(SUBSTITUTE ($T926,I$1&amp;"" CE"",""""), I$1&amp;""[\w &amp;]*, (\d+\.\d+)""),"""")
"),"")</f>
        <v/>
      </c>
      <c r="J926" s="3" t="str">
        <f aca="false">IFERROR(__xludf.dummyfunction("if($T926&lt;&gt;"""",REGEXEXTRACT($T926, J$1&amp;""[\w &amp;]*, (\d+\.\d+)""),"""")
"),"")</f>
        <v/>
      </c>
      <c r="K926" s="3"/>
      <c r="L926" s="3" t="str">
        <f aca="false">IFERROR(__xludf.dummyfunction("if($T926&lt;&gt;"""",REGEXEXTRACT(SUBSTITUTE ($T926,L$1&amp;"" CE"",""""), L$1&amp;""[\w &amp;]*, (\d+\.\d+)""),"""")
"),"")</f>
        <v/>
      </c>
      <c r="M926" s="3" t="str">
        <f aca="false">IFERROR(__xludf.dummyfunction("if($T926&lt;&gt;"""",REGEXEXTRACT($T926, M$1&amp;""[\w &amp;]*, (\d+\.\d+)""),"""")
"),"")</f>
        <v/>
      </c>
      <c r="N926" s="3" t="str">
        <f aca="false">IFERROR(__xludf.dummyfunction("if($T926&lt;&gt;"""",REGEXEXTRACT(SUBSTITUTE ($T926,N$1&amp;"" CE"",""""), N$1&amp;""[\w &amp;]*, (\d+\.\d+)""),"""")
"),"")</f>
        <v/>
      </c>
      <c r="O926" s="3" t="str">
        <f aca="false">IFERROR(__xludf.dummyfunction("if($T926&lt;&gt;"""",REGEXEXTRACT($T926, O$1&amp;""[\w &amp;]*, (\d+\.\d+)""),"""")
"),"")</f>
        <v/>
      </c>
      <c r="P926" s="2"/>
      <c r="Q926" s="2"/>
      <c r="R926" s="2"/>
      <c r="S926" s="2"/>
      <c r="T926" s="5"/>
    </row>
    <row r="927" customFormat="false" ht="15.75" hidden="false" customHeight="false" outlineLevel="0" collapsed="false">
      <c r="A927" s="4"/>
      <c r="B927" s="2"/>
      <c r="C927" s="2"/>
      <c r="D927" s="2"/>
      <c r="E927" s="2"/>
      <c r="F927" s="3" t="str">
        <f aca="false">IFERROR(__xludf.dummyfunction("if($T927&lt;&gt;"""",REGEXEXTRACT(SUBSTITUTE ($T927,F$1&amp;"" CE"",""""), F$1&amp;""[\w &amp;]*, (\d+\.\d+)""),"""")
"),"")</f>
        <v/>
      </c>
      <c r="G927" s="3" t="str">
        <f aca="false">IFERROR(__xludf.dummyfunction("if($T927&lt;&gt;"""",REGEXEXTRACT($T927, G$1&amp;""[\w &amp;]*, (\d+\.\d+)""),"""")
"),"")</f>
        <v/>
      </c>
      <c r="H927" s="3"/>
      <c r="I927" s="3" t="str">
        <f aca="false">IFERROR(__xludf.dummyfunction("if($T927&lt;&gt;"""",REGEXEXTRACT(SUBSTITUTE ($T927,I$1&amp;"" CE"",""""), I$1&amp;""[\w &amp;]*, (\d+\.\d+)""),"""")
"),"")</f>
        <v/>
      </c>
      <c r="J927" s="3" t="str">
        <f aca="false">IFERROR(__xludf.dummyfunction("if($T927&lt;&gt;"""",REGEXEXTRACT($T927, J$1&amp;""[\w &amp;]*, (\d+\.\d+)""),"""")
"),"")</f>
        <v/>
      </c>
      <c r="K927" s="3"/>
      <c r="L927" s="3" t="str">
        <f aca="false">IFERROR(__xludf.dummyfunction("if($T927&lt;&gt;"""",REGEXEXTRACT(SUBSTITUTE ($T927,L$1&amp;"" CE"",""""), L$1&amp;""[\w &amp;]*, (\d+\.\d+)""),"""")
"),"")</f>
        <v/>
      </c>
      <c r="M927" s="3" t="str">
        <f aca="false">IFERROR(__xludf.dummyfunction("if($T927&lt;&gt;"""",REGEXEXTRACT($T927, M$1&amp;""[\w &amp;]*, (\d+\.\d+)""),"""")
"),"")</f>
        <v/>
      </c>
      <c r="N927" s="3" t="str">
        <f aca="false">IFERROR(__xludf.dummyfunction("if($T927&lt;&gt;"""",REGEXEXTRACT(SUBSTITUTE ($T927,N$1&amp;"" CE"",""""), N$1&amp;""[\w &amp;]*, (\d+\.\d+)""),"""")
"),"")</f>
        <v/>
      </c>
      <c r="O927" s="3" t="str">
        <f aca="false">IFERROR(__xludf.dummyfunction("if($T927&lt;&gt;"""",REGEXEXTRACT($T927, O$1&amp;""[\w &amp;]*, (\d+\.\d+)""),"""")
"),"")</f>
        <v/>
      </c>
      <c r="P927" s="2"/>
      <c r="Q927" s="2"/>
      <c r="R927" s="2"/>
      <c r="S927" s="2"/>
      <c r="T927" s="5"/>
    </row>
    <row r="928" customFormat="false" ht="15.75" hidden="false" customHeight="false" outlineLevel="0" collapsed="false">
      <c r="A928" s="4"/>
      <c r="B928" s="2"/>
      <c r="C928" s="2"/>
      <c r="D928" s="2"/>
      <c r="E928" s="2"/>
      <c r="F928" s="3" t="str">
        <f aca="false">IFERROR(__xludf.dummyfunction("if($T928&lt;&gt;"""",REGEXEXTRACT(SUBSTITUTE ($T928,F$1&amp;"" CE"",""""), F$1&amp;""[\w &amp;]*, (\d+\.\d+)""),"""")
"),"")</f>
        <v/>
      </c>
      <c r="G928" s="3" t="str">
        <f aca="false">IFERROR(__xludf.dummyfunction("if($T928&lt;&gt;"""",REGEXEXTRACT($T928, G$1&amp;""[\w &amp;]*, (\d+\.\d+)""),"""")
"),"")</f>
        <v/>
      </c>
      <c r="H928" s="3"/>
      <c r="I928" s="3" t="str">
        <f aca="false">IFERROR(__xludf.dummyfunction("if($T928&lt;&gt;"""",REGEXEXTRACT(SUBSTITUTE ($T928,I$1&amp;"" CE"",""""), I$1&amp;""[\w &amp;]*, (\d+\.\d+)""),"""")
"),"")</f>
        <v/>
      </c>
      <c r="J928" s="3" t="str">
        <f aca="false">IFERROR(__xludf.dummyfunction("if($T928&lt;&gt;"""",REGEXEXTRACT($T928, J$1&amp;""[\w &amp;]*, (\d+\.\d+)""),"""")
"),"")</f>
        <v/>
      </c>
      <c r="K928" s="3"/>
      <c r="L928" s="3" t="str">
        <f aca="false">IFERROR(__xludf.dummyfunction("if($T928&lt;&gt;"""",REGEXEXTRACT(SUBSTITUTE ($T928,L$1&amp;"" CE"",""""), L$1&amp;""[\w &amp;]*, (\d+\.\d+)""),"""")
"),"")</f>
        <v/>
      </c>
      <c r="M928" s="3" t="str">
        <f aca="false">IFERROR(__xludf.dummyfunction("if($T928&lt;&gt;"""",REGEXEXTRACT($T928, M$1&amp;""[\w &amp;]*, (\d+\.\d+)""),"""")
"),"")</f>
        <v/>
      </c>
      <c r="N928" s="3" t="str">
        <f aca="false">IFERROR(__xludf.dummyfunction("if($T928&lt;&gt;"""",REGEXEXTRACT(SUBSTITUTE ($T928,N$1&amp;"" CE"",""""), N$1&amp;""[\w &amp;]*, (\d+\.\d+)""),"""")
"),"")</f>
        <v/>
      </c>
      <c r="O928" s="3" t="str">
        <f aca="false">IFERROR(__xludf.dummyfunction("if($T928&lt;&gt;"""",REGEXEXTRACT($T928, O$1&amp;""[\w &amp;]*, (\d+\.\d+)""),"""")
"),"")</f>
        <v/>
      </c>
      <c r="P928" s="2"/>
      <c r="Q928" s="2"/>
      <c r="R928" s="2"/>
      <c r="S928" s="2"/>
      <c r="T928" s="5"/>
    </row>
    <row r="929" customFormat="false" ht="15.75" hidden="false" customHeight="false" outlineLevel="0" collapsed="false">
      <c r="A929" s="4"/>
      <c r="B929" s="2"/>
      <c r="C929" s="2"/>
      <c r="D929" s="2"/>
      <c r="E929" s="2"/>
      <c r="F929" s="3" t="str">
        <f aca="false">IFERROR(__xludf.dummyfunction("if($T929&lt;&gt;"""",REGEXEXTRACT(SUBSTITUTE ($T929,F$1&amp;"" CE"",""""), F$1&amp;""[\w &amp;]*, (\d+\.\d+)""),"""")
"),"")</f>
        <v/>
      </c>
      <c r="G929" s="3" t="str">
        <f aca="false">IFERROR(__xludf.dummyfunction("if($T929&lt;&gt;"""",REGEXEXTRACT($T929, G$1&amp;""[\w &amp;]*, (\d+\.\d+)""),"""")
"),"")</f>
        <v/>
      </c>
      <c r="H929" s="3"/>
      <c r="I929" s="3" t="str">
        <f aca="false">IFERROR(__xludf.dummyfunction("if($T929&lt;&gt;"""",REGEXEXTRACT(SUBSTITUTE ($T929,I$1&amp;"" CE"",""""), I$1&amp;""[\w &amp;]*, (\d+\.\d+)""),"""")
"),"")</f>
        <v/>
      </c>
      <c r="J929" s="3" t="str">
        <f aca="false">IFERROR(__xludf.dummyfunction("if($T929&lt;&gt;"""",REGEXEXTRACT($T929, J$1&amp;""[\w &amp;]*, (\d+\.\d+)""),"""")
"),"")</f>
        <v/>
      </c>
      <c r="K929" s="3"/>
      <c r="L929" s="3" t="str">
        <f aca="false">IFERROR(__xludf.dummyfunction("if($T929&lt;&gt;"""",REGEXEXTRACT(SUBSTITUTE ($T929,L$1&amp;"" CE"",""""), L$1&amp;""[\w &amp;]*, (\d+\.\d+)""),"""")
"),"")</f>
        <v/>
      </c>
      <c r="M929" s="3" t="str">
        <f aca="false">IFERROR(__xludf.dummyfunction("if($T929&lt;&gt;"""",REGEXEXTRACT($T929, M$1&amp;""[\w &amp;]*, (\d+\.\d+)""),"""")
"),"")</f>
        <v/>
      </c>
      <c r="N929" s="3" t="str">
        <f aca="false">IFERROR(__xludf.dummyfunction("if($T929&lt;&gt;"""",REGEXEXTRACT(SUBSTITUTE ($T929,N$1&amp;"" CE"",""""), N$1&amp;""[\w &amp;]*, (\d+\.\d+)""),"""")
"),"")</f>
        <v/>
      </c>
      <c r="O929" s="3" t="str">
        <f aca="false">IFERROR(__xludf.dummyfunction("if($T929&lt;&gt;"""",REGEXEXTRACT($T929, O$1&amp;""[\w &amp;]*, (\d+\.\d+)""),"""")
"),"")</f>
        <v/>
      </c>
      <c r="P929" s="2"/>
      <c r="Q929" s="2"/>
      <c r="R929" s="2"/>
      <c r="S929" s="2"/>
      <c r="T929" s="5"/>
    </row>
    <row r="930" customFormat="false" ht="15.75" hidden="false" customHeight="false" outlineLevel="0" collapsed="false">
      <c r="A930" s="4"/>
      <c r="B930" s="2"/>
      <c r="C930" s="2"/>
      <c r="D930" s="2"/>
      <c r="E930" s="2"/>
      <c r="F930" s="3" t="str">
        <f aca="false">IFERROR(__xludf.dummyfunction("if($T930&lt;&gt;"""",REGEXEXTRACT(SUBSTITUTE ($T930,F$1&amp;"" CE"",""""), F$1&amp;""[\w &amp;]*, (\d+\.\d+)""),"""")
"),"")</f>
        <v/>
      </c>
      <c r="G930" s="3" t="str">
        <f aca="false">IFERROR(__xludf.dummyfunction("if($T930&lt;&gt;"""",REGEXEXTRACT($T930, G$1&amp;""[\w &amp;]*, (\d+\.\d+)""),"""")
"),"")</f>
        <v/>
      </c>
      <c r="H930" s="3"/>
      <c r="I930" s="3" t="str">
        <f aca="false">IFERROR(__xludf.dummyfunction("if($T930&lt;&gt;"""",REGEXEXTRACT(SUBSTITUTE ($T930,I$1&amp;"" CE"",""""), I$1&amp;""[\w &amp;]*, (\d+\.\d+)""),"""")
"),"")</f>
        <v/>
      </c>
      <c r="J930" s="3" t="str">
        <f aca="false">IFERROR(__xludf.dummyfunction("if($T930&lt;&gt;"""",REGEXEXTRACT($T930, J$1&amp;""[\w &amp;]*, (\d+\.\d+)""),"""")
"),"")</f>
        <v/>
      </c>
      <c r="K930" s="3"/>
      <c r="L930" s="3" t="str">
        <f aca="false">IFERROR(__xludf.dummyfunction("if($T930&lt;&gt;"""",REGEXEXTRACT(SUBSTITUTE ($T930,L$1&amp;"" CE"",""""), L$1&amp;""[\w &amp;]*, (\d+\.\d+)""),"""")
"),"")</f>
        <v/>
      </c>
      <c r="M930" s="3" t="str">
        <f aca="false">IFERROR(__xludf.dummyfunction("if($T930&lt;&gt;"""",REGEXEXTRACT($T930, M$1&amp;""[\w &amp;]*, (\d+\.\d+)""),"""")
"),"")</f>
        <v/>
      </c>
      <c r="N930" s="3" t="str">
        <f aca="false">IFERROR(__xludf.dummyfunction("if($T930&lt;&gt;"""",REGEXEXTRACT(SUBSTITUTE ($T930,N$1&amp;"" CE"",""""), N$1&amp;""[\w &amp;]*, (\d+\.\d+)""),"""")
"),"")</f>
        <v/>
      </c>
      <c r="O930" s="3" t="str">
        <f aca="false">IFERROR(__xludf.dummyfunction("if($T930&lt;&gt;"""",REGEXEXTRACT($T930, O$1&amp;""[\w &amp;]*, (\d+\.\d+)""),"""")
"),"")</f>
        <v/>
      </c>
      <c r="P930" s="2"/>
      <c r="Q930" s="2"/>
      <c r="R930" s="2"/>
      <c r="S930" s="2"/>
      <c r="T930" s="5"/>
    </row>
    <row r="931" customFormat="false" ht="15.75" hidden="false" customHeight="false" outlineLevel="0" collapsed="false">
      <c r="A931" s="4"/>
      <c r="B931" s="2"/>
      <c r="C931" s="2"/>
      <c r="D931" s="2"/>
      <c r="E931" s="2"/>
      <c r="F931" s="3" t="str">
        <f aca="false">IFERROR(__xludf.dummyfunction("if($T931&lt;&gt;"""",REGEXEXTRACT(SUBSTITUTE ($T931,F$1&amp;"" CE"",""""), F$1&amp;""[\w &amp;]*, (\d+\.\d+)""),"""")
"),"")</f>
        <v/>
      </c>
      <c r="G931" s="3" t="str">
        <f aca="false">IFERROR(__xludf.dummyfunction("if($T931&lt;&gt;"""",REGEXEXTRACT($T931, G$1&amp;""[\w &amp;]*, (\d+\.\d+)""),"""")
"),"")</f>
        <v/>
      </c>
      <c r="H931" s="3"/>
      <c r="I931" s="3" t="str">
        <f aca="false">IFERROR(__xludf.dummyfunction("if($T931&lt;&gt;"""",REGEXEXTRACT(SUBSTITUTE ($T931,I$1&amp;"" CE"",""""), I$1&amp;""[\w &amp;]*, (\d+\.\d+)""),"""")
"),"")</f>
        <v/>
      </c>
      <c r="J931" s="3" t="str">
        <f aca="false">IFERROR(__xludf.dummyfunction("if($T931&lt;&gt;"""",REGEXEXTRACT($T931, J$1&amp;""[\w &amp;]*, (\d+\.\d+)""),"""")
"),"")</f>
        <v/>
      </c>
      <c r="K931" s="3"/>
      <c r="L931" s="3" t="str">
        <f aca="false">IFERROR(__xludf.dummyfunction("if($T931&lt;&gt;"""",REGEXEXTRACT(SUBSTITUTE ($T931,L$1&amp;"" CE"",""""), L$1&amp;""[\w &amp;]*, (\d+\.\d+)""),"""")
"),"")</f>
        <v/>
      </c>
      <c r="M931" s="3" t="str">
        <f aca="false">IFERROR(__xludf.dummyfunction("if($T931&lt;&gt;"""",REGEXEXTRACT($T931, M$1&amp;""[\w &amp;]*, (\d+\.\d+)""),"""")
"),"")</f>
        <v/>
      </c>
      <c r="N931" s="3" t="str">
        <f aca="false">IFERROR(__xludf.dummyfunction("if($T931&lt;&gt;"""",REGEXEXTRACT(SUBSTITUTE ($T931,N$1&amp;"" CE"",""""), N$1&amp;""[\w &amp;]*, (\d+\.\d+)""),"""")
"),"")</f>
        <v/>
      </c>
      <c r="O931" s="3" t="str">
        <f aca="false">IFERROR(__xludf.dummyfunction("if($T931&lt;&gt;"""",REGEXEXTRACT($T931, O$1&amp;""[\w &amp;]*, (\d+\.\d+)""),"""")
"),"")</f>
        <v/>
      </c>
      <c r="P931" s="2"/>
      <c r="Q931" s="2"/>
      <c r="R931" s="2"/>
      <c r="S931" s="2"/>
      <c r="T931" s="5"/>
    </row>
    <row r="932" customFormat="false" ht="15.75" hidden="false" customHeight="false" outlineLevel="0" collapsed="false">
      <c r="A932" s="4"/>
      <c r="B932" s="2"/>
      <c r="C932" s="2"/>
      <c r="D932" s="2"/>
      <c r="E932" s="2"/>
      <c r="F932" s="3" t="str">
        <f aca="false">IFERROR(__xludf.dummyfunction("if($T932&lt;&gt;"""",REGEXEXTRACT(SUBSTITUTE ($T932,F$1&amp;"" CE"",""""), F$1&amp;""[\w &amp;]*, (\d+\.\d+)""),"""")
"),"")</f>
        <v/>
      </c>
      <c r="G932" s="3" t="str">
        <f aca="false">IFERROR(__xludf.dummyfunction("if($T932&lt;&gt;"""",REGEXEXTRACT($T932, G$1&amp;""[\w &amp;]*, (\d+\.\d+)""),"""")
"),"")</f>
        <v/>
      </c>
      <c r="H932" s="3"/>
      <c r="I932" s="3" t="str">
        <f aca="false">IFERROR(__xludf.dummyfunction("if($T932&lt;&gt;"""",REGEXEXTRACT(SUBSTITUTE ($T932,I$1&amp;"" CE"",""""), I$1&amp;""[\w &amp;]*, (\d+\.\d+)""),"""")
"),"")</f>
        <v/>
      </c>
      <c r="J932" s="3" t="str">
        <f aca="false">IFERROR(__xludf.dummyfunction("if($T932&lt;&gt;"""",REGEXEXTRACT($T932, J$1&amp;""[\w &amp;]*, (\d+\.\d+)""),"""")
"),"")</f>
        <v/>
      </c>
      <c r="K932" s="3"/>
      <c r="L932" s="3" t="str">
        <f aca="false">IFERROR(__xludf.dummyfunction("if($T932&lt;&gt;"""",REGEXEXTRACT(SUBSTITUTE ($T932,L$1&amp;"" CE"",""""), L$1&amp;""[\w &amp;]*, (\d+\.\d+)""),"""")
"),"")</f>
        <v/>
      </c>
      <c r="M932" s="3" t="str">
        <f aca="false">IFERROR(__xludf.dummyfunction("if($T932&lt;&gt;"""",REGEXEXTRACT($T932, M$1&amp;""[\w &amp;]*, (\d+\.\d+)""),"""")
"),"")</f>
        <v/>
      </c>
      <c r="N932" s="3" t="str">
        <f aca="false">IFERROR(__xludf.dummyfunction("if($T932&lt;&gt;"""",REGEXEXTRACT(SUBSTITUTE ($T932,N$1&amp;"" CE"",""""), N$1&amp;""[\w &amp;]*, (\d+\.\d+)""),"""")
"),"")</f>
        <v/>
      </c>
      <c r="O932" s="3" t="str">
        <f aca="false">IFERROR(__xludf.dummyfunction("if($T932&lt;&gt;"""",REGEXEXTRACT($T932, O$1&amp;""[\w &amp;]*, (\d+\.\d+)""),"""")
"),"")</f>
        <v/>
      </c>
      <c r="P932" s="2"/>
      <c r="Q932" s="2"/>
      <c r="R932" s="2"/>
      <c r="S932" s="2"/>
      <c r="T932" s="5"/>
    </row>
    <row r="933" customFormat="false" ht="15.75" hidden="false" customHeight="false" outlineLevel="0" collapsed="false">
      <c r="A933" s="4"/>
      <c r="B933" s="2"/>
      <c r="C933" s="2"/>
      <c r="D933" s="2"/>
      <c r="E933" s="2"/>
      <c r="F933" s="3" t="str">
        <f aca="false">IFERROR(__xludf.dummyfunction("if($T933&lt;&gt;"""",REGEXEXTRACT(SUBSTITUTE ($T933,F$1&amp;"" CE"",""""), F$1&amp;""[\w &amp;]*, (\d+\.\d+)""),"""")
"),"")</f>
        <v/>
      </c>
      <c r="G933" s="3" t="str">
        <f aca="false">IFERROR(__xludf.dummyfunction("if($T933&lt;&gt;"""",REGEXEXTRACT($T933, G$1&amp;""[\w &amp;]*, (\d+\.\d+)""),"""")
"),"")</f>
        <v/>
      </c>
      <c r="H933" s="3"/>
      <c r="I933" s="3" t="str">
        <f aca="false">IFERROR(__xludf.dummyfunction("if($T933&lt;&gt;"""",REGEXEXTRACT(SUBSTITUTE ($T933,I$1&amp;"" CE"",""""), I$1&amp;""[\w &amp;]*, (\d+\.\d+)""),"""")
"),"")</f>
        <v/>
      </c>
      <c r="J933" s="3" t="str">
        <f aca="false">IFERROR(__xludf.dummyfunction("if($T933&lt;&gt;"""",REGEXEXTRACT($T933, J$1&amp;""[\w &amp;]*, (\d+\.\d+)""),"""")
"),"")</f>
        <v/>
      </c>
      <c r="K933" s="3"/>
      <c r="L933" s="3" t="str">
        <f aca="false">IFERROR(__xludf.dummyfunction("if($T933&lt;&gt;"""",REGEXEXTRACT(SUBSTITUTE ($T933,L$1&amp;"" CE"",""""), L$1&amp;""[\w &amp;]*, (\d+\.\d+)""),"""")
"),"")</f>
        <v/>
      </c>
      <c r="M933" s="3" t="str">
        <f aca="false">IFERROR(__xludf.dummyfunction("if($T933&lt;&gt;"""",REGEXEXTRACT($T933, M$1&amp;""[\w &amp;]*, (\d+\.\d+)""),"""")
"),"")</f>
        <v/>
      </c>
      <c r="N933" s="3" t="str">
        <f aca="false">IFERROR(__xludf.dummyfunction("if($T933&lt;&gt;"""",REGEXEXTRACT(SUBSTITUTE ($T933,N$1&amp;"" CE"",""""), N$1&amp;""[\w &amp;]*, (\d+\.\d+)""),"""")
"),"")</f>
        <v/>
      </c>
      <c r="O933" s="3" t="str">
        <f aca="false">IFERROR(__xludf.dummyfunction("if($T933&lt;&gt;"""",REGEXEXTRACT($T933, O$1&amp;""[\w &amp;]*, (\d+\.\d+)""),"""")
"),"")</f>
        <v/>
      </c>
      <c r="P933" s="2"/>
      <c r="Q933" s="2"/>
      <c r="R933" s="2"/>
      <c r="S933" s="2"/>
      <c r="T933" s="5"/>
    </row>
    <row r="934" customFormat="false" ht="15.75" hidden="false" customHeight="false" outlineLevel="0" collapsed="false">
      <c r="A934" s="4"/>
      <c r="B934" s="2"/>
      <c r="C934" s="2"/>
      <c r="D934" s="2"/>
      <c r="E934" s="2"/>
      <c r="F934" s="3" t="str">
        <f aca="false">IFERROR(__xludf.dummyfunction("if($T934&lt;&gt;"""",REGEXEXTRACT(SUBSTITUTE ($T934,F$1&amp;"" CE"",""""), F$1&amp;""[\w &amp;]*, (\d+\.\d+)""),"""")
"),"")</f>
        <v/>
      </c>
      <c r="G934" s="3" t="str">
        <f aca="false">IFERROR(__xludf.dummyfunction("if($T934&lt;&gt;"""",REGEXEXTRACT($T934, G$1&amp;""[\w &amp;]*, (\d+\.\d+)""),"""")
"),"")</f>
        <v/>
      </c>
      <c r="H934" s="3"/>
      <c r="I934" s="3" t="str">
        <f aca="false">IFERROR(__xludf.dummyfunction("if($T934&lt;&gt;"""",REGEXEXTRACT(SUBSTITUTE ($T934,I$1&amp;"" CE"",""""), I$1&amp;""[\w &amp;]*, (\d+\.\d+)""),"""")
"),"")</f>
        <v/>
      </c>
      <c r="J934" s="3" t="str">
        <f aca="false">IFERROR(__xludf.dummyfunction("if($T934&lt;&gt;"""",REGEXEXTRACT($T934, J$1&amp;""[\w &amp;]*, (\d+\.\d+)""),"""")
"),"")</f>
        <v/>
      </c>
      <c r="K934" s="3"/>
      <c r="L934" s="3" t="str">
        <f aca="false">IFERROR(__xludf.dummyfunction("if($T934&lt;&gt;"""",REGEXEXTRACT(SUBSTITUTE ($T934,L$1&amp;"" CE"",""""), L$1&amp;""[\w &amp;]*, (\d+\.\d+)""),"""")
"),"")</f>
        <v/>
      </c>
      <c r="M934" s="3" t="str">
        <f aca="false">IFERROR(__xludf.dummyfunction("if($T934&lt;&gt;"""",REGEXEXTRACT($T934, M$1&amp;""[\w &amp;]*, (\d+\.\d+)""),"""")
"),"")</f>
        <v/>
      </c>
      <c r="N934" s="3" t="str">
        <f aca="false">IFERROR(__xludf.dummyfunction("if($T934&lt;&gt;"""",REGEXEXTRACT(SUBSTITUTE ($T934,N$1&amp;"" CE"",""""), N$1&amp;""[\w &amp;]*, (\d+\.\d+)""),"""")
"),"")</f>
        <v/>
      </c>
      <c r="O934" s="3" t="str">
        <f aca="false">IFERROR(__xludf.dummyfunction("if($T934&lt;&gt;"""",REGEXEXTRACT($T934, O$1&amp;""[\w &amp;]*, (\d+\.\d+)""),"""")
"),"")</f>
        <v/>
      </c>
      <c r="P934" s="2"/>
      <c r="Q934" s="2"/>
      <c r="R934" s="2"/>
      <c r="S934" s="2"/>
      <c r="T934" s="5"/>
    </row>
    <row r="935" customFormat="false" ht="15.75" hidden="false" customHeight="false" outlineLevel="0" collapsed="false">
      <c r="A935" s="4"/>
      <c r="B935" s="2"/>
      <c r="C935" s="2"/>
      <c r="D935" s="2"/>
      <c r="E935" s="2"/>
      <c r="F935" s="3" t="str">
        <f aca="false">IFERROR(__xludf.dummyfunction("if($T935&lt;&gt;"""",REGEXEXTRACT(SUBSTITUTE ($T935,F$1&amp;"" CE"",""""), F$1&amp;""[\w &amp;]*, (\d+\.\d+)""),"""")
"),"")</f>
        <v/>
      </c>
      <c r="G935" s="3" t="str">
        <f aca="false">IFERROR(__xludf.dummyfunction("if($T935&lt;&gt;"""",REGEXEXTRACT($T935, G$1&amp;""[\w &amp;]*, (\d+\.\d+)""),"""")
"),"")</f>
        <v/>
      </c>
      <c r="H935" s="3"/>
      <c r="I935" s="3" t="str">
        <f aca="false">IFERROR(__xludf.dummyfunction("if($T935&lt;&gt;"""",REGEXEXTRACT(SUBSTITUTE ($T935,I$1&amp;"" CE"",""""), I$1&amp;""[\w &amp;]*, (\d+\.\d+)""),"""")
"),"")</f>
        <v/>
      </c>
      <c r="J935" s="3" t="str">
        <f aca="false">IFERROR(__xludf.dummyfunction("if($T935&lt;&gt;"""",REGEXEXTRACT($T935, J$1&amp;""[\w &amp;]*, (\d+\.\d+)""),"""")
"),"")</f>
        <v/>
      </c>
      <c r="K935" s="3"/>
      <c r="L935" s="3" t="str">
        <f aca="false">IFERROR(__xludf.dummyfunction("if($T935&lt;&gt;"""",REGEXEXTRACT(SUBSTITUTE ($T935,L$1&amp;"" CE"",""""), L$1&amp;""[\w &amp;]*, (\d+\.\d+)""),"""")
"),"")</f>
        <v/>
      </c>
      <c r="M935" s="3" t="str">
        <f aca="false">IFERROR(__xludf.dummyfunction("if($T935&lt;&gt;"""",REGEXEXTRACT($T935, M$1&amp;""[\w &amp;]*, (\d+\.\d+)""),"""")
"),"")</f>
        <v/>
      </c>
      <c r="N935" s="3" t="str">
        <f aca="false">IFERROR(__xludf.dummyfunction("if($T935&lt;&gt;"""",REGEXEXTRACT(SUBSTITUTE ($T935,N$1&amp;"" CE"",""""), N$1&amp;""[\w &amp;]*, (\d+\.\d+)""),"""")
"),"")</f>
        <v/>
      </c>
      <c r="O935" s="3" t="str">
        <f aca="false">IFERROR(__xludf.dummyfunction("if($T935&lt;&gt;"""",REGEXEXTRACT($T935, O$1&amp;""[\w &amp;]*, (\d+\.\d+)""),"""")
"),"")</f>
        <v/>
      </c>
      <c r="P935" s="2"/>
      <c r="Q935" s="2"/>
      <c r="R935" s="2"/>
      <c r="S935" s="2"/>
      <c r="T935" s="5"/>
    </row>
    <row r="936" customFormat="false" ht="15.75" hidden="false" customHeight="false" outlineLevel="0" collapsed="false">
      <c r="A936" s="4"/>
      <c r="B936" s="2"/>
      <c r="C936" s="2"/>
      <c r="D936" s="2"/>
      <c r="E936" s="2"/>
      <c r="F936" s="3" t="str">
        <f aca="false">IFERROR(__xludf.dummyfunction("if($T936&lt;&gt;"""",REGEXEXTRACT(SUBSTITUTE ($T936,F$1&amp;"" CE"",""""), F$1&amp;""[\w &amp;]*, (\d+\.\d+)""),"""")
"),"")</f>
        <v/>
      </c>
      <c r="G936" s="3" t="str">
        <f aca="false">IFERROR(__xludf.dummyfunction("if($T936&lt;&gt;"""",REGEXEXTRACT($T936, G$1&amp;""[\w &amp;]*, (\d+\.\d+)""),"""")
"),"")</f>
        <v/>
      </c>
      <c r="H936" s="3"/>
      <c r="I936" s="3" t="str">
        <f aca="false">IFERROR(__xludf.dummyfunction("if($T936&lt;&gt;"""",REGEXEXTRACT(SUBSTITUTE ($T936,I$1&amp;"" CE"",""""), I$1&amp;""[\w &amp;]*, (\d+\.\d+)""),"""")
"),"")</f>
        <v/>
      </c>
      <c r="J936" s="3" t="str">
        <f aca="false">IFERROR(__xludf.dummyfunction("if($T936&lt;&gt;"""",REGEXEXTRACT($T936, J$1&amp;""[\w &amp;]*, (\d+\.\d+)""),"""")
"),"")</f>
        <v/>
      </c>
      <c r="K936" s="3"/>
      <c r="L936" s="3" t="str">
        <f aca="false">IFERROR(__xludf.dummyfunction("if($T936&lt;&gt;"""",REGEXEXTRACT(SUBSTITUTE ($T936,L$1&amp;"" CE"",""""), L$1&amp;""[\w &amp;]*, (\d+\.\d+)""),"""")
"),"")</f>
        <v/>
      </c>
      <c r="M936" s="3" t="str">
        <f aca="false">IFERROR(__xludf.dummyfunction("if($T936&lt;&gt;"""",REGEXEXTRACT($T936, M$1&amp;""[\w &amp;]*, (\d+\.\d+)""),"""")
"),"")</f>
        <v/>
      </c>
      <c r="N936" s="3" t="str">
        <f aca="false">IFERROR(__xludf.dummyfunction("if($T936&lt;&gt;"""",REGEXEXTRACT(SUBSTITUTE ($T936,N$1&amp;"" CE"",""""), N$1&amp;""[\w &amp;]*, (\d+\.\d+)""),"""")
"),"")</f>
        <v/>
      </c>
      <c r="O936" s="3" t="str">
        <f aca="false">IFERROR(__xludf.dummyfunction("if($T936&lt;&gt;"""",REGEXEXTRACT($T936, O$1&amp;""[\w &amp;]*, (\d+\.\d+)""),"""")
"),"")</f>
        <v/>
      </c>
      <c r="P936" s="2"/>
      <c r="Q936" s="2"/>
      <c r="R936" s="2"/>
      <c r="S936" s="2"/>
      <c r="T936" s="5"/>
    </row>
    <row r="937" customFormat="false" ht="15.75" hidden="false" customHeight="false" outlineLevel="0" collapsed="false">
      <c r="A937" s="4"/>
      <c r="B937" s="2"/>
      <c r="C937" s="2"/>
      <c r="D937" s="2"/>
      <c r="E937" s="2"/>
      <c r="F937" s="3" t="str">
        <f aca="false">IFERROR(__xludf.dummyfunction("if($T937&lt;&gt;"""",REGEXEXTRACT(SUBSTITUTE ($T937,F$1&amp;"" CE"",""""), F$1&amp;""[\w &amp;]*, (\d+\.\d+)""),"""")
"),"")</f>
        <v/>
      </c>
      <c r="G937" s="3" t="str">
        <f aca="false">IFERROR(__xludf.dummyfunction("if($T937&lt;&gt;"""",REGEXEXTRACT($T937, G$1&amp;""[\w &amp;]*, (\d+\.\d+)""),"""")
"),"")</f>
        <v/>
      </c>
      <c r="H937" s="3"/>
      <c r="I937" s="3" t="str">
        <f aca="false">IFERROR(__xludf.dummyfunction("if($T937&lt;&gt;"""",REGEXEXTRACT(SUBSTITUTE ($T937,I$1&amp;"" CE"",""""), I$1&amp;""[\w &amp;]*, (\d+\.\d+)""),"""")
"),"")</f>
        <v/>
      </c>
      <c r="J937" s="3" t="str">
        <f aca="false">IFERROR(__xludf.dummyfunction("if($T937&lt;&gt;"""",REGEXEXTRACT($T937, J$1&amp;""[\w &amp;]*, (\d+\.\d+)""),"""")
"),"")</f>
        <v/>
      </c>
      <c r="K937" s="3"/>
      <c r="L937" s="3" t="str">
        <f aca="false">IFERROR(__xludf.dummyfunction("if($T937&lt;&gt;"""",REGEXEXTRACT(SUBSTITUTE ($T937,L$1&amp;"" CE"",""""), L$1&amp;""[\w &amp;]*, (\d+\.\d+)""),"""")
"),"")</f>
        <v/>
      </c>
      <c r="M937" s="3" t="str">
        <f aca="false">IFERROR(__xludf.dummyfunction("if($T937&lt;&gt;"""",REGEXEXTRACT($T937, M$1&amp;""[\w &amp;]*, (\d+\.\d+)""),"""")
"),"")</f>
        <v/>
      </c>
      <c r="N937" s="3" t="str">
        <f aca="false">IFERROR(__xludf.dummyfunction("if($T937&lt;&gt;"""",REGEXEXTRACT(SUBSTITUTE ($T937,N$1&amp;"" CE"",""""), N$1&amp;""[\w &amp;]*, (\d+\.\d+)""),"""")
"),"")</f>
        <v/>
      </c>
      <c r="O937" s="3" t="str">
        <f aca="false">IFERROR(__xludf.dummyfunction("if($T937&lt;&gt;"""",REGEXEXTRACT($T937, O$1&amp;""[\w &amp;]*, (\d+\.\d+)""),"""")
"),"")</f>
        <v/>
      </c>
      <c r="P937" s="2"/>
      <c r="Q937" s="2"/>
      <c r="R937" s="2"/>
      <c r="S937" s="2"/>
      <c r="T937" s="5"/>
    </row>
    <row r="938" customFormat="false" ht="15.75" hidden="false" customHeight="false" outlineLevel="0" collapsed="false">
      <c r="A938" s="4"/>
      <c r="B938" s="2"/>
      <c r="C938" s="2"/>
      <c r="D938" s="2"/>
      <c r="E938" s="2"/>
      <c r="F938" s="3" t="str">
        <f aca="false">IFERROR(__xludf.dummyfunction("if($T938&lt;&gt;"""",REGEXEXTRACT(SUBSTITUTE ($T938,F$1&amp;"" CE"",""""), F$1&amp;""[\w &amp;]*, (\d+\.\d+)""),"""")
"),"")</f>
        <v/>
      </c>
      <c r="G938" s="3" t="str">
        <f aca="false">IFERROR(__xludf.dummyfunction("if($T938&lt;&gt;"""",REGEXEXTRACT($T938, G$1&amp;""[\w &amp;]*, (\d+\.\d+)""),"""")
"),"")</f>
        <v/>
      </c>
      <c r="H938" s="3"/>
      <c r="I938" s="3" t="str">
        <f aca="false">IFERROR(__xludf.dummyfunction("if($T938&lt;&gt;"""",REGEXEXTRACT(SUBSTITUTE ($T938,I$1&amp;"" CE"",""""), I$1&amp;""[\w &amp;]*, (\d+\.\d+)""),"""")
"),"")</f>
        <v/>
      </c>
      <c r="J938" s="3" t="str">
        <f aca="false">IFERROR(__xludf.dummyfunction("if($T938&lt;&gt;"""",REGEXEXTRACT($T938, J$1&amp;""[\w &amp;]*, (\d+\.\d+)""),"""")
"),"")</f>
        <v/>
      </c>
      <c r="K938" s="3"/>
      <c r="L938" s="3" t="str">
        <f aca="false">IFERROR(__xludf.dummyfunction("if($T938&lt;&gt;"""",REGEXEXTRACT(SUBSTITUTE ($T938,L$1&amp;"" CE"",""""), L$1&amp;""[\w &amp;]*, (\d+\.\d+)""),"""")
"),"")</f>
        <v/>
      </c>
      <c r="M938" s="3" t="str">
        <f aca="false">IFERROR(__xludf.dummyfunction("if($T938&lt;&gt;"""",REGEXEXTRACT($T938, M$1&amp;""[\w &amp;]*, (\d+\.\d+)""),"""")
"),"")</f>
        <v/>
      </c>
      <c r="N938" s="3" t="str">
        <f aca="false">IFERROR(__xludf.dummyfunction("if($T938&lt;&gt;"""",REGEXEXTRACT(SUBSTITUTE ($T938,N$1&amp;"" CE"",""""), N$1&amp;""[\w &amp;]*, (\d+\.\d+)""),"""")
"),"")</f>
        <v/>
      </c>
      <c r="O938" s="3" t="str">
        <f aca="false">IFERROR(__xludf.dummyfunction("if($T938&lt;&gt;"""",REGEXEXTRACT($T938, O$1&amp;""[\w &amp;]*, (\d+\.\d+)""),"""")
"),"")</f>
        <v/>
      </c>
      <c r="P938" s="2"/>
      <c r="Q938" s="2"/>
      <c r="R938" s="2"/>
      <c r="S938" s="2"/>
      <c r="T938" s="5"/>
    </row>
    <row r="939" customFormat="false" ht="15.75" hidden="false" customHeight="false" outlineLevel="0" collapsed="false">
      <c r="A939" s="4"/>
      <c r="B939" s="2"/>
      <c r="C939" s="2"/>
      <c r="D939" s="2"/>
      <c r="E939" s="2"/>
      <c r="F939" s="3" t="str">
        <f aca="false">IFERROR(__xludf.dummyfunction("if($T939&lt;&gt;"""",REGEXEXTRACT(SUBSTITUTE ($T939,F$1&amp;"" CE"",""""), F$1&amp;""[\w &amp;]*, (\d+\.\d+)""),"""")
"),"")</f>
        <v/>
      </c>
      <c r="G939" s="3" t="str">
        <f aca="false">IFERROR(__xludf.dummyfunction("if($T939&lt;&gt;"""",REGEXEXTRACT($T939, G$1&amp;""[\w &amp;]*, (\d+\.\d+)""),"""")
"),"")</f>
        <v/>
      </c>
      <c r="H939" s="3"/>
      <c r="I939" s="3" t="str">
        <f aca="false">IFERROR(__xludf.dummyfunction("if($T939&lt;&gt;"""",REGEXEXTRACT(SUBSTITUTE ($T939,I$1&amp;"" CE"",""""), I$1&amp;""[\w &amp;]*, (\d+\.\d+)""),"""")
"),"")</f>
        <v/>
      </c>
      <c r="J939" s="3" t="str">
        <f aca="false">IFERROR(__xludf.dummyfunction("if($T939&lt;&gt;"""",REGEXEXTRACT($T939, J$1&amp;""[\w &amp;]*, (\d+\.\d+)""),"""")
"),"")</f>
        <v/>
      </c>
      <c r="K939" s="3"/>
      <c r="L939" s="3" t="str">
        <f aca="false">IFERROR(__xludf.dummyfunction("if($T939&lt;&gt;"""",REGEXEXTRACT(SUBSTITUTE ($T939,L$1&amp;"" CE"",""""), L$1&amp;""[\w &amp;]*, (\d+\.\d+)""),"""")
"),"")</f>
        <v/>
      </c>
      <c r="M939" s="3" t="str">
        <f aca="false">IFERROR(__xludf.dummyfunction("if($T939&lt;&gt;"""",REGEXEXTRACT($T939, M$1&amp;""[\w &amp;]*, (\d+\.\d+)""),"""")
"),"")</f>
        <v/>
      </c>
      <c r="N939" s="3" t="str">
        <f aca="false">IFERROR(__xludf.dummyfunction("if($T939&lt;&gt;"""",REGEXEXTRACT(SUBSTITUTE ($T939,N$1&amp;"" CE"",""""), N$1&amp;""[\w &amp;]*, (\d+\.\d+)""),"""")
"),"")</f>
        <v/>
      </c>
      <c r="O939" s="3" t="str">
        <f aca="false">IFERROR(__xludf.dummyfunction("if($T939&lt;&gt;"""",REGEXEXTRACT($T939, O$1&amp;""[\w &amp;]*, (\d+\.\d+)""),"""")
"),"")</f>
        <v/>
      </c>
      <c r="P939" s="2"/>
      <c r="Q939" s="2"/>
      <c r="R939" s="2"/>
      <c r="S939" s="2"/>
      <c r="T939" s="5"/>
    </row>
    <row r="940" customFormat="false" ht="15.75" hidden="false" customHeight="false" outlineLevel="0" collapsed="false">
      <c r="A940" s="4"/>
      <c r="B940" s="2"/>
      <c r="C940" s="2"/>
      <c r="D940" s="2"/>
      <c r="E940" s="2"/>
      <c r="F940" s="3" t="str">
        <f aca="false">IFERROR(__xludf.dummyfunction("if($T940&lt;&gt;"""",REGEXEXTRACT(SUBSTITUTE ($T940,F$1&amp;"" CE"",""""), F$1&amp;""[\w &amp;]*, (\d+\.\d+)""),"""")
"),"")</f>
        <v/>
      </c>
      <c r="G940" s="3" t="str">
        <f aca="false">IFERROR(__xludf.dummyfunction("if($T940&lt;&gt;"""",REGEXEXTRACT($T940, G$1&amp;""[\w &amp;]*, (\d+\.\d+)""),"""")
"),"")</f>
        <v/>
      </c>
      <c r="H940" s="3"/>
      <c r="I940" s="3" t="str">
        <f aca="false">IFERROR(__xludf.dummyfunction("if($T940&lt;&gt;"""",REGEXEXTRACT(SUBSTITUTE ($T940,I$1&amp;"" CE"",""""), I$1&amp;""[\w &amp;]*, (\d+\.\d+)""),"""")
"),"")</f>
        <v/>
      </c>
      <c r="J940" s="3" t="str">
        <f aca="false">IFERROR(__xludf.dummyfunction("if($T940&lt;&gt;"""",REGEXEXTRACT($T940, J$1&amp;""[\w &amp;]*, (\d+\.\d+)""),"""")
"),"")</f>
        <v/>
      </c>
      <c r="K940" s="3"/>
      <c r="L940" s="3" t="str">
        <f aca="false">IFERROR(__xludf.dummyfunction("if($T940&lt;&gt;"""",REGEXEXTRACT(SUBSTITUTE ($T940,L$1&amp;"" CE"",""""), L$1&amp;""[\w &amp;]*, (\d+\.\d+)""),"""")
"),"")</f>
        <v/>
      </c>
      <c r="M940" s="3" t="str">
        <f aca="false">IFERROR(__xludf.dummyfunction("if($T940&lt;&gt;"""",REGEXEXTRACT($T940, M$1&amp;""[\w &amp;]*, (\d+\.\d+)""),"""")
"),"")</f>
        <v/>
      </c>
      <c r="N940" s="3" t="str">
        <f aca="false">IFERROR(__xludf.dummyfunction("if($T940&lt;&gt;"""",REGEXEXTRACT(SUBSTITUTE ($T940,N$1&amp;"" CE"",""""), N$1&amp;""[\w &amp;]*, (\d+\.\d+)""),"""")
"),"")</f>
        <v/>
      </c>
      <c r="O940" s="3" t="str">
        <f aca="false">IFERROR(__xludf.dummyfunction("if($T940&lt;&gt;"""",REGEXEXTRACT($T940, O$1&amp;""[\w &amp;]*, (\d+\.\d+)""),"""")
"),"")</f>
        <v/>
      </c>
      <c r="P940" s="2"/>
      <c r="Q940" s="2"/>
      <c r="R940" s="2"/>
      <c r="S940" s="2"/>
      <c r="T940" s="5"/>
    </row>
    <row r="941" customFormat="false" ht="15.75" hidden="false" customHeight="false" outlineLevel="0" collapsed="false">
      <c r="A941" s="4"/>
      <c r="B941" s="2"/>
      <c r="C941" s="2"/>
      <c r="D941" s="2"/>
      <c r="E941" s="2"/>
      <c r="F941" s="3" t="str">
        <f aca="false">IFERROR(__xludf.dummyfunction("if($T941&lt;&gt;"""",REGEXEXTRACT(SUBSTITUTE ($T941,F$1&amp;"" CE"",""""), F$1&amp;""[\w &amp;]*, (\d+\.\d+)""),"""")
"),"")</f>
        <v/>
      </c>
      <c r="G941" s="3" t="str">
        <f aca="false">IFERROR(__xludf.dummyfunction("if($T941&lt;&gt;"""",REGEXEXTRACT($T941, G$1&amp;""[\w &amp;]*, (\d+\.\d+)""),"""")
"),"")</f>
        <v/>
      </c>
      <c r="H941" s="3"/>
      <c r="I941" s="3" t="str">
        <f aca="false">IFERROR(__xludf.dummyfunction("if($T941&lt;&gt;"""",REGEXEXTRACT(SUBSTITUTE ($T941,I$1&amp;"" CE"",""""), I$1&amp;""[\w &amp;]*, (\d+\.\d+)""),"""")
"),"")</f>
        <v/>
      </c>
      <c r="J941" s="3" t="str">
        <f aca="false">IFERROR(__xludf.dummyfunction("if($T941&lt;&gt;"""",REGEXEXTRACT($T941, J$1&amp;""[\w &amp;]*, (\d+\.\d+)""),"""")
"),"")</f>
        <v/>
      </c>
      <c r="K941" s="3"/>
      <c r="L941" s="3" t="str">
        <f aca="false">IFERROR(__xludf.dummyfunction("if($T941&lt;&gt;"""",REGEXEXTRACT(SUBSTITUTE ($T941,L$1&amp;"" CE"",""""), L$1&amp;""[\w &amp;]*, (\d+\.\d+)""),"""")
"),"")</f>
        <v/>
      </c>
      <c r="M941" s="3" t="str">
        <f aca="false">IFERROR(__xludf.dummyfunction("if($T941&lt;&gt;"""",REGEXEXTRACT($T941, M$1&amp;""[\w &amp;]*, (\d+\.\d+)""),"""")
"),"")</f>
        <v/>
      </c>
      <c r="N941" s="3" t="str">
        <f aca="false">IFERROR(__xludf.dummyfunction("if($T941&lt;&gt;"""",REGEXEXTRACT(SUBSTITUTE ($T941,N$1&amp;"" CE"",""""), N$1&amp;""[\w &amp;]*, (\d+\.\d+)""),"""")
"),"")</f>
        <v/>
      </c>
      <c r="O941" s="3" t="str">
        <f aca="false">IFERROR(__xludf.dummyfunction("if($T941&lt;&gt;"""",REGEXEXTRACT($T941, O$1&amp;""[\w &amp;]*, (\d+\.\d+)""),"""")
"),"")</f>
        <v/>
      </c>
      <c r="P941" s="2"/>
      <c r="Q941" s="2"/>
      <c r="R941" s="2"/>
      <c r="S941" s="2"/>
      <c r="T941" s="5"/>
    </row>
    <row r="942" customFormat="false" ht="15.75" hidden="false" customHeight="false" outlineLevel="0" collapsed="false">
      <c r="A942" s="4"/>
      <c r="B942" s="2"/>
      <c r="C942" s="2"/>
      <c r="D942" s="2"/>
      <c r="E942" s="2"/>
      <c r="F942" s="3" t="str">
        <f aca="false">IFERROR(__xludf.dummyfunction("if($T942&lt;&gt;"""",REGEXEXTRACT(SUBSTITUTE ($T942,F$1&amp;"" CE"",""""), F$1&amp;""[\w &amp;]*, (\d+\.\d+)""),"""")
"),"")</f>
        <v/>
      </c>
      <c r="G942" s="3" t="str">
        <f aca="false">IFERROR(__xludf.dummyfunction("if($T942&lt;&gt;"""",REGEXEXTRACT($T942, G$1&amp;""[\w &amp;]*, (\d+\.\d+)""),"""")
"),"")</f>
        <v/>
      </c>
      <c r="H942" s="3"/>
      <c r="I942" s="3" t="str">
        <f aca="false">IFERROR(__xludf.dummyfunction("if($T942&lt;&gt;"""",REGEXEXTRACT(SUBSTITUTE ($T942,I$1&amp;"" CE"",""""), I$1&amp;""[\w &amp;]*, (\d+\.\d+)""),"""")
"),"")</f>
        <v/>
      </c>
      <c r="J942" s="3" t="str">
        <f aca="false">IFERROR(__xludf.dummyfunction("if($T942&lt;&gt;"""",REGEXEXTRACT($T942, J$1&amp;""[\w &amp;]*, (\d+\.\d+)""),"""")
"),"")</f>
        <v/>
      </c>
      <c r="K942" s="3"/>
      <c r="L942" s="3" t="str">
        <f aca="false">IFERROR(__xludf.dummyfunction("if($T942&lt;&gt;"""",REGEXEXTRACT(SUBSTITUTE ($T942,L$1&amp;"" CE"",""""), L$1&amp;""[\w &amp;]*, (\d+\.\d+)""),"""")
"),"")</f>
        <v/>
      </c>
      <c r="M942" s="3" t="str">
        <f aca="false">IFERROR(__xludf.dummyfunction("if($T942&lt;&gt;"""",REGEXEXTRACT($T942, M$1&amp;""[\w &amp;]*, (\d+\.\d+)""),"""")
"),"")</f>
        <v/>
      </c>
      <c r="N942" s="3" t="str">
        <f aca="false">IFERROR(__xludf.dummyfunction("if($T942&lt;&gt;"""",REGEXEXTRACT(SUBSTITUTE ($T942,N$1&amp;"" CE"",""""), N$1&amp;""[\w &amp;]*, (\d+\.\d+)""),"""")
"),"")</f>
        <v/>
      </c>
      <c r="O942" s="3" t="str">
        <f aca="false">IFERROR(__xludf.dummyfunction("if($T942&lt;&gt;"""",REGEXEXTRACT($T942, O$1&amp;""[\w &amp;]*, (\d+\.\d+)""),"""")
"),"")</f>
        <v/>
      </c>
      <c r="P942" s="2"/>
      <c r="Q942" s="2"/>
      <c r="R942" s="2"/>
      <c r="S942" s="2"/>
      <c r="T942" s="5"/>
    </row>
    <row r="943" customFormat="false" ht="15.75" hidden="false" customHeight="false" outlineLevel="0" collapsed="false">
      <c r="A943" s="4"/>
      <c r="B943" s="2"/>
      <c r="C943" s="2"/>
      <c r="D943" s="2"/>
      <c r="E943" s="2"/>
      <c r="F943" s="3" t="str">
        <f aca="false">IFERROR(__xludf.dummyfunction("if($T943&lt;&gt;"""",REGEXEXTRACT(SUBSTITUTE ($T943,F$1&amp;"" CE"",""""), F$1&amp;""[\w &amp;]*, (\d+\.\d+)""),"""")
"),"")</f>
        <v/>
      </c>
      <c r="G943" s="3" t="str">
        <f aca="false">IFERROR(__xludf.dummyfunction("if($T943&lt;&gt;"""",REGEXEXTRACT($T943, G$1&amp;""[\w &amp;]*, (\d+\.\d+)""),"""")
"),"")</f>
        <v/>
      </c>
      <c r="H943" s="3"/>
      <c r="I943" s="3" t="str">
        <f aca="false">IFERROR(__xludf.dummyfunction("if($T943&lt;&gt;"""",REGEXEXTRACT(SUBSTITUTE ($T943,I$1&amp;"" CE"",""""), I$1&amp;""[\w &amp;]*, (\d+\.\d+)""),"""")
"),"")</f>
        <v/>
      </c>
      <c r="J943" s="3" t="str">
        <f aca="false">IFERROR(__xludf.dummyfunction("if($T943&lt;&gt;"""",REGEXEXTRACT($T943, J$1&amp;""[\w &amp;]*, (\d+\.\d+)""),"""")
"),"")</f>
        <v/>
      </c>
      <c r="K943" s="3"/>
      <c r="L943" s="3" t="str">
        <f aca="false">IFERROR(__xludf.dummyfunction("if($T943&lt;&gt;"""",REGEXEXTRACT(SUBSTITUTE ($T943,L$1&amp;"" CE"",""""), L$1&amp;""[\w &amp;]*, (\d+\.\d+)""),"""")
"),"")</f>
        <v/>
      </c>
      <c r="M943" s="3" t="str">
        <f aca="false">IFERROR(__xludf.dummyfunction("if($T943&lt;&gt;"""",REGEXEXTRACT($T943, M$1&amp;""[\w &amp;]*, (\d+\.\d+)""),"""")
"),"")</f>
        <v/>
      </c>
      <c r="N943" s="3" t="str">
        <f aca="false">IFERROR(__xludf.dummyfunction("if($T943&lt;&gt;"""",REGEXEXTRACT(SUBSTITUTE ($T943,N$1&amp;"" CE"",""""), N$1&amp;""[\w &amp;]*, (\d+\.\d+)""),"""")
"),"")</f>
        <v/>
      </c>
      <c r="O943" s="3" t="str">
        <f aca="false">IFERROR(__xludf.dummyfunction("if($T943&lt;&gt;"""",REGEXEXTRACT($T943, O$1&amp;""[\w &amp;]*, (\d+\.\d+)""),"""")
"),"")</f>
        <v/>
      </c>
      <c r="P943" s="2"/>
      <c r="Q943" s="2"/>
      <c r="R943" s="2"/>
      <c r="S943" s="2"/>
      <c r="T943" s="5"/>
    </row>
    <row r="944" customFormat="false" ht="15.75" hidden="false" customHeight="false" outlineLevel="0" collapsed="false">
      <c r="A944" s="4"/>
      <c r="B944" s="2"/>
      <c r="C944" s="2"/>
      <c r="D944" s="2"/>
      <c r="E944" s="2"/>
      <c r="F944" s="3" t="str">
        <f aca="false">IFERROR(__xludf.dummyfunction("if($T944&lt;&gt;"""",REGEXEXTRACT(SUBSTITUTE ($T944,F$1&amp;"" CE"",""""), F$1&amp;""[\w &amp;]*, (\d+\.\d+)""),"""")
"),"")</f>
        <v/>
      </c>
      <c r="G944" s="3" t="str">
        <f aca="false">IFERROR(__xludf.dummyfunction("if($T944&lt;&gt;"""",REGEXEXTRACT($T944, G$1&amp;""[\w &amp;]*, (\d+\.\d+)""),"""")
"),"")</f>
        <v/>
      </c>
      <c r="H944" s="3"/>
      <c r="I944" s="3" t="str">
        <f aca="false">IFERROR(__xludf.dummyfunction("if($T944&lt;&gt;"""",REGEXEXTRACT(SUBSTITUTE ($T944,I$1&amp;"" CE"",""""), I$1&amp;""[\w &amp;]*, (\d+\.\d+)""),"""")
"),"")</f>
        <v/>
      </c>
      <c r="J944" s="3" t="str">
        <f aca="false">IFERROR(__xludf.dummyfunction("if($T944&lt;&gt;"""",REGEXEXTRACT($T944, J$1&amp;""[\w &amp;]*, (\d+\.\d+)""),"""")
"),"")</f>
        <v/>
      </c>
      <c r="K944" s="3"/>
      <c r="L944" s="3" t="str">
        <f aca="false">IFERROR(__xludf.dummyfunction("if($T944&lt;&gt;"""",REGEXEXTRACT(SUBSTITUTE ($T944,L$1&amp;"" CE"",""""), L$1&amp;""[\w &amp;]*, (\d+\.\d+)""),"""")
"),"")</f>
        <v/>
      </c>
      <c r="M944" s="3" t="str">
        <f aca="false">IFERROR(__xludf.dummyfunction("if($T944&lt;&gt;"""",REGEXEXTRACT($T944, M$1&amp;""[\w &amp;]*, (\d+\.\d+)""),"""")
"),"")</f>
        <v/>
      </c>
      <c r="N944" s="3" t="str">
        <f aca="false">IFERROR(__xludf.dummyfunction("if($T944&lt;&gt;"""",REGEXEXTRACT(SUBSTITUTE ($T944,N$1&amp;"" CE"",""""), N$1&amp;""[\w &amp;]*, (\d+\.\d+)""),"""")
"),"")</f>
        <v/>
      </c>
      <c r="O944" s="3" t="str">
        <f aca="false">IFERROR(__xludf.dummyfunction("if($T944&lt;&gt;"""",REGEXEXTRACT($T944, O$1&amp;""[\w &amp;]*, (\d+\.\d+)""),"""")
"),"")</f>
        <v/>
      </c>
      <c r="P944" s="2"/>
      <c r="Q944" s="2"/>
      <c r="R944" s="2"/>
      <c r="S944" s="2"/>
      <c r="T944" s="5"/>
    </row>
    <row r="945" customFormat="false" ht="15.75" hidden="false" customHeight="false" outlineLevel="0" collapsed="false">
      <c r="A945" s="4"/>
      <c r="B945" s="2"/>
      <c r="C945" s="2"/>
      <c r="D945" s="2"/>
      <c r="E945" s="2"/>
      <c r="F945" s="3" t="str">
        <f aca="false">IFERROR(__xludf.dummyfunction("if($T945&lt;&gt;"""",REGEXEXTRACT(SUBSTITUTE ($T945,F$1&amp;"" CE"",""""), F$1&amp;""[\w &amp;]*, (\d+\.\d+)""),"""")
"),"")</f>
        <v/>
      </c>
      <c r="G945" s="3" t="str">
        <f aca="false">IFERROR(__xludf.dummyfunction("if($T945&lt;&gt;"""",REGEXEXTRACT($T945, G$1&amp;""[\w &amp;]*, (\d+\.\d+)""),"""")
"),"")</f>
        <v/>
      </c>
      <c r="H945" s="3"/>
      <c r="I945" s="3" t="str">
        <f aca="false">IFERROR(__xludf.dummyfunction("if($T945&lt;&gt;"""",REGEXEXTRACT(SUBSTITUTE ($T945,I$1&amp;"" CE"",""""), I$1&amp;""[\w &amp;]*, (\d+\.\d+)""),"""")
"),"")</f>
        <v/>
      </c>
      <c r="J945" s="3" t="str">
        <f aca="false">IFERROR(__xludf.dummyfunction("if($T945&lt;&gt;"""",REGEXEXTRACT($T945, J$1&amp;""[\w &amp;]*, (\d+\.\d+)""),"""")
"),"")</f>
        <v/>
      </c>
      <c r="K945" s="3"/>
      <c r="L945" s="3" t="str">
        <f aca="false">IFERROR(__xludf.dummyfunction("if($T945&lt;&gt;"""",REGEXEXTRACT(SUBSTITUTE ($T945,L$1&amp;"" CE"",""""), L$1&amp;""[\w &amp;]*, (\d+\.\d+)""),"""")
"),"")</f>
        <v/>
      </c>
      <c r="M945" s="3" t="str">
        <f aca="false">IFERROR(__xludf.dummyfunction("if($T945&lt;&gt;"""",REGEXEXTRACT($T945, M$1&amp;""[\w &amp;]*, (\d+\.\d+)""),"""")
"),"")</f>
        <v/>
      </c>
      <c r="N945" s="3" t="str">
        <f aca="false">IFERROR(__xludf.dummyfunction("if($T945&lt;&gt;"""",REGEXEXTRACT(SUBSTITUTE ($T945,N$1&amp;"" CE"",""""), N$1&amp;""[\w &amp;]*, (\d+\.\d+)""),"""")
"),"")</f>
        <v/>
      </c>
      <c r="O945" s="3" t="str">
        <f aca="false">IFERROR(__xludf.dummyfunction("if($T945&lt;&gt;"""",REGEXEXTRACT($T945, O$1&amp;""[\w &amp;]*, (\d+\.\d+)""),"""")
"),"")</f>
        <v/>
      </c>
      <c r="P945" s="2"/>
      <c r="Q945" s="2"/>
      <c r="R945" s="2"/>
      <c r="S945" s="2"/>
      <c r="T945" s="5"/>
    </row>
    <row r="946" customFormat="false" ht="15.75" hidden="false" customHeight="false" outlineLevel="0" collapsed="false">
      <c r="A946" s="4"/>
      <c r="B946" s="2"/>
      <c r="C946" s="2"/>
      <c r="D946" s="2"/>
      <c r="E946" s="2"/>
      <c r="F946" s="3" t="str">
        <f aca="false">IFERROR(__xludf.dummyfunction("if($T946&lt;&gt;"""",REGEXEXTRACT(SUBSTITUTE ($T946,F$1&amp;"" CE"",""""), F$1&amp;""[\w &amp;]*, (\d+\.\d+)""),"""")
"),"")</f>
        <v/>
      </c>
      <c r="G946" s="3" t="str">
        <f aca="false">IFERROR(__xludf.dummyfunction("if($T946&lt;&gt;"""",REGEXEXTRACT($T946, G$1&amp;""[\w &amp;]*, (\d+\.\d+)""),"""")
"),"")</f>
        <v/>
      </c>
      <c r="H946" s="3"/>
      <c r="I946" s="3" t="str">
        <f aca="false">IFERROR(__xludf.dummyfunction("if($T946&lt;&gt;"""",REGEXEXTRACT(SUBSTITUTE ($T946,I$1&amp;"" CE"",""""), I$1&amp;""[\w &amp;]*, (\d+\.\d+)""),"""")
"),"")</f>
        <v/>
      </c>
      <c r="J946" s="3" t="str">
        <f aca="false">IFERROR(__xludf.dummyfunction("if($T946&lt;&gt;"""",REGEXEXTRACT($T946, J$1&amp;""[\w &amp;]*, (\d+\.\d+)""),"""")
"),"")</f>
        <v/>
      </c>
      <c r="K946" s="3"/>
      <c r="L946" s="3" t="str">
        <f aca="false">IFERROR(__xludf.dummyfunction("if($T946&lt;&gt;"""",REGEXEXTRACT(SUBSTITUTE ($T946,L$1&amp;"" CE"",""""), L$1&amp;""[\w &amp;]*, (\d+\.\d+)""),"""")
"),"")</f>
        <v/>
      </c>
      <c r="M946" s="3" t="str">
        <f aca="false">IFERROR(__xludf.dummyfunction("if($T946&lt;&gt;"""",REGEXEXTRACT($T946, M$1&amp;""[\w &amp;]*, (\d+\.\d+)""),"""")
"),"")</f>
        <v/>
      </c>
      <c r="N946" s="3" t="str">
        <f aca="false">IFERROR(__xludf.dummyfunction("if($T946&lt;&gt;"""",REGEXEXTRACT(SUBSTITUTE ($T946,N$1&amp;"" CE"",""""), N$1&amp;""[\w &amp;]*, (\d+\.\d+)""),"""")
"),"")</f>
        <v/>
      </c>
      <c r="O946" s="3" t="str">
        <f aca="false">IFERROR(__xludf.dummyfunction("if($T946&lt;&gt;"""",REGEXEXTRACT($T946, O$1&amp;""[\w &amp;]*, (\d+\.\d+)""),"""")
"),"")</f>
        <v/>
      </c>
      <c r="P946" s="2"/>
      <c r="Q946" s="2"/>
      <c r="R946" s="2"/>
      <c r="S946" s="2"/>
      <c r="T946" s="5"/>
    </row>
    <row r="947" customFormat="false" ht="15.75" hidden="false" customHeight="false" outlineLevel="0" collapsed="false">
      <c r="A947" s="4"/>
      <c r="B947" s="2"/>
      <c r="C947" s="2"/>
      <c r="D947" s="2"/>
      <c r="E947" s="2"/>
      <c r="F947" s="3" t="str">
        <f aca="false">IFERROR(__xludf.dummyfunction("if($T947&lt;&gt;"""",REGEXEXTRACT(SUBSTITUTE ($T947,F$1&amp;"" CE"",""""), F$1&amp;""[\w &amp;]*, (\d+\.\d+)""),"""")
"),"")</f>
        <v/>
      </c>
      <c r="G947" s="3" t="str">
        <f aca="false">IFERROR(__xludf.dummyfunction("if($T947&lt;&gt;"""",REGEXEXTRACT($T947, G$1&amp;""[\w &amp;]*, (\d+\.\d+)""),"""")
"),"")</f>
        <v/>
      </c>
      <c r="H947" s="3"/>
      <c r="I947" s="3" t="str">
        <f aca="false">IFERROR(__xludf.dummyfunction("if($T947&lt;&gt;"""",REGEXEXTRACT(SUBSTITUTE ($T947,I$1&amp;"" CE"",""""), I$1&amp;""[\w &amp;]*, (\d+\.\d+)""),"""")
"),"")</f>
        <v/>
      </c>
      <c r="J947" s="3" t="str">
        <f aca="false">IFERROR(__xludf.dummyfunction("if($T947&lt;&gt;"""",REGEXEXTRACT($T947, J$1&amp;""[\w &amp;]*, (\d+\.\d+)""),"""")
"),"")</f>
        <v/>
      </c>
      <c r="K947" s="3"/>
      <c r="L947" s="3" t="str">
        <f aca="false">IFERROR(__xludf.dummyfunction("if($T947&lt;&gt;"""",REGEXEXTRACT(SUBSTITUTE ($T947,L$1&amp;"" CE"",""""), L$1&amp;""[\w &amp;]*, (\d+\.\d+)""),"""")
"),"")</f>
        <v/>
      </c>
      <c r="M947" s="3" t="str">
        <f aca="false">IFERROR(__xludf.dummyfunction("if($T947&lt;&gt;"""",REGEXEXTRACT($T947, M$1&amp;""[\w &amp;]*, (\d+\.\d+)""),"""")
"),"")</f>
        <v/>
      </c>
      <c r="N947" s="3" t="str">
        <f aca="false">IFERROR(__xludf.dummyfunction("if($T947&lt;&gt;"""",REGEXEXTRACT(SUBSTITUTE ($T947,N$1&amp;"" CE"",""""), N$1&amp;""[\w &amp;]*, (\d+\.\d+)""),"""")
"),"")</f>
        <v/>
      </c>
      <c r="O947" s="3" t="str">
        <f aca="false">IFERROR(__xludf.dummyfunction("if($T947&lt;&gt;"""",REGEXEXTRACT($T947, O$1&amp;""[\w &amp;]*, (\d+\.\d+)""),"""")
"),"")</f>
        <v/>
      </c>
      <c r="P947" s="2"/>
      <c r="Q947" s="2"/>
      <c r="R947" s="2"/>
      <c r="S947" s="2"/>
      <c r="T947" s="5"/>
    </row>
    <row r="948" customFormat="false" ht="15.75" hidden="false" customHeight="false" outlineLevel="0" collapsed="false">
      <c r="A948" s="4"/>
      <c r="B948" s="2"/>
      <c r="C948" s="2"/>
      <c r="D948" s="2"/>
      <c r="E948" s="2"/>
      <c r="F948" s="3" t="str">
        <f aca="false">IFERROR(__xludf.dummyfunction("if($T948&lt;&gt;"""",REGEXEXTRACT(SUBSTITUTE ($T948,F$1&amp;"" CE"",""""), F$1&amp;""[\w &amp;]*, (\d+\.\d+)""),"""")
"),"")</f>
        <v/>
      </c>
      <c r="G948" s="3" t="str">
        <f aca="false">IFERROR(__xludf.dummyfunction("if($T948&lt;&gt;"""",REGEXEXTRACT($T948, G$1&amp;""[\w &amp;]*, (\d+\.\d+)""),"""")
"),"")</f>
        <v/>
      </c>
      <c r="H948" s="3"/>
      <c r="I948" s="3" t="str">
        <f aca="false">IFERROR(__xludf.dummyfunction("if($T948&lt;&gt;"""",REGEXEXTRACT(SUBSTITUTE ($T948,I$1&amp;"" CE"",""""), I$1&amp;""[\w &amp;]*, (\d+\.\d+)""),"""")
"),"")</f>
        <v/>
      </c>
      <c r="J948" s="3" t="str">
        <f aca="false">IFERROR(__xludf.dummyfunction("if($T948&lt;&gt;"""",REGEXEXTRACT($T948, J$1&amp;""[\w &amp;]*, (\d+\.\d+)""),"""")
"),"")</f>
        <v/>
      </c>
      <c r="K948" s="3"/>
      <c r="L948" s="3" t="str">
        <f aca="false">IFERROR(__xludf.dummyfunction("if($T948&lt;&gt;"""",REGEXEXTRACT(SUBSTITUTE ($T948,L$1&amp;"" CE"",""""), L$1&amp;""[\w &amp;]*, (\d+\.\d+)""),"""")
"),"")</f>
        <v/>
      </c>
      <c r="M948" s="3" t="str">
        <f aca="false">IFERROR(__xludf.dummyfunction("if($T948&lt;&gt;"""",REGEXEXTRACT($T948, M$1&amp;""[\w &amp;]*, (\d+\.\d+)""),"""")
"),"")</f>
        <v/>
      </c>
      <c r="N948" s="3" t="str">
        <f aca="false">IFERROR(__xludf.dummyfunction("if($T948&lt;&gt;"""",REGEXEXTRACT(SUBSTITUTE ($T948,N$1&amp;"" CE"",""""), N$1&amp;""[\w &amp;]*, (\d+\.\d+)""),"""")
"),"")</f>
        <v/>
      </c>
      <c r="O948" s="3" t="str">
        <f aca="false">IFERROR(__xludf.dummyfunction("if($T948&lt;&gt;"""",REGEXEXTRACT($T948, O$1&amp;""[\w &amp;]*, (\d+\.\d+)""),"""")
"),"")</f>
        <v/>
      </c>
      <c r="P948" s="2"/>
      <c r="Q948" s="2"/>
      <c r="R948" s="2"/>
      <c r="S948" s="2"/>
      <c r="T948" s="5"/>
    </row>
    <row r="949" customFormat="false" ht="15.75" hidden="false" customHeight="false" outlineLevel="0" collapsed="false">
      <c r="A949" s="4"/>
      <c r="B949" s="2"/>
      <c r="C949" s="2"/>
      <c r="D949" s="2"/>
      <c r="E949" s="2"/>
      <c r="F949" s="3" t="str">
        <f aca="false">IFERROR(__xludf.dummyfunction("if($T949&lt;&gt;"""",REGEXEXTRACT(SUBSTITUTE ($T949,F$1&amp;"" CE"",""""), F$1&amp;""[\w &amp;]*, (\d+\.\d+)""),"""")
"),"")</f>
        <v/>
      </c>
      <c r="G949" s="3" t="str">
        <f aca="false">IFERROR(__xludf.dummyfunction("if($T949&lt;&gt;"""",REGEXEXTRACT($T949, G$1&amp;""[\w &amp;]*, (\d+\.\d+)""),"""")
"),"")</f>
        <v/>
      </c>
      <c r="H949" s="3"/>
      <c r="I949" s="3" t="str">
        <f aca="false">IFERROR(__xludf.dummyfunction("if($T949&lt;&gt;"""",REGEXEXTRACT(SUBSTITUTE ($T949,I$1&amp;"" CE"",""""), I$1&amp;""[\w &amp;]*, (\d+\.\d+)""),"""")
"),"")</f>
        <v/>
      </c>
      <c r="J949" s="3" t="str">
        <f aca="false">IFERROR(__xludf.dummyfunction("if($T949&lt;&gt;"""",REGEXEXTRACT($T949, J$1&amp;""[\w &amp;]*, (\d+\.\d+)""),"""")
"),"")</f>
        <v/>
      </c>
      <c r="K949" s="3"/>
      <c r="L949" s="3" t="str">
        <f aca="false">IFERROR(__xludf.dummyfunction("if($T949&lt;&gt;"""",REGEXEXTRACT(SUBSTITUTE ($T949,L$1&amp;"" CE"",""""), L$1&amp;""[\w &amp;]*, (\d+\.\d+)""),"""")
"),"")</f>
        <v/>
      </c>
      <c r="M949" s="3" t="str">
        <f aca="false">IFERROR(__xludf.dummyfunction("if($T949&lt;&gt;"""",REGEXEXTRACT($T949, M$1&amp;""[\w &amp;]*, (\d+\.\d+)""),"""")
"),"")</f>
        <v/>
      </c>
      <c r="N949" s="3" t="str">
        <f aca="false">IFERROR(__xludf.dummyfunction("if($T949&lt;&gt;"""",REGEXEXTRACT(SUBSTITUTE ($T949,N$1&amp;"" CE"",""""), N$1&amp;""[\w &amp;]*, (\d+\.\d+)""),"""")
"),"")</f>
        <v/>
      </c>
      <c r="O949" s="3" t="str">
        <f aca="false">IFERROR(__xludf.dummyfunction("if($T949&lt;&gt;"""",REGEXEXTRACT($T949, O$1&amp;""[\w &amp;]*, (\d+\.\d+)""),"""")
"),"")</f>
        <v/>
      </c>
      <c r="P949" s="2"/>
      <c r="Q949" s="2"/>
      <c r="R949" s="2"/>
      <c r="S949" s="2"/>
      <c r="T949" s="5"/>
    </row>
    <row r="950" customFormat="false" ht="15.75" hidden="false" customHeight="false" outlineLevel="0" collapsed="false">
      <c r="A950" s="4"/>
      <c r="B950" s="2"/>
      <c r="C950" s="2"/>
      <c r="D950" s="2"/>
      <c r="E950" s="2"/>
      <c r="F950" s="3" t="str">
        <f aca="false">IFERROR(__xludf.dummyfunction("if($T950&lt;&gt;"""",REGEXEXTRACT(SUBSTITUTE ($T950,F$1&amp;"" CE"",""""), F$1&amp;""[\w &amp;]*, (\d+\.\d+)""),"""")
"),"")</f>
        <v/>
      </c>
      <c r="G950" s="3" t="str">
        <f aca="false">IFERROR(__xludf.dummyfunction("if($T950&lt;&gt;"""",REGEXEXTRACT($T950, G$1&amp;""[\w &amp;]*, (\d+\.\d+)""),"""")
"),"")</f>
        <v/>
      </c>
      <c r="H950" s="3"/>
      <c r="I950" s="3" t="str">
        <f aca="false">IFERROR(__xludf.dummyfunction("if($T950&lt;&gt;"""",REGEXEXTRACT(SUBSTITUTE ($T950,I$1&amp;"" CE"",""""), I$1&amp;""[\w &amp;]*, (\d+\.\d+)""),"""")
"),"")</f>
        <v/>
      </c>
      <c r="J950" s="3" t="str">
        <f aca="false">IFERROR(__xludf.dummyfunction("if($T950&lt;&gt;"""",REGEXEXTRACT($T950, J$1&amp;""[\w &amp;]*, (\d+\.\d+)""),"""")
"),"")</f>
        <v/>
      </c>
      <c r="K950" s="3"/>
      <c r="L950" s="3" t="str">
        <f aca="false">IFERROR(__xludf.dummyfunction("if($T950&lt;&gt;"""",REGEXEXTRACT(SUBSTITUTE ($T950,L$1&amp;"" CE"",""""), L$1&amp;""[\w &amp;]*, (\d+\.\d+)""),"""")
"),"")</f>
        <v/>
      </c>
      <c r="M950" s="3" t="str">
        <f aca="false">IFERROR(__xludf.dummyfunction("if($T950&lt;&gt;"""",REGEXEXTRACT($T950, M$1&amp;""[\w &amp;]*, (\d+\.\d+)""),"""")
"),"")</f>
        <v/>
      </c>
      <c r="N950" s="3" t="str">
        <f aca="false">IFERROR(__xludf.dummyfunction("if($T950&lt;&gt;"""",REGEXEXTRACT(SUBSTITUTE ($T950,N$1&amp;"" CE"",""""), N$1&amp;""[\w &amp;]*, (\d+\.\d+)""),"""")
"),"")</f>
        <v/>
      </c>
      <c r="O950" s="3" t="str">
        <f aca="false">IFERROR(__xludf.dummyfunction("if($T950&lt;&gt;"""",REGEXEXTRACT($T950, O$1&amp;""[\w &amp;]*, (\d+\.\d+)""),"""")
"),"")</f>
        <v/>
      </c>
      <c r="P950" s="2"/>
      <c r="Q950" s="2"/>
      <c r="R950" s="2"/>
      <c r="S950" s="2"/>
      <c r="T950" s="5"/>
    </row>
    <row r="951" customFormat="false" ht="15.75" hidden="false" customHeight="false" outlineLevel="0" collapsed="false">
      <c r="A951" s="4"/>
      <c r="B951" s="2"/>
      <c r="C951" s="2"/>
      <c r="D951" s="2"/>
      <c r="E951" s="2"/>
      <c r="F951" s="3" t="str">
        <f aca="false">IFERROR(__xludf.dummyfunction("if($T951&lt;&gt;"""",REGEXEXTRACT(SUBSTITUTE ($T951,F$1&amp;"" CE"",""""), F$1&amp;""[\w &amp;]*, (\d+\.\d+)""),"""")
"),"")</f>
        <v/>
      </c>
      <c r="G951" s="3" t="str">
        <f aca="false">IFERROR(__xludf.dummyfunction("if($T951&lt;&gt;"""",REGEXEXTRACT($T951, G$1&amp;""[\w &amp;]*, (\d+\.\d+)""),"""")
"),"")</f>
        <v/>
      </c>
      <c r="H951" s="3"/>
      <c r="I951" s="3" t="str">
        <f aca="false">IFERROR(__xludf.dummyfunction("if($T951&lt;&gt;"""",REGEXEXTRACT(SUBSTITUTE ($T951,I$1&amp;"" CE"",""""), I$1&amp;""[\w &amp;]*, (\d+\.\d+)""),"""")
"),"")</f>
        <v/>
      </c>
      <c r="J951" s="3" t="str">
        <f aca="false">IFERROR(__xludf.dummyfunction("if($T951&lt;&gt;"""",REGEXEXTRACT($T951, J$1&amp;""[\w &amp;]*, (\d+\.\d+)""),"""")
"),"")</f>
        <v/>
      </c>
      <c r="K951" s="3"/>
      <c r="L951" s="3" t="str">
        <f aca="false">IFERROR(__xludf.dummyfunction("if($T951&lt;&gt;"""",REGEXEXTRACT(SUBSTITUTE ($T951,L$1&amp;"" CE"",""""), L$1&amp;""[\w &amp;]*, (\d+\.\d+)""),"""")
"),"")</f>
        <v/>
      </c>
      <c r="M951" s="3" t="str">
        <f aca="false">IFERROR(__xludf.dummyfunction("if($T951&lt;&gt;"""",REGEXEXTRACT($T951, M$1&amp;""[\w &amp;]*, (\d+\.\d+)""),"""")
"),"")</f>
        <v/>
      </c>
      <c r="N951" s="3" t="str">
        <f aca="false">IFERROR(__xludf.dummyfunction("if($T951&lt;&gt;"""",REGEXEXTRACT(SUBSTITUTE ($T951,N$1&amp;"" CE"",""""), N$1&amp;""[\w &amp;]*, (\d+\.\d+)""),"""")
"),"")</f>
        <v/>
      </c>
      <c r="O951" s="3" t="str">
        <f aca="false">IFERROR(__xludf.dummyfunction("if($T951&lt;&gt;"""",REGEXEXTRACT($T951, O$1&amp;""[\w &amp;]*, (\d+\.\d+)""),"""")
"),"")</f>
        <v/>
      </c>
      <c r="P951" s="2"/>
      <c r="Q951" s="2"/>
      <c r="R951" s="2"/>
      <c r="S951" s="2"/>
      <c r="T951" s="5"/>
    </row>
    <row r="952" customFormat="false" ht="15.75" hidden="false" customHeight="false" outlineLevel="0" collapsed="false">
      <c r="A952" s="4"/>
      <c r="B952" s="2"/>
      <c r="C952" s="2"/>
      <c r="D952" s="2"/>
      <c r="E952" s="2"/>
      <c r="F952" s="3" t="str">
        <f aca="false">IFERROR(__xludf.dummyfunction("if($T952&lt;&gt;"""",REGEXEXTRACT(SUBSTITUTE ($T952,F$1&amp;"" CE"",""""), F$1&amp;""[\w &amp;]*, (\d+\.\d+)""),"""")
"),"")</f>
        <v/>
      </c>
      <c r="G952" s="3" t="str">
        <f aca="false">IFERROR(__xludf.dummyfunction("if($T952&lt;&gt;"""",REGEXEXTRACT($T952, G$1&amp;""[\w &amp;]*, (\d+\.\d+)""),"""")
"),"")</f>
        <v/>
      </c>
      <c r="H952" s="3"/>
      <c r="I952" s="3" t="str">
        <f aca="false">IFERROR(__xludf.dummyfunction("if($T952&lt;&gt;"""",REGEXEXTRACT(SUBSTITUTE ($T952,I$1&amp;"" CE"",""""), I$1&amp;""[\w &amp;]*, (\d+\.\d+)""),"""")
"),"")</f>
        <v/>
      </c>
      <c r="J952" s="3" t="str">
        <f aca="false">IFERROR(__xludf.dummyfunction("if($T952&lt;&gt;"""",REGEXEXTRACT($T952, J$1&amp;""[\w &amp;]*, (\d+\.\d+)""),"""")
"),"")</f>
        <v/>
      </c>
      <c r="K952" s="3"/>
      <c r="L952" s="3" t="str">
        <f aca="false">IFERROR(__xludf.dummyfunction("if($T952&lt;&gt;"""",REGEXEXTRACT(SUBSTITUTE ($T952,L$1&amp;"" CE"",""""), L$1&amp;""[\w &amp;]*, (\d+\.\d+)""),"""")
"),"")</f>
        <v/>
      </c>
      <c r="M952" s="3" t="str">
        <f aca="false">IFERROR(__xludf.dummyfunction("if($T952&lt;&gt;"""",REGEXEXTRACT($T952, M$1&amp;""[\w &amp;]*, (\d+\.\d+)""),"""")
"),"")</f>
        <v/>
      </c>
      <c r="N952" s="3" t="str">
        <f aca="false">IFERROR(__xludf.dummyfunction("if($T952&lt;&gt;"""",REGEXEXTRACT(SUBSTITUTE ($T952,N$1&amp;"" CE"",""""), N$1&amp;""[\w &amp;]*, (\d+\.\d+)""),"""")
"),"")</f>
        <v/>
      </c>
      <c r="O952" s="3" t="str">
        <f aca="false">IFERROR(__xludf.dummyfunction("if($T952&lt;&gt;"""",REGEXEXTRACT($T952, O$1&amp;""[\w &amp;]*, (\d+\.\d+)""),"""")
"),"")</f>
        <v/>
      </c>
      <c r="P952" s="2"/>
      <c r="Q952" s="2"/>
      <c r="R952" s="2"/>
      <c r="S952" s="2"/>
      <c r="T952" s="5"/>
    </row>
    <row r="953" customFormat="false" ht="15.75" hidden="false" customHeight="false" outlineLevel="0" collapsed="false">
      <c r="A953" s="4"/>
      <c r="B953" s="2"/>
      <c r="C953" s="2"/>
      <c r="D953" s="2"/>
      <c r="E953" s="2"/>
      <c r="F953" s="3" t="str">
        <f aca="false">IFERROR(__xludf.dummyfunction("if($T953&lt;&gt;"""",REGEXEXTRACT(SUBSTITUTE ($T953,F$1&amp;"" CE"",""""), F$1&amp;""[\w &amp;]*, (\d+\.\d+)""),"""")
"),"")</f>
        <v/>
      </c>
      <c r="G953" s="3" t="str">
        <f aca="false">IFERROR(__xludf.dummyfunction("if($T953&lt;&gt;"""",REGEXEXTRACT($T953, G$1&amp;""[\w &amp;]*, (\d+\.\d+)""),"""")
"),"")</f>
        <v/>
      </c>
      <c r="H953" s="3"/>
      <c r="I953" s="3" t="str">
        <f aca="false">IFERROR(__xludf.dummyfunction("if($T953&lt;&gt;"""",REGEXEXTRACT(SUBSTITUTE ($T953,I$1&amp;"" CE"",""""), I$1&amp;""[\w &amp;]*, (\d+\.\d+)""),"""")
"),"")</f>
        <v/>
      </c>
      <c r="J953" s="3" t="str">
        <f aca="false">IFERROR(__xludf.dummyfunction("if($T953&lt;&gt;"""",REGEXEXTRACT($T953, J$1&amp;""[\w &amp;]*, (\d+\.\d+)""),"""")
"),"")</f>
        <v/>
      </c>
      <c r="K953" s="3"/>
      <c r="L953" s="3" t="str">
        <f aca="false">IFERROR(__xludf.dummyfunction("if($T953&lt;&gt;"""",REGEXEXTRACT(SUBSTITUTE ($T953,L$1&amp;"" CE"",""""), L$1&amp;""[\w &amp;]*, (\d+\.\d+)""),"""")
"),"")</f>
        <v/>
      </c>
      <c r="M953" s="3" t="str">
        <f aca="false">IFERROR(__xludf.dummyfunction("if($T953&lt;&gt;"""",REGEXEXTRACT($T953, M$1&amp;""[\w &amp;]*, (\d+\.\d+)""),"""")
"),"")</f>
        <v/>
      </c>
      <c r="N953" s="3" t="str">
        <f aca="false">IFERROR(__xludf.dummyfunction("if($T953&lt;&gt;"""",REGEXEXTRACT(SUBSTITUTE ($T953,N$1&amp;"" CE"",""""), N$1&amp;""[\w &amp;]*, (\d+\.\d+)""),"""")
"),"")</f>
        <v/>
      </c>
      <c r="O953" s="3" t="str">
        <f aca="false">IFERROR(__xludf.dummyfunction("if($T953&lt;&gt;"""",REGEXEXTRACT($T953, O$1&amp;""[\w &amp;]*, (\d+\.\d+)""),"""")
"),"")</f>
        <v/>
      </c>
      <c r="P953" s="2"/>
      <c r="Q953" s="2"/>
      <c r="R953" s="2"/>
      <c r="S953" s="2"/>
      <c r="T953" s="5"/>
    </row>
    <row r="954" customFormat="false" ht="15.75" hidden="false" customHeight="false" outlineLevel="0" collapsed="false">
      <c r="A954" s="4"/>
      <c r="B954" s="2"/>
      <c r="C954" s="2"/>
      <c r="D954" s="2"/>
      <c r="E954" s="2"/>
      <c r="F954" s="3" t="str">
        <f aca="false">IFERROR(__xludf.dummyfunction("if($T954&lt;&gt;"""",REGEXEXTRACT(SUBSTITUTE ($T954,F$1&amp;"" CE"",""""), F$1&amp;""[\w &amp;]*, (\d+\.\d+)""),"""")
"),"")</f>
        <v/>
      </c>
      <c r="G954" s="3" t="str">
        <f aca="false">IFERROR(__xludf.dummyfunction("if($T954&lt;&gt;"""",REGEXEXTRACT($T954, G$1&amp;""[\w &amp;]*, (\d+\.\d+)""),"""")
"),"")</f>
        <v/>
      </c>
      <c r="H954" s="3"/>
      <c r="I954" s="3" t="str">
        <f aca="false">IFERROR(__xludf.dummyfunction("if($T954&lt;&gt;"""",REGEXEXTRACT(SUBSTITUTE ($T954,I$1&amp;"" CE"",""""), I$1&amp;""[\w &amp;]*, (\d+\.\d+)""),"""")
"),"")</f>
        <v/>
      </c>
      <c r="J954" s="3" t="str">
        <f aca="false">IFERROR(__xludf.dummyfunction("if($T954&lt;&gt;"""",REGEXEXTRACT($T954, J$1&amp;""[\w &amp;]*, (\d+\.\d+)""),"""")
"),"")</f>
        <v/>
      </c>
      <c r="K954" s="3"/>
      <c r="L954" s="3" t="str">
        <f aca="false">IFERROR(__xludf.dummyfunction("if($T954&lt;&gt;"""",REGEXEXTRACT(SUBSTITUTE ($T954,L$1&amp;"" CE"",""""), L$1&amp;""[\w &amp;]*, (\d+\.\d+)""),"""")
"),"")</f>
        <v/>
      </c>
      <c r="M954" s="3" t="str">
        <f aca="false">IFERROR(__xludf.dummyfunction("if($T954&lt;&gt;"""",REGEXEXTRACT($T954, M$1&amp;""[\w &amp;]*, (\d+\.\d+)""),"""")
"),"")</f>
        <v/>
      </c>
      <c r="N954" s="3" t="str">
        <f aca="false">IFERROR(__xludf.dummyfunction("if($T954&lt;&gt;"""",REGEXEXTRACT(SUBSTITUTE ($T954,N$1&amp;"" CE"",""""), N$1&amp;""[\w &amp;]*, (\d+\.\d+)""),"""")
"),"")</f>
        <v/>
      </c>
      <c r="O954" s="3" t="str">
        <f aca="false">IFERROR(__xludf.dummyfunction("if($T954&lt;&gt;"""",REGEXEXTRACT($T954, O$1&amp;""[\w &amp;]*, (\d+\.\d+)""),"""")
"),"")</f>
        <v/>
      </c>
      <c r="P954" s="2"/>
      <c r="Q954" s="2"/>
      <c r="R954" s="2"/>
      <c r="S954" s="2"/>
      <c r="T954" s="5"/>
    </row>
    <row r="955" customFormat="false" ht="15.75" hidden="false" customHeight="false" outlineLevel="0" collapsed="false">
      <c r="A955" s="4"/>
      <c r="B955" s="2"/>
      <c r="C955" s="2"/>
      <c r="D955" s="2"/>
      <c r="E955" s="2"/>
      <c r="F955" s="3" t="str">
        <f aca="false">IFERROR(__xludf.dummyfunction("if($T955&lt;&gt;"""",REGEXEXTRACT(SUBSTITUTE ($T955,F$1&amp;"" CE"",""""), F$1&amp;""[\w &amp;]*, (\d+\.\d+)""),"""")
"),"")</f>
        <v/>
      </c>
      <c r="G955" s="3" t="str">
        <f aca="false">IFERROR(__xludf.dummyfunction("if($T955&lt;&gt;"""",REGEXEXTRACT($T955, G$1&amp;""[\w &amp;]*, (\d+\.\d+)""),"""")
"),"")</f>
        <v/>
      </c>
      <c r="H955" s="3"/>
      <c r="I955" s="3" t="str">
        <f aca="false">IFERROR(__xludf.dummyfunction("if($T955&lt;&gt;"""",REGEXEXTRACT(SUBSTITUTE ($T955,I$1&amp;"" CE"",""""), I$1&amp;""[\w &amp;]*, (\d+\.\d+)""),"""")
"),"")</f>
        <v/>
      </c>
      <c r="J955" s="3" t="str">
        <f aca="false">IFERROR(__xludf.dummyfunction("if($T955&lt;&gt;"""",REGEXEXTRACT($T955, J$1&amp;""[\w &amp;]*, (\d+\.\d+)""),"""")
"),"")</f>
        <v/>
      </c>
      <c r="K955" s="3"/>
      <c r="L955" s="3" t="str">
        <f aca="false">IFERROR(__xludf.dummyfunction("if($T955&lt;&gt;"""",REGEXEXTRACT(SUBSTITUTE ($T955,L$1&amp;"" CE"",""""), L$1&amp;""[\w &amp;]*, (\d+\.\d+)""),"""")
"),"")</f>
        <v/>
      </c>
      <c r="M955" s="3" t="str">
        <f aca="false">IFERROR(__xludf.dummyfunction("if($T955&lt;&gt;"""",REGEXEXTRACT($T955, M$1&amp;""[\w &amp;]*, (\d+\.\d+)""),"""")
"),"")</f>
        <v/>
      </c>
      <c r="N955" s="3" t="str">
        <f aca="false">IFERROR(__xludf.dummyfunction("if($T955&lt;&gt;"""",REGEXEXTRACT(SUBSTITUTE ($T955,N$1&amp;"" CE"",""""), N$1&amp;""[\w &amp;]*, (\d+\.\d+)""),"""")
"),"")</f>
        <v/>
      </c>
      <c r="O955" s="3" t="str">
        <f aca="false">IFERROR(__xludf.dummyfunction("if($T955&lt;&gt;"""",REGEXEXTRACT($T955, O$1&amp;""[\w &amp;]*, (\d+\.\d+)""),"""")
"),"")</f>
        <v/>
      </c>
      <c r="P955" s="2"/>
      <c r="Q955" s="2"/>
      <c r="R955" s="2"/>
      <c r="S955" s="2"/>
      <c r="T955" s="5"/>
    </row>
    <row r="956" customFormat="false" ht="15.75" hidden="false" customHeight="false" outlineLevel="0" collapsed="false">
      <c r="A956" s="4"/>
      <c r="B956" s="2"/>
      <c r="C956" s="2"/>
      <c r="D956" s="2"/>
      <c r="E956" s="2"/>
      <c r="F956" s="3" t="str">
        <f aca="false">IFERROR(__xludf.dummyfunction("if($T956&lt;&gt;"""",REGEXEXTRACT(SUBSTITUTE ($T956,F$1&amp;"" CE"",""""), F$1&amp;""[\w &amp;]*, (\d+\.\d+)""),"""")
"),"")</f>
        <v/>
      </c>
      <c r="G956" s="3" t="str">
        <f aca="false">IFERROR(__xludf.dummyfunction("if($T956&lt;&gt;"""",REGEXEXTRACT($T956, G$1&amp;""[\w &amp;]*, (\d+\.\d+)""),"""")
"),"")</f>
        <v/>
      </c>
      <c r="H956" s="3"/>
      <c r="I956" s="3" t="str">
        <f aca="false">IFERROR(__xludf.dummyfunction("if($T956&lt;&gt;"""",REGEXEXTRACT(SUBSTITUTE ($T956,I$1&amp;"" CE"",""""), I$1&amp;""[\w &amp;]*, (\d+\.\d+)""),"""")
"),"")</f>
        <v/>
      </c>
      <c r="J956" s="3" t="str">
        <f aca="false">IFERROR(__xludf.dummyfunction("if($T956&lt;&gt;"""",REGEXEXTRACT($T956, J$1&amp;""[\w &amp;]*, (\d+\.\d+)""),"""")
"),"")</f>
        <v/>
      </c>
      <c r="K956" s="3"/>
      <c r="L956" s="3" t="str">
        <f aca="false">IFERROR(__xludf.dummyfunction("if($T956&lt;&gt;"""",REGEXEXTRACT(SUBSTITUTE ($T956,L$1&amp;"" CE"",""""), L$1&amp;""[\w &amp;]*, (\d+\.\d+)""),"""")
"),"")</f>
        <v/>
      </c>
      <c r="M956" s="3" t="str">
        <f aca="false">IFERROR(__xludf.dummyfunction("if($T956&lt;&gt;"""",REGEXEXTRACT($T956, M$1&amp;""[\w &amp;]*, (\d+\.\d+)""),"""")
"),"")</f>
        <v/>
      </c>
      <c r="N956" s="3" t="str">
        <f aca="false">IFERROR(__xludf.dummyfunction("if($T956&lt;&gt;"""",REGEXEXTRACT(SUBSTITUTE ($T956,N$1&amp;"" CE"",""""), N$1&amp;""[\w &amp;]*, (\d+\.\d+)""),"""")
"),"")</f>
        <v/>
      </c>
      <c r="O956" s="3" t="str">
        <f aca="false">IFERROR(__xludf.dummyfunction("if($T956&lt;&gt;"""",REGEXEXTRACT($T956, O$1&amp;""[\w &amp;]*, (\d+\.\d+)""),"""")
"),"")</f>
        <v/>
      </c>
      <c r="P956" s="2"/>
      <c r="Q956" s="2"/>
      <c r="R956" s="2"/>
      <c r="S956" s="2"/>
      <c r="T956" s="5"/>
    </row>
    <row r="957" customFormat="false" ht="15.75" hidden="false" customHeight="false" outlineLevel="0" collapsed="false">
      <c r="A957" s="4"/>
      <c r="B957" s="2"/>
      <c r="C957" s="2"/>
      <c r="D957" s="2"/>
      <c r="E957" s="2"/>
      <c r="F957" s="3" t="str">
        <f aca="false">IFERROR(__xludf.dummyfunction("if($T957&lt;&gt;"""",REGEXEXTRACT(SUBSTITUTE ($T957,F$1&amp;"" CE"",""""), F$1&amp;""[\w &amp;]*, (\d+\.\d+)""),"""")
"),"")</f>
        <v/>
      </c>
      <c r="G957" s="3" t="str">
        <f aca="false">IFERROR(__xludf.dummyfunction("if($T957&lt;&gt;"""",REGEXEXTRACT($T957, G$1&amp;""[\w &amp;]*, (\d+\.\d+)""),"""")
"),"")</f>
        <v/>
      </c>
      <c r="H957" s="3"/>
      <c r="I957" s="3" t="str">
        <f aca="false">IFERROR(__xludf.dummyfunction("if($T957&lt;&gt;"""",REGEXEXTRACT(SUBSTITUTE ($T957,I$1&amp;"" CE"",""""), I$1&amp;""[\w &amp;]*, (\d+\.\d+)""),"""")
"),"")</f>
        <v/>
      </c>
      <c r="J957" s="3" t="str">
        <f aca="false">IFERROR(__xludf.dummyfunction("if($T957&lt;&gt;"""",REGEXEXTRACT($T957, J$1&amp;""[\w &amp;]*, (\d+\.\d+)""),"""")
"),"")</f>
        <v/>
      </c>
      <c r="K957" s="3"/>
      <c r="L957" s="3" t="str">
        <f aca="false">IFERROR(__xludf.dummyfunction("if($T957&lt;&gt;"""",REGEXEXTRACT(SUBSTITUTE ($T957,L$1&amp;"" CE"",""""), L$1&amp;""[\w &amp;]*, (\d+\.\d+)""),"""")
"),"")</f>
        <v/>
      </c>
      <c r="M957" s="3" t="str">
        <f aca="false">IFERROR(__xludf.dummyfunction("if($T957&lt;&gt;"""",REGEXEXTRACT($T957, M$1&amp;""[\w &amp;]*, (\d+\.\d+)""),"""")
"),"")</f>
        <v/>
      </c>
      <c r="N957" s="3" t="str">
        <f aca="false">IFERROR(__xludf.dummyfunction("if($T957&lt;&gt;"""",REGEXEXTRACT(SUBSTITUTE ($T957,N$1&amp;"" CE"",""""), N$1&amp;""[\w &amp;]*, (\d+\.\d+)""),"""")
"),"")</f>
        <v/>
      </c>
      <c r="O957" s="3" t="str">
        <f aca="false">IFERROR(__xludf.dummyfunction("if($T957&lt;&gt;"""",REGEXEXTRACT($T957, O$1&amp;""[\w &amp;]*, (\d+\.\d+)""),"""")
"),"")</f>
        <v/>
      </c>
      <c r="P957" s="2"/>
      <c r="Q957" s="2"/>
      <c r="R957" s="2"/>
      <c r="S957" s="2"/>
      <c r="T957" s="5"/>
    </row>
    <row r="958" customFormat="false" ht="15.75" hidden="false" customHeight="false" outlineLevel="0" collapsed="false">
      <c r="A958" s="4"/>
      <c r="B958" s="2"/>
      <c r="C958" s="2"/>
      <c r="D958" s="2"/>
      <c r="E958" s="2"/>
      <c r="F958" s="3" t="str">
        <f aca="false">IFERROR(__xludf.dummyfunction("if($T958&lt;&gt;"""",REGEXEXTRACT(SUBSTITUTE ($T958,F$1&amp;"" CE"",""""), F$1&amp;""[\w &amp;]*, (\d+\.\d+)""),"""")
"),"")</f>
        <v/>
      </c>
      <c r="G958" s="3" t="str">
        <f aca="false">IFERROR(__xludf.dummyfunction("if($T958&lt;&gt;"""",REGEXEXTRACT($T958, G$1&amp;""[\w &amp;]*, (\d+\.\d+)""),"""")
"),"")</f>
        <v/>
      </c>
      <c r="H958" s="3"/>
      <c r="I958" s="3" t="str">
        <f aca="false">IFERROR(__xludf.dummyfunction("if($T958&lt;&gt;"""",REGEXEXTRACT(SUBSTITUTE ($T958,I$1&amp;"" CE"",""""), I$1&amp;""[\w &amp;]*, (\d+\.\d+)""),"""")
"),"")</f>
        <v/>
      </c>
      <c r="J958" s="3" t="str">
        <f aca="false">IFERROR(__xludf.dummyfunction("if($T958&lt;&gt;"""",REGEXEXTRACT($T958, J$1&amp;""[\w &amp;]*, (\d+\.\d+)""),"""")
"),"")</f>
        <v/>
      </c>
      <c r="K958" s="3"/>
      <c r="L958" s="3" t="str">
        <f aca="false">IFERROR(__xludf.dummyfunction("if($T958&lt;&gt;"""",REGEXEXTRACT(SUBSTITUTE ($T958,L$1&amp;"" CE"",""""), L$1&amp;""[\w &amp;]*, (\d+\.\d+)""),"""")
"),"")</f>
        <v/>
      </c>
      <c r="M958" s="3" t="str">
        <f aca="false">IFERROR(__xludf.dummyfunction("if($T958&lt;&gt;"""",REGEXEXTRACT($T958, M$1&amp;""[\w &amp;]*, (\d+\.\d+)""),"""")
"),"")</f>
        <v/>
      </c>
      <c r="N958" s="3" t="str">
        <f aca="false">IFERROR(__xludf.dummyfunction("if($T958&lt;&gt;"""",REGEXEXTRACT(SUBSTITUTE ($T958,N$1&amp;"" CE"",""""), N$1&amp;""[\w &amp;]*, (\d+\.\d+)""),"""")
"),"")</f>
        <v/>
      </c>
      <c r="O958" s="3" t="str">
        <f aca="false">IFERROR(__xludf.dummyfunction("if($T958&lt;&gt;"""",REGEXEXTRACT($T958, O$1&amp;""[\w &amp;]*, (\d+\.\d+)""),"""")
"),"")</f>
        <v/>
      </c>
      <c r="P958" s="2"/>
      <c r="Q958" s="2"/>
      <c r="R958" s="2"/>
      <c r="S958" s="2"/>
      <c r="T958" s="5"/>
    </row>
    <row r="959" customFormat="false" ht="15.75" hidden="false" customHeight="false" outlineLevel="0" collapsed="false">
      <c r="A959" s="4"/>
      <c r="B959" s="2"/>
      <c r="C959" s="2"/>
      <c r="D959" s="2"/>
      <c r="E959" s="2"/>
      <c r="F959" s="3" t="str">
        <f aca="false">IFERROR(__xludf.dummyfunction("if($T959&lt;&gt;"""",REGEXEXTRACT(SUBSTITUTE ($T959,F$1&amp;"" CE"",""""), F$1&amp;""[\w &amp;]*, (\d+\.\d+)""),"""")
"),"")</f>
        <v/>
      </c>
      <c r="G959" s="3" t="str">
        <f aca="false">IFERROR(__xludf.dummyfunction("if($T959&lt;&gt;"""",REGEXEXTRACT($T959, G$1&amp;""[\w &amp;]*, (\d+\.\d+)""),"""")
"),"")</f>
        <v/>
      </c>
      <c r="H959" s="3"/>
      <c r="I959" s="3" t="str">
        <f aca="false">IFERROR(__xludf.dummyfunction("if($T959&lt;&gt;"""",REGEXEXTRACT(SUBSTITUTE ($T959,I$1&amp;"" CE"",""""), I$1&amp;""[\w &amp;]*, (\d+\.\d+)""),"""")
"),"")</f>
        <v/>
      </c>
      <c r="J959" s="3" t="str">
        <f aca="false">IFERROR(__xludf.dummyfunction("if($T959&lt;&gt;"""",REGEXEXTRACT($T959, J$1&amp;""[\w &amp;]*, (\d+\.\d+)""),"""")
"),"")</f>
        <v/>
      </c>
      <c r="K959" s="3"/>
      <c r="L959" s="3" t="str">
        <f aca="false">IFERROR(__xludf.dummyfunction("if($T959&lt;&gt;"""",REGEXEXTRACT(SUBSTITUTE ($T959,L$1&amp;"" CE"",""""), L$1&amp;""[\w &amp;]*, (\d+\.\d+)""),"""")
"),"")</f>
        <v/>
      </c>
      <c r="M959" s="3" t="str">
        <f aca="false">IFERROR(__xludf.dummyfunction("if($T959&lt;&gt;"""",REGEXEXTRACT($T959, M$1&amp;""[\w &amp;]*, (\d+\.\d+)""),"""")
"),"")</f>
        <v/>
      </c>
      <c r="N959" s="3" t="str">
        <f aca="false">IFERROR(__xludf.dummyfunction("if($T959&lt;&gt;"""",REGEXEXTRACT(SUBSTITUTE ($T959,N$1&amp;"" CE"",""""), N$1&amp;""[\w &amp;]*, (\d+\.\d+)""),"""")
"),"")</f>
        <v/>
      </c>
      <c r="O959" s="3" t="str">
        <f aca="false">IFERROR(__xludf.dummyfunction("if($T959&lt;&gt;"""",REGEXEXTRACT($T959, O$1&amp;""[\w &amp;]*, (\d+\.\d+)""),"""")
"),"")</f>
        <v/>
      </c>
      <c r="P959" s="2"/>
      <c r="Q959" s="2"/>
      <c r="R959" s="2"/>
      <c r="S959" s="2"/>
      <c r="T959" s="5"/>
    </row>
    <row r="960" customFormat="false" ht="15.75" hidden="false" customHeight="false" outlineLevel="0" collapsed="false">
      <c r="A960" s="4"/>
      <c r="B960" s="2"/>
      <c r="C960" s="2"/>
      <c r="D960" s="2"/>
      <c r="E960" s="2"/>
      <c r="F960" s="3" t="str">
        <f aca="false">IFERROR(__xludf.dummyfunction("if($T960&lt;&gt;"""",REGEXEXTRACT(SUBSTITUTE ($T960,F$1&amp;"" CE"",""""), F$1&amp;""[\w &amp;]*, (\d+\.\d+)""),"""")
"),"")</f>
        <v/>
      </c>
      <c r="G960" s="3" t="str">
        <f aca="false">IFERROR(__xludf.dummyfunction("if($T960&lt;&gt;"""",REGEXEXTRACT($T960, G$1&amp;""[\w &amp;]*, (\d+\.\d+)""),"""")
"),"")</f>
        <v/>
      </c>
      <c r="H960" s="3"/>
      <c r="I960" s="3" t="str">
        <f aca="false">IFERROR(__xludf.dummyfunction("if($T960&lt;&gt;"""",REGEXEXTRACT(SUBSTITUTE ($T960,I$1&amp;"" CE"",""""), I$1&amp;""[\w &amp;]*, (\d+\.\d+)""),"""")
"),"")</f>
        <v/>
      </c>
      <c r="J960" s="3" t="str">
        <f aca="false">IFERROR(__xludf.dummyfunction("if($T960&lt;&gt;"""",REGEXEXTRACT($T960, J$1&amp;""[\w &amp;]*, (\d+\.\d+)""),"""")
"),"")</f>
        <v/>
      </c>
      <c r="K960" s="3"/>
      <c r="L960" s="3" t="str">
        <f aca="false">IFERROR(__xludf.dummyfunction("if($T960&lt;&gt;"""",REGEXEXTRACT(SUBSTITUTE ($T960,L$1&amp;"" CE"",""""), L$1&amp;""[\w &amp;]*, (\d+\.\d+)""),"""")
"),"")</f>
        <v/>
      </c>
      <c r="M960" s="3" t="str">
        <f aca="false">IFERROR(__xludf.dummyfunction("if($T960&lt;&gt;"""",REGEXEXTRACT($T960, M$1&amp;""[\w &amp;]*, (\d+\.\d+)""),"""")
"),"")</f>
        <v/>
      </c>
      <c r="N960" s="3" t="str">
        <f aca="false">IFERROR(__xludf.dummyfunction("if($T960&lt;&gt;"""",REGEXEXTRACT(SUBSTITUTE ($T960,N$1&amp;"" CE"",""""), N$1&amp;""[\w &amp;]*, (\d+\.\d+)""),"""")
"),"")</f>
        <v/>
      </c>
      <c r="O960" s="3" t="str">
        <f aca="false">IFERROR(__xludf.dummyfunction("if($T960&lt;&gt;"""",REGEXEXTRACT($T960, O$1&amp;""[\w &amp;]*, (\d+\.\d+)""),"""")
"),"")</f>
        <v/>
      </c>
      <c r="P960" s="2"/>
      <c r="Q960" s="2"/>
      <c r="R960" s="2"/>
      <c r="S960" s="2"/>
      <c r="T960" s="5"/>
    </row>
    <row r="961" customFormat="false" ht="15.75" hidden="false" customHeight="false" outlineLevel="0" collapsed="false">
      <c r="A961" s="4"/>
      <c r="B961" s="2"/>
      <c r="C961" s="2"/>
      <c r="D961" s="2"/>
      <c r="E961" s="2"/>
      <c r="F961" s="3" t="str">
        <f aca="false">IFERROR(__xludf.dummyfunction("if($T961&lt;&gt;"""",REGEXEXTRACT(SUBSTITUTE ($T961,F$1&amp;"" CE"",""""), F$1&amp;""[\w &amp;]*, (\d+\.\d+)""),"""")
"),"")</f>
        <v/>
      </c>
      <c r="G961" s="3" t="str">
        <f aca="false">IFERROR(__xludf.dummyfunction("if($T961&lt;&gt;"""",REGEXEXTRACT($T961, G$1&amp;""[\w &amp;]*, (\d+\.\d+)""),"""")
"),"")</f>
        <v/>
      </c>
      <c r="H961" s="3"/>
      <c r="I961" s="3" t="str">
        <f aca="false">IFERROR(__xludf.dummyfunction("if($T961&lt;&gt;"""",REGEXEXTRACT(SUBSTITUTE ($T961,I$1&amp;"" CE"",""""), I$1&amp;""[\w &amp;]*, (\d+\.\d+)""),"""")
"),"")</f>
        <v/>
      </c>
      <c r="J961" s="3" t="str">
        <f aca="false">IFERROR(__xludf.dummyfunction("if($T961&lt;&gt;"""",REGEXEXTRACT($T961, J$1&amp;""[\w &amp;]*, (\d+\.\d+)""),"""")
"),"")</f>
        <v/>
      </c>
      <c r="K961" s="3"/>
      <c r="L961" s="3" t="str">
        <f aca="false">IFERROR(__xludf.dummyfunction("if($T961&lt;&gt;"""",REGEXEXTRACT(SUBSTITUTE ($T961,L$1&amp;"" CE"",""""), L$1&amp;""[\w &amp;]*, (\d+\.\d+)""),"""")
"),"")</f>
        <v/>
      </c>
      <c r="M961" s="3" t="str">
        <f aca="false">IFERROR(__xludf.dummyfunction("if($T961&lt;&gt;"""",REGEXEXTRACT($T961, M$1&amp;""[\w &amp;]*, (\d+\.\d+)""),"""")
"),"")</f>
        <v/>
      </c>
      <c r="N961" s="3" t="str">
        <f aca="false">IFERROR(__xludf.dummyfunction("if($T961&lt;&gt;"""",REGEXEXTRACT(SUBSTITUTE ($T961,N$1&amp;"" CE"",""""), N$1&amp;""[\w &amp;]*, (\d+\.\d+)""),"""")
"),"")</f>
        <v/>
      </c>
      <c r="O961" s="3" t="str">
        <f aca="false">IFERROR(__xludf.dummyfunction("if($T961&lt;&gt;"""",REGEXEXTRACT($T961, O$1&amp;""[\w &amp;]*, (\d+\.\d+)""),"""")
"),"")</f>
        <v/>
      </c>
      <c r="P961" s="2"/>
      <c r="Q961" s="2"/>
      <c r="R961" s="2"/>
      <c r="S961" s="2"/>
      <c r="T961" s="5"/>
    </row>
    <row r="962" customFormat="false" ht="15.75" hidden="false" customHeight="false" outlineLevel="0" collapsed="false">
      <c r="A962" s="4"/>
      <c r="B962" s="2"/>
      <c r="C962" s="2"/>
      <c r="D962" s="2"/>
      <c r="E962" s="2"/>
      <c r="F962" s="3" t="str">
        <f aca="false">IFERROR(__xludf.dummyfunction("if($T962&lt;&gt;"""",REGEXEXTRACT(SUBSTITUTE ($T962,F$1&amp;"" CE"",""""), F$1&amp;""[\w &amp;]*, (\d+\.\d+)""),"""")
"),"")</f>
        <v/>
      </c>
      <c r="G962" s="3" t="str">
        <f aca="false">IFERROR(__xludf.dummyfunction("if($T962&lt;&gt;"""",REGEXEXTRACT($T962, G$1&amp;""[\w &amp;]*, (\d+\.\d+)""),"""")
"),"")</f>
        <v/>
      </c>
      <c r="H962" s="3"/>
      <c r="I962" s="3" t="str">
        <f aca="false">IFERROR(__xludf.dummyfunction("if($T962&lt;&gt;"""",REGEXEXTRACT(SUBSTITUTE ($T962,I$1&amp;"" CE"",""""), I$1&amp;""[\w &amp;]*, (\d+\.\d+)""),"""")
"),"")</f>
        <v/>
      </c>
      <c r="J962" s="3" t="str">
        <f aca="false">IFERROR(__xludf.dummyfunction("if($T962&lt;&gt;"""",REGEXEXTRACT($T962, J$1&amp;""[\w &amp;]*, (\d+\.\d+)""),"""")
"),"")</f>
        <v/>
      </c>
      <c r="K962" s="3"/>
      <c r="L962" s="3" t="str">
        <f aca="false">IFERROR(__xludf.dummyfunction("if($T962&lt;&gt;"""",REGEXEXTRACT(SUBSTITUTE ($T962,L$1&amp;"" CE"",""""), L$1&amp;""[\w &amp;]*, (\d+\.\d+)""),"""")
"),"")</f>
        <v/>
      </c>
      <c r="M962" s="3" t="str">
        <f aca="false">IFERROR(__xludf.dummyfunction("if($T962&lt;&gt;"""",REGEXEXTRACT($T962, M$1&amp;""[\w &amp;]*, (\d+\.\d+)""),"""")
"),"")</f>
        <v/>
      </c>
      <c r="N962" s="3" t="str">
        <f aca="false">IFERROR(__xludf.dummyfunction("if($T962&lt;&gt;"""",REGEXEXTRACT(SUBSTITUTE ($T962,N$1&amp;"" CE"",""""), N$1&amp;""[\w &amp;]*, (\d+\.\d+)""),"""")
"),"")</f>
        <v/>
      </c>
      <c r="O962" s="3" t="str">
        <f aca="false">IFERROR(__xludf.dummyfunction("if($T962&lt;&gt;"""",REGEXEXTRACT($T962, O$1&amp;""[\w &amp;]*, (\d+\.\d+)""),"""")
"),"")</f>
        <v/>
      </c>
      <c r="P962" s="2"/>
      <c r="Q962" s="2"/>
      <c r="R962" s="2"/>
      <c r="S962" s="2"/>
      <c r="T962" s="5"/>
    </row>
    <row r="963" customFormat="false" ht="15.75" hidden="false" customHeight="false" outlineLevel="0" collapsed="false">
      <c r="A963" s="4"/>
      <c r="B963" s="2"/>
      <c r="C963" s="2"/>
      <c r="D963" s="2"/>
      <c r="E963" s="2"/>
      <c r="F963" s="3" t="str">
        <f aca="false">IFERROR(__xludf.dummyfunction("if($T963&lt;&gt;"""",REGEXEXTRACT(SUBSTITUTE ($T963,F$1&amp;"" CE"",""""), F$1&amp;""[\w &amp;]*, (\d+\.\d+)""),"""")
"),"")</f>
        <v/>
      </c>
      <c r="G963" s="3" t="str">
        <f aca="false">IFERROR(__xludf.dummyfunction("if($T963&lt;&gt;"""",REGEXEXTRACT($T963, G$1&amp;""[\w &amp;]*, (\d+\.\d+)""),"""")
"),"")</f>
        <v/>
      </c>
      <c r="H963" s="3"/>
      <c r="I963" s="3" t="str">
        <f aca="false">IFERROR(__xludf.dummyfunction("if($T963&lt;&gt;"""",REGEXEXTRACT(SUBSTITUTE ($T963,I$1&amp;"" CE"",""""), I$1&amp;""[\w &amp;]*, (\d+\.\d+)""),"""")
"),"")</f>
        <v/>
      </c>
      <c r="J963" s="3" t="str">
        <f aca="false">IFERROR(__xludf.dummyfunction("if($T963&lt;&gt;"""",REGEXEXTRACT($T963, J$1&amp;""[\w &amp;]*, (\d+\.\d+)""),"""")
"),"")</f>
        <v/>
      </c>
      <c r="K963" s="3"/>
      <c r="L963" s="3" t="str">
        <f aca="false">IFERROR(__xludf.dummyfunction("if($T963&lt;&gt;"""",REGEXEXTRACT(SUBSTITUTE ($T963,L$1&amp;"" CE"",""""), L$1&amp;""[\w &amp;]*, (\d+\.\d+)""),"""")
"),"")</f>
        <v/>
      </c>
      <c r="M963" s="3" t="str">
        <f aca="false">IFERROR(__xludf.dummyfunction("if($T963&lt;&gt;"""",REGEXEXTRACT($T963, M$1&amp;""[\w &amp;]*, (\d+\.\d+)""),"""")
"),"")</f>
        <v/>
      </c>
      <c r="N963" s="3" t="str">
        <f aca="false">IFERROR(__xludf.dummyfunction("if($T963&lt;&gt;"""",REGEXEXTRACT(SUBSTITUTE ($T963,N$1&amp;"" CE"",""""), N$1&amp;""[\w &amp;]*, (\d+\.\d+)""),"""")
"),"")</f>
        <v/>
      </c>
      <c r="O963" s="3" t="str">
        <f aca="false">IFERROR(__xludf.dummyfunction("if($T963&lt;&gt;"""",REGEXEXTRACT($T963, O$1&amp;""[\w &amp;]*, (\d+\.\d+)""),"""")
"),"")</f>
        <v/>
      </c>
      <c r="P963" s="2"/>
      <c r="Q963" s="2"/>
      <c r="R963" s="2"/>
      <c r="S963" s="2"/>
      <c r="T963" s="5"/>
    </row>
    <row r="964" customFormat="false" ht="15.75" hidden="false" customHeight="false" outlineLevel="0" collapsed="false">
      <c r="A964" s="4"/>
      <c r="B964" s="2"/>
      <c r="C964" s="2"/>
      <c r="D964" s="2"/>
      <c r="E964" s="2"/>
      <c r="F964" s="3" t="str">
        <f aca="false">IFERROR(__xludf.dummyfunction("if($T964&lt;&gt;"""",REGEXEXTRACT(SUBSTITUTE ($T964,F$1&amp;"" CE"",""""), F$1&amp;""[\w &amp;]*, (\d+\.\d+)""),"""")
"),"")</f>
        <v/>
      </c>
      <c r="G964" s="3" t="str">
        <f aca="false">IFERROR(__xludf.dummyfunction("if($T964&lt;&gt;"""",REGEXEXTRACT($T964, G$1&amp;""[\w &amp;]*, (\d+\.\d+)""),"""")
"),"")</f>
        <v/>
      </c>
      <c r="H964" s="3"/>
      <c r="I964" s="3" t="str">
        <f aca="false">IFERROR(__xludf.dummyfunction("if($T964&lt;&gt;"""",REGEXEXTRACT(SUBSTITUTE ($T964,I$1&amp;"" CE"",""""), I$1&amp;""[\w &amp;]*, (\d+\.\d+)""),"""")
"),"")</f>
        <v/>
      </c>
      <c r="J964" s="3" t="str">
        <f aca="false">IFERROR(__xludf.dummyfunction("if($T964&lt;&gt;"""",REGEXEXTRACT($T964, J$1&amp;""[\w &amp;]*, (\d+\.\d+)""),"""")
"),"")</f>
        <v/>
      </c>
      <c r="K964" s="3"/>
      <c r="L964" s="3" t="str">
        <f aca="false">IFERROR(__xludf.dummyfunction("if($T964&lt;&gt;"""",REGEXEXTRACT(SUBSTITUTE ($T964,L$1&amp;"" CE"",""""), L$1&amp;""[\w &amp;]*, (\d+\.\d+)""),"""")
"),"")</f>
        <v/>
      </c>
      <c r="M964" s="3" t="str">
        <f aca="false">IFERROR(__xludf.dummyfunction("if($T964&lt;&gt;"""",REGEXEXTRACT($T964, M$1&amp;""[\w &amp;]*, (\d+\.\d+)""),"""")
"),"")</f>
        <v/>
      </c>
      <c r="N964" s="3" t="str">
        <f aca="false">IFERROR(__xludf.dummyfunction("if($T964&lt;&gt;"""",REGEXEXTRACT(SUBSTITUTE ($T964,N$1&amp;"" CE"",""""), N$1&amp;""[\w &amp;]*, (\d+\.\d+)""),"""")
"),"")</f>
        <v/>
      </c>
      <c r="O964" s="3" t="str">
        <f aca="false">IFERROR(__xludf.dummyfunction("if($T964&lt;&gt;"""",REGEXEXTRACT($T964, O$1&amp;""[\w &amp;]*, (\d+\.\d+)""),"""")
"),"")</f>
        <v/>
      </c>
      <c r="P964" s="2"/>
      <c r="Q964" s="2"/>
      <c r="R964" s="2"/>
      <c r="S964" s="2"/>
      <c r="T964" s="5"/>
    </row>
    <row r="965" customFormat="false" ht="15.75" hidden="false" customHeight="false" outlineLevel="0" collapsed="false">
      <c r="A965" s="4"/>
      <c r="B965" s="2"/>
      <c r="C965" s="2"/>
      <c r="D965" s="2"/>
      <c r="E965" s="2"/>
      <c r="F965" s="3" t="str">
        <f aca="false">IFERROR(__xludf.dummyfunction("if($T965&lt;&gt;"""",REGEXEXTRACT(SUBSTITUTE ($T965,F$1&amp;"" CE"",""""), F$1&amp;""[\w &amp;]*, (\d+\.\d+)""),"""")
"),"")</f>
        <v/>
      </c>
      <c r="G965" s="3" t="str">
        <f aca="false">IFERROR(__xludf.dummyfunction("if($T965&lt;&gt;"""",REGEXEXTRACT($T965, G$1&amp;""[\w &amp;]*, (\d+\.\d+)""),"""")
"),"")</f>
        <v/>
      </c>
      <c r="H965" s="3"/>
      <c r="I965" s="3" t="str">
        <f aca="false">IFERROR(__xludf.dummyfunction("if($T965&lt;&gt;"""",REGEXEXTRACT(SUBSTITUTE ($T965,I$1&amp;"" CE"",""""), I$1&amp;""[\w &amp;]*, (\d+\.\d+)""),"""")
"),"")</f>
        <v/>
      </c>
      <c r="J965" s="3" t="str">
        <f aca="false">IFERROR(__xludf.dummyfunction("if($T965&lt;&gt;"""",REGEXEXTRACT($T965, J$1&amp;""[\w &amp;]*, (\d+\.\d+)""),"""")
"),"")</f>
        <v/>
      </c>
      <c r="K965" s="3"/>
      <c r="L965" s="3" t="str">
        <f aca="false">IFERROR(__xludf.dummyfunction("if($T965&lt;&gt;"""",REGEXEXTRACT(SUBSTITUTE ($T965,L$1&amp;"" CE"",""""), L$1&amp;""[\w &amp;]*, (\d+\.\d+)""),"""")
"),"")</f>
        <v/>
      </c>
      <c r="M965" s="3" t="str">
        <f aca="false">IFERROR(__xludf.dummyfunction("if($T965&lt;&gt;"""",REGEXEXTRACT($T965, M$1&amp;""[\w &amp;]*, (\d+\.\d+)""),"""")
"),"")</f>
        <v/>
      </c>
      <c r="N965" s="3" t="str">
        <f aca="false">IFERROR(__xludf.dummyfunction("if($T965&lt;&gt;"""",REGEXEXTRACT(SUBSTITUTE ($T965,N$1&amp;"" CE"",""""), N$1&amp;""[\w &amp;]*, (\d+\.\d+)""),"""")
"),"")</f>
        <v/>
      </c>
      <c r="O965" s="3" t="str">
        <f aca="false">IFERROR(__xludf.dummyfunction("if($T965&lt;&gt;"""",REGEXEXTRACT($T965, O$1&amp;""[\w &amp;]*, (\d+\.\d+)""),"""")
"),"")</f>
        <v/>
      </c>
      <c r="P965" s="2"/>
      <c r="Q965" s="2"/>
      <c r="R965" s="2"/>
      <c r="S965" s="2"/>
      <c r="T965" s="5"/>
    </row>
    <row r="966" customFormat="false" ht="15.75" hidden="false" customHeight="false" outlineLevel="0" collapsed="false">
      <c r="A966" s="4"/>
      <c r="B966" s="2"/>
      <c r="C966" s="2"/>
      <c r="D966" s="2"/>
      <c r="E966" s="2"/>
      <c r="F966" s="3" t="str">
        <f aca="false">IFERROR(__xludf.dummyfunction("if($T966&lt;&gt;"""",REGEXEXTRACT(SUBSTITUTE ($T966,F$1&amp;"" CE"",""""), F$1&amp;""[\w &amp;]*, (\d+\.\d+)""),"""")
"),"")</f>
        <v/>
      </c>
      <c r="G966" s="3" t="str">
        <f aca="false">IFERROR(__xludf.dummyfunction("if($T966&lt;&gt;"""",REGEXEXTRACT($T966, G$1&amp;""[\w &amp;]*, (\d+\.\d+)""),"""")
"),"")</f>
        <v/>
      </c>
      <c r="H966" s="3"/>
      <c r="I966" s="3" t="str">
        <f aca="false">IFERROR(__xludf.dummyfunction("if($T966&lt;&gt;"""",REGEXEXTRACT(SUBSTITUTE ($T966,I$1&amp;"" CE"",""""), I$1&amp;""[\w &amp;]*, (\d+\.\d+)""),"""")
"),"")</f>
        <v/>
      </c>
      <c r="J966" s="3" t="str">
        <f aca="false">IFERROR(__xludf.dummyfunction("if($T966&lt;&gt;"""",REGEXEXTRACT($T966, J$1&amp;""[\w &amp;]*, (\d+\.\d+)""),"""")
"),"")</f>
        <v/>
      </c>
      <c r="K966" s="3"/>
      <c r="L966" s="3" t="str">
        <f aca="false">IFERROR(__xludf.dummyfunction("if($T966&lt;&gt;"""",REGEXEXTRACT(SUBSTITUTE ($T966,L$1&amp;"" CE"",""""), L$1&amp;""[\w &amp;]*, (\d+\.\d+)""),"""")
"),"")</f>
        <v/>
      </c>
      <c r="M966" s="3" t="str">
        <f aca="false">IFERROR(__xludf.dummyfunction("if($T966&lt;&gt;"""",REGEXEXTRACT($T966, M$1&amp;""[\w &amp;]*, (\d+\.\d+)""),"""")
"),"")</f>
        <v/>
      </c>
      <c r="N966" s="3" t="str">
        <f aca="false">IFERROR(__xludf.dummyfunction("if($T966&lt;&gt;"""",REGEXEXTRACT(SUBSTITUTE ($T966,N$1&amp;"" CE"",""""), N$1&amp;""[\w &amp;]*, (\d+\.\d+)""),"""")
"),"")</f>
        <v/>
      </c>
      <c r="O966" s="3" t="str">
        <f aca="false">IFERROR(__xludf.dummyfunction("if($T966&lt;&gt;"""",REGEXEXTRACT($T966, O$1&amp;""[\w &amp;]*, (\d+\.\d+)""),"""")
"),"")</f>
        <v/>
      </c>
      <c r="P966" s="2"/>
      <c r="Q966" s="2"/>
      <c r="R966" s="2"/>
      <c r="S966" s="2"/>
      <c r="T966" s="5"/>
    </row>
    <row r="967" customFormat="false" ht="15.75" hidden="false" customHeight="false" outlineLevel="0" collapsed="false">
      <c r="A967" s="4"/>
      <c r="B967" s="2"/>
      <c r="C967" s="2"/>
      <c r="D967" s="2"/>
      <c r="E967" s="2"/>
      <c r="F967" s="3" t="str">
        <f aca="false">IFERROR(__xludf.dummyfunction("if($T967&lt;&gt;"""",REGEXEXTRACT(SUBSTITUTE ($T967,F$1&amp;"" CE"",""""), F$1&amp;""[\w &amp;]*, (\d+\.\d+)""),"""")
"),"")</f>
        <v/>
      </c>
      <c r="G967" s="3" t="str">
        <f aca="false">IFERROR(__xludf.dummyfunction("if($T967&lt;&gt;"""",REGEXEXTRACT($T967, G$1&amp;""[\w &amp;]*, (\d+\.\d+)""),"""")
"),"")</f>
        <v/>
      </c>
      <c r="H967" s="3"/>
      <c r="I967" s="3" t="str">
        <f aca="false">IFERROR(__xludf.dummyfunction("if($T967&lt;&gt;"""",REGEXEXTRACT(SUBSTITUTE ($T967,I$1&amp;"" CE"",""""), I$1&amp;""[\w &amp;]*, (\d+\.\d+)""),"""")
"),"")</f>
        <v/>
      </c>
      <c r="J967" s="3" t="str">
        <f aca="false">IFERROR(__xludf.dummyfunction("if($T967&lt;&gt;"""",REGEXEXTRACT($T967, J$1&amp;""[\w &amp;]*, (\d+\.\d+)""),"""")
"),"")</f>
        <v/>
      </c>
      <c r="K967" s="3"/>
      <c r="L967" s="3" t="str">
        <f aca="false">IFERROR(__xludf.dummyfunction("if($T967&lt;&gt;"""",REGEXEXTRACT(SUBSTITUTE ($T967,L$1&amp;"" CE"",""""), L$1&amp;""[\w &amp;]*, (\d+\.\d+)""),"""")
"),"")</f>
        <v/>
      </c>
      <c r="M967" s="3" t="str">
        <f aca="false">IFERROR(__xludf.dummyfunction("if($T967&lt;&gt;"""",REGEXEXTRACT($T967, M$1&amp;""[\w &amp;]*, (\d+\.\d+)""),"""")
"),"")</f>
        <v/>
      </c>
      <c r="N967" s="3" t="str">
        <f aca="false">IFERROR(__xludf.dummyfunction("if($T967&lt;&gt;"""",REGEXEXTRACT(SUBSTITUTE ($T967,N$1&amp;"" CE"",""""), N$1&amp;""[\w &amp;]*, (\d+\.\d+)""),"""")
"),"")</f>
        <v/>
      </c>
      <c r="O967" s="3" t="str">
        <f aca="false">IFERROR(__xludf.dummyfunction("if($T967&lt;&gt;"""",REGEXEXTRACT($T967, O$1&amp;""[\w &amp;]*, (\d+\.\d+)""),"""")
"),"")</f>
        <v/>
      </c>
      <c r="P967" s="2"/>
      <c r="Q967" s="2"/>
      <c r="R967" s="2"/>
      <c r="S967" s="2"/>
      <c r="T967" s="5"/>
    </row>
    <row r="968" customFormat="false" ht="15.75" hidden="false" customHeight="false" outlineLevel="0" collapsed="false">
      <c r="A968" s="4"/>
      <c r="B968" s="2"/>
      <c r="C968" s="2"/>
      <c r="D968" s="2"/>
      <c r="E968" s="2"/>
      <c r="F968" s="3" t="str">
        <f aca="false">IFERROR(__xludf.dummyfunction("if($T968&lt;&gt;"""",REGEXEXTRACT(SUBSTITUTE ($T968,F$1&amp;"" CE"",""""), F$1&amp;""[\w &amp;]*, (\d+\.\d+)""),"""")
"),"")</f>
        <v/>
      </c>
      <c r="G968" s="3" t="str">
        <f aca="false">IFERROR(__xludf.dummyfunction("if($T968&lt;&gt;"""",REGEXEXTRACT($T968, G$1&amp;""[\w &amp;]*, (\d+\.\d+)""),"""")
"),"")</f>
        <v/>
      </c>
      <c r="H968" s="3"/>
      <c r="I968" s="3" t="str">
        <f aca="false">IFERROR(__xludf.dummyfunction("if($T968&lt;&gt;"""",REGEXEXTRACT(SUBSTITUTE ($T968,I$1&amp;"" CE"",""""), I$1&amp;""[\w &amp;]*, (\d+\.\d+)""),"""")
"),"")</f>
        <v/>
      </c>
      <c r="J968" s="3" t="str">
        <f aca="false">IFERROR(__xludf.dummyfunction("if($T968&lt;&gt;"""",REGEXEXTRACT($T968, J$1&amp;""[\w &amp;]*, (\d+\.\d+)""),"""")
"),"")</f>
        <v/>
      </c>
      <c r="K968" s="3"/>
      <c r="L968" s="3" t="str">
        <f aca="false">IFERROR(__xludf.dummyfunction("if($T968&lt;&gt;"""",REGEXEXTRACT(SUBSTITUTE ($T968,L$1&amp;"" CE"",""""), L$1&amp;""[\w &amp;]*, (\d+\.\d+)""),"""")
"),"")</f>
        <v/>
      </c>
      <c r="M968" s="3" t="str">
        <f aca="false">IFERROR(__xludf.dummyfunction("if($T968&lt;&gt;"""",REGEXEXTRACT($T968, M$1&amp;""[\w &amp;]*, (\d+\.\d+)""),"""")
"),"")</f>
        <v/>
      </c>
      <c r="N968" s="3" t="str">
        <f aca="false">IFERROR(__xludf.dummyfunction("if($T968&lt;&gt;"""",REGEXEXTRACT(SUBSTITUTE ($T968,N$1&amp;"" CE"",""""), N$1&amp;""[\w &amp;]*, (\d+\.\d+)""),"""")
"),"")</f>
        <v/>
      </c>
      <c r="O968" s="3" t="str">
        <f aca="false">IFERROR(__xludf.dummyfunction("if($T968&lt;&gt;"""",REGEXEXTRACT($T968, O$1&amp;""[\w &amp;]*, (\d+\.\d+)""),"""")
"),"")</f>
        <v/>
      </c>
      <c r="P968" s="2"/>
      <c r="Q968" s="2"/>
      <c r="R968" s="2"/>
      <c r="S968" s="2"/>
      <c r="T968" s="5"/>
    </row>
    <row r="969" customFormat="false" ht="15.75" hidden="false" customHeight="false" outlineLevel="0" collapsed="false">
      <c r="A969" s="4"/>
      <c r="B969" s="2"/>
      <c r="C969" s="2"/>
      <c r="D969" s="2"/>
      <c r="E969" s="2"/>
      <c r="F969" s="3" t="str">
        <f aca="false">IFERROR(__xludf.dummyfunction("if($T969&lt;&gt;"""",REGEXEXTRACT(SUBSTITUTE ($T969,F$1&amp;"" CE"",""""), F$1&amp;""[\w &amp;]*, (\d+\.\d+)""),"""")
"),"")</f>
        <v/>
      </c>
      <c r="G969" s="3" t="str">
        <f aca="false">IFERROR(__xludf.dummyfunction("if($T969&lt;&gt;"""",REGEXEXTRACT($T969, G$1&amp;""[\w &amp;]*, (\d+\.\d+)""),"""")
"),"")</f>
        <v/>
      </c>
      <c r="H969" s="3"/>
      <c r="I969" s="3" t="str">
        <f aca="false">IFERROR(__xludf.dummyfunction("if($T969&lt;&gt;"""",REGEXEXTRACT(SUBSTITUTE ($T969,I$1&amp;"" CE"",""""), I$1&amp;""[\w &amp;]*, (\d+\.\d+)""),"""")
"),"")</f>
        <v/>
      </c>
      <c r="J969" s="3" t="str">
        <f aca="false">IFERROR(__xludf.dummyfunction("if($T969&lt;&gt;"""",REGEXEXTRACT($T969, J$1&amp;""[\w &amp;]*, (\d+\.\d+)""),"""")
"),"")</f>
        <v/>
      </c>
      <c r="K969" s="3"/>
      <c r="L969" s="3" t="str">
        <f aca="false">IFERROR(__xludf.dummyfunction("if($T969&lt;&gt;"""",REGEXEXTRACT(SUBSTITUTE ($T969,L$1&amp;"" CE"",""""), L$1&amp;""[\w &amp;]*, (\d+\.\d+)""),"""")
"),"")</f>
        <v/>
      </c>
      <c r="M969" s="3" t="str">
        <f aca="false">IFERROR(__xludf.dummyfunction("if($T969&lt;&gt;"""",REGEXEXTRACT($T969, M$1&amp;""[\w &amp;]*, (\d+\.\d+)""),"""")
"),"")</f>
        <v/>
      </c>
      <c r="N969" s="3" t="str">
        <f aca="false">IFERROR(__xludf.dummyfunction("if($T969&lt;&gt;"""",REGEXEXTRACT(SUBSTITUTE ($T969,N$1&amp;"" CE"",""""), N$1&amp;""[\w &amp;]*, (\d+\.\d+)""),"""")
"),"")</f>
        <v/>
      </c>
      <c r="O969" s="3" t="str">
        <f aca="false">IFERROR(__xludf.dummyfunction("if($T969&lt;&gt;"""",REGEXEXTRACT($T969, O$1&amp;""[\w &amp;]*, (\d+\.\d+)""),"""")
"),"")</f>
        <v/>
      </c>
      <c r="P969" s="2"/>
      <c r="Q969" s="2"/>
      <c r="R969" s="2"/>
      <c r="S969" s="2"/>
      <c r="T969" s="5"/>
    </row>
    <row r="970" customFormat="false" ht="15.75" hidden="false" customHeight="false" outlineLevel="0" collapsed="false">
      <c r="A970" s="4"/>
      <c r="B970" s="2"/>
      <c r="C970" s="2"/>
      <c r="D970" s="2"/>
      <c r="E970" s="2"/>
      <c r="F970" s="3" t="str">
        <f aca="false">IFERROR(__xludf.dummyfunction("if($T970&lt;&gt;"""",REGEXEXTRACT(SUBSTITUTE ($T970,F$1&amp;"" CE"",""""), F$1&amp;""[\w &amp;]*, (\d+\.\d+)""),"""")
"),"")</f>
        <v/>
      </c>
      <c r="G970" s="3" t="str">
        <f aca="false">IFERROR(__xludf.dummyfunction("if($T970&lt;&gt;"""",REGEXEXTRACT($T970, G$1&amp;""[\w &amp;]*, (\d+\.\d+)""),"""")
"),"")</f>
        <v/>
      </c>
      <c r="H970" s="3"/>
      <c r="I970" s="3" t="str">
        <f aca="false">IFERROR(__xludf.dummyfunction("if($T970&lt;&gt;"""",REGEXEXTRACT(SUBSTITUTE ($T970,I$1&amp;"" CE"",""""), I$1&amp;""[\w &amp;]*, (\d+\.\d+)""),"""")
"),"")</f>
        <v/>
      </c>
      <c r="J970" s="3" t="str">
        <f aca="false">IFERROR(__xludf.dummyfunction("if($T970&lt;&gt;"""",REGEXEXTRACT($T970, J$1&amp;""[\w &amp;]*, (\d+\.\d+)""),"""")
"),"")</f>
        <v/>
      </c>
      <c r="K970" s="3"/>
      <c r="L970" s="3" t="str">
        <f aca="false">IFERROR(__xludf.dummyfunction("if($T970&lt;&gt;"""",REGEXEXTRACT(SUBSTITUTE ($T970,L$1&amp;"" CE"",""""), L$1&amp;""[\w &amp;]*, (\d+\.\d+)""),"""")
"),"")</f>
        <v/>
      </c>
      <c r="M970" s="3" t="str">
        <f aca="false">IFERROR(__xludf.dummyfunction("if($T970&lt;&gt;"""",REGEXEXTRACT($T970, M$1&amp;""[\w &amp;]*, (\d+\.\d+)""),"""")
"),"")</f>
        <v/>
      </c>
      <c r="N970" s="3" t="str">
        <f aca="false">IFERROR(__xludf.dummyfunction("if($T970&lt;&gt;"""",REGEXEXTRACT(SUBSTITUTE ($T970,N$1&amp;"" CE"",""""), N$1&amp;""[\w &amp;]*, (\d+\.\d+)""),"""")
"),"")</f>
        <v/>
      </c>
      <c r="O970" s="3" t="str">
        <f aca="false">IFERROR(__xludf.dummyfunction("if($T970&lt;&gt;"""",REGEXEXTRACT($T970, O$1&amp;""[\w &amp;]*, (\d+\.\d+)""),"""")
"),"")</f>
        <v/>
      </c>
      <c r="P970" s="2"/>
      <c r="Q970" s="2"/>
      <c r="R970" s="2"/>
      <c r="S970" s="2"/>
      <c r="T970" s="5"/>
    </row>
    <row r="971" customFormat="false" ht="15.75" hidden="false" customHeight="false" outlineLevel="0" collapsed="false">
      <c r="A971" s="4"/>
      <c r="B971" s="2"/>
      <c r="C971" s="2"/>
      <c r="D971" s="2"/>
      <c r="E971" s="2"/>
      <c r="F971" s="3" t="str">
        <f aca="false">IFERROR(__xludf.dummyfunction("if($T971&lt;&gt;"""",REGEXEXTRACT(SUBSTITUTE ($T971,F$1&amp;"" CE"",""""), F$1&amp;""[\w &amp;]*, (\d+\.\d+)""),"""")
"),"")</f>
        <v/>
      </c>
      <c r="G971" s="3" t="str">
        <f aca="false">IFERROR(__xludf.dummyfunction("if($T971&lt;&gt;"""",REGEXEXTRACT($T971, G$1&amp;""[\w &amp;]*, (\d+\.\d+)""),"""")
"),"")</f>
        <v/>
      </c>
      <c r="H971" s="3"/>
      <c r="I971" s="3" t="str">
        <f aca="false">IFERROR(__xludf.dummyfunction("if($T971&lt;&gt;"""",REGEXEXTRACT(SUBSTITUTE ($T971,I$1&amp;"" CE"",""""), I$1&amp;""[\w &amp;]*, (\d+\.\d+)""),"""")
"),"")</f>
        <v/>
      </c>
      <c r="J971" s="3" t="str">
        <f aca="false">IFERROR(__xludf.dummyfunction("if($T971&lt;&gt;"""",REGEXEXTRACT($T971, J$1&amp;""[\w &amp;]*, (\d+\.\d+)""),"""")
"),"")</f>
        <v/>
      </c>
      <c r="K971" s="3"/>
      <c r="L971" s="3" t="str">
        <f aca="false">IFERROR(__xludf.dummyfunction("if($T971&lt;&gt;"""",REGEXEXTRACT(SUBSTITUTE ($T971,L$1&amp;"" CE"",""""), L$1&amp;""[\w &amp;]*, (\d+\.\d+)""),"""")
"),"")</f>
        <v/>
      </c>
      <c r="M971" s="3" t="str">
        <f aca="false">IFERROR(__xludf.dummyfunction("if($T971&lt;&gt;"""",REGEXEXTRACT($T971, M$1&amp;""[\w &amp;]*, (\d+\.\d+)""),"""")
"),"")</f>
        <v/>
      </c>
      <c r="N971" s="3" t="str">
        <f aca="false">IFERROR(__xludf.dummyfunction("if($T971&lt;&gt;"""",REGEXEXTRACT(SUBSTITUTE ($T971,N$1&amp;"" CE"",""""), N$1&amp;""[\w &amp;]*, (\d+\.\d+)""),"""")
"),"")</f>
        <v/>
      </c>
      <c r="O971" s="3" t="str">
        <f aca="false">IFERROR(__xludf.dummyfunction("if($T971&lt;&gt;"""",REGEXEXTRACT($T971, O$1&amp;""[\w &amp;]*, (\d+\.\d+)""),"""")
"),"")</f>
        <v/>
      </c>
      <c r="P971" s="2"/>
      <c r="Q971" s="2"/>
      <c r="R971" s="2"/>
      <c r="S971" s="2"/>
      <c r="T971" s="5"/>
    </row>
    <row r="972" customFormat="false" ht="15.75" hidden="false" customHeight="false" outlineLevel="0" collapsed="false">
      <c r="A972" s="4"/>
      <c r="B972" s="2"/>
      <c r="C972" s="2"/>
      <c r="D972" s="2"/>
      <c r="E972" s="2"/>
      <c r="F972" s="3" t="str">
        <f aca="false">IFERROR(__xludf.dummyfunction("if($T972&lt;&gt;"""",REGEXEXTRACT(SUBSTITUTE ($T972,F$1&amp;"" CE"",""""), F$1&amp;""[\w &amp;]*, (\d+\.\d+)""),"""")
"),"")</f>
        <v/>
      </c>
      <c r="G972" s="3" t="str">
        <f aca="false">IFERROR(__xludf.dummyfunction("if($T972&lt;&gt;"""",REGEXEXTRACT($T972, G$1&amp;""[\w &amp;]*, (\d+\.\d+)""),"""")
"),"")</f>
        <v/>
      </c>
      <c r="H972" s="3"/>
      <c r="I972" s="3" t="str">
        <f aca="false">IFERROR(__xludf.dummyfunction("if($T972&lt;&gt;"""",REGEXEXTRACT(SUBSTITUTE ($T972,I$1&amp;"" CE"",""""), I$1&amp;""[\w &amp;]*, (\d+\.\d+)""),"""")
"),"")</f>
        <v/>
      </c>
      <c r="J972" s="3" t="str">
        <f aca="false">IFERROR(__xludf.dummyfunction("if($T972&lt;&gt;"""",REGEXEXTRACT($T972, J$1&amp;""[\w &amp;]*, (\d+\.\d+)""),"""")
"),"")</f>
        <v/>
      </c>
      <c r="K972" s="3"/>
      <c r="L972" s="3" t="str">
        <f aca="false">IFERROR(__xludf.dummyfunction("if($T972&lt;&gt;"""",REGEXEXTRACT(SUBSTITUTE ($T972,L$1&amp;"" CE"",""""), L$1&amp;""[\w &amp;]*, (\d+\.\d+)""),"""")
"),"")</f>
        <v/>
      </c>
      <c r="M972" s="3" t="str">
        <f aca="false">IFERROR(__xludf.dummyfunction("if($T972&lt;&gt;"""",REGEXEXTRACT($T972, M$1&amp;""[\w &amp;]*, (\d+\.\d+)""),"""")
"),"")</f>
        <v/>
      </c>
      <c r="N972" s="3" t="str">
        <f aca="false">IFERROR(__xludf.dummyfunction("if($T972&lt;&gt;"""",REGEXEXTRACT(SUBSTITUTE ($T972,N$1&amp;"" CE"",""""), N$1&amp;""[\w &amp;]*, (\d+\.\d+)""),"""")
"),"")</f>
        <v/>
      </c>
      <c r="O972" s="3" t="str">
        <f aca="false">IFERROR(__xludf.dummyfunction("if($T972&lt;&gt;"""",REGEXEXTRACT($T972, O$1&amp;""[\w &amp;]*, (\d+\.\d+)""),"""")
"),"")</f>
        <v/>
      </c>
      <c r="P972" s="2"/>
      <c r="Q972" s="2"/>
      <c r="R972" s="2"/>
      <c r="S972" s="2"/>
      <c r="T972" s="5"/>
    </row>
    <row r="973" customFormat="false" ht="15.75" hidden="false" customHeight="false" outlineLevel="0" collapsed="false">
      <c r="A973" s="4"/>
      <c r="B973" s="2"/>
      <c r="C973" s="2"/>
      <c r="D973" s="2"/>
      <c r="E973" s="2"/>
      <c r="F973" s="3" t="str">
        <f aca="false">IFERROR(__xludf.dummyfunction("if($T973&lt;&gt;"""",REGEXEXTRACT(SUBSTITUTE ($T973,F$1&amp;"" CE"",""""), F$1&amp;""[\w &amp;]*, (\d+\.\d+)""),"""")
"),"")</f>
        <v/>
      </c>
      <c r="G973" s="3" t="str">
        <f aca="false">IFERROR(__xludf.dummyfunction("if($T973&lt;&gt;"""",REGEXEXTRACT($T973, G$1&amp;""[\w &amp;]*, (\d+\.\d+)""),"""")
"),"")</f>
        <v/>
      </c>
      <c r="H973" s="3"/>
      <c r="I973" s="3" t="str">
        <f aca="false">IFERROR(__xludf.dummyfunction("if($T973&lt;&gt;"""",REGEXEXTRACT(SUBSTITUTE ($T973,I$1&amp;"" CE"",""""), I$1&amp;""[\w &amp;]*, (\d+\.\d+)""),"""")
"),"")</f>
        <v/>
      </c>
      <c r="J973" s="3" t="str">
        <f aca="false">IFERROR(__xludf.dummyfunction("if($T973&lt;&gt;"""",REGEXEXTRACT($T973, J$1&amp;""[\w &amp;]*, (\d+\.\d+)""),"""")
"),"")</f>
        <v/>
      </c>
      <c r="K973" s="3"/>
      <c r="L973" s="3" t="str">
        <f aca="false">IFERROR(__xludf.dummyfunction("if($T973&lt;&gt;"""",REGEXEXTRACT(SUBSTITUTE ($T973,L$1&amp;"" CE"",""""), L$1&amp;""[\w &amp;]*, (\d+\.\d+)""),"""")
"),"")</f>
        <v/>
      </c>
      <c r="M973" s="3" t="str">
        <f aca="false">IFERROR(__xludf.dummyfunction("if($T973&lt;&gt;"""",REGEXEXTRACT($T973, M$1&amp;""[\w &amp;]*, (\d+\.\d+)""),"""")
"),"")</f>
        <v/>
      </c>
      <c r="N973" s="3" t="str">
        <f aca="false">IFERROR(__xludf.dummyfunction("if($T973&lt;&gt;"""",REGEXEXTRACT(SUBSTITUTE ($T973,N$1&amp;"" CE"",""""), N$1&amp;""[\w &amp;]*, (\d+\.\d+)""),"""")
"),"")</f>
        <v/>
      </c>
      <c r="O973" s="3" t="str">
        <f aca="false">IFERROR(__xludf.dummyfunction("if($T973&lt;&gt;"""",REGEXEXTRACT($T973, O$1&amp;""[\w &amp;]*, (\d+\.\d+)""),"""")
"),"")</f>
        <v/>
      </c>
      <c r="P973" s="2"/>
      <c r="Q973" s="2"/>
      <c r="R973" s="2"/>
      <c r="S973" s="2"/>
      <c r="T973" s="5"/>
    </row>
    <row r="974" customFormat="false" ht="15.75" hidden="false" customHeight="false" outlineLevel="0" collapsed="false">
      <c r="A974" s="4"/>
      <c r="B974" s="2"/>
      <c r="C974" s="2"/>
      <c r="D974" s="2"/>
      <c r="E974" s="2"/>
      <c r="F974" s="3" t="str">
        <f aca="false">IFERROR(__xludf.dummyfunction("if($T974&lt;&gt;"""",REGEXEXTRACT(SUBSTITUTE ($T974,F$1&amp;"" CE"",""""), F$1&amp;""[\w &amp;]*, (\d+\.\d+)""),"""")
"),"")</f>
        <v/>
      </c>
      <c r="G974" s="3" t="str">
        <f aca="false">IFERROR(__xludf.dummyfunction("if($T974&lt;&gt;"""",REGEXEXTRACT($T974, G$1&amp;""[\w &amp;]*, (\d+\.\d+)""),"""")
"),"")</f>
        <v/>
      </c>
      <c r="H974" s="3"/>
      <c r="I974" s="3" t="str">
        <f aca="false">IFERROR(__xludf.dummyfunction("if($T974&lt;&gt;"""",REGEXEXTRACT(SUBSTITUTE ($T974,I$1&amp;"" CE"",""""), I$1&amp;""[\w &amp;]*, (\d+\.\d+)""),"""")
"),"")</f>
        <v/>
      </c>
      <c r="J974" s="3" t="str">
        <f aca="false">IFERROR(__xludf.dummyfunction("if($T974&lt;&gt;"""",REGEXEXTRACT($T974, J$1&amp;""[\w &amp;]*, (\d+\.\d+)""),"""")
"),"")</f>
        <v/>
      </c>
      <c r="K974" s="3"/>
      <c r="L974" s="3" t="str">
        <f aca="false">IFERROR(__xludf.dummyfunction("if($T974&lt;&gt;"""",REGEXEXTRACT(SUBSTITUTE ($T974,L$1&amp;"" CE"",""""), L$1&amp;""[\w &amp;]*, (\d+\.\d+)""),"""")
"),"")</f>
        <v/>
      </c>
      <c r="M974" s="3" t="str">
        <f aca="false">IFERROR(__xludf.dummyfunction("if($T974&lt;&gt;"""",REGEXEXTRACT($T974, M$1&amp;""[\w &amp;]*, (\d+\.\d+)""),"""")
"),"")</f>
        <v/>
      </c>
      <c r="N974" s="3" t="str">
        <f aca="false">IFERROR(__xludf.dummyfunction("if($T974&lt;&gt;"""",REGEXEXTRACT(SUBSTITUTE ($T974,N$1&amp;"" CE"",""""), N$1&amp;""[\w &amp;]*, (\d+\.\d+)""),"""")
"),"")</f>
        <v/>
      </c>
      <c r="O974" s="3" t="str">
        <f aca="false">IFERROR(__xludf.dummyfunction("if($T974&lt;&gt;"""",REGEXEXTRACT($T974, O$1&amp;""[\w &amp;]*, (\d+\.\d+)""),"""")
"),"")</f>
        <v/>
      </c>
      <c r="P974" s="2"/>
      <c r="Q974" s="2"/>
      <c r="R974" s="2"/>
      <c r="S974" s="2"/>
      <c r="T974" s="5"/>
    </row>
    <row r="975" customFormat="false" ht="15.75" hidden="false" customHeight="false" outlineLevel="0" collapsed="false">
      <c r="A975" s="4"/>
      <c r="B975" s="2"/>
      <c r="C975" s="2"/>
      <c r="D975" s="2"/>
      <c r="E975" s="2"/>
      <c r="F975" s="3" t="str">
        <f aca="false">IFERROR(__xludf.dummyfunction("if($T975&lt;&gt;"""",REGEXEXTRACT(SUBSTITUTE ($T975,F$1&amp;"" CE"",""""), F$1&amp;""[\w &amp;]*, (\d+\.\d+)""),"""")
"),"")</f>
        <v/>
      </c>
      <c r="G975" s="3" t="str">
        <f aca="false">IFERROR(__xludf.dummyfunction("if($T975&lt;&gt;"""",REGEXEXTRACT($T975, G$1&amp;""[\w &amp;]*, (\d+\.\d+)""),"""")
"),"")</f>
        <v/>
      </c>
      <c r="H975" s="3"/>
      <c r="I975" s="3" t="str">
        <f aca="false">IFERROR(__xludf.dummyfunction("if($T975&lt;&gt;"""",REGEXEXTRACT(SUBSTITUTE ($T975,I$1&amp;"" CE"",""""), I$1&amp;""[\w &amp;]*, (\d+\.\d+)""),"""")
"),"")</f>
        <v/>
      </c>
      <c r="J975" s="3" t="str">
        <f aca="false">IFERROR(__xludf.dummyfunction("if($T975&lt;&gt;"""",REGEXEXTRACT($T975, J$1&amp;""[\w &amp;]*, (\d+\.\d+)""),"""")
"),"")</f>
        <v/>
      </c>
      <c r="K975" s="3"/>
      <c r="L975" s="3" t="str">
        <f aca="false">IFERROR(__xludf.dummyfunction("if($T975&lt;&gt;"""",REGEXEXTRACT(SUBSTITUTE ($T975,L$1&amp;"" CE"",""""), L$1&amp;""[\w &amp;]*, (\d+\.\d+)""),"""")
"),"")</f>
        <v/>
      </c>
      <c r="M975" s="3" t="str">
        <f aca="false">IFERROR(__xludf.dummyfunction("if($T975&lt;&gt;"""",REGEXEXTRACT($T975, M$1&amp;""[\w &amp;]*, (\d+\.\d+)""),"""")
"),"")</f>
        <v/>
      </c>
      <c r="N975" s="3" t="str">
        <f aca="false">IFERROR(__xludf.dummyfunction("if($T975&lt;&gt;"""",REGEXEXTRACT(SUBSTITUTE ($T975,N$1&amp;"" CE"",""""), N$1&amp;""[\w &amp;]*, (\d+\.\d+)""),"""")
"),"")</f>
        <v/>
      </c>
      <c r="O975" s="3" t="str">
        <f aca="false">IFERROR(__xludf.dummyfunction("if($T975&lt;&gt;"""",REGEXEXTRACT($T975, O$1&amp;""[\w &amp;]*, (\d+\.\d+)""),"""")
"),"")</f>
        <v/>
      </c>
      <c r="P975" s="2"/>
      <c r="Q975" s="2"/>
      <c r="R975" s="2"/>
      <c r="S975" s="2"/>
      <c r="T975" s="5"/>
    </row>
    <row r="976" customFormat="false" ht="15.75" hidden="false" customHeight="false" outlineLevel="0" collapsed="false">
      <c r="A976" s="4"/>
      <c r="B976" s="2"/>
      <c r="C976" s="2"/>
      <c r="D976" s="2"/>
      <c r="E976" s="2"/>
      <c r="F976" s="3" t="str">
        <f aca="false">IFERROR(__xludf.dummyfunction("if($T976&lt;&gt;"""",REGEXEXTRACT(SUBSTITUTE ($T976,F$1&amp;"" CE"",""""), F$1&amp;""[\w &amp;]*, (\d+\.\d+)""),"""")
"),"")</f>
        <v/>
      </c>
      <c r="G976" s="3" t="str">
        <f aca="false">IFERROR(__xludf.dummyfunction("if($T976&lt;&gt;"""",REGEXEXTRACT($T976, G$1&amp;""[\w &amp;]*, (\d+\.\d+)""),"""")
"),"")</f>
        <v/>
      </c>
      <c r="H976" s="3"/>
      <c r="I976" s="3" t="str">
        <f aca="false">IFERROR(__xludf.dummyfunction("if($T976&lt;&gt;"""",REGEXEXTRACT(SUBSTITUTE ($T976,I$1&amp;"" CE"",""""), I$1&amp;""[\w &amp;]*, (\d+\.\d+)""),"""")
"),"")</f>
        <v/>
      </c>
      <c r="J976" s="3" t="str">
        <f aca="false">IFERROR(__xludf.dummyfunction("if($T976&lt;&gt;"""",REGEXEXTRACT($T976, J$1&amp;""[\w &amp;]*, (\d+\.\d+)""),"""")
"),"")</f>
        <v/>
      </c>
      <c r="K976" s="3"/>
      <c r="L976" s="3" t="str">
        <f aca="false">IFERROR(__xludf.dummyfunction("if($T976&lt;&gt;"""",REGEXEXTRACT(SUBSTITUTE ($T976,L$1&amp;"" CE"",""""), L$1&amp;""[\w &amp;]*, (\d+\.\d+)""),"""")
"),"")</f>
        <v/>
      </c>
      <c r="M976" s="3" t="str">
        <f aca="false">IFERROR(__xludf.dummyfunction("if($T976&lt;&gt;"""",REGEXEXTRACT($T976, M$1&amp;""[\w &amp;]*, (\d+\.\d+)""),"""")
"),"")</f>
        <v/>
      </c>
      <c r="N976" s="3" t="str">
        <f aca="false">IFERROR(__xludf.dummyfunction("if($T976&lt;&gt;"""",REGEXEXTRACT(SUBSTITUTE ($T976,N$1&amp;"" CE"",""""), N$1&amp;""[\w &amp;]*, (\d+\.\d+)""),"""")
"),"")</f>
        <v/>
      </c>
      <c r="O976" s="3" t="str">
        <f aca="false">IFERROR(__xludf.dummyfunction("if($T976&lt;&gt;"""",REGEXEXTRACT($T976, O$1&amp;""[\w &amp;]*, (\d+\.\d+)""),"""")
"),"")</f>
        <v/>
      </c>
      <c r="P976" s="2"/>
      <c r="Q976" s="2"/>
      <c r="R976" s="2"/>
      <c r="S976" s="2"/>
      <c r="T976" s="5"/>
    </row>
    <row r="977" customFormat="false" ht="15.75" hidden="false" customHeight="false" outlineLevel="0" collapsed="false">
      <c r="A977" s="4"/>
      <c r="B977" s="2"/>
      <c r="C977" s="2"/>
      <c r="D977" s="2"/>
      <c r="E977" s="2"/>
      <c r="F977" s="3" t="str">
        <f aca="false">IFERROR(__xludf.dummyfunction("if($T977&lt;&gt;"""",REGEXEXTRACT(SUBSTITUTE ($T977,F$1&amp;"" CE"",""""), F$1&amp;""[\w &amp;]*, (\d+\.\d+)""),"""")
"),"")</f>
        <v/>
      </c>
      <c r="G977" s="3" t="str">
        <f aca="false">IFERROR(__xludf.dummyfunction("if($T977&lt;&gt;"""",REGEXEXTRACT($T977, G$1&amp;""[\w &amp;]*, (\d+\.\d+)""),"""")
"),"")</f>
        <v/>
      </c>
      <c r="H977" s="3"/>
      <c r="I977" s="3" t="str">
        <f aca="false">IFERROR(__xludf.dummyfunction("if($T977&lt;&gt;"""",REGEXEXTRACT(SUBSTITUTE ($T977,I$1&amp;"" CE"",""""), I$1&amp;""[\w &amp;]*, (\d+\.\d+)""),"""")
"),"")</f>
        <v/>
      </c>
      <c r="J977" s="3" t="str">
        <f aca="false">IFERROR(__xludf.dummyfunction("if($T977&lt;&gt;"""",REGEXEXTRACT($T977, J$1&amp;""[\w &amp;]*, (\d+\.\d+)""),"""")
"),"")</f>
        <v/>
      </c>
      <c r="K977" s="3"/>
      <c r="L977" s="3" t="str">
        <f aca="false">IFERROR(__xludf.dummyfunction("if($T977&lt;&gt;"""",REGEXEXTRACT(SUBSTITUTE ($T977,L$1&amp;"" CE"",""""), L$1&amp;""[\w &amp;]*, (\d+\.\d+)""),"""")
"),"")</f>
        <v/>
      </c>
      <c r="M977" s="3" t="str">
        <f aca="false">IFERROR(__xludf.dummyfunction("if($T977&lt;&gt;"""",REGEXEXTRACT($T977, M$1&amp;""[\w &amp;]*, (\d+\.\d+)""),"""")
"),"")</f>
        <v/>
      </c>
      <c r="N977" s="3" t="str">
        <f aca="false">IFERROR(__xludf.dummyfunction("if($T977&lt;&gt;"""",REGEXEXTRACT(SUBSTITUTE ($T977,N$1&amp;"" CE"",""""), N$1&amp;""[\w &amp;]*, (\d+\.\d+)""),"""")
"),"")</f>
        <v/>
      </c>
      <c r="O977" s="3" t="str">
        <f aca="false">IFERROR(__xludf.dummyfunction("if($T977&lt;&gt;"""",REGEXEXTRACT($T977, O$1&amp;""[\w &amp;]*, (\d+\.\d+)""),"""")
"),"")</f>
        <v/>
      </c>
      <c r="P977" s="2"/>
      <c r="Q977" s="2"/>
      <c r="R977" s="2"/>
      <c r="S977" s="2"/>
      <c r="T977" s="5"/>
    </row>
    <row r="978" customFormat="false" ht="15.75" hidden="false" customHeight="false" outlineLevel="0" collapsed="false">
      <c r="A978" s="4"/>
      <c r="B978" s="2"/>
      <c r="C978" s="2"/>
      <c r="D978" s="2"/>
      <c r="E978" s="2"/>
      <c r="F978" s="3" t="str">
        <f aca="false">IFERROR(__xludf.dummyfunction("if($T978&lt;&gt;"""",REGEXEXTRACT(SUBSTITUTE ($T978,F$1&amp;"" CE"",""""), F$1&amp;""[\w &amp;]*, (\d+\.\d+)""),"""")
"),"")</f>
        <v/>
      </c>
      <c r="G978" s="3" t="str">
        <f aca="false">IFERROR(__xludf.dummyfunction("if($T978&lt;&gt;"""",REGEXEXTRACT($T978, G$1&amp;""[\w &amp;]*, (\d+\.\d+)""),"""")
"),"")</f>
        <v/>
      </c>
      <c r="H978" s="3"/>
      <c r="I978" s="3" t="str">
        <f aca="false">IFERROR(__xludf.dummyfunction("if($T978&lt;&gt;"""",REGEXEXTRACT(SUBSTITUTE ($T978,I$1&amp;"" CE"",""""), I$1&amp;""[\w &amp;]*, (\d+\.\d+)""),"""")
"),"")</f>
        <v/>
      </c>
      <c r="J978" s="3" t="str">
        <f aca="false">IFERROR(__xludf.dummyfunction("if($T978&lt;&gt;"""",REGEXEXTRACT($T978, J$1&amp;""[\w &amp;]*, (\d+\.\d+)""),"""")
"),"")</f>
        <v/>
      </c>
      <c r="K978" s="3"/>
      <c r="L978" s="3" t="str">
        <f aca="false">IFERROR(__xludf.dummyfunction("if($T978&lt;&gt;"""",REGEXEXTRACT(SUBSTITUTE ($T978,L$1&amp;"" CE"",""""), L$1&amp;""[\w &amp;]*, (\d+\.\d+)""),"""")
"),"")</f>
        <v/>
      </c>
      <c r="M978" s="3" t="str">
        <f aca="false">IFERROR(__xludf.dummyfunction("if($T978&lt;&gt;"""",REGEXEXTRACT($T978, M$1&amp;""[\w &amp;]*, (\d+\.\d+)""),"""")
"),"")</f>
        <v/>
      </c>
      <c r="N978" s="3" t="str">
        <f aca="false">IFERROR(__xludf.dummyfunction("if($T978&lt;&gt;"""",REGEXEXTRACT(SUBSTITUTE ($T978,N$1&amp;"" CE"",""""), N$1&amp;""[\w &amp;]*, (\d+\.\d+)""),"""")
"),"")</f>
        <v/>
      </c>
      <c r="O978" s="3" t="str">
        <f aca="false">IFERROR(__xludf.dummyfunction("if($T978&lt;&gt;"""",REGEXEXTRACT($T978, O$1&amp;""[\w &amp;]*, (\d+\.\d+)""),"""")
"),"")</f>
        <v/>
      </c>
      <c r="P978" s="2"/>
      <c r="Q978" s="2"/>
      <c r="R978" s="2"/>
      <c r="S978" s="2"/>
      <c r="T978" s="5"/>
    </row>
    <row r="979" customFormat="false" ht="15.75" hidden="false" customHeight="false" outlineLevel="0" collapsed="false">
      <c r="A979" s="4"/>
      <c r="B979" s="2"/>
      <c r="C979" s="2"/>
      <c r="D979" s="2"/>
      <c r="E979" s="2"/>
      <c r="F979" s="3" t="str">
        <f aca="false">IFERROR(__xludf.dummyfunction("if($T979&lt;&gt;"""",REGEXEXTRACT(SUBSTITUTE ($T979,F$1&amp;"" CE"",""""), F$1&amp;""[\w &amp;]*, (\d+\.\d+)""),"""")
"),"")</f>
        <v/>
      </c>
      <c r="G979" s="3" t="str">
        <f aca="false">IFERROR(__xludf.dummyfunction("if($T979&lt;&gt;"""",REGEXEXTRACT($T979, G$1&amp;""[\w &amp;]*, (\d+\.\d+)""),"""")
"),"")</f>
        <v/>
      </c>
      <c r="H979" s="3"/>
      <c r="I979" s="3" t="str">
        <f aca="false">IFERROR(__xludf.dummyfunction("if($T979&lt;&gt;"""",REGEXEXTRACT(SUBSTITUTE ($T979,I$1&amp;"" CE"",""""), I$1&amp;""[\w &amp;]*, (\d+\.\d+)""),"""")
"),"")</f>
        <v/>
      </c>
      <c r="J979" s="3" t="str">
        <f aca="false">IFERROR(__xludf.dummyfunction("if($T979&lt;&gt;"""",REGEXEXTRACT($T979, J$1&amp;""[\w &amp;]*, (\d+\.\d+)""),"""")
"),"")</f>
        <v/>
      </c>
      <c r="K979" s="3"/>
      <c r="L979" s="3" t="str">
        <f aca="false">IFERROR(__xludf.dummyfunction("if($T979&lt;&gt;"""",REGEXEXTRACT(SUBSTITUTE ($T979,L$1&amp;"" CE"",""""), L$1&amp;""[\w &amp;]*, (\d+\.\d+)""),"""")
"),"")</f>
        <v/>
      </c>
      <c r="M979" s="3" t="str">
        <f aca="false">IFERROR(__xludf.dummyfunction("if($T979&lt;&gt;"""",REGEXEXTRACT($T979, M$1&amp;""[\w &amp;]*, (\d+\.\d+)""),"""")
"),"")</f>
        <v/>
      </c>
      <c r="N979" s="3" t="str">
        <f aca="false">IFERROR(__xludf.dummyfunction("if($T979&lt;&gt;"""",REGEXEXTRACT(SUBSTITUTE ($T979,N$1&amp;"" CE"",""""), N$1&amp;""[\w &amp;]*, (\d+\.\d+)""),"""")
"),"")</f>
        <v/>
      </c>
      <c r="O979" s="3" t="str">
        <f aca="false">IFERROR(__xludf.dummyfunction("if($T979&lt;&gt;"""",REGEXEXTRACT($T979, O$1&amp;""[\w &amp;]*, (\d+\.\d+)""),"""")
"),"")</f>
        <v/>
      </c>
      <c r="P979" s="2"/>
      <c r="Q979" s="2"/>
      <c r="R979" s="2"/>
      <c r="S979" s="2"/>
      <c r="T979" s="5"/>
    </row>
    <row r="980" customFormat="false" ht="15.75" hidden="false" customHeight="false" outlineLevel="0" collapsed="false">
      <c r="A980" s="4"/>
      <c r="B980" s="2"/>
      <c r="C980" s="2"/>
      <c r="D980" s="2"/>
      <c r="E980" s="2"/>
      <c r="F980" s="3" t="str">
        <f aca="false">IFERROR(__xludf.dummyfunction("if($T980&lt;&gt;"""",REGEXEXTRACT(SUBSTITUTE ($T980,F$1&amp;"" CE"",""""), F$1&amp;""[\w &amp;]*, (\d+\.\d+)""),"""")
"),"")</f>
        <v/>
      </c>
      <c r="G980" s="3" t="str">
        <f aca="false">IFERROR(__xludf.dummyfunction("if($T980&lt;&gt;"""",REGEXEXTRACT($T980, G$1&amp;""[\w &amp;]*, (\d+\.\d+)""),"""")
"),"")</f>
        <v/>
      </c>
      <c r="H980" s="3"/>
      <c r="I980" s="3" t="str">
        <f aca="false">IFERROR(__xludf.dummyfunction("if($T980&lt;&gt;"""",REGEXEXTRACT(SUBSTITUTE ($T980,I$1&amp;"" CE"",""""), I$1&amp;""[\w &amp;]*, (\d+\.\d+)""),"""")
"),"")</f>
        <v/>
      </c>
      <c r="J980" s="3" t="str">
        <f aca="false">IFERROR(__xludf.dummyfunction("if($T980&lt;&gt;"""",REGEXEXTRACT($T980, J$1&amp;""[\w &amp;]*, (\d+\.\d+)""),"""")
"),"")</f>
        <v/>
      </c>
      <c r="K980" s="3"/>
      <c r="L980" s="3" t="str">
        <f aca="false">IFERROR(__xludf.dummyfunction("if($T980&lt;&gt;"""",REGEXEXTRACT(SUBSTITUTE ($T980,L$1&amp;"" CE"",""""), L$1&amp;""[\w &amp;]*, (\d+\.\d+)""),"""")
"),"")</f>
        <v/>
      </c>
      <c r="M980" s="3" t="str">
        <f aca="false">IFERROR(__xludf.dummyfunction("if($T980&lt;&gt;"""",REGEXEXTRACT($T980, M$1&amp;""[\w &amp;]*, (\d+\.\d+)""),"""")
"),"")</f>
        <v/>
      </c>
      <c r="N980" s="3" t="str">
        <f aca="false">IFERROR(__xludf.dummyfunction("if($T980&lt;&gt;"""",REGEXEXTRACT(SUBSTITUTE ($T980,N$1&amp;"" CE"",""""), N$1&amp;""[\w &amp;]*, (\d+\.\d+)""),"""")
"),"")</f>
        <v/>
      </c>
      <c r="O980" s="3" t="str">
        <f aca="false">IFERROR(__xludf.dummyfunction("if($T980&lt;&gt;"""",REGEXEXTRACT($T980, O$1&amp;""[\w &amp;]*, (\d+\.\d+)""),"""")
"),"")</f>
        <v/>
      </c>
      <c r="P980" s="2"/>
      <c r="Q980" s="2"/>
      <c r="R980" s="2"/>
      <c r="S980" s="2"/>
      <c r="T980" s="5"/>
    </row>
    <row r="981" customFormat="false" ht="15.75" hidden="false" customHeight="false" outlineLevel="0" collapsed="false">
      <c r="A981" s="4"/>
      <c r="B981" s="2"/>
      <c r="C981" s="2"/>
      <c r="D981" s="2"/>
      <c r="E981" s="2"/>
      <c r="F981" s="3" t="str">
        <f aca="false">IFERROR(__xludf.dummyfunction("if($T981&lt;&gt;"""",REGEXEXTRACT(SUBSTITUTE ($T981,F$1&amp;"" CE"",""""), F$1&amp;""[\w &amp;]*, (\d+\.\d+)""),"""")
"),"")</f>
        <v/>
      </c>
      <c r="G981" s="3" t="str">
        <f aca="false">IFERROR(__xludf.dummyfunction("if($T981&lt;&gt;"""",REGEXEXTRACT($T981, G$1&amp;""[\w &amp;]*, (\d+\.\d+)""),"""")
"),"")</f>
        <v/>
      </c>
      <c r="H981" s="3"/>
      <c r="I981" s="3" t="str">
        <f aca="false">IFERROR(__xludf.dummyfunction("if($T981&lt;&gt;"""",REGEXEXTRACT(SUBSTITUTE ($T981,I$1&amp;"" CE"",""""), I$1&amp;""[\w &amp;]*, (\d+\.\d+)""),"""")
"),"")</f>
        <v/>
      </c>
      <c r="J981" s="3" t="str">
        <f aca="false">IFERROR(__xludf.dummyfunction("if($T981&lt;&gt;"""",REGEXEXTRACT($T981, J$1&amp;""[\w &amp;]*, (\d+\.\d+)""),"""")
"),"")</f>
        <v/>
      </c>
      <c r="K981" s="3"/>
      <c r="L981" s="3" t="str">
        <f aca="false">IFERROR(__xludf.dummyfunction("if($T981&lt;&gt;"""",REGEXEXTRACT(SUBSTITUTE ($T981,L$1&amp;"" CE"",""""), L$1&amp;""[\w &amp;]*, (\d+\.\d+)""),"""")
"),"")</f>
        <v/>
      </c>
      <c r="M981" s="3" t="str">
        <f aca="false">IFERROR(__xludf.dummyfunction("if($T981&lt;&gt;"""",REGEXEXTRACT($T981, M$1&amp;""[\w &amp;]*, (\d+\.\d+)""),"""")
"),"")</f>
        <v/>
      </c>
      <c r="N981" s="3" t="str">
        <f aca="false">IFERROR(__xludf.dummyfunction("if($T981&lt;&gt;"""",REGEXEXTRACT(SUBSTITUTE ($T981,N$1&amp;"" CE"",""""), N$1&amp;""[\w &amp;]*, (\d+\.\d+)""),"""")
"),"")</f>
        <v/>
      </c>
      <c r="O981" s="3" t="str">
        <f aca="false">IFERROR(__xludf.dummyfunction("if($T981&lt;&gt;"""",REGEXEXTRACT($T981, O$1&amp;""[\w &amp;]*, (\d+\.\d+)""),"""")
"),"")</f>
        <v/>
      </c>
      <c r="P981" s="2"/>
      <c r="Q981" s="2"/>
      <c r="R981" s="2"/>
      <c r="S981" s="2"/>
      <c r="T981" s="5"/>
    </row>
    <row r="982" customFormat="false" ht="15.75" hidden="false" customHeight="false" outlineLevel="0" collapsed="false">
      <c r="A982" s="4"/>
      <c r="B982" s="2"/>
      <c r="C982" s="2"/>
      <c r="D982" s="2"/>
      <c r="E982" s="2"/>
      <c r="F982" s="3" t="str">
        <f aca="false">IFERROR(__xludf.dummyfunction("if($T982&lt;&gt;"""",REGEXEXTRACT(SUBSTITUTE ($T982,F$1&amp;"" CE"",""""), F$1&amp;""[\w &amp;]*, (\d+\.\d+)""),"""")
"),"")</f>
        <v/>
      </c>
      <c r="G982" s="3" t="str">
        <f aca="false">IFERROR(__xludf.dummyfunction("if($T982&lt;&gt;"""",REGEXEXTRACT($T982, G$1&amp;""[\w &amp;]*, (\d+\.\d+)""),"""")
"),"")</f>
        <v/>
      </c>
      <c r="H982" s="3"/>
      <c r="I982" s="3" t="str">
        <f aca="false">IFERROR(__xludf.dummyfunction("if($T982&lt;&gt;"""",REGEXEXTRACT(SUBSTITUTE ($T982,I$1&amp;"" CE"",""""), I$1&amp;""[\w &amp;]*, (\d+\.\d+)""),"""")
"),"")</f>
        <v/>
      </c>
      <c r="J982" s="3" t="str">
        <f aca="false">IFERROR(__xludf.dummyfunction("if($T982&lt;&gt;"""",REGEXEXTRACT($T982, J$1&amp;""[\w &amp;]*, (\d+\.\d+)""),"""")
"),"")</f>
        <v/>
      </c>
      <c r="K982" s="3"/>
      <c r="L982" s="3" t="str">
        <f aca="false">IFERROR(__xludf.dummyfunction("if($T982&lt;&gt;"""",REGEXEXTRACT(SUBSTITUTE ($T982,L$1&amp;"" CE"",""""), L$1&amp;""[\w &amp;]*, (\d+\.\d+)""),"""")
"),"")</f>
        <v/>
      </c>
      <c r="M982" s="3" t="str">
        <f aca="false">IFERROR(__xludf.dummyfunction("if($T982&lt;&gt;"""",REGEXEXTRACT($T982, M$1&amp;""[\w &amp;]*, (\d+\.\d+)""),"""")
"),"")</f>
        <v/>
      </c>
      <c r="N982" s="3" t="str">
        <f aca="false">IFERROR(__xludf.dummyfunction("if($T982&lt;&gt;"""",REGEXEXTRACT(SUBSTITUTE ($T982,N$1&amp;"" CE"",""""), N$1&amp;""[\w &amp;]*, (\d+\.\d+)""),"""")
"),"")</f>
        <v/>
      </c>
      <c r="O982" s="3" t="str">
        <f aca="false">IFERROR(__xludf.dummyfunction("if($T982&lt;&gt;"""",REGEXEXTRACT($T982, O$1&amp;""[\w &amp;]*, (\d+\.\d+)""),"""")
"),"")</f>
        <v/>
      </c>
      <c r="P982" s="2"/>
      <c r="Q982" s="2"/>
      <c r="R982" s="2"/>
      <c r="S982" s="2"/>
      <c r="T982" s="5"/>
    </row>
    <row r="983" customFormat="false" ht="15.75" hidden="false" customHeight="false" outlineLevel="0" collapsed="false">
      <c r="A983" s="4"/>
      <c r="B983" s="2"/>
      <c r="C983" s="2"/>
      <c r="D983" s="2"/>
      <c r="E983" s="2"/>
      <c r="F983" s="3" t="str">
        <f aca="false">IFERROR(__xludf.dummyfunction("if($T983&lt;&gt;"""",REGEXEXTRACT(SUBSTITUTE ($T983,F$1&amp;"" CE"",""""), F$1&amp;""[\w &amp;]*, (\d+\.\d+)""),"""")
"),"")</f>
        <v/>
      </c>
      <c r="G983" s="3" t="str">
        <f aca="false">IFERROR(__xludf.dummyfunction("if($T983&lt;&gt;"""",REGEXEXTRACT($T983, G$1&amp;""[\w &amp;]*, (\d+\.\d+)""),"""")
"),"")</f>
        <v/>
      </c>
      <c r="H983" s="3"/>
      <c r="I983" s="3" t="str">
        <f aca="false">IFERROR(__xludf.dummyfunction("if($T983&lt;&gt;"""",REGEXEXTRACT(SUBSTITUTE ($T983,I$1&amp;"" CE"",""""), I$1&amp;""[\w &amp;]*, (\d+\.\d+)""),"""")
"),"")</f>
        <v/>
      </c>
      <c r="J983" s="3" t="str">
        <f aca="false">IFERROR(__xludf.dummyfunction("if($T983&lt;&gt;"""",REGEXEXTRACT($T983, J$1&amp;""[\w &amp;]*, (\d+\.\d+)""),"""")
"),"")</f>
        <v/>
      </c>
      <c r="K983" s="3"/>
      <c r="L983" s="3" t="str">
        <f aca="false">IFERROR(__xludf.dummyfunction("if($T983&lt;&gt;"""",REGEXEXTRACT(SUBSTITUTE ($T983,L$1&amp;"" CE"",""""), L$1&amp;""[\w &amp;]*, (\d+\.\d+)""),"""")
"),"")</f>
        <v/>
      </c>
      <c r="M983" s="3" t="str">
        <f aca="false">IFERROR(__xludf.dummyfunction("if($T983&lt;&gt;"""",REGEXEXTRACT($T983, M$1&amp;""[\w &amp;]*, (\d+\.\d+)""),"""")
"),"")</f>
        <v/>
      </c>
      <c r="N983" s="3" t="str">
        <f aca="false">IFERROR(__xludf.dummyfunction("if($T983&lt;&gt;"""",REGEXEXTRACT(SUBSTITUTE ($T983,N$1&amp;"" CE"",""""), N$1&amp;""[\w &amp;]*, (\d+\.\d+)""),"""")
"),"")</f>
        <v/>
      </c>
      <c r="O983" s="3" t="str">
        <f aca="false">IFERROR(__xludf.dummyfunction("if($T983&lt;&gt;"""",REGEXEXTRACT($T983, O$1&amp;""[\w &amp;]*, (\d+\.\d+)""),"""")
"),"")</f>
        <v/>
      </c>
      <c r="P983" s="2"/>
      <c r="Q983" s="2"/>
      <c r="R983" s="2"/>
      <c r="S983" s="2"/>
      <c r="T983" s="5"/>
    </row>
    <row r="984" customFormat="false" ht="15.75" hidden="false" customHeight="false" outlineLevel="0" collapsed="false">
      <c r="A984" s="4"/>
      <c r="B984" s="2"/>
      <c r="C984" s="2"/>
      <c r="D984" s="2"/>
      <c r="E984" s="2"/>
      <c r="F984" s="3" t="str">
        <f aca="false">IFERROR(__xludf.dummyfunction("if($T984&lt;&gt;"""",REGEXEXTRACT(SUBSTITUTE ($T984,F$1&amp;"" CE"",""""), F$1&amp;""[\w &amp;]*, (\d+\.\d+)""),"""")
"),"")</f>
        <v/>
      </c>
      <c r="G984" s="3" t="str">
        <f aca="false">IFERROR(__xludf.dummyfunction("if($T984&lt;&gt;"""",REGEXEXTRACT($T984, G$1&amp;""[\w &amp;]*, (\d+\.\d+)""),"""")
"),"")</f>
        <v/>
      </c>
      <c r="H984" s="3"/>
      <c r="I984" s="3" t="str">
        <f aca="false">IFERROR(__xludf.dummyfunction("if($T984&lt;&gt;"""",REGEXEXTRACT(SUBSTITUTE ($T984,I$1&amp;"" CE"",""""), I$1&amp;""[\w &amp;]*, (\d+\.\d+)""),"""")
"),"")</f>
        <v/>
      </c>
      <c r="J984" s="3" t="str">
        <f aca="false">IFERROR(__xludf.dummyfunction("if($T984&lt;&gt;"""",REGEXEXTRACT($T984, J$1&amp;""[\w &amp;]*, (\d+\.\d+)""),"""")
"),"")</f>
        <v/>
      </c>
      <c r="K984" s="3"/>
      <c r="L984" s="3" t="str">
        <f aca="false">IFERROR(__xludf.dummyfunction("if($T984&lt;&gt;"""",REGEXEXTRACT(SUBSTITUTE ($T984,L$1&amp;"" CE"",""""), L$1&amp;""[\w &amp;]*, (\d+\.\d+)""),"""")
"),"")</f>
        <v/>
      </c>
      <c r="M984" s="3" t="str">
        <f aca="false">IFERROR(__xludf.dummyfunction("if($T984&lt;&gt;"""",REGEXEXTRACT($T984, M$1&amp;""[\w &amp;]*, (\d+\.\d+)""),"""")
"),"")</f>
        <v/>
      </c>
      <c r="N984" s="3" t="str">
        <f aca="false">IFERROR(__xludf.dummyfunction("if($T984&lt;&gt;"""",REGEXEXTRACT(SUBSTITUTE ($T984,N$1&amp;"" CE"",""""), N$1&amp;""[\w &amp;]*, (\d+\.\d+)""),"""")
"),"")</f>
        <v/>
      </c>
      <c r="O984" s="3" t="str">
        <f aca="false">IFERROR(__xludf.dummyfunction("if($T984&lt;&gt;"""",REGEXEXTRACT($T984, O$1&amp;""[\w &amp;]*, (\d+\.\d+)""),"""")
"),"")</f>
        <v/>
      </c>
      <c r="P984" s="2"/>
      <c r="Q984" s="2"/>
      <c r="R984" s="2"/>
      <c r="S984" s="2"/>
      <c r="T984" s="5"/>
    </row>
    <row r="985" customFormat="false" ht="15.75" hidden="false" customHeight="false" outlineLevel="0" collapsed="false">
      <c r="A985" s="4"/>
      <c r="B985" s="2"/>
      <c r="C985" s="2"/>
      <c r="D985" s="2"/>
      <c r="E985" s="2"/>
      <c r="F985" s="3" t="str">
        <f aca="false">IFERROR(__xludf.dummyfunction("if($T985&lt;&gt;"""",REGEXEXTRACT(SUBSTITUTE ($T985,F$1&amp;"" CE"",""""), F$1&amp;""[\w &amp;]*, (\d+\.\d+)""),"""")
"),"")</f>
        <v/>
      </c>
      <c r="G985" s="3" t="str">
        <f aca="false">IFERROR(__xludf.dummyfunction("if($T985&lt;&gt;"""",REGEXEXTRACT($T985, G$1&amp;""[\w &amp;]*, (\d+\.\d+)""),"""")
"),"")</f>
        <v/>
      </c>
      <c r="H985" s="3"/>
      <c r="I985" s="3" t="str">
        <f aca="false">IFERROR(__xludf.dummyfunction("if($T985&lt;&gt;"""",REGEXEXTRACT(SUBSTITUTE ($T985,I$1&amp;"" CE"",""""), I$1&amp;""[\w &amp;]*, (\d+\.\d+)""),"""")
"),"")</f>
        <v/>
      </c>
      <c r="J985" s="3" t="str">
        <f aca="false">IFERROR(__xludf.dummyfunction("if($T985&lt;&gt;"""",REGEXEXTRACT($T985, J$1&amp;""[\w &amp;]*, (\d+\.\d+)""),"""")
"),"")</f>
        <v/>
      </c>
      <c r="K985" s="3"/>
      <c r="L985" s="3" t="str">
        <f aca="false">IFERROR(__xludf.dummyfunction("if($T985&lt;&gt;"""",REGEXEXTRACT(SUBSTITUTE ($T985,L$1&amp;"" CE"",""""), L$1&amp;""[\w &amp;]*, (\d+\.\d+)""),"""")
"),"")</f>
        <v/>
      </c>
      <c r="M985" s="3" t="str">
        <f aca="false">IFERROR(__xludf.dummyfunction("if($T985&lt;&gt;"""",REGEXEXTRACT($T985, M$1&amp;""[\w &amp;]*, (\d+\.\d+)""),"""")
"),"")</f>
        <v/>
      </c>
      <c r="N985" s="3" t="str">
        <f aca="false">IFERROR(__xludf.dummyfunction("if($T985&lt;&gt;"""",REGEXEXTRACT(SUBSTITUTE ($T985,N$1&amp;"" CE"",""""), N$1&amp;""[\w &amp;]*, (\d+\.\d+)""),"""")
"),"")</f>
        <v/>
      </c>
      <c r="O985" s="3" t="str">
        <f aca="false">IFERROR(__xludf.dummyfunction("if($T985&lt;&gt;"""",REGEXEXTRACT($T985, O$1&amp;""[\w &amp;]*, (\d+\.\d+)""),"""")
"),"")</f>
        <v/>
      </c>
      <c r="P985" s="2"/>
      <c r="Q985" s="2"/>
      <c r="R985" s="2"/>
      <c r="S985" s="2"/>
      <c r="T985" s="5"/>
    </row>
    <row r="986" customFormat="false" ht="15.75" hidden="false" customHeight="false" outlineLevel="0" collapsed="false">
      <c r="A986" s="4"/>
      <c r="B986" s="2"/>
      <c r="C986" s="2"/>
      <c r="D986" s="2"/>
      <c r="E986" s="2"/>
      <c r="F986" s="3" t="str">
        <f aca="false">IFERROR(__xludf.dummyfunction("if($T986&lt;&gt;"""",REGEXEXTRACT(SUBSTITUTE ($T986,F$1&amp;"" CE"",""""), F$1&amp;""[\w &amp;]*, (\d+\.\d+)""),"""")
"),"")</f>
        <v/>
      </c>
      <c r="G986" s="3" t="str">
        <f aca="false">IFERROR(__xludf.dummyfunction("if($T986&lt;&gt;"""",REGEXEXTRACT($T986, G$1&amp;""[\w &amp;]*, (\d+\.\d+)""),"""")
"),"")</f>
        <v/>
      </c>
      <c r="H986" s="3"/>
      <c r="I986" s="3" t="str">
        <f aca="false">IFERROR(__xludf.dummyfunction("if($T986&lt;&gt;"""",REGEXEXTRACT(SUBSTITUTE ($T986,I$1&amp;"" CE"",""""), I$1&amp;""[\w &amp;]*, (\d+\.\d+)""),"""")
"),"")</f>
        <v/>
      </c>
      <c r="J986" s="3" t="str">
        <f aca="false">IFERROR(__xludf.dummyfunction("if($T986&lt;&gt;"""",REGEXEXTRACT($T986, J$1&amp;""[\w &amp;]*, (\d+\.\d+)""),"""")
"),"")</f>
        <v/>
      </c>
      <c r="K986" s="3"/>
      <c r="L986" s="3" t="str">
        <f aca="false">IFERROR(__xludf.dummyfunction("if($T986&lt;&gt;"""",REGEXEXTRACT(SUBSTITUTE ($T986,L$1&amp;"" CE"",""""), L$1&amp;""[\w &amp;]*, (\d+\.\d+)""),"""")
"),"")</f>
        <v/>
      </c>
      <c r="M986" s="3" t="str">
        <f aca="false">IFERROR(__xludf.dummyfunction("if($T986&lt;&gt;"""",REGEXEXTRACT($T986, M$1&amp;""[\w &amp;]*, (\d+\.\d+)""),"""")
"),"")</f>
        <v/>
      </c>
      <c r="N986" s="3" t="str">
        <f aca="false">IFERROR(__xludf.dummyfunction("if($T986&lt;&gt;"""",REGEXEXTRACT(SUBSTITUTE ($T986,N$1&amp;"" CE"",""""), N$1&amp;""[\w &amp;]*, (\d+\.\d+)""),"""")
"),"")</f>
        <v/>
      </c>
      <c r="O986" s="3" t="str">
        <f aca="false">IFERROR(__xludf.dummyfunction("if($T986&lt;&gt;"""",REGEXEXTRACT($T986, O$1&amp;""[\w &amp;]*, (\d+\.\d+)""),"""")
"),"")</f>
        <v/>
      </c>
      <c r="P986" s="2"/>
      <c r="Q986" s="2"/>
      <c r="R986" s="2"/>
      <c r="S986" s="2"/>
      <c r="T986" s="5"/>
    </row>
    <row r="987" customFormat="false" ht="15.75" hidden="false" customHeight="false" outlineLevel="0" collapsed="false">
      <c r="A987" s="4"/>
      <c r="B987" s="2"/>
      <c r="C987" s="2"/>
      <c r="D987" s="2"/>
      <c r="E987" s="2"/>
      <c r="F987" s="3" t="str">
        <f aca="false">IFERROR(__xludf.dummyfunction("if($T987&lt;&gt;"""",REGEXEXTRACT(SUBSTITUTE ($T987,F$1&amp;"" CE"",""""), F$1&amp;""[\w &amp;]*, (\d+\.\d+)""),"""")
"),"")</f>
        <v/>
      </c>
      <c r="G987" s="3" t="str">
        <f aca="false">IFERROR(__xludf.dummyfunction("if($T987&lt;&gt;"""",REGEXEXTRACT($T987, G$1&amp;""[\w &amp;]*, (\d+\.\d+)""),"""")
"),"")</f>
        <v/>
      </c>
      <c r="H987" s="3"/>
      <c r="I987" s="3" t="str">
        <f aca="false">IFERROR(__xludf.dummyfunction("if($T987&lt;&gt;"""",REGEXEXTRACT(SUBSTITUTE ($T987,I$1&amp;"" CE"",""""), I$1&amp;""[\w &amp;]*, (\d+\.\d+)""),"""")
"),"")</f>
        <v/>
      </c>
      <c r="J987" s="3" t="str">
        <f aca="false">IFERROR(__xludf.dummyfunction("if($T987&lt;&gt;"""",REGEXEXTRACT($T987, J$1&amp;""[\w &amp;]*, (\d+\.\d+)""),"""")
"),"")</f>
        <v/>
      </c>
      <c r="K987" s="3"/>
      <c r="L987" s="3" t="str">
        <f aca="false">IFERROR(__xludf.dummyfunction("if($T987&lt;&gt;"""",REGEXEXTRACT(SUBSTITUTE ($T987,L$1&amp;"" CE"",""""), L$1&amp;""[\w &amp;]*, (\d+\.\d+)""),"""")
"),"")</f>
        <v/>
      </c>
      <c r="M987" s="3" t="str">
        <f aca="false">IFERROR(__xludf.dummyfunction("if($T987&lt;&gt;"""",REGEXEXTRACT($T987, M$1&amp;""[\w &amp;]*, (\d+\.\d+)""),"""")
"),"")</f>
        <v/>
      </c>
      <c r="N987" s="3" t="str">
        <f aca="false">IFERROR(__xludf.dummyfunction("if($T987&lt;&gt;"""",REGEXEXTRACT(SUBSTITUTE ($T987,N$1&amp;"" CE"",""""), N$1&amp;""[\w &amp;]*, (\d+\.\d+)""),"""")
"),"")</f>
        <v/>
      </c>
      <c r="O987" s="3" t="str">
        <f aca="false">IFERROR(__xludf.dummyfunction("if($T987&lt;&gt;"""",REGEXEXTRACT($T987, O$1&amp;""[\w &amp;]*, (\d+\.\d+)""),"""")
"),"")</f>
        <v/>
      </c>
      <c r="P987" s="2"/>
      <c r="Q987" s="2"/>
      <c r="R987" s="2"/>
      <c r="S987" s="2"/>
      <c r="T987" s="5"/>
    </row>
    <row r="988" customFormat="false" ht="15.75" hidden="false" customHeight="false" outlineLevel="0" collapsed="false">
      <c r="A988" s="4"/>
      <c r="B988" s="2"/>
      <c r="C988" s="2"/>
      <c r="D988" s="2"/>
      <c r="E988" s="2"/>
      <c r="F988" s="3" t="str">
        <f aca="false">IFERROR(__xludf.dummyfunction("if($T988&lt;&gt;"""",REGEXEXTRACT(SUBSTITUTE ($T988,F$1&amp;"" CE"",""""), F$1&amp;""[\w &amp;]*, (\d+\.\d+)""),"""")
"),"")</f>
        <v/>
      </c>
      <c r="G988" s="3" t="str">
        <f aca="false">IFERROR(__xludf.dummyfunction("if($T988&lt;&gt;"""",REGEXEXTRACT($T988, G$1&amp;""[\w &amp;]*, (\d+\.\d+)""),"""")
"),"")</f>
        <v/>
      </c>
      <c r="H988" s="3"/>
      <c r="I988" s="3" t="str">
        <f aca="false">IFERROR(__xludf.dummyfunction("if($T988&lt;&gt;"""",REGEXEXTRACT(SUBSTITUTE ($T988,I$1&amp;"" CE"",""""), I$1&amp;""[\w &amp;]*, (\d+\.\d+)""),"""")
"),"")</f>
        <v/>
      </c>
      <c r="J988" s="3" t="str">
        <f aca="false">IFERROR(__xludf.dummyfunction("if($T988&lt;&gt;"""",REGEXEXTRACT($T988, J$1&amp;""[\w &amp;]*, (\d+\.\d+)""),"""")
"),"")</f>
        <v/>
      </c>
      <c r="K988" s="3"/>
      <c r="L988" s="3" t="str">
        <f aca="false">IFERROR(__xludf.dummyfunction("if($T988&lt;&gt;"""",REGEXEXTRACT(SUBSTITUTE ($T988,L$1&amp;"" CE"",""""), L$1&amp;""[\w &amp;]*, (\d+\.\d+)""),"""")
"),"")</f>
        <v/>
      </c>
      <c r="M988" s="3" t="str">
        <f aca="false">IFERROR(__xludf.dummyfunction("if($T988&lt;&gt;"""",REGEXEXTRACT($T988, M$1&amp;""[\w &amp;]*, (\d+\.\d+)""),"""")
"),"")</f>
        <v/>
      </c>
      <c r="N988" s="3" t="str">
        <f aca="false">IFERROR(__xludf.dummyfunction("if($T988&lt;&gt;"""",REGEXEXTRACT(SUBSTITUTE ($T988,N$1&amp;"" CE"",""""), N$1&amp;""[\w &amp;]*, (\d+\.\d+)""),"""")
"),"")</f>
        <v/>
      </c>
      <c r="O988" s="3" t="str">
        <f aca="false">IFERROR(__xludf.dummyfunction("if($T988&lt;&gt;"""",REGEXEXTRACT($T988, O$1&amp;""[\w &amp;]*, (\d+\.\d+)""),"""")
"),"")</f>
        <v/>
      </c>
      <c r="P988" s="2"/>
      <c r="Q988" s="2"/>
      <c r="R988" s="2"/>
      <c r="S988" s="2"/>
      <c r="T988" s="5"/>
    </row>
    <row r="989" customFormat="false" ht="15.75" hidden="false" customHeight="false" outlineLevel="0" collapsed="false">
      <c r="A989" s="4"/>
      <c r="B989" s="2"/>
      <c r="C989" s="2"/>
      <c r="D989" s="2"/>
      <c r="E989" s="2"/>
      <c r="F989" s="3" t="str">
        <f aca="false">IFERROR(__xludf.dummyfunction("if($T989&lt;&gt;"""",REGEXEXTRACT(SUBSTITUTE ($T989,F$1&amp;"" CE"",""""), F$1&amp;""[\w &amp;]*, (\d+\.\d+)""),"""")
"),"")</f>
        <v/>
      </c>
      <c r="G989" s="3" t="str">
        <f aca="false">IFERROR(__xludf.dummyfunction("if($T989&lt;&gt;"""",REGEXEXTRACT($T989, G$1&amp;""[\w &amp;]*, (\d+\.\d+)""),"""")
"),"")</f>
        <v/>
      </c>
      <c r="H989" s="3"/>
      <c r="I989" s="3" t="str">
        <f aca="false">IFERROR(__xludf.dummyfunction("if($T989&lt;&gt;"""",REGEXEXTRACT(SUBSTITUTE ($T989,I$1&amp;"" CE"",""""), I$1&amp;""[\w &amp;]*, (\d+\.\d+)""),"""")
"),"")</f>
        <v/>
      </c>
      <c r="J989" s="3" t="str">
        <f aca="false">IFERROR(__xludf.dummyfunction("if($T989&lt;&gt;"""",REGEXEXTRACT($T989, J$1&amp;""[\w &amp;]*, (\d+\.\d+)""),"""")
"),"")</f>
        <v/>
      </c>
      <c r="K989" s="3"/>
      <c r="L989" s="3" t="str">
        <f aca="false">IFERROR(__xludf.dummyfunction("if($T989&lt;&gt;"""",REGEXEXTRACT(SUBSTITUTE ($T989,L$1&amp;"" CE"",""""), L$1&amp;""[\w &amp;]*, (\d+\.\d+)""),"""")
"),"")</f>
        <v/>
      </c>
      <c r="M989" s="3" t="str">
        <f aca="false">IFERROR(__xludf.dummyfunction("if($T989&lt;&gt;"""",REGEXEXTRACT($T989, M$1&amp;""[\w &amp;]*, (\d+\.\d+)""),"""")
"),"")</f>
        <v/>
      </c>
      <c r="N989" s="3" t="str">
        <f aca="false">IFERROR(__xludf.dummyfunction("if($T989&lt;&gt;"""",REGEXEXTRACT(SUBSTITUTE ($T989,N$1&amp;"" CE"",""""), N$1&amp;""[\w &amp;]*, (\d+\.\d+)""),"""")
"),"")</f>
        <v/>
      </c>
      <c r="O989" s="3" t="str">
        <f aca="false">IFERROR(__xludf.dummyfunction("if($T989&lt;&gt;"""",REGEXEXTRACT($T989, O$1&amp;""[\w &amp;]*, (\d+\.\d+)""),"""")
"),"")</f>
        <v/>
      </c>
      <c r="P989" s="2"/>
      <c r="Q989" s="2"/>
      <c r="R989" s="2"/>
      <c r="S989" s="2"/>
      <c r="T989" s="5"/>
    </row>
    <row r="990" customFormat="false" ht="15.75" hidden="false" customHeight="false" outlineLevel="0" collapsed="false">
      <c r="A990" s="4"/>
      <c r="B990" s="2"/>
      <c r="C990" s="2"/>
      <c r="D990" s="2"/>
      <c r="E990" s="2"/>
      <c r="F990" s="3" t="str">
        <f aca="false">IFERROR(__xludf.dummyfunction("if($T990&lt;&gt;"""",REGEXEXTRACT(SUBSTITUTE ($T990,F$1&amp;"" CE"",""""), F$1&amp;""[\w &amp;]*, (\d+\.\d+)""),"""")
"),"")</f>
        <v/>
      </c>
      <c r="G990" s="3" t="str">
        <f aca="false">IFERROR(__xludf.dummyfunction("if($T990&lt;&gt;"""",REGEXEXTRACT($T990, G$1&amp;""[\w &amp;]*, (\d+\.\d+)""),"""")
"),"")</f>
        <v/>
      </c>
      <c r="H990" s="3"/>
      <c r="I990" s="3" t="str">
        <f aca="false">IFERROR(__xludf.dummyfunction("if($T990&lt;&gt;"""",REGEXEXTRACT(SUBSTITUTE ($T990,I$1&amp;"" CE"",""""), I$1&amp;""[\w &amp;]*, (\d+\.\d+)""),"""")
"),"")</f>
        <v/>
      </c>
      <c r="J990" s="3" t="str">
        <f aca="false">IFERROR(__xludf.dummyfunction("if($T990&lt;&gt;"""",REGEXEXTRACT($T990, J$1&amp;""[\w &amp;]*, (\d+\.\d+)""),"""")
"),"")</f>
        <v/>
      </c>
      <c r="K990" s="3"/>
      <c r="L990" s="3" t="str">
        <f aca="false">IFERROR(__xludf.dummyfunction("if($T990&lt;&gt;"""",REGEXEXTRACT(SUBSTITUTE ($T990,L$1&amp;"" CE"",""""), L$1&amp;""[\w &amp;]*, (\d+\.\d+)""),"""")
"),"")</f>
        <v/>
      </c>
      <c r="M990" s="3" t="str">
        <f aca="false">IFERROR(__xludf.dummyfunction("if($T990&lt;&gt;"""",REGEXEXTRACT($T990, M$1&amp;""[\w &amp;]*, (\d+\.\d+)""),"""")
"),"")</f>
        <v/>
      </c>
      <c r="N990" s="3" t="str">
        <f aca="false">IFERROR(__xludf.dummyfunction("if($T990&lt;&gt;"""",REGEXEXTRACT(SUBSTITUTE ($T990,N$1&amp;"" CE"",""""), N$1&amp;""[\w &amp;]*, (\d+\.\d+)""),"""")
"),"")</f>
        <v/>
      </c>
      <c r="O990" s="3" t="str">
        <f aca="false">IFERROR(__xludf.dummyfunction("if($T990&lt;&gt;"""",REGEXEXTRACT($T990, O$1&amp;""[\w &amp;]*, (\d+\.\d+)""),"""")
"),"")</f>
        <v/>
      </c>
      <c r="P990" s="2"/>
      <c r="Q990" s="2"/>
      <c r="R990" s="2"/>
      <c r="S990" s="2"/>
      <c r="T990" s="5"/>
    </row>
    <row r="991" customFormat="false" ht="15.75" hidden="false" customHeight="false" outlineLevel="0" collapsed="false">
      <c r="A991" s="4"/>
      <c r="B991" s="2"/>
      <c r="C991" s="2"/>
      <c r="D991" s="2"/>
      <c r="E991" s="2"/>
      <c r="F991" s="3" t="str">
        <f aca="false">IFERROR(__xludf.dummyfunction("if($T991&lt;&gt;"""",REGEXEXTRACT(SUBSTITUTE ($T991,F$1&amp;"" CE"",""""), F$1&amp;""[\w &amp;]*, (\d+\.\d+)""),"""")
"),"")</f>
        <v/>
      </c>
      <c r="G991" s="3" t="str">
        <f aca="false">IFERROR(__xludf.dummyfunction("if($T991&lt;&gt;"""",REGEXEXTRACT($T991, G$1&amp;""[\w &amp;]*, (\d+\.\d+)""),"""")
"),"")</f>
        <v/>
      </c>
      <c r="H991" s="3"/>
      <c r="I991" s="3" t="str">
        <f aca="false">IFERROR(__xludf.dummyfunction("if($T991&lt;&gt;"""",REGEXEXTRACT(SUBSTITUTE ($T991,I$1&amp;"" CE"",""""), I$1&amp;""[\w &amp;]*, (\d+\.\d+)""),"""")
"),"")</f>
        <v/>
      </c>
      <c r="J991" s="3" t="str">
        <f aca="false">IFERROR(__xludf.dummyfunction("if($T991&lt;&gt;"""",REGEXEXTRACT($T991, J$1&amp;""[\w &amp;]*, (\d+\.\d+)""),"""")
"),"")</f>
        <v/>
      </c>
      <c r="K991" s="3"/>
      <c r="L991" s="3" t="str">
        <f aca="false">IFERROR(__xludf.dummyfunction("if($T991&lt;&gt;"""",REGEXEXTRACT(SUBSTITUTE ($T991,L$1&amp;"" CE"",""""), L$1&amp;""[\w &amp;]*, (\d+\.\d+)""),"""")
"),"")</f>
        <v/>
      </c>
      <c r="M991" s="3" t="str">
        <f aca="false">IFERROR(__xludf.dummyfunction("if($T991&lt;&gt;"""",REGEXEXTRACT($T991, M$1&amp;""[\w &amp;]*, (\d+\.\d+)""),"""")
"),"")</f>
        <v/>
      </c>
      <c r="N991" s="3" t="str">
        <f aca="false">IFERROR(__xludf.dummyfunction("if($T991&lt;&gt;"""",REGEXEXTRACT(SUBSTITUTE ($T991,N$1&amp;"" CE"",""""), N$1&amp;""[\w &amp;]*, (\d+\.\d+)""),"""")
"),"")</f>
        <v/>
      </c>
      <c r="O991" s="3" t="str">
        <f aca="false">IFERROR(__xludf.dummyfunction("if($T991&lt;&gt;"""",REGEXEXTRACT($T991, O$1&amp;""[\w &amp;]*, (\d+\.\d+)""),"""")
"),"")</f>
        <v/>
      </c>
      <c r="P991" s="2"/>
      <c r="Q991" s="2"/>
      <c r="R991" s="2"/>
      <c r="S991" s="2"/>
      <c r="T991" s="5"/>
    </row>
    <row r="992" customFormat="false" ht="15.75" hidden="false" customHeight="false" outlineLevel="0" collapsed="false">
      <c r="A992" s="4"/>
      <c r="B992" s="2"/>
      <c r="C992" s="2"/>
      <c r="D992" s="2"/>
      <c r="E992" s="2"/>
      <c r="F992" s="3" t="str">
        <f aca="false">IFERROR(__xludf.dummyfunction("if($T992&lt;&gt;"""",REGEXEXTRACT(SUBSTITUTE ($T992,F$1&amp;"" CE"",""""), F$1&amp;""[\w &amp;]*, (\d+\.\d+)""),"""")
"),"")</f>
        <v/>
      </c>
      <c r="G992" s="3" t="str">
        <f aca="false">IFERROR(__xludf.dummyfunction("if($T992&lt;&gt;"""",REGEXEXTRACT($T992, G$1&amp;""[\w &amp;]*, (\d+\.\d+)""),"""")
"),"")</f>
        <v/>
      </c>
      <c r="H992" s="3"/>
      <c r="I992" s="3" t="str">
        <f aca="false">IFERROR(__xludf.dummyfunction("if($T992&lt;&gt;"""",REGEXEXTRACT(SUBSTITUTE ($T992,I$1&amp;"" CE"",""""), I$1&amp;""[\w &amp;]*, (\d+\.\d+)""),"""")
"),"")</f>
        <v/>
      </c>
      <c r="J992" s="3" t="str">
        <f aca="false">IFERROR(__xludf.dummyfunction("if($T992&lt;&gt;"""",REGEXEXTRACT($T992, J$1&amp;""[\w &amp;]*, (\d+\.\d+)""),"""")
"),"")</f>
        <v/>
      </c>
      <c r="K992" s="3"/>
      <c r="L992" s="3" t="str">
        <f aca="false">IFERROR(__xludf.dummyfunction("if($T992&lt;&gt;"""",REGEXEXTRACT(SUBSTITUTE ($T992,L$1&amp;"" CE"",""""), L$1&amp;""[\w &amp;]*, (\d+\.\d+)""),"""")
"),"")</f>
        <v/>
      </c>
      <c r="M992" s="3" t="str">
        <f aca="false">IFERROR(__xludf.dummyfunction("if($T992&lt;&gt;"""",REGEXEXTRACT($T992, M$1&amp;""[\w &amp;]*, (\d+\.\d+)""),"""")
"),"")</f>
        <v/>
      </c>
      <c r="N992" s="3" t="str">
        <f aca="false">IFERROR(__xludf.dummyfunction("if($T992&lt;&gt;"""",REGEXEXTRACT(SUBSTITUTE ($T992,N$1&amp;"" CE"",""""), N$1&amp;""[\w &amp;]*, (\d+\.\d+)""),"""")
"),"")</f>
        <v/>
      </c>
      <c r="O992" s="3" t="str">
        <f aca="false">IFERROR(__xludf.dummyfunction("if($T992&lt;&gt;"""",REGEXEXTRACT($T992, O$1&amp;""[\w &amp;]*, (\d+\.\d+)""),"""")
"),"")</f>
        <v/>
      </c>
      <c r="P992" s="2"/>
      <c r="Q992" s="2"/>
      <c r="R992" s="2"/>
      <c r="S992" s="2"/>
      <c r="T992" s="5"/>
    </row>
    <row r="993" customFormat="false" ht="15.75" hidden="false" customHeight="false" outlineLevel="0" collapsed="false">
      <c r="A993" s="4"/>
      <c r="B993" s="2"/>
      <c r="C993" s="2"/>
      <c r="D993" s="2"/>
      <c r="E993" s="2"/>
      <c r="F993" s="3" t="str">
        <f aca="false">IFERROR(__xludf.dummyfunction("if($T993&lt;&gt;"""",REGEXEXTRACT(SUBSTITUTE ($T993,F$1&amp;"" CE"",""""), F$1&amp;""[\w &amp;]*, (\d+\.\d+)""),"""")
"),"")</f>
        <v/>
      </c>
      <c r="G993" s="3" t="str">
        <f aca="false">IFERROR(__xludf.dummyfunction("if($T993&lt;&gt;"""",REGEXEXTRACT($T993, G$1&amp;""[\w &amp;]*, (\d+\.\d+)""),"""")
"),"")</f>
        <v/>
      </c>
      <c r="H993" s="3"/>
      <c r="I993" s="3" t="str">
        <f aca="false">IFERROR(__xludf.dummyfunction("if($T993&lt;&gt;"""",REGEXEXTRACT(SUBSTITUTE ($T993,I$1&amp;"" CE"",""""), I$1&amp;""[\w &amp;]*, (\d+\.\d+)""),"""")
"),"")</f>
        <v/>
      </c>
      <c r="J993" s="3" t="str">
        <f aca="false">IFERROR(__xludf.dummyfunction("if($T993&lt;&gt;"""",REGEXEXTRACT($T993, J$1&amp;""[\w &amp;]*, (\d+\.\d+)""),"""")
"),"")</f>
        <v/>
      </c>
      <c r="K993" s="3"/>
      <c r="L993" s="3" t="str">
        <f aca="false">IFERROR(__xludf.dummyfunction("if($T993&lt;&gt;"""",REGEXEXTRACT(SUBSTITUTE ($T993,L$1&amp;"" CE"",""""), L$1&amp;""[\w &amp;]*, (\d+\.\d+)""),"""")
"),"")</f>
        <v/>
      </c>
      <c r="M993" s="3" t="str">
        <f aca="false">IFERROR(__xludf.dummyfunction("if($T993&lt;&gt;"""",REGEXEXTRACT($T993, M$1&amp;""[\w &amp;]*, (\d+\.\d+)""),"""")
"),"")</f>
        <v/>
      </c>
      <c r="N993" s="3" t="str">
        <f aca="false">IFERROR(__xludf.dummyfunction("if($T993&lt;&gt;"""",REGEXEXTRACT(SUBSTITUTE ($T993,N$1&amp;"" CE"",""""), N$1&amp;""[\w &amp;]*, (\d+\.\d+)""),"""")
"),"")</f>
        <v/>
      </c>
      <c r="O993" s="3" t="str">
        <f aca="false">IFERROR(__xludf.dummyfunction("if($T993&lt;&gt;"""",REGEXEXTRACT($T993, O$1&amp;""[\w &amp;]*, (\d+\.\d+)""),"""")
"),"")</f>
        <v/>
      </c>
      <c r="P993" s="2"/>
      <c r="Q993" s="2"/>
      <c r="R993" s="2"/>
      <c r="S993" s="2"/>
      <c r="T993" s="5"/>
    </row>
    <row r="994" customFormat="false" ht="15.75" hidden="false" customHeight="false" outlineLevel="0" collapsed="false">
      <c r="A994" s="4"/>
      <c r="B994" s="2"/>
      <c r="C994" s="2"/>
      <c r="D994" s="2"/>
      <c r="E994" s="2"/>
      <c r="F994" s="3" t="str">
        <f aca="false">IFERROR(__xludf.dummyfunction("if($T994&lt;&gt;"""",REGEXEXTRACT(SUBSTITUTE ($T994,F$1&amp;"" CE"",""""), F$1&amp;""[\w &amp;]*, (\d+\.\d+)""),"""")
"),"")</f>
        <v/>
      </c>
      <c r="G994" s="3" t="str">
        <f aca="false">IFERROR(__xludf.dummyfunction("if($T994&lt;&gt;"""",REGEXEXTRACT($T994, G$1&amp;""[\w &amp;]*, (\d+\.\d+)""),"""")
"),"")</f>
        <v/>
      </c>
      <c r="H994" s="3"/>
      <c r="I994" s="3" t="str">
        <f aca="false">IFERROR(__xludf.dummyfunction("if($T994&lt;&gt;"""",REGEXEXTRACT(SUBSTITUTE ($T994,I$1&amp;"" CE"",""""), I$1&amp;""[\w &amp;]*, (\d+\.\d+)""),"""")
"),"")</f>
        <v/>
      </c>
      <c r="J994" s="3" t="str">
        <f aca="false">IFERROR(__xludf.dummyfunction("if($T994&lt;&gt;"""",REGEXEXTRACT($T994, J$1&amp;""[\w &amp;]*, (\d+\.\d+)""),"""")
"),"")</f>
        <v/>
      </c>
      <c r="K994" s="3"/>
      <c r="L994" s="3" t="str">
        <f aca="false">IFERROR(__xludf.dummyfunction("if($T994&lt;&gt;"""",REGEXEXTRACT(SUBSTITUTE ($T994,L$1&amp;"" CE"",""""), L$1&amp;""[\w &amp;]*, (\d+\.\d+)""),"""")
"),"")</f>
        <v/>
      </c>
      <c r="M994" s="3" t="str">
        <f aca="false">IFERROR(__xludf.dummyfunction("if($T994&lt;&gt;"""",REGEXEXTRACT($T994, M$1&amp;""[\w &amp;]*, (\d+\.\d+)""),"""")
"),"")</f>
        <v/>
      </c>
      <c r="N994" s="3" t="str">
        <f aca="false">IFERROR(__xludf.dummyfunction("if($T994&lt;&gt;"""",REGEXEXTRACT(SUBSTITUTE ($T994,N$1&amp;"" CE"",""""), N$1&amp;""[\w &amp;]*, (\d+\.\d+)""),"""")
"),"")</f>
        <v/>
      </c>
      <c r="O994" s="3" t="str">
        <f aca="false">IFERROR(__xludf.dummyfunction("if($T994&lt;&gt;"""",REGEXEXTRACT($T994, O$1&amp;""[\w &amp;]*, (\d+\.\d+)""),"""")
"),"")</f>
        <v/>
      </c>
      <c r="P994" s="2"/>
      <c r="Q994" s="2"/>
      <c r="R994" s="2"/>
      <c r="S994" s="2"/>
      <c r="T994" s="5"/>
    </row>
    <row r="995" customFormat="false" ht="15.75" hidden="false" customHeight="false" outlineLevel="0" collapsed="false">
      <c r="A995" s="4"/>
      <c r="B995" s="2"/>
      <c r="C995" s="2"/>
      <c r="D995" s="2"/>
      <c r="E995" s="2"/>
      <c r="F995" s="3" t="str">
        <f aca="false">IFERROR(__xludf.dummyfunction("if($T995&lt;&gt;"""",REGEXEXTRACT(SUBSTITUTE ($T995,F$1&amp;"" CE"",""""), F$1&amp;""[\w &amp;]*, (\d+\.\d+)""),"""")
"),"")</f>
        <v/>
      </c>
      <c r="G995" s="3" t="str">
        <f aca="false">IFERROR(__xludf.dummyfunction("if($T995&lt;&gt;"""",REGEXEXTRACT($T995, G$1&amp;""[\w &amp;]*, (\d+\.\d+)""),"""")
"),"")</f>
        <v/>
      </c>
      <c r="H995" s="3"/>
      <c r="I995" s="3" t="str">
        <f aca="false">IFERROR(__xludf.dummyfunction("if($T995&lt;&gt;"""",REGEXEXTRACT(SUBSTITUTE ($T995,I$1&amp;"" CE"",""""), I$1&amp;""[\w &amp;]*, (\d+\.\d+)""),"""")
"),"")</f>
        <v/>
      </c>
      <c r="J995" s="3" t="str">
        <f aca="false">IFERROR(__xludf.dummyfunction("if($T995&lt;&gt;"""",REGEXEXTRACT($T995, J$1&amp;""[\w &amp;]*, (\d+\.\d+)""),"""")
"),"")</f>
        <v/>
      </c>
      <c r="K995" s="3"/>
      <c r="L995" s="3" t="str">
        <f aca="false">IFERROR(__xludf.dummyfunction("if($T995&lt;&gt;"""",REGEXEXTRACT(SUBSTITUTE ($T995,L$1&amp;"" CE"",""""), L$1&amp;""[\w &amp;]*, (\d+\.\d+)""),"""")
"),"")</f>
        <v/>
      </c>
      <c r="M995" s="3" t="str">
        <f aca="false">IFERROR(__xludf.dummyfunction("if($T995&lt;&gt;"""",REGEXEXTRACT($T995, M$1&amp;""[\w &amp;]*, (\d+\.\d+)""),"""")
"),"")</f>
        <v/>
      </c>
      <c r="N995" s="3" t="str">
        <f aca="false">IFERROR(__xludf.dummyfunction("if($T995&lt;&gt;"""",REGEXEXTRACT(SUBSTITUTE ($T995,N$1&amp;"" CE"",""""), N$1&amp;""[\w &amp;]*, (\d+\.\d+)""),"""")
"),"")</f>
        <v/>
      </c>
      <c r="O995" s="3" t="str">
        <f aca="false">IFERROR(__xludf.dummyfunction("if($T995&lt;&gt;"""",REGEXEXTRACT($T995, O$1&amp;""[\w &amp;]*, (\d+\.\d+)""),"""")
"),"")</f>
        <v/>
      </c>
      <c r="P995" s="2"/>
      <c r="Q995" s="2"/>
      <c r="R995" s="2"/>
      <c r="S995" s="2"/>
      <c r="T995" s="5"/>
    </row>
    <row r="996" customFormat="false" ht="15.75" hidden="false" customHeight="false" outlineLevel="0" collapsed="false">
      <c r="A996" s="4"/>
      <c r="B996" s="2"/>
      <c r="C996" s="2"/>
      <c r="D996" s="2"/>
      <c r="E996" s="2"/>
      <c r="F996" s="3" t="str">
        <f aca="false">IFERROR(__xludf.dummyfunction("if($T996&lt;&gt;"""",REGEXEXTRACT(SUBSTITUTE ($T996,F$1&amp;"" CE"",""""), F$1&amp;""[\w &amp;]*, (\d+\.\d+)""),"""")
"),"")</f>
        <v/>
      </c>
      <c r="G996" s="3" t="str">
        <f aca="false">IFERROR(__xludf.dummyfunction("if($T996&lt;&gt;"""",REGEXEXTRACT($T996, G$1&amp;""[\w &amp;]*, (\d+\.\d+)""),"""")
"),"")</f>
        <v/>
      </c>
      <c r="H996" s="3"/>
      <c r="I996" s="3" t="str">
        <f aca="false">IFERROR(__xludf.dummyfunction("if($T996&lt;&gt;"""",REGEXEXTRACT(SUBSTITUTE ($T996,I$1&amp;"" CE"",""""), I$1&amp;""[\w &amp;]*, (\d+\.\d+)""),"""")
"),"")</f>
        <v/>
      </c>
      <c r="J996" s="3" t="str">
        <f aca="false">IFERROR(__xludf.dummyfunction("if($T996&lt;&gt;"""",REGEXEXTRACT($T996, J$1&amp;""[\w &amp;]*, (\d+\.\d+)""),"""")
"),"")</f>
        <v/>
      </c>
      <c r="K996" s="3"/>
      <c r="L996" s="3" t="str">
        <f aca="false">IFERROR(__xludf.dummyfunction("if($T996&lt;&gt;"""",REGEXEXTRACT(SUBSTITUTE ($T996,L$1&amp;"" CE"",""""), L$1&amp;""[\w &amp;]*, (\d+\.\d+)""),"""")
"),"")</f>
        <v/>
      </c>
      <c r="M996" s="3" t="str">
        <f aca="false">IFERROR(__xludf.dummyfunction("if($T996&lt;&gt;"""",REGEXEXTRACT($T996, M$1&amp;""[\w &amp;]*, (\d+\.\d+)""),"""")
"),"")</f>
        <v/>
      </c>
      <c r="N996" s="3" t="str">
        <f aca="false">IFERROR(__xludf.dummyfunction("if($T996&lt;&gt;"""",REGEXEXTRACT(SUBSTITUTE ($T996,N$1&amp;"" CE"",""""), N$1&amp;""[\w &amp;]*, (\d+\.\d+)""),"""")
"),"")</f>
        <v/>
      </c>
      <c r="O996" s="3" t="str">
        <f aca="false">IFERROR(__xludf.dummyfunction("if($T996&lt;&gt;"""",REGEXEXTRACT($T996, O$1&amp;""[\w &amp;]*, (\d+\.\d+)""),"""")
"),"")</f>
        <v/>
      </c>
      <c r="P996" s="2"/>
      <c r="Q996" s="2"/>
      <c r="R996" s="2"/>
      <c r="S996" s="2"/>
      <c r="T996" s="5"/>
    </row>
    <row r="997" customFormat="false" ht="15.75" hidden="false" customHeight="false" outlineLevel="0" collapsed="false">
      <c r="A997" s="4"/>
      <c r="B997" s="2"/>
      <c r="C997" s="2"/>
      <c r="D997" s="2"/>
      <c r="E997" s="2"/>
      <c r="F997" s="3" t="str">
        <f aca="false">IFERROR(__xludf.dummyfunction("if($T997&lt;&gt;"""",REGEXEXTRACT(SUBSTITUTE ($T997,F$1&amp;"" CE"",""""), F$1&amp;""[\w &amp;]*, (\d+\.\d+)""),"""")
"),"")</f>
        <v/>
      </c>
      <c r="G997" s="3" t="str">
        <f aca="false">IFERROR(__xludf.dummyfunction("if($T997&lt;&gt;"""",REGEXEXTRACT($T997, G$1&amp;""[\w &amp;]*, (\d+\.\d+)""),"""")
"),"")</f>
        <v/>
      </c>
      <c r="H997" s="3"/>
      <c r="I997" s="3" t="str">
        <f aca="false">IFERROR(__xludf.dummyfunction("if($T997&lt;&gt;"""",REGEXEXTRACT(SUBSTITUTE ($T997,I$1&amp;"" CE"",""""), I$1&amp;""[\w &amp;]*, (\d+\.\d+)""),"""")
"),"")</f>
        <v/>
      </c>
      <c r="J997" s="3" t="str">
        <f aca="false">IFERROR(__xludf.dummyfunction("if($T997&lt;&gt;"""",REGEXEXTRACT($T997, J$1&amp;""[\w &amp;]*, (\d+\.\d+)""),"""")
"),"")</f>
        <v/>
      </c>
      <c r="K997" s="3"/>
      <c r="L997" s="3" t="str">
        <f aca="false">IFERROR(__xludf.dummyfunction("if($T997&lt;&gt;"""",REGEXEXTRACT(SUBSTITUTE ($T997,L$1&amp;"" CE"",""""), L$1&amp;""[\w &amp;]*, (\d+\.\d+)""),"""")
"),"")</f>
        <v/>
      </c>
      <c r="M997" s="3" t="str">
        <f aca="false">IFERROR(__xludf.dummyfunction("if($T997&lt;&gt;"""",REGEXEXTRACT($T997, M$1&amp;""[\w &amp;]*, (\d+\.\d+)""),"""")
"),"")</f>
        <v/>
      </c>
      <c r="N997" s="3" t="str">
        <f aca="false">IFERROR(__xludf.dummyfunction("if($T997&lt;&gt;"""",REGEXEXTRACT(SUBSTITUTE ($T997,N$1&amp;"" CE"",""""), N$1&amp;""[\w &amp;]*, (\d+\.\d+)""),"""")
"),"")</f>
        <v/>
      </c>
      <c r="O997" s="3" t="str">
        <f aca="false">IFERROR(__xludf.dummyfunction("if($T997&lt;&gt;"""",REGEXEXTRACT($T997, O$1&amp;""[\w &amp;]*, (\d+\.\d+)""),"""")
"),"")</f>
        <v/>
      </c>
      <c r="P997" s="2"/>
      <c r="Q997" s="2"/>
      <c r="R997" s="2"/>
      <c r="S997" s="2"/>
      <c r="T997" s="5"/>
    </row>
    <row r="998" customFormat="false" ht="15.75" hidden="false" customHeight="false" outlineLevel="0" collapsed="false">
      <c r="A998" s="4"/>
      <c r="B998" s="2"/>
      <c r="C998" s="2"/>
      <c r="D998" s="2"/>
      <c r="E998" s="2"/>
      <c r="F998" s="3" t="str">
        <f aca="false">IFERROR(__xludf.dummyfunction("if($T998&lt;&gt;"""",REGEXEXTRACT(SUBSTITUTE ($T998,F$1&amp;"" CE"",""""), F$1&amp;""[\w &amp;]*, (\d+\.\d+)""),"""")
"),"")</f>
        <v/>
      </c>
      <c r="G998" s="3" t="str">
        <f aca="false">IFERROR(__xludf.dummyfunction("if($T998&lt;&gt;"""",REGEXEXTRACT($T998, G$1&amp;""[\w &amp;]*, (\d+\.\d+)""),"""")
"),"")</f>
        <v/>
      </c>
      <c r="H998" s="3"/>
      <c r="I998" s="3" t="str">
        <f aca="false">IFERROR(__xludf.dummyfunction("if($T998&lt;&gt;"""",REGEXEXTRACT(SUBSTITUTE ($T998,I$1&amp;"" CE"",""""), I$1&amp;""[\w &amp;]*, (\d+\.\d+)""),"""")
"),"")</f>
        <v/>
      </c>
      <c r="J998" s="3" t="str">
        <f aca="false">IFERROR(__xludf.dummyfunction("if($T998&lt;&gt;"""",REGEXEXTRACT($T998, J$1&amp;""[\w &amp;]*, (\d+\.\d+)""),"""")
"),"")</f>
        <v/>
      </c>
      <c r="K998" s="3"/>
      <c r="L998" s="3" t="str">
        <f aca="false">IFERROR(__xludf.dummyfunction("if($T998&lt;&gt;"""",REGEXEXTRACT(SUBSTITUTE ($T998,L$1&amp;"" CE"",""""), L$1&amp;""[\w &amp;]*, (\d+\.\d+)""),"""")
"),"")</f>
        <v/>
      </c>
      <c r="M998" s="3" t="str">
        <f aca="false">IFERROR(__xludf.dummyfunction("if($T998&lt;&gt;"""",REGEXEXTRACT($T998, M$1&amp;""[\w &amp;]*, (\d+\.\d+)""),"""")
"),"")</f>
        <v/>
      </c>
      <c r="N998" s="3" t="str">
        <f aca="false">IFERROR(__xludf.dummyfunction("if($T998&lt;&gt;"""",REGEXEXTRACT(SUBSTITUTE ($T998,N$1&amp;"" CE"",""""), N$1&amp;""[\w &amp;]*, (\d+\.\d+)""),"""")
"),"")</f>
        <v/>
      </c>
      <c r="O998" s="3" t="str">
        <f aca="false">IFERROR(__xludf.dummyfunction("if($T998&lt;&gt;"""",REGEXEXTRACT($T998, O$1&amp;""[\w &amp;]*, (\d+\.\d+)""),"""")
"),"")</f>
        <v/>
      </c>
      <c r="P998" s="2"/>
      <c r="Q998" s="2"/>
      <c r="R998" s="2"/>
      <c r="S998" s="2"/>
      <c r="T998" s="5"/>
    </row>
    <row r="999" customFormat="false" ht="15.75" hidden="false" customHeight="false" outlineLevel="0" collapsed="false">
      <c r="A999" s="4"/>
      <c r="B999" s="2"/>
      <c r="C999" s="2"/>
      <c r="D999" s="2"/>
      <c r="E999" s="2"/>
      <c r="F999" s="3" t="str">
        <f aca="false">IFERROR(__xludf.dummyfunction("if($T999&lt;&gt;"""",REGEXEXTRACT(SUBSTITUTE ($T999,F$1&amp;"" CE"",""""), F$1&amp;""[\w &amp;]*, (\d+\.\d+)""),"""")
"),"")</f>
        <v/>
      </c>
      <c r="G999" s="3" t="str">
        <f aca="false">IFERROR(__xludf.dummyfunction("if($T999&lt;&gt;"""",REGEXEXTRACT($T999, G$1&amp;""[\w &amp;]*, (\d+\.\d+)""),"""")
"),"")</f>
        <v/>
      </c>
      <c r="H999" s="3"/>
      <c r="I999" s="3" t="str">
        <f aca="false">IFERROR(__xludf.dummyfunction("if($T999&lt;&gt;"""",REGEXEXTRACT(SUBSTITUTE ($T999,I$1&amp;"" CE"",""""), I$1&amp;""[\w &amp;]*, (\d+\.\d+)""),"""")
"),"")</f>
        <v/>
      </c>
      <c r="J999" s="3" t="str">
        <f aca="false">IFERROR(__xludf.dummyfunction("if($T999&lt;&gt;"""",REGEXEXTRACT($T999, J$1&amp;""[\w &amp;]*, (\d+\.\d+)""),"""")
"),"")</f>
        <v/>
      </c>
      <c r="K999" s="3"/>
      <c r="L999" s="3" t="str">
        <f aca="false">IFERROR(__xludf.dummyfunction("if($T999&lt;&gt;"""",REGEXEXTRACT(SUBSTITUTE ($T999,L$1&amp;"" CE"",""""), L$1&amp;""[\w &amp;]*, (\d+\.\d+)""),"""")
"),"")</f>
        <v/>
      </c>
      <c r="M999" s="3" t="str">
        <f aca="false">IFERROR(__xludf.dummyfunction("if($T999&lt;&gt;"""",REGEXEXTRACT($T999, M$1&amp;""[\w &amp;]*, (\d+\.\d+)""),"""")
"),"")</f>
        <v/>
      </c>
      <c r="N999" s="3" t="str">
        <f aca="false">IFERROR(__xludf.dummyfunction("if($T999&lt;&gt;"""",REGEXEXTRACT(SUBSTITUTE ($T999,N$1&amp;"" CE"",""""), N$1&amp;""[\w &amp;]*, (\d+\.\d+)""),"""")
"),"")</f>
        <v/>
      </c>
      <c r="O999" s="3" t="str">
        <f aca="false">IFERROR(__xludf.dummyfunction("if($T999&lt;&gt;"""",REGEXEXTRACT($T999, O$1&amp;""[\w &amp;]*, (\d+\.\d+)""),"""")
"),"")</f>
        <v/>
      </c>
      <c r="P999" s="2"/>
      <c r="Q999" s="2"/>
      <c r="R999" s="2"/>
      <c r="S999" s="2"/>
      <c r="T999" s="5"/>
    </row>
    <row r="1000" customFormat="false" ht="15.75" hidden="false" customHeight="false" outlineLevel="0" collapsed="false">
      <c r="A1000" s="4"/>
      <c r="B1000" s="2"/>
      <c r="C1000" s="2"/>
      <c r="D1000" s="2"/>
      <c r="E1000" s="2"/>
      <c r="F1000" s="3" t="str">
        <f aca="false">IFERROR(__xludf.dummyfunction("if($T1000&lt;&gt;"""",REGEXEXTRACT(SUBSTITUTE ($T1000,F$1&amp;"" CE"",""""), F$1&amp;""[\w &amp;]*, (\d+\.\d+)""),"""")
"),"")</f>
        <v/>
      </c>
      <c r="G1000" s="3" t="str">
        <f aca="false">IFERROR(__xludf.dummyfunction("if($T1000&lt;&gt;"""",REGEXEXTRACT($T1000, G$1&amp;""[\w &amp;]*, (\d+\.\d+)""),"""")
"),"")</f>
        <v/>
      </c>
      <c r="H1000" s="3"/>
      <c r="I1000" s="3" t="str">
        <f aca="false">IFERROR(__xludf.dummyfunction("if($T1000&lt;&gt;"""",REGEXEXTRACT(SUBSTITUTE ($T1000,I$1&amp;"" CE"",""""), I$1&amp;""[\w &amp;]*, (\d+\.\d+)""),"""")
"),"")</f>
        <v/>
      </c>
      <c r="J1000" s="3" t="str">
        <f aca="false">IFERROR(__xludf.dummyfunction("if($T1000&lt;&gt;"""",REGEXEXTRACT($T1000, J$1&amp;""[\w &amp;]*, (\d+\.\d+)""),"""")
"),"")</f>
        <v/>
      </c>
      <c r="K1000" s="3"/>
      <c r="L1000" s="3" t="str">
        <f aca="false">IFERROR(__xludf.dummyfunction("if($T1000&lt;&gt;"""",REGEXEXTRACT(SUBSTITUTE ($T1000,L$1&amp;"" CE"",""""), L$1&amp;""[\w &amp;]*, (\d+\.\d+)""),"""")
"),"")</f>
        <v/>
      </c>
      <c r="M1000" s="3" t="str">
        <f aca="false">IFERROR(__xludf.dummyfunction("if($T1000&lt;&gt;"""",REGEXEXTRACT($T1000, M$1&amp;""[\w &amp;]*, (\d+\.\d+)""),"""")
"),"")</f>
        <v/>
      </c>
      <c r="N1000" s="3" t="str">
        <f aca="false">IFERROR(__xludf.dummyfunction("if($T1000&lt;&gt;"""",REGEXEXTRACT(SUBSTITUTE ($T1000,N$1&amp;"" CE"",""""), N$1&amp;""[\w &amp;]*, (\d+\.\d+)""),"""")
"),"")</f>
        <v/>
      </c>
      <c r="O1000" s="3" t="str">
        <f aca="false">IFERROR(__xludf.dummyfunction("if($T1000&lt;&gt;"""",REGEXEXTRACT($T1000, O$1&amp;""[\w &amp;]*, (\d+\.\d+)""),"""")
"),"")</f>
        <v/>
      </c>
      <c r="P1000" s="2"/>
      <c r="Q1000" s="2"/>
      <c r="R1000" s="2"/>
      <c r="S1000" s="2"/>
      <c r="T1000" s="5"/>
    </row>
    <row r="1001" customFormat="false" ht="15.75" hidden="false" customHeight="false" outlineLevel="0" collapsed="false">
      <c r="A1001" s="4"/>
      <c r="B1001" s="2"/>
      <c r="C1001" s="2"/>
      <c r="D1001" s="2"/>
      <c r="E1001" s="2"/>
      <c r="F1001" s="3" t="str">
        <f aca="false">IFERROR(__xludf.dummyfunction("if($T1001&lt;&gt;"""",REGEXEXTRACT(SUBSTITUTE ($T1001,F$1&amp;"" CE"",""""), F$1&amp;""[\w &amp;]*, (\d+\.\d+)""),"""")
"),"")</f>
        <v/>
      </c>
      <c r="G1001" s="3" t="str">
        <f aca="false">IFERROR(__xludf.dummyfunction("if($T1001&lt;&gt;"""",REGEXEXTRACT($T1001, G$1&amp;""[\w &amp;]*, (\d+\.\d+)""),"""")
"),"")</f>
        <v/>
      </c>
      <c r="H1001" s="3"/>
      <c r="I1001" s="3" t="str">
        <f aca="false">IFERROR(__xludf.dummyfunction("if($T1001&lt;&gt;"""",REGEXEXTRACT(SUBSTITUTE ($T1001,I$1&amp;"" CE"",""""), I$1&amp;""[\w &amp;]*, (\d+\.\d+)""),"""")
"),"")</f>
        <v/>
      </c>
      <c r="J1001" s="3" t="str">
        <f aca="false">IFERROR(__xludf.dummyfunction("if($T1001&lt;&gt;"""",REGEXEXTRACT($T1001, J$1&amp;""[\w &amp;]*, (\d+\.\d+)""),"""")
"),"")</f>
        <v/>
      </c>
      <c r="K1001" s="3"/>
      <c r="L1001" s="3" t="str">
        <f aca="false">IFERROR(__xludf.dummyfunction("if($T1001&lt;&gt;"""",REGEXEXTRACT(SUBSTITUTE ($T1001,L$1&amp;"" CE"",""""), L$1&amp;""[\w &amp;]*, (\d+\.\d+)""),"""")
"),"")</f>
        <v/>
      </c>
      <c r="M1001" s="3" t="str">
        <f aca="false">IFERROR(__xludf.dummyfunction("if($T1001&lt;&gt;"""",REGEXEXTRACT($T1001, M$1&amp;""[\w &amp;]*, (\d+\.\d+)""),"""")
"),"")</f>
        <v/>
      </c>
      <c r="N1001" s="3" t="str">
        <f aca="false">IFERROR(__xludf.dummyfunction("if($T1001&lt;&gt;"""",REGEXEXTRACT(SUBSTITUTE ($T1001,N$1&amp;"" CE"",""""), N$1&amp;""[\w &amp;]*, (\d+\.\d+)""),"""")
"),"")</f>
        <v/>
      </c>
      <c r="O1001" s="3" t="str">
        <f aca="false">IFERROR(__xludf.dummyfunction("if($T1001&lt;&gt;"""",REGEXEXTRACT($T1001, O$1&amp;""[\w &amp;]*, (\d+\.\d+)""),"""")
"),"")</f>
        <v/>
      </c>
      <c r="P1001" s="2"/>
      <c r="Q1001" s="2"/>
      <c r="R1001" s="2"/>
      <c r="S1001" s="2"/>
      <c r="T1001" s="5"/>
    </row>
    <row r="1002" customFormat="false" ht="15.75" hidden="false" customHeight="false" outlineLevel="0" collapsed="false">
      <c r="A1002" s="4"/>
      <c r="B1002" s="2"/>
      <c r="C1002" s="2"/>
      <c r="D1002" s="2"/>
      <c r="E1002" s="2"/>
      <c r="F1002" s="3" t="str">
        <f aca="false">IFERROR(__xludf.dummyfunction("if($T1002&lt;&gt;"""",REGEXEXTRACT(SUBSTITUTE ($T1002,F$1&amp;"" CE"",""""), F$1&amp;""[\w &amp;]*, (\d+\.\d+)""),"""")
"),"")</f>
        <v/>
      </c>
      <c r="G1002" s="3" t="str">
        <f aca="false">IFERROR(__xludf.dummyfunction("if($T1002&lt;&gt;"""",REGEXEXTRACT($T1002, G$1&amp;""[\w &amp;]*, (\d+\.\d+)""),"""")
"),"")</f>
        <v/>
      </c>
      <c r="H1002" s="3"/>
      <c r="I1002" s="3" t="str">
        <f aca="false">IFERROR(__xludf.dummyfunction("if($T1002&lt;&gt;"""",REGEXEXTRACT(SUBSTITUTE ($T1002,I$1&amp;"" CE"",""""), I$1&amp;""[\w &amp;]*, (\d+\.\d+)""),"""")
"),"")</f>
        <v/>
      </c>
      <c r="J1002" s="3" t="str">
        <f aca="false">IFERROR(__xludf.dummyfunction("if($T1002&lt;&gt;"""",REGEXEXTRACT($T1002, J$1&amp;""[\w &amp;]*, (\d+\.\d+)""),"""")
"),"")</f>
        <v/>
      </c>
      <c r="K1002" s="3"/>
      <c r="L1002" s="3" t="str">
        <f aca="false">IFERROR(__xludf.dummyfunction("if($T1002&lt;&gt;"""",REGEXEXTRACT(SUBSTITUTE ($T1002,L$1&amp;"" CE"",""""), L$1&amp;""[\w &amp;]*, (\d+\.\d+)""),"""")
"),"")</f>
        <v/>
      </c>
      <c r="M1002" s="3" t="str">
        <f aca="false">IFERROR(__xludf.dummyfunction("if($T1002&lt;&gt;"""",REGEXEXTRACT($T1002, M$1&amp;""[\w &amp;]*, (\d+\.\d+)""),"""")
"),"")</f>
        <v/>
      </c>
      <c r="N1002" s="3" t="str">
        <f aca="false">IFERROR(__xludf.dummyfunction("if($T1002&lt;&gt;"""",REGEXEXTRACT(SUBSTITUTE ($T1002,N$1&amp;"" CE"",""""), N$1&amp;""[\w &amp;]*, (\d+\.\d+)""),"""")
"),"")</f>
        <v/>
      </c>
      <c r="O1002" s="3" t="str">
        <f aca="false">IFERROR(__xludf.dummyfunction("if($T1002&lt;&gt;"""",REGEXEXTRACT($T1002, O$1&amp;""[\w &amp;]*, (\d+\.\d+)""),"""")
"),"")</f>
        <v/>
      </c>
      <c r="P1002" s="2"/>
      <c r="Q1002" s="2"/>
      <c r="R1002" s="2"/>
      <c r="S1002" s="2"/>
      <c r="T1002" s="5"/>
    </row>
    <row r="1003" customFormat="false" ht="15.75" hidden="false" customHeight="false" outlineLevel="0" collapsed="false">
      <c r="A1003" s="4"/>
      <c r="B1003" s="2"/>
      <c r="C1003" s="2"/>
      <c r="D1003" s="2"/>
      <c r="E1003" s="2"/>
      <c r="F1003" s="3" t="str">
        <f aca="false">IFERROR(__xludf.dummyfunction("if($T1003&lt;&gt;"""",REGEXEXTRACT(SUBSTITUTE ($T1003,F$1&amp;"" CE"",""""), F$1&amp;""[\w &amp;]*, (\d+\.\d+)""),"""")
"),"")</f>
        <v/>
      </c>
      <c r="G1003" s="3" t="str">
        <f aca="false">IFERROR(__xludf.dummyfunction("if($T1003&lt;&gt;"""",REGEXEXTRACT($T1003, G$1&amp;""[\w &amp;]*, (\d+\.\d+)""),"""")
"),"")</f>
        <v/>
      </c>
      <c r="H1003" s="3"/>
      <c r="I1003" s="3" t="str">
        <f aca="false">IFERROR(__xludf.dummyfunction("if($T1003&lt;&gt;"""",REGEXEXTRACT(SUBSTITUTE ($T1003,I$1&amp;"" CE"",""""), I$1&amp;""[\w &amp;]*, (\d+\.\d+)""),"""")
"),"")</f>
        <v/>
      </c>
      <c r="J1003" s="3" t="str">
        <f aca="false">IFERROR(__xludf.dummyfunction("if($T1003&lt;&gt;"""",REGEXEXTRACT($T1003, J$1&amp;""[\w &amp;]*, (\d+\.\d+)""),"""")
"),"")</f>
        <v/>
      </c>
      <c r="K1003" s="3"/>
      <c r="L1003" s="3" t="str">
        <f aca="false">IFERROR(__xludf.dummyfunction("if($T1003&lt;&gt;"""",REGEXEXTRACT(SUBSTITUTE ($T1003,L$1&amp;"" CE"",""""), L$1&amp;""[\w &amp;]*, (\d+\.\d+)""),"""")
"),"")</f>
        <v/>
      </c>
      <c r="M1003" s="3" t="str">
        <f aca="false">IFERROR(__xludf.dummyfunction("if($T1003&lt;&gt;"""",REGEXEXTRACT($T1003, M$1&amp;""[\w &amp;]*, (\d+\.\d+)""),"""")
"),"")</f>
        <v/>
      </c>
      <c r="N1003" s="3" t="str">
        <f aca="false">IFERROR(__xludf.dummyfunction("if($T1003&lt;&gt;"""",REGEXEXTRACT(SUBSTITUTE ($T1003,N$1&amp;"" CE"",""""), N$1&amp;""[\w &amp;]*, (\d+\.\d+)""),"""")
"),"")</f>
        <v/>
      </c>
      <c r="O1003" s="3" t="str">
        <f aca="false">IFERROR(__xludf.dummyfunction("if($T1003&lt;&gt;"""",REGEXEXTRACT($T1003, O$1&amp;""[\w &amp;]*, (\d+\.\d+)""),"""")
"),"")</f>
        <v/>
      </c>
      <c r="P1003" s="2"/>
      <c r="Q1003" s="2"/>
      <c r="R1003" s="2"/>
      <c r="S1003" s="2"/>
      <c r="T1003" s="5"/>
    </row>
    <row r="1004" customFormat="false" ht="15.75" hidden="false" customHeight="false" outlineLevel="0" collapsed="false">
      <c r="A1004" s="4"/>
      <c r="B1004" s="2"/>
      <c r="C1004" s="2"/>
      <c r="D1004" s="2"/>
      <c r="E1004" s="2"/>
      <c r="F1004" s="3" t="str">
        <f aca="false">IFERROR(__xludf.dummyfunction("if($T1004&lt;&gt;"""",REGEXEXTRACT(SUBSTITUTE ($T1004,F$1&amp;"" CE"",""""), F$1&amp;""[\w &amp;]*, (\d+\.\d+)""),"""")
"),"")</f>
        <v/>
      </c>
      <c r="G1004" s="3" t="str">
        <f aca="false">IFERROR(__xludf.dummyfunction("if($T1004&lt;&gt;"""",REGEXEXTRACT($T1004, G$1&amp;""[\w &amp;]*, (\d+\.\d+)""),"""")
"),"")</f>
        <v/>
      </c>
      <c r="H1004" s="3"/>
      <c r="I1004" s="3" t="str">
        <f aca="false">IFERROR(__xludf.dummyfunction("if($T1004&lt;&gt;"""",REGEXEXTRACT(SUBSTITUTE ($T1004,I$1&amp;"" CE"",""""), I$1&amp;""[\w &amp;]*, (\d+\.\d+)""),"""")
"),"")</f>
        <v/>
      </c>
      <c r="J1004" s="3" t="str">
        <f aca="false">IFERROR(__xludf.dummyfunction("if($T1004&lt;&gt;"""",REGEXEXTRACT($T1004, J$1&amp;""[\w &amp;]*, (\d+\.\d+)""),"""")
"),"")</f>
        <v/>
      </c>
      <c r="K1004" s="3"/>
      <c r="L1004" s="3" t="str">
        <f aca="false">IFERROR(__xludf.dummyfunction("if($T1004&lt;&gt;"""",REGEXEXTRACT(SUBSTITUTE ($T1004,L$1&amp;"" CE"",""""), L$1&amp;""[\w &amp;]*, (\d+\.\d+)""),"""")
"),"")</f>
        <v/>
      </c>
      <c r="M1004" s="3" t="str">
        <f aca="false">IFERROR(__xludf.dummyfunction("if($T1004&lt;&gt;"""",REGEXEXTRACT($T1004, M$1&amp;""[\w &amp;]*, (\d+\.\d+)""),"""")
"),"")</f>
        <v/>
      </c>
      <c r="N1004" s="3" t="str">
        <f aca="false">IFERROR(__xludf.dummyfunction("if($T1004&lt;&gt;"""",REGEXEXTRACT(SUBSTITUTE ($T1004,N$1&amp;"" CE"",""""), N$1&amp;""[\w &amp;]*, (\d+\.\d+)""),"""")
"),"")</f>
        <v/>
      </c>
      <c r="O1004" s="3" t="str">
        <f aca="false">IFERROR(__xludf.dummyfunction("if($T1004&lt;&gt;"""",REGEXEXTRACT($T1004, O$1&amp;""[\w &amp;]*, (\d+\.\d+)""),"""")
"),"")</f>
        <v/>
      </c>
      <c r="P1004" s="2"/>
      <c r="Q1004" s="2"/>
      <c r="R1004" s="2"/>
      <c r="S1004" s="2"/>
      <c r="T1004" s="5"/>
    </row>
    <row r="1005" customFormat="false" ht="15.75" hidden="false" customHeight="false" outlineLevel="0" collapsed="false">
      <c r="A1005" s="4"/>
      <c r="B1005" s="2"/>
      <c r="C1005" s="2"/>
      <c r="D1005" s="2"/>
      <c r="E1005" s="2"/>
      <c r="F1005" s="3" t="str">
        <f aca="false">IFERROR(__xludf.dummyfunction("if($T1005&lt;&gt;"""",REGEXEXTRACT(SUBSTITUTE ($T1005,F$1&amp;"" CE"",""""), F$1&amp;""[\w &amp;]*, (\d+\.\d+)""),"""")
"),"")</f>
        <v/>
      </c>
      <c r="G1005" s="3" t="str">
        <f aca="false">IFERROR(__xludf.dummyfunction("if($T1005&lt;&gt;"""",REGEXEXTRACT($T1005, G$1&amp;""[\w &amp;]*, (\d+\.\d+)""),"""")
"),"")</f>
        <v/>
      </c>
      <c r="H1005" s="3"/>
      <c r="I1005" s="3" t="str">
        <f aca="false">IFERROR(__xludf.dummyfunction("if($T1005&lt;&gt;"""",REGEXEXTRACT(SUBSTITUTE ($T1005,I$1&amp;"" CE"",""""), I$1&amp;""[\w &amp;]*, (\d+\.\d+)""),"""")
"),"")</f>
        <v/>
      </c>
      <c r="J1005" s="3" t="str">
        <f aca="false">IFERROR(__xludf.dummyfunction("if($T1005&lt;&gt;"""",REGEXEXTRACT($T1005, J$1&amp;""[\w &amp;]*, (\d+\.\d+)""),"""")
"),"")</f>
        <v/>
      </c>
      <c r="K1005" s="3"/>
      <c r="L1005" s="3" t="str">
        <f aca="false">IFERROR(__xludf.dummyfunction("if($T1005&lt;&gt;"""",REGEXEXTRACT(SUBSTITUTE ($T1005,L$1&amp;"" CE"",""""), L$1&amp;""[\w &amp;]*, (\d+\.\d+)""),"""")
"),"")</f>
        <v/>
      </c>
      <c r="M1005" s="3" t="str">
        <f aca="false">IFERROR(__xludf.dummyfunction("if($T1005&lt;&gt;"""",REGEXEXTRACT($T1005, M$1&amp;""[\w &amp;]*, (\d+\.\d+)""),"""")
"),"")</f>
        <v/>
      </c>
      <c r="N1005" s="3" t="str">
        <f aca="false">IFERROR(__xludf.dummyfunction("if($T1005&lt;&gt;"""",REGEXEXTRACT(SUBSTITUTE ($T1005,N$1&amp;"" CE"",""""), N$1&amp;""[\w &amp;]*, (\d+\.\d+)""),"""")
"),"")</f>
        <v/>
      </c>
      <c r="O1005" s="3" t="str">
        <f aca="false">IFERROR(__xludf.dummyfunction("if($T1005&lt;&gt;"""",REGEXEXTRACT($T1005, O$1&amp;""[\w &amp;]*, (\d+\.\d+)""),"""")
"),"")</f>
        <v/>
      </c>
      <c r="P1005" s="2"/>
      <c r="Q1005" s="2"/>
      <c r="R1005" s="2"/>
      <c r="S1005" s="2"/>
      <c r="T1005" s="5"/>
    </row>
    <row r="1006" customFormat="false" ht="15.75" hidden="false" customHeight="false" outlineLevel="0" collapsed="false">
      <c r="A1006" s="4"/>
      <c r="B1006" s="2"/>
      <c r="C1006" s="2"/>
      <c r="D1006" s="2"/>
      <c r="E1006" s="2"/>
      <c r="F1006" s="3" t="str">
        <f aca="false">IFERROR(__xludf.dummyfunction("if($T1006&lt;&gt;"""",REGEXEXTRACT(SUBSTITUTE ($T1006,F$1&amp;"" CE"",""""), F$1&amp;""[\w &amp;]*, (\d+\.\d+)""),"""")
"),"")</f>
        <v/>
      </c>
      <c r="G1006" s="3" t="str">
        <f aca="false">IFERROR(__xludf.dummyfunction("if($T1006&lt;&gt;"""",REGEXEXTRACT($T1006, G$1&amp;""[\w &amp;]*, (\d+\.\d+)""),"""")
"),"")</f>
        <v/>
      </c>
      <c r="H1006" s="3"/>
      <c r="I1006" s="3" t="str">
        <f aca="false">IFERROR(__xludf.dummyfunction("if($T1006&lt;&gt;"""",REGEXEXTRACT(SUBSTITUTE ($T1006,I$1&amp;"" CE"",""""), I$1&amp;""[\w &amp;]*, (\d+\.\d+)""),"""")
"),"")</f>
        <v/>
      </c>
      <c r="J1006" s="3" t="str">
        <f aca="false">IFERROR(__xludf.dummyfunction("if($T1006&lt;&gt;"""",REGEXEXTRACT($T1006, J$1&amp;""[\w &amp;]*, (\d+\.\d+)""),"""")
"),"")</f>
        <v/>
      </c>
      <c r="K1006" s="3"/>
      <c r="L1006" s="3" t="str">
        <f aca="false">IFERROR(__xludf.dummyfunction("if($T1006&lt;&gt;"""",REGEXEXTRACT(SUBSTITUTE ($T1006,L$1&amp;"" CE"",""""), L$1&amp;""[\w &amp;]*, (\d+\.\d+)""),"""")
"),"")</f>
        <v/>
      </c>
      <c r="M1006" s="3" t="str">
        <f aca="false">IFERROR(__xludf.dummyfunction("if($T1006&lt;&gt;"""",REGEXEXTRACT($T1006, M$1&amp;""[\w &amp;]*, (\d+\.\d+)""),"""")
"),"")</f>
        <v/>
      </c>
      <c r="N1006" s="3" t="str">
        <f aca="false">IFERROR(__xludf.dummyfunction("if($T1006&lt;&gt;"""",REGEXEXTRACT(SUBSTITUTE ($T1006,N$1&amp;"" CE"",""""), N$1&amp;""[\w &amp;]*, (\d+\.\d+)""),"""")
"),"")</f>
        <v/>
      </c>
      <c r="O1006" s="3" t="str">
        <f aca="false">IFERROR(__xludf.dummyfunction("if($T1006&lt;&gt;"""",REGEXEXTRACT($T1006, O$1&amp;""[\w &amp;]*, (\d+\.\d+)""),"""")
"),"")</f>
        <v/>
      </c>
      <c r="P1006" s="2"/>
      <c r="Q1006" s="2"/>
      <c r="R1006" s="2"/>
      <c r="S1006" s="2"/>
      <c r="T1006" s="5"/>
    </row>
    <row r="1007" customFormat="false" ht="15.75" hidden="false" customHeight="false" outlineLevel="0" collapsed="false">
      <c r="A1007" s="4"/>
      <c r="B1007" s="2"/>
      <c r="C1007" s="2"/>
      <c r="D1007" s="2"/>
      <c r="E1007" s="2"/>
      <c r="F1007" s="3" t="str">
        <f aca="false">IFERROR(__xludf.dummyfunction("if($T1007&lt;&gt;"""",REGEXEXTRACT(SUBSTITUTE ($T1007,F$1&amp;"" CE"",""""), F$1&amp;""[\w &amp;]*, (\d+\.\d+)""),"""")
"),"")</f>
        <v/>
      </c>
      <c r="G1007" s="3" t="str">
        <f aca="false">IFERROR(__xludf.dummyfunction("if($T1007&lt;&gt;"""",REGEXEXTRACT($T1007, G$1&amp;""[\w &amp;]*, (\d+\.\d+)""),"""")
"),"")</f>
        <v/>
      </c>
      <c r="H1007" s="3"/>
      <c r="I1007" s="3" t="str">
        <f aca="false">IFERROR(__xludf.dummyfunction("if($T1007&lt;&gt;"""",REGEXEXTRACT(SUBSTITUTE ($T1007,I$1&amp;"" CE"",""""), I$1&amp;""[\w &amp;]*, (\d+\.\d+)""),"""")
"),"")</f>
        <v/>
      </c>
      <c r="J1007" s="3" t="str">
        <f aca="false">IFERROR(__xludf.dummyfunction("if($T1007&lt;&gt;"""",REGEXEXTRACT($T1007, J$1&amp;""[\w &amp;]*, (\d+\.\d+)""),"""")
"),"")</f>
        <v/>
      </c>
      <c r="K1007" s="3"/>
      <c r="L1007" s="3" t="str">
        <f aca="false">IFERROR(__xludf.dummyfunction("if($T1007&lt;&gt;"""",REGEXEXTRACT(SUBSTITUTE ($T1007,L$1&amp;"" CE"",""""), L$1&amp;""[\w &amp;]*, (\d+\.\d+)""),"""")
"),"")</f>
        <v/>
      </c>
      <c r="M1007" s="3" t="str">
        <f aca="false">IFERROR(__xludf.dummyfunction("if($T1007&lt;&gt;"""",REGEXEXTRACT($T1007, M$1&amp;""[\w &amp;]*, (\d+\.\d+)""),"""")
"),"")</f>
        <v/>
      </c>
      <c r="N1007" s="3" t="str">
        <f aca="false">IFERROR(__xludf.dummyfunction("if($T1007&lt;&gt;"""",REGEXEXTRACT(SUBSTITUTE ($T1007,N$1&amp;"" CE"",""""), N$1&amp;""[\w &amp;]*, (\d+\.\d+)""),"""")
"),"")</f>
        <v/>
      </c>
      <c r="O1007" s="3" t="str">
        <f aca="false">IFERROR(__xludf.dummyfunction("if($T1007&lt;&gt;"""",REGEXEXTRACT($T1007, O$1&amp;""[\w &amp;]*, (\d+\.\d+)""),"""")
"),"")</f>
        <v/>
      </c>
      <c r="P1007" s="2"/>
      <c r="Q1007" s="2"/>
      <c r="R1007" s="2"/>
      <c r="S1007" s="2"/>
      <c r="T1007" s="5"/>
    </row>
    <row r="1008" customFormat="false" ht="15.75" hidden="false" customHeight="false" outlineLevel="0" collapsed="false">
      <c r="A1008" s="4"/>
      <c r="B1008" s="2"/>
      <c r="C1008" s="2"/>
      <c r="D1008" s="2"/>
      <c r="E1008" s="2"/>
      <c r="F1008" s="3" t="str">
        <f aca="false">IFERROR(__xludf.dummyfunction("if($T1008&lt;&gt;"""",REGEXEXTRACT(SUBSTITUTE ($T1008,F$1&amp;"" CE"",""""), F$1&amp;""[\w &amp;]*, (\d+\.\d+)""),"""")
"),"")</f>
        <v/>
      </c>
      <c r="G1008" s="3" t="str">
        <f aca="false">IFERROR(__xludf.dummyfunction("if($T1008&lt;&gt;"""",REGEXEXTRACT($T1008, G$1&amp;""[\w &amp;]*, (\d+\.\d+)""),"""")
"),"")</f>
        <v/>
      </c>
      <c r="H1008" s="3"/>
      <c r="I1008" s="3" t="str">
        <f aca="false">IFERROR(__xludf.dummyfunction("if($T1008&lt;&gt;"""",REGEXEXTRACT(SUBSTITUTE ($T1008,I$1&amp;"" CE"",""""), I$1&amp;""[\w &amp;]*, (\d+\.\d+)""),"""")
"),"")</f>
        <v/>
      </c>
      <c r="J1008" s="3" t="str">
        <f aca="false">IFERROR(__xludf.dummyfunction("if($T1008&lt;&gt;"""",REGEXEXTRACT($T1008, J$1&amp;""[\w &amp;]*, (\d+\.\d+)""),"""")
"),"")</f>
        <v/>
      </c>
      <c r="K1008" s="3"/>
      <c r="L1008" s="3" t="str">
        <f aca="false">IFERROR(__xludf.dummyfunction("if($T1008&lt;&gt;"""",REGEXEXTRACT(SUBSTITUTE ($T1008,L$1&amp;"" CE"",""""), L$1&amp;""[\w &amp;]*, (\d+\.\d+)""),"""")
"),"")</f>
        <v/>
      </c>
      <c r="M1008" s="3" t="str">
        <f aca="false">IFERROR(__xludf.dummyfunction("if($T1008&lt;&gt;"""",REGEXEXTRACT($T1008, M$1&amp;""[\w &amp;]*, (\d+\.\d+)""),"""")
"),"")</f>
        <v/>
      </c>
      <c r="N1008" s="3" t="str">
        <f aca="false">IFERROR(__xludf.dummyfunction("if($T1008&lt;&gt;"""",REGEXEXTRACT(SUBSTITUTE ($T1008,N$1&amp;"" CE"",""""), N$1&amp;""[\w &amp;]*, (\d+\.\d+)""),"""")
"),"")</f>
        <v/>
      </c>
      <c r="O1008" s="3" t="str">
        <f aca="false">IFERROR(__xludf.dummyfunction("if($T1008&lt;&gt;"""",REGEXEXTRACT($T1008, O$1&amp;""[\w &amp;]*, (\d+\.\d+)""),"""")
"),"")</f>
        <v/>
      </c>
      <c r="P1008" s="2"/>
      <c r="Q1008" s="2"/>
      <c r="R1008" s="2"/>
      <c r="S1008" s="2"/>
      <c r="T1008" s="5"/>
    </row>
    <row r="1009" customFormat="false" ht="15.75" hidden="false" customHeight="false" outlineLevel="0" collapsed="false">
      <c r="A1009" s="4"/>
      <c r="B1009" s="2"/>
      <c r="C1009" s="2"/>
      <c r="D1009" s="2"/>
      <c r="E1009" s="2"/>
      <c r="F1009" s="3" t="str">
        <f aca="false">IFERROR(__xludf.dummyfunction("if($T1009&lt;&gt;"""",REGEXEXTRACT(SUBSTITUTE ($T1009,F$1&amp;"" CE"",""""), F$1&amp;""[\w &amp;]*, (\d+\.\d+)""),"""")
"),"")</f>
        <v/>
      </c>
      <c r="G1009" s="3" t="str">
        <f aca="false">IFERROR(__xludf.dummyfunction("if($T1009&lt;&gt;"""",REGEXEXTRACT($T1009, G$1&amp;""[\w &amp;]*, (\d+\.\d+)""),"""")
"),"")</f>
        <v/>
      </c>
      <c r="H1009" s="3"/>
      <c r="I1009" s="3" t="str">
        <f aca="false">IFERROR(__xludf.dummyfunction("if($T1009&lt;&gt;"""",REGEXEXTRACT(SUBSTITUTE ($T1009,I$1&amp;"" CE"",""""), I$1&amp;""[\w &amp;]*, (\d+\.\d+)""),"""")
"),"")</f>
        <v/>
      </c>
      <c r="J1009" s="3" t="str">
        <f aca="false">IFERROR(__xludf.dummyfunction("if($T1009&lt;&gt;"""",REGEXEXTRACT($T1009, J$1&amp;""[\w &amp;]*, (\d+\.\d+)""),"""")
"),"")</f>
        <v/>
      </c>
      <c r="K1009" s="3"/>
      <c r="L1009" s="3" t="str">
        <f aca="false">IFERROR(__xludf.dummyfunction("if($T1009&lt;&gt;"""",REGEXEXTRACT(SUBSTITUTE ($T1009,L$1&amp;"" CE"",""""), L$1&amp;""[\w &amp;]*, (\d+\.\d+)""),"""")
"),"")</f>
        <v/>
      </c>
      <c r="M1009" s="3" t="str">
        <f aca="false">IFERROR(__xludf.dummyfunction("if($T1009&lt;&gt;"""",REGEXEXTRACT($T1009, M$1&amp;""[\w &amp;]*, (\d+\.\d+)""),"""")
"),"")</f>
        <v/>
      </c>
      <c r="N1009" s="3" t="str">
        <f aca="false">IFERROR(__xludf.dummyfunction("if($T1009&lt;&gt;"""",REGEXEXTRACT(SUBSTITUTE ($T1009,N$1&amp;"" CE"",""""), N$1&amp;""[\w &amp;]*, (\d+\.\d+)""),"""")
"),"")</f>
        <v/>
      </c>
      <c r="O1009" s="3" t="str">
        <f aca="false">IFERROR(__xludf.dummyfunction("if($T1009&lt;&gt;"""",REGEXEXTRACT($T1009, O$1&amp;""[\w &amp;]*, (\d+\.\d+)""),"""")
"),"")</f>
        <v/>
      </c>
      <c r="P1009" s="2"/>
      <c r="Q1009" s="2"/>
      <c r="R1009" s="2"/>
      <c r="S1009" s="2"/>
      <c r="T1009" s="5"/>
    </row>
    <row r="1010" customFormat="false" ht="15.75" hidden="false" customHeight="false" outlineLevel="0" collapsed="false">
      <c r="A1010" s="4"/>
      <c r="B1010" s="2"/>
      <c r="C1010" s="2"/>
      <c r="D1010" s="2"/>
      <c r="E1010" s="2"/>
      <c r="F1010" s="3" t="str">
        <f aca="false">IFERROR(__xludf.dummyfunction("if($T1010&lt;&gt;"""",REGEXEXTRACT(SUBSTITUTE ($T1010,F$1&amp;"" CE"",""""), F$1&amp;""[\w &amp;]*, (\d+\.\d+)""),"""")
"),"")</f>
        <v/>
      </c>
      <c r="G1010" s="3" t="str">
        <f aca="false">IFERROR(__xludf.dummyfunction("if($T1010&lt;&gt;"""",REGEXEXTRACT($T1010, G$1&amp;""[\w &amp;]*, (\d+\.\d+)""),"""")
"),"")</f>
        <v/>
      </c>
      <c r="H1010" s="3"/>
      <c r="I1010" s="3" t="str">
        <f aca="false">IFERROR(__xludf.dummyfunction("if($T1010&lt;&gt;"""",REGEXEXTRACT(SUBSTITUTE ($T1010,I$1&amp;"" CE"",""""), I$1&amp;""[\w &amp;]*, (\d+\.\d+)""),"""")
"),"")</f>
        <v/>
      </c>
      <c r="J1010" s="3" t="str">
        <f aca="false">IFERROR(__xludf.dummyfunction("if($T1010&lt;&gt;"""",REGEXEXTRACT($T1010, J$1&amp;""[\w &amp;]*, (\d+\.\d+)""),"""")
"),"")</f>
        <v/>
      </c>
      <c r="K1010" s="3"/>
      <c r="L1010" s="3" t="str">
        <f aca="false">IFERROR(__xludf.dummyfunction("if($T1010&lt;&gt;"""",REGEXEXTRACT(SUBSTITUTE ($T1010,L$1&amp;"" CE"",""""), L$1&amp;""[\w &amp;]*, (\d+\.\d+)""),"""")
"),"")</f>
        <v/>
      </c>
      <c r="M1010" s="3" t="str">
        <f aca="false">IFERROR(__xludf.dummyfunction("if($T1010&lt;&gt;"""",REGEXEXTRACT($T1010, M$1&amp;""[\w &amp;]*, (\d+\.\d+)""),"""")
"),"")</f>
        <v/>
      </c>
      <c r="N1010" s="3" t="str">
        <f aca="false">IFERROR(__xludf.dummyfunction("if($T1010&lt;&gt;"""",REGEXEXTRACT(SUBSTITUTE ($T1010,N$1&amp;"" CE"",""""), N$1&amp;""[\w &amp;]*, (\d+\.\d+)""),"""")
"),"")</f>
        <v/>
      </c>
      <c r="O1010" s="3" t="str">
        <f aca="false">IFERROR(__xludf.dummyfunction("if($T1010&lt;&gt;"""",REGEXEXTRACT($T1010, O$1&amp;""[\w &amp;]*, (\d+\.\d+)""),"""")
"),"")</f>
        <v/>
      </c>
      <c r="P1010" s="2"/>
      <c r="Q1010" s="2"/>
      <c r="R1010" s="2"/>
      <c r="S1010" s="2"/>
      <c r="T1010" s="5"/>
    </row>
    <row r="1011" customFormat="false" ht="15.75" hidden="false" customHeight="false" outlineLevel="0" collapsed="false">
      <c r="A1011" s="4"/>
      <c r="B1011" s="2"/>
      <c r="C1011" s="2"/>
      <c r="D1011" s="2"/>
      <c r="E1011" s="2"/>
      <c r="F1011" s="3" t="str">
        <f aca="false">IFERROR(__xludf.dummyfunction("if($T1011&lt;&gt;"""",REGEXEXTRACT(SUBSTITUTE ($T1011,F$1&amp;"" CE"",""""), F$1&amp;""[\w &amp;]*, (\d+\.\d+)""),"""")
"),"")</f>
        <v/>
      </c>
      <c r="G1011" s="3" t="str">
        <f aca="false">IFERROR(__xludf.dummyfunction("if($T1011&lt;&gt;"""",REGEXEXTRACT($T1011, G$1&amp;""[\w &amp;]*, (\d+\.\d+)""),"""")
"),"")</f>
        <v/>
      </c>
      <c r="H1011" s="3"/>
      <c r="I1011" s="3" t="str">
        <f aca="false">IFERROR(__xludf.dummyfunction("if($T1011&lt;&gt;"""",REGEXEXTRACT(SUBSTITUTE ($T1011,I$1&amp;"" CE"",""""), I$1&amp;""[\w &amp;]*, (\d+\.\d+)""),"""")
"),"")</f>
        <v/>
      </c>
      <c r="J1011" s="3" t="str">
        <f aca="false">IFERROR(__xludf.dummyfunction("if($T1011&lt;&gt;"""",REGEXEXTRACT($T1011, J$1&amp;""[\w &amp;]*, (\d+\.\d+)""),"""")
"),"")</f>
        <v/>
      </c>
      <c r="K1011" s="3"/>
      <c r="L1011" s="3" t="str">
        <f aca="false">IFERROR(__xludf.dummyfunction("if($T1011&lt;&gt;"""",REGEXEXTRACT(SUBSTITUTE ($T1011,L$1&amp;"" CE"",""""), L$1&amp;""[\w &amp;]*, (\d+\.\d+)""),"""")
"),"")</f>
        <v/>
      </c>
      <c r="M1011" s="3" t="str">
        <f aca="false">IFERROR(__xludf.dummyfunction("if($T1011&lt;&gt;"""",REGEXEXTRACT($T1011, M$1&amp;""[\w &amp;]*, (\d+\.\d+)""),"""")
"),"")</f>
        <v/>
      </c>
      <c r="N1011" s="3" t="str">
        <f aca="false">IFERROR(__xludf.dummyfunction("if($T1011&lt;&gt;"""",REGEXEXTRACT(SUBSTITUTE ($T1011,N$1&amp;"" CE"",""""), N$1&amp;""[\w &amp;]*, (\d+\.\d+)""),"""")
"),"")</f>
        <v/>
      </c>
      <c r="O1011" s="3" t="str">
        <f aca="false">IFERROR(__xludf.dummyfunction("if($T1011&lt;&gt;"""",REGEXEXTRACT($T1011, O$1&amp;""[\w &amp;]*, (\d+\.\d+)""),"""")
"),"")</f>
        <v/>
      </c>
      <c r="P1011" s="2"/>
      <c r="Q1011" s="2"/>
      <c r="R1011" s="2"/>
      <c r="S1011" s="2"/>
      <c r="T1011" s="5"/>
    </row>
    <row r="1012" customFormat="false" ht="15.75" hidden="false" customHeight="false" outlineLevel="0" collapsed="false">
      <c r="A1012" s="4"/>
      <c r="B1012" s="2"/>
      <c r="C1012" s="2"/>
      <c r="D1012" s="2"/>
      <c r="E1012" s="2"/>
      <c r="F1012" s="3" t="str">
        <f aca="false">IFERROR(__xludf.dummyfunction("if($T1012&lt;&gt;"""",REGEXEXTRACT(SUBSTITUTE ($T1012,F$1&amp;"" CE"",""""), F$1&amp;""[\w &amp;]*, (\d+\.\d+)""),"""")
"),"")</f>
        <v/>
      </c>
      <c r="G1012" s="3" t="str">
        <f aca="false">IFERROR(__xludf.dummyfunction("if($T1012&lt;&gt;"""",REGEXEXTRACT($T1012, G$1&amp;""[\w &amp;]*, (\d+\.\d+)""),"""")
"),"")</f>
        <v/>
      </c>
      <c r="H1012" s="3"/>
      <c r="I1012" s="3" t="str">
        <f aca="false">IFERROR(__xludf.dummyfunction("if($T1012&lt;&gt;"""",REGEXEXTRACT(SUBSTITUTE ($T1012,I$1&amp;"" CE"",""""), I$1&amp;""[\w &amp;]*, (\d+\.\d+)""),"""")
"),"")</f>
        <v/>
      </c>
      <c r="J1012" s="3" t="str">
        <f aca="false">IFERROR(__xludf.dummyfunction("if($T1012&lt;&gt;"""",REGEXEXTRACT($T1012, J$1&amp;""[\w &amp;]*, (\d+\.\d+)""),"""")
"),"")</f>
        <v/>
      </c>
      <c r="K1012" s="3"/>
      <c r="L1012" s="3" t="str">
        <f aca="false">IFERROR(__xludf.dummyfunction("if($T1012&lt;&gt;"""",REGEXEXTRACT(SUBSTITUTE ($T1012,L$1&amp;"" CE"",""""), L$1&amp;""[\w &amp;]*, (\d+\.\d+)""),"""")
"),"")</f>
        <v/>
      </c>
      <c r="M1012" s="3" t="str">
        <f aca="false">IFERROR(__xludf.dummyfunction("if($T1012&lt;&gt;"""",REGEXEXTRACT($T1012, M$1&amp;""[\w &amp;]*, (\d+\.\d+)""),"""")
"),"")</f>
        <v/>
      </c>
      <c r="N1012" s="3" t="str">
        <f aca="false">IFERROR(__xludf.dummyfunction("if($T1012&lt;&gt;"""",REGEXEXTRACT(SUBSTITUTE ($T1012,N$1&amp;"" CE"",""""), N$1&amp;""[\w &amp;]*, (\d+\.\d+)""),"""")
"),"")</f>
        <v/>
      </c>
      <c r="O1012" s="3" t="str">
        <f aca="false">IFERROR(__xludf.dummyfunction("if($T1012&lt;&gt;"""",REGEXEXTRACT($T1012, O$1&amp;""[\w &amp;]*, (\d+\.\d+)""),"""")
"),"")</f>
        <v/>
      </c>
      <c r="P1012" s="2"/>
      <c r="Q1012" s="2"/>
      <c r="R1012" s="2"/>
      <c r="S1012" s="2"/>
      <c r="T1012" s="5"/>
    </row>
    <row r="1013" customFormat="false" ht="15.75" hidden="false" customHeight="false" outlineLevel="0" collapsed="false">
      <c r="A1013" s="4"/>
      <c r="B1013" s="2"/>
      <c r="C1013" s="2"/>
      <c r="D1013" s="2"/>
      <c r="E1013" s="2"/>
      <c r="F1013" s="3" t="str">
        <f aca="false">IFERROR(__xludf.dummyfunction("if($T1013&lt;&gt;"""",REGEXEXTRACT(SUBSTITUTE ($T1013,F$1&amp;"" CE"",""""), F$1&amp;""[\w &amp;]*, (\d+\.\d+)""),"""")
"),"")</f>
        <v/>
      </c>
      <c r="G1013" s="3" t="str">
        <f aca="false">IFERROR(__xludf.dummyfunction("if($T1013&lt;&gt;"""",REGEXEXTRACT($T1013, G$1&amp;""[\w &amp;]*, (\d+\.\d+)""),"""")
"),"")</f>
        <v/>
      </c>
      <c r="H1013" s="3"/>
      <c r="I1013" s="3" t="str">
        <f aca="false">IFERROR(__xludf.dummyfunction("if($T1013&lt;&gt;"""",REGEXEXTRACT(SUBSTITUTE ($T1013,I$1&amp;"" CE"",""""), I$1&amp;""[\w &amp;]*, (\d+\.\d+)""),"""")
"),"")</f>
        <v/>
      </c>
      <c r="J1013" s="3" t="str">
        <f aca="false">IFERROR(__xludf.dummyfunction("if($T1013&lt;&gt;"""",REGEXEXTRACT($T1013, J$1&amp;""[\w &amp;]*, (\d+\.\d+)""),"""")
"),"")</f>
        <v/>
      </c>
      <c r="K1013" s="3"/>
      <c r="L1013" s="3" t="str">
        <f aca="false">IFERROR(__xludf.dummyfunction("if($T1013&lt;&gt;"""",REGEXEXTRACT(SUBSTITUTE ($T1013,L$1&amp;"" CE"",""""), L$1&amp;""[\w &amp;]*, (\d+\.\d+)""),"""")
"),"")</f>
        <v/>
      </c>
      <c r="M1013" s="3" t="str">
        <f aca="false">IFERROR(__xludf.dummyfunction("if($T1013&lt;&gt;"""",REGEXEXTRACT($T1013, M$1&amp;""[\w &amp;]*, (\d+\.\d+)""),"""")
"),"")</f>
        <v/>
      </c>
      <c r="N1013" s="3" t="str">
        <f aca="false">IFERROR(__xludf.dummyfunction("if($T1013&lt;&gt;"""",REGEXEXTRACT(SUBSTITUTE ($T1013,N$1&amp;"" CE"",""""), N$1&amp;""[\w &amp;]*, (\d+\.\d+)""),"""")
"),"")</f>
        <v/>
      </c>
      <c r="O1013" s="3" t="str">
        <f aca="false">IFERROR(__xludf.dummyfunction("if($T1013&lt;&gt;"""",REGEXEXTRACT($T1013, O$1&amp;""[\w &amp;]*, (\d+\.\d+)""),"""")
"),"")</f>
        <v/>
      </c>
      <c r="P1013" s="2"/>
      <c r="Q1013" s="2"/>
      <c r="R1013" s="2"/>
      <c r="S1013" s="2"/>
      <c r="T1013" s="5"/>
    </row>
    <row r="1014" customFormat="false" ht="15.75" hidden="false" customHeight="false" outlineLevel="0" collapsed="false">
      <c r="A1014" s="4"/>
      <c r="B1014" s="2"/>
      <c r="C1014" s="2"/>
      <c r="D1014" s="2"/>
      <c r="E1014" s="2"/>
      <c r="F1014" s="3" t="str">
        <f aca="false">IFERROR(__xludf.dummyfunction("if($T1014&lt;&gt;"""",REGEXEXTRACT(SUBSTITUTE ($T1014,F$1&amp;"" CE"",""""), F$1&amp;""[\w &amp;]*, (\d+\.\d+)""),"""")
"),"")</f>
        <v/>
      </c>
      <c r="G1014" s="3" t="str">
        <f aca="false">IFERROR(__xludf.dummyfunction("if($T1014&lt;&gt;"""",REGEXEXTRACT($T1014, G$1&amp;""[\w &amp;]*, (\d+\.\d+)""),"""")
"),"")</f>
        <v/>
      </c>
      <c r="H1014" s="3"/>
      <c r="I1014" s="3" t="str">
        <f aca="false">IFERROR(__xludf.dummyfunction("if($T1014&lt;&gt;"""",REGEXEXTRACT(SUBSTITUTE ($T1014,I$1&amp;"" CE"",""""), I$1&amp;""[\w &amp;]*, (\d+\.\d+)""),"""")
"),"")</f>
        <v/>
      </c>
      <c r="J1014" s="3" t="str">
        <f aca="false">IFERROR(__xludf.dummyfunction("if($T1014&lt;&gt;"""",REGEXEXTRACT($T1014, J$1&amp;""[\w &amp;]*, (\d+\.\d+)""),"""")
"),"")</f>
        <v/>
      </c>
      <c r="K1014" s="3"/>
      <c r="L1014" s="3" t="str">
        <f aca="false">IFERROR(__xludf.dummyfunction("if($T1014&lt;&gt;"""",REGEXEXTRACT(SUBSTITUTE ($T1014,L$1&amp;"" CE"",""""), L$1&amp;""[\w &amp;]*, (\d+\.\d+)""),"""")
"),"")</f>
        <v/>
      </c>
      <c r="M1014" s="3" t="str">
        <f aca="false">IFERROR(__xludf.dummyfunction("if($T1014&lt;&gt;"""",REGEXEXTRACT($T1014, M$1&amp;""[\w &amp;]*, (\d+\.\d+)""),"""")
"),"")</f>
        <v/>
      </c>
      <c r="N1014" s="3" t="str">
        <f aca="false">IFERROR(__xludf.dummyfunction("if($T1014&lt;&gt;"""",REGEXEXTRACT(SUBSTITUTE ($T1014,N$1&amp;"" CE"",""""), N$1&amp;""[\w &amp;]*, (\d+\.\d+)""),"""")
"),"")</f>
        <v/>
      </c>
      <c r="O1014" s="3" t="str">
        <f aca="false">IFERROR(__xludf.dummyfunction("if($T1014&lt;&gt;"""",REGEXEXTRACT($T1014, O$1&amp;""[\w &amp;]*, (\d+\.\d+)""),"""")
"),"")</f>
        <v/>
      </c>
      <c r="P1014" s="2"/>
      <c r="Q1014" s="2"/>
      <c r="R1014" s="2"/>
      <c r="S1014" s="2"/>
      <c r="T1014" s="5"/>
    </row>
    <row r="1015" customFormat="false" ht="15.75" hidden="false" customHeight="false" outlineLevel="0" collapsed="false">
      <c r="A1015" s="4"/>
      <c r="B1015" s="2"/>
      <c r="C1015" s="2"/>
      <c r="D1015" s="2"/>
      <c r="E1015" s="2"/>
      <c r="F1015" s="3" t="str">
        <f aca="false">IFERROR(__xludf.dummyfunction("if($T1015&lt;&gt;"""",REGEXEXTRACT(SUBSTITUTE ($T1015,F$1&amp;"" CE"",""""), F$1&amp;""[\w &amp;]*, (\d+\.\d+)""),"""")
"),"")</f>
        <v/>
      </c>
      <c r="G1015" s="3" t="str">
        <f aca="false">IFERROR(__xludf.dummyfunction("if($T1015&lt;&gt;"""",REGEXEXTRACT($T1015, G$1&amp;""[\w &amp;]*, (\d+\.\d+)""),"""")
"),"")</f>
        <v/>
      </c>
      <c r="H1015" s="3"/>
      <c r="I1015" s="3" t="str">
        <f aca="false">IFERROR(__xludf.dummyfunction("if($T1015&lt;&gt;"""",REGEXEXTRACT(SUBSTITUTE ($T1015,I$1&amp;"" CE"",""""), I$1&amp;""[\w &amp;]*, (\d+\.\d+)""),"""")
"),"")</f>
        <v/>
      </c>
      <c r="J1015" s="3" t="str">
        <f aca="false">IFERROR(__xludf.dummyfunction("if($T1015&lt;&gt;"""",REGEXEXTRACT($T1015, J$1&amp;""[\w &amp;]*, (\d+\.\d+)""),"""")
"),"")</f>
        <v/>
      </c>
      <c r="K1015" s="3"/>
      <c r="L1015" s="3" t="str">
        <f aca="false">IFERROR(__xludf.dummyfunction("if($T1015&lt;&gt;"""",REGEXEXTRACT(SUBSTITUTE ($T1015,L$1&amp;"" CE"",""""), L$1&amp;""[\w &amp;]*, (\d+\.\d+)""),"""")
"),"")</f>
        <v/>
      </c>
      <c r="M1015" s="3" t="str">
        <f aca="false">IFERROR(__xludf.dummyfunction("if($T1015&lt;&gt;"""",REGEXEXTRACT($T1015, M$1&amp;""[\w &amp;]*, (\d+\.\d+)""),"""")
"),"")</f>
        <v/>
      </c>
      <c r="N1015" s="3" t="str">
        <f aca="false">IFERROR(__xludf.dummyfunction("if($T1015&lt;&gt;"""",REGEXEXTRACT(SUBSTITUTE ($T1015,N$1&amp;"" CE"",""""), N$1&amp;""[\w &amp;]*, (\d+\.\d+)""),"""")
"),"")</f>
        <v/>
      </c>
      <c r="O1015" s="3" t="str">
        <f aca="false">IFERROR(__xludf.dummyfunction("if($T1015&lt;&gt;"""",REGEXEXTRACT($T1015, O$1&amp;""[\w &amp;]*, (\d+\.\d+)""),"""")
"),"")</f>
        <v/>
      </c>
      <c r="P1015" s="2"/>
      <c r="Q1015" s="2"/>
      <c r="R1015" s="2"/>
      <c r="S1015" s="2"/>
      <c r="T1015" s="5"/>
    </row>
    <row r="1016" customFormat="false" ht="15.75" hidden="false" customHeight="false" outlineLevel="0" collapsed="false">
      <c r="A1016" s="4"/>
      <c r="B1016" s="2"/>
      <c r="C1016" s="2"/>
      <c r="D1016" s="2"/>
      <c r="E1016" s="2"/>
      <c r="F1016" s="3" t="str">
        <f aca="false">IFERROR(__xludf.dummyfunction("if($T1016&lt;&gt;"""",REGEXEXTRACT(SUBSTITUTE ($T1016,F$1&amp;"" CE"",""""), F$1&amp;""[\w &amp;]*, (\d+\.\d+)""),"""")
"),"")</f>
        <v/>
      </c>
      <c r="G1016" s="3" t="str">
        <f aca="false">IFERROR(__xludf.dummyfunction("if($T1016&lt;&gt;"""",REGEXEXTRACT($T1016, G$1&amp;""[\w &amp;]*, (\d+\.\d+)""),"""")
"),"")</f>
        <v/>
      </c>
      <c r="H1016" s="3"/>
      <c r="I1016" s="3" t="str">
        <f aca="false">IFERROR(__xludf.dummyfunction("if($T1016&lt;&gt;"""",REGEXEXTRACT(SUBSTITUTE ($T1016,I$1&amp;"" CE"",""""), I$1&amp;""[\w &amp;]*, (\d+\.\d+)""),"""")
"),"")</f>
        <v/>
      </c>
      <c r="J1016" s="3" t="str">
        <f aca="false">IFERROR(__xludf.dummyfunction("if($T1016&lt;&gt;"""",REGEXEXTRACT($T1016, J$1&amp;""[\w &amp;]*, (\d+\.\d+)""),"""")
"),"")</f>
        <v/>
      </c>
      <c r="K1016" s="3"/>
      <c r="L1016" s="3" t="str">
        <f aca="false">IFERROR(__xludf.dummyfunction("if($T1016&lt;&gt;"""",REGEXEXTRACT(SUBSTITUTE ($T1016,L$1&amp;"" CE"",""""), L$1&amp;""[\w &amp;]*, (\d+\.\d+)""),"""")
"),"")</f>
        <v/>
      </c>
      <c r="M1016" s="3" t="str">
        <f aca="false">IFERROR(__xludf.dummyfunction("if($T1016&lt;&gt;"""",REGEXEXTRACT($T1016, M$1&amp;""[\w &amp;]*, (\d+\.\d+)""),"""")
"),"")</f>
        <v/>
      </c>
      <c r="N1016" s="3" t="str">
        <f aca="false">IFERROR(__xludf.dummyfunction("if($T1016&lt;&gt;"""",REGEXEXTRACT(SUBSTITUTE ($T1016,N$1&amp;"" CE"",""""), N$1&amp;""[\w &amp;]*, (\d+\.\d+)""),"""")
"),"")</f>
        <v/>
      </c>
      <c r="O1016" s="3" t="str">
        <f aca="false">IFERROR(__xludf.dummyfunction("if($T1016&lt;&gt;"""",REGEXEXTRACT($T1016, O$1&amp;""[\w &amp;]*, (\d+\.\d+)""),"""")
"),"")</f>
        <v/>
      </c>
      <c r="P1016" s="2"/>
      <c r="Q1016" s="2"/>
      <c r="R1016" s="2"/>
      <c r="S1016" s="2"/>
      <c r="T1016" s="5"/>
    </row>
    <row r="1017" customFormat="false" ht="15.75" hidden="false" customHeight="false" outlineLevel="0" collapsed="false">
      <c r="A1017" s="4"/>
      <c r="B1017" s="2"/>
      <c r="C1017" s="2"/>
      <c r="D1017" s="2"/>
      <c r="E1017" s="2"/>
      <c r="F1017" s="3" t="str">
        <f aca="false">IFERROR(__xludf.dummyfunction("if($T1017&lt;&gt;"""",REGEXEXTRACT(SUBSTITUTE ($T1017,F$1&amp;"" CE"",""""), F$1&amp;""[\w &amp;]*, (\d+\.\d+)""),"""")
"),"")</f>
        <v/>
      </c>
      <c r="G1017" s="3" t="str">
        <f aca="false">IFERROR(__xludf.dummyfunction("if($T1017&lt;&gt;"""",REGEXEXTRACT($T1017, G$1&amp;""[\w &amp;]*, (\d+\.\d+)""),"""")
"),"")</f>
        <v/>
      </c>
      <c r="H1017" s="3"/>
      <c r="I1017" s="3" t="str">
        <f aca="false">IFERROR(__xludf.dummyfunction("if($T1017&lt;&gt;"""",REGEXEXTRACT(SUBSTITUTE ($T1017,I$1&amp;"" CE"",""""), I$1&amp;""[\w &amp;]*, (\d+\.\d+)""),"""")
"),"")</f>
        <v/>
      </c>
      <c r="J1017" s="3" t="str">
        <f aca="false">IFERROR(__xludf.dummyfunction("if($T1017&lt;&gt;"""",REGEXEXTRACT($T1017, J$1&amp;""[\w &amp;]*, (\d+\.\d+)""),"""")
"),"")</f>
        <v/>
      </c>
      <c r="K1017" s="3"/>
      <c r="L1017" s="3" t="str">
        <f aca="false">IFERROR(__xludf.dummyfunction("if($T1017&lt;&gt;"""",REGEXEXTRACT(SUBSTITUTE ($T1017,L$1&amp;"" CE"",""""), L$1&amp;""[\w &amp;]*, (\d+\.\d+)""),"""")
"),"")</f>
        <v/>
      </c>
      <c r="M1017" s="3" t="str">
        <f aca="false">IFERROR(__xludf.dummyfunction("if($T1017&lt;&gt;"""",REGEXEXTRACT($T1017, M$1&amp;""[\w &amp;]*, (\d+\.\d+)""),"""")
"),"")</f>
        <v/>
      </c>
      <c r="N1017" s="3" t="str">
        <f aca="false">IFERROR(__xludf.dummyfunction("if($T1017&lt;&gt;"""",REGEXEXTRACT(SUBSTITUTE ($T1017,N$1&amp;"" CE"",""""), N$1&amp;""[\w &amp;]*, (\d+\.\d+)""),"""")
"),"")</f>
        <v/>
      </c>
      <c r="O1017" s="3" t="str">
        <f aca="false">IFERROR(__xludf.dummyfunction("if($T1017&lt;&gt;"""",REGEXEXTRACT($T1017, O$1&amp;""[\w &amp;]*, (\d+\.\d+)""),"""")
"),"")</f>
        <v/>
      </c>
      <c r="P1017" s="2"/>
      <c r="Q1017" s="2"/>
      <c r="R1017" s="2"/>
      <c r="S1017" s="2"/>
      <c r="T1017" s="5"/>
    </row>
    <row r="1018" customFormat="false" ht="15.75" hidden="false" customHeight="false" outlineLevel="0" collapsed="false">
      <c r="A1018" s="4"/>
      <c r="B1018" s="2"/>
      <c r="C1018" s="2"/>
      <c r="D1018" s="2"/>
      <c r="E1018" s="2"/>
      <c r="F1018" s="3" t="str">
        <f aca="false">IFERROR(__xludf.dummyfunction("if($T1018&lt;&gt;"""",REGEXEXTRACT(SUBSTITUTE ($T1018,F$1&amp;"" CE"",""""), F$1&amp;""[\w &amp;]*, (\d+\.\d+)""),"""")
"),"")</f>
        <v/>
      </c>
      <c r="G1018" s="3" t="str">
        <f aca="false">IFERROR(__xludf.dummyfunction("if($T1018&lt;&gt;"""",REGEXEXTRACT($T1018, G$1&amp;""[\w &amp;]*, (\d+\.\d+)""),"""")
"),"")</f>
        <v/>
      </c>
      <c r="H1018" s="3"/>
      <c r="I1018" s="3" t="str">
        <f aca="false">IFERROR(__xludf.dummyfunction("if($T1018&lt;&gt;"""",REGEXEXTRACT(SUBSTITUTE ($T1018,I$1&amp;"" CE"",""""), I$1&amp;""[\w &amp;]*, (\d+\.\d+)""),"""")
"),"")</f>
        <v/>
      </c>
      <c r="J1018" s="3" t="str">
        <f aca="false">IFERROR(__xludf.dummyfunction("if($T1018&lt;&gt;"""",REGEXEXTRACT($T1018, J$1&amp;""[\w &amp;]*, (\d+\.\d+)""),"""")
"),"")</f>
        <v/>
      </c>
      <c r="K1018" s="3"/>
      <c r="L1018" s="3" t="str">
        <f aca="false">IFERROR(__xludf.dummyfunction("if($T1018&lt;&gt;"""",REGEXEXTRACT(SUBSTITUTE ($T1018,L$1&amp;"" CE"",""""), L$1&amp;""[\w &amp;]*, (\d+\.\d+)""),"""")
"),"")</f>
        <v/>
      </c>
      <c r="M1018" s="3" t="str">
        <f aca="false">IFERROR(__xludf.dummyfunction("if($T1018&lt;&gt;"""",REGEXEXTRACT($T1018, M$1&amp;""[\w &amp;]*, (\d+\.\d+)""),"""")
"),"")</f>
        <v/>
      </c>
      <c r="N1018" s="3" t="str">
        <f aca="false">IFERROR(__xludf.dummyfunction("if($T1018&lt;&gt;"""",REGEXEXTRACT(SUBSTITUTE ($T1018,N$1&amp;"" CE"",""""), N$1&amp;""[\w &amp;]*, (\d+\.\d+)""),"""")
"),"")</f>
        <v/>
      </c>
      <c r="O1018" s="3" t="str">
        <f aca="false">IFERROR(__xludf.dummyfunction("if($T1018&lt;&gt;"""",REGEXEXTRACT($T1018, O$1&amp;""[\w &amp;]*, (\d+\.\d+)""),"""")
"),"")</f>
        <v/>
      </c>
      <c r="P1018" s="2"/>
      <c r="Q1018" s="2"/>
      <c r="R1018" s="2"/>
      <c r="S1018" s="2"/>
      <c r="T1018" s="5"/>
    </row>
    <row r="1019" customFormat="false" ht="15.75" hidden="false" customHeight="false" outlineLevel="0" collapsed="false">
      <c r="A1019" s="4"/>
      <c r="B1019" s="2"/>
      <c r="C1019" s="2"/>
      <c r="D1019" s="2"/>
      <c r="E1019" s="2"/>
      <c r="F1019" s="3" t="str">
        <f aca="false">IFERROR(__xludf.dummyfunction("if($T1019&lt;&gt;"""",REGEXEXTRACT(SUBSTITUTE ($T1019,F$1&amp;"" CE"",""""), F$1&amp;""[\w &amp;]*, (\d+\.\d+)""),"""")
"),"")</f>
        <v/>
      </c>
      <c r="G1019" s="3" t="str">
        <f aca="false">IFERROR(__xludf.dummyfunction("if($T1019&lt;&gt;"""",REGEXEXTRACT($T1019, G$1&amp;""[\w &amp;]*, (\d+\.\d+)""),"""")
"),"")</f>
        <v/>
      </c>
      <c r="H1019" s="3"/>
      <c r="I1019" s="3" t="str">
        <f aca="false">IFERROR(__xludf.dummyfunction("if($T1019&lt;&gt;"""",REGEXEXTRACT(SUBSTITUTE ($T1019,I$1&amp;"" CE"",""""), I$1&amp;""[\w &amp;]*, (\d+\.\d+)""),"""")
"),"")</f>
        <v/>
      </c>
      <c r="J1019" s="3" t="str">
        <f aca="false">IFERROR(__xludf.dummyfunction("if($T1019&lt;&gt;"""",REGEXEXTRACT($T1019, J$1&amp;""[\w &amp;]*, (\d+\.\d+)""),"""")
"),"")</f>
        <v/>
      </c>
      <c r="K1019" s="3"/>
      <c r="L1019" s="3" t="str">
        <f aca="false">IFERROR(__xludf.dummyfunction("if($T1019&lt;&gt;"""",REGEXEXTRACT(SUBSTITUTE ($T1019,L$1&amp;"" CE"",""""), L$1&amp;""[\w &amp;]*, (\d+\.\d+)""),"""")
"),"")</f>
        <v/>
      </c>
      <c r="M1019" s="3" t="str">
        <f aca="false">IFERROR(__xludf.dummyfunction("if($T1019&lt;&gt;"""",REGEXEXTRACT($T1019, M$1&amp;""[\w &amp;]*, (\d+\.\d+)""),"""")
"),"")</f>
        <v/>
      </c>
      <c r="N1019" s="3" t="str">
        <f aca="false">IFERROR(__xludf.dummyfunction("if($T1019&lt;&gt;"""",REGEXEXTRACT(SUBSTITUTE ($T1019,N$1&amp;"" CE"",""""), N$1&amp;""[\w &amp;]*, (\d+\.\d+)""),"""")
"),"")</f>
        <v/>
      </c>
      <c r="O1019" s="3" t="str">
        <f aca="false">IFERROR(__xludf.dummyfunction("if($T1019&lt;&gt;"""",REGEXEXTRACT($T1019, O$1&amp;""[\w &amp;]*, (\d+\.\d+)""),"""")
"),"")</f>
        <v/>
      </c>
      <c r="P1019" s="2"/>
      <c r="Q1019" s="2"/>
      <c r="R1019" s="2"/>
      <c r="S1019" s="2"/>
      <c r="T1019" s="5"/>
    </row>
    <row r="1020" customFormat="false" ht="15.75" hidden="false" customHeight="false" outlineLevel="0" collapsed="false">
      <c r="A1020" s="4"/>
      <c r="B1020" s="2"/>
      <c r="C1020" s="2"/>
      <c r="D1020" s="2"/>
      <c r="E1020" s="2"/>
      <c r="F1020" s="3" t="str">
        <f aca="false">IFERROR(__xludf.dummyfunction("if($T1020&lt;&gt;"""",REGEXEXTRACT(SUBSTITUTE ($T1020,F$1&amp;"" CE"",""""), F$1&amp;""[\w &amp;]*, (\d+\.\d+)""),"""")
"),"")</f>
        <v/>
      </c>
      <c r="G1020" s="3" t="str">
        <f aca="false">IFERROR(__xludf.dummyfunction("if($T1020&lt;&gt;"""",REGEXEXTRACT($T1020, G$1&amp;""[\w &amp;]*, (\d+\.\d+)""),"""")
"),"")</f>
        <v/>
      </c>
      <c r="H1020" s="3"/>
      <c r="I1020" s="3" t="str">
        <f aca="false">IFERROR(__xludf.dummyfunction("if($T1020&lt;&gt;"""",REGEXEXTRACT(SUBSTITUTE ($T1020,I$1&amp;"" CE"",""""), I$1&amp;""[\w &amp;]*, (\d+\.\d+)""),"""")
"),"")</f>
        <v/>
      </c>
      <c r="J1020" s="3" t="str">
        <f aca="false">IFERROR(__xludf.dummyfunction("if($T1020&lt;&gt;"""",REGEXEXTRACT($T1020, J$1&amp;""[\w &amp;]*, (\d+\.\d+)""),"""")
"),"")</f>
        <v/>
      </c>
      <c r="K1020" s="3"/>
      <c r="L1020" s="3" t="str">
        <f aca="false">IFERROR(__xludf.dummyfunction("if($T1020&lt;&gt;"""",REGEXEXTRACT(SUBSTITUTE ($T1020,L$1&amp;"" CE"",""""), L$1&amp;""[\w &amp;]*, (\d+\.\d+)""),"""")
"),"")</f>
        <v/>
      </c>
      <c r="M1020" s="3" t="str">
        <f aca="false">IFERROR(__xludf.dummyfunction("if($T1020&lt;&gt;"""",REGEXEXTRACT($T1020, M$1&amp;""[\w &amp;]*, (\d+\.\d+)""),"""")
"),"")</f>
        <v/>
      </c>
      <c r="N1020" s="3" t="str">
        <f aca="false">IFERROR(__xludf.dummyfunction("if($T1020&lt;&gt;"""",REGEXEXTRACT(SUBSTITUTE ($T1020,N$1&amp;"" CE"",""""), N$1&amp;""[\w &amp;]*, (\d+\.\d+)""),"""")
"),"")</f>
        <v/>
      </c>
      <c r="O1020" s="3" t="str">
        <f aca="false">IFERROR(__xludf.dummyfunction("if($T1020&lt;&gt;"""",REGEXEXTRACT($T1020, O$1&amp;""[\w &amp;]*, (\d+\.\d+)""),"""")
"),"")</f>
        <v/>
      </c>
      <c r="P1020" s="2"/>
      <c r="Q1020" s="2"/>
      <c r="R1020" s="2"/>
      <c r="S1020" s="2"/>
      <c r="T1020" s="5"/>
    </row>
    <row r="1021" customFormat="false" ht="15.75" hidden="false" customHeight="false" outlineLevel="0" collapsed="false">
      <c r="A1021" s="4"/>
      <c r="B1021" s="2"/>
      <c r="C1021" s="2"/>
      <c r="D1021" s="2"/>
      <c r="E1021" s="2"/>
      <c r="F1021" s="3" t="str">
        <f aca="false">IFERROR(__xludf.dummyfunction("if($T1021&lt;&gt;"""",REGEXEXTRACT(SUBSTITUTE ($T1021,F$1&amp;"" CE"",""""), F$1&amp;""[\w &amp;]*, (\d+\.\d+)""),"""")
"),"")</f>
        <v/>
      </c>
      <c r="G1021" s="3" t="str">
        <f aca="false">IFERROR(__xludf.dummyfunction("if($T1021&lt;&gt;"""",REGEXEXTRACT($T1021, G$1&amp;""[\w &amp;]*, (\d+\.\d+)""),"""")
"),"")</f>
        <v/>
      </c>
      <c r="H1021" s="3"/>
      <c r="I1021" s="3" t="str">
        <f aca="false">IFERROR(__xludf.dummyfunction("if($T1021&lt;&gt;"""",REGEXEXTRACT(SUBSTITUTE ($T1021,I$1&amp;"" CE"",""""), I$1&amp;""[\w &amp;]*, (\d+\.\d+)""),"""")
"),"")</f>
        <v/>
      </c>
      <c r="J1021" s="3" t="str">
        <f aca="false">IFERROR(__xludf.dummyfunction("if($T1021&lt;&gt;"""",REGEXEXTRACT($T1021, J$1&amp;""[\w &amp;]*, (\d+\.\d+)""),"""")
"),"")</f>
        <v/>
      </c>
      <c r="K1021" s="3"/>
      <c r="L1021" s="3" t="str">
        <f aca="false">IFERROR(__xludf.dummyfunction("if($T1021&lt;&gt;"""",REGEXEXTRACT(SUBSTITUTE ($T1021,L$1&amp;"" CE"",""""), L$1&amp;""[\w &amp;]*, (\d+\.\d+)""),"""")
"),"")</f>
        <v/>
      </c>
      <c r="M1021" s="3" t="str">
        <f aca="false">IFERROR(__xludf.dummyfunction("if($T1021&lt;&gt;"""",REGEXEXTRACT($T1021, M$1&amp;""[\w &amp;]*, (\d+\.\d+)""),"""")
"),"")</f>
        <v/>
      </c>
      <c r="N1021" s="3" t="str">
        <f aca="false">IFERROR(__xludf.dummyfunction("if($T1021&lt;&gt;"""",REGEXEXTRACT(SUBSTITUTE ($T1021,N$1&amp;"" CE"",""""), N$1&amp;""[\w &amp;]*, (\d+\.\d+)""),"""")
"),"")</f>
        <v/>
      </c>
      <c r="O1021" s="3" t="str">
        <f aca="false">IFERROR(__xludf.dummyfunction("if($T1021&lt;&gt;"""",REGEXEXTRACT($T1021, O$1&amp;""[\w &amp;]*, (\d+\.\d+)""),"""")
"),"")</f>
        <v/>
      </c>
      <c r="P1021" s="2"/>
      <c r="Q1021" s="2"/>
      <c r="R1021" s="2"/>
      <c r="S1021" s="2"/>
      <c r="T1021" s="5"/>
    </row>
    <row r="1022" customFormat="false" ht="15.75" hidden="false" customHeight="false" outlineLevel="0" collapsed="false">
      <c r="A1022" s="4"/>
      <c r="B1022" s="2"/>
      <c r="C1022" s="2"/>
      <c r="D1022" s="2"/>
      <c r="E1022" s="2"/>
      <c r="F1022" s="3" t="str">
        <f aca="false">IFERROR(__xludf.dummyfunction("if($T1022&lt;&gt;"""",REGEXEXTRACT(SUBSTITUTE ($T1022,F$1&amp;"" CE"",""""), F$1&amp;""[\w &amp;]*, (\d+\.\d+)""),"""")
"),"")</f>
        <v/>
      </c>
      <c r="G1022" s="3" t="str">
        <f aca="false">IFERROR(__xludf.dummyfunction("if($T1022&lt;&gt;"""",REGEXEXTRACT($T1022, G$1&amp;""[\w &amp;]*, (\d+\.\d+)""),"""")
"),"")</f>
        <v/>
      </c>
      <c r="H1022" s="3"/>
      <c r="I1022" s="3" t="str">
        <f aca="false">IFERROR(__xludf.dummyfunction("if($T1022&lt;&gt;"""",REGEXEXTRACT(SUBSTITUTE ($T1022,I$1&amp;"" CE"",""""), I$1&amp;""[\w &amp;]*, (\d+\.\d+)""),"""")
"),"")</f>
        <v/>
      </c>
      <c r="J1022" s="3" t="str">
        <f aca="false">IFERROR(__xludf.dummyfunction("if($T1022&lt;&gt;"""",REGEXEXTRACT($T1022, J$1&amp;""[\w &amp;]*, (\d+\.\d+)""),"""")
"),"")</f>
        <v/>
      </c>
      <c r="K1022" s="3"/>
      <c r="L1022" s="3" t="str">
        <f aca="false">IFERROR(__xludf.dummyfunction("if($T1022&lt;&gt;"""",REGEXEXTRACT(SUBSTITUTE ($T1022,L$1&amp;"" CE"",""""), L$1&amp;""[\w &amp;]*, (\d+\.\d+)""),"""")
"),"")</f>
        <v/>
      </c>
      <c r="M1022" s="3" t="str">
        <f aca="false">IFERROR(__xludf.dummyfunction("if($T1022&lt;&gt;"""",REGEXEXTRACT($T1022, M$1&amp;""[\w &amp;]*, (\d+\.\d+)""),"""")
"),"")</f>
        <v/>
      </c>
      <c r="N1022" s="3" t="str">
        <f aca="false">IFERROR(__xludf.dummyfunction("if($T1022&lt;&gt;"""",REGEXEXTRACT(SUBSTITUTE ($T1022,N$1&amp;"" CE"",""""), N$1&amp;""[\w &amp;]*, (\d+\.\d+)""),"""")
"),"")</f>
        <v/>
      </c>
      <c r="O1022" s="3" t="str">
        <f aca="false">IFERROR(__xludf.dummyfunction("if($T1022&lt;&gt;"""",REGEXEXTRACT($T1022, O$1&amp;""[\w &amp;]*, (\d+\.\d+)""),"""")
"),"")</f>
        <v/>
      </c>
      <c r="P1022" s="2"/>
      <c r="Q1022" s="2"/>
      <c r="R1022" s="2"/>
      <c r="S1022" s="2"/>
      <c r="T1022" s="5"/>
    </row>
    <row r="1023" customFormat="false" ht="15.75" hidden="false" customHeight="false" outlineLevel="0" collapsed="false">
      <c r="A1023" s="4"/>
      <c r="B1023" s="2"/>
      <c r="C1023" s="2"/>
      <c r="D1023" s="2"/>
      <c r="E1023" s="2"/>
      <c r="F1023" s="3" t="str">
        <f aca="false">IFERROR(__xludf.dummyfunction("if($T1023&lt;&gt;"""",REGEXEXTRACT(SUBSTITUTE ($T1023,F$1&amp;"" CE"",""""), F$1&amp;""[\w &amp;]*, (\d+\.\d+)""),"""")
"),"")</f>
        <v/>
      </c>
      <c r="G1023" s="3" t="str">
        <f aca="false">IFERROR(__xludf.dummyfunction("if($T1023&lt;&gt;"""",REGEXEXTRACT($T1023, G$1&amp;""[\w &amp;]*, (\d+\.\d+)""),"""")
"),"")</f>
        <v/>
      </c>
      <c r="H1023" s="3"/>
      <c r="I1023" s="3" t="str">
        <f aca="false">IFERROR(__xludf.dummyfunction("if($T1023&lt;&gt;"""",REGEXEXTRACT(SUBSTITUTE ($T1023,I$1&amp;"" CE"",""""), I$1&amp;""[\w &amp;]*, (\d+\.\d+)""),"""")
"),"")</f>
        <v/>
      </c>
      <c r="J1023" s="3" t="str">
        <f aca="false">IFERROR(__xludf.dummyfunction("if($T1023&lt;&gt;"""",REGEXEXTRACT($T1023, J$1&amp;""[\w &amp;]*, (\d+\.\d+)""),"""")
"),"")</f>
        <v/>
      </c>
      <c r="K1023" s="3"/>
      <c r="L1023" s="3" t="str">
        <f aca="false">IFERROR(__xludf.dummyfunction("if($T1023&lt;&gt;"""",REGEXEXTRACT(SUBSTITUTE ($T1023,L$1&amp;"" CE"",""""), L$1&amp;""[\w &amp;]*, (\d+\.\d+)""),"""")
"),"")</f>
        <v/>
      </c>
      <c r="M1023" s="3" t="str">
        <f aca="false">IFERROR(__xludf.dummyfunction("if($T1023&lt;&gt;"""",REGEXEXTRACT($T1023, M$1&amp;""[\w &amp;]*, (\d+\.\d+)""),"""")
"),"")</f>
        <v/>
      </c>
      <c r="N1023" s="3" t="str">
        <f aca="false">IFERROR(__xludf.dummyfunction("if($T1023&lt;&gt;"""",REGEXEXTRACT(SUBSTITUTE ($T1023,N$1&amp;"" CE"",""""), N$1&amp;""[\w &amp;]*, (\d+\.\d+)""),"""")
"),"")</f>
        <v/>
      </c>
      <c r="O1023" s="3" t="str">
        <f aca="false">IFERROR(__xludf.dummyfunction("if($T1023&lt;&gt;"""",REGEXEXTRACT($T1023, O$1&amp;""[\w &amp;]*, (\d+\.\d+)""),"""")
"),"")</f>
        <v/>
      </c>
      <c r="P1023" s="2"/>
      <c r="Q1023" s="2"/>
      <c r="R1023" s="2"/>
      <c r="S1023" s="2"/>
      <c r="T1023" s="5"/>
    </row>
    <row r="1024" customFormat="false" ht="15.75" hidden="false" customHeight="false" outlineLevel="0" collapsed="false">
      <c r="A1024" s="4"/>
      <c r="B1024" s="2"/>
      <c r="C1024" s="2"/>
      <c r="D1024" s="2"/>
      <c r="E1024" s="2"/>
      <c r="F1024" s="3" t="str">
        <f aca="false">IFERROR(__xludf.dummyfunction("if($T1024&lt;&gt;"""",REGEXEXTRACT(SUBSTITUTE ($T1024,F$1&amp;"" CE"",""""), F$1&amp;""[\w &amp;]*, (\d+\.\d+)""),"""")
"),"")</f>
        <v/>
      </c>
      <c r="G1024" s="3" t="str">
        <f aca="false">IFERROR(__xludf.dummyfunction("if($T1024&lt;&gt;"""",REGEXEXTRACT($T1024, G$1&amp;""[\w &amp;]*, (\d+\.\d+)""),"""")
"),"")</f>
        <v/>
      </c>
      <c r="H1024" s="3"/>
      <c r="I1024" s="3" t="str">
        <f aca="false">IFERROR(__xludf.dummyfunction("if($T1024&lt;&gt;"""",REGEXEXTRACT(SUBSTITUTE ($T1024,I$1&amp;"" CE"",""""), I$1&amp;""[\w &amp;]*, (\d+\.\d+)""),"""")
"),"")</f>
        <v/>
      </c>
      <c r="J1024" s="3" t="str">
        <f aca="false">IFERROR(__xludf.dummyfunction("if($T1024&lt;&gt;"""",REGEXEXTRACT($T1024, J$1&amp;""[\w &amp;]*, (\d+\.\d+)""),"""")
"),"")</f>
        <v/>
      </c>
      <c r="K1024" s="3"/>
      <c r="L1024" s="3" t="str">
        <f aca="false">IFERROR(__xludf.dummyfunction("if($T1024&lt;&gt;"""",REGEXEXTRACT(SUBSTITUTE ($T1024,L$1&amp;"" CE"",""""), L$1&amp;""[\w &amp;]*, (\d+\.\d+)""),"""")
"),"")</f>
        <v/>
      </c>
      <c r="M1024" s="3" t="str">
        <f aca="false">IFERROR(__xludf.dummyfunction("if($T1024&lt;&gt;"""",REGEXEXTRACT($T1024, M$1&amp;""[\w &amp;]*, (\d+\.\d+)""),"""")
"),"")</f>
        <v/>
      </c>
      <c r="N1024" s="3" t="str">
        <f aca="false">IFERROR(__xludf.dummyfunction("if($T1024&lt;&gt;"""",REGEXEXTRACT(SUBSTITUTE ($T1024,N$1&amp;"" CE"",""""), N$1&amp;""[\w &amp;]*, (\d+\.\d+)""),"""")
"),"")</f>
        <v/>
      </c>
      <c r="O1024" s="3" t="str">
        <f aca="false">IFERROR(__xludf.dummyfunction("if($T1024&lt;&gt;"""",REGEXEXTRACT($T1024, O$1&amp;""[\w &amp;]*, (\d+\.\d+)""),"""")
"),"")</f>
        <v/>
      </c>
      <c r="P1024" s="2"/>
      <c r="Q1024" s="2"/>
      <c r="R1024" s="2"/>
      <c r="S1024" s="2"/>
      <c r="T1024" s="5"/>
    </row>
    <row r="1025" customFormat="false" ht="15.75" hidden="false" customHeight="false" outlineLevel="0" collapsed="false">
      <c r="A1025" s="4"/>
      <c r="B1025" s="2"/>
      <c r="C1025" s="2"/>
      <c r="D1025" s="2"/>
      <c r="E1025" s="2"/>
      <c r="F1025" s="3" t="str">
        <f aca="false">IFERROR(__xludf.dummyfunction("if($T1025&lt;&gt;"""",REGEXEXTRACT(SUBSTITUTE ($T1025,F$1&amp;"" CE"",""""), F$1&amp;""[\w &amp;]*, (\d+\.\d+)""),"""")
"),"")</f>
        <v/>
      </c>
      <c r="G1025" s="3" t="str">
        <f aca="false">IFERROR(__xludf.dummyfunction("if($T1025&lt;&gt;"""",REGEXEXTRACT($T1025, G$1&amp;""[\w &amp;]*, (\d+\.\d+)""),"""")
"),"")</f>
        <v/>
      </c>
      <c r="H1025" s="3"/>
      <c r="I1025" s="3" t="str">
        <f aca="false">IFERROR(__xludf.dummyfunction("if($T1025&lt;&gt;"""",REGEXEXTRACT(SUBSTITUTE ($T1025,I$1&amp;"" CE"",""""), I$1&amp;""[\w &amp;]*, (\d+\.\d+)""),"""")
"),"")</f>
        <v/>
      </c>
      <c r="J1025" s="3" t="str">
        <f aca="false">IFERROR(__xludf.dummyfunction("if($T1025&lt;&gt;"""",REGEXEXTRACT($T1025, J$1&amp;""[\w &amp;]*, (\d+\.\d+)""),"""")
"),"")</f>
        <v/>
      </c>
      <c r="K1025" s="3"/>
      <c r="L1025" s="3" t="str">
        <f aca="false">IFERROR(__xludf.dummyfunction("if($T1025&lt;&gt;"""",REGEXEXTRACT(SUBSTITUTE ($T1025,L$1&amp;"" CE"",""""), L$1&amp;""[\w &amp;]*, (\d+\.\d+)""),"""")
"),"")</f>
        <v/>
      </c>
      <c r="M1025" s="3" t="str">
        <f aca="false">IFERROR(__xludf.dummyfunction("if($T1025&lt;&gt;"""",REGEXEXTRACT($T1025, M$1&amp;""[\w &amp;]*, (\d+\.\d+)""),"""")
"),"")</f>
        <v/>
      </c>
      <c r="N1025" s="3" t="str">
        <f aca="false">IFERROR(__xludf.dummyfunction("if($T1025&lt;&gt;"""",REGEXEXTRACT(SUBSTITUTE ($T1025,N$1&amp;"" CE"",""""), N$1&amp;""[\w &amp;]*, (\d+\.\d+)""),"""")
"),"")</f>
        <v/>
      </c>
      <c r="O1025" s="3" t="str">
        <f aca="false">IFERROR(__xludf.dummyfunction("if($T1025&lt;&gt;"""",REGEXEXTRACT($T1025, O$1&amp;""[\w &amp;]*, (\d+\.\d+)""),"""")
"),"")</f>
        <v/>
      </c>
      <c r="P1025" s="2"/>
      <c r="Q1025" s="2"/>
      <c r="R1025" s="2"/>
      <c r="S1025" s="2"/>
      <c r="T1025" s="5"/>
    </row>
    <row r="1026" customFormat="false" ht="15.75" hidden="false" customHeight="false" outlineLevel="0" collapsed="false">
      <c r="A1026" s="4"/>
      <c r="B1026" s="2"/>
      <c r="C1026" s="2"/>
      <c r="D1026" s="2"/>
      <c r="E1026" s="2"/>
      <c r="F1026" s="3" t="str">
        <f aca="false">IFERROR(__xludf.dummyfunction("if($T1026&lt;&gt;"""",REGEXEXTRACT(SUBSTITUTE ($T1026,F$1&amp;"" CE"",""""), F$1&amp;""[\w &amp;]*, (\d+\.\d+)""),"""")
"),"")</f>
        <v/>
      </c>
      <c r="G1026" s="3" t="str">
        <f aca="false">IFERROR(__xludf.dummyfunction("if($T1026&lt;&gt;"""",REGEXEXTRACT($T1026, G$1&amp;""[\w &amp;]*, (\d+\.\d+)""),"""")
"),"")</f>
        <v/>
      </c>
      <c r="H1026" s="3"/>
      <c r="I1026" s="3" t="str">
        <f aca="false">IFERROR(__xludf.dummyfunction("if($T1026&lt;&gt;"""",REGEXEXTRACT(SUBSTITUTE ($T1026,I$1&amp;"" CE"",""""), I$1&amp;""[\w &amp;]*, (\d+\.\d+)""),"""")
"),"")</f>
        <v/>
      </c>
      <c r="J1026" s="3" t="str">
        <f aca="false">IFERROR(__xludf.dummyfunction("if($T1026&lt;&gt;"""",REGEXEXTRACT($T1026, J$1&amp;""[\w &amp;]*, (\d+\.\d+)""),"""")
"),"")</f>
        <v/>
      </c>
      <c r="K1026" s="3"/>
      <c r="L1026" s="3" t="str">
        <f aca="false">IFERROR(__xludf.dummyfunction("if($T1026&lt;&gt;"""",REGEXEXTRACT(SUBSTITUTE ($T1026,L$1&amp;"" CE"",""""), L$1&amp;""[\w &amp;]*, (\d+\.\d+)""),"""")
"),"")</f>
        <v/>
      </c>
      <c r="M1026" s="3" t="str">
        <f aca="false">IFERROR(__xludf.dummyfunction("if($T1026&lt;&gt;"""",REGEXEXTRACT($T1026, M$1&amp;""[\w &amp;]*, (\d+\.\d+)""),"""")
"),"")</f>
        <v/>
      </c>
      <c r="N1026" s="3" t="str">
        <f aca="false">IFERROR(__xludf.dummyfunction("if($T1026&lt;&gt;"""",REGEXEXTRACT(SUBSTITUTE ($T1026,N$1&amp;"" CE"",""""), N$1&amp;""[\w &amp;]*, (\d+\.\d+)""),"""")
"),"")</f>
        <v/>
      </c>
      <c r="O1026" s="3" t="str">
        <f aca="false">IFERROR(__xludf.dummyfunction("if($T1026&lt;&gt;"""",REGEXEXTRACT($T1026, O$1&amp;""[\w &amp;]*, (\d+\.\d+)""),"""")
"),"")</f>
        <v/>
      </c>
      <c r="P1026" s="2"/>
      <c r="Q1026" s="2"/>
      <c r="R1026" s="2"/>
      <c r="S1026" s="2"/>
      <c r="T1026" s="5"/>
    </row>
    <row r="1027" customFormat="false" ht="15.75" hidden="false" customHeight="false" outlineLevel="0" collapsed="false">
      <c r="A1027" s="4"/>
      <c r="B1027" s="2"/>
      <c r="C1027" s="2"/>
      <c r="D1027" s="2"/>
      <c r="E1027" s="2"/>
      <c r="F1027" s="3" t="str">
        <f aca="false">IFERROR(__xludf.dummyfunction("if($T1027&lt;&gt;"""",REGEXEXTRACT(SUBSTITUTE ($T1027,F$1&amp;"" CE"",""""), F$1&amp;""[\w &amp;]*, (\d+\.\d+)""),"""")
"),"")</f>
        <v/>
      </c>
      <c r="G1027" s="3" t="str">
        <f aca="false">IFERROR(__xludf.dummyfunction("if($T1027&lt;&gt;"""",REGEXEXTRACT($T1027, G$1&amp;""[\w &amp;]*, (\d+\.\d+)""),"""")
"),"")</f>
        <v/>
      </c>
      <c r="H1027" s="3"/>
      <c r="I1027" s="3" t="str">
        <f aca="false">IFERROR(__xludf.dummyfunction("if($T1027&lt;&gt;"""",REGEXEXTRACT(SUBSTITUTE ($T1027,I$1&amp;"" CE"",""""), I$1&amp;""[\w &amp;]*, (\d+\.\d+)""),"""")
"),"")</f>
        <v/>
      </c>
      <c r="J1027" s="3" t="str">
        <f aca="false">IFERROR(__xludf.dummyfunction("if($T1027&lt;&gt;"""",REGEXEXTRACT($T1027, J$1&amp;""[\w &amp;]*, (\d+\.\d+)""),"""")
"),"")</f>
        <v/>
      </c>
      <c r="K1027" s="3"/>
      <c r="L1027" s="3" t="str">
        <f aca="false">IFERROR(__xludf.dummyfunction("if($T1027&lt;&gt;"""",REGEXEXTRACT(SUBSTITUTE ($T1027,L$1&amp;"" CE"",""""), L$1&amp;""[\w &amp;]*, (\d+\.\d+)""),"""")
"),"")</f>
        <v/>
      </c>
      <c r="M1027" s="3" t="str">
        <f aca="false">IFERROR(__xludf.dummyfunction("if($T1027&lt;&gt;"""",REGEXEXTRACT($T1027, M$1&amp;""[\w &amp;]*, (\d+\.\d+)""),"""")
"),"")</f>
        <v/>
      </c>
      <c r="N1027" s="3" t="str">
        <f aca="false">IFERROR(__xludf.dummyfunction("if($T1027&lt;&gt;"""",REGEXEXTRACT(SUBSTITUTE ($T1027,N$1&amp;"" CE"",""""), N$1&amp;""[\w &amp;]*, (\d+\.\d+)""),"""")
"),"")</f>
        <v/>
      </c>
      <c r="O1027" s="3" t="str">
        <f aca="false">IFERROR(__xludf.dummyfunction("if($T1027&lt;&gt;"""",REGEXEXTRACT($T1027, O$1&amp;""[\w &amp;]*, (\d+\.\d+)""),"""")
"),"")</f>
        <v/>
      </c>
      <c r="P1027" s="2"/>
      <c r="Q1027" s="2"/>
      <c r="R1027" s="2"/>
      <c r="S1027" s="2"/>
      <c r="T1027" s="5"/>
    </row>
    <row r="1028" customFormat="false" ht="15.75" hidden="false" customHeight="false" outlineLevel="0" collapsed="false">
      <c r="A1028" s="4"/>
      <c r="B1028" s="2"/>
      <c r="C1028" s="2"/>
      <c r="D1028" s="2"/>
      <c r="E1028" s="2"/>
      <c r="F1028" s="3" t="str">
        <f aca="false">IFERROR(__xludf.dummyfunction("if($T1028&lt;&gt;"""",REGEXEXTRACT(SUBSTITUTE ($T1028,F$1&amp;"" CE"",""""), F$1&amp;""[\w &amp;]*, (\d+\.\d+)""),"""")
"),"")</f>
        <v/>
      </c>
      <c r="G1028" s="3" t="str">
        <f aca="false">IFERROR(__xludf.dummyfunction("if($T1028&lt;&gt;"""",REGEXEXTRACT($T1028, G$1&amp;""[\w &amp;]*, (\d+\.\d+)""),"""")
"),"")</f>
        <v/>
      </c>
      <c r="H1028" s="3"/>
      <c r="I1028" s="3" t="str">
        <f aca="false">IFERROR(__xludf.dummyfunction("if($T1028&lt;&gt;"""",REGEXEXTRACT(SUBSTITUTE ($T1028,I$1&amp;"" CE"",""""), I$1&amp;""[\w &amp;]*, (\d+\.\d+)""),"""")
"),"")</f>
        <v/>
      </c>
      <c r="J1028" s="3" t="str">
        <f aca="false">IFERROR(__xludf.dummyfunction("if($T1028&lt;&gt;"""",REGEXEXTRACT($T1028, J$1&amp;""[\w &amp;]*, (\d+\.\d+)""),"""")
"),"")</f>
        <v/>
      </c>
      <c r="K1028" s="3"/>
      <c r="L1028" s="3" t="str">
        <f aca="false">IFERROR(__xludf.dummyfunction("if($T1028&lt;&gt;"""",REGEXEXTRACT(SUBSTITUTE ($T1028,L$1&amp;"" CE"",""""), L$1&amp;""[\w &amp;]*, (\d+\.\d+)""),"""")
"),"")</f>
        <v/>
      </c>
      <c r="M1028" s="3" t="str">
        <f aca="false">IFERROR(__xludf.dummyfunction("if($T1028&lt;&gt;"""",REGEXEXTRACT($T1028, M$1&amp;""[\w &amp;]*, (\d+\.\d+)""),"""")
"),"")</f>
        <v/>
      </c>
      <c r="N1028" s="3" t="str">
        <f aca="false">IFERROR(__xludf.dummyfunction("if($T1028&lt;&gt;"""",REGEXEXTRACT(SUBSTITUTE ($T1028,N$1&amp;"" CE"",""""), N$1&amp;""[\w &amp;]*, (\d+\.\d+)""),"""")
"),"")</f>
        <v/>
      </c>
      <c r="O1028" s="3" t="str">
        <f aca="false">IFERROR(__xludf.dummyfunction("if($T1028&lt;&gt;"""",REGEXEXTRACT($T1028, O$1&amp;""[\w &amp;]*, (\d+\.\d+)""),"""")
"),"")</f>
        <v/>
      </c>
      <c r="P1028" s="2"/>
      <c r="Q1028" s="2"/>
      <c r="R1028" s="2"/>
      <c r="S1028" s="2"/>
      <c r="T1028" s="5"/>
    </row>
    <row r="1029" customFormat="false" ht="15.75" hidden="false" customHeight="false" outlineLevel="0" collapsed="false">
      <c r="A1029" s="4"/>
      <c r="B1029" s="2"/>
      <c r="C1029" s="2"/>
      <c r="D1029" s="2"/>
      <c r="E1029" s="2"/>
      <c r="F1029" s="3" t="str">
        <f aca="false">IFERROR(__xludf.dummyfunction("if($T1029&lt;&gt;"""",REGEXEXTRACT(SUBSTITUTE ($T1029,F$1&amp;"" CE"",""""), F$1&amp;""[\w &amp;]*, (\d+\.\d+)""),"""")
"),"")</f>
        <v/>
      </c>
      <c r="G1029" s="3" t="str">
        <f aca="false">IFERROR(__xludf.dummyfunction("if($T1029&lt;&gt;"""",REGEXEXTRACT($T1029, G$1&amp;""[\w &amp;]*, (\d+\.\d+)""),"""")
"),"")</f>
        <v/>
      </c>
      <c r="H1029" s="3"/>
      <c r="I1029" s="3" t="str">
        <f aca="false">IFERROR(__xludf.dummyfunction("if($T1029&lt;&gt;"""",REGEXEXTRACT(SUBSTITUTE ($T1029,I$1&amp;"" CE"",""""), I$1&amp;""[\w &amp;]*, (\d+\.\d+)""),"""")
"),"")</f>
        <v/>
      </c>
      <c r="J1029" s="3" t="str">
        <f aca="false">IFERROR(__xludf.dummyfunction("if($T1029&lt;&gt;"""",REGEXEXTRACT($T1029, J$1&amp;""[\w &amp;]*, (\d+\.\d+)""),"""")
"),"")</f>
        <v/>
      </c>
      <c r="K1029" s="3"/>
      <c r="L1029" s="3" t="str">
        <f aca="false">IFERROR(__xludf.dummyfunction("if($T1029&lt;&gt;"""",REGEXEXTRACT(SUBSTITUTE ($T1029,L$1&amp;"" CE"",""""), L$1&amp;""[\w &amp;]*, (\d+\.\d+)""),"""")
"),"")</f>
        <v/>
      </c>
      <c r="M1029" s="3" t="str">
        <f aca="false">IFERROR(__xludf.dummyfunction("if($T1029&lt;&gt;"""",REGEXEXTRACT($T1029, M$1&amp;""[\w &amp;]*, (\d+\.\d+)""),"""")
"),"")</f>
        <v/>
      </c>
      <c r="N1029" s="3" t="str">
        <f aca="false">IFERROR(__xludf.dummyfunction("if($T1029&lt;&gt;"""",REGEXEXTRACT(SUBSTITUTE ($T1029,N$1&amp;"" CE"",""""), N$1&amp;""[\w &amp;]*, (\d+\.\d+)""),"""")
"),"")</f>
        <v/>
      </c>
      <c r="O1029" s="3" t="str">
        <f aca="false">IFERROR(__xludf.dummyfunction("if($T1029&lt;&gt;"""",REGEXEXTRACT($T1029, O$1&amp;""[\w &amp;]*, (\d+\.\d+)""),"""")
"),"")</f>
        <v/>
      </c>
      <c r="P1029" s="2"/>
      <c r="Q1029" s="2"/>
      <c r="R1029" s="2"/>
      <c r="S1029" s="2"/>
      <c r="T1029" s="5"/>
    </row>
    <row r="1030" customFormat="false" ht="15.75" hidden="false" customHeight="false" outlineLevel="0" collapsed="false">
      <c r="A1030" s="4"/>
      <c r="B1030" s="2"/>
      <c r="C1030" s="2"/>
      <c r="D1030" s="2"/>
      <c r="E1030" s="2"/>
      <c r="F1030" s="3" t="str">
        <f aca="false">IFERROR(__xludf.dummyfunction("if($T1030&lt;&gt;"""",REGEXEXTRACT(SUBSTITUTE ($T1030,F$1&amp;"" CE"",""""), F$1&amp;""[\w &amp;]*, (\d+\.\d+)""),"""")
"),"")</f>
        <v/>
      </c>
      <c r="G1030" s="3" t="str">
        <f aca="false">IFERROR(__xludf.dummyfunction("if($T1030&lt;&gt;"""",REGEXEXTRACT($T1030, G$1&amp;""[\w &amp;]*, (\d+\.\d+)""),"""")
"),"")</f>
        <v/>
      </c>
      <c r="H1030" s="3"/>
      <c r="I1030" s="3" t="str">
        <f aca="false">IFERROR(__xludf.dummyfunction("if($T1030&lt;&gt;"""",REGEXEXTRACT(SUBSTITUTE ($T1030,I$1&amp;"" CE"",""""), I$1&amp;""[\w &amp;]*, (\d+\.\d+)""),"""")
"),"")</f>
        <v/>
      </c>
      <c r="J1030" s="3" t="str">
        <f aca="false">IFERROR(__xludf.dummyfunction("if($T1030&lt;&gt;"""",REGEXEXTRACT($T1030, J$1&amp;""[\w &amp;]*, (\d+\.\d+)""),"""")
"),"")</f>
        <v/>
      </c>
      <c r="K1030" s="3"/>
      <c r="L1030" s="3" t="str">
        <f aca="false">IFERROR(__xludf.dummyfunction("if($T1030&lt;&gt;"""",REGEXEXTRACT(SUBSTITUTE ($T1030,L$1&amp;"" CE"",""""), L$1&amp;""[\w &amp;]*, (\d+\.\d+)""),"""")
"),"")</f>
        <v/>
      </c>
      <c r="M1030" s="3" t="str">
        <f aca="false">IFERROR(__xludf.dummyfunction("if($T1030&lt;&gt;"""",REGEXEXTRACT($T1030, M$1&amp;""[\w &amp;]*, (\d+\.\d+)""),"""")
"),"")</f>
        <v/>
      </c>
      <c r="N1030" s="3" t="str">
        <f aca="false">IFERROR(__xludf.dummyfunction("if($T1030&lt;&gt;"""",REGEXEXTRACT(SUBSTITUTE ($T1030,N$1&amp;"" CE"",""""), N$1&amp;""[\w &amp;]*, (\d+\.\d+)""),"""")
"),"")</f>
        <v/>
      </c>
      <c r="O1030" s="3" t="str">
        <f aca="false">IFERROR(__xludf.dummyfunction("if($T1030&lt;&gt;"""",REGEXEXTRACT($T1030, O$1&amp;""[\w &amp;]*, (\d+\.\d+)""),"""")
"),"")</f>
        <v/>
      </c>
      <c r="P1030" s="2"/>
      <c r="Q1030" s="2"/>
      <c r="R1030" s="2"/>
      <c r="S1030" s="2"/>
      <c r="T1030" s="5"/>
    </row>
    <row r="1031" customFormat="false" ht="15.75" hidden="false" customHeight="false" outlineLevel="0" collapsed="false">
      <c r="A1031" s="4"/>
      <c r="B1031" s="2"/>
      <c r="C1031" s="2"/>
      <c r="D1031" s="2"/>
      <c r="E1031" s="2"/>
      <c r="F1031" s="3" t="str">
        <f aca="false">IFERROR(__xludf.dummyfunction("if($T1031&lt;&gt;"""",REGEXEXTRACT(SUBSTITUTE ($T1031,F$1&amp;"" CE"",""""), F$1&amp;""[\w &amp;]*, (\d+\.\d+)""),"""")
"),"")</f>
        <v/>
      </c>
      <c r="G1031" s="3" t="str">
        <f aca="false">IFERROR(__xludf.dummyfunction("if($T1031&lt;&gt;"""",REGEXEXTRACT($T1031, G$1&amp;""[\w &amp;]*, (\d+\.\d+)""),"""")
"),"")</f>
        <v/>
      </c>
      <c r="H1031" s="3"/>
      <c r="I1031" s="3" t="str">
        <f aca="false">IFERROR(__xludf.dummyfunction("if($T1031&lt;&gt;"""",REGEXEXTRACT(SUBSTITUTE ($T1031,I$1&amp;"" CE"",""""), I$1&amp;""[\w &amp;]*, (\d+\.\d+)""),"""")
"),"")</f>
        <v/>
      </c>
      <c r="J1031" s="3" t="str">
        <f aca="false">IFERROR(__xludf.dummyfunction("if($T1031&lt;&gt;"""",REGEXEXTRACT($T1031, J$1&amp;""[\w &amp;]*, (\d+\.\d+)""),"""")
"),"")</f>
        <v/>
      </c>
      <c r="K1031" s="3"/>
      <c r="L1031" s="3" t="str">
        <f aca="false">IFERROR(__xludf.dummyfunction("if($T1031&lt;&gt;"""",REGEXEXTRACT(SUBSTITUTE ($T1031,L$1&amp;"" CE"",""""), L$1&amp;""[\w &amp;]*, (\d+\.\d+)""),"""")
"),"")</f>
        <v/>
      </c>
      <c r="M1031" s="3" t="str">
        <f aca="false">IFERROR(__xludf.dummyfunction("if($T1031&lt;&gt;"""",REGEXEXTRACT($T1031, M$1&amp;""[\w &amp;]*, (\d+\.\d+)""),"""")
"),"")</f>
        <v/>
      </c>
      <c r="N1031" s="3" t="str">
        <f aca="false">IFERROR(__xludf.dummyfunction("if($T1031&lt;&gt;"""",REGEXEXTRACT(SUBSTITUTE ($T1031,N$1&amp;"" CE"",""""), N$1&amp;""[\w &amp;]*, (\d+\.\d+)""),"""")
"),"")</f>
        <v/>
      </c>
      <c r="O1031" s="3" t="str">
        <f aca="false">IFERROR(__xludf.dummyfunction("if($T1031&lt;&gt;"""",REGEXEXTRACT($T1031, O$1&amp;""[\w &amp;]*, (\d+\.\d+)""),"""")
"),"")</f>
        <v/>
      </c>
      <c r="P1031" s="2"/>
      <c r="Q1031" s="2"/>
      <c r="R1031" s="2"/>
      <c r="S1031" s="2"/>
      <c r="T1031" s="5"/>
    </row>
    <row r="1032" customFormat="false" ht="15.75" hidden="false" customHeight="false" outlineLevel="0" collapsed="false">
      <c r="A1032" s="4"/>
      <c r="B1032" s="2"/>
      <c r="C1032" s="2"/>
      <c r="D1032" s="2"/>
      <c r="E1032" s="2"/>
      <c r="F1032" s="3" t="str">
        <f aca="false">IFERROR(__xludf.dummyfunction("if($T1032&lt;&gt;"""",REGEXEXTRACT(SUBSTITUTE ($T1032,F$1&amp;"" CE"",""""), F$1&amp;""[\w &amp;]*, (\d+\.\d+)""),"""")
"),"")</f>
        <v/>
      </c>
      <c r="G1032" s="3" t="str">
        <f aca="false">IFERROR(__xludf.dummyfunction("if($T1032&lt;&gt;"""",REGEXEXTRACT($T1032, G$1&amp;""[\w &amp;]*, (\d+\.\d+)""),"""")
"),"")</f>
        <v/>
      </c>
      <c r="H1032" s="3"/>
      <c r="I1032" s="3" t="str">
        <f aca="false">IFERROR(__xludf.dummyfunction("if($T1032&lt;&gt;"""",REGEXEXTRACT(SUBSTITUTE ($T1032,I$1&amp;"" CE"",""""), I$1&amp;""[\w &amp;]*, (\d+\.\d+)""),"""")
"),"")</f>
        <v/>
      </c>
      <c r="J1032" s="3" t="str">
        <f aca="false">IFERROR(__xludf.dummyfunction("if($T1032&lt;&gt;"""",REGEXEXTRACT($T1032, J$1&amp;""[\w &amp;]*, (\d+\.\d+)""),"""")
"),"")</f>
        <v/>
      </c>
      <c r="K1032" s="3"/>
      <c r="L1032" s="3" t="str">
        <f aca="false">IFERROR(__xludf.dummyfunction("if($T1032&lt;&gt;"""",REGEXEXTRACT(SUBSTITUTE ($T1032,L$1&amp;"" CE"",""""), L$1&amp;""[\w &amp;]*, (\d+\.\d+)""),"""")
"),"")</f>
        <v/>
      </c>
      <c r="M1032" s="3" t="str">
        <f aca="false">IFERROR(__xludf.dummyfunction("if($T1032&lt;&gt;"""",REGEXEXTRACT($T1032, M$1&amp;""[\w &amp;]*, (\d+\.\d+)""),"""")
"),"")</f>
        <v/>
      </c>
      <c r="N1032" s="3" t="str">
        <f aca="false">IFERROR(__xludf.dummyfunction("if($T1032&lt;&gt;"""",REGEXEXTRACT(SUBSTITUTE ($T1032,N$1&amp;"" CE"",""""), N$1&amp;""[\w &amp;]*, (\d+\.\d+)""),"""")
"),"")</f>
        <v/>
      </c>
      <c r="O1032" s="3" t="str">
        <f aca="false">IFERROR(__xludf.dummyfunction("if($T1032&lt;&gt;"""",REGEXEXTRACT($T1032, O$1&amp;""[\w &amp;]*, (\d+\.\d+)""),"""")
"),"")</f>
        <v/>
      </c>
      <c r="P1032" s="2"/>
      <c r="Q1032" s="2"/>
      <c r="R1032" s="2"/>
      <c r="S1032" s="2"/>
      <c r="T1032" s="5"/>
    </row>
    <row r="1033" customFormat="false" ht="15.75" hidden="false" customHeight="false" outlineLevel="0" collapsed="false">
      <c r="A1033" s="4"/>
      <c r="B1033" s="2"/>
      <c r="C1033" s="2"/>
      <c r="D1033" s="2"/>
      <c r="E1033" s="2"/>
      <c r="F1033" s="3" t="str">
        <f aca="false">IFERROR(__xludf.dummyfunction("if($T1033&lt;&gt;"""",REGEXEXTRACT(SUBSTITUTE ($T1033,F$1&amp;"" CE"",""""), F$1&amp;""[\w &amp;]*, (\d+\.\d+)""),"""")
"),"")</f>
        <v/>
      </c>
      <c r="G1033" s="3" t="str">
        <f aca="false">IFERROR(__xludf.dummyfunction("if($T1033&lt;&gt;"""",REGEXEXTRACT($T1033, G$1&amp;""[\w &amp;]*, (\d+\.\d+)""),"""")
"),"")</f>
        <v/>
      </c>
      <c r="H1033" s="3"/>
      <c r="I1033" s="3" t="str">
        <f aca="false">IFERROR(__xludf.dummyfunction("if($T1033&lt;&gt;"""",REGEXEXTRACT(SUBSTITUTE ($T1033,I$1&amp;"" CE"",""""), I$1&amp;""[\w &amp;]*, (\d+\.\d+)""),"""")
"),"")</f>
        <v/>
      </c>
      <c r="J1033" s="3" t="str">
        <f aca="false">IFERROR(__xludf.dummyfunction("if($T1033&lt;&gt;"""",REGEXEXTRACT($T1033, J$1&amp;""[\w &amp;]*, (\d+\.\d+)""),"""")
"),"")</f>
        <v/>
      </c>
      <c r="K1033" s="3"/>
      <c r="L1033" s="3" t="str">
        <f aca="false">IFERROR(__xludf.dummyfunction("if($T1033&lt;&gt;"""",REGEXEXTRACT(SUBSTITUTE ($T1033,L$1&amp;"" CE"",""""), L$1&amp;""[\w &amp;]*, (\d+\.\d+)""),"""")
"),"")</f>
        <v/>
      </c>
      <c r="M1033" s="3" t="str">
        <f aca="false">IFERROR(__xludf.dummyfunction("if($T1033&lt;&gt;"""",REGEXEXTRACT($T1033, M$1&amp;""[\w &amp;]*, (\d+\.\d+)""),"""")
"),"")</f>
        <v/>
      </c>
      <c r="N1033" s="3" t="str">
        <f aca="false">IFERROR(__xludf.dummyfunction("if($T1033&lt;&gt;"""",REGEXEXTRACT(SUBSTITUTE ($T1033,N$1&amp;"" CE"",""""), N$1&amp;""[\w &amp;]*, (\d+\.\d+)""),"""")
"),"")</f>
        <v/>
      </c>
      <c r="O1033" s="3" t="str">
        <f aca="false">IFERROR(__xludf.dummyfunction("if($T1033&lt;&gt;"""",REGEXEXTRACT($T1033, O$1&amp;""[\w &amp;]*, (\d+\.\d+)""),"""")
"),"")</f>
        <v/>
      </c>
      <c r="P1033" s="2"/>
      <c r="Q1033" s="2"/>
      <c r="R1033" s="2"/>
      <c r="S1033" s="2"/>
      <c r="T1033" s="5"/>
    </row>
    <row r="1034" customFormat="false" ht="15.75" hidden="false" customHeight="false" outlineLevel="0" collapsed="false">
      <c r="A1034" s="4"/>
      <c r="B1034" s="2"/>
      <c r="C1034" s="2"/>
      <c r="D1034" s="2"/>
      <c r="E1034" s="2"/>
      <c r="F1034" s="3" t="str">
        <f aca="false">IFERROR(__xludf.dummyfunction("if($T1034&lt;&gt;"""",REGEXEXTRACT(SUBSTITUTE ($T1034,F$1&amp;"" CE"",""""), F$1&amp;""[\w &amp;]*, (\d+\.\d+)""),"""")
"),"")</f>
        <v/>
      </c>
      <c r="G1034" s="3" t="str">
        <f aca="false">IFERROR(__xludf.dummyfunction("if($T1034&lt;&gt;"""",REGEXEXTRACT($T1034, G$1&amp;""[\w &amp;]*, (\d+\.\d+)""),"""")
"),"")</f>
        <v/>
      </c>
      <c r="H1034" s="3"/>
      <c r="I1034" s="3" t="str">
        <f aca="false">IFERROR(__xludf.dummyfunction("if($T1034&lt;&gt;"""",REGEXEXTRACT(SUBSTITUTE ($T1034,I$1&amp;"" CE"",""""), I$1&amp;""[\w &amp;]*, (\d+\.\d+)""),"""")
"),"")</f>
        <v/>
      </c>
      <c r="J1034" s="3" t="str">
        <f aca="false">IFERROR(__xludf.dummyfunction("if($T1034&lt;&gt;"""",REGEXEXTRACT($T1034, J$1&amp;""[\w &amp;]*, (\d+\.\d+)""),"""")
"),"")</f>
        <v/>
      </c>
      <c r="K1034" s="3"/>
      <c r="L1034" s="3" t="str">
        <f aca="false">IFERROR(__xludf.dummyfunction("if($T1034&lt;&gt;"""",REGEXEXTRACT(SUBSTITUTE ($T1034,L$1&amp;"" CE"",""""), L$1&amp;""[\w &amp;]*, (\d+\.\d+)""),"""")
"),"")</f>
        <v/>
      </c>
      <c r="M1034" s="3" t="str">
        <f aca="false">IFERROR(__xludf.dummyfunction("if($T1034&lt;&gt;"""",REGEXEXTRACT($T1034, M$1&amp;""[\w &amp;]*, (\d+\.\d+)""),"""")
"),"")</f>
        <v/>
      </c>
      <c r="N1034" s="3" t="str">
        <f aca="false">IFERROR(__xludf.dummyfunction("if($T1034&lt;&gt;"""",REGEXEXTRACT(SUBSTITUTE ($T1034,N$1&amp;"" CE"",""""), N$1&amp;""[\w &amp;]*, (\d+\.\d+)""),"""")
"),"")</f>
        <v/>
      </c>
      <c r="O1034" s="3" t="str">
        <f aca="false">IFERROR(__xludf.dummyfunction("if($T1034&lt;&gt;"""",REGEXEXTRACT($T1034, O$1&amp;""[\w &amp;]*, (\d+\.\d+)""),"""")
"),"")</f>
        <v/>
      </c>
      <c r="P1034" s="2"/>
      <c r="Q1034" s="2"/>
      <c r="R1034" s="2"/>
      <c r="S1034" s="2"/>
      <c r="T1034" s="5"/>
    </row>
    <row r="1035" customFormat="false" ht="15.75" hidden="false" customHeight="false" outlineLevel="0" collapsed="false">
      <c r="A1035" s="4"/>
      <c r="B1035" s="2"/>
      <c r="C1035" s="2"/>
      <c r="D1035" s="2"/>
      <c r="E1035" s="2"/>
      <c r="F1035" s="3" t="str">
        <f aca="false">IFERROR(__xludf.dummyfunction("if($T1035&lt;&gt;"""",REGEXEXTRACT(SUBSTITUTE ($T1035,F$1&amp;"" CE"",""""), F$1&amp;""[\w &amp;]*, (\d+\.\d+)""),"""")
"),"")</f>
        <v/>
      </c>
      <c r="G1035" s="3" t="str">
        <f aca="false">IFERROR(__xludf.dummyfunction("if($T1035&lt;&gt;"""",REGEXEXTRACT($T1035, G$1&amp;""[\w &amp;]*, (\d+\.\d+)""),"""")
"),"")</f>
        <v/>
      </c>
      <c r="H1035" s="3"/>
      <c r="I1035" s="3" t="str">
        <f aca="false">IFERROR(__xludf.dummyfunction("if($T1035&lt;&gt;"""",REGEXEXTRACT(SUBSTITUTE ($T1035,I$1&amp;"" CE"",""""), I$1&amp;""[\w &amp;]*, (\d+\.\d+)""),"""")
"),"")</f>
        <v/>
      </c>
      <c r="J1035" s="3" t="str">
        <f aca="false">IFERROR(__xludf.dummyfunction("if($T1035&lt;&gt;"""",REGEXEXTRACT($T1035, J$1&amp;""[\w &amp;]*, (\d+\.\d+)""),"""")
"),"")</f>
        <v/>
      </c>
      <c r="K1035" s="3"/>
      <c r="L1035" s="3" t="str">
        <f aca="false">IFERROR(__xludf.dummyfunction("if($T1035&lt;&gt;"""",REGEXEXTRACT(SUBSTITUTE ($T1035,L$1&amp;"" CE"",""""), L$1&amp;""[\w &amp;]*, (\d+\.\d+)""),"""")
"),"")</f>
        <v/>
      </c>
      <c r="M1035" s="3" t="str">
        <f aca="false">IFERROR(__xludf.dummyfunction("if($T1035&lt;&gt;"""",REGEXEXTRACT($T1035, M$1&amp;""[\w &amp;]*, (\d+\.\d+)""),"""")
"),"")</f>
        <v/>
      </c>
      <c r="N1035" s="3" t="str">
        <f aca="false">IFERROR(__xludf.dummyfunction("if($T1035&lt;&gt;"""",REGEXEXTRACT(SUBSTITUTE ($T1035,N$1&amp;"" CE"",""""), N$1&amp;""[\w &amp;]*, (\d+\.\d+)""),"""")
"),"")</f>
        <v/>
      </c>
      <c r="O1035" s="3" t="str">
        <f aca="false">IFERROR(__xludf.dummyfunction("if($T1035&lt;&gt;"""",REGEXEXTRACT($T1035, O$1&amp;""[\w &amp;]*, (\d+\.\d+)""),"""")
"),"")</f>
        <v/>
      </c>
      <c r="P1035" s="2"/>
      <c r="Q1035" s="2"/>
      <c r="R1035" s="2"/>
      <c r="S1035" s="2"/>
      <c r="T1035" s="5"/>
    </row>
    <row r="1036" customFormat="false" ht="15.75" hidden="false" customHeight="false" outlineLevel="0" collapsed="false">
      <c r="A1036" s="4"/>
      <c r="B1036" s="2"/>
      <c r="C1036" s="2"/>
      <c r="D1036" s="2"/>
      <c r="E1036" s="2"/>
      <c r="F1036" s="3" t="str">
        <f aca="false">IFERROR(__xludf.dummyfunction("if($T1036&lt;&gt;"""",REGEXEXTRACT(SUBSTITUTE ($T1036,F$1&amp;"" CE"",""""), F$1&amp;""[\w &amp;]*, (\d+\.\d+)""),"""")
"),"")</f>
        <v/>
      </c>
      <c r="G1036" s="3" t="str">
        <f aca="false">IFERROR(__xludf.dummyfunction("if($T1036&lt;&gt;"""",REGEXEXTRACT($T1036, G$1&amp;""[\w &amp;]*, (\d+\.\d+)""),"""")
"),"")</f>
        <v/>
      </c>
      <c r="H1036" s="3"/>
      <c r="I1036" s="3" t="str">
        <f aca="false">IFERROR(__xludf.dummyfunction("if($T1036&lt;&gt;"""",REGEXEXTRACT(SUBSTITUTE ($T1036,I$1&amp;"" CE"",""""), I$1&amp;""[\w &amp;]*, (\d+\.\d+)""),"""")
"),"")</f>
        <v/>
      </c>
      <c r="J1036" s="3" t="str">
        <f aca="false">IFERROR(__xludf.dummyfunction("if($T1036&lt;&gt;"""",REGEXEXTRACT($T1036, J$1&amp;""[\w &amp;]*, (\d+\.\d+)""),"""")
"),"")</f>
        <v/>
      </c>
      <c r="K1036" s="3"/>
      <c r="L1036" s="3" t="str">
        <f aca="false">IFERROR(__xludf.dummyfunction("if($T1036&lt;&gt;"""",REGEXEXTRACT(SUBSTITUTE ($T1036,L$1&amp;"" CE"",""""), L$1&amp;""[\w &amp;]*, (\d+\.\d+)""),"""")
"),"")</f>
        <v/>
      </c>
      <c r="M1036" s="3" t="str">
        <f aca="false">IFERROR(__xludf.dummyfunction("if($T1036&lt;&gt;"""",REGEXEXTRACT($T1036, M$1&amp;""[\w &amp;]*, (\d+\.\d+)""),"""")
"),"")</f>
        <v/>
      </c>
      <c r="N1036" s="3" t="str">
        <f aca="false">IFERROR(__xludf.dummyfunction("if($T1036&lt;&gt;"""",REGEXEXTRACT(SUBSTITUTE ($T1036,N$1&amp;"" CE"",""""), N$1&amp;""[\w &amp;]*, (\d+\.\d+)""),"""")
"),"")</f>
        <v/>
      </c>
      <c r="O1036" s="3" t="str">
        <f aca="false">IFERROR(__xludf.dummyfunction("if($T1036&lt;&gt;"""",REGEXEXTRACT($T1036, O$1&amp;""[\w &amp;]*, (\d+\.\d+)""),"""")
"),"")</f>
        <v/>
      </c>
      <c r="P1036" s="2"/>
      <c r="Q1036" s="2"/>
      <c r="R1036" s="2"/>
      <c r="S1036" s="2"/>
      <c r="T1036" s="5"/>
    </row>
    <row r="1037" customFormat="false" ht="15.75" hidden="false" customHeight="false" outlineLevel="0" collapsed="false">
      <c r="A1037" s="4"/>
      <c r="B1037" s="2"/>
      <c r="C1037" s="2"/>
      <c r="D1037" s="2"/>
      <c r="E1037" s="2"/>
      <c r="F1037" s="3" t="str">
        <f aca="false">IFERROR(__xludf.dummyfunction("if($T1037&lt;&gt;"""",REGEXEXTRACT(SUBSTITUTE ($T1037,F$1&amp;"" CE"",""""), F$1&amp;""[\w &amp;]*, (\d+\.\d+)""),"""")
"),"")</f>
        <v/>
      </c>
      <c r="G1037" s="3" t="str">
        <f aca="false">IFERROR(__xludf.dummyfunction("if($T1037&lt;&gt;"""",REGEXEXTRACT($T1037, G$1&amp;""[\w &amp;]*, (\d+\.\d+)""),"""")
"),"")</f>
        <v/>
      </c>
      <c r="H1037" s="3"/>
      <c r="I1037" s="3" t="str">
        <f aca="false">IFERROR(__xludf.dummyfunction("if($T1037&lt;&gt;"""",REGEXEXTRACT(SUBSTITUTE ($T1037,I$1&amp;"" CE"",""""), I$1&amp;""[\w &amp;]*, (\d+\.\d+)""),"""")
"),"")</f>
        <v/>
      </c>
      <c r="J1037" s="3" t="str">
        <f aca="false">IFERROR(__xludf.dummyfunction("if($T1037&lt;&gt;"""",REGEXEXTRACT($T1037, J$1&amp;""[\w &amp;]*, (\d+\.\d+)""),"""")
"),"")</f>
        <v/>
      </c>
      <c r="K1037" s="3"/>
      <c r="L1037" s="3" t="str">
        <f aca="false">IFERROR(__xludf.dummyfunction("if($T1037&lt;&gt;"""",REGEXEXTRACT(SUBSTITUTE ($T1037,L$1&amp;"" CE"",""""), L$1&amp;""[\w &amp;]*, (\d+\.\d+)""),"""")
"),"")</f>
        <v/>
      </c>
      <c r="M1037" s="3" t="str">
        <f aca="false">IFERROR(__xludf.dummyfunction("if($T1037&lt;&gt;"""",REGEXEXTRACT($T1037, M$1&amp;""[\w &amp;]*, (\d+\.\d+)""),"""")
"),"")</f>
        <v/>
      </c>
      <c r="N1037" s="3" t="str">
        <f aca="false">IFERROR(__xludf.dummyfunction("if($T1037&lt;&gt;"""",REGEXEXTRACT(SUBSTITUTE ($T1037,N$1&amp;"" CE"",""""), N$1&amp;""[\w &amp;]*, (\d+\.\d+)""),"""")
"),"")</f>
        <v/>
      </c>
      <c r="O1037" s="3" t="str">
        <f aca="false">IFERROR(__xludf.dummyfunction("if($T1037&lt;&gt;"""",REGEXEXTRACT($T1037, O$1&amp;""[\w &amp;]*, (\d+\.\d+)""),"""")
"),"")</f>
        <v/>
      </c>
      <c r="P1037" s="2"/>
      <c r="Q1037" s="2"/>
      <c r="R1037" s="2"/>
      <c r="S1037" s="2"/>
      <c r="T1037" s="5"/>
    </row>
    <row r="1038" customFormat="false" ht="15.75" hidden="false" customHeight="false" outlineLevel="0" collapsed="false">
      <c r="A1038" s="4"/>
      <c r="B1038" s="2"/>
      <c r="C1038" s="2"/>
      <c r="D1038" s="2"/>
      <c r="E1038" s="2"/>
      <c r="F1038" s="3" t="str">
        <f aca="false">IFERROR(__xludf.dummyfunction("if($T1038&lt;&gt;"""",REGEXEXTRACT(SUBSTITUTE ($T1038,F$1&amp;"" CE"",""""), F$1&amp;""[\w &amp;]*, (\d+\.\d+)""),"""")
"),"")</f>
        <v/>
      </c>
      <c r="G1038" s="3" t="str">
        <f aca="false">IFERROR(__xludf.dummyfunction("if($T1038&lt;&gt;"""",REGEXEXTRACT($T1038, G$1&amp;""[\w &amp;]*, (\d+\.\d+)""),"""")
"),"")</f>
        <v/>
      </c>
      <c r="H1038" s="3"/>
      <c r="I1038" s="3" t="str">
        <f aca="false">IFERROR(__xludf.dummyfunction("if($T1038&lt;&gt;"""",REGEXEXTRACT(SUBSTITUTE ($T1038,I$1&amp;"" CE"",""""), I$1&amp;""[\w &amp;]*, (\d+\.\d+)""),"""")
"),"")</f>
        <v/>
      </c>
      <c r="J1038" s="3" t="str">
        <f aca="false">IFERROR(__xludf.dummyfunction("if($T1038&lt;&gt;"""",REGEXEXTRACT($T1038, J$1&amp;""[\w &amp;]*, (\d+\.\d+)""),"""")
"),"")</f>
        <v/>
      </c>
      <c r="K1038" s="3"/>
      <c r="L1038" s="3" t="str">
        <f aca="false">IFERROR(__xludf.dummyfunction("if($T1038&lt;&gt;"""",REGEXEXTRACT(SUBSTITUTE ($T1038,L$1&amp;"" CE"",""""), L$1&amp;""[\w &amp;]*, (\d+\.\d+)""),"""")
"),"")</f>
        <v/>
      </c>
      <c r="M1038" s="3" t="str">
        <f aca="false">IFERROR(__xludf.dummyfunction("if($T1038&lt;&gt;"""",REGEXEXTRACT($T1038, M$1&amp;""[\w &amp;]*, (\d+\.\d+)""),"""")
"),"")</f>
        <v/>
      </c>
      <c r="N1038" s="3" t="str">
        <f aca="false">IFERROR(__xludf.dummyfunction("if($T1038&lt;&gt;"""",REGEXEXTRACT(SUBSTITUTE ($T1038,N$1&amp;"" CE"",""""), N$1&amp;""[\w &amp;]*, (\d+\.\d+)""),"""")
"),"")</f>
        <v/>
      </c>
      <c r="O1038" s="3" t="str">
        <f aca="false">IFERROR(__xludf.dummyfunction("if($T1038&lt;&gt;"""",REGEXEXTRACT($T1038, O$1&amp;""[\w &amp;]*, (\d+\.\d+)""),"""")
"),"")</f>
        <v/>
      </c>
      <c r="P1038" s="2"/>
      <c r="Q1038" s="2"/>
      <c r="R1038" s="2"/>
      <c r="S1038" s="2"/>
      <c r="T1038" s="5"/>
    </row>
    <row r="1039" customFormat="false" ht="15.75" hidden="false" customHeight="false" outlineLevel="0" collapsed="false">
      <c r="A1039" s="4"/>
      <c r="B1039" s="2"/>
      <c r="C1039" s="2"/>
      <c r="D1039" s="2"/>
      <c r="E1039" s="2"/>
      <c r="F1039" s="3" t="str">
        <f aca="false">IFERROR(__xludf.dummyfunction("if($T1039&lt;&gt;"""",REGEXEXTRACT(SUBSTITUTE ($T1039,F$1&amp;"" CE"",""""), F$1&amp;""[\w &amp;]*, (\d+\.\d+)""),"""")
"),"")</f>
        <v/>
      </c>
      <c r="G1039" s="3" t="str">
        <f aca="false">IFERROR(__xludf.dummyfunction("if($T1039&lt;&gt;"""",REGEXEXTRACT($T1039, G$1&amp;""[\w &amp;]*, (\d+\.\d+)""),"""")
"),"")</f>
        <v/>
      </c>
      <c r="H1039" s="3"/>
      <c r="I1039" s="3" t="str">
        <f aca="false">IFERROR(__xludf.dummyfunction("if($T1039&lt;&gt;"""",REGEXEXTRACT(SUBSTITUTE ($T1039,I$1&amp;"" CE"",""""), I$1&amp;""[\w &amp;]*, (\d+\.\d+)""),"""")
"),"")</f>
        <v/>
      </c>
      <c r="J1039" s="3" t="str">
        <f aca="false">IFERROR(__xludf.dummyfunction("if($T1039&lt;&gt;"""",REGEXEXTRACT($T1039, J$1&amp;""[\w &amp;]*, (\d+\.\d+)""),"""")
"),"")</f>
        <v/>
      </c>
      <c r="K1039" s="3"/>
      <c r="L1039" s="3" t="str">
        <f aca="false">IFERROR(__xludf.dummyfunction("if($T1039&lt;&gt;"""",REGEXEXTRACT(SUBSTITUTE ($T1039,L$1&amp;"" CE"",""""), L$1&amp;""[\w &amp;]*, (\d+\.\d+)""),"""")
"),"")</f>
        <v/>
      </c>
      <c r="M1039" s="3" t="str">
        <f aca="false">IFERROR(__xludf.dummyfunction("if($T1039&lt;&gt;"""",REGEXEXTRACT($T1039, M$1&amp;""[\w &amp;]*, (\d+\.\d+)""),"""")
"),"")</f>
        <v/>
      </c>
      <c r="N1039" s="3" t="str">
        <f aca="false">IFERROR(__xludf.dummyfunction("if($T1039&lt;&gt;"""",REGEXEXTRACT(SUBSTITUTE ($T1039,N$1&amp;"" CE"",""""), N$1&amp;""[\w &amp;]*, (\d+\.\d+)""),"""")
"),"")</f>
        <v/>
      </c>
      <c r="O1039" s="3" t="str">
        <f aca="false">IFERROR(__xludf.dummyfunction("if($T1039&lt;&gt;"""",REGEXEXTRACT($T1039, O$1&amp;""[\w &amp;]*, (\d+\.\d+)""),"""")
"),"")</f>
        <v/>
      </c>
      <c r="P1039" s="2"/>
      <c r="Q1039" s="2"/>
      <c r="R1039" s="2"/>
      <c r="S1039" s="2"/>
      <c r="T1039" s="5"/>
    </row>
    <row r="1040" customFormat="false" ht="15.75" hidden="false" customHeight="false" outlineLevel="0" collapsed="false">
      <c r="A1040" s="4"/>
      <c r="B1040" s="2"/>
      <c r="C1040" s="2"/>
      <c r="D1040" s="2"/>
      <c r="E1040" s="2"/>
      <c r="F1040" s="3" t="str">
        <f aca="false">IFERROR(__xludf.dummyfunction("if($T1040&lt;&gt;"""",REGEXEXTRACT(SUBSTITUTE ($T1040,F$1&amp;"" CE"",""""), F$1&amp;""[\w &amp;]*, (\d+\.\d+)""),"""")
"),"")</f>
        <v/>
      </c>
      <c r="G1040" s="3" t="str">
        <f aca="false">IFERROR(__xludf.dummyfunction("if($T1040&lt;&gt;"""",REGEXEXTRACT($T1040, G$1&amp;""[\w &amp;]*, (\d+\.\d+)""),"""")
"),"")</f>
        <v/>
      </c>
      <c r="H1040" s="3"/>
      <c r="I1040" s="3" t="str">
        <f aca="false">IFERROR(__xludf.dummyfunction("if($T1040&lt;&gt;"""",REGEXEXTRACT(SUBSTITUTE ($T1040,I$1&amp;"" CE"",""""), I$1&amp;""[\w &amp;]*, (\d+\.\d+)""),"""")
"),"")</f>
        <v/>
      </c>
      <c r="J1040" s="3" t="str">
        <f aca="false">IFERROR(__xludf.dummyfunction("if($T1040&lt;&gt;"""",REGEXEXTRACT($T1040, J$1&amp;""[\w &amp;]*, (\d+\.\d+)""),"""")
"),"")</f>
        <v/>
      </c>
      <c r="K1040" s="3"/>
      <c r="L1040" s="3" t="str">
        <f aca="false">IFERROR(__xludf.dummyfunction("if($T1040&lt;&gt;"""",REGEXEXTRACT(SUBSTITUTE ($T1040,L$1&amp;"" CE"",""""), L$1&amp;""[\w &amp;]*, (\d+\.\d+)""),"""")
"),"")</f>
        <v/>
      </c>
      <c r="M1040" s="3" t="str">
        <f aca="false">IFERROR(__xludf.dummyfunction("if($T1040&lt;&gt;"""",REGEXEXTRACT($T1040, M$1&amp;""[\w &amp;]*, (\d+\.\d+)""),"""")
"),"")</f>
        <v/>
      </c>
      <c r="N1040" s="3" t="str">
        <f aca="false">IFERROR(__xludf.dummyfunction("if($T1040&lt;&gt;"""",REGEXEXTRACT(SUBSTITUTE ($T1040,N$1&amp;"" CE"",""""), N$1&amp;""[\w &amp;]*, (\d+\.\d+)""),"""")
"),"")</f>
        <v/>
      </c>
      <c r="O1040" s="3" t="str">
        <f aca="false">IFERROR(__xludf.dummyfunction("if($T1040&lt;&gt;"""",REGEXEXTRACT($T1040, O$1&amp;""[\w &amp;]*, (\d+\.\d+)""),"""")
"),"")</f>
        <v/>
      </c>
      <c r="P1040" s="2"/>
      <c r="Q1040" s="2"/>
      <c r="R1040" s="2"/>
      <c r="S1040" s="2"/>
      <c r="T1040" s="5"/>
    </row>
    <row r="1041" customFormat="false" ht="15.75" hidden="false" customHeight="false" outlineLevel="0" collapsed="false">
      <c r="A1041" s="4"/>
      <c r="B1041" s="2"/>
      <c r="C1041" s="2"/>
      <c r="D1041" s="2"/>
      <c r="E1041" s="2"/>
      <c r="F1041" s="3" t="str">
        <f aca="false">IFERROR(__xludf.dummyfunction("if($T1041&lt;&gt;"""",REGEXEXTRACT(SUBSTITUTE ($T1041,F$1&amp;"" CE"",""""), F$1&amp;""[\w &amp;]*, (\d+\.\d+)""),"""")
"),"")</f>
        <v/>
      </c>
      <c r="G1041" s="3" t="str">
        <f aca="false">IFERROR(__xludf.dummyfunction("if($T1041&lt;&gt;"""",REGEXEXTRACT($T1041, G$1&amp;""[\w &amp;]*, (\d+\.\d+)""),"""")
"),"")</f>
        <v/>
      </c>
      <c r="H1041" s="3"/>
      <c r="I1041" s="3" t="str">
        <f aca="false">IFERROR(__xludf.dummyfunction("if($T1041&lt;&gt;"""",REGEXEXTRACT(SUBSTITUTE ($T1041,I$1&amp;"" CE"",""""), I$1&amp;""[\w &amp;]*, (\d+\.\d+)""),"""")
"),"")</f>
        <v/>
      </c>
      <c r="J1041" s="3" t="str">
        <f aca="false">IFERROR(__xludf.dummyfunction("if($T1041&lt;&gt;"""",REGEXEXTRACT($T1041, J$1&amp;""[\w &amp;]*, (\d+\.\d+)""),"""")
"),"")</f>
        <v/>
      </c>
      <c r="K1041" s="3"/>
      <c r="L1041" s="3" t="str">
        <f aca="false">IFERROR(__xludf.dummyfunction("if($T1041&lt;&gt;"""",REGEXEXTRACT(SUBSTITUTE ($T1041,L$1&amp;"" CE"",""""), L$1&amp;""[\w &amp;]*, (\d+\.\d+)""),"""")
"),"")</f>
        <v/>
      </c>
      <c r="M1041" s="3" t="str">
        <f aca="false">IFERROR(__xludf.dummyfunction("if($T1041&lt;&gt;"""",REGEXEXTRACT($T1041, M$1&amp;""[\w &amp;]*, (\d+\.\d+)""),"""")
"),"")</f>
        <v/>
      </c>
      <c r="N1041" s="3" t="str">
        <f aca="false">IFERROR(__xludf.dummyfunction("if($T1041&lt;&gt;"""",REGEXEXTRACT(SUBSTITUTE ($T1041,N$1&amp;"" CE"",""""), N$1&amp;""[\w &amp;]*, (\d+\.\d+)""),"""")
"),"")</f>
        <v/>
      </c>
      <c r="O1041" s="3" t="str">
        <f aca="false">IFERROR(__xludf.dummyfunction("if($T1041&lt;&gt;"""",REGEXEXTRACT($T1041, O$1&amp;""[\w &amp;]*, (\d+\.\d+)""),"""")
"),"")</f>
        <v/>
      </c>
      <c r="P1041" s="2"/>
      <c r="Q1041" s="2"/>
      <c r="R1041" s="2"/>
      <c r="S1041" s="2"/>
      <c r="T1041" s="5"/>
    </row>
    <row r="1042" customFormat="false" ht="15.75" hidden="false" customHeight="false" outlineLevel="0" collapsed="false">
      <c r="A1042" s="4"/>
      <c r="B1042" s="2"/>
      <c r="C1042" s="2"/>
      <c r="D1042" s="2"/>
      <c r="E1042" s="2"/>
      <c r="F1042" s="3" t="str">
        <f aca="false">IFERROR(__xludf.dummyfunction("if($T1042&lt;&gt;"""",REGEXEXTRACT(SUBSTITUTE ($T1042,F$1&amp;"" CE"",""""), F$1&amp;""[\w &amp;]*, (\d+\.\d+)""),"""")
"),"")</f>
        <v/>
      </c>
      <c r="G1042" s="3" t="str">
        <f aca="false">IFERROR(__xludf.dummyfunction("if($T1042&lt;&gt;"""",REGEXEXTRACT($T1042, G$1&amp;""[\w &amp;]*, (\d+\.\d+)""),"""")
"),"")</f>
        <v/>
      </c>
      <c r="H1042" s="3"/>
      <c r="I1042" s="3" t="str">
        <f aca="false">IFERROR(__xludf.dummyfunction("if($T1042&lt;&gt;"""",REGEXEXTRACT(SUBSTITUTE ($T1042,I$1&amp;"" CE"",""""), I$1&amp;""[\w &amp;]*, (\d+\.\d+)""),"""")
"),"")</f>
        <v/>
      </c>
      <c r="J1042" s="3" t="str">
        <f aca="false">IFERROR(__xludf.dummyfunction("if($T1042&lt;&gt;"""",REGEXEXTRACT($T1042, J$1&amp;""[\w &amp;]*, (\d+\.\d+)""),"""")
"),"")</f>
        <v/>
      </c>
      <c r="K1042" s="3"/>
      <c r="L1042" s="3" t="str">
        <f aca="false">IFERROR(__xludf.dummyfunction("if($T1042&lt;&gt;"""",REGEXEXTRACT(SUBSTITUTE ($T1042,L$1&amp;"" CE"",""""), L$1&amp;""[\w &amp;]*, (\d+\.\d+)""),"""")
"),"")</f>
        <v/>
      </c>
      <c r="M1042" s="3" t="str">
        <f aca="false">IFERROR(__xludf.dummyfunction("if($T1042&lt;&gt;"""",REGEXEXTRACT($T1042, M$1&amp;""[\w &amp;]*, (\d+\.\d+)""),"""")
"),"")</f>
        <v/>
      </c>
      <c r="N1042" s="3" t="str">
        <f aca="false">IFERROR(__xludf.dummyfunction("if($T1042&lt;&gt;"""",REGEXEXTRACT(SUBSTITUTE ($T1042,N$1&amp;"" CE"",""""), N$1&amp;""[\w &amp;]*, (\d+\.\d+)""),"""")
"),"")</f>
        <v/>
      </c>
      <c r="O1042" s="3" t="str">
        <f aca="false">IFERROR(__xludf.dummyfunction("if($T1042&lt;&gt;"""",REGEXEXTRACT($T1042, O$1&amp;""[\w &amp;]*, (\d+\.\d+)""),"""")
"),"")</f>
        <v/>
      </c>
      <c r="P1042" s="2"/>
      <c r="Q1042" s="2"/>
      <c r="R1042" s="2"/>
      <c r="S1042" s="2"/>
      <c r="T1042" s="5"/>
    </row>
    <row r="1043" customFormat="false" ht="15.75" hidden="false" customHeight="false" outlineLevel="0" collapsed="false">
      <c r="A1043" s="4"/>
      <c r="B1043" s="2"/>
      <c r="C1043" s="2"/>
      <c r="D1043" s="2"/>
      <c r="E1043" s="2"/>
      <c r="F1043" s="3" t="str">
        <f aca="false">IFERROR(__xludf.dummyfunction("if($T1043&lt;&gt;"""",REGEXEXTRACT(SUBSTITUTE ($T1043,F$1&amp;"" CE"",""""), F$1&amp;""[\w &amp;]*, (\d+\.\d+)""),"""")
"),"")</f>
        <v/>
      </c>
      <c r="G1043" s="3" t="str">
        <f aca="false">IFERROR(__xludf.dummyfunction("if($T1043&lt;&gt;"""",REGEXEXTRACT($T1043, G$1&amp;""[\w &amp;]*, (\d+\.\d+)""),"""")
"),"")</f>
        <v/>
      </c>
      <c r="H1043" s="3"/>
      <c r="I1043" s="3" t="str">
        <f aca="false">IFERROR(__xludf.dummyfunction("if($T1043&lt;&gt;"""",REGEXEXTRACT(SUBSTITUTE ($T1043,I$1&amp;"" CE"",""""), I$1&amp;""[\w &amp;]*, (\d+\.\d+)""),"""")
"),"")</f>
        <v/>
      </c>
      <c r="J1043" s="3" t="str">
        <f aca="false">IFERROR(__xludf.dummyfunction("if($T1043&lt;&gt;"""",REGEXEXTRACT($T1043, J$1&amp;""[\w &amp;]*, (\d+\.\d+)""),"""")
"),"")</f>
        <v/>
      </c>
      <c r="K1043" s="3"/>
      <c r="L1043" s="3" t="str">
        <f aca="false">IFERROR(__xludf.dummyfunction("if($T1043&lt;&gt;"""",REGEXEXTRACT(SUBSTITUTE ($T1043,L$1&amp;"" CE"",""""), L$1&amp;""[\w &amp;]*, (\d+\.\d+)""),"""")
"),"")</f>
        <v/>
      </c>
      <c r="M1043" s="3" t="str">
        <f aca="false">IFERROR(__xludf.dummyfunction("if($T1043&lt;&gt;"""",REGEXEXTRACT($T1043, M$1&amp;""[\w &amp;]*, (\d+\.\d+)""),"""")
"),"")</f>
        <v/>
      </c>
      <c r="N1043" s="3" t="str">
        <f aca="false">IFERROR(__xludf.dummyfunction("if($T1043&lt;&gt;"""",REGEXEXTRACT(SUBSTITUTE ($T1043,N$1&amp;"" CE"",""""), N$1&amp;""[\w &amp;]*, (\d+\.\d+)""),"""")
"),"")</f>
        <v/>
      </c>
      <c r="O1043" s="3" t="str">
        <f aca="false">IFERROR(__xludf.dummyfunction("if($T1043&lt;&gt;"""",REGEXEXTRACT($T1043, O$1&amp;""[\w &amp;]*, (\d+\.\d+)""),"""")
"),"")</f>
        <v/>
      </c>
      <c r="P1043" s="2"/>
      <c r="Q1043" s="2"/>
      <c r="R1043" s="2"/>
      <c r="S1043" s="2"/>
      <c r="T1043" s="5"/>
    </row>
    <row r="1044" customFormat="false" ht="15.75" hidden="false" customHeight="false" outlineLevel="0" collapsed="false">
      <c r="A1044" s="4"/>
      <c r="B1044" s="2"/>
      <c r="C1044" s="2"/>
      <c r="D1044" s="2"/>
      <c r="E1044" s="2"/>
      <c r="F1044" s="3" t="str">
        <f aca="false">IFERROR(__xludf.dummyfunction("if($T1044&lt;&gt;"""",REGEXEXTRACT(SUBSTITUTE ($T1044,F$1&amp;"" CE"",""""), F$1&amp;""[\w &amp;]*, (\d+\.\d+)""),"""")
"),"")</f>
        <v/>
      </c>
      <c r="G1044" s="3" t="str">
        <f aca="false">IFERROR(__xludf.dummyfunction("if($T1044&lt;&gt;"""",REGEXEXTRACT($T1044, G$1&amp;""[\w &amp;]*, (\d+\.\d+)""),"""")
"),"")</f>
        <v/>
      </c>
      <c r="H1044" s="3"/>
      <c r="I1044" s="3" t="str">
        <f aca="false">IFERROR(__xludf.dummyfunction("if($T1044&lt;&gt;"""",REGEXEXTRACT(SUBSTITUTE ($T1044,I$1&amp;"" CE"",""""), I$1&amp;""[\w &amp;]*, (\d+\.\d+)""),"""")
"),"")</f>
        <v/>
      </c>
      <c r="J1044" s="3" t="str">
        <f aca="false">IFERROR(__xludf.dummyfunction("if($T1044&lt;&gt;"""",REGEXEXTRACT($T1044, J$1&amp;""[\w &amp;]*, (\d+\.\d+)""),"""")
"),"")</f>
        <v/>
      </c>
      <c r="K1044" s="3"/>
      <c r="L1044" s="3" t="str">
        <f aca="false">IFERROR(__xludf.dummyfunction("if($T1044&lt;&gt;"""",REGEXEXTRACT(SUBSTITUTE ($T1044,L$1&amp;"" CE"",""""), L$1&amp;""[\w &amp;]*, (\d+\.\d+)""),"""")
"),"")</f>
        <v/>
      </c>
      <c r="M1044" s="3" t="str">
        <f aca="false">IFERROR(__xludf.dummyfunction("if($T1044&lt;&gt;"""",REGEXEXTRACT($T1044, M$1&amp;""[\w &amp;]*, (\d+\.\d+)""),"""")
"),"")</f>
        <v/>
      </c>
      <c r="N1044" s="3" t="str">
        <f aca="false">IFERROR(__xludf.dummyfunction("if($T1044&lt;&gt;"""",REGEXEXTRACT(SUBSTITUTE ($T1044,N$1&amp;"" CE"",""""), N$1&amp;""[\w &amp;]*, (\d+\.\d+)""),"""")
"),"")</f>
        <v/>
      </c>
      <c r="O1044" s="3" t="str">
        <f aca="false">IFERROR(__xludf.dummyfunction("if($T1044&lt;&gt;"""",REGEXEXTRACT($T1044, O$1&amp;""[\w &amp;]*, (\d+\.\d+)""),"""")
"),"")</f>
        <v/>
      </c>
      <c r="P1044" s="2"/>
      <c r="Q1044" s="2"/>
      <c r="R1044" s="2"/>
      <c r="S1044" s="2"/>
      <c r="T1044" s="5"/>
    </row>
    <row r="1045" customFormat="false" ht="15.75" hidden="false" customHeight="false" outlineLevel="0" collapsed="false">
      <c r="A1045" s="4"/>
      <c r="B1045" s="2"/>
      <c r="C1045" s="2"/>
      <c r="D1045" s="2"/>
      <c r="E1045" s="2"/>
      <c r="F1045" s="3" t="str">
        <f aca="false">IFERROR(__xludf.dummyfunction("if($T1045&lt;&gt;"""",REGEXEXTRACT(SUBSTITUTE ($T1045,F$1&amp;"" CE"",""""), F$1&amp;""[\w &amp;]*, (\d+\.\d+)""),"""")
"),"")</f>
        <v/>
      </c>
      <c r="G1045" s="3" t="str">
        <f aca="false">IFERROR(__xludf.dummyfunction("if($T1045&lt;&gt;"""",REGEXEXTRACT($T1045, G$1&amp;""[\w &amp;]*, (\d+\.\d+)""),"""")
"),"")</f>
        <v/>
      </c>
      <c r="H1045" s="3"/>
      <c r="I1045" s="3" t="str">
        <f aca="false">IFERROR(__xludf.dummyfunction("if($T1045&lt;&gt;"""",REGEXEXTRACT(SUBSTITUTE ($T1045,I$1&amp;"" CE"",""""), I$1&amp;""[\w &amp;]*, (\d+\.\d+)""),"""")
"),"")</f>
        <v/>
      </c>
      <c r="J1045" s="3" t="str">
        <f aca="false">IFERROR(__xludf.dummyfunction("if($T1045&lt;&gt;"""",REGEXEXTRACT($T1045, J$1&amp;""[\w &amp;]*, (\d+\.\d+)""),"""")
"),"")</f>
        <v/>
      </c>
      <c r="K1045" s="3"/>
      <c r="L1045" s="3" t="str">
        <f aca="false">IFERROR(__xludf.dummyfunction("if($T1045&lt;&gt;"""",REGEXEXTRACT(SUBSTITUTE ($T1045,L$1&amp;"" CE"",""""), L$1&amp;""[\w &amp;]*, (\d+\.\d+)""),"""")
"),"")</f>
        <v/>
      </c>
      <c r="M1045" s="3" t="str">
        <f aca="false">IFERROR(__xludf.dummyfunction("if($T1045&lt;&gt;"""",REGEXEXTRACT($T1045, M$1&amp;""[\w &amp;]*, (\d+\.\d+)""),"""")
"),"")</f>
        <v/>
      </c>
      <c r="N1045" s="3" t="str">
        <f aca="false">IFERROR(__xludf.dummyfunction("if($T1045&lt;&gt;"""",REGEXEXTRACT(SUBSTITUTE ($T1045,N$1&amp;"" CE"",""""), N$1&amp;""[\w &amp;]*, (\d+\.\d+)""),"""")
"),"")</f>
        <v/>
      </c>
      <c r="O1045" s="3" t="str">
        <f aca="false">IFERROR(__xludf.dummyfunction("if($T1045&lt;&gt;"""",REGEXEXTRACT($T1045, O$1&amp;""[\w &amp;]*, (\d+\.\d+)""),"""")
"),"")</f>
        <v/>
      </c>
      <c r="P1045" s="2"/>
      <c r="Q1045" s="2"/>
      <c r="R1045" s="2"/>
      <c r="S1045" s="2"/>
      <c r="T1045" s="5"/>
    </row>
    <row r="1046" customFormat="false" ht="15.75" hidden="false" customHeight="false" outlineLevel="0" collapsed="false">
      <c r="A1046" s="4"/>
      <c r="B1046" s="2"/>
      <c r="C1046" s="2"/>
      <c r="D1046" s="2"/>
      <c r="E1046" s="2"/>
      <c r="F1046" s="3" t="str">
        <f aca="false">IFERROR(__xludf.dummyfunction("if($T1046&lt;&gt;"""",REGEXEXTRACT(SUBSTITUTE ($T1046,F$1&amp;"" CE"",""""), F$1&amp;""[\w &amp;]*, (\d+\.\d+)""),"""")
"),"")</f>
        <v/>
      </c>
      <c r="G1046" s="3" t="str">
        <f aca="false">IFERROR(__xludf.dummyfunction("if($T1046&lt;&gt;"""",REGEXEXTRACT($T1046, G$1&amp;""[\w &amp;]*, (\d+\.\d+)""),"""")
"),"")</f>
        <v/>
      </c>
      <c r="H1046" s="3"/>
      <c r="I1046" s="3" t="str">
        <f aca="false">IFERROR(__xludf.dummyfunction("if($T1046&lt;&gt;"""",REGEXEXTRACT(SUBSTITUTE ($T1046,I$1&amp;"" CE"",""""), I$1&amp;""[\w &amp;]*, (\d+\.\d+)""),"""")
"),"")</f>
        <v/>
      </c>
      <c r="J1046" s="3" t="str">
        <f aca="false">IFERROR(__xludf.dummyfunction("if($T1046&lt;&gt;"""",REGEXEXTRACT($T1046, J$1&amp;""[\w &amp;]*, (\d+\.\d+)""),"""")
"),"")</f>
        <v/>
      </c>
      <c r="K1046" s="3"/>
      <c r="L1046" s="3" t="str">
        <f aca="false">IFERROR(__xludf.dummyfunction("if($T1046&lt;&gt;"""",REGEXEXTRACT(SUBSTITUTE ($T1046,L$1&amp;"" CE"",""""), L$1&amp;""[\w &amp;]*, (\d+\.\d+)""),"""")
"),"")</f>
        <v/>
      </c>
      <c r="M1046" s="3" t="str">
        <f aca="false">IFERROR(__xludf.dummyfunction("if($T1046&lt;&gt;"""",REGEXEXTRACT($T1046, M$1&amp;""[\w &amp;]*, (\d+\.\d+)""),"""")
"),"")</f>
        <v/>
      </c>
      <c r="N1046" s="3" t="str">
        <f aca="false">IFERROR(__xludf.dummyfunction("if($T1046&lt;&gt;"""",REGEXEXTRACT(SUBSTITUTE ($T1046,N$1&amp;"" CE"",""""), N$1&amp;""[\w &amp;]*, (\d+\.\d+)""),"""")
"),"")</f>
        <v/>
      </c>
      <c r="O1046" s="3" t="str">
        <f aca="false">IFERROR(__xludf.dummyfunction("if($T1046&lt;&gt;"""",REGEXEXTRACT($T1046, O$1&amp;""[\w &amp;]*, (\d+\.\d+)""),"""")
"),"")</f>
        <v/>
      </c>
      <c r="P1046" s="2"/>
      <c r="Q1046" s="2"/>
      <c r="R1046" s="2"/>
      <c r="S1046" s="2"/>
      <c r="T1046" s="5"/>
    </row>
    <row r="1047" customFormat="false" ht="15.75" hidden="false" customHeight="false" outlineLevel="0" collapsed="false">
      <c r="A1047" s="4"/>
      <c r="B1047" s="2"/>
      <c r="C1047" s="2"/>
      <c r="D1047" s="2"/>
      <c r="E1047" s="2"/>
      <c r="F1047" s="3" t="str">
        <f aca="false">IFERROR(__xludf.dummyfunction("if($T1047&lt;&gt;"""",REGEXEXTRACT(SUBSTITUTE ($T1047,F$1&amp;"" CE"",""""), F$1&amp;""[\w &amp;]*, (\d+\.\d+)""),"""")
"),"")</f>
        <v/>
      </c>
      <c r="G1047" s="3" t="str">
        <f aca="false">IFERROR(__xludf.dummyfunction("if($T1047&lt;&gt;"""",REGEXEXTRACT($T1047, G$1&amp;""[\w &amp;]*, (\d+\.\d+)""),"""")
"),"")</f>
        <v/>
      </c>
      <c r="H1047" s="3"/>
      <c r="I1047" s="3" t="str">
        <f aca="false">IFERROR(__xludf.dummyfunction("if($T1047&lt;&gt;"""",REGEXEXTRACT(SUBSTITUTE ($T1047,I$1&amp;"" CE"",""""), I$1&amp;""[\w &amp;]*, (\d+\.\d+)""),"""")
"),"")</f>
        <v/>
      </c>
      <c r="J1047" s="3" t="str">
        <f aca="false">IFERROR(__xludf.dummyfunction("if($T1047&lt;&gt;"""",REGEXEXTRACT($T1047, J$1&amp;""[\w &amp;]*, (\d+\.\d+)""),"""")
"),"")</f>
        <v/>
      </c>
      <c r="K1047" s="3"/>
      <c r="L1047" s="3" t="str">
        <f aca="false">IFERROR(__xludf.dummyfunction("if($T1047&lt;&gt;"""",REGEXEXTRACT(SUBSTITUTE ($T1047,L$1&amp;"" CE"",""""), L$1&amp;""[\w &amp;]*, (\d+\.\d+)""),"""")
"),"")</f>
        <v/>
      </c>
      <c r="M1047" s="3" t="str">
        <f aca="false">IFERROR(__xludf.dummyfunction("if($T1047&lt;&gt;"""",REGEXEXTRACT($T1047, M$1&amp;""[\w &amp;]*, (\d+\.\d+)""),"""")
"),"")</f>
        <v/>
      </c>
      <c r="N1047" s="3" t="str">
        <f aca="false">IFERROR(__xludf.dummyfunction("if($T1047&lt;&gt;"""",REGEXEXTRACT(SUBSTITUTE ($T1047,N$1&amp;"" CE"",""""), N$1&amp;""[\w &amp;]*, (\d+\.\d+)""),"""")
"),"")</f>
        <v/>
      </c>
      <c r="O1047" s="3" t="str">
        <f aca="false">IFERROR(__xludf.dummyfunction("if($T1047&lt;&gt;"""",REGEXEXTRACT($T1047, O$1&amp;""[\w &amp;]*, (\d+\.\d+)""),"""")
"),"")</f>
        <v/>
      </c>
      <c r="P1047" s="2"/>
      <c r="Q1047" s="2"/>
      <c r="R1047" s="2"/>
      <c r="S1047" s="2"/>
      <c r="T1047" s="5"/>
    </row>
    <row r="1048" customFormat="false" ht="15.75" hidden="false" customHeight="false" outlineLevel="0" collapsed="false">
      <c r="A1048" s="4"/>
      <c r="B1048" s="2"/>
      <c r="C1048" s="2"/>
      <c r="D1048" s="2"/>
      <c r="E1048" s="2"/>
      <c r="F1048" s="3" t="str">
        <f aca="false">IFERROR(__xludf.dummyfunction("if($T1048&lt;&gt;"""",REGEXEXTRACT(SUBSTITUTE ($T1048,F$1&amp;"" CE"",""""), F$1&amp;""[\w &amp;]*, (\d+\.\d+)""),"""")
"),"")</f>
        <v/>
      </c>
      <c r="G1048" s="3" t="str">
        <f aca="false">IFERROR(__xludf.dummyfunction("if($T1048&lt;&gt;"""",REGEXEXTRACT($T1048, G$1&amp;""[\w &amp;]*, (\d+\.\d+)""),"""")
"),"")</f>
        <v/>
      </c>
      <c r="H1048" s="3"/>
      <c r="I1048" s="3" t="str">
        <f aca="false">IFERROR(__xludf.dummyfunction("if($T1048&lt;&gt;"""",REGEXEXTRACT(SUBSTITUTE ($T1048,I$1&amp;"" CE"",""""), I$1&amp;""[\w &amp;]*, (\d+\.\d+)""),"""")
"),"")</f>
        <v/>
      </c>
      <c r="J1048" s="3" t="str">
        <f aca="false">IFERROR(__xludf.dummyfunction("if($T1048&lt;&gt;"""",REGEXEXTRACT($T1048, J$1&amp;""[\w &amp;]*, (\d+\.\d+)""),"""")
"),"")</f>
        <v/>
      </c>
      <c r="K1048" s="3"/>
      <c r="L1048" s="3" t="str">
        <f aca="false">IFERROR(__xludf.dummyfunction("if($T1048&lt;&gt;"""",REGEXEXTRACT(SUBSTITUTE ($T1048,L$1&amp;"" CE"",""""), L$1&amp;""[\w &amp;]*, (\d+\.\d+)""),"""")
"),"")</f>
        <v/>
      </c>
      <c r="M1048" s="3" t="str">
        <f aca="false">IFERROR(__xludf.dummyfunction("if($T1048&lt;&gt;"""",REGEXEXTRACT($T1048, M$1&amp;""[\w &amp;]*, (\d+\.\d+)""),"""")
"),"")</f>
        <v/>
      </c>
      <c r="N1048" s="3" t="str">
        <f aca="false">IFERROR(__xludf.dummyfunction("if($T1048&lt;&gt;"""",REGEXEXTRACT(SUBSTITUTE ($T1048,N$1&amp;"" CE"",""""), N$1&amp;""[\w &amp;]*, (\d+\.\d+)""),"""")
"),"")</f>
        <v/>
      </c>
      <c r="O1048" s="3" t="str">
        <f aca="false">IFERROR(__xludf.dummyfunction("if($T1048&lt;&gt;"""",REGEXEXTRACT($T1048, O$1&amp;""[\w &amp;]*, (\d+\.\d+)""),"""")
"),"")</f>
        <v/>
      </c>
      <c r="P1048" s="2"/>
      <c r="Q1048" s="2"/>
      <c r="R1048" s="2"/>
      <c r="S1048" s="2"/>
      <c r="T1048" s="5"/>
    </row>
    <row r="1049" customFormat="false" ht="15.75" hidden="false" customHeight="false" outlineLevel="0" collapsed="false">
      <c r="A1049" s="4"/>
      <c r="B1049" s="2"/>
      <c r="C1049" s="2"/>
      <c r="D1049" s="2"/>
      <c r="E1049" s="2"/>
      <c r="F1049" s="3" t="str">
        <f aca="false">IFERROR(__xludf.dummyfunction("if($T1049&lt;&gt;"""",REGEXEXTRACT(SUBSTITUTE ($T1049,F$1&amp;"" CE"",""""), F$1&amp;""[\w &amp;]*, (\d+\.\d+)""),"""")
"),"")</f>
        <v/>
      </c>
      <c r="G1049" s="3" t="str">
        <f aca="false">IFERROR(__xludf.dummyfunction("if($T1049&lt;&gt;"""",REGEXEXTRACT($T1049, G$1&amp;""[\w &amp;]*, (\d+\.\d+)""),"""")
"),"")</f>
        <v/>
      </c>
      <c r="H1049" s="3"/>
      <c r="I1049" s="3" t="str">
        <f aca="false">IFERROR(__xludf.dummyfunction("if($T1049&lt;&gt;"""",REGEXEXTRACT(SUBSTITUTE ($T1049,I$1&amp;"" CE"",""""), I$1&amp;""[\w &amp;]*, (\d+\.\d+)""),"""")
"),"")</f>
        <v/>
      </c>
      <c r="J1049" s="3" t="str">
        <f aca="false">IFERROR(__xludf.dummyfunction("if($T1049&lt;&gt;"""",REGEXEXTRACT($T1049, J$1&amp;""[\w &amp;]*, (\d+\.\d+)""),"""")
"),"")</f>
        <v/>
      </c>
      <c r="K1049" s="3"/>
      <c r="L1049" s="3" t="str">
        <f aca="false">IFERROR(__xludf.dummyfunction("if($T1049&lt;&gt;"""",REGEXEXTRACT(SUBSTITUTE ($T1049,L$1&amp;"" CE"",""""), L$1&amp;""[\w &amp;]*, (\d+\.\d+)""),"""")
"),"")</f>
        <v/>
      </c>
      <c r="M1049" s="3" t="str">
        <f aca="false">IFERROR(__xludf.dummyfunction("if($T1049&lt;&gt;"""",REGEXEXTRACT($T1049, M$1&amp;""[\w &amp;]*, (\d+\.\d+)""),"""")
"),"")</f>
        <v/>
      </c>
      <c r="N1049" s="3" t="str">
        <f aca="false">IFERROR(__xludf.dummyfunction("if($T1049&lt;&gt;"""",REGEXEXTRACT(SUBSTITUTE ($T1049,N$1&amp;"" CE"",""""), N$1&amp;""[\w &amp;]*, (\d+\.\d+)""),"""")
"),"")</f>
        <v/>
      </c>
      <c r="O1049" s="3" t="str">
        <f aca="false">IFERROR(__xludf.dummyfunction("if($T1049&lt;&gt;"""",REGEXEXTRACT($T1049, O$1&amp;""[\w &amp;]*, (\d+\.\d+)""),"""")
"),"")</f>
        <v/>
      </c>
      <c r="P1049" s="2"/>
      <c r="Q1049" s="2"/>
      <c r="R1049" s="2"/>
      <c r="S1049" s="2"/>
      <c r="T1049" s="5"/>
    </row>
    <row r="1050" customFormat="false" ht="15.75" hidden="false" customHeight="false" outlineLevel="0" collapsed="false">
      <c r="A1050" s="4"/>
      <c r="B1050" s="2"/>
      <c r="C1050" s="2"/>
      <c r="D1050" s="2"/>
      <c r="E1050" s="2"/>
      <c r="F1050" s="3" t="str">
        <f aca="false">IFERROR(__xludf.dummyfunction("if($T1050&lt;&gt;"""",REGEXEXTRACT(SUBSTITUTE ($T1050,F$1&amp;"" CE"",""""), F$1&amp;""[\w &amp;]*, (\d+\.\d+)""),"""")
"),"")</f>
        <v/>
      </c>
      <c r="G1050" s="3" t="str">
        <f aca="false">IFERROR(__xludf.dummyfunction("if($T1050&lt;&gt;"""",REGEXEXTRACT($T1050, G$1&amp;""[\w &amp;]*, (\d+\.\d+)""),"""")
"),"")</f>
        <v/>
      </c>
      <c r="H1050" s="3"/>
      <c r="I1050" s="3" t="str">
        <f aca="false">IFERROR(__xludf.dummyfunction("if($T1050&lt;&gt;"""",REGEXEXTRACT(SUBSTITUTE ($T1050,I$1&amp;"" CE"",""""), I$1&amp;""[\w &amp;]*, (\d+\.\d+)""),"""")
"),"")</f>
        <v/>
      </c>
      <c r="J1050" s="3" t="str">
        <f aca="false">IFERROR(__xludf.dummyfunction("if($T1050&lt;&gt;"""",REGEXEXTRACT($T1050, J$1&amp;""[\w &amp;]*, (\d+\.\d+)""),"""")
"),"")</f>
        <v/>
      </c>
      <c r="K1050" s="3"/>
      <c r="L1050" s="3" t="str">
        <f aca="false">IFERROR(__xludf.dummyfunction("if($T1050&lt;&gt;"""",REGEXEXTRACT(SUBSTITUTE ($T1050,L$1&amp;"" CE"",""""), L$1&amp;""[\w &amp;]*, (\d+\.\d+)""),"""")
"),"")</f>
        <v/>
      </c>
      <c r="M1050" s="3" t="str">
        <f aca="false">IFERROR(__xludf.dummyfunction("if($T1050&lt;&gt;"""",REGEXEXTRACT($T1050, M$1&amp;""[\w &amp;]*, (\d+\.\d+)""),"""")
"),"")</f>
        <v/>
      </c>
      <c r="N1050" s="3" t="str">
        <f aca="false">IFERROR(__xludf.dummyfunction("if($T1050&lt;&gt;"""",REGEXEXTRACT(SUBSTITUTE ($T1050,N$1&amp;"" CE"",""""), N$1&amp;""[\w &amp;]*, (\d+\.\d+)""),"""")
"),"")</f>
        <v/>
      </c>
      <c r="O1050" s="3" t="str">
        <f aca="false">IFERROR(__xludf.dummyfunction("if($T1050&lt;&gt;"""",REGEXEXTRACT($T1050, O$1&amp;""[\w &amp;]*, (\d+\.\d+)""),"""")
"),"")</f>
        <v/>
      </c>
      <c r="P1050" s="2"/>
      <c r="Q1050" s="2"/>
      <c r="R1050" s="2"/>
      <c r="S1050" s="2"/>
      <c r="T1050" s="5"/>
    </row>
    <row r="1051" customFormat="false" ht="15.75" hidden="false" customHeight="false" outlineLevel="0" collapsed="false">
      <c r="A1051" s="4"/>
      <c r="B1051" s="2"/>
      <c r="C1051" s="2"/>
      <c r="D1051" s="2"/>
      <c r="E1051" s="2"/>
      <c r="F1051" s="3" t="str">
        <f aca="false">IFERROR(__xludf.dummyfunction("if($T1051&lt;&gt;"""",REGEXEXTRACT(SUBSTITUTE ($T1051,F$1&amp;"" CE"",""""), F$1&amp;""[\w &amp;]*, (\d+\.\d+)""),"""")
"),"")</f>
        <v/>
      </c>
      <c r="G1051" s="3" t="str">
        <f aca="false">IFERROR(__xludf.dummyfunction("if($T1051&lt;&gt;"""",REGEXEXTRACT($T1051, G$1&amp;""[\w &amp;]*, (\d+\.\d+)""),"""")
"),"")</f>
        <v/>
      </c>
      <c r="H1051" s="3"/>
      <c r="I1051" s="3" t="str">
        <f aca="false">IFERROR(__xludf.dummyfunction("if($T1051&lt;&gt;"""",REGEXEXTRACT(SUBSTITUTE ($T1051,I$1&amp;"" CE"",""""), I$1&amp;""[\w &amp;]*, (\d+\.\d+)""),"""")
"),"")</f>
        <v/>
      </c>
      <c r="J1051" s="3" t="str">
        <f aca="false">IFERROR(__xludf.dummyfunction("if($T1051&lt;&gt;"""",REGEXEXTRACT($T1051, J$1&amp;""[\w &amp;]*, (\d+\.\d+)""),"""")
"),"")</f>
        <v/>
      </c>
      <c r="K1051" s="3"/>
      <c r="L1051" s="3" t="str">
        <f aca="false">IFERROR(__xludf.dummyfunction("if($T1051&lt;&gt;"""",REGEXEXTRACT(SUBSTITUTE ($T1051,L$1&amp;"" CE"",""""), L$1&amp;""[\w &amp;]*, (\d+\.\d+)""),"""")
"),"")</f>
        <v/>
      </c>
      <c r="M1051" s="3" t="str">
        <f aca="false">IFERROR(__xludf.dummyfunction("if($T1051&lt;&gt;"""",REGEXEXTRACT($T1051, M$1&amp;""[\w &amp;]*, (\d+\.\d+)""),"""")
"),"")</f>
        <v/>
      </c>
      <c r="N1051" s="3" t="str">
        <f aca="false">IFERROR(__xludf.dummyfunction("if($T1051&lt;&gt;"""",REGEXEXTRACT(SUBSTITUTE ($T1051,N$1&amp;"" CE"",""""), N$1&amp;""[\w &amp;]*, (\d+\.\d+)""),"""")
"),"")</f>
        <v/>
      </c>
      <c r="O1051" s="3" t="str">
        <f aca="false">IFERROR(__xludf.dummyfunction("if($T1051&lt;&gt;"""",REGEXEXTRACT($T1051, O$1&amp;""[\w &amp;]*, (\d+\.\d+)""),"""")
"),"")</f>
        <v/>
      </c>
      <c r="P1051" s="2"/>
      <c r="Q1051" s="2"/>
      <c r="R1051" s="2"/>
      <c r="S1051" s="2"/>
      <c r="T1051" s="5"/>
    </row>
    <row r="1052" customFormat="false" ht="15.75" hidden="false" customHeight="false" outlineLevel="0" collapsed="false">
      <c r="A1052" s="4"/>
      <c r="B1052" s="2"/>
      <c r="C1052" s="2"/>
      <c r="D1052" s="2"/>
      <c r="E1052" s="2"/>
      <c r="F1052" s="3" t="str">
        <f aca="false">IFERROR(__xludf.dummyfunction("if($T1052&lt;&gt;"""",REGEXEXTRACT(SUBSTITUTE ($T1052,F$1&amp;"" CE"",""""), F$1&amp;""[\w &amp;]*, (\d+\.\d+)""),"""")
"),"")</f>
        <v/>
      </c>
      <c r="G1052" s="3" t="str">
        <f aca="false">IFERROR(__xludf.dummyfunction("if($T1052&lt;&gt;"""",REGEXEXTRACT($T1052, G$1&amp;""[\w &amp;]*, (\d+\.\d+)""),"""")
"),"")</f>
        <v/>
      </c>
      <c r="H1052" s="3"/>
      <c r="I1052" s="3" t="str">
        <f aca="false">IFERROR(__xludf.dummyfunction("if($T1052&lt;&gt;"""",REGEXEXTRACT(SUBSTITUTE ($T1052,I$1&amp;"" CE"",""""), I$1&amp;""[\w &amp;]*, (\d+\.\d+)""),"""")
"),"")</f>
        <v/>
      </c>
      <c r="J1052" s="3" t="str">
        <f aca="false">IFERROR(__xludf.dummyfunction("if($T1052&lt;&gt;"""",REGEXEXTRACT($T1052, J$1&amp;""[\w &amp;]*, (\d+\.\d+)""),"""")
"),"")</f>
        <v/>
      </c>
      <c r="K1052" s="3"/>
      <c r="L1052" s="3" t="str">
        <f aca="false">IFERROR(__xludf.dummyfunction("if($T1052&lt;&gt;"""",REGEXEXTRACT(SUBSTITUTE ($T1052,L$1&amp;"" CE"",""""), L$1&amp;""[\w &amp;]*, (\d+\.\d+)""),"""")
"),"")</f>
        <v/>
      </c>
      <c r="M1052" s="3" t="str">
        <f aca="false">IFERROR(__xludf.dummyfunction("if($T1052&lt;&gt;"""",REGEXEXTRACT($T1052, M$1&amp;""[\w &amp;]*, (\d+\.\d+)""),"""")
"),"")</f>
        <v/>
      </c>
      <c r="N1052" s="3" t="str">
        <f aca="false">IFERROR(__xludf.dummyfunction("if($T1052&lt;&gt;"""",REGEXEXTRACT(SUBSTITUTE ($T1052,N$1&amp;"" CE"",""""), N$1&amp;""[\w &amp;]*, (\d+\.\d+)""),"""")
"),"")</f>
        <v/>
      </c>
      <c r="O1052" s="3" t="str">
        <f aca="false">IFERROR(__xludf.dummyfunction("if($T1052&lt;&gt;"""",REGEXEXTRACT($T1052, O$1&amp;""[\w &amp;]*, (\d+\.\d+)""),"""")
"),"")</f>
        <v/>
      </c>
      <c r="P1052" s="2"/>
      <c r="Q1052" s="2"/>
      <c r="R1052" s="2"/>
      <c r="S1052" s="2"/>
      <c r="T1052" s="5"/>
    </row>
    <row r="1053" customFormat="false" ht="15.75" hidden="false" customHeight="false" outlineLevel="0" collapsed="false">
      <c r="A1053" s="4"/>
      <c r="B1053" s="2"/>
      <c r="C1053" s="2"/>
      <c r="D1053" s="2"/>
      <c r="E1053" s="2"/>
      <c r="F1053" s="3" t="str">
        <f aca="false">IFERROR(__xludf.dummyfunction("if($T1053&lt;&gt;"""",REGEXEXTRACT(SUBSTITUTE ($T1053,F$1&amp;"" CE"",""""), F$1&amp;""[\w &amp;]*, (\d+\.\d+)""),"""")
"),"")</f>
        <v/>
      </c>
      <c r="G1053" s="3" t="str">
        <f aca="false">IFERROR(__xludf.dummyfunction("if($T1053&lt;&gt;"""",REGEXEXTRACT($T1053, G$1&amp;""[\w &amp;]*, (\d+\.\d+)""),"""")
"),"")</f>
        <v/>
      </c>
      <c r="H1053" s="3"/>
      <c r="I1053" s="3" t="str">
        <f aca="false">IFERROR(__xludf.dummyfunction("if($T1053&lt;&gt;"""",REGEXEXTRACT(SUBSTITUTE ($T1053,I$1&amp;"" CE"",""""), I$1&amp;""[\w &amp;]*, (\d+\.\d+)""),"""")
"),"")</f>
        <v/>
      </c>
      <c r="J1053" s="3" t="str">
        <f aca="false">IFERROR(__xludf.dummyfunction("if($T1053&lt;&gt;"""",REGEXEXTRACT($T1053, J$1&amp;""[\w &amp;]*, (\d+\.\d+)""),"""")
"),"")</f>
        <v/>
      </c>
      <c r="K1053" s="3"/>
      <c r="L1053" s="3" t="str">
        <f aca="false">IFERROR(__xludf.dummyfunction("if($T1053&lt;&gt;"""",REGEXEXTRACT(SUBSTITUTE ($T1053,L$1&amp;"" CE"",""""), L$1&amp;""[\w &amp;]*, (\d+\.\d+)""),"""")
"),"")</f>
        <v/>
      </c>
      <c r="M1053" s="3" t="str">
        <f aca="false">IFERROR(__xludf.dummyfunction("if($T1053&lt;&gt;"""",REGEXEXTRACT($T1053, M$1&amp;""[\w &amp;]*, (\d+\.\d+)""),"""")
"),"")</f>
        <v/>
      </c>
      <c r="N1053" s="3" t="str">
        <f aca="false">IFERROR(__xludf.dummyfunction("if($T1053&lt;&gt;"""",REGEXEXTRACT(SUBSTITUTE ($T1053,N$1&amp;"" CE"",""""), N$1&amp;""[\w &amp;]*, (\d+\.\d+)""),"""")
"),"")</f>
        <v/>
      </c>
      <c r="O1053" s="3" t="str">
        <f aca="false">IFERROR(__xludf.dummyfunction("if($T1053&lt;&gt;"""",REGEXEXTRACT($T1053, O$1&amp;""[\w &amp;]*, (\d+\.\d+)""),"""")
"),"")</f>
        <v/>
      </c>
      <c r="P1053" s="2"/>
      <c r="Q1053" s="2"/>
      <c r="R1053" s="2"/>
      <c r="S1053" s="2"/>
      <c r="T1053" s="5"/>
    </row>
    <row r="1054" customFormat="false" ht="15.75" hidden="false" customHeight="false" outlineLevel="0" collapsed="false">
      <c r="A1054" s="4"/>
      <c r="B1054" s="2"/>
      <c r="C1054" s="2"/>
      <c r="D1054" s="2"/>
      <c r="E1054" s="2"/>
      <c r="F1054" s="3" t="str">
        <f aca="false">IFERROR(__xludf.dummyfunction("if($T1054&lt;&gt;"""",REGEXEXTRACT(SUBSTITUTE ($T1054,F$1&amp;"" CE"",""""), F$1&amp;""[\w &amp;]*, (\d+\.\d+)""),"""")
"),"")</f>
        <v/>
      </c>
      <c r="G1054" s="3" t="str">
        <f aca="false">IFERROR(__xludf.dummyfunction("if($T1054&lt;&gt;"""",REGEXEXTRACT($T1054, G$1&amp;""[\w &amp;]*, (\d+\.\d+)""),"""")
"),"")</f>
        <v/>
      </c>
      <c r="H1054" s="3"/>
      <c r="I1054" s="3" t="str">
        <f aca="false">IFERROR(__xludf.dummyfunction("if($T1054&lt;&gt;"""",REGEXEXTRACT(SUBSTITUTE ($T1054,I$1&amp;"" CE"",""""), I$1&amp;""[\w &amp;]*, (\d+\.\d+)""),"""")
"),"")</f>
        <v/>
      </c>
      <c r="J1054" s="3" t="str">
        <f aca="false">IFERROR(__xludf.dummyfunction("if($T1054&lt;&gt;"""",REGEXEXTRACT($T1054, J$1&amp;""[\w &amp;]*, (\d+\.\d+)""),"""")
"),"")</f>
        <v/>
      </c>
      <c r="K1054" s="3"/>
      <c r="L1054" s="3" t="str">
        <f aca="false">IFERROR(__xludf.dummyfunction("if($T1054&lt;&gt;"""",REGEXEXTRACT(SUBSTITUTE ($T1054,L$1&amp;"" CE"",""""), L$1&amp;""[\w &amp;]*, (\d+\.\d+)""),"""")
"),"")</f>
        <v/>
      </c>
      <c r="M1054" s="3" t="str">
        <f aca="false">IFERROR(__xludf.dummyfunction("if($T1054&lt;&gt;"""",REGEXEXTRACT($T1054, M$1&amp;""[\w &amp;]*, (\d+\.\d+)""),"""")
"),"")</f>
        <v/>
      </c>
      <c r="N1054" s="3" t="str">
        <f aca="false">IFERROR(__xludf.dummyfunction("if($T1054&lt;&gt;"""",REGEXEXTRACT(SUBSTITUTE ($T1054,N$1&amp;"" CE"",""""), N$1&amp;""[\w &amp;]*, (\d+\.\d+)""),"""")
"),"")</f>
        <v/>
      </c>
      <c r="O1054" s="3" t="str">
        <f aca="false">IFERROR(__xludf.dummyfunction("if($T1054&lt;&gt;"""",REGEXEXTRACT($T1054, O$1&amp;""[\w &amp;]*, (\d+\.\d+)""),"""")
"),"")</f>
        <v/>
      </c>
      <c r="P1054" s="2"/>
      <c r="Q1054" s="2"/>
      <c r="R1054" s="2"/>
      <c r="S1054" s="2"/>
      <c r="T1054" s="5"/>
    </row>
    <row r="1055" customFormat="false" ht="15.75" hidden="false" customHeight="false" outlineLevel="0" collapsed="false">
      <c r="A1055" s="4"/>
      <c r="B1055" s="2"/>
      <c r="C1055" s="2"/>
      <c r="D1055" s="2"/>
      <c r="E1055" s="2"/>
      <c r="F1055" s="3" t="str">
        <f aca="false">IFERROR(__xludf.dummyfunction("if($T1055&lt;&gt;"""",REGEXEXTRACT(SUBSTITUTE ($T1055,F$1&amp;"" CE"",""""), F$1&amp;""[\w &amp;]*, (\d+\.\d+)""),"""")
"),"")</f>
        <v/>
      </c>
      <c r="G1055" s="3" t="str">
        <f aca="false">IFERROR(__xludf.dummyfunction("if($T1055&lt;&gt;"""",REGEXEXTRACT($T1055, G$1&amp;""[\w &amp;]*, (\d+\.\d+)""),"""")
"),"")</f>
        <v/>
      </c>
      <c r="H1055" s="3"/>
      <c r="I1055" s="3" t="str">
        <f aca="false">IFERROR(__xludf.dummyfunction("if($T1055&lt;&gt;"""",REGEXEXTRACT(SUBSTITUTE ($T1055,I$1&amp;"" CE"",""""), I$1&amp;""[\w &amp;]*, (\d+\.\d+)""),"""")
"),"")</f>
        <v/>
      </c>
      <c r="J1055" s="3" t="str">
        <f aca="false">IFERROR(__xludf.dummyfunction("if($T1055&lt;&gt;"""",REGEXEXTRACT($T1055, J$1&amp;""[\w &amp;]*, (\d+\.\d+)""),"""")
"),"")</f>
        <v/>
      </c>
      <c r="K1055" s="3"/>
      <c r="L1055" s="3" t="str">
        <f aca="false">IFERROR(__xludf.dummyfunction("if($T1055&lt;&gt;"""",REGEXEXTRACT(SUBSTITUTE ($T1055,L$1&amp;"" CE"",""""), L$1&amp;""[\w &amp;]*, (\d+\.\d+)""),"""")
"),"")</f>
        <v/>
      </c>
      <c r="M1055" s="3" t="str">
        <f aca="false">IFERROR(__xludf.dummyfunction("if($T1055&lt;&gt;"""",REGEXEXTRACT($T1055, M$1&amp;""[\w &amp;]*, (\d+\.\d+)""),"""")
"),"")</f>
        <v/>
      </c>
      <c r="N1055" s="3" t="str">
        <f aca="false">IFERROR(__xludf.dummyfunction("if($T1055&lt;&gt;"""",REGEXEXTRACT(SUBSTITUTE ($T1055,N$1&amp;"" CE"",""""), N$1&amp;""[\w &amp;]*, (\d+\.\d+)""),"""")
"),"")</f>
        <v/>
      </c>
      <c r="O1055" s="3" t="str">
        <f aca="false">IFERROR(__xludf.dummyfunction("if($T1055&lt;&gt;"""",REGEXEXTRACT($T1055, O$1&amp;""[\w &amp;]*, (\d+\.\d+)""),"""")
"),"")</f>
        <v/>
      </c>
      <c r="P1055" s="2"/>
      <c r="Q1055" s="2"/>
      <c r="R1055" s="2"/>
      <c r="S1055" s="2"/>
      <c r="T1055" s="5"/>
    </row>
    <row r="1056" customFormat="false" ht="15.75" hidden="false" customHeight="false" outlineLevel="0" collapsed="false">
      <c r="A1056" s="4"/>
      <c r="B1056" s="2"/>
      <c r="C1056" s="2"/>
      <c r="D1056" s="2"/>
      <c r="E1056" s="2"/>
      <c r="F1056" s="3" t="str">
        <f aca="false">IFERROR(__xludf.dummyfunction("if($T1056&lt;&gt;"""",REGEXEXTRACT(SUBSTITUTE ($T1056,F$1&amp;"" CE"",""""), F$1&amp;""[\w &amp;]*, (\d+\.\d+)""),"""")
"),"")</f>
        <v/>
      </c>
      <c r="G1056" s="3" t="str">
        <f aca="false">IFERROR(__xludf.dummyfunction("if($T1056&lt;&gt;"""",REGEXEXTRACT($T1056, G$1&amp;""[\w &amp;]*, (\d+\.\d+)""),"""")
"),"")</f>
        <v/>
      </c>
      <c r="H1056" s="3"/>
      <c r="I1056" s="3" t="str">
        <f aca="false">IFERROR(__xludf.dummyfunction("if($T1056&lt;&gt;"""",REGEXEXTRACT(SUBSTITUTE ($T1056,I$1&amp;"" CE"",""""), I$1&amp;""[\w &amp;]*, (\d+\.\d+)""),"""")
"),"")</f>
        <v/>
      </c>
      <c r="J1056" s="3" t="str">
        <f aca="false">IFERROR(__xludf.dummyfunction("if($T1056&lt;&gt;"""",REGEXEXTRACT($T1056, J$1&amp;""[\w &amp;]*, (\d+\.\d+)""),"""")
"),"")</f>
        <v/>
      </c>
      <c r="K1056" s="3"/>
      <c r="L1056" s="3" t="str">
        <f aca="false">IFERROR(__xludf.dummyfunction("if($T1056&lt;&gt;"""",REGEXEXTRACT(SUBSTITUTE ($T1056,L$1&amp;"" CE"",""""), L$1&amp;""[\w &amp;]*, (\d+\.\d+)""),"""")
"),"")</f>
        <v/>
      </c>
      <c r="M1056" s="3" t="str">
        <f aca="false">IFERROR(__xludf.dummyfunction("if($T1056&lt;&gt;"""",REGEXEXTRACT($T1056, M$1&amp;""[\w &amp;]*, (\d+\.\d+)""),"""")
"),"")</f>
        <v/>
      </c>
      <c r="N1056" s="3" t="str">
        <f aca="false">IFERROR(__xludf.dummyfunction("if($T1056&lt;&gt;"""",REGEXEXTRACT(SUBSTITUTE ($T1056,N$1&amp;"" CE"",""""), N$1&amp;""[\w &amp;]*, (\d+\.\d+)""),"""")
"),"")</f>
        <v/>
      </c>
      <c r="O1056" s="3" t="str">
        <f aca="false">IFERROR(__xludf.dummyfunction("if($T1056&lt;&gt;"""",REGEXEXTRACT($T1056, O$1&amp;""[\w &amp;]*, (\d+\.\d+)""),"""")
"),"")</f>
        <v/>
      </c>
      <c r="P1056" s="2"/>
      <c r="Q1056" s="2"/>
      <c r="R1056" s="2"/>
      <c r="S1056" s="2"/>
      <c r="T1056" s="5"/>
    </row>
    <row r="1057" customFormat="false" ht="15.75" hidden="false" customHeight="false" outlineLevel="0" collapsed="false">
      <c r="A1057" s="4"/>
      <c r="B1057" s="2"/>
      <c r="C1057" s="2"/>
      <c r="D1057" s="2"/>
      <c r="E1057" s="2"/>
      <c r="F1057" s="3" t="str">
        <f aca="false">IFERROR(__xludf.dummyfunction("if($T1057&lt;&gt;"""",REGEXEXTRACT(SUBSTITUTE ($T1057,F$1&amp;"" CE"",""""), F$1&amp;""[\w &amp;]*, (\d+\.\d+)""),"""")
"),"")</f>
        <v/>
      </c>
      <c r="G1057" s="3" t="str">
        <f aca="false">IFERROR(__xludf.dummyfunction("if($T1057&lt;&gt;"""",REGEXEXTRACT($T1057, G$1&amp;""[\w &amp;]*, (\d+\.\d+)""),"""")
"),"")</f>
        <v/>
      </c>
      <c r="H1057" s="3"/>
      <c r="I1057" s="3" t="str">
        <f aca="false">IFERROR(__xludf.dummyfunction("if($T1057&lt;&gt;"""",REGEXEXTRACT(SUBSTITUTE ($T1057,I$1&amp;"" CE"",""""), I$1&amp;""[\w &amp;]*, (\d+\.\d+)""),"""")
"),"")</f>
        <v/>
      </c>
      <c r="J1057" s="3" t="str">
        <f aca="false">IFERROR(__xludf.dummyfunction("if($T1057&lt;&gt;"""",REGEXEXTRACT($T1057, J$1&amp;""[\w &amp;]*, (\d+\.\d+)""),"""")
"),"")</f>
        <v/>
      </c>
      <c r="K1057" s="3"/>
      <c r="L1057" s="3" t="str">
        <f aca="false">IFERROR(__xludf.dummyfunction("if($T1057&lt;&gt;"""",REGEXEXTRACT(SUBSTITUTE ($T1057,L$1&amp;"" CE"",""""), L$1&amp;""[\w &amp;]*, (\d+\.\d+)""),"""")
"),"")</f>
        <v/>
      </c>
      <c r="M1057" s="3" t="str">
        <f aca="false">IFERROR(__xludf.dummyfunction("if($T1057&lt;&gt;"""",REGEXEXTRACT($T1057, M$1&amp;""[\w &amp;]*, (\d+\.\d+)""),"""")
"),"")</f>
        <v/>
      </c>
      <c r="N1057" s="3" t="str">
        <f aca="false">IFERROR(__xludf.dummyfunction("if($T1057&lt;&gt;"""",REGEXEXTRACT(SUBSTITUTE ($T1057,N$1&amp;"" CE"",""""), N$1&amp;""[\w &amp;]*, (\d+\.\d+)""),"""")
"),"")</f>
        <v/>
      </c>
      <c r="O1057" s="3" t="str">
        <f aca="false">IFERROR(__xludf.dummyfunction("if($T1057&lt;&gt;"""",REGEXEXTRACT($T1057, O$1&amp;""[\w &amp;]*, (\d+\.\d+)""),"""")
"),"")</f>
        <v/>
      </c>
      <c r="P1057" s="2"/>
      <c r="Q1057" s="2"/>
      <c r="R1057" s="2"/>
      <c r="S1057" s="2"/>
      <c r="T1057" s="5"/>
    </row>
    <row r="1058" customFormat="false" ht="15.75" hidden="false" customHeight="false" outlineLevel="0" collapsed="false">
      <c r="A1058" s="4"/>
      <c r="B1058" s="2"/>
      <c r="C1058" s="2"/>
      <c r="D1058" s="2"/>
      <c r="E1058" s="2"/>
      <c r="F1058" s="3" t="str">
        <f aca="false">IFERROR(__xludf.dummyfunction("if($T1058&lt;&gt;"""",REGEXEXTRACT(SUBSTITUTE ($T1058,F$1&amp;"" CE"",""""), F$1&amp;""[\w &amp;]*, (\d+\.\d+)""),"""")
"),"")</f>
        <v/>
      </c>
      <c r="G1058" s="3" t="str">
        <f aca="false">IFERROR(__xludf.dummyfunction("if($T1058&lt;&gt;"""",REGEXEXTRACT($T1058, G$1&amp;""[\w &amp;]*, (\d+\.\d+)""),"""")
"),"")</f>
        <v/>
      </c>
      <c r="H1058" s="3"/>
      <c r="I1058" s="3" t="str">
        <f aca="false">IFERROR(__xludf.dummyfunction("if($T1058&lt;&gt;"""",REGEXEXTRACT(SUBSTITUTE ($T1058,I$1&amp;"" CE"",""""), I$1&amp;""[\w &amp;]*, (\d+\.\d+)""),"""")
"),"")</f>
        <v/>
      </c>
      <c r="J1058" s="3" t="str">
        <f aca="false">IFERROR(__xludf.dummyfunction("if($T1058&lt;&gt;"""",REGEXEXTRACT($T1058, J$1&amp;""[\w &amp;]*, (\d+\.\d+)""),"""")
"),"")</f>
        <v/>
      </c>
      <c r="K1058" s="3"/>
      <c r="L1058" s="3" t="str">
        <f aca="false">IFERROR(__xludf.dummyfunction("if($T1058&lt;&gt;"""",REGEXEXTRACT(SUBSTITUTE ($T1058,L$1&amp;"" CE"",""""), L$1&amp;""[\w &amp;]*, (\d+\.\d+)""),"""")
"),"")</f>
        <v/>
      </c>
      <c r="M1058" s="3" t="str">
        <f aca="false">IFERROR(__xludf.dummyfunction("if($T1058&lt;&gt;"""",REGEXEXTRACT($T1058, M$1&amp;""[\w &amp;]*, (\d+\.\d+)""),"""")
"),"")</f>
        <v/>
      </c>
      <c r="N1058" s="3" t="str">
        <f aca="false">IFERROR(__xludf.dummyfunction("if($T1058&lt;&gt;"""",REGEXEXTRACT(SUBSTITUTE ($T1058,N$1&amp;"" CE"",""""), N$1&amp;""[\w &amp;]*, (\d+\.\d+)""),"""")
"),"")</f>
        <v/>
      </c>
      <c r="O1058" s="3" t="str">
        <f aca="false">IFERROR(__xludf.dummyfunction("if($T1058&lt;&gt;"""",REGEXEXTRACT($T1058, O$1&amp;""[\w &amp;]*, (\d+\.\d+)""),"""")
"),"")</f>
        <v/>
      </c>
      <c r="P1058" s="2"/>
      <c r="Q1058" s="2"/>
      <c r="R1058" s="2"/>
      <c r="S1058" s="2"/>
      <c r="T1058" s="5"/>
    </row>
    <row r="1059" customFormat="false" ht="15.75" hidden="false" customHeight="false" outlineLevel="0" collapsed="false">
      <c r="A1059" s="4"/>
      <c r="B1059" s="2"/>
      <c r="C1059" s="2"/>
      <c r="D1059" s="2"/>
      <c r="E1059" s="2"/>
      <c r="F1059" s="3" t="str">
        <f aca="false">IFERROR(__xludf.dummyfunction("if($T1059&lt;&gt;"""",REGEXEXTRACT(SUBSTITUTE ($T1059,F$1&amp;"" CE"",""""), F$1&amp;""[\w &amp;]*, (\d+\.\d+)""),"""")
"),"")</f>
        <v/>
      </c>
      <c r="G1059" s="3" t="str">
        <f aca="false">IFERROR(__xludf.dummyfunction("if($T1059&lt;&gt;"""",REGEXEXTRACT($T1059, G$1&amp;""[\w &amp;]*, (\d+\.\d+)""),"""")
"),"")</f>
        <v/>
      </c>
      <c r="H1059" s="3"/>
      <c r="I1059" s="3" t="str">
        <f aca="false">IFERROR(__xludf.dummyfunction("if($T1059&lt;&gt;"""",REGEXEXTRACT(SUBSTITUTE ($T1059,I$1&amp;"" CE"",""""), I$1&amp;""[\w &amp;]*, (\d+\.\d+)""),"""")
"),"")</f>
        <v/>
      </c>
      <c r="J1059" s="3" t="str">
        <f aca="false">IFERROR(__xludf.dummyfunction("if($T1059&lt;&gt;"""",REGEXEXTRACT($T1059, J$1&amp;""[\w &amp;]*, (\d+\.\d+)""),"""")
"),"")</f>
        <v/>
      </c>
      <c r="K1059" s="3"/>
      <c r="L1059" s="3" t="str">
        <f aca="false">IFERROR(__xludf.dummyfunction("if($T1059&lt;&gt;"""",REGEXEXTRACT(SUBSTITUTE ($T1059,L$1&amp;"" CE"",""""), L$1&amp;""[\w &amp;]*, (\d+\.\d+)""),"""")
"),"")</f>
        <v/>
      </c>
      <c r="M1059" s="3" t="str">
        <f aca="false">IFERROR(__xludf.dummyfunction("if($T1059&lt;&gt;"""",REGEXEXTRACT($T1059, M$1&amp;""[\w &amp;]*, (\d+\.\d+)""),"""")
"),"")</f>
        <v/>
      </c>
      <c r="N1059" s="3" t="str">
        <f aca="false">IFERROR(__xludf.dummyfunction("if($T1059&lt;&gt;"""",REGEXEXTRACT(SUBSTITUTE ($T1059,N$1&amp;"" CE"",""""), N$1&amp;""[\w &amp;]*, (\d+\.\d+)""),"""")
"),"")</f>
        <v/>
      </c>
      <c r="O1059" s="3" t="str">
        <f aca="false">IFERROR(__xludf.dummyfunction("if($T1059&lt;&gt;"""",REGEXEXTRACT($T1059, O$1&amp;""[\w &amp;]*, (\d+\.\d+)""),"""")
"),"")</f>
        <v/>
      </c>
      <c r="P1059" s="2"/>
      <c r="Q1059" s="2"/>
      <c r="R1059" s="2"/>
      <c r="S1059" s="2"/>
      <c r="T1059" s="5"/>
    </row>
    <row r="1060" customFormat="false" ht="15.75" hidden="false" customHeight="false" outlineLevel="0" collapsed="false">
      <c r="A1060" s="4"/>
      <c r="B1060" s="2"/>
      <c r="C1060" s="2"/>
      <c r="D1060" s="2"/>
      <c r="E1060" s="2"/>
      <c r="F1060" s="3" t="str">
        <f aca="false">IFERROR(__xludf.dummyfunction("if($T1060&lt;&gt;"""",REGEXEXTRACT(SUBSTITUTE ($T1060,F$1&amp;"" CE"",""""), F$1&amp;""[\w &amp;]*, (\d+\.\d+)""),"""")
"),"")</f>
        <v/>
      </c>
      <c r="G1060" s="3" t="str">
        <f aca="false">IFERROR(__xludf.dummyfunction("if($T1060&lt;&gt;"""",REGEXEXTRACT($T1060, G$1&amp;""[\w &amp;]*, (\d+\.\d+)""),"""")
"),"")</f>
        <v/>
      </c>
      <c r="H1060" s="3"/>
      <c r="I1060" s="3" t="str">
        <f aca="false">IFERROR(__xludf.dummyfunction("if($T1060&lt;&gt;"""",REGEXEXTRACT(SUBSTITUTE ($T1060,I$1&amp;"" CE"",""""), I$1&amp;""[\w &amp;]*, (\d+\.\d+)""),"""")
"),"")</f>
        <v/>
      </c>
      <c r="J1060" s="3" t="str">
        <f aca="false">IFERROR(__xludf.dummyfunction("if($T1060&lt;&gt;"""",REGEXEXTRACT($T1060, J$1&amp;""[\w &amp;]*, (\d+\.\d+)""),"""")
"),"")</f>
        <v/>
      </c>
      <c r="K1060" s="3"/>
      <c r="L1060" s="3" t="str">
        <f aca="false">IFERROR(__xludf.dummyfunction("if($T1060&lt;&gt;"""",REGEXEXTRACT(SUBSTITUTE ($T1060,L$1&amp;"" CE"",""""), L$1&amp;""[\w &amp;]*, (\d+\.\d+)""),"""")
"),"")</f>
        <v/>
      </c>
      <c r="M1060" s="3" t="str">
        <f aca="false">IFERROR(__xludf.dummyfunction("if($T1060&lt;&gt;"""",REGEXEXTRACT($T1060, M$1&amp;""[\w &amp;]*, (\d+\.\d+)""),"""")
"),"")</f>
        <v/>
      </c>
      <c r="N1060" s="3" t="str">
        <f aca="false">IFERROR(__xludf.dummyfunction("if($T1060&lt;&gt;"""",REGEXEXTRACT(SUBSTITUTE ($T1060,N$1&amp;"" CE"",""""), N$1&amp;""[\w &amp;]*, (\d+\.\d+)""),"""")
"),"")</f>
        <v/>
      </c>
      <c r="O1060" s="3" t="str">
        <f aca="false">IFERROR(__xludf.dummyfunction("if($T1060&lt;&gt;"""",REGEXEXTRACT($T1060, O$1&amp;""[\w &amp;]*, (\d+\.\d+)""),"""")
"),"")</f>
        <v/>
      </c>
      <c r="P1060" s="2"/>
      <c r="Q1060" s="2"/>
      <c r="R1060" s="2"/>
      <c r="S1060" s="2"/>
      <c r="T1060" s="5"/>
    </row>
    <row r="1061" customFormat="false" ht="15.75" hidden="false" customHeight="false" outlineLevel="0" collapsed="false">
      <c r="A1061" s="4"/>
      <c r="B1061" s="2"/>
      <c r="C1061" s="2"/>
      <c r="D1061" s="2"/>
      <c r="E1061" s="2"/>
      <c r="F1061" s="3" t="str">
        <f aca="false">IFERROR(__xludf.dummyfunction("if($T1061&lt;&gt;"""",REGEXEXTRACT(SUBSTITUTE ($T1061,F$1&amp;"" CE"",""""), F$1&amp;""[\w &amp;]*, (\d+\.\d+)""),"""")
"),"")</f>
        <v/>
      </c>
      <c r="G1061" s="3" t="str">
        <f aca="false">IFERROR(__xludf.dummyfunction("if($T1061&lt;&gt;"""",REGEXEXTRACT($T1061, G$1&amp;""[\w &amp;]*, (\d+\.\d+)""),"""")
"),"")</f>
        <v/>
      </c>
      <c r="H1061" s="3"/>
      <c r="I1061" s="3" t="str">
        <f aca="false">IFERROR(__xludf.dummyfunction("if($T1061&lt;&gt;"""",REGEXEXTRACT(SUBSTITUTE ($T1061,I$1&amp;"" CE"",""""), I$1&amp;""[\w &amp;]*, (\d+\.\d+)""),"""")
"),"")</f>
        <v/>
      </c>
      <c r="J1061" s="3" t="str">
        <f aca="false">IFERROR(__xludf.dummyfunction("if($T1061&lt;&gt;"""",REGEXEXTRACT($T1061, J$1&amp;""[\w &amp;]*, (\d+\.\d+)""),"""")
"),"")</f>
        <v/>
      </c>
      <c r="K1061" s="3"/>
      <c r="L1061" s="3" t="str">
        <f aca="false">IFERROR(__xludf.dummyfunction("if($T1061&lt;&gt;"""",REGEXEXTRACT(SUBSTITUTE ($T1061,L$1&amp;"" CE"",""""), L$1&amp;""[\w &amp;]*, (\d+\.\d+)""),"""")
"),"")</f>
        <v/>
      </c>
      <c r="M1061" s="3" t="str">
        <f aca="false">IFERROR(__xludf.dummyfunction("if($T1061&lt;&gt;"""",REGEXEXTRACT($T1061, M$1&amp;""[\w &amp;]*, (\d+\.\d+)""),"""")
"),"")</f>
        <v/>
      </c>
      <c r="N1061" s="3" t="str">
        <f aca="false">IFERROR(__xludf.dummyfunction("if($T1061&lt;&gt;"""",REGEXEXTRACT(SUBSTITUTE ($T1061,N$1&amp;"" CE"",""""), N$1&amp;""[\w &amp;]*, (\d+\.\d+)""),"""")
"),"")</f>
        <v/>
      </c>
      <c r="O1061" s="3" t="str">
        <f aca="false">IFERROR(__xludf.dummyfunction("if($T1061&lt;&gt;"""",REGEXEXTRACT($T1061, O$1&amp;""[\w &amp;]*, (\d+\.\d+)""),"""")
"),"")</f>
        <v/>
      </c>
      <c r="P1061" s="2"/>
      <c r="Q1061" s="2"/>
      <c r="R1061" s="2"/>
      <c r="S1061" s="2"/>
      <c r="T1061" s="5"/>
    </row>
    <row r="1062" customFormat="false" ht="15.75" hidden="false" customHeight="false" outlineLevel="0" collapsed="false">
      <c r="A1062" s="4"/>
      <c r="B1062" s="2"/>
      <c r="C1062" s="2"/>
      <c r="D1062" s="2"/>
      <c r="E1062" s="2"/>
      <c r="F1062" s="3" t="str">
        <f aca="false">IFERROR(__xludf.dummyfunction("if($T1062&lt;&gt;"""",REGEXEXTRACT(SUBSTITUTE ($T1062,F$1&amp;"" CE"",""""), F$1&amp;""[\w &amp;]*, (\d+\.\d+)""),"""")
"),"")</f>
        <v/>
      </c>
      <c r="G1062" s="3" t="str">
        <f aca="false">IFERROR(__xludf.dummyfunction("if($T1062&lt;&gt;"""",REGEXEXTRACT($T1062, G$1&amp;""[\w &amp;]*, (\d+\.\d+)""),"""")
"),"")</f>
        <v/>
      </c>
      <c r="H1062" s="3"/>
      <c r="I1062" s="3" t="str">
        <f aca="false">IFERROR(__xludf.dummyfunction("if($T1062&lt;&gt;"""",REGEXEXTRACT(SUBSTITUTE ($T1062,I$1&amp;"" CE"",""""), I$1&amp;""[\w &amp;]*, (\d+\.\d+)""),"""")
"),"")</f>
        <v/>
      </c>
      <c r="J1062" s="3" t="str">
        <f aca="false">IFERROR(__xludf.dummyfunction("if($T1062&lt;&gt;"""",REGEXEXTRACT($T1062, J$1&amp;""[\w &amp;]*, (\d+\.\d+)""),"""")
"),"")</f>
        <v/>
      </c>
      <c r="K1062" s="3"/>
      <c r="L1062" s="3" t="str">
        <f aca="false">IFERROR(__xludf.dummyfunction("if($T1062&lt;&gt;"""",REGEXEXTRACT(SUBSTITUTE ($T1062,L$1&amp;"" CE"",""""), L$1&amp;""[\w &amp;]*, (\d+\.\d+)""),"""")
"),"")</f>
        <v/>
      </c>
      <c r="M1062" s="3" t="str">
        <f aca="false">IFERROR(__xludf.dummyfunction("if($T1062&lt;&gt;"""",REGEXEXTRACT($T1062, M$1&amp;""[\w &amp;]*, (\d+\.\d+)""),"""")
"),"")</f>
        <v/>
      </c>
      <c r="N1062" s="3" t="str">
        <f aca="false">IFERROR(__xludf.dummyfunction("if($T1062&lt;&gt;"""",REGEXEXTRACT(SUBSTITUTE ($T1062,N$1&amp;"" CE"",""""), N$1&amp;""[\w &amp;]*, (\d+\.\d+)""),"""")
"),"")</f>
        <v/>
      </c>
      <c r="O1062" s="3" t="str">
        <f aca="false">IFERROR(__xludf.dummyfunction("if($T1062&lt;&gt;"""",REGEXEXTRACT($T1062, O$1&amp;""[\w &amp;]*, (\d+\.\d+)""),"""")
"),"")</f>
        <v/>
      </c>
      <c r="P1062" s="2"/>
      <c r="Q1062" s="2"/>
      <c r="R1062" s="2"/>
      <c r="S1062" s="2"/>
      <c r="T1062" s="5"/>
    </row>
    <row r="1063" customFormat="false" ht="15.75" hidden="false" customHeight="false" outlineLevel="0" collapsed="false">
      <c r="A1063" s="4"/>
      <c r="B1063" s="2"/>
      <c r="C1063" s="2"/>
      <c r="D1063" s="2"/>
      <c r="E1063" s="2"/>
      <c r="F1063" s="3" t="str">
        <f aca="false">IFERROR(__xludf.dummyfunction("if($T1063&lt;&gt;"""",REGEXEXTRACT(SUBSTITUTE ($T1063,F$1&amp;"" CE"",""""), F$1&amp;""[\w &amp;]*, (\d+\.\d+)""),"""")
"),"")</f>
        <v/>
      </c>
      <c r="G1063" s="3" t="str">
        <f aca="false">IFERROR(__xludf.dummyfunction("if($T1063&lt;&gt;"""",REGEXEXTRACT($T1063, G$1&amp;""[\w &amp;]*, (\d+\.\d+)""),"""")
"),"")</f>
        <v/>
      </c>
      <c r="H1063" s="3"/>
      <c r="I1063" s="3" t="str">
        <f aca="false">IFERROR(__xludf.dummyfunction("if($T1063&lt;&gt;"""",REGEXEXTRACT(SUBSTITUTE ($T1063,I$1&amp;"" CE"",""""), I$1&amp;""[\w &amp;]*, (\d+\.\d+)""),"""")
"),"")</f>
        <v/>
      </c>
      <c r="J1063" s="3" t="str">
        <f aca="false">IFERROR(__xludf.dummyfunction("if($T1063&lt;&gt;"""",REGEXEXTRACT($T1063, J$1&amp;""[\w &amp;]*, (\d+\.\d+)""),"""")
"),"")</f>
        <v/>
      </c>
      <c r="K1063" s="3"/>
      <c r="L1063" s="3" t="str">
        <f aca="false">IFERROR(__xludf.dummyfunction("if($T1063&lt;&gt;"""",REGEXEXTRACT(SUBSTITUTE ($T1063,L$1&amp;"" CE"",""""), L$1&amp;""[\w &amp;]*, (\d+\.\d+)""),"""")
"),"")</f>
        <v/>
      </c>
      <c r="M1063" s="3" t="str">
        <f aca="false">IFERROR(__xludf.dummyfunction("if($T1063&lt;&gt;"""",REGEXEXTRACT($T1063, M$1&amp;""[\w &amp;]*, (\d+\.\d+)""),"""")
"),"")</f>
        <v/>
      </c>
      <c r="N1063" s="3" t="str">
        <f aca="false">IFERROR(__xludf.dummyfunction("if($T1063&lt;&gt;"""",REGEXEXTRACT(SUBSTITUTE ($T1063,N$1&amp;"" CE"",""""), N$1&amp;""[\w &amp;]*, (\d+\.\d+)""),"""")
"),"")</f>
        <v/>
      </c>
      <c r="O1063" s="3" t="str">
        <f aca="false">IFERROR(__xludf.dummyfunction("if($T1063&lt;&gt;"""",REGEXEXTRACT($T1063, O$1&amp;""[\w &amp;]*, (\d+\.\d+)""),"""")
"),"")</f>
        <v/>
      </c>
      <c r="P1063" s="2"/>
      <c r="Q1063" s="2"/>
      <c r="R1063" s="2"/>
      <c r="S1063" s="2"/>
      <c r="T1063" s="5"/>
    </row>
    <row r="1064" customFormat="false" ht="15.75" hidden="false" customHeight="false" outlineLevel="0" collapsed="false">
      <c r="A1064" s="4"/>
      <c r="B1064" s="2"/>
      <c r="C1064" s="2"/>
      <c r="D1064" s="2"/>
      <c r="E1064" s="2"/>
      <c r="F1064" s="3" t="str">
        <f aca="false">IFERROR(__xludf.dummyfunction("if($T1064&lt;&gt;"""",REGEXEXTRACT(SUBSTITUTE ($T1064,F$1&amp;"" CE"",""""), F$1&amp;""[\w &amp;]*, (\d+\.\d+)""),"""")
"),"")</f>
        <v/>
      </c>
      <c r="G1064" s="3" t="str">
        <f aca="false">IFERROR(__xludf.dummyfunction("if($T1064&lt;&gt;"""",REGEXEXTRACT($T1064, G$1&amp;""[\w &amp;]*, (\d+\.\d+)""),"""")
"),"")</f>
        <v/>
      </c>
      <c r="H1064" s="3"/>
      <c r="I1064" s="3" t="str">
        <f aca="false">IFERROR(__xludf.dummyfunction("if($T1064&lt;&gt;"""",REGEXEXTRACT(SUBSTITUTE ($T1064,I$1&amp;"" CE"",""""), I$1&amp;""[\w &amp;]*, (\d+\.\d+)""),"""")
"),"")</f>
        <v/>
      </c>
      <c r="J1064" s="3" t="str">
        <f aca="false">IFERROR(__xludf.dummyfunction("if($T1064&lt;&gt;"""",REGEXEXTRACT($T1064, J$1&amp;""[\w &amp;]*, (\d+\.\d+)""),"""")
"),"")</f>
        <v/>
      </c>
      <c r="K1064" s="3"/>
      <c r="L1064" s="3" t="str">
        <f aca="false">IFERROR(__xludf.dummyfunction("if($T1064&lt;&gt;"""",REGEXEXTRACT(SUBSTITUTE ($T1064,L$1&amp;"" CE"",""""), L$1&amp;""[\w &amp;]*, (\d+\.\d+)""),"""")
"),"")</f>
        <v/>
      </c>
      <c r="M1064" s="3" t="str">
        <f aca="false">IFERROR(__xludf.dummyfunction("if($T1064&lt;&gt;"""",REGEXEXTRACT($T1064, M$1&amp;""[\w &amp;]*, (\d+\.\d+)""),"""")
"),"")</f>
        <v/>
      </c>
      <c r="N1064" s="3" t="str">
        <f aca="false">IFERROR(__xludf.dummyfunction("if($T1064&lt;&gt;"""",REGEXEXTRACT(SUBSTITUTE ($T1064,N$1&amp;"" CE"",""""), N$1&amp;""[\w &amp;]*, (\d+\.\d+)""),"""")
"),"")</f>
        <v/>
      </c>
      <c r="O1064" s="3" t="str">
        <f aca="false">IFERROR(__xludf.dummyfunction("if($T1064&lt;&gt;"""",REGEXEXTRACT($T1064, O$1&amp;""[\w &amp;]*, (\d+\.\d+)""),"""")
"),"")</f>
        <v/>
      </c>
      <c r="P1064" s="2"/>
      <c r="Q1064" s="2"/>
      <c r="R1064" s="2"/>
      <c r="S1064" s="2"/>
      <c r="T1064" s="5"/>
    </row>
    <row r="1065" customFormat="false" ht="15.75" hidden="false" customHeight="false" outlineLevel="0" collapsed="false">
      <c r="A1065" s="4"/>
      <c r="B1065" s="2"/>
      <c r="C1065" s="2"/>
      <c r="D1065" s="2"/>
      <c r="E1065" s="2"/>
      <c r="F1065" s="3" t="str">
        <f aca="false">IFERROR(__xludf.dummyfunction("if($T1065&lt;&gt;"""",REGEXEXTRACT(SUBSTITUTE ($T1065,F$1&amp;"" CE"",""""), F$1&amp;""[\w &amp;]*, (\d+\.\d+)""),"""")
"),"")</f>
        <v/>
      </c>
      <c r="G1065" s="3" t="str">
        <f aca="false">IFERROR(__xludf.dummyfunction("if($T1065&lt;&gt;"""",REGEXEXTRACT($T1065, G$1&amp;""[\w &amp;]*, (\d+\.\d+)""),"""")
"),"")</f>
        <v/>
      </c>
      <c r="H1065" s="3"/>
      <c r="I1065" s="3" t="str">
        <f aca="false">IFERROR(__xludf.dummyfunction("if($T1065&lt;&gt;"""",REGEXEXTRACT(SUBSTITUTE ($T1065,I$1&amp;"" CE"",""""), I$1&amp;""[\w &amp;]*, (\d+\.\d+)""),"""")
"),"")</f>
        <v/>
      </c>
      <c r="J1065" s="3" t="str">
        <f aca="false">IFERROR(__xludf.dummyfunction("if($T1065&lt;&gt;"""",REGEXEXTRACT($T1065, J$1&amp;""[\w &amp;]*, (\d+\.\d+)""),"""")
"),"")</f>
        <v/>
      </c>
      <c r="K1065" s="3"/>
      <c r="L1065" s="3" t="str">
        <f aca="false">IFERROR(__xludf.dummyfunction("if($T1065&lt;&gt;"""",REGEXEXTRACT(SUBSTITUTE ($T1065,L$1&amp;"" CE"",""""), L$1&amp;""[\w &amp;]*, (\d+\.\d+)""),"""")
"),"")</f>
        <v/>
      </c>
      <c r="M1065" s="3" t="str">
        <f aca="false">IFERROR(__xludf.dummyfunction("if($T1065&lt;&gt;"""",REGEXEXTRACT($T1065, M$1&amp;""[\w &amp;]*, (\d+\.\d+)""),"""")
"),"")</f>
        <v/>
      </c>
      <c r="N1065" s="3" t="str">
        <f aca="false">IFERROR(__xludf.dummyfunction("if($T1065&lt;&gt;"""",REGEXEXTRACT(SUBSTITUTE ($T1065,N$1&amp;"" CE"",""""), N$1&amp;""[\w &amp;]*, (\d+\.\d+)""),"""")
"),"")</f>
        <v/>
      </c>
      <c r="O1065" s="3" t="str">
        <f aca="false">IFERROR(__xludf.dummyfunction("if($T1065&lt;&gt;"""",REGEXEXTRACT($T1065, O$1&amp;""[\w &amp;]*, (\d+\.\d+)""),"""")
"),"")</f>
        <v/>
      </c>
      <c r="P1065" s="2"/>
      <c r="Q1065" s="2"/>
      <c r="R1065" s="2"/>
      <c r="S1065" s="2"/>
      <c r="T1065" s="5"/>
    </row>
    <row r="1066" customFormat="false" ht="15.75" hidden="false" customHeight="false" outlineLevel="0" collapsed="false">
      <c r="A1066" s="4"/>
      <c r="B1066" s="2"/>
      <c r="C1066" s="2"/>
      <c r="D1066" s="2"/>
      <c r="E1066" s="2"/>
      <c r="F1066" s="3" t="str">
        <f aca="false">IFERROR(__xludf.dummyfunction("if($T1066&lt;&gt;"""",REGEXEXTRACT(SUBSTITUTE ($T1066,F$1&amp;"" CE"",""""), F$1&amp;""[\w &amp;]*, (\d+\.\d+)""),"""")
"),"")</f>
        <v/>
      </c>
      <c r="G1066" s="3" t="str">
        <f aca="false">IFERROR(__xludf.dummyfunction("if($T1066&lt;&gt;"""",REGEXEXTRACT($T1066, G$1&amp;""[\w &amp;]*, (\d+\.\d+)""),"""")
"),"")</f>
        <v/>
      </c>
      <c r="H1066" s="3"/>
      <c r="I1066" s="3" t="str">
        <f aca="false">IFERROR(__xludf.dummyfunction("if($T1066&lt;&gt;"""",REGEXEXTRACT(SUBSTITUTE ($T1066,I$1&amp;"" CE"",""""), I$1&amp;""[\w &amp;]*, (\d+\.\d+)""),"""")
"),"")</f>
        <v/>
      </c>
      <c r="J1066" s="3" t="str">
        <f aca="false">IFERROR(__xludf.dummyfunction("if($T1066&lt;&gt;"""",REGEXEXTRACT($T1066, J$1&amp;""[\w &amp;]*, (\d+\.\d+)""),"""")
"),"")</f>
        <v/>
      </c>
      <c r="K1066" s="3"/>
      <c r="L1066" s="3" t="str">
        <f aca="false">IFERROR(__xludf.dummyfunction("if($T1066&lt;&gt;"""",REGEXEXTRACT(SUBSTITUTE ($T1066,L$1&amp;"" CE"",""""), L$1&amp;""[\w &amp;]*, (\d+\.\d+)""),"""")
"),"")</f>
        <v/>
      </c>
      <c r="M1066" s="3" t="str">
        <f aca="false">IFERROR(__xludf.dummyfunction("if($T1066&lt;&gt;"""",REGEXEXTRACT($T1066, M$1&amp;""[\w &amp;]*, (\d+\.\d+)""),"""")
"),"")</f>
        <v/>
      </c>
      <c r="N1066" s="3" t="str">
        <f aca="false">IFERROR(__xludf.dummyfunction("if($T1066&lt;&gt;"""",REGEXEXTRACT(SUBSTITUTE ($T1066,N$1&amp;"" CE"",""""), N$1&amp;""[\w &amp;]*, (\d+\.\d+)""),"""")
"),"")</f>
        <v/>
      </c>
      <c r="O1066" s="3" t="str">
        <f aca="false">IFERROR(__xludf.dummyfunction("if($T1066&lt;&gt;"""",REGEXEXTRACT($T1066, O$1&amp;""[\w &amp;]*, (\d+\.\d+)""),"""")
"),"")</f>
        <v/>
      </c>
      <c r="P1066" s="2"/>
      <c r="Q1066" s="2"/>
      <c r="R1066" s="2"/>
      <c r="S1066" s="2"/>
      <c r="T1066" s="5"/>
    </row>
    <row r="1067" customFormat="false" ht="15.75" hidden="false" customHeight="false" outlineLevel="0" collapsed="false">
      <c r="A1067" s="4"/>
      <c r="B1067" s="2"/>
      <c r="C1067" s="2"/>
      <c r="D1067" s="2"/>
      <c r="E1067" s="2"/>
      <c r="F1067" s="3" t="str">
        <f aca="false">IFERROR(__xludf.dummyfunction("if($T1067&lt;&gt;"""",REGEXEXTRACT(SUBSTITUTE ($T1067,F$1&amp;"" CE"",""""), F$1&amp;""[\w &amp;]*, (\d+\.\d+)""),"""")
"),"")</f>
        <v/>
      </c>
      <c r="G1067" s="3" t="str">
        <f aca="false">IFERROR(__xludf.dummyfunction("if($T1067&lt;&gt;"""",REGEXEXTRACT($T1067, G$1&amp;""[\w &amp;]*, (\d+\.\d+)""),"""")
"),"")</f>
        <v/>
      </c>
      <c r="H1067" s="3"/>
      <c r="I1067" s="3" t="str">
        <f aca="false">IFERROR(__xludf.dummyfunction("if($T1067&lt;&gt;"""",REGEXEXTRACT(SUBSTITUTE ($T1067,I$1&amp;"" CE"",""""), I$1&amp;""[\w &amp;]*, (\d+\.\d+)""),"""")
"),"")</f>
        <v/>
      </c>
      <c r="J1067" s="3" t="str">
        <f aca="false">IFERROR(__xludf.dummyfunction("if($T1067&lt;&gt;"""",REGEXEXTRACT($T1067, J$1&amp;""[\w &amp;]*, (\d+\.\d+)""),"""")
"),"")</f>
        <v/>
      </c>
      <c r="K1067" s="3"/>
      <c r="L1067" s="3" t="str">
        <f aca="false">IFERROR(__xludf.dummyfunction("if($T1067&lt;&gt;"""",REGEXEXTRACT(SUBSTITUTE ($T1067,L$1&amp;"" CE"",""""), L$1&amp;""[\w &amp;]*, (\d+\.\d+)""),"""")
"),"")</f>
        <v/>
      </c>
      <c r="M1067" s="3" t="str">
        <f aca="false">IFERROR(__xludf.dummyfunction("if($T1067&lt;&gt;"""",REGEXEXTRACT($T1067, M$1&amp;""[\w &amp;]*, (\d+\.\d+)""),"""")
"),"")</f>
        <v/>
      </c>
      <c r="N1067" s="3" t="str">
        <f aca="false">IFERROR(__xludf.dummyfunction("if($T1067&lt;&gt;"""",REGEXEXTRACT(SUBSTITUTE ($T1067,N$1&amp;"" CE"",""""), N$1&amp;""[\w &amp;]*, (\d+\.\d+)""),"""")
"),"")</f>
        <v/>
      </c>
      <c r="O1067" s="3" t="str">
        <f aca="false">IFERROR(__xludf.dummyfunction("if($T1067&lt;&gt;"""",REGEXEXTRACT($T1067, O$1&amp;""[\w &amp;]*, (\d+\.\d+)""),"""")
"),"")</f>
        <v/>
      </c>
      <c r="P1067" s="2"/>
      <c r="Q1067" s="2"/>
      <c r="R1067" s="2"/>
      <c r="S1067" s="2"/>
      <c r="T1067" s="5"/>
    </row>
    <row r="1068" customFormat="false" ht="15.75" hidden="false" customHeight="false" outlineLevel="0" collapsed="false">
      <c r="A1068" s="4"/>
      <c r="B1068" s="2"/>
      <c r="C1068" s="2"/>
      <c r="D1068" s="2"/>
      <c r="E1068" s="2"/>
      <c r="F1068" s="3" t="str">
        <f aca="false">IFERROR(__xludf.dummyfunction("if($T1068&lt;&gt;"""",REGEXEXTRACT(SUBSTITUTE ($T1068,F$1&amp;"" CE"",""""), F$1&amp;""[\w &amp;]*, (\d+\.\d+)""),"""")
"),"")</f>
        <v/>
      </c>
      <c r="G1068" s="3" t="str">
        <f aca="false">IFERROR(__xludf.dummyfunction("if($T1068&lt;&gt;"""",REGEXEXTRACT($T1068, G$1&amp;""[\w &amp;]*, (\d+\.\d+)""),"""")
"),"")</f>
        <v/>
      </c>
      <c r="H1068" s="3"/>
      <c r="I1068" s="3" t="str">
        <f aca="false">IFERROR(__xludf.dummyfunction("if($T1068&lt;&gt;"""",REGEXEXTRACT(SUBSTITUTE ($T1068,I$1&amp;"" CE"",""""), I$1&amp;""[\w &amp;]*, (\d+\.\d+)""),"""")
"),"")</f>
        <v/>
      </c>
      <c r="J1068" s="3" t="str">
        <f aca="false">IFERROR(__xludf.dummyfunction("if($T1068&lt;&gt;"""",REGEXEXTRACT($T1068, J$1&amp;""[\w &amp;]*, (\d+\.\d+)""),"""")
"),"")</f>
        <v/>
      </c>
      <c r="K1068" s="3"/>
      <c r="L1068" s="3" t="str">
        <f aca="false">IFERROR(__xludf.dummyfunction("if($T1068&lt;&gt;"""",REGEXEXTRACT(SUBSTITUTE ($T1068,L$1&amp;"" CE"",""""), L$1&amp;""[\w &amp;]*, (\d+\.\d+)""),"""")
"),"")</f>
        <v/>
      </c>
      <c r="M1068" s="3" t="str">
        <f aca="false">IFERROR(__xludf.dummyfunction("if($T1068&lt;&gt;"""",REGEXEXTRACT($T1068, M$1&amp;""[\w &amp;]*, (\d+\.\d+)""),"""")
"),"")</f>
        <v/>
      </c>
      <c r="N1068" s="3" t="str">
        <f aca="false">IFERROR(__xludf.dummyfunction("if($T1068&lt;&gt;"""",REGEXEXTRACT(SUBSTITUTE ($T1068,N$1&amp;"" CE"",""""), N$1&amp;""[\w &amp;]*, (\d+\.\d+)""),"""")
"),"")</f>
        <v/>
      </c>
      <c r="O1068" s="3" t="str">
        <f aca="false">IFERROR(__xludf.dummyfunction("if($T1068&lt;&gt;"""",REGEXEXTRACT($T1068, O$1&amp;""[\w &amp;]*, (\d+\.\d+)""),"""")
"),"")</f>
        <v/>
      </c>
      <c r="P1068" s="2"/>
      <c r="Q1068" s="2"/>
      <c r="R1068" s="2"/>
      <c r="S1068" s="2"/>
      <c r="T1068" s="5"/>
    </row>
    <row r="1069" customFormat="false" ht="15.75" hidden="false" customHeight="false" outlineLevel="0" collapsed="false">
      <c r="A1069" s="4"/>
      <c r="B1069" s="2"/>
      <c r="C1069" s="2"/>
      <c r="D1069" s="2"/>
      <c r="E1069" s="2"/>
      <c r="F1069" s="3" t="str">
        <f aca="false">IFERROR(__xludf.dummyfunction("if($T1069&lt;&gt;"""",REGEXEXTRACT(SUBSTITUTE ($T1069,F$1&amp;"" CE"",""""), F$1&amp;""[\w &amp;]*, (\d+\.\d+)""),"""")
"),"")</f>
        <v/>
      </c>
      <c r="G1069" s="3" t="str">
        <f aca="false">IFERROR(__xludf.dummyfunction("if($T1069&lt;&gt;"""",REGEXEXTRACT($T1069, G$1&amp;""[\w &amp;]*, (\d+\.\d+)""),"""")
"),"")</f>
        <v/>
      </c>
      <c r="H1069" s="3"/>
      <c r="I1069" s="3" t="str">
        <f aca="false">IFERROR(__xludf.dummyfunction("if($T1069&lt;&gt;"""",REGEXEXTRACT(SUBSTITUTE ($T1069,I$1&amp;"" CE"",""""), I$1&amp;""[\w &amp;]*, (\d+\.\d+)""),"""")
"),"")</f>
        <v/>
      </c>
      <c r="J1069" s="3" t="str">
        <f aca="false">IFERROR(__xludf.dummyfunction("if($T1069&lt;&gt;"""",REGEXEXTRACT($T1069, J$1&amp;""[\w &amp;]*, (\d+\.\d+)""),"""")
"),"")</f>
        <v/>
      </c>
      <c r="K1069" s="3"/>
      <c r="L1069" s="3" t="str">
        <f aca="false">IFERROR(__xludf.dummyfunction("if($T1069&lt;&gt;"""",REGEXEXTRACT(SUBSTITUTE ($T1069,L$1&amp;"" CE"",""""), L$1&amp;""[\w &amp;]*, (\d+\.\d+)""),"""")
"),"")</f>
        <v/>
      </c>
      <c r="M1069" s="3" t="str">
        <f aca="false">IFERROR(__xludf.dummyfunction("if($T1069&lt;&gt;"""",REGEXEXTRACT($T1069, M$1&amp;""[\w &amp;]*, (\d+\.\d+)""),"""")
"),"")</f>
        <v/>
      </c>
      <c r="N1069" s="3" t="str">
        <f aca="false">IFERROR(__xludf.dummyfunction("if($T1069&lt;&gt;"""",REGEXEXTRACT(SUBSTITUTE ($T1069,N$1&amp;"" CE"",""""), N$1&amp;""[\w &amp;]*, (\d+\.\d+)""),"""")
"),"")</f>
        <v/>
      </c>
      <c r="O1069" s="3" t="str">
        <f aca="false">IFERROR(__xludf.dummyfunction("if($T1069&lt;&gt;"""",REGEXEXTRACT($T1069, O$1&amp;""[\w &amp;]*, (\d+\.\d+)""),"""")
"),"")</f>
        <v/>
      </c>
      <c r="P1069" s="2"/>
      <c r="Q1069" s="2"/>
      <c r="R1069" s="2"/>
      <c r="S1069" s="2"/>
      <c r="T1069" s="5"/>
    </row>
    <row r="1070" customFormat="false" ht="15.75" hidden="false" customHeight="false" outlineLevel="0" collapsed="false">
      <c r="A1070" s="4"/>
      <c r="B1070" s="2"/>
      <c r="C1070" s="2"/>
      <c r="D1070" s="2"/>
      <c r="E1070" s="2"/>
      <c r="F1070" s="3" t="str">
        <f aca="false">IFERROR(__xludf.dummyfunction("if($T1070&lt;&gt;"""",REGEXEXTRACT(SUBSTITUTE ($T1070,F$1&amp;"" CE"",""""), F$1&amp;""[\w &amp;]*, (\d+\.\d+)""),"""")
"),"")</f>
        <v/>
      </c>
      <c r="G1070" s="3" t="str">
        <f aca="false">IFERROR(__xludf.dummyfunction("if($T1070&lt;&gt;"""",REGEXEXTRACT($T1070, G$1&amp;""[\w &amp;]*, (\d+\.\d+)""),"""")
"),"")</f>
        <v/>
      </c>
      <c r="H1070" s="3"/>
      <c r="I1070" s="3" t="str">
        <f aca="false">IFERROR(__xludf.dummyfunction("if($T1070&lt;&gt;"""",REGEXEXTRACT(SUBSTITUTE ($T1070,I$1&amp;"" CE"",""""), I$1&amp;""[\w &amp;]*, (\d+\.\d+)""),"""")
"),"")</f>
        <v/>
      </c>
      <c r="J1070" s="3" t="str">
        <f aca="false">IFERROR(__xludf.dummyfunction("if($T1070&lt;&gt;"""",REGEXEXTRACT($T1070, J$1&amp;""[\w &amp;]*, (\d+\.\d+)""),"""")
"),"")</f>
        <v/>
      </c>
      <c r="K1070" s="3"/>
      <c r="L1070" s="3" t="str">
        <f aca="false">IFERROR(__xludf.dummyfunction("if($T1070&lt;&gt;"""",REGEXEXTRACT(SUBSTITUTE ($T1070,L$1&amp;"" CE"",""""), L$1&amp;""[\w &amp;]*, (\d+\.\d+)""),"""")
"),"")</f>
        <v/>
      </c>
      <c r="M1070" s="3" t="str">
        <f aca="false">IFERROR(__xludf.dummyfunction("if($T1070&lt;&gt;"""",REGEXEXTRACT($T1070, M$1&amp;""[\w &amp;]*, (\d+\.\d+)""),"""")
"),"")</f>
        <v/>
      </c>
      <c r="N1070" s="3" t="str">
        <f aca="false">IFERROR(__xludf.dummyfunction("if($T1070&lt;&gt;"""",REGEXEXTRACT(SUBSTITUTE ($T1070,N$1&amp;"" CE"",""""), N$1&amp;""[\w &amp;]*, (\d+\.\d+)""),"""")
"),"")</f>
        <v/>
      </c>
      <c r="O1070" s="3" t="str">
        <f aca="false">IFERROR(__xludf.dummyfunction("if($T1070&lt;&gt;"""",REGEXEXTRACT($T1070, O$1&amp;""[\w &amp;]*, (\d+\.\d+)""),"""")
"),"")</f>
        <v/>
      </c>
      <c r="P1070" s="2"/>
      <c r="Q1070" s="2"/>
      <c r="R1070" s="2"/>
      <c r="S1070" s="2"/>
      <c r="T1070" s="5"/>
    </row>
    <row r="1071" customFormat="false" ht="15.75" hidden="false" customHeight="false" outlineLevel="0" collapsed="false">
      <c r="A1071" s="4"/>
      <c r="B1071" s="2"/>
      <c r="C1071" s="2"/>
      <c r="D1071" s="2"/>
      <c r="E1071" s="2"/>
      <c r="F1071" s="3" t="str">
        <f aca="false">IFERROR(__xludf.dummyfunction("if($T1071&lt;&gt;"""",REGEXEXTRACT(SUBSTITUTE ($T1071,F$1&amp;"" CE"",""""), F$1&amp;""[\w &amp;]*, (\d+\.\d+)""),"""")
"),"")</f>
        <v/>
      </c>
      <c r="G1071" s="3" t="str">
        <f aca="false">IFERROR(__xludf.dummyfunction("if($T1071&lt;&gt;"""",REGEXEXTRACT($T1071, G$1&amp;""[\w &amp;]*, (\d+\.\d+)""),"""")
"),"")</f>
        <v/>
      </c>
      <c r="H1071" s="3"/>
      <c r="I1071" s="3" t="str">
        <f aca="false">IFERROR(__xludf.dummyfunction("if($T1071&lt;&gt;"""",REGEXEXTRACT(SUBSTITUTE ($T1071,I$1&amp;"" CE"",""""), I$1&amp;""[\w &amp;]*, (\d+\.\d+)""),"""")
"),"")</f>
        <v/>
      </c>
      <c r="J1071" s="3" t="str">
        <f aca="false">IFERROR(__xludf.dummyfunction("if($T1071&lt;&gt;"""",REGEXEXTRACT($T1071, J$1&amp;""[\w &amp;]*, (\d+\.\d+)""),"""")
"),"")</f>
        <v/>
      </c>
      <c r="K1071" s="3"/>
      <c r="L1071" s="3" t="str">
        <f aca="false">IFERROR(__xludf.dummyfunction("if($T1071&lt;&gt;"""",REGEXEXTRACT(SUBSTITUTE ($T1071,L$1&amp;"" CE"",""""), L$1&amp;""[\w &amp;]*, (\d+\.\d+)""),"""")
"),"")</f>
        <v/>
      </c>
      <c r="M1071" s="3" t="str">
        <f aca="false">IFERROR(__xludf.dummyfunction("if($T1071&lt;&gt;"""",REGEXEXTRACT($T1071, M$1&amp;""[\w &amp;]*, (\d+\.\d+)""),"""")
"),"")</f>
        <v/>
      </c>
      <c r="N1071" s="3" t="str">
        <f aca="false">IFERROR(__xludf.dummyfunction("if($T1071&lt;&gt;"""",REGEXEXTRACT(SUBSTITUTE ($T1071,N$1&amp;"" CE"",""""), N$1&amp;""[\w &amp;]*, (\d+\.\d+)""),"""")
"),"")</f>
        <v/>
      </c>
      <c r="O1071" s="3" t="str">
        <f aca="false">IFERROR(__xludf.dummyfunction("if($T1071&lt;&gt;"""",REGEXEXTRACT($T1071, O$1&amp;""[\w &amp;]*, (\d+\.\d+)""),"""")
"),"")</f>
        <v/>
      </c>
      <c r="P1071" s="2"/>
      <c r="Q1071" s="2"/>
      <c r="R1071" s="2"/>
      <c r="S1071" s="2"/>
      <c r="T1071" s="5"/>
    </row>
    <row r="1072" customFormat="false" ht="15.75" hidden="false" customHeight="false" outlineLevel="0" collapsed="false">
      <c r="A1072" s="4"/>
      <c r="B1072" s="2"/>
      <c r="C1072" s="2"/>
      <c r="D1072" s="2"/>
      <c r="E1072" s="2"/>
      <c r="F1072" s="3" t="str">
        <f aca="false">IFERROR(__xludf.dummyfunction("if($T1072&lt;&gt;"""",REGEXEXTRACT(SUBSTITUTE ($T1072,F$1&amp;"" CE"",""""), F$1&amp;""[\w &amp;]*, (\d+\.\d+)""),"""")
"),"")</f>
        <v/>
      </c>
      <c r="G1072" s="3" t="str">
        <f aca="false">IFERROR(__xludf.dummyfunction("if($T1072&lt;&gt;"""",REGEXEXTRACT($T1072, G$1&amp;""[\w &amp;]*, (\d+\.\d+)""),"""")
"),"")</f>
        <v/>
      </c>
      <c r="H1072" s="3"/>
      <c r="I1072" s="3" t="str">
        <f aca="false">IFERROR(__xludf.dummyfunction("if($T1072&lt;&gt;"""",REGEXEXTRACT(SUBSTITUTE ($T1072,I$1&amp;"" CE"",""""), I$1&amp;""[\w &amp;]*, (\d+\.\d+)""),"""")
"),"")</f>
        <v/>
      </c>
      <c r="J1072" s="3" t="str">
        <f aca="false">IFERROR(__xludf.dummyfunction("if($T1072&lt;&gt;"""",REGEXEXTRACT($T1072, J$1&amp;""[\w &amp;]*, (\d+\.\d+)""),"""")
"),"")</f>
        <v/>
      </c>
      <c r="K1072" s="3"/>
      <c r="L1072" s="3" t="str">
        <f aca="false">IFERROR(__xludf.dummyfunction("if($T1072&lt;&gt;"""",REGEXEXTRACT(SUBSTITUTE ($T1072,L$1&amp;"" CE"",""""), L$1&amp;""[\w &amp;]*, (\d+\.\d+)""),"""")
"),"")</f>
        <v/>
      </c>
      <c r="M1072" s="3" t="str">
        <f aca="false">IFERROR(__xludf.dummyfunction("if($T1072&lt;&gt;"""",REGEXEXTRACT($T1072, M$1&amp;""[\w &amp;]*, (\d+\.\d+)""),"""")
"),"")</f>
        <v/>
      </c>
      <c r="N1072" s="3" t="str">
        <f aca="false">IFERROR(__xludf.dummyfunction("if($T1072&lt;&gt;"""",REGEXEXTRACT(SUBSTITUTE ($T1072,N$1&amp;"" CE"",""""), N$1&amp;""[\w &amp;]*, (\d+\.\d+)""),"""")
"),"")</f>
        <v/>
      </c>
      <c r="O1072" s="3" t="str">
        <f aca="false">IFERROR(__xludf.dummyfunction("if($T1072&lt;&gt;"""",REGEXEXTRACT($T1072, O$1&amp;""[\w &amp;]*, (\d+\.\d+)""),"""")
"),"")</f>
        <v/>
      </c>
      <c r="P1072" s="2"/>
      <c r="Q1072" s="2"/>
      <c r="R1072" s="2"/>
      <c r="S1072" s="2"/>
      <c r="T1072" s="5"/>
    </row>
    <row r="1073" customFormat="false" ht="15.75" hidden="false" customHeight="false" outlineLevel="0" collapsed="false">
      <c r="A1073" s="4"/>
      <c r="B1073" s="2"/>
      <c r="C1073" s="2"/>
      <c r="D1073" s="2"/>
      <c r="E1073" s="2"/>
      <c r="F1073" s="3" t="str">
        <f aca="false">IFERROR(__xludf.dummyfunction("if($T1073&lt;&gt;"""",REGEXEXTRACT(SUBSTITUTE ($T1073,F$1&amp;"" CE"",""""), F$1&amp;""[\w &amp;]*, (\d+\.\d+)""),"""")
"),"")</f>
        <v/>
      </c>
      <c r="G1073" s="3" t="str">
        <f aca="false">IFERROR(__xludf.dummyfunction("if($T1073&lt;&gt;"""",REGEXEXTRACT($T1073, G$1&amp;""[\w &amp;]*, (\d+\.\d+)""),"""")
"),"")</f>
        <v/>
      </c>
      <c r="H1073" s="3"/>
      <c r="I1073" s="3" t="str">
        <f aca="false">IFERROR(__xludf.dummyfunction("if($T1073&lt;&gt;"""",REGEXEXTRACT(SUBSTITUTE ($T1073,I$1&amp;"" CE"",""""), I$1&amp;""[\w &amp;]*, (\d+\.\d+)""),"""")
"),"")</f>
        <v/>
      </c>
      <c r="J1073" s="3" t="str">
        <f aca="false">IFERROR(__xludf.dummyfunction("if($T1073&lt;&gt;"""",REGEXEXTRACT($T1073, J$1&amp;""[\w &amp;]*, (\d+\.\d+)""),"""")
"),"")</f>
        <v/>
      </c>
      <c r="K1073" s="3"/>
      <c r="L1073" s="3" t="str">
        <f aca="false">IFERROR(__xludf.dummyfunction("if($T1073&lt;&gt;"""",REGEXEXTRACT(SUBSTITUTE ($T1073,L$1&amp;"" CE"",""""), L$1&amp;""[\w &amp;]*, (\d+\.\d+)""),"""")
"),"")</f>
        <v/>
      </c>
      <c r="M1073" s="3" t="str">
        <f aca="false">IFERROR(__xludf.dummyfunction("if($T1073&lt;&gt;"""",REGEXEXTRACT($T1073, M$1&amp;""[\w &amp;]*, (\d+\.\d+)""),"""")
"),"")</f>
        <v/>
      </c>
      <c r="N1073" s="3" t="str">
        <f aca="false">IFERROR(__xludf.dummyfunction("if($T1073&lt;&gt;"""",REGEXEXTRACT(SUBSTITUTE ($T1073,N$1&amp;"" CE"",""""), N$1&amp;""[\w &amp;]*, (\d+\.\d+)""),"""")
"),"")</f>
        <v/>
      </c>
      <c r="O1073" s="3" t="str">
        <f aca="false">IFERROR(__xludf.dummyfunction("if($T1073&lt;&gt;"""",REGEXEXTRACT($T1073, O$1&amp;""[\w &amp;]*, (\d+\.\d+)""),"""")
"),"")</f>
        <v/>
      </c>
      <c r="P1073" s="2"/>
      <c r="Q1073" s="2"/>
      <c r="R1073" s="2"/>
      <c r="S1073" s="2"/>
      <c r="T1073" s="5"/>
    </row>
    <row r="1074" customFormat="false" ht="15.75" hidden="false" customHeight="false" outlineLevel="0" collapsed="false">
      <c r="A1074" s="4"/>
      <c r="B1074" s="2"/>
      <c r="C1074" s="2"/>
      <c r="D1074" s="2"/>
      <c r="E1074" s="2"/>
      <c r="F1074" s="3" t="str">
        <f aca="false">IFERROR(__xludf.dummyfunction("if($T1074&lt;&gt;"""",REGEXEXTRACT(SUBSTITUTE ($T1074,F$1&amp;"" CE"",""""), F$1&amp;""[\w &amp;]*, (\d+\.\d+)""),"""")
"),"")</f>
        <v/>
      </c>
      <c r="G1074" s="3" t="str">
        <f aca="false">IFERROR(__xludf.dummyfunction("if($T1074&lt;&gt;"""",REGEXEXTRACT($T1074, G$1&amp;""[\w &amp;]*, (\d+\.\d+)""),"""")
"),"")</f>
        <v/>
      </c>
      <c r="H1074" s="3"/>
      <c r="I1074" s="3" t="str">
        <f aca="false">IFERROR(__xludf.dummyfunction("if($T1074&lt;&gt;"""",REGEXEXTRACT(SUBSTITUTE ($T1074,I$1&amp;"" CE"",""""), I$1&amp;""[\w &amp;]*, (\d+\.\d+)""),"""")
"),"")</f>
        <v/>
      </c>
      <c r="J1074" s="3" t="str">
        <f aca="false">IFERROR(__xludf.dummyfunction("if($T1074&lt;&gt;"""",REGEXEXTRACT($T1074, J$1&amp;""[\w &amp;]*, (\d+\.\d+)""),"""")
"),"")</f>
        <v/>
      </c>
      <c r="K1074" s="3"/>
      <c r="L1074" s="3" t="str">
        <f aca="false">IFERROR(__xludf.dummyfunction("if($T1074&lt;&gt;"""",REGEXEXTRACT(SUBSTITUTE ($T1074,L$1&amp;"" CE"",""""), L$1&amp;""[\w &amp;]*, (\d+\.\d+)""),"""")
"),"")</f>
        <v/>
      </c>
      <c r="M1074" s="3" t="str">
        <f aca="false">IFERROR(__xludf.dummyfunction("if($T1074&lt;&gt;"""",REGEXEXTRACT($T1074, M$1&amp;""[\w &amp;]*, (\d+\.\d+)""),"""")
"),"")</f>
        <v/>
      </c>
      <c r="N1074" s="3" t="str">
        <f aca="false">IFERROR(__xludf.dummyfunction("if($T1074&lt;&gt;"""",REGEXEXTRACT(SUBSTITUTE ($T1074,N$1&amp;"" CE"",""""), N$1&amp;""[\w &amp;]*, (\d+\.\d+)""),"""")
"),"")</f>
        <v/>
      </c>
      <c r="O1074" s="3" t="str">
        <f aca="false">IFERROR(__xludf.dummyfunction("if($T1074&lt;&gt;"""",REGEXEXTRACT($T1074, O$1&amp;""[\w &amp;]*, (\d+\.\d+)""),"""")
"),"")</f>
        <v/>
      </c>
      <c r="P1074" s="2"/>
      <c r="Q1074" s="2"/>
      <c r="R1074" s="2"/>
      <c r="S1074" s="2"/>
      <c r="T1074" s="5"/>
    </row>
    <row r="1075" customFormat="false" ht="15.75" hidden="false" customHeight="false" outlineLevel="0" collapsed="false">
      <c r="A1075" s="4"/>
      <c r="B1075" s="2"/>
      <c r="C1075" s="2"/>
      <c r="D1075" s="2"/>
      <c r="E1075" s="2"/>
      <c r="F1075" s="3" t="str">
        <f aca="false">IFERROR(__xludf.dummyfunction("if($T1075&lt;&gt;"""",REGEXEXTRACT(SUBSTITUTE ($T1075,F$1&amp;"" CE"",""""), F$1&amp;""[\w &amp;]*, (\d+\.\d+)""),"""")
"),"")</f>
        <v/>
      </c>
      <c r="G1075" s="3" t="str">
        <f aca="false">IFERROR(__xludf.dummyfunction("if($T1075&lt;&gt;"""",REGEXEXTRACT($T1075, G$1&amp;""[\w &amp;]*, (\d+\.\d+)""),"""")
"),"")</f>
        <v/>
      </c>
      <c r="H1075" s="3"/>
      <c r="I1075" s="3" t="str">
        <f aca="false">IFERROR(__xludf.dummyfunction("if($T1075&lt;&gt;"""",REGEXEXTRACT(SUBSTITUTE ($T1075,I$1&amp;"" CE"",""""), I$1&amp;""[\w &amp;]*, (\d+\.\d+)""),"""")
"),"")</f>
        <v/>
      </c>
      <c r="J1075" s="3" t="str">
        <f aca="false">IFERROR(__xludf.dummyfunction("if($T1075&lt;&gt;"""",REGEXEXTRACT($T1075, J$1&amp;""[\w &amp;]*, (\d+\.\d+)""),"""")
"),"")</f>
        <v/>
      </c>
      <c r="K1075" s="3"/>
      <c r="L1075" s="3" t="str">
        <f aca="false">IFERROR(__xludf.dummyfunction("if($T1075&lt;&gt;"""",REGEXEXTRACT(SUBSTITUTE ($T1075,L$1&amp;"" CE"",""""), L$1&amp;""[\w &amp;]*, (\d+\.\d+)""),"""")
"),"")</f>
        <v/>
      </c>
      <c r="M1075" s="3" t="str">
        <f aca="false">IFERROR(__xludf.dummyfunction("if($T1075&lt;&gt;"""",REGEXEXTRACT($T1075, M$1&amp;""[\w &amp;]*, (\d+\.\d+)""),"""")
"),"")</f>
        <v/>
      </c>
      <c r="N1075" s="3" t="str">
        <f aca="false">IFERROR(__xludf.dummyfunction("if($T1075&lt;&gt;"""",REGEXEXTRACT(SUBSTITUTE ($T1075,N$1&amp;"" CE"",""""), N$1&amp;""[\w &amp;]*, (\d+\.\d+)""),"""")
"),"")</f>
        <v/>
      </c>
      <c r="O1075" s="3" t="str">
        <f aca="false">IFERROR(__xludf.dummyfunction("if($T1075&lt;&gt;"""",REGEXEXTRACT($T1075, O$1&amp;""[\w &amp;]*, (\d+\.\d+)""),"""")
"),"")</f>
        <v/>
      </c>
      <c r="P1075" s="2"/>
      <c r="Q1075" s="2"/>
      <c r="R1075" s="2"/>
      <c r="S1075" s="2"/>
      <c r="T1075" s="5"/>
    </row>
    <row r="1076" customFormat="false" ht="15.75" hidden="false" customHeight="false" outlineLevel="0" collapsed="false">
      <c r="A1076" s="4"/>
      <c r="B1076" s="2"/>
      <c r="C1076" s="2"/>
      <c r="D1076" s="2"/>
      <c r="E1076" s="2"/>
      <c r="F1076" s="3" t="str">
        <f aca="false">IFERROR(__xludf.dummyfunction("if($T1076&lt;&gt;"""",REGEXEXTRACT(SUBSTITUTE ($T1076,F$1&amp;"" CE"",""""), F$1&amp;""[\w &amp;]*, (\d+\.\d+)""),"""")
"),"")</f>
        <v/>
      </c>
      <c r="G1076" s="3" t="str">
        <f aca="false">IFERROR(__xludf.dummyfunction("if($T1076&lt;&gt;"""",REGEXEXTRACT($T1076, G$1&amp;""[\w &amp;]*, (\d+\.\d+)""),"""")
"),"")</f>
        <v/>
      </c>
      <c r="H1076" s="3"/>
      <c r="I1076" s="3" t="str">
        <f aca="false">IFERROR(__xludf.dummyfunction("if($T1076&lt;&gt;"""",REGEXEXTRACT(SUBSTITUTE ($T1076,I$1&amp;"" CE"",""""), I$1&amp;""[\w &amp;]*, (\d+\.\d+)""),"""")
"),"")</f>
        <v/>
      </c>
      <c r="J1076" s="3" t="str">
        <f aca="false">IFERROR(__xludf.dummyfunction("if($T1076&lt;&gt;"""",REGEXEXTRACT($T1076, J$1&amp;""[\w &amp;]*, (\d+\.\d+)""),"""")
"),"")</f>
        <v/>
      </c>
      <c r="K1076" s="3"/>
      <c r="L1076" s="3" t="str">
        <f aca="false">IFERROR(__xludf.dummyfunction("if($T1076&lt;&gt;"""",REGEXEXTRACT(SUBSTITUTE ($T1076,L$1&amp;"" CE"",""""), L$1&amp;""[\w &amp;]*, (\d+\.\d+)""),"""")
"),"")</f>
        <v/>
      </c>
      <c r="M1076" s="3" t="str">
        <f aca="false">IFERROR(__xludf.dummyfunction("if($T1076&lt;&gt;"""",REGEXEXTRACT($T1076, M$1&amp;""[\w &amp;]*, (\d+\.\d+)""),"""")
"),"")</f>
        <v/>
      </c>
      <c r="N1076" s="3" t="str">
        <f aca="false">IFERROR(__xludf.dummyfunction("if($T1076&lt;&gt;"""",REGEXEXTRACT(SUBSTITUTE ($T1076,N$1&amp;"" CE"",""""), N$1&amp;""[\w &amp;]*, (\d+\.\d+)""),"""")
"),"")</f>
        <v/>
      </c>
      <c r="O1076" s="3" t="str">
        <f aca="false">IFERROR(__xludf.dummyfunction("if($T1076&lt;&gt;"""",REGEXEXTRACT($T1076, O$1&amp;""[\w &amp;]*, (\d+\.\d+)""),"""")
"),"")</f>
        <v/>
      </c>
      <c r="P1076" s="2"/>
      <c r="Q1076" s="2"/>
      <c r="R1076" s="2"/>
      <c r="S1076" s="2"/>
      <c r="T1076" s="5"/>
    </row>
    <row r="1077" customFormat="false" ht="15.75" hidden="false" customHeight="false" outlineLevel="0" collapsed="false">
      <c r="A1077" s="4"/>
      <c r="B1077" s="2"/>
      <c r="C1077" s="2"/>
      <c r="D1077" s="2"/>
      <c r="E1077" s="2"/>
      <c r="F1077" s="3" t="str">
        <f aca="false">IFERROR(__xludf.dummyfunction("if($T1077&lt;&gt;"""",REGEXEXTRACT(SUBSTITUTE ($T1077,F$1&amp;"" CE"",""""), F$1&amp;""[\w &amp;]*, (\d+\.\d+)""),"""")
"),"")</f>
        <v/>
      </c>
      <c r="G1077" s="3" t="str">
        <f aca="false">IFERROR(__xludf.dummyfunction("if($T1077&lt;&gt;"""",REGEXEXTRACT($T1077, G$1&amp;""[\w &amp;]*, (\d+\.\d+)""),"""")
"),"")</f>
        <v/>
      </c>
      <c r="H1077" s="3"/>
      <c r="I1077" s="3" t="str">
        <f aca="false">IFERROR(__xludf.dummyfunction("if($T1077&lt;&gt;"""",REGEXEXTRACT(SUBSTITUTE ($T1077,I$1&amp;"" CE"",""""), I$1&amp;""[\w &amp;]*, (\d+\.\d+)""),"""")
"),"")</f>
        <v/>
      </c>
      <c r="J1077" s="3" t="str">
        <f aca="false">IFERROR(__xludf.dummyfunction("if($T1077&lt;&gt;"""",REGEXEXTRACT($T1077, J$1&amp;""[\w &amp;]*, (\d+\.\d+)""),"""")
"),"")</f>
        <v/>
      </c>
      <c r="K1077" s="3"/>
      <c r="L1077" s="3" t="str">
        <f aca="false">IFERROR(__xludf.dummyfunction("if($T1077&lt;&gt;"""",REGEXEXTRACT(SUBSTITUTE ($T1077,L$1&amp;"" CE"",""""), L$1&amp;""[\w &amp;]*, (\d+\.\d+)""),"""")
"),"")</f>
        <v/>
      </c>
      <c r="M1077" s="3" t="str">
        <f aca="false">IFERROR(__xludf.dummyfunction("if($T1077&lt;&gt;"""",REGEXEXTRACT($T1077, M$1&amp;""[\w &amp;]*, (\d+\.\d+)""),"""")
"),"")</f>
        <v/>
      </c>
      <c r="N1077" s="3" t="str">
        <f aca="false">IFERROR(__xludf.dummyfunction("if($T1077&lt;&gt;"""",REGEXEXTRACT(SUBSTITUTE ($T1077,N$1&amp;"" CE"",""""), N$1&amp;""[\w &amp;]*, (\d+\.\d+)""),"""")
"),"")</f>
        <v/>
      </c>
      <c r="O1077" s="3" t="str">
        <f aca="false">IFERROR(__xludf.dummyfunction("if($T1077&lt;&gt;"""",REGEXEXTRACT($T1077, O$1&amp;""[\w &amp;]*, (\d+\.\d+)""),"""")
"),"")</f>
        <v/>
      </c>
      <c r="P1077" s="2"/>
      <c r="Q1077" s="2"/>
      <c r="R1077" s="2"/>
      <c r="S1077" s="2"/>
      <c r="T1077" s="5"/>
    </row>
    <row r="1078" customFormat="false" ht="15.75" hidden="false" customHeight="false" outlineLevel="0" collapsed="false">
      <c r="A1078" s="4"/>
      <c r="B1078" s="2"/>
      <c r="C1078" s="2"/>
      <c r="D1078" s="2"/>
      <c r="E1078" s="2"/>
      <c r="F1078" s="3" t="str">
        <f aca="false">IFERROR(__xludf.dummyfunction("if($T1078&lt;&gt;"""",REGEXEXTRACT(SUBSTITUTE ($T1078,F$1&amp;"" CE"",""""), F$1&amp;""[\w &amp;]*, (\d+\.\d+)""),"""")
"),"")</f>
        <v/>
      </c>
      <c r="G1078" s="3" t="str">
        <f aca="false">IFERROR(__xludf.dummyfunction("if($T1078&lt;&gt;"""",REGEXEXTRACT($T1078, G$1&amp;""[\w &amp;]*, (\d+\.\d+)""),"""")
"),"")</f>
        <v/>
      </c>
      <c r="H1078" s="3"/>
      <c r="I1078" s="3" t="str">
        <f aca="false">IFERROR(__xludf.dummyfunction("if($T1078&lt;&gt;"""",REGEXEXTRACT(SUBSTITUTE ($T1078,I$1&amp;"" CE"",""""), I$1&amp;""[\w &amp;]*, (\d+\.\d+)""),"""")
"),"")</f>
        <v/>
      </c>
      <c r="J1078" s="3" t="str">
        <f aca="false">IFERROR(__xludf.dummyfunction("if($T1078&lt;&gt;"""",REGEXEXTRACT($T1078, J$1&amp;""[\w &amp;]*, (\d+\.\d+)""),"""")
"),"")</f>
        <v/>
      </c>
      <c r="K1078" s="3"/>
      <c r="L1078" s="3" t="str">
        <f aca="false">IFERROR(__xludf.dummyfunction("if($T1078&lt;&gt;"""",REGEXEXTRACT(SUBSTITUTE ($T1078,L$1&amp;"" CE"",""""), L$1&amp;""[\w &amp;]*, (\d+\.\d+)""),"""")
"),"")</f>
        <v/>
      </c>
      <c r="M1078" s="3" t="str">
        <f aca="false">IFERROR(__xludf.dummyfunction("if($T1078&lt;&gt;"""",REGEXEXTRACT($T1078, M$1&amp;""[\w &amp;]*, (\d+\.\d+)""),"""")
"),"")</f>
        <v/>
      </c>
      <c r="N1078" s="3" t="str">
        <f aca="false">IFERROR(__xludf.dummyfunction("if($T1078&lt;&gt;"""",REGEXEXTRACT(SUBSTITUTE ($T1078,N$1&amp;"" CE"",""""), N$1&amp;""[\w &amp;]*, (\d+\.\d+)""),"""")
"),"")</f>
        <v/>
      </c>
      <c r="O1078" s="3" t="str">
        <f aca="false">IFERROR(__xludf.dummyfunction("if($T1078&lt;&gt;"""",REGEXEXTRACT($T1078, O$1&amp;""[\w &amp;]*, (\d+\.\d+)""),"""")
"),"")</f>
        <v/>
      </c>
      <c r="P1078" s="2"/>
      <c r="Q1078" s="2"/>
      <c r="R1078" s="2"/>
      <c r="S1078" s="2"/>
      <c r="T1078" s="5"/>
    </row>
    <row r="1079" customFormat="false" ht="15.75" hidden="false" customHeight="false" outlineLevel="0" collapsed="false">
      <c r="A1079" s="4"/>
      <c r="B1079" s="2"/>
      <c r="C1079" s="2"/>
      <c r="D1079" s="2"/>
      <c r="E1079" s="2"/>
      <c r="F1079" s="3" t="str">
        <f aca="false">IFERROR(__xludf.dummyfunction("if($T1079&lt;&gt;"""",REGEXEXTRACT(SUBSTITUTE ($T1079,F$1&amp;"" CE"",""""), F$1&amp;""[\w &amp;]*, (\d+\.\d+)""),"""")
"),"")</f>
        <v/>
      </c>
      <c r="G1079" s="3" t="str">
        <f aca="false">IFERROR(__xludf.dummyfunction("if($T1079&lt;&gt;"""",REGEXEXTRACT($T1079, G$1&amp;""[\w &amp;]*, (\d+\.\d+)""),"""")
"),"")</f>
        <v/>
      </c>
      <c r="H1079" s="3"/>
      <c r="I1079" s="3" t="str">
        <f aca="false">IFERROR(__xludf.dummyfunction("if($T1079&lt;&gt;"""",REGEXEXTRACT(SUBSTITUTE ($T1079,I$1&amp;"" CE"",""""), I$1&amp;""[\w &amp;]*, (\d+\.\d+)""),"""")
"),"")</f>
        <v/>
      </c>
      <c r="J1079" s="3" t="str">
        <f aca="false">IFERROR(__xludf.dummyfunction("if($T1079&lt;&gt;"""",REGEXEXTRACT($T1079, J$1&amp;""[\w &amp;]*, (\d+\.\d+)""),"""")
"),"")</f>
        <v/>
      </c>
      <c r="K1079" s="3"/>
      <c r="L1079" s="3" t="str">
        <f aca="false">IFERROR(__xludf.dummyfunction("if($T1079&lt;&gt;"""",REGEXEXTRACT(SUBSTITUTE ($T1079,L$1&amp;"" CE"",""""), L$1&amp;""[\w &amp;]*, (\d+\.\d+)""),"""")
"),"")</f>
        <v/>
      </c>
      <c r="M1079" s="3" t="str">
        <f aca="false">IFERROR(__xludf.dummyfunction("if($T1079&lt;&gt;"""",REGEXEXTRACT($T1079, M$1&amp;""[\w &amp;]*, (\d+\.\d+)""),"""")
"),"")</f>
        <v/>
      </c>
      <c r="N1079" s="3" t="str">
        <f aca="false">IFERROR(__xludf.dummyfunction("if($T1079&lt;&gt;"""",REGEXEXTRACT(SUBSTITUTE ($T1079,N$1&amp;"" CE"",""""), N$1&amp;""[\w &amp;]*, (\d+\.\d+)""),"""")
"),"")</f>
        <v/>
      </c>
      <c r="O1079" s="3" t="str">
        <f aca="false">IFERROR(__xludf.dummyfunction("if($T1079&lt;&gt;"""",REGEXEXTRACT($T1079, O$1&amp;""[\w &amp;]*, (\d+\.\d+)""),"""")
"),"")</f>
        <v/>
      </c>
      <c r="P1079" s="2"/>
      <c r="Q1079" s="2"/>
      <c r="R1079" s="2"/>
      <c r="S1079" s="2"/>
      <c r="T1079" s="5"/>
    </row>
    <row r="1080" customFormat="false" ht="15.75" hidden="false" customHeight="false" outlineLevel="0" collapsed="false">
      <c r="A1080" s="4"/>
      <c r="B1080" s="2"/>
      <c r="C1080" s="2"/>
      <c r="D1080" s="2"/>
      <c r="E1080" s="2"/>
      <c r="F1080" s="3" t="str">
        <f aca="false">IFERROR(__xludf.dummyfunction("if($T1080&lt;&gt;"""",REGEXEXTRACT(SUBSTITUTE ($T1080,F$1&amp;"" CE"",""""), F$1&amp;""[\w &amp;]*, (\d+\.\d+)""),"""")
"),"")</f>
        <v/>
      </c>
      <c r="G1080" s="3" t="str">
        <f aca="false">IFERROR(__xludf.dummyfunction("if($T1080&lt;&gt;"""",REGEXEXTRACT($T1080, G$1&amp;""[\w &amp;]*, (\d+\.\d+)""),"""")
"),"")</f>
        <v/>
      </c>
      <c r="H1080" s="3"/>
      <c r="I1080" s="3" t="str">
        <f aca="false">IFERROR(__xludf.dummyfunction("if($T1080&lt;&gt;"""",REGEXEXTRACT(SUBSTITUTE ($T1080,I$1&amp;"" CE"",""""), I$1&amp;""[\w &amp;]*, (\d+\.\d+)""),"""")
"),"")</f>
        <v/>
      </c>
      <c r="J1080" s="3" t="str">
        <f aca="false">IFERROR(__xludf.dummyfunction("if($T1080&lt;&gt;"""",REGEXEXTRACT($T1080, J$1&amp;""[\w &amp;]*, (\d+\.\d+)""),"""")
"),"")</f>
        <v/>
      </c>
      <c r="K1080" s="3"/>
      <c r="L1080" s="3" t="str">
        <f aca="false">IFERROR(__xludf.dummyfunction("if($T1080&lt;&gt;"""",REGEXEXTRACT(SUBSTITUTE ($T1080,L$1&amp;"" CE"",""""), L$1&amp;""[\w &amp;]*, (\d+\.\d+)""),"""")
"),"")</f>
        <v/>
      </c>
      <c r="M1080" s="3" t="str">
        <f aca="false">IFERROR(__xludf.dummyfunction("if($T1080&lt;&gt;"""",REGEXEXTRACT($T1080, M$1&amp;""[\w &amp;]*, (\d+\.\d+)""),"""")
"),"")</f>
        <v/>
      </c>
      <c r="N1080" s="3" t="str">
        <f aca="false">IFERROR(__xludf.dummyfunction("if($T1080&lt;&gt;"""",REGEXEXTRACT(SUBSTITUTE ($T1080,N$1&amp;"" CE"",""""), N$1&amp;""[\w &amp;]*, (\d+\.\d+)""),"""")
"),"")</f>
        <v/>
      </c>
      <c r="O1080" s="3" t="str">
        <f aca="false">IFERROR(__xludf.dummyfunction("if($T1080&lt;&gt;"""",REGEXEXTRACT($T1080, O$1&amp;""[\w &amp;]*, (\d+\.\d+)""),"""")
"),"")</f>
        <v/>
      </c>
      <c r="P1080" s="2"/>
      <c r="Q1080" s="2"/>
      <c r="R1080" s="2"/>
      <c r="S1080" s="2"/>
      <c r="T1080" s="5"/>
    </row>
    <row r="1081" customFormat="false" ht="15.75" hidden="false" customHeight="false" outlineLevel="0" collapsed="false">
      <c r="A1081" s="4"/>
      <c r="B1081" s="2"/>
      <c r="C1081" s="2"/>
      <c r="D1081" s="2"/>
      <c r="E1081" s="2"/>
      <c r="F1081" s="3" t="str">
        <f aca="false">IFERROR(__xludf.dummyfunction("if($T1081&lt;&gt;"""",REGEXEXTRACT(SUBSTITUTE ($T1081,F$1&amp;"" CE"",""""), F$1&amp;""[\w &amp;]*, (\d+\.\d+)""),"""")
"),"")</f>
        <v/>
      </c>
      <c r="G1081" s="3" t="str">
        <f aca="false">IFERROR(__xludf.dummyfunction("if($T1081&lt;&gt;"""",REGEXEXTRACT($T1081, G$1&amp;""[\w &amp;]*, (\d+\.\d+)""),"""")
"),"")</f>
        <v/>
      </c>
      <c r="H1081" s="3"/>
      <c r="I1081" s="3" t="str">
        <f aca="false">IFERROR(__xludf.dummyfunction("if($T1081&lt;&gt;"""",REGEXEXTRACT(SUBSTITUTE ($T1081,I$1&amp;"" CE"",""""), I$1&amp;""[\w &amp;]*, (\d+\.\d+)""),"""")
"),"")</f>
        <v/>
      </c>
      <c r="J1081" s="3" t="str">
        <f aca="false">IFERROR(__xludf.dummyfunction("if($T1081&lt;&gt;"""",REGEXEXTRACT($T1081, J$1&amp;""[\w &amp;]*, (\d+\.\d+)""),"""")
"),"")</f>
        <v/>
      </c>
      <c r="K1081" s="3"/>
      <c r="L1081" s="3" t="str">
        <f aca="false">IFERROR(__xludf.dummyfunction("if($T1081&lt;&gt;"""",REGEXEXTRACT(SUBSTITUTE ($T1081,L$1&amp;"" CE"",""""), L$1&amp;""[\w &amp;]*, (\d+\.\d+)""),"""")
"),"")</f>
        <v/>
      </c>
      <c r="M1081" s="3" t="str">
        <f aca="false">IFERROR(__xludf.dummyfunction("if($T1081&lt;&gt;"""",REGEXEXTRACT($T1081, M$1&amp;""[\w &amp;]*, (\d+\.\d+)""),"""")
"),"")</f>
        <v/>
      </c>
      <c r="N1081" s="3" t="str">
        <f aca="false">IFERROR(__xludf.dummyfunction("if($T1081&lt;&gt;"""",REGEXEXTRACT(SUBSTITUTE ($T1081,N$1&amp;"" CE"",""""), N$1&amp;""[\w &amp;]*, (\d+\.\d+)""),"""")
"),"")</f>
        <v/>
      </c>
      <c r="O1081" s="3" t="str">
        <f aca="false">IFERROR(__xludf.dummyfunction("if($T1081&lt;&gt;"""",REGEXEXTRACT($T1081, O$1&amp;""[\w &amp;]*, (\d+\.\d+)""),"""")
"),"")</f>
        <v/>
      </c>
      <c r="P1081" s="2"/>
      <c r="Q1081" s="2"/>
      <c r="R1081" s="2"/>
      <c r="S1081" s="2"/>
      <c r="T1081" s="5"/>
    </row>
    <row r="1082" customFormat="false" ht="15.75" hidden="false" customHeight="false" outlineLevel="0" collapsed="false">
      <c r="A1082" s="4"/>
      <c r="B1082" s="2"/>
      <c r="C1082" s="2"/>
      <c r="D1082" s="2"/>
      <c r="E1082" s="2"/>
      <c r="F1082" s="3" t="str">
        <f aca="false">IFERROR(__xludf.dummyfunction("if($T1082&lt;&gt;"""",REGEXEXTRACT(SUBSTITUTE ($T1082,F$1&amp;"" CE"",""""), F$1&amp;""[\w &amp;]*, (\d+\.\d+)""),"""")
"),"")</f>
        <v/>
      </c>
      <c r="G1082" s="3" t="str">
        <f aca="false">IFERROR(__xludf.dummyfunction("if($T1082&lt;&gt;"""",REGEXEXTRACT($T1082, G$1&amp;""[\w &amp;]*, (\d+\.\d+)""),"""")
"),"")</f>
        <v/>
      </c>
      <c r="H1082" s="3"/>
      <c r="I1082" s="3" t="str">
        <f aca="false">IFERROR(__xludf.dummyfunction("if($T1082&lt;&gt;"""",REGEXEXTRACT(SUBSTITUTE ($T1082,I$1&amp;"" CE"",""""), I$1&amp;""[\w &amp;]*, (\d+\.\d+)""),"""")
"),"")</f>
        <v/>
      </c>
      <c r="J1082" s="3" t="str">
        <f aca="false">IFERROR(__xludf.dummyfunction("if($T1082&lt;&gt;"""",REGEXEXTRACT($T1082, J$1&amp;""[\w &amp;]*, (\d+\.\d+)""),"""")
"),"")</f>
        <v/>
      </c>
      <c r="K1082" s="3"/>
      <c r="L1082" s="3" t="str">
        <f aca="false">IFERROR(__xludf.dummyfunction("if($T1082&lt;&gt;"""",REGEXEXTRACT(SUBSTITUTE ($T1082,L$1&amp;"" CE"",""""), L$1&amp;""[\w &amp;]*, (\d+\.\d+)""),"""")
"),"")</f>
        <v/>
      </c>
      <c r="M1082" s="3" t="str">
        <f aca="false">IFERROR(__xludf.dummyfunction("if($T1082&lt;&gt;"""",REGEXEXTRACT($T1082, M$1&amp;""[\w &amp;]*, (\d+\.\d+)""),"""")
"),"")</f>
        <v/>
      </c>
      <c r="N1082" s="3" t="str">
        <f aca="false">IFERROR(__xludf.dummyfunction("if($T1082&lt;&gt;"""",REGEXEXTRACT(SUBSTITUTE ($T1082,N$1&amp;"" CE"",""""), N$1&amp;""[\w &amp;]*, (\d+\.\d+)""),"""")
"),"")</f>
        <v/>
      </c>
      <c r="O1082" s="3" t="str">
        <f aca="false">IFERROR(__xludf.dummyfunction("if($T1082&lt;&gt;"""",REGEXEXTRACT($T1082, O$1&amp;""[\w &amp;]*, (\d+\.\d+)""),"""")
"),"")</f>
        <v/>
      </c>
      <c r="P1082" s="2"/>
      <c r="Q1082" s="2"/>
      <c r="R1082" s="2"/>
      <c r="S1082" s="2"/>
      <c r="T1082" s="5"/>
    </row>
    <row r="1083" customFormat="false" ht="15.75" hidden="false" customHeight="false" outlineLevel="0" collapsed="false">
      <c r="A1083" s="4"/>
      <c r="B1083" s="2"/>
      <c r="C1083" s="2"/>
      <c r="D1083" s="2"/>
      <c r="E1083" s="2"/>
      <c r="F1083" s="3" t="str">
        <f aca="false">IFERROR(__xludf.dummyfunction("if($T1083&lt;&gt;"""",REGEXEXTRACT(SUBSTITUTE ($T1083,F$1&amp;"" CE"",""""), F$1&amp;""[\w &amp;]*, (\d+\.\d+)""),"""")
"),"")</f>
        <v/>
      </c>
      <c r="G1083" s="3" t="str">
        <f aca="false">IFERROR(__xludf.dummyfunction("if($T1083&lt;&gt;"""",REGEXEXTRACT($T1083, G$1&amp;""[\w &amp;]*, (\d+\.\d+)""),"""")
"),"")</f>
        <v/>
      </c>
      <c r="H1083" s="3"/>
      <c r="I1083" s="3" t="str">
        <f aca="false">IFERROR(__xludf.dummyfunction("if($T1083&lt;&gt;"""",REGEXEXTRACT(SUBSTITUTE ($T1083,I$1&amp;"" CE"",""""), I$1&amp;""[\w &amp;]*, (\d+\.\d+)""),"""")
"),"")</f>
        <v/>
      </c>
      <c r="J1083" s="3" t="str">
        <f aca="false">IFERROR(__xludf.dummyfunction("if($T1083&lt;&gt;"""",REGEXEXTRACT($T1083, J$1&amp;""[\w &amp;]*, (\d+\.\d+)""),"""")
"),"")</f>
        <v/>
      </c>
      <c r="K1083" s="3"/>
      <c r="L1083" s="3" t="str">
        <f aca="false">IFERROR(__xludf.dummyfunction("if($T1083&lt;&gt;"""",REGEXEXTRACT(SUBSTITUTE ($T1083,L$1&amp;"" CE"",""""), L$1&amp;""[\w &amp;]*, (\d+\.\d+)""),"""")
"),"")</f>
        <v/>
      </c>
      <c r="M1083" s="3" t="str">
        <f aca="false">IFERROR(__xludf.dummyfunction("if($T1083&lt;&gt;"""",REGEXEXTRACT($T1083, M$1&amp;""[\w &amp;]*, (\d+\.\d+)""),"""")
"),"")</f>
        <v/>
      </c>
      <c r="N1083" s="3" t="str">
        <f aca="false">IFERROR(__xludf.dummyfunction("if($T1083&lt;&gt;"""",REGEXEXTRACT(SUBSTITUTE ($T1083,N$1&amp;"" CE"",""""), N$1&amp;""[\w &amp;]*, (\d+\.\d+)""),"""")
"),"")</f>
        <v/>
      </c>
      <c r="O1083" s="3" t="str">
        <f aca="false">IFERROR(__xludf.dummyfunction("if($T1083&lt;&gt;"""",REGEXEXTRACT($T1083, O$1&amp;""[\w &amp;]*, (\d+\.\d+)""),"""")
"),"")</f>
        <v/>
      </c>
      <c r="P1083" s="2"/>
      <c r="Q1083" s="2"/>
      <c r="R1083" s="2"/>
      <c r="S1083" s="2"/>
      <c r="T1083" s="5"/>
    </row>
    <row r="1084" customFormat="false" ht="15.75" hidden="false" customHeight="false" outlineLevel="0" collapsed="false">
      <c r="A1084" s="4"/>
      <c r="B1084" s="2"/>
      <c r="C1084" s="2"/>
      <c r="D1084" s="2"/>
      <c r="E1084" s="2"/>
      <c r="F1084" s="3" t="str">
        <f aca="false">IFERROR(__xludf.dummyfunction("if($T1084&lt;&gt;"""",REGEXEXTRACT(SUBSTITUTE ($T1084,F$1&amp;"" CE"",""""), F$1&amp;""[\w &amp;]*, (\d+\.\d+)""),"""")
"),"")</f>
        <v/>
      </c>
      <c r="G1084" s="3" t="str">
        <f aca="false">IFERROR(__xludf.dummyfunction("if($T1084&lt;&gt;"""",REGEXEXTRACT($T1084, G$1&amp;""[\w &amp;]*, (\d+\.\d+)""),"""")
"),"")</f>
        <v/>
      </c>
      <c r="H1084" s="3"/>
      <c r="I1084" s="3" t="str">
        <f aca="false">IFERROR(__xludf.dummyfunction("if($T1084&lt;&gt;"""",REGEXEXTRACT(SUBSTITUTE ($T1084,I$1&amp;"" CE"",""""), I$1&amp;""[\w &amp;]*, (\d+\.\d+)""),"""")
"),"")</f>
        <v/>
      </c>
      <c r="J1084" s="3" t="str">
        <f aca="false">IFERROR(__xludf.dummyfunction("if($T1084&lt;&gt;"""",REGEXEXTRACT($T1084, J$1&amp;""[\w &amp;]*, (\d+\.\d+)""),"""")
"),"")</f>
        <v/>
      </c>
      <c r="K1084" s="3"/>
      <c r="L1084" s="3" t="str">
        <f aca="false">IFERROR(__xludf.dummyfunction("if($T1084&lt;&gt;"""",REGEXEXTRACT(SUBSTITUTE ($T1084,L$1&amp;"" CE"",""""), L$1&amp;""[\w &amp;]*, (\d+\.\d+)""),"""")
"),"")</f>
        <v/>
      </c>
      <c r="M1084" s="3" t="str">
        <f aca="false">IFERROR(__xludf.dummyfunction("if($T1084&lt;&gt;"""",REGEXEXTRACT($T1084, M$1&amp;""[\w &amp;]*, (\d+\.\d+)""),"""")
"),"")</f>
        <v/>
      </c>
      <c r="N1084" s="3" t="str">
        <f aca="false">IFERROR(__xludf.dummyfunction("if($T1084&lt;&gt;"""",REGEXEXTRACT(SUBSTITUTE ($T1084,N$1&amp;"" CE"",""""), N$1&amp;""[\w &amp;]*, (\d+\.\d+)""),"""")
"),"")</f>
        <v/>
      </c>
      <c r="O1084" s="3" t="str">
        <f aca="false">IFERROR(__xludf.dummyfunction("if($T1084&lt;&gt;"""",REGEXEXTRACT($T1084, O$1&amp;""[\w &amp;]*, (\d+\.\d+)""),"""")
"),"")</f>
        <v/>
      </c>
      <c r="P1084" s="2"/>
      <c r="Q1084" s="2"/>
      <c r="R1084" s="2"/>
      <c r="S1084" s="2"/>
      <c r="T1084" s="5"/>
    </row>
    <row r="1085" customFormat="false" ht="15.75" hidden="false" customHeight="false" outlineLevel="0" collapsed="false">
      <c r="A1085" s="4"/>
      <c r="B1085" s="2"/>
      <c r="C1085" s="2"/>
      <c r="D1085" s="2"/>
      <c r="E1085" s="2"/>
      <c r="F1085" s="3" t="str">
        <f aca="false">IFERROR(__xludf.dummyfunction("if($T1085&lt;&gt;"""",REGEXEXTRACT(SUBSTITUTE ($T1085,F$1&amp;"" CE"",""""), F$1&amp;""[\w &amp;]*, (\d+\.\d+)""),"""")
"),"")</f>
        <v/>
      </c>
      <c r="G1085" s="3" t="str">
        <f aca="false">IFERROR(__xludf.dummyfunction("if($T1085&lt;&gt;"""",REGEXEXTRACT($T1085, G$1&amp;""[\w &amp;]*, (\d+\.\d+)""),"""")
"),"")</f>
        <v/>
      </c>
      <c r="H1085" s="3"/>
      <c r="I1085" s="3" t="str">
        <f aca="false">IFERROR(__xludf.dummyfunction("if($T1085&lt;&gt;"""",REGEXEXTRACT(SUBSTITUTE ($T1085,I$1&amp;"" CE"",""""), I$1&amp;""[\w &amp;]*, (\d+\.\d+)""),"""")
"),"")</f>
        <v/>
      </c>
      <c r="J1085" s="3" t="str">
        <f aca="false">IFERROR(__xludf.dummyfunction("if($T1085&lt;&gt;"""",REGEXEXTRACT($T1085, J$1&amp;""[\w &amp;]*, (\d+\.\d+)""),"""")
"),"")</f>
        <v/>
      </c>
      <c r="K1085" s="3"/>
      <c r="L1085" s="3" t="str">
        <f aca="false">IFERROR(__xludf.dummyfunction("if($T1085&lt;&gt;"""",REGEXEXTRACT(SUBSTITUTE ($T1085,L$1&amp;"" CE"",""""), L$1&amp;""[\w &amp;]*, (\d+\.\d+)""),"""")
"),"")</f>
        <v/>
      </c>
      <c r="M1085" s="3" t="str">
        <f aca="false">IFERROR(__xludf.dummyfunction("if($T1085&lt;&gt;"""",REGEXEXTRACT($T1085, M$1&amp;""[\w &amp;]*, (\d+\.\d+)""),"""")
"),"")</f>
        <v/>
      </c>
      <c r="N1085" s="3" t="str">
        <f aca="false">IFERROR(__xludf.dummyfunction("if($T1085&lt;&gt;"""",REGEXEXTRACT(SUBSTITUTE ($T1085,N$1&amp;"" CE"",""""), N$1&amp;""[\w &amp;]*, (\d+\.\d+)""),"""")
"),"")</f>
        <v/>
      </c>
      <c r="O1085" s="3" t="str">
        <f aca="false">IFERROR(__xludf.dummyfunction("if($T1085&lt;&gt;"""",REGEXEXTRACT($T1085, O$1&amp;""[\w &amp;]*, (\d+\.\d+)""),"""")
"),"")</f>
        <v/>
      </c>
      <c r="P1085" s="2"/>
      <c r="Q1085" s="2"/>
      <c r="R1085" s="2"/>
      <c r="S1085" s="2"/>
      <c r="T1085" s="5"/>
    </row>
    <row r="1086" customFormat="false" ht="15.75" hidden="false" customHeight="false" outlineLevel="0" collapsed="false">
      <c r="A1086" s="4"/>
      <c r="B1086" s="2"/>
      <c r="C1086" s="2"/>
      <c r="D1086" s="2"/>
      <c r="E1086" s="2"/>
      <c r="F1086" s="3" t="str">
        <f aca="false">IFERROR(__xludf.dummyfunction("if($T1086&lt;&gt;"""",REGEXEXTRACT(SUBSTITUTE ($T1086,F$1&amp;"" CE"",""""), F$1&amp;""[\w &amp;]*, (\d+\.\d+)""),"""")
"),"")</f>
        <v/>
      </c>
      <c r="G1086" s="3" t="str">
        <f aca="false">IFERROR(__xludf.dummyfunction("if($T1086&lt;&gt;"""",REGEXEXTRACT($T1086, G$1&amp;""[\w &amp;]*, (\d+\.\d+)""),"""")
"),"")</f>
        <v/>
      </c>
      <c r="H1086" s="3"/>
      <c r="I1086" s="3" t="str">
        <f aca="false">IFERROR(__xludf.dummyfunction("if($T1086&lt;&gt;"""",REGEXEXTRACT(SUBSTITUTE ($T1086,I$1&amp;"" CE"",""""), I$1&amp;""[\w &amp;]*, (\d+\.\d+)""),"""")
"),"")</f>
        <v/>
      </c>
      <c r="J1086" s="3" t="str">
        <f aca="false">IFERROR(__xludf.dummyfunction("if($T1086&lt;&gt;"""",REGEXEXTRACT($T1086, J$1&amp;""[\w &amp;]*, (\d+\.\d+)""),"""")
"),"")</f>
        <v/>
      </c>
      <c r="K1086" s="3"/>
      <c r="L1086" s="3" t="str">
        <f aca="false">IFERROR(__xludf.dummyfunction("if($T1086&lt;&gt;"""",REGEXEXTRACT(SUBSTITUTE ($T1086,L$1&amp;"" CE"",""""), L$1&amp;""[\w &amp;]*, (\d+\.\d+)""),"""")
"),"")</f>
        <v/>
      </c>
      <c r="M1086" s="3" t="str">
        <f aca="false">IFERROR(__xludf.dummyfunction("if($T1086&lt;&gt;"""",REGEXEXTRACT($T1086, M$1&amp;""[\w &amp;]*, (\d+\.\d+)""),"""")
"),"")</f>
        <v/>
      </c>
      <c r="N1086" s="3" t="str">
        <f aca="false">IFERROR(__xludf.dummyfunction("if($T1086&lt;&gt;"""",REGEXEXTRACT(SUBSTITUTE ($T1086,N$1&amp;"" CE"",""""), N$1&amp;""[\w &amp;]*, (\d+\.\d+)""),"""")
"),"")</f>
        <v/>
      </c>
      <c r="O1086" s="3" t="str">
        <f aca="false">IFERROR(__xludf.dummyfunction("if($T1086&lt;&gt;"""",REGEXEXTRACT($T1086, O$1&amp;""[\w &amp;]*, (\d+\.\d+)""),"""")
"),"")</f>
        <v/>
      </c>
      <c r="P1086" s="2"/>
      <c r="Q1086" s="2"/>
      <c r="R1086" s="2"/>
      <c r="S1086" s="2"/>
      <c r="T1086" s="5"/>
    </row>
    <row r="1087" customFormat="false" ht="15.75" hidden="false" customHeight="false" outlineLevel="0" collapsed="false">
      <c r="A1087" s="4"/>
      <c r="B1087" s="2"/>
      <c r="C1087" s="2"/>
      <c r="D1087" s="2"/>
      <c r="E1087" s="2"/>
      <c r="F1087" s="3" t="str">
        <f aca="false">IFERROR(__xludf.dummyfunction("if($T1087&lt;&gt;"""",REGEXEXTRACT(SUBSTITUTE ($T1087,F$1&amp;"" CE"",""""), F$1&amp;""[\w &amp;]*, (\d+\.\d+)""),"""")
"),"")</f>
        <v/>
      </c>
      <c r="G1087" s="3" t="str">
        <f aca="false">IFERROR(__xludf.dummyfunction("if($T1087&lt;&gt;"""",REGEXEXTRACT($T1087, G$1&amp;""[\w &amp;]*, (\d+\.\d+)""),"""")
"),"")</f>
        <v/>
      </c>
      <c r="H1087" s="3"/>
      <c r="I1087" s="3" t="str">
        <f aca="false">IFERROR(__xludf.dummyfunction("if($T1087&lt;&gt;"""",REGEXEXTRACT(SUBSTITUTE ($T1087,I$1&amp;"" CE"",""""), I$1&amp;""[\w &amp;]*, (\d+\.\d+)""),"""")
"),"")</f>
        <v/>
      </c>
      <c r="J1087" s="3" t="str">
        <f aca="false">IFERROR(__xludf.dummyfunction("if($T1087&lt;&gt;"""",REGEXEXTRACT($T1087, J$1&amp;""[\w &amp;]*, (\d+\.\d+)""),"""")
"),"")</f>
        <v/>
      </c>
      <c r="K1087" s="3"/>
      <c r="L1087" s="3" t="str">
        <f aca="false">IFERROR(__xludf.dummyfunction("if($T1087&lt;&gt;"""",REGEXEXTRACT(SUBSTITUTE ($T1087,L$1&amp;"" CE"",""""), L$1&amp;""[\w &amp;]*, (\d+\.\d+)""),"""")
"),"")</f>
        <v/>
      </c>
      <c r="M1087" s="3" t="str">
        <f aca="false">IFERROR(__xludf.dummyfunction("if($T1087&lt;&gt;"""",REGEXEXTRACT($T1087, M$1&amp;""[\w &amp;]*, (\d+\.\d+)""),"""")
"),"")</f>
        <v/>
      </c>
      <c r="N1087" s="3" t="str">
        <f aca="false">IFERROR(__xludf.dummyfunction("if($T1087&lt;&gt;"""",REGEXEXTRACT(SUBSTITUTE ($T1087,N$1&amp;"" CE"",""""), N$1&amp;""[\w &amp;]*, (\d+\.\d+)""),"""")
"),"")</f>
        <v/>
      </c>
      <c r="O1087" s="3" t="str">
        <f aca="false">IFERROR(__xludf.dummyfunction("if($T1087&lt;&gt;"""",REGEXEXTRACT($T1087, O$1&amp;""[\w &amp;]*, (\d+\.\d+)""),"""")
"),"")</f>
        <v/>
      </c>
      <c r="P1087" s="2"/>
      <c r="Q1087" s="2"/>
      <c r="R1087" s="2"/>
      <c r="S1087" s="2"/>
      <c r="T1087" s="5"/>
    </row>
    <row r="1088" customFormat="false" ht="15.75" hidden="false" customHeight="false" outlineLevel="0" collapsed="false">
      <c r="A1088" s="4"/>
      <c r="B1088" s="2"/>
      <c r="C1088" s="2"/>
      <c r="D1088" s="2"/>
      <c r="E1088" s="2"/>
      <c r="F1088" s="3" t="str">
        <f aca="false">IFERROR(__xludf.dummyfunction("if($T1088&lt;&gt;"""",REGEXEXTRACT(SUBSTITUTE ($T1088,F$1&amp;"" CE"",""""), F$1&amp;""[\w &amp;]*, (\d+\.\d+)""),"""")
"),"")</f>
        <v/>
      </c>
      <c r="G1088" s="3" t="str">
        <f aca="false">IFERROR(__xludf.dummyfunction("if($T1088&lt;&gt;"""",REGEXEXTRACT($T1088, G$1&amp;""[\w &amp;]*, (\d+\.\d+)""),"""")
"),"")</f>
        <v/>
      </c>
      <c r="H1088" s="3"/>
      <c r="I1088" s="3" t="str">
        <f aca="false">IFERROR(__xludf.dummyfunction("if($T1088&lt;&gt;"""",REGEXEXTRACT(SUBSTITUTE ($T1088,I$1&amp;"" CE"",""""), I$1&amp;""[\w &amp;]*, (\d+\.\d+)""),"""")
"),"")</f>
        <v/>
      </c>
      <c r="J1088" s="3" t="str">
        <f aca="false">IFERROR(__xludf.dummyfunction("if($T1088&lt;&gt;"""",REGEXEXTRACT($T1088, J$1&amp;""[\w &amp;]*, (\d+\.\d+)""),"""")
"),"")</f>
        <v/>
      </c>
      <c r="K1088" s="3"/>
      <c r="L1088" s="3" t="str">
        <f aca="false">IFERROR(__xludf.dummyfunction("if($T1088&lt;&gt;"""",REGEXEXTRACT(SUBSTITUTE ($T1088,L$1&amp;"" CE"",""""), L$1&amp;""[\w &amp;]*, (\d+\.\d+)""),"""")
"),"")</f>
        <v/>
      </c>
      <c r="M1088" s="3" t="str">
        <f aca="false">IFERROR(__xludf.dummyfunction("if($T1088&lt;&gt;"""",REGEXEXTRACT($T1088, M$1&amp;""[\w &amp;]*, (\d+\.\d+)""),"""")
"),"")</f>
        <v/>
      </c>
      <c r="N1088" s="3" t="str">
        <f aca="false">IFERROR(__xludf.dummyfunction("if($T1088&lt;&gt;"""",REGEXEXTRACT(SUBSTITUTE ($T1088,N$1&amp;"" CE"",""""), N$1&amp;""[\w &amp;]*, (\d+\.\d+)""),"""")
"),"")</f>
        <v/>
      </c>
      <c r="O1088" s="3" t="str">
        <f aca="false">IFERROR(__xludf.dummyfunction("if($T1088&lt;&gt;"""",REGEXEXTRACT($T1088, O$1&amp;""[\w &amp;]*, (\d+\.\d+)""),"""")
"),"")</f>
        <v/>
      </c>
      <c r="P1088" s="2"/>
      <c r="Q1088" s="2"/>
      <c r="R1088" s="2"/>
      <c r="S1088" s="2"/>
      <c r="T1088" s="5"/>
    </row>
    <row r="1089" customFormat="false" ht="15.75" hidden="false" customHeight="false" outlineLevel="0" collapsed="false">
      <c r="A1089" s="4"/>
      <c r="B1089" s="2"/>
      <c r="C1089" s="2"/>
      <c r="D1089" s="2"/>
      <c r="E1089" s="2"/>
      <c r="F1089" s="3" t="str">
        <f aca="false">IFERROR(__xludf.dummyfunction("if($T1089&lt;&gt;"""",REGEXEXTRACT(SUBSTITUTE ($T1089,F$1&amp;"" CE"",""""), F$1&amp;""[\w &amp;]*, (\d+\.\d+)""),"""")
"),"")</f>
        <v/>
      </c>
      <c r="G1089" s="3" t="str">
        <f aca="false">IFERROR(__xludf.dummyfunction("if($T1089&lt;&gt;"""",REGEXEXTRACT($T1089, G$1&amp;""[\w &amp;]*, (\d+\.\d+)""),"""")
"),"")</f>
        <v/>
      </c>
      <c r="H1089" s="3"/>
      <c r="I1089" s="3" t="str">
        <f aca="false">IFERROR(__xludf.dummyfunction("if($T1089&lt;&gt;"""",REGEXEXTRACT(SUBSTITUTE ($T1089,I$1&amp;"" CE"",""""), I$1&amp;""[\w &amp;]*, (\d+\.\d+)""),"""")
"),"")</f>
        <v/>
      </c>
      <c r="J1089" s="3" t="str">
        <f aca="false">IFERROR(__xludf.dummyfunction("if($T1089&lt;&gt;"""",REGEXEXTRACT($T1089, J$1&amp;""[\w &amp;]*, (\d+\.\d+)""),"""")
"),"")</f>
        <v/>
      </c>
      <c r="K1089" s="3"/>
      <c r="L1089" s="3" t="str">
        <f aca="false">IFERROR(__xludf.dummyfunction("if($T1089&lt;&gt;"""",REGEXEXTRACT(SUBSTITUTE ($T1089,L$1&amp;"" CE"",""""), L$1&amp;""[\w &amp;]*, (\d+\.\d+)""),"""")
"),"")</f>
        <v/>
      </c>
      <c r="M1089" s="3" t="str">
        <f aca="false">IFERROR(__xludf.dummyfunction("if($T1089&lt;&gt;"""",REGEXEXTRACT($T1089, M$1&amp;""[\w &amp;]*, (\d+\.\d+)""),"""")
"),"")</f>
        <v/>
      </c>
      <c r="N1089" s="3" t="str">
        <f aca="false">IFERROR(__xludf.dummyfunction("if($T1089&lt;&gt;"""",REGEXEXTRACT(SUBSTITUTE ($T1089,N$1&amp;"" CE"",""""), N$1&amp;""[\w &amp;]*, (\d+\.\d+)""),"""")
"),"")</f>
        <v/>
      </c>
      <c r="O1089" s="3" t="str">
        <f aca="false">IFERROR(__xludf.dummyfunction("if($T1089&lt;&gt;"""",REGEXEXTRACT($T1089, O$1&amp;""[\w &amp;]*, (\d+\.\d+)""),"""")
"),"")</f>
        <v/>
      </c>
      <c r="P1089" s="2"/>
      <c r="Q1089" s="2"/>
      <c r="R1089" s="2"/>
      <c r="S1089" s="2"/>
      <c r="T1089" s="5"/>
    </row>
    <row r="1090" customFormat="false" ht="15.75" hidden="false" customHeight="false" outlineLevel="0" collapsed="false">
      <c r="A1090" s="4"/>
      <c r="B1090" s="2"/>
      <c r="C1090" s="2"/>
      <c r="D1090" s="2"/>
      <c r="E1090" s="2"/>
      <c r="F1090" s="3" t="str">
        <f aca="false">IFERROR(__xludf.dummyfunction("if($T1090&lt;&gt;"""",REGEXEXTRACT(SUBSTITUTE ($T1090,F$1&amp;"" CE"",""""), F$1&amp;""[\w &amp;]*, (\d+\.\d+)""),"""")
"),"")</f>
        <v/>
      </c>
      <c r="G1090" s="3" t="str">
        <f aca="false">IFERROR(__xludf.dummyfunction("if($T1090&lt;&gt;"""",REGEXEXTRACT($T1090, G$1&amp;""[\w &amp;]*, (\d+\.\d+)""),"""")
"),"")</f>
        <v/>
      </c>
      <c r="H1090" s="3"/>
      <c r="I1090" s="3" t="str">
        <f aca="false">IFERROR(__xludf.dummyfunction("if($T1090&lt;&gt;"""",REGEXEXTRACT(SUBSTITUTE ($T1090,I$1&amp;"" CE"",""""), I$1&amp;""[\w &amp;]*, (\d+\.\d+)""),"""")
"),"")</f>
        <v/>
      </c>
      <c r="J1090" s="3" t="str">
        <f aca="false">IFERROR(__xludf.dummyfunction("if($T1090&lt;&gt;"""",REGEXEXTRACT($T1090, J$1&amp;""[\w &amp;]*, (\d+\.\d+)""),"""")
"),"")</f>
        <v/>
      </c>
      <c r="K1090" s="3"/>
      <c r="L1090" s="3" t="str">
        <f aca="false">IFERROR(__xludf.dummyfunction("if($T1090&lt;&gt;"""",REGEXEXTRACT(SUBSTITUTE ($T1090,L$1&amp;"" CE"",""""), L$1&amp;""[\w &amp;]*, (\d+\.\d+)""),"""")
"),"")</f>
        <v/>
      </c>
      <c r="M1090" s="3" t="str">
        <f aca="false">IFERROR(__xludf.dummyfunction("if($T1090&lt;&gt;"""",REGEXEXTRACT($T1090, M$1&amp;""[\w &amp;]*, (\d+\.\d+)""),"""")
"),"")</f>
        <v/>
      </c>
      <c r="N1090" s="3" t="str">
        <f aca="false">IFERROR(__xludf.dummyfunction("if($T1090&lt;&gt;"""",REGEXEXTRACT(SUBSTITUTE ($T1090,N$1&amp;"" CE"",""""), N$1&amp;""[\w &amp;]*, (\d+\.\d+)""),"""")
"),"")</f>
        <v/>
      </c>
      <c r="O1090" s="3" t="str">
        <f aca="false">IFERROR(__xludf.dummyfunction("if($T1090&lt;&gt;"""",REGEXEXTRACT($T1090, O$1&amp;""[\w &amp;]*, (\d+\.\d+)""),"""")
"),"")</f>
        <v/>
      </c>
      <c r="P1090" s="2"/>
      <c r="Q1090" s="2"/>
      <c r="R1090" s="2"/>
      <c r="S1090" s="2"/>
      <c r="T1090" s="5"/>
    </row>
    <row r="1091" customFormat="false" ht="15.75" hidden="false" customHeight="false" outlineLevel="0" collapsed="false">
      <c r="A1091" s="4"/>
      <c r="B1091" s="2"/>
      <c r="C1091" s="2"/>
      <c r="D1091" s="2"/>
      <c r="E1091" s="2"/>
      <c r="F1091" s="3" t="str">
        <f aca="false">IFERROR(__xludf.dummyfunction("if($T1091&lt;&gt;"""",REGEXEXTRACT(SUBSTITUTE ($T1091,F$1&amp;"" CE"",""""), F$1&amp;""[\w &amp;]*, (\d+\.\d+)""),"""")
"),"")</f>
        <v/>
      </c>
      <c r="G1091" s="3" t="str">
        <f aca="false">IFERROR(__xludf.dummyfunction("if($T1091&lt;&gt;"""",REGEXEXTRACT($T1091, G$1&amp;""[\w &amp;]*, (\d+\.\d+)""),"""")
"),"")</f>
        <v/>
      </c>
      <c r="H1091" s="3"/>
      <c r="I1091" s="3" t="str">
        <f aca="false">IFERROR(__xludf.dummyfunction("if($T1091&lt;&gt;"""",REGEXEXTRACT(SUBSTITUTE ($T1091,I$1&amp;"" CE"",""""), I$1&amp;""[\w &amp;]*, (\d+\.\d+)""),"""")
"),"")</f>
        <v/>
      </c>
      <c r="J1091" s="3" t="str">
        <f aca="false">IFERROR(__xludf.dummyfunction("if($T1091&lt;&gt;"""",REGEXEXTRACT($T1091, J$1&amp;""[\w &amp;]*, (\d+\.\d+)""),"""")
"),"")</f>
        <v/>
      </c>
      <c r="K1091" s="3"/>
      <c r="L1091" s="3" t="str">
        <f aca="false">IFERROR(__xludf.dummyfunction("if($T1091&lt;&gt;"""",REGEXEXTRACT(SUBSTITUTE ($T1091,L$1&amp;"" CE"",""""), L$1&amp;""[\w &amp;]*, (\d+\.\d+)""),"""")
"),"")</f>
        <v/>
      </c>
      <c r="M1091" s="3" t="str">
        <f aca="false">IFERROR(__xludf.dummyfunction("if($T1091&lt;&gt;"""",REGEXEXTRACT($T1091, M$1&amp;""[\w &amp;]*, (\d+\.\d+)""),"""")
"),"")</f>
        <v/>
      </c>
      <c r="N1091" s="3" t="str">
        <f aca="false">IFERROR(__xludf.dummyfunction("if($T1091&lt;&gt;"""",REGEXEXTRACT(SUBSTITUTE ($T1091,N$1&amp;"" CE"",""""), N$1&amp;""[\w &amp;]*, (\d+\.\d+)""),"""")
"),"")</f>
        <v/>
      </c>
      <c r="O1091" s="3" t="str">
        <f aca="false">IFERROR(__xludf.dummyfunction("if($T1091&lt;&gt;"""",REGEXEXTRACT($T1091, O$1&amp;""[\w &amp;]*, (\d+\.\d+)""),"""")
"),"")</f>
        <v/>
      </c>
      <c r="P1091" s="2"/>
      <c r="Q1091" s="2"/>
      <c r="R1091" s="2"/>
      <c r="S1091" s="2"/>
      <c r="T1091" s="5"/>
    </row>
    <row r="1092" customFormat="false" ht="15.75" hidden="false" customHeight="false" outlineLevel="0" collapsed="false">
      <c r="A1092" s="4"/>
      <c r="B1092" s="2"/>
      <c r="C1092" s="2"/>
      <c r="D1092" s="2"/>
      <c r="E1092" s="2"/>
      <c r="F1092" s="3" t="str">
        <f aca="false">IFERROR(__xludf.dummyfunction("if($T1092&lt;&gt;"""",REGEXEXTRACT(SUBSTITUTE ($T1092,F$1&amp;"" CE"",""""), F$1&amp;""[\w &amp;]*, (\d+\.\d+)""),"""")
"),"")</f>
        <v/>
      </c>
      <c r="G1092" s="3" t="str">
        <f aca="false">IFERROR(__xludf.dummyfunction("if($T1092&lt;&gt;"""",REGEXEXTRACT($T1092, G$1&amp;""[\w &amp;]*, (\d+\.\d+)""),"""")
"),"")</f>
        <v/>
      </c>
      <c r="H1092" s="3"/>
      <c r="I1092" s="3" t="str">
        <f aca="false">IFERROR(__xludf.dummyfunction("if($T1092&lt;&gt;"""",REGEXEXTRACT(SUBSTITUTE ($T1092,I$1&amp;"" CE"",""""), I$1&amp;""[\w &amp;]*, (\d+\.\d+)""),"""")
"),"")</f>
        <v/>
      </c>
      <c r="J1092" s="3" t="str">
        <f aca="false">IFERROR(__xludf.dummyfunction("if($T1092&lt;&gt;"""",REGEXEXTRACT($T1092, J$1&amp;""[\w &amp;]*, (\d+\.\d+)""),"""")
"),"")</f>
        <v/>
      </c>
      <c r="K1092" s="3"/>
      <c r="L1092" s="3" t="str">
        <f aca="false">IFERROR(__xludf.dummyfunction("if($T1092&lt;&gt;"""",REGEXEXTRACT(SUBSTITUTE ($T1092,L$1&amp;"" CE"",""""), L$1&amp;""[\w &amp;]*, (\d+\.\d+)""),"""")
"),"")</f>
        <v/>
      </c>
      <c r="M1092" s="3" t="str">
        <f aca="false">IFERROR(__xludf.dummyfunction("if($T1092&lt;&gt;"""",REGEXEXTRACT($T1092, M$1&amp;""[\w &amp;]*, (\d+\.\d+)""),"""")
"),"")</f>
        <v/>
      </c>
      <c r="N1092" s="3" t="str">
        <f aca="false">IFERROR(__xludf.dummyfunction("if($T1092&lt;&gt;"""",REGEXEXTRACT(SUBSTITUTE ($T1092,N$1&amp;"" CE"",""""), N$1&amp;""[\w &amp;]*, (\d+\.\d+)""),"""")
"),"")</f>
        <v/>
      </c>
      <c r="O1092" s="3" t="str">
        <f aca="false">IFERROR(__xludf.dummyfunction("if($T1092&lt;&gt;"""",REGEXEXTRACT($T1092, O$1&amp;""[\w &amp;]*, (\d+\.\d+)""),"""")
"),"")</f>
        <v/>
      </c>
      <c r="P1092" s="2"/>
      <c r="Q1092" s="2"/>
      <c r="R1092" s="2"/>
      <c r="S1092" s="2"/>
      <c r="T1092" s="5"/>
    </row>
    <row r="1093" customFormat="false" ht="15.75" hidden="false" customHeight="false" outlineLevel="0" collapsed="false">
      <c r="A1093" s="4"/>
      <c r="B1093" s="2"/>
      <c r="C1093" s="2"/>
      <c r="D1093" s="2"/>
      <c r="E1093" s="2"/>
      <c r="F1093" s="3" t="str">
        <f aca="false">IFERROR(__xludf.dummyfunction("if($T1093&lt;&gt;"""",REGEXEXTRACT(SUBSTITUTE ($T1093,F$1&amp;"" CE"",""""), F$1&amp;""[\w &amp;]*, (\d+\.\d+)""),"""")
"),"")</f>
        <v/>
      </c>
      <c r="G1093" s="3" t="str">
        <f aca="false">IFERROR(__xludf.dummyfunction("if($T1093&lt;&gt;"""",REGEXEXTRACT($T1093, G$1&amp;""[\w &amp;]*, (\d+\.\d+)""),"""")
"),"")</f>
        <v/>
      </c>
      <c r="H1093" s="3"/>
      <c r="I1093" s="3" t="str">
        <f aca="false">IFERROR(__xludf.dummyfunction("if($T1093&lt;&gt;"""",REGEXEXTRACT(SUBSTITUTE ($T1093,I$1&amp;"" CE"",""""), I$1&amp;""[\w &amp;]*, (\d+\.\d+)""),"""")
"),"")</f>
        <v/>
      </c>
      <c r="J1093" s="3" t="str">
        <f aca="false">IFERROR(__xludf.dummyfunction("if($T1093&lt;&gt;"""",REGEXEXTRACT($T1093, J$1&amp;""[\w &amp;]*, (\d+\.\d+)""),"""")
"),"")</f>
        <v/>
      </c>
      <c r="K1093" s="3"/>
      <c r="L1093" s="3" t="str">
        <f aca="false">IFERROR(__xludf.dummyfunction("if($T1093&lt;&gt;"""",REGEXEXTRACT(SUBSTITUTE ($T1093,L$1&amp;"" CE"",""""), L$1&amp;""[\w &amp;]*, (\d+\.\d+)""),"""")
"),"")</f>
        <v/>
      </c>
      <c r="M1093" s="3" t="str">
        <f aca="false">IFERROR(__xludf.dummyfunction("if($T1093&lt;&gt;"""",REGEXEXTRACT($T1093, M$1&amp;""[\w &amp;]*, (\d+\.\d+)""),"""")
"),"")</f>
        <v/>
      </c>
      <c r="N1093" s="3" t="str">
        <f aca="false">IFERROR(__xludf.dummyfunction("if($T1093&lt;&gt;"""",REGEXEXTRACT(SUBSTITUTE ($T1093,N$1&amp;"" CE"",""""), N$1&amp;""[\w &amp;]*, (\d+\.\d+)""),"""")
"),"")</f>
        <v/>
      </c>
      <c r="O1093" s="3" t="str">
        <f aca="false">IFERROR(__xludf.dummyfunction("if($T1093&lt;&gt;"""",REGEXEXTRACT($T1093, O$1&amp;""[\w &amp;]*, (\d+\.\d+)""),"""")
"),"")</f>
        <v/>
      </c>
      <c r="P1093" s="2"/>
      <c r="Q1093" s="2"/>
      <c r="R1093" s="2"/>
      <c r="S1093" s="2"/>
      <c r="T1093" s="5"/>
    </row>
    <row r="1094" customFormat="false" ht="15.75" hidden="false" customHeight="false" outlineLevel="0" collapsed="false">
      <c r="A1094" s="4"/>
      <c r="B1094" s="2"/>
      <c r="C1094" s="2"/>
      <c r="D1094" s="2"/>
      <c r="E1094" s="2"/>
      <c r="F1094" s="3" t="str">
        <f aca="false">IFERROR(__xludf.dummyfunction("if($T1094&lt;&gt;"""",REGEXEXTRACT(SUBSTITUTE ($T1094,F$1&amp;"" CE"",""""), F$1&amp;""[\w &amp;]*, (\d+\.\d+)""),"""")
"),"")</f>
        <v/>
      </c>
      <c r="G1094" s="3" t="str">
        <f aca="false">IFERROR(__xludf.dummyfunction("if($T1094&lt;&gt;"""",REGEXEXTRACT($T1094, G$1&amp;""[\w &amp;]*, (\d+\.\d+)""),"""")
"),"")</f>
        <v/>
      </c>
      <c r="H1094" s="3"/>
      <c r="I1094" s="3" t="str">
        <f aca="false">IFERROR(__xludf.dummyfunction("if($T1094&lt;&gt;"""",REGEXEXTRACT(SUBSTITUTE ($T1094,I$1&amp;"" CE"",""""), I$1&amp;""[\w &amp;]*, (\d+\.\d+)""),"""")
"),"")</f>
        <v/>
      </c>
      <c r="J1094" s="3" t="str">
        <f aca="false">IFERROR(__xludf.dummyfunction("if($T1094&lt;&gt;"""",REGEXEXTRACT($T1094, J$1&amp;""[\w &amp;]*, (\d+\.\d+)""),"""")
"),"")</f>
        <v/>
      </c>
      <c r="K1094" s="3"/>
      <c r="L1094" s="3" t="str">
        <f aca="false">IFERROR(__xludf.dummyfunction("if($T1094&lt;&gt;"""",REGEXEXTRACT(SUBSTITUTE ($T1094,L$1&amp;"" CE"",""""), L$1&amp;""[\w &amp;]*, (\d+\.\d+)""),"""")
"),"")</f>
        <v/>
      </c>
      <c r="M1094" s="3" t="str">
        <f aca="false">IFERROR(__xludf.dummyfunction("if($T1094&lt;&gt;"""",REGEXEXTRACT($T1094, M$1&amp;""[\w &amp;]*, (\d+\.\d+)""),"""")
"),"")</f>
        <v/>
      </c>
      <c r="N1094" s="3" t="str">
        <f aca="false">IFERROR(__xludf.dummyfunction("if($T1094&lt;&gt;"""",REGEXEXTRACT(SUBSTITUTE ($T1094,N$1&amp;"" CE"",""""), N$1&amp;""[\w &amp;]*, (\d+\.\d+)""),"""")
"),"")</f>
        <v/>
      </c>
      <c r="O1094" s="3" t="str">
        <f aca="false">IFERROR(__xludf.dummyfunction("if($T1094&lt;&gt;"""",REGEXEXTRACT($T1094, O$1&amp;""[\w &amp;]*, (\d+\.\d+)""),"""")
"),"")</f>
        <v/>
      </c>
      <c r="P1094" s="2"/>
      <c r="Q1094" s="2"/>
      <c r="R1094" s="2"/>
      <c r="S1094" s="2"/>
      <c r="T1094" s="5"/>
    </row>
    <row r="1095" customFormat="false" ht="15.75" hidden="false" customHeight="false" outlineLevel="0" collapsed="false">
      <c r="A1095" s="4"/>
      <c r="B1095" s="2"/>
      <c r="C1095" s="2"/>
      <c r="D1095" s="2"/>
      <c r="E1095" s="2"/>
      <c r="F1095" s="3" t="str">
        <f aca="false">IFERROR(__xludf.dummyfunction("if($T1095&lt;&gt;"""",REGEXEXTRACT(SUBSTITUTE ($T1095,F$1&amp;"" CE"",""""), F$1&amp;""[\w &amp;]*, (\d+\.\d+)""),"""")
"),"")</f>
        <v/>
      </c>
      <c r="G1095" s="3" t="str">
        <f aca="false">IFERROR(__xludf.dummyfunction("if($T1095&lt;&gt;"""",REGEXEXTRACT($T1095, G$1&amp;""[\w &amp;]*, (\d+\.\d+)""),"""")
"),"")</f>
        <v/>
      </c>
      <c r="H1095" s="3"/>
      <c r="I1095" s="3" t="str">
        <f aca="false">IFERROR(__xludf.dummyfunction("if($T1095&lt;&gt;"""",REGEXEXTRACT(SUBSTITUTE ($T1095,I$1&amp;"" CE"",""""), I$1&amp;""[\w &amp;]*, (\d+\.\d+)""),"""")
"),"")</f>
        <v/>
      </c>
      <c r="J1095" s="3" t="str">
        <f aca="false">IFERROR(__xludf.dummyfunction("if($T1095&lt;&gt;"""",REGEXEXTRACT($T1095, J$1&amp;""[\w &amp;]*, (\d+\.\d+)""),"""")
"),"")</f>
        <v/>
      </c>
      <c r="K1095" s="3"/>
      <c r="L1095" s="3" t="str">
        <f aca="false">IFERROR(__xludf.dummyfunction("if($T1095&lt;&gt;"""",REGEXEXTRACT(SUBSTITUTE ($T1095,L$1&amp;"" CE"",""""), L$1&amp;""[\w &amp;]*, (\d+\.\d+)""),"""")
"),"")</f>
        <v/>
      </c>
      <c r="M1095" s="3" t="str">
        <f aca="false">IFERROR(__xludf.dummyfunction("if($T1095&lt;&gt;"""",REGEXEXTRACT($T1095, M$1&amp;""[\w &amp;]*, (\d+\.\d+)""),"""")
"),"")</f>
        <v/>
      </c>
      <c r="N1095" s="3" t="str">
        <f aca="false">IFERROR(__xludf.dummyfunction("if($T1095&lt;&gt;"""",REGEXEXTRACT(SUBSTITUTE ($T1095,N$1&amp;"" CE"",""""), N$1&amp;""[\w &amp;]*, (\d+\.\d+)""),"""")
"),"")</f>
        <v/>
      </c>
      <c r="O1095" s="3" t="str">
        <f aca="false">IFERROR(__xludf.dummyfunction("if($T1095&lt;&gt;"""",REGEXEXTRACT($T1095, O$1&amp;""[\w &amp;]*, (\d+\.\d+)""),"""")
"),"")</f>
        <v/>
      </c>
      <c r="P1095" s="2"/>
      <c r="Q1095" s="2"/>
      <c r="R1095" s="2"/>
      <c r="S1095" s="2"/>
      <c r="T1095" s="5"/>
    </row>
    <row r="1096" customFormat="false" ht="15.75" hidden="false" customHeight="false" outlineLevel="0" collapsed="false">
      <c r="A1096" s="4"/>
      <c r="B1096" s="2"/>
      <c r="C1096" s="2"/>
      <c r="D1096" s="2"/>
      <c r="E1096" s="2"/>
      <c r="F1096" s="3" t="str">
        <f aca="false">IFERROR(__xludf.dummyfunction("if($T1096&lt;&gt;"""",REGEXEXTRACT(SUBSTITUTE ($T1096,F$1&amp;"" CE"",""""), F$1&amp;""[\w &amp;]*, (\d+\.\d+)""),"""")
"),"")</f>
        <v/>
      </c>
      <c r="G1096" s="3" t="str">
        <f aca="false">IFERROR(__xludf.dummyfunction("if($T1096&lt;&gt;"""",REGEXEXTRACT($T1096, G$1&amp;""[\w &amp;]*, (\d+\.\d+)""),"""")
"),"")</f>
        <v/>
      </c>
      <c r="H1096" s="3"/>
      <c r="I1096" s="3" t="str">
        <f aca="false">IFERROR(__xludf.dummyfunction("if($T1096&lt;&gt;"""",REGEXEXTRACT(SUBSTITUTE ($T1096,I$1&amp;"" CE"",""""), I$1&amp;""[\w &amp;]*, (\d+\.\d+)""),"""")
"),"")</f>
        <v/>
      </c>
      <c r="J1096" s="3" t="str">
        <f aca="false">IFERROR(__xludf.dummyfunction("if($T1096&lt;&gt;"""",REGEXEXTRACT($T1096, J$1&amp;""[\w &amp;]*, (\d+\.\d+)""),"""")
"),"")</f>
        <v/>
      </c>
      <c r="K1096" s="3"/>
      <c r="L1096" s="3" t="str">
        <f aca="false">IFERROR(__xludf.dummyfunction("if($T1096&lt;&gt;"""",REGEXEXTRACT(SUBSTITUTE ($T1096,L$1&amp;"" CE"",""""), L$1&amp;""[\w &amp;]*, (\d+\.\d+)""),"""")
"),"")</f>
        <v/>
      </c>
      <c r="M1096" s="3" t="str">
        <f aca="false">IFERROR(__xludf.dummyfunction("if($T1096&lt;&gt;"""",REGEXEXTRACT($T1096, M$1&amp;""[\w &amp;]*, (\d+\.\d+)""),"""")
"),"")</f>
        <v/>
      </c>
      <c r="N1096" s="3" t="str">
        <f aca="false">IFERROR(__xludf.dummyfunction("if($T1096&lt;&gt;"""",REGEXEXTRACT(SUBSTITUTE ($T1096,N$1&amp;"" CE"",""""), N$1&amp;""[\w &amp;]*, (\d+\.\d+)""),"""")
"),"")</f>
        <v/>
      </c>
      <c r="O1096" s="3" t="str">
        <f aca="false">IFERROR(__xludf.dummyfunction("if($T1096&lt;&gt;"""",REGEXEXTRACT($T1096, O$1&amp;""[\w &amp;]*, (\d+\.\d+)""),"""")
"),"")</f>
        <v/>
      </c>
      <c r="P1096" s="2"/>
      <c r="Q1096" s="2"/>
      <c r="R1096" s="2"/>
      <c r="S1096" s="2"/>
      <c r="T1096" s="5"/>
    </row>
    <row r="1097" customFormat="false" ht="15.75" hidden="false" customHeight="false" outlineLevel="0" collapsed="false">
      <c r="A1097" s="4"/>
      <c r="B1097" s="2"/>
      <c r="C1097" s="2"/>
      <c r="D1097" s="2"/>
      <c r="E1097" s="2"/>
      <c r="F1097" s="3" t="str">
        <f aca="false">IFERROR(__xludf.dummyfunction("if($T1097&lt;&gt;"""",REGEXEXTRACT(SUBSTITUTE ($T1097,F$1&amp;"" CE"",""""), F$1&amp;""[\w &amp;]*, (\d+\.\d+)""),"""")
"),"")</f>
        <v/>
      </c>
      <c r="G1097" s="3" t="str">
        <f aca="false">IFERROR(__xludf.dummyfunction("if($T1097&lt;&gt;"""",REGEXEXTRACT($T1097, G$1&amp;""[\w &amp;]*, (\d+\.\d+)""),"""")
"),"")</f>
        <v/>
      </c>
      <c r="H1097" s="3"/>
      <c r="I1097" s="3" t="str">
        <f aca="false">IFERROR(__xludf.dummyfunction("if($T1097&lt;&gt;"""",REGEXEXTRACT(SUBSTITUTE ($T1097,I$1&amp;"" CE"",""""), I$1&amp;""[\w &amp;]*, (\d+\.\d+)""),"""")
"),"")</f>
        <v/>
      </c>
      <c r="J1097" s="3" t="str">
        <f aca="false">IFERROR(__xludf.dummyfunction("if($T1097&lt;&gt;"""",REGEXEXTRACT($T1097, J$1&amp;""[\w &amp;]*, (\d+\.\d+)""),"""")
"),"")</f>
        <v/>
      </c>
      <c r="K1097" s="3"/>
      <c r="L1097" s="3" t="str">
        <f aca="false">IFERROR(__xludf.dummyfunction("if($T1097&lt;&gt;"""",REGEXEXTRACT(SUBSTITUTE ($T1097,L$1&amp;"" CE"",""""), L$1&amp;""[\w &amp;]*, (\d+\.\d+)""),"""")
"),"")</f>
        <v/>
      </c>
      <c r="M1097" s="3" t="str">
        <f aca="false">IFERROR(__xludf.dummyfunction("if($T1097&lt;&gt;"""",REGEXEXTRACT($T1097, M$1&amp;""[\w &amp;]*, (\d+\.\d+)""),"""")
"),"")</f>
        <v/>
      </c>
      <c r="N1097" s="3" t="str">
        <f aca="false">IFERROR(__xludf.dummyfunction("if($T1097&lt;&gt;"""",REGEXEXTRACT(SUBSTITUTE ($T1097,N$1&amp;"" CE"",""""), N$1&amp;""[\w &amp;]*, (\d+\.\d+)""),"""")
"),"")</f>
        <v/>
      </c>
      <c r="O1097" s="3" t="str">
        <f aca="false">IFERROR(__xludf.dummyfunction("if($T1097&lt;&gt;"""",REGEXEXTRACT($T1097, O$1&amp;""[\w &amp;]*, (\d+\.\d+)""),"""")
"),"")</f>
        <v/>
      </c>
      <c r="P1097" s="2"/>
      <c r="Q1097" s="2"/>
      <c r="R1097" s="2"/>
      <c r="S1097" s="2"/>
      <c r="T1097" s="5"/>
    </row>
    <row r="1098" customFormat="false" ht="15.75" hidden="false" customHeight="false" outlineLevel="0" collapsed="false">
      <c r="A1098" s="4"/>
      <c r="B1098" s="2"/>
      <c r="C1098" s="2"/>
      <c r="D1098" s="2"/>
      <c r="E1098" s="2"/>
      <c r="F1098" s="3" t="str">
        <f aca="false">IFERROR(__xludf.dummyfunction("if($T1098&lt;&gt;"""",REGEXEXTRACT(SUBSTITUTE ($T1098,F$1&amp;"" CE"",""""), F$1&amp;""[\w &amp;]*, (\d+\.\d+)""),"""")
"),"")</f>
        <v/>
      </c>
      <c r="G1098" s="3" t="str">
        <f aca="false">IFERROR(__xludf.dummyfunction("if($T1098&lt;&gt;"""",REGEXEXTRACT($T1098, G$1&amp;""[\w &amp;]*, (\d+\.\d+)""),"""")
"),"")</f>
        <v/>
      </c>
      <c r="H1098" s="3"/>
      <c r="I1098" s="3" t="str">
        <f aca="false">IFERROR(__xludf.dummyfunction("if($T1098&lt;&gt;"""",REGEXEXTRACT(SUBSTITUTE ($T1098,I$1&amp;"" CE"",""""), I$1&amp;""[\w &amp;]*, (\d+\.\d+)""),"""")
"),"")</f>
        <v/>
      </c>
      <c r="J1098" s="3" t="str">
        <f aca="false">IFERROR(__xludf.dummyfunction("if($T1098&lt;&gt;"""",REGEXEXTRACT($T1098, J$1&amp;""[\w &amp;]*, (\d+\.\d+)""),"""")
"),"")</f>
        <v/>
      </c>
      <c r="K1098" s="3"/>
      <c r="L1098" s="3" t="str">
        <f aca="false">IFERROR(__xludf.dummyfunction("if($T1098&lt;&gt;"""",REGEXEXTRACT(SUBSTITUTE ($T1098,L$1&amp;"" CE"",""""), L$1&amp;""[\w &amp;]*, (\d+\.\d+)""),"""")
"),"")</f>
        <v/>
      </c>
      <c r="M1098" s="3" t="str">
        <f aca="false">IFERROR(__xludf.dummyfunction("if($T1098&lt;&gt;"""",REGEXEXTRACT($T1098, M$1&amp;""[\w &amp;]*, (\d+\.\d+)""),"""")
"),"")</f>
        <v/>
      </c>
      <c r="N1098" s="3" t="str">
        <f aca="false">IFERROR(__xludf.dummyfunction("if($T1098&lt;&gt;"""",REGEXEXTRACT(SUBSTITUTE ($T1098,N$1&amp;"" CE"",""""), N$1&amp;""[\w &amp;]*, (\d+\.\d+)""),"""")
"),"")</f>
        <v/>
      </c>
      <c r="O1098" s="3" t="str">
        <f aca="false">IFERROR(__xludf.dummyfunction("if($T1098&lt;&gt;"""",REGEXEXTRACT($T1098, O$1&amp;""[\w &amp;]*, (\d+\.\d+)""),"""")
"),"")</f>
        <v/>
      </c>
      <c r="P1098" s="2"/>
      <c r="Q1098" s="2"/>
      <c r="R1098" s="2"/>
      <c r="S1098" s="2"/>
      <c r="T1098" s="5"/>
    </row>
    <row r="1099" customFormat="false" ht="15.75" hidden="false" customHeight="false" outlineLevel="0" collapsed="false">
      <c r="A1099" s="4"/>
      <c r="B1099" s="2"/>
      <c r="C1099" s="2"/>
      <c r="D1099" s="2"/>
      <c r="E1099" s="2"/>
      <c r="F1099" s="3" t="str">
        <f aca="false">IFERROR(__xludf.dummyfunction("if($T1099&lt;&gt;"""",REGEXEXTRACT(SUBSTITUTE ($T1099,F$1&amp;"" CE"",""""), F$1&amp;""[\w &amp;]*, (\d+\.\d+)""),"""")
"),"")</f>
        <v/>
      </c>
      <c r="G1099" s="3" t="str">
        <f aca="false">IFERROR(__xludf.dummyfunction("if($T1099&lt;&gt;"""",REGEXEXTRACT($T1099, G$1&amp;""[\w &amp;]*, (\d+\.\d+)""),"""")
"),"")</f>
        <v/>
      </c>
      <c r="H1099" s="3"/>
      <c r="I1099" s="3" t="str">
        <f aca="false">IFERROR(__xludf.dummyfunction("if($T1099&lt;&gt;"""",REGEXEXTRACT(SUBSTITUTE ($T1099,I$1&amp;"" CE"",""""), I$1&amp;""[\w &amp;]*, (\d+\.\d+)""),"""")
"),"")</f>
        <v/>
      </c>
      <c r="J1099" s="3" t="str">
        <f aca="false">IFERROR(__xludf.dummyfunction("if($T1099&lt;&gt;"""",REGEXEXTRACT($T1099, J$1&amp;""[\w &amp;]*, (\d+\.\d+)""),"""")
"),"")</f>
        <v/>
      </c>
      <c r="K1099" s="3"/>
      <c r="L1099" s="3" t="str">
        <f aca="false">IFERROR(__xludf.dummyfunction("if($T1099&lt;&gt;"""",REGEXEXTRACT(SUBSTITUTE ($T1099,L$1&amp;"" CE"",""""), L$1&amp;""[\w &amp;]*, (\d+\.\d+)""),"""")
"),"")</f>
        <v/>
      </c>
      <c r="M1099" s="3" t="str">
        <f aca="false">IFERROR(__xludf.dummyfunction("if($T1099&lt;&gt;"""",REGEXEXTRACT($T1099, M$1&amp;""[\w &amp;]*, (\d+\.\d+)""),"""")
"),"")</f>
        <v/>
      </c>
      <c r="N1099" s="3" t="str">
        <f aca="false">IFERROR(__xludf.dummyfunction("if($T1099&lt;&gt;"""",REGEXEXTRACT(SUBSTITUTE ($T1099,N$1&amp;"" CE"",""""), N$1&amp;""[\w &amp;]*, (\d+\.\d+)""),"""")
"),"")</f>
        <v/>
      </c>
      <c r="O1099" s="3" t="str">
        <f aca="false">IFERROR(__xludf.dummyfunction("if($T1099&lt;&gt;"""",REGEXEXTRACT($T1099, O$1&amp;""[\w &amp;]*, (\d+\.\d+)""),"""")
"),"")</f>
        <v/>
      </c>
      <c r="P1099" s="2"/>
      <c r="Q1099" s="2"/>
      <c r="R1099" s="2"/>
      <c r="S1099" s="2"/>
      <c r="T1099" s="5"/>
    </row>
    <row r="1100" customFormat="false" ht="15.75" hidden="false" customHeight="false" outlineLevel="0" collapsed="false">
      <c r="A1100" s="4"/>
      <c r="B1100" s="2"/>
      <c r="C1100" s="2"/>
      <c r="D1100" s="2"/>
      <c r="E1100" s="2"/>
      <c r="F1100" s="3" t="str">
        <f aca="false">IFERROR(__xludf.dummyfunction("if($T1100&lt;&gt;"""",REGEXEXTRACT(SUBSTITUTE ($T1100,F$1&amp;"" CE"",""""), F$1&amp;""[\w &amp;]*, (\d+\.\d+)""),"""")
"),"")</f>
        <v/>
      </c>
      <c r="G1100" s="3" t="str">
        <f aca="false">IFERROR(__xludf.dummyfunction("if($T1100&lt;&gt;"""",REGEXEXTRACT($T1100, G$1&amp;""[\w &amp;]*, (\d+\.\d+)""),"""")
"),"")</f>
        <v/>
      </c>
      <c r="H1100" s="3"/>
      <c r="I1100" s="3" t="str">
        <f aca="false">IFERROR(__xludf.dummyfunction("if($T1100&lt;&gt;"""",REGEXEXTRACT(SUBSTITUTE ($T1100,I$1&amp;"" CE"",""""), I$1&amp;""[\w &amp;]*, (\d+\.\d+)""),"""")
"),"")</f>
        <v/>
      </c>
      <c r="J1100" s="3" t="str">
        <f aca="false">IFERROR(__xludf.dummyfunction("if($T1100&lt;&gt;"""",REGEXEXTRACT($T1100, J$1&amp;""[\w &amp;]*, (\d+\.\d+)""),"""")
"),"")</f>
        <v/>
      </c>
      <c r="K1100" s="3"/>
      <c r="L1100" s="3" t="str">
        <f aca="false">IFERROR(__xludf.dummyfunction("if($T1100&lt;&gt;"""",REGEXEXTRACT(SUBSTITUTE ($T1100,L$1&amp;"" CE"",""""), L$1&amp;""[\w &amp;]*, (\d+\.\d+)""),"""")
"),"")</f>
        <v/>
      </c>
      <c r="M1100" s="3" t="str">
        <f aca="false">IFERROR(__xludf.dummyfunction("if($T1100&lt;&gt;"""",REGEXEXTRACT($T1100, M$1&amp;""[\w &amp;]*, (\d+\.\d+)""),"""")
"),"")</f>
        <v/>
      </c>
      <c r="N1100" s="3" t="str">
        <f aca="false">IFERROR(__xludf.dummyfunction("if($T1100&lt;&gt;"""",REGEXEXTRACT(SUBSTITUTE ($T1100,N$1&amp;"" CE"",""""), N$1&amp;""[\w &amp;]*, (\d+\.\d+)""),"""")
"),"")</f>
        <v/>
      </c>
      <c r="O1100" s="3" t="str">
        <f aca="false">IFERROR(__xludf.dummyfunction("if($T1100&lt;&gt;"""",REGEXEXTRACT($T1100, O$1&amp;""[\w &amp;]*, (\d+\.\d+)""),"""")
"),"")</f>
        <v/>
      </c>
      <c r="P1100" s="2"/>
      <c r="Q1100" s="2"/>
      <c r="R1100" s="2"/>
      <c r="S1100" s="2"/>
      <c r="T1100" s="5"/>
    </row>
    <row r="1101" customFormat="false" ht="15.75" hidden="false" customHeight="false" outlineLevel="0" collapsed="false">
      <c r="A1101" s="4"/>
      <c r="B1101" s="2"/>
      <c r="C1101" s="2"/>
      <c r="D1101" s="2"/>
      <c r="E1101" s="2"/>
      <c r="F1101" s="3" t="str">
        <f aca="false">IFERROR(__xludf.dummyfunction("if($T1101&lt;&gt;"""",REGEXEXTRACT(SUBSTITUTE ($T1101,F$1&amp;"" CE"",""""), F$1&amp;""[\w &amp;]*, (\d+\.\d+)""),"""")
"),"")</f>
        <v/>
      </c>
      <c r="G1101" s="3" t="str">
        <f aca="false">IFERROR(__xludf.dummyfunction("if($T1101&lt;&gt;"""",REGEXEXTRACT($T1101, G$1&amp;""[\w &amp;]*, (\d+\.\d+)""),"""")
"),"")</f>
        <v/>
      </c>
      <c r="H1101" s="3"/>
      <c r="I1101" s="3" t="str">
        <f aca="false">IFERROR(__xludf.dummyfunction("if($T1101&lt;&gt;"""",REGEXEXTRACT(SUBSTITUTE ($T1101,I$1&amp;"" CE"",""""), I$1&amp;""[\w &amp;]*, (\d+\.\d+)""),"""")
"),"")</f>
        <v/>
      </c>
      <c r="J1101" s="3" t="str">
        <f aca="false">IFERROR(__xludf.dummyfunction("if($T1101&lt;&gt;"""",REGEXEXTRACT($T1101, J$1&amp;""[\w &amp;]*, (\d+\.\d+)""),"""")
"),"")</f>
        <v/>
      </c>
      <c r="K1101" s="3"/>
      <c r="L1101" s="3" t="str">
        <f aca="false">IFERROR(__xludf.dummyfunction("if($T1101&lt;&gt;"""",REGEXEXTRACT(SUBSTITUTE ($T1101,L$1&amp;"" CE"",""""), L$1&amp;""[\w &amp;]*, (\d+\.\d+)""),"""")
"),"")</f>
        <v/>
      </c>
      <c r="M1101" s="3" t="str">
        <f aca="false">IFERROR(__xludf.dummyfunction("if($T1101&lt;&gt;"""",REGEXEXTRACT($T1101, M$1&amp;""[\w &amp;]*, (\d+\.\d+)""),"""")
"),"")</f>
        <v/>
      </c>
      <c r="N1101" s="3" t="str">
        <f aca="false">IFERROR(__xludf.dummyfunction("if($T1101&lt;&gt;"""",REGEXEXTRACT(SUBSTITUTE ($T1101,N$1&amp;"" CE"",""""), N$1&amp;""[\w &amp;]*, (\d+\.\d+)""),"""")
"),"")</f>
        <v/>
      </c>
      <c r="O1101" s="3" t="str">
        <f aca="false">IFERROR(__xludf.dummyfunction("if($T1101&lt;&gt;"""",REGEXEXTRACT($T1101, O$1&amp;""[\w &amp;]*, (\d+\.\d+)""),"""")
"),"")</f>
        <v/>
      </c>
      <c r="P1101" s="2"/>
      <c r="Q1101" s="2"/>
      <c r="R1101" s="2"/>
      <c r="S1101" s="2"/>
      <c r="T1101" s="5"/>
    </row>
    <row r="1102" customFormat="false" ht="15.75" hidden="false" customHeight="false" outlineLevel="0" collapsed="false">
      <c r="A1102" s="4"/>
      <c r="B1102" s="2"/>
      <c r="C1102" s="2"/>
      <c r="D1102" s="2"/>
      <c r="E1102" s="2"/>
      <c r="F1102" s="3" t="str">
        <f aca="false">IFERROR(__xludf.dummyfunction("if($T1102&lt;&gt;"""",REGEXEXTRACT(SUBSTITUTE ($T1102,F$1&amp;"" CE"",""""), F$1&amp;""[\w &amp;]*, (\d+\.\d+)""),"""")
"),"")</f>
        <v/>
      </c>
      <c r="G1102" s="3" t="str">
        <f aca="false">IFERROR(__xludf.dummyfunction("if($T1102&lt;&gt;"""",REGEXEXTRACT($T1102, G$1&amp;""[\w &amp;]*, (\d+\.\d+)""),"""")
"),"")</f>
        <v/>
      </c>
      <c r="H1102" s="3"/>
      <c r="I1102" s="3" t="str">
        <f aca="false">IFERROR(__xludf.dummyfunction("if($T1102&lt;&gt;"""",REGEXEXTRACT(SUBSTITUTE ($T1102,I$1&amp;"" CE"",""""), I$1&amp;""[\w &amp;]*, (\d+\.\d+)""),"""")
"),"")</f>
        <v/>
      </c>
      <c r="J1102" s="3" t="str">
        <f aca="false">IFERROR(__xludf.dummyfunction("if($T1102&lt;&gt;"""",REGEXEXTRACT($T1102, J$1&amp;""[\w &amp;]*, (\d+\.\d+)""),"""")
"),"")</f>
        <v/>
      </c>
      <c r="K1102" s="3"/>
      <c r="L1102" s="3" t="str">
        <f aca="false">IFERROR(__xludf.dummyfunction("if($T1102&lt;&gt;"""",REGEXEXTRACT(SUBSTITUTE ($T1102,L$1&amp;"" CE"",""""), L$1&amp;""[\w &amp;]*, (\d+\.\d+)""),"""")
"),"")</f>
        <v/>
      </c>
      <c r="M1102" s="3" t="str">
        <f aca="false">IFERROR(__xludf.dummyfunction("if($T1102&lt;&gt;"""",REGEXEXTRACT($T1102, M$1&amp;""[\w &amp;]*, (\d+\.\d+)""),"""")
"),"")</f>
        <v/>
      </c>
      <c r="N1102" s="3" t="str">
        <f aca="false">IFERROR(__xludf.dummyfunction("if($T1102&lt;&gt;"""",REGEXEXTRACT(SUBSTITUTE ($T1102,N$1&amp;"" CE"",""""), N$1&amp;""[\w &amp;]*, (\d+\.\d+)""),"""")
"),"")</f>
        <v/>
      </c>
      <c r="O1102" s="3" t="str">
        <f aca="false">IFERROR(__xludf.dummyfunction("if($T1102&lt;&gt;"""",REGEXEXTRACT($T1102, O$1&amp;""[\w &amp;]*, (\d+\.\d+)""),"""")
"),"")</f>
        <v/>
      </c>
      <c r="P1102" s="2"/>
      <c r="Q1102" s="2"/>
      <c r="R1102" s="2"/>
      <c r="S1102" s="2"/>
      <c r="T1102" s="5"/>
    </row>
    <row r="1103" customFormat="false" ht="15.75" hidden="false" customHeight="false" outlineLevel="0" collapsed="false">
      <c r="A1103" s="4"/>
      <c r="B1103" s="2"/>
      <c r="C1103" s="2"/>
      <c r="D1103" s="2"/>
      <c r="E1103" s="2"/>
      <c r="F1103" s="3" t="str">
        <f aca="false">IFERROR(__xludf.dummyfunction("if($T1103&lt;&gt;"""",REGEXEXTRACT(SUBSTITUTE ($T1103,F$1&amp;"" CE"",""""), F$1&amp;""[\w &amp;]*, (\d+\.\d+)""),"""")
"),"")</f>
        <v/>
      </c>
      <c r="G1103" s="3" t="str">
        <f aca="false">IFERROR(__xludf.dummyfunction("if($T1103&lt;&gt;"""",REGEXEXTRACT($T1103, G$1&amp;""[\w &amp;]*, (\d+\.\d+)""),"""")
"),"")</f>
        <v/>
      </c>
      <c r="H1103" s="3"/>
      <c r="I1103" s="3" t="str">
        <f aca="false">IFERROR(__xludf.dummyfunction("if($T1103&lt;&gt;"""",REGEXEXTRACT(SUBSTITUTE ($T1103,I$1&amp;"" CE"",""""), I$1&amp;""[\w &amp;]*, (\d+\.\d+)""),"""")
"),"")</f>
        <v/>
      </c>
      <c r="J1103" s="3" t="str">
        <f aca="false">IFERROR(__xludf.dummyfunction("if($T1103&lt;&gt;"""",REGEXEXTRACT($T1103, J$1&amp;""[\w &amp;]*, (\d+\.\d+)""),"""")
"),"")</f>
        <v/>
      </c>
      <c r="K1103" s="3"/>
      <c r="L1103" s="3" t="str">
        <f aca="false">IFERROR(__xludf.dummyfunction("if($T1103&lt;&gt;"""",REGEXEXTRACT(SUBSTITUTE ($T1103,L$1&amp;"" CE"",""""), L$1&amp;""[\w &amp;]*, (\d+\.\d+)""),"""")
"),"")</f>
        <v/>
      </c>
      <c r="M1103" s="3" t="str">
        <f aca="false">IFERROR(__xludf.dummyfunction("if($T1103&lt;&gt;"""",REGEXEXTRACT($T1103, M$1&amp;""[\w &amp;]*, (\d+\.\d+)""),"""")
"),"")</f>
        <v/>
      </c>
      <c r="N1103" s="3" t="str">
        <f aca="false">IFERROR(__xludf.dummyfunction("if($T1103&lt;&gt;"""",REGEXEXTRACT(SUBSTITUTE ($T1103,N$1&amp;"" CE"",""""), N$1&amp;""[\w &amp;]*, (\d+\.\d+)""),"""")
"),"")</f>
        <v/>
      </c>
      <c r="O1103" s="3" t="str">
        <f aca="false">IFERROR(__xludf.dummyfunction("if($T1103&lt;&gt;"""",REGEXEXTRACT($T1103, O$1&amp;""[\w &amp;]*, (\d+\.\d+)""),"""")
"),"")</f>
        <v/>
      </c>
      <c r="P1103" s="2"/>
      <c r="Q1103" s="2"/>
      <c r="R1103" s="2"/>
      <c r="S1103" s="2"/>
      <c r="T1103" s="5"/>
    </row>
    <row r="1104" customFormat="false" ht="15.75" hidden="false" customHeight="false" outlineLevel="0" collapsed="false">
      <c r="A1104" s="4"/>
      <c r="B1104" s="2"/>
      <c r="C1104" s="2"/>
      <c r="D1104" s="2"/>
      <c r="E1104" s="2"/>
      <c r="F1104" s="3" t="str">
        <f aca="false">IFERROR(__xludf.dummyfunction("if($T1104&lt;&gt;"""",REGEXEXTRACT(SUBSTITUTE ($T1104,F$1&amp;"" CE"",""""), F$1&amp;""[\w &amp;]*, (\d+\.\d+)""),"""")
"),"")</f>
        <v/>
      </c>
      <c r="G1104" s="3" t="str">
        <f aca="false">IFERROR(__xludf.dummyfunction("if($T1104&lt;&gt;"""",REGEXEXTRACT($T1104, G$1&amp;""[\w &amp;]*, (\d+\.\d+)""),"""")
"),"")</f>
        <v/>
      </c>
      <c r="H1104" s="3"/>
      <c r="I1104" s="3" t="str">
        <f aca="false">IFERROR(__xludf.dummyfunction("if($T1104&lt;&gt;"""",REGEXEXTRACT(SUBSTITUTE ($T1104,I$1&amp;"" CE"",""""), I$1&amp;""[\w &amp;]*, (\d+\.\d+)""),"""")
"),"")</f>
        <v/>
      </c>
      <c r="J1104" s="3" t="str">
        <f aca="false">IFERROR(__xludf.dummyfunction("if($T1104&lt;&gt;"""",REGEXEXTRACT($T1104, J$1&amp;""[\w &amp;]*, (\d+\.\d+)""),"""")
"),"")</f>
        <v/>
      </c>
      <c r="K1104" s="3"/>
      <c r="L1104" s="3" t="str">
        <f aca="false">IFERROR(__xludf.dummyfunction("if($T1104&lt;&gt;"""",REGEXEXTRACT(SUBSTITUTE ($T1104,L$1&amp;"" CE"",""""), L$1&amp;""[\w &amp;]*, (\d+\.\d+)""),"""")
"),"")</f>
        <v/>
      </c>
      <c r="M1104" s="3" t="str">
        <f aca="false">IFERROR(__xludf.dummyfunction("if($T1104&lt;&gt;"""",REGEXEXTRACT($T1104, M$1&amp;""[\w &amp;]*, (\d+\.\d+)""),"""")
"),"")</f>
        <v/>
      </c>
      <c r="N1104" s="3" t="str">
        <f aca="false">IFERROR(__xludf.dummyfunction("if($T1104&lt;&gt;"""",REGEXEXTRACT(SUBSTITUTE ($T1104,N$1&amp;"" CE"",""""), N$1&amp;""[\w &amp;]*, (\d+\.\d+)""),"""")
"),"")</f>
        <v/>
      </c>
      <c r="O1104" s="3" t="str">
        <f aca="false">IFERROR(__xludf.dummyfunction("if($T1104&lt;&gt;"""",REGEXEXTRACT($T1104, O$1&amp;""[\w &amp;]*, (\d+\.\d+)""),"""")
"),"")</f>
        <v/>
      </c>
      <c r="P1104" s="2"/>
      <c r="Q1104" s="2"/>
      <c r="R1104" s="2"/>
      <c r="S1104" s="2"/>
      <c r="T1104" s="5"/>
    </row>
    <row r="1105" customFormat="false" ht="15.75" hidden="false" customHeight="false" outlineLevel="0" collapsed="false">
      <c r="A1105" s="4"/>
      <c r="B1105" s="2"/>
      <c r="C1105" s="2"/>
      <c r="D1105" s="2"/>
      <c r="E1105" s="2"/>
      <c r="F1105" s="3" t="str">
        <f aca="false">IFERROR(__xludf.dummyfunction("if($T1105&lt;&gt;"""",REGEXEXTRACT(SUBSTITUTE ($T1105,F$1&amp;"" CE"",""""), F$1&amp;""[\w &amp;]*, (\d+\.\d+)""),"""")
"),"")</f>
        <v/>
      </c>
      <c r="G1105" s="3" t="str">
        <f aca="false">IFERROR(__xludf.dummyfunction("if($T1105&lt;&gt;"""",REGEXEXTRACT($T1105, G$1&amp;""[\w &amp;]*, (\d+\.\d+)""),"""")
"),"")</f>
        <v/>
      </c>
      <c r="H1105" s="3"/>
      <c r="I1105" s="3" t="str">
        <f aca="false">IFERROR(__xludf.dummyfunction("if($T1105&lt;&gt;"""",REGEXEXTRACT(SUBSTITUTE ($T1105,I$1&amp;"" CE"",""""), I$1&amp;""[\w &amp;]*, (\d+\.\d+)""),"""")
"),"")</f>
        <v/>
      </c>
      <c r="J1105" s="3" t="str">
        <f aca="false">IFERROR(__xludf.dummyfunction("if($T1105&lt;&gt;"""",REGEXEXTRACT($T1105, J$1&amp;""[\w &amp;]*, (\d+\.\d+)""),"""")
"),"")</f>
        <v/>
      </c>
      <c r="K1105" s="3"/>
      <c r="L1105" s="3" t="str">
        <f aca="false">IFERROR(__xludf.dummyfunction("if($T1105&lt;&gt;"""",REGEXEXTRACT(SUBSTITUTE ($T1105,L$1&amp;"" CE"",""""), L$1&amp;""[\w &amp;]*, (\d+\.\d+)""),"""")
"),"")</f>
        <v/>
      </c>
      <c r="M1105" s="3" t="str">
        <f aca="false">IFERROR(__xludf.dummyfunction("if($T1105&lt;&gt;"""",REGEXEXTRACT($T1105, M$1&amp;""[\w &amp;]*, (\d+\.\d+)""),"""")
"),"")</f>
        <v/>
      </c>
      <c r="N1105" s="3" t="str">
        <f aca="false">IFERROR(__xludf.dummyfunction("if($T1105&lt;&gt;"""",REGEXEXTRACT(SUBSTITUTE ($T1105,N$1&amp;"" CE"",""""), N$1&amp;""[\w &amp;]*, (\d+\.\d+)""),"""")
"),"")</f>
        <v/>
      </c>
      <c r="O1105" s="3" t="str">
        <f aca="false">IFERROR(__xludf.dummyfunction("if($T1105&lt;&gt;"""",REGEXEXTRACT($T1105, O$1&amp;""[\w &amp;]*, (\d+\.\d+)""),"""")
"),"")</f>
        <v/>
      </c>
      <c r="P1105" s="2"/>
      <c r="Q1105" s="2"/>
      <c r="R1105" s="2"/>
      <c r="S1105" s="2"/>
      <c r="T1105" s="5"/>
    </row>
    <row r="1106" customFormat="false" ht="15.75" hidden="false" customHeight="false" outlineLevel="0" collapsed="false">
      <c r="A1106" s="4"/>
      <c r="B1106" s="2"/>
      <c r="C1106" s="2"/>
      <c r="D1106" s="2"/>
      <c r="E1106" s="2"/>
      <c r="F1106" s="3" t="str">
        <f aca="false">IFERROR(__xludf.dummyfunction("if($T1106&lt;&gt;"""",REGEXEXTRACT(SUBSTITUTE ($T1106,F$1&amp;"" CE"",""""), F$1&amp;""[\w &amp;]*, (\d+\.\d+)""),"""")
"),"")</f>
        <v/>
      </c>
      <c r="G1106" s="3" t="str">
        <f aca="false">IFERROR(__xludf.dummyfunction("if($T1106&lt;&gt;"""",REGEXEXTRACT($T1106, G$1&amp;""[\w &amp;]*, (\d+\.\d+)""),"""")
"),"")</f>
        <v/>
      </c>
      <c r="H1106" s="3"/>
      <c r="I1106" s="3" t="str">
        <f aca="false">IFERROR(__xludf.dummyfunction("if($T1106&lt;&gt;"""",REGEXEXTRACT(SUBSTITUTE ($T1106,I$1&amp;"" CE"",""""), I$1&amp;""[\w &amp;]*, (\d+\.\d+)""),"""")
"),"")</f>
        <v/>
      </c>
      <c r="J1106" s="3" t="str">
        <f aca="false">IFERROR(__xludf.dummyfunction("if($T1106&lt;&gt;"""",REGEXEXTRACT($T1106, J$1&amp;""[\w &amp;]*, (\d+\.\d+)""),"""")
"),"")</f>
        <v/>
      </c>
      <c r="K1106" s="3"/>
      <c r="L1106" s="3" t="str">
        <f aca="false">IFERROR(__xludf.dummyfunction("if($T1106&lt;&gt;"""",REGEXEXTRACT(SUBSTITUTE ($T1106,L$1&amp;"" CE"",""""), L$1&amp;""[\w &amp;]*, (\d+\.\d+)""),"""")
"),"")</f>
        <v/>
      </c>
      <c r="M1106" s="3" t="str">
        <f aca="false">IFERROR(__xludf.dummyfunction("if($T1106&lt;&gt;"""",REGEXEXTRACT($T1106, M$1&amp;""[\w &amp;]*, (\d+\.\d+)""),"""")
"),"")</f>
        <v/>
      </c>
      <c r="N1106" s="3" t="str">
        <f aca="false">IFERROR(__xludf.dummyfunction("if($T1106&lt;&gt;"""",REGEXEXTRACT(SUBSTITUTE ($T1106,N$1&amp;"" CE"",""""), N$1&amp;""[\w &amp;]*, (\d+\.\d+)""),"""")
"),"")</f>
        <v/>
      </c>
      <c r="O1106" s="3" t="str">
        <f aca="false">IFERROR(__xludf.dummyfunction("if($T1106&lt;&gt;"""",REGEXEXTRACT($T1106, O$1&amp;""[\w &amp;]*, (\d+\.\d+)""),"""")
"),"")</f>
        <v/>
      </c>
      <c r="P1106" s="2"/>
      <c r="Q1106" s="2"/>
      <c r="R1106" s="2"/>
      <c r="S1106" s="2"/>
      <c r="T1106" s="5"/>
    </row>
    <row r="1107" customFormat="false" ht="15.75" hidden="false" customHeight="false" outlineLevel="0" collapsed="false">
      <c r="A1107" s="4"/>
      <c r="B1107" s="2"/>
      <c r="C1107" s="2"/>
      <c r="D1107" s="2"/>
      <c r="E1107" s="2"/>
      <c r="F1107" s="3" t="str">
        <f aca="false">IFERROR(__xludf.dummyfunction("if($T1107&lt;&gt;"""",REGEXEXTRACT(SUBSTITUTE ($T1107,F$1&amp;"" CE"",""""), F$1&amp;""[\w &amp;]*, (\d+\.\d+)""),"""")
"),"")</f>
        <v/>
      </c>
      <c r="G1107" s="3" t="str">
        <f aca="false">IFERROR(__xludf.dummyfunction("if($T1107&lt;&gt;"""",REGEXEXTRACT($T1107, G$1&amp;""[\w &amp;]*, (\d+\.\d+)""),"""")
"),"")</f>
        <v/>
      </c>
      <c r="H1107" s="3"/>
      <c r="I1107" s="3" t="str">
        <f aca="false">IFERROR(__xludf.dummyfunction("if($T1107&lt;&gt;"""",REGEXEXTRACT(SUBSTITUTE ($T1107,I$1&amp;"" CE"",""""), I$1&amp;""[\w &amp;]*, (\d+\.\d+)""),"""")
"),"")</f>
        <v/>
      </c>
      <c r="J1107" s="3" t="str">
        <f aca="false">IFERROR(__xludf.dummyfunction("if($T1107&lt;&gt;"""",REGEXEXTRACT($T1107, J$1&amp;""[\w &amp;]*, (\d+\.\d+)""),"""")
"),"")</f>
        <v/>
      </c>
      <c r="K1107" s="3"/>
      <c r="L1107" s="3" t="str">
        <f aca="false">IFERROR(__xludf.dummyfunction("if($T1107&lt;&gt;"""",REGEXEXTRACT(SUBSTITUTE ($T1107,L$1&amp;"" CE"",""""), L$1&amp;""[\w &amp;]*, (\d+\.\d+)""),"""")
"),"")</f>
        <v/>
      </c>
      <c r="M1107" s="3" t="str">
        <f aca="false">IFERROR(__xludf.dummyfunction("if($T1107&lt;&gt;"""",REGEXEXTRACT($T1107, M$1&amp;""[\w &amp;]*, (\d+\.\d+)""),"""")
"),"")</f>
        <v/>
      </c>
      <c r="N1107" s="3" t="str">
        <f aca="false">IFERROR(__xludf.dummyfunction("if($T1107&lt;&gt;"""",REGEXEXTRACT(SUBSTITUTE ($T1107,N$1&amp;"" CE"",""""), N$1&amp;""[\w &amp;]*, (\d+\.\d+)""),"""")
"),"")</f>
        <v/>
      </c>
      <c r="O1107" s="3" t="str">
        <f aca="false">IFERROR(__xludf.dummyfunction("if($T1107&lt;&gt;"""",REGEXEXTRACT($T1107, O$1&amp;""[\w &amp;]*, (\d+\.\d+)""),"""")
"),"")</f>
        <v/>
      </c>
      <c r="P1107" s="2"/>
      <c r="Q1107" s="2"/>
      <c r="R1107" s="2"/>
      <c r="S1107" s="2"/>
      <c r="T1107" s="5"/>
    </row>
    <row r="1108" customFormat="false" ht="15.75" hidden="false" customHeight="false" outlineLevel="0" collapsed="false">
      <c r="A1108" s="4"/>
      <c r="B1108" s="2"/>
      <c r="C1108" s="2"/>
      <c r="D1108" s="2"/>
      <c r="E1108" s="2"/>
      <c r="F1108" s="3" t="str">
        <f aca="false">IFERROR(__xludf.dummyfunction("if($T1108&lt;&gt;"""",REGEXEXTRACT(SUBSTITUTE ($T1108,F$1&amp;"" CE"",""""), F$1&amp;""[\w &amp;]*, (\d+\.\d+)""),"""")
"),"")</f>
        <v/>
      </c>
      <c r="G1108" s="3" t="str">
        <f aca="false">IFERROR(__xludf.dummyfunction("if($T1108&lt;&gt;"""",REGEXEXTRACT($T1108, G$1&amp;""[\w &amp;]*, (\d+\.\d+)""),"""")
"),"")</f>
        <v/>
      </c>
      <c r="H1108" s="3"/>
      <c r="I1108" s="3" t="str">
        <f aca="false">IFERROR(__xludf.dummyfunction("if($T1108&lt;&gt;"""",REGEXEXTRACT(SUBSTITUTE ($T1108,I$1&amp;"" CE"",""""), I$1&amp;""[\w &amp;]*, (\d+\.\d+)""),"""")
"),"")</f>
        <v/>
      </c>
      <c r="J1108" s="3" t="str">
        <f aca="false">IFERROR(__xludf.dummyfunction("if($T1108&lt;&gt;"""",REGEXEXTRACT($T1108, J$1&amp;""[\w &amp;]*, (\d+\.\d+)""),"""")
"),"")</f>
        <v/>
      </c>
      <c r="K1108" s="3"/>
      <c r="L1108" s="3" t="str">
        <f aca="false">IFERROR(__xludf.dummyfunction("if($T1108&lt;&gt;"""",REGEXEXTRACT(SUBSTITUTE ($T1108,L$1&amp;"" CE"",""""), L$1&amp;""[\w &amp;]*, (\d+\.\d+)""),"""")
"),"")</f>
        <v/>
      </c>
      <c r="M1108" s="3" t="str">
        <f aca="false">IFERROR(__xludf.dummyfunction("if($T1108&lt;&gt;"""",REGEXEXTRACT($T1108, M$1&amp;""[\w &amp;]*, (\d+\.\d+)""),"""")
"),"")</f>
        <v/>
      </c>
      <c r="N1108" s="3" t="str">
        <f aca="false">IFERROR(__xludf.dummyfunction("if($T1108&lt;&gt;"""",REGEXEXTRACT(SUBSTITUTE ($T1108,N$1&amp;"" CE"",""""), N$1&amp;""[\w &amp;]*, (\d+\.\d+)""),"""")
"),"")</f>
        <v/>
      </c>
      <c r="O1108" s="3" t="str">
        <f aca="false">IFERROR(__xludf.dummyfunction("if($T1108&lt;&gt;"""",REGEXEXTRACT($T1108, O$1&amp;""[\w &amp;]*, (\d+\.\d+)""),"""")
"),"")</f>
        <v/>
      </c>
      <c r="P1108" s="2"/>
      <c r="Q1108" s="2"/>
      <c r="R1108" s="2"/>
      <c r="S1108" s="2"/>
      <c r="T1108" s="5"/>
    </row>
    <row r="1109" customFormat="false" ht="15.75" hidden="false" customHeight="false" outlineLevel="0" collapsed="false">
      <c r="A1109" s="4"/>
      <c r="B1109" s="2"/>
      <c r="C1109" s="2"/>
      <c r="D1109" s="2"/>
      <c r="E1109" s="2"/>
      <c r="F1109" s="3" t="str">
        <f aca="false">IFERROR(__xludf.dummyfunction("if($T1109&lt;&gt;"""",REGEXEXTRACT(SUBSTITUTE ($T1109,F$1&amp;"" CE"",""""), F$1&amp;""[\w &amp;]*, (\d+\.\d+)""),"""")
"),"")</f>
        <v/>
      </c>
      <c r="G1109" s="3" t="str">
        <f aca="false">IFERROR(__xludf.dummyfunction("if($T1109&lt;&gt;"""",REGEXEXTRACT($T1109, G$1&amp;""[\w &amp;]*, (\d+\.\d+)""),"""")
"),"")</f>
        <v/>
      </c>
      <c r="H1109" s="3"/>
      <c r="I1109" s="3" t="str">
        <f aca="false">IFERROR(__xludf.dummyfunction("if($T1109&lt;&gt;"""",REGEXEXTRACT(SUBSTITUTE ($T1109,I$1&amp;"" CE"",""""), I$1&amp;""[\w &amp;]*, (\d+\.\d+)""),"""")
"),"")</f>
        <v/>
      </c>
      <c r="J1109" s="3" t="str">
        <f aca="false">IFERROR(__xludf.dummyfunction("if($T1109&lt;&gt;"""",REGEXEXTRACT($T1109, J$1&amp;""[\w &amp;]*, (\d+\.\d+)""),"""")
"),"")</f>
        <v/>
      </c>
      <c r="K1109" s="3"/>
      <c r="L1109" s="3" t="str">
        <f aca="false">IFERROR(__xludf.dummyfunction("if($T1109&lt;&gt;"""",REGEXEXTRACT(SUBSTITUTE ($T1109,L$1&amp;"" CE"",""""), L$1&amp;""[\w &amp;]*, (\d+\.\d+)""),"""")
"),"")</f>
        <v/>
      </c>
      <c r="M1109" s="3" t="str">
        <f aca="false">IFERROR(__xludf.dummyfunction("if($T1109&lt;&gt;"""",REGEXEXTRACT($T1109, M$1&amp;""[\w &amp;]*, (\d+\.\d+)""),"""")
"),"")</f>
        <v/>
      </c>
      <c r="N1109" s="3" t="str">
        <f aca="false">IFERROR(__xludf.dummyfunction("if($T1109&lt;&gt;"""",REGEXEXTRACT(SUBSTITUTE ($T1109,N$1&amp;"" CE"",""""), N$1&amp;""[\w &amp;]*, (\d+\.\d+)""),"""")
"),"")</f>
        <v/>
      </c>
      <c r="O1109" s="3" t="str">
        <f aca="false">IFERROR(__xludf.dummyfunction("if($T1109&lt;&gt;"""",REGEXEXTRACT($T1109, O$1&amp;""[\w &amp;]*, (\d+\.\d+)""),"""")
"),"")</f>
        <v/>
      </c>
      <c r="P1109" s="2"/>
      <c r="Q1109" s="2"/>
      <c r="R1109" s="2"/>
      <c r="S1109" s="2"/>
      <c r="T1109" s="5"/>
    </row>
    <row r="1110" customFormat="false" ht="15.75" hidden="false" customHeight="false" outlineLevel="0" collapsed="false">
      <c r="A1110" s="4"/>
      <c r="B1110" s="2"/>
      <c r="C1110" s="2"/>
      <c r="D1110" s="2"/>
      <c r="E1110" s="2"/>
      <c r="F1110" s="3" t="str">
        <f aca="false">IFERROR(__xludf.dummyfunction("if($T1110&lt;&gt;"""",REGEXEXTRACT(SUBSTITUTE ($T1110,F$1&amp;"" CE"",""""), F$1&amp;""[\w &amp;]*, (\d+\.\d+)""),"""")
"),"")</f>
        <v/>
      </c>
      <c r="G1110" s="3" t="str">
        <f aca="false">IFERROR(__xludf.dummyfunction("if($T1110&lt;&gt;"""",REGEXEXTRACT($T1110, G$1&amp;""[\w &amp;]*, (\d+\.\d+)""),"""")
"),"")</f>
        <v/>
      </c>
      <c r="H1110" s="3"/>
      <c r="I1110" s="3" t="str">
        <f aca="false">IFERROR(__xludf.dummyfunction("if($T1110&lt;&gt;"""",REGEXEXTRACT(SUBSTITUTE ($T1110,I$1&amp;"" CE"",""""), I$1&amp;""[\w &amp;]*, (\d+\.\d+)""),"""")
"),"")</f>
        <v/>
      </c>
      <c r="J1110" s="3" t="str">
        <f aca="false">IFERROR(__xludf.dummyfunction("if($T1110&lt;&gt;"""",REGEXEXTRACT($T1110, J$1&amp;""[\w &amp;]*, (\d+\.\d+)""),"""")
"),"")</f>
        <v/>
      </c>
      <c r="K1110" s="3"/>
      <c r="L1110" s="3" t="str">
        <f aca="false">IFERROR(__xludf.dummyfunction("if($T1110&lt;&gt;"""",REGEXEXTRACT(SUBSTITUTE ($T1110,L$1&amp;"" CE"",""""), L$1&amp;""[\w &amp;]*, (\d+\.\d+)""),"""")
"),"")</f>
        <v/>
      </c>
      <c r="M1110" s="3" t="str">
        <f aca="false">IFERROR(__xludf.dummyfunction("if($T1110&lt;&gt;"""",REGEXEXTRACT($T1110, M$1&amp;""[\w &amp;]*, (\d+\.\d+)""),"""")
"),"")</f>
        <v/>
      </c>
      <c r="N1110" s="3" t="str">
        <f aca="false">IFERROR(__xludf.dummyfunction("if($T1110&lt;&gt;"""",REGEXEXTRACT(SUBSTITUTE ($T1110,N$1&amp;"" CE"",""""), N$1&amp;""[\w &amp;]*, (\d+\.\d+)""),"""")
"),"")</f>
        <v/>
      </c>
      <c r="O1110" s="3" t="str">
        <f aca="false">IFERROR(__xludf.dummyfunction("if($T1110&lt;&gt;"""",REGEXEXTRACT($T1110, O$1&amp;""[\w &amp;]*, (\d+\.\d+)""),"""")
"),"")</f>
        <v/>
      </c>
      <c r="P1110" s="2"/>
      <c r="Q1110" s="2"/>
      <c r="R1110" s="2"/>
      <c r="S1110" s="2"/>
      <c r="T1110" s="5"/>
    </row>
    <row r="1111" customFormat="false" ht="15.75" hidden="false" customHeight="false" outlineLevel="0" collapsed="false">
      <c r="A1111" s="5"/>
      <c r="B1111" s="2"/>
      <c r="C1111" s="2"/>
      <c r="D1111" s="2"/>
      <c r="E1111" s="2"/>
      <c r="F1111" s="3"/>
      <c r="G1111" s="3"/>
      <c r="H1111" s="3"/>
      <c r="I1111" s="3"/>
      <c r="J1111" s="3"/>
      <c r="K1111" s="3"/>
      <c r="L1111" s="3"/>
      <c r="M1111" s="3"/>
      <c r="N1111" s="3"/>
      <c r="O1111" s="3"/>
      <c r="P1111" s="2"/>
      <c r="Q1111" s="2"/>
      <c r="R1111" s="2"/>
      <c r="S1111" s="2"/>
      <c r="T1111" s="5"/>
    </row>
    <row r="1112" customFormat="false" ht="15.75" hidden="false" customHeight="false" outlineLevel="0" collapsed="false">
      <c r="A1112" s="5"/>
      <c r="B1112" s="2"/>
      <c r="C1112" s="2"/>
      <c r="D1112" s="2"/>
      <c r="E1112" s="2"/>
      <c r="F1112" s="3"/>
      <c r="G1112" s="3"/>
      <c r="H1112" s="3"/>
      <c r="I1112" s="3"/>
      <c r="J1112" s="3"/>
      <c r="K1112" s="3"/>
      <c r="L1112" s="3"/>
      <c r="M1112" s="3"/>
      <c r="N1112" s="3"/>
      <c r="O1112" s="3"/>
      <c r="P1112" s="2"/>
      <c r="Q1112" s="2"/>
      <c r="R1112" s="2"/>
      <c r="S1112" s="2"/>
      <c r="T1112" s="5"/>
    </row>
    <row r="1113" customFormat="false" ht="15.75" hidden="false" customHeight="false" outlineLevel="0" collapsed="false">
      <c r="A1113" s="5"/>
      <c r="B1113" s="2"/>
      <c r="C1113" s="2"/>
      <c r="D1113" s="2"/>
      <c r="E1113" s="2"/>
      <c r="F1113" s="3"/>
      <c r="G1113" s="3"/>
      <c r="H1113" s="3"/>
      <c r="I1113" s="3"/>
      <c r="J1113" s="3"/>
      <c r="K1113" s="3"/>
      <c r="L1113" s="3"/>
      <c r="M1113" s="3"/>
      <c r="N1113" s="3"/>
      <c r="O1113" s="3"/>
      <c r="P1113" s="2"/>
      <c r="Q1113" s="2"/>
      <c r="R1113" s="2"/>
      <c r="S1113" s="2"/>
      <c r="T1113" s="5"/>
    </row>
    <row r="1114" customFormat="false" ht="15.75" hidden="false" customHeight="false" outlineLevel="0" collapsed="false">
      <c r="A1114" s="4"/>
      <c r="B1114" s="2"/>
      <c r="C1114" s="2"/>
      <c r="D1114" s="2"/>
      <c r="E1114" s="2"/>
      <c r="F1114" s="3"/>
      <c r="G1114" s="3"/>
      <c r="H1114" s="3"/>
      <c r="I1114" s="3"/>
      <c r="J1114" s="3"/>
      <c r="K1114" s="3"/>
      <c r="L1114" s="3"/>
      <c r="M1114" s="3"/>
      <c r="N1114" s="3"/>
      <c r="O1114" s="3"/>
      <c r="P1114" s="2"/>
      <c r="Q1114" s="2"/>
      <c r="R1114" s="2"/>
      <c r="S1114" s="2"/>
      <c r="T1114" s="5"/>
    </row>
    <row r="1115" customFormat="false" ht="15.75" hidden="false" customHeight="false" outlineLevel="0" collapsed="false">
      <c r="A1115" s="4"/>
      <c r="B1115" s="2"/>
      <c r="C1115" s="2"/>
      <c r="D1115" s="2"/>
      <c r="E1115" s="2"/>
      <c r="F1115" s="3"/>
      <c r="G1115" s="3"/>
      <c r="H1115" s="3"/>
      <c r="I1115" s="3"/>
      <c r="J1115" s="3"/>
      <c r="K1115" s="3"/>
      <c r="L1115" s="3"/>
      <c r="M1115" s="3"/>
      <c r="N1115" s="3"/>
      <c r="O1115" s="3"/>
      <c r="P1115" s="2"/>
      <c r="Q1115" s="2"/>
      <c r="R1115" s="2"/>
      <c r="S1115" s="2"/>
      <c r="T1115" s="5"/>
    </row>
    <row r="1116" customFormat="false" ht="15.75" hidden="false" customHeight="false" outlineLevel="0" collapsed="false">
      <c r="A1116" s="4"/>
      <c r="B1116" s="2"/>
      <c r="C1116" s="2"/>
      <c r="D1116" s="2"/>
      <c r="E1116" s="2"/>
      <c r="F1116" s="3"/>
      <c r="G1116" s="3"/>
      <c r="H1116" s="3"/>
      <c r="I1116" s="3"/>
      <c r="J1116" s="3"/>
      <c r="K1116" s="3"/>
      <c r="L1116" s="3"/>
      <c r="M1116" s="3"/>
      <c r="N1116" s="3"/>
      <c r="O1116" s="3"/>
      <c r="P1116" s="2"/>
      <c r="Q1116" s="2"/>
      <c r="R1116" s="2"/>
      <c r="S1116" s="2"/>
      <c r="T1116" s="5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2025-02-08T10:28:29Z</dcterms:modified>
  <cp:revision>1</cp:revision>
  <dc:subject/>
  <dc:title/>
</cp:coreProperties>
</file>